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orymeals/Library/CloudStorage/Dropbox/UH 2025.2026/Research AY 25.26/ICD/UoP/"/>
    </mc:Choice>
  </mc:AlternateContent>
  <xr:revisionPtr revIDLastSave="0" documentId="13_ncr:1_{9DFDAAA1-A295-6243-8B13-956B09115403}" xr6:coauthVersionLast="47" xr6:coauthVersionMax="47" xr10:uidLastSave="{00000000-0000-0000-0000-000000000000}"/>
  <bookViews>
    <workbookView xWindow="-19200" yWindow="500" windowWidth="19200" windowHeight="21100" activeTab="1" xr2:uid="{00000000-000D-0000-FFFF-FFFF00000000}"/>
  </bookViews>
  <sheets>
    <sheet name="Composer" sheetId="10" state="hidden" r:id="rId1"/>
    <sheet name="LongForm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25" i="11" l="1"/>
  <c r="B1924" i="11"/>
  <c r="B1923" i="11"/>
  <c r="B1922" i="11"/>
  <c r="B1921" i="11"/>
  <c r="B1920" i="11"/>
  <c r="B1919" i="11"/>
  <c r="B1918" i="11"/>
  <c r="B1917" i="11"/>
  <c r="B1916" i="11"/>
  <c r="B1915" i="11"/>
  <c r="B1914" i="11"/>
  <c r="B1913" i="11"/>
  <c r="B1912" i="11"/>
  <c r="B1911" i="11"/>
  <c r="B1910" i="11"/>
  <c r="B1909" i="11"/>
  <c r="B1908" i="11"/>
  <c r="B1907" i="11"/>
  <c r="B1906" i="11"/>
  <c r="B1905" i="11"/>
  <c r="B1904" i="11"/>
  <c r="B1903" i="11"/>
  <c r="B1902" i="11"/>
  <c r="B1901" i="11"/>
  <c r="B1900" i="11"/>
  <c r="B1899" i="11"/>
  <c r="B1898" i="11"/>
  <c r="B1897" i="11"/>
  <c r="B1896" i="11"/>
  <c r="B1895" i="11"/>
  <c r="B1894" i="11"/>
  <c r="B1893" i="11"/>
  <c r="B1892" i="11"/>
  <c r="B1891" i="11"/>
  <c r="B1890" i="11"/>
  <c r="B1889" i="11"/>
  <c r="B1888" i="11"/>
  <c r="B1887" i="11"/>
  <c r="B1886" i="11"/>
  <c r="B1885" i="11"/>
  <c r="B1884" i="11"/>
  <c r="B1883" i="11"/>
  <c r="B1882" i="11"/>
  <c r="B1881" i="11"/>
  <c r="B1880" i="11"/>
  <c r="B1879" i="11"/>
  <c r="B1878" i="11"/>
  <c r="B1877" i="11"/>
  <c r="B1876" i="11"/>
  <c r="B1875" i="11"/>
  <c r="B1874" i="11"/>
  <c r="B1873" i="11"/>
  <c r="B1872" i="11"/>
  <c r="B1871" i="11"/>
  <c r="B1870" i="11"/>
  <c r="B1869" i="11"/>
  <c r="B1868" i="11"/>
  <c r="B1867" i="11"/>
  <c r="B1866" i="11"/>
  <c r="B1865" i="11"/>
  <c r="B1864" i="11"/>
  <c r="B1863" i="11"/>
  <c r="B1862" i="11"/>
  <c r="B1861" i="11"/>
  <c r="B1860" i="11"/>
  <c r="B1859" i="11"/>
  <c r="B1858" i="11"/>
  <c r="B1857" i="11"/>
  <c r="B1856" i="11"/>
  <c r="B1855" i="11"/>
  <c r="B1854" i="11"/>
  <c r="B1853" i="11"/>
  <c r="B1852" i="11"/>
  <c r="B1851" i="11"/>
  <c r="B1850" i="11"/>
  <c r="B1849" i="11"/>
  <c r="B1848" i="11"/>
  <c r="B1847" i="11"/>
  <c r="B1846" i="11"/>
  <c r="B1845" i="11"/>
  <c r="B1844" i="11"/>
  <c r="B1843" i="11"/>
  <c r="B1842" i="11"/>
  <c r="B1841" i="11"/>
  <c r="B1840" i="11"/>
  <c r="B1839" i="11"/>
  <c r="B1838" i="11"/>
  <c r="B1837" i="11"/>
  <c r="B1836" i="11"/>
  <c r="B1835" i="11"/>
  <c r="B1834" i="11"/>
  <c r="B1833" i="11"/>
  <c r="B1832" i="11"/>
  <c r="B1831" i="11"/>
  <c r="B1830" i="11"/>
  <c r="B1829" i="11"/>
  <c r="B1828" i="11"/>
  <c r="B1827" i="11"/>
  <c r="B1826" i="11"/>
  <c r="B1825" i="11"/>
  <c r="B1824" i="11"/>
  <c r="B1823" i="11"/>
  <c r="B1822" i="11"/>
  <c r="B1821" i="11"/>
  <c r="B1820" i="11"/>
  <c r="B1819" i="11"/>
  <c r="B1818" i="11"/>
  <c r="B1817" i="11"/>
  <c r="B1816" i="11"/>
  <c r="B1815" i="11"/>
  <c r="B1814" i="11"/>
  <c r="B1813" i="11"/>
  <c r="B1812" i="11"/>
  <c r="B1811" i="11"/>
  <c r="B1810" i="11"/>
  <c r="B1809" i="11"/>
  <c r="B1808" i="11"/>
  <c r="B1807" i="11"/>
  <c r="B1806" i="11"/>
  <c r="B1805" i="11"/>
  <c r="B1804" i="11"/>
  <c r="B1803" i="11"/>
  <c r="B1802" i="11"/>
  <c r="B1801" i="11"/>
  <c r="B1800" i="11"/>
  <c r="B1799" i="11"/>
  <c r="B1798" i="11"/>
  <c r="B1797" i="11"/>
  <c r="B1796" i="11"/>
  <c r="B1795" i="11"/>
  <c r="B1794" i="11"/>
  <c r="B1793" i="11"/>
  <c r="B1792" i="11"/>
  <c r="B1791" i="11"/>
  <c r="B1790" i="11"/>
  <c r="B1789" i="11"/>
  <c r="B1788" i="11"/>
  <c r="B1787" i="11"/>
  <c r="B1786" i="11"/>
  <c r="B1785" i="11"/>
  <c r="B1784" i="11"/>
  <c r="B1783" i="11"/>
  <c r="B1782" i="11"/>
  <c r="B1781" i="11"/>
  <c r="B1780" i="11"/>
  <c r="B1779" i="11"/>
  <c r="B1778" i="11"/>
  <c r="B1777" i="11"/>
  <c r="B1776" i="11"/>
  <c r="B1775" i="11"/>
  <c r="B1774" i="11"/>
  <c r="B1773" i="11"/>
  <c r="B1772" i="11"/>
  <c r="B1771" i="11"/>
  <c r="B1770" i="11"/>
  <c r="B1769" i="11"/>
  <c r="B1768" i="11"/>
  <c r="B1767" i="11"/>
  <c r="B1766" i="11"/>
  <c r="B1765" i="11"/>
  <c r="B1764" i="11"/>
  <c r="B1763" i="11"/>
  <c r="B1762" i="11"/>
  <c r="B1761" i="11"/>
  <c r="B1760" i="11"/>
  <c r="B1759" i="11"/>
  <c r="B1758" i="11"/>
  <c r="B1757" i="11"/>
  <c r="B1756" i="11"/>
  <c r="B1755" i="11"/>
  <c r="B1754" i="11"/>
  <c r="B1753" i="11"/>
  <c r="B1752" i="11"/>
  <c r="B1751" i="11"/>
  <c r="B1750" i="11"/>
  <c r="B1749" i="11"/>
  <c r="B1748" i="11"/>
  <c r="B1747" i="11"/>
  <c r="B1746" i="11"/>
  <c r="B1745" i="11"/>
  <c r="B1744" i="11"/>
  <c r="B1743" i="11"/>
  <c r="B1742" i="11"/>
  <c r="B1741" i="11"/>
  <c r="B1740" i="11"/>
  <c r="B1739" i="11"/>
  <c r="B1738" i="11"/>
  <c r="B1737" i="11"/>
  <c r="B1736" i="11"/>
  <c r="B1735" i="11"/>
  <c r="B1734" i="11"/>
  <c r="B1733" i="11"/>
  <c r="B1732" i="11"/>
  <c r="B1731" i="11"/>
  <c r="B1730" i="11"/>
  <c r="B1729" i="11"/>
  <c r="B1728" i="11"/>
  <c r="B1727" i="11"/>
  <c r="B1726" i="11"/>
  <c r="B1725" i="11"/>
  <c r="B1724" i="11"/>
  <c r="B1723" i="11"/>
  <c r="B1722" i="11"/>
  <c r="B1721" i="11"/>
  <c r="B1720" i="11"/>
  <c r="B1719" i="11"/>
  <c r="B1718" i="11"/>
  <c r="B1717" i="11"/>
  <c r="B1716" i="11"/>
  <c r="B1715" i="11"/>
  <c r="B1714" i="11"/>
  <c r="B1713" i="11"/>
  <c r="B1712" i="11"/>
  <c r="B1711" i="11"/>
  <c r="B1710" i="11"/>
  <c r="B1709" i="11"/>
  <c r="B1708" i="11"/>
  <c r="B1707" i="11"/>
  <c r="B1706" i="11"/>
  <c r="B1705" i="11"/>
  <c r="B1704" i="11"/>
  <c r="B1703" i="11"/>
  <c r="B1702" i="11"/>
  <c r="B1701" i="11"/>
  <c r="B1700" i="11"/>
  <c r="B1699" i="11"/>
  <c r="B1698" i="11"/>
  <c r="B1697" i="11"/>
  <c r="B1696" i="11"/>
  <c r="B1695" i="11"/>
  <c r="B1694" i="11"/>
  <c r="B1693" i="11"/>
  <c r="B1692" i="11"/>
  <c r="B1691" i="11"/>
  <c r="B1690" i="11"/>
  <c r="B1689" i="11"/>
  <c r="B1688" i="11"/>
  <c r="B1687" i="11"/>
  <c r="B1686" i="11"/>
  <c r="B1685" i="11"/>
  <c r="B1684" i="11"/>
  <c r="B1683" i="11"/>
  <c r="B1682" i="11"/>
  <c r="B1681" i="11"/>
  <c r="B1680" i="11"/>
  <c r="B1679" i="11"/>
  <c r="B1678" i="11"/>
  <c r="B1677" i="11"/>
  <c r="B1676" i="11"/>
  <c r="B1675" i="11"/>
  <c r="B1674" i="11"/>
  <c r="B1673" i="11"/>
  <c r="B1672" i="11"/>
  <c r="B1671" i="11"/>
  <c r="B1670" i="11"/>
  <c r="B1669" i="11"/>
  <c r="B1668" i="11"/>
  <c r="B1667" i="11"/>
  <c r="B1666" i="11"/>
  <c r="B1665" i="11"/>
  <c r="B1664" i="11"/>
  <c r="B1663" i="11"/>
  <c r="B1662" i="11"/>
  <c r="B1661" i="11"/>
  <c r="B1660" i="11"/>
  <c r="B1659" i="11"/>
  <c r="B1658" i="11"/>
  <c r="B1657" i="11"/>
  <c r="B1656" i="11"/>
  <c r="B1655" i="11"/>
  <c r="B1654" i="11"/>
  <c r="B1653" i="11"/>
  <c r="B1652" i="11"/>
  <c r="B1651" i="11"/>
  <c r="B1650" i="11"/>
  <c r="B1649" i="11"/>
  <c r="B1648" i="11"/>
  <c r="B1647" i="11"/>
  <c r="B1646" i="11"/>
  <c r="B1645" i="11"/>
  <c r="B1644" i="11"/>
  <c r="B1643" i="11"/>
  <c r="B1642" i="11"/>
  <c r="B1641" i="11"/>
  <c r="B1640" i="11"/>
  <c r="B1639" i="11"/>
  <c r="B1638" i="11"/>
  <c r="B1637" i="11"/>
  <c r="B1636" i="11"/>
  <c r="B1635" i="11"/>
  <c r="B1634" i="11"/>
  <c r="B1633" i="11"/>
  <c r="B1632" i="11"/>
  <c r="B1631" i="11"/>
  <c r="B1630" i="11"/>
  <c r="B1629" i="11"/>
  <c r="B1628" i="11"/>
  <c r="B1627" i="11"/>
  <c r="B1626" i="11"/>
  <c r="B1625" i="11"/>
  <c r="B1624" i="11"/>
  <c r="B1623" i="11"/>
  <c r="B1622" i="11"/>
  <c r="B1621" i="11"/>
  <c r="B1620" i="11"/>
  <c r="B1619" i="11"/>
  <c r="B1618" i="11"/>
  <c r="B1617" i="11"/>
  <c r="B1616" i="11"/>
  <c r="B1615" i="11"/>
  <c r="B1614" i="11"/>
  <c r="B1613" i="11"/>
  <c r="B1612" i="11"/>
  <c r="B1611" i="11"/>
  <c r="B1610" i="11"/>
  <c r="B1609" i="11"/>
  <c r="B1608" i="11"/>
  <c r="B1607" i="11"/>
  <c r="B1606" i="11"/>
  <c r="B1605" i="11"/>
  <c r="B1604" i="11"/>
  <c r="B1603" i="11"/>
  <c r="B1602" i="11"/>
  <c r="B1601" i="11"/>
  <c r="B1600" i="11"/>
  <c r="B1599" i="11"/>
  <c r="B1598" i="11"/>
  <c r="B1597" i="11"/>
  <c r="B1596" i="11"/>
  <c r="B1595" i="11"/>
  <c r="B1594" i="11"/>
  <c r="B1593" i="11"/>
  <c r="B1592" i="11"/>
  <c r="B1591" i="11"/>
  <c r="B1590" i="11"/>
  <c r="B1589" i="11"/>
  <c r="B1588" i="11"/>
  <c r="B1587" i="11"/>
  <c r="B1586" i="11"/>
  <c r="B1585" i="11"/>
  <c r="B1584" i="11"/>
  <c r="B1583" i="11"/>
  <c r="B1582" i="11"/>
  <c r="B1581" i="11"/>
  <c r="B1580" i="11"/>
  <c r="B1579" i="11"/>
  <c r="B1578" i="11"/>
  <c r="B1577" i="11"/>
  <c r="B1576" i="11"/>
  <c r="B1575" i="11"/>
  <c r="B1574" i="11"/>
  <c r="B1573" i="11"/>
  <c r="B1572" i="11"/>
  <c r="B1571" i="11"/>
  <c r="B1570" i="11"/>
  <c r="B1569" i="11"/>
  <c r="B1568" i="11"/>
  <c r="B1567" i="11"/>
  <c r="B1566" i="11"/>
  <c r="B1565" i="11"/>
  <c r="B1564" i="11"/>
  <c r="B1563" i="11"/>
  <c r="B1562" i="11"/>
  <c r="B1561" i="11"/>
  <c r="B1560" i="11"/>
  <c r="B1559" i="11"/>
  <c r="B1558" i="11"/>
  <c r="B1557" i="11"/>
  <c r="B1556" i="11"/>
  <c r="B1555" i="11"/>
  <c r="B1554" i="11"/>
  <c r="B1553" i="11"/>
  <c r="B1552" i="11"/>
  <c r="B1551" i="11"/>
  <c r="B1550" i="11"/>
  <c r="B1549" i="11"/>
  <c r="B1548" i="11"/>
  <c r="B1547" i="11"/>
  <c r="B1546" i="11"/>
  <c r="B1545" i="11"/>
  <c r="B1544" i="11"/>
  <c r="B1543" i="11"/>
  <c r="B1542" i="11"/>
  <c r="B1541" i="11"/>
  <c r="B1540" i="11"/>
  <c r="B1539" i="11"/>
  <c r="B1538" i="11"/>
  <c r="B1537" i="11"/>
  <c r="B1536" i="11"/>
  <c r="B1535" i="11"/>
  <c r="B1534" i="11"/>
  <c r="B1533" i="11"/>
  <c r="B1532" i="11"/>
  <c r="B1531" i="11"/>
  <c r="B1530" i="11"/>
  <c r="B1529" i="11"/>
  <c r="B1528" i="11"/>
  <c r="B1527" i="11"/>
  <c r="B1526" i="11"/>
  <c r="B1525" i="11"/>
  <c r="B1524" i="11"/>
  <c r="B1523" i="11"/>
  <c r="B1522" i="11"/>
  <c r="B1521" i="11"/>
  <c r="B1520" i="11"/>
  <c r="B1519" i="11"/>
  <c r="B1518" i="11"/>
  <c r="B1517" i="11"/>
  <c r="B1516" i="11"/>
  <c r="B1515" i="11"/>
  <c r="B1514" i="11"/>
  <c r="B1513" i="11"/>
  <c r="B1512" i="11"/>
  <c r="B1511" i="11"/>
  <c r="B1510" i="11"/>
  <c r="B1509" i="11"/>
  <c r="B1508" i="11"/>
  <c r="B1507" i="11"/>
  <c r="B1506" i="11"/>
  <c r="B1505" i="11"/>
  <c r="B1504" i="11"/>
  <c r="B1503" i="11"/>
  <c r="B1502" i="11"/>
  <c r="B1501" i="11"/>
  <c r="B1500" i="11"/>
  <c r="B1499" i="11"/>
  <c r="B1498" i="11"/>
  <c r="B1497" i="11"/>
  <c r="B1496" i="11"/>
  <c r="B1495" i="11"/>
  <c r="B1494" i="11"/>
  <c r="B1493" i="11"/>
  <c r="B1492" i="11"/>
  <c r="B1491" i="11"/>
  <c r="B1490" i="11"/>
  <c r="B1489" i="11"/>
  <c r="B1488" i="11"/>
  <c r="B1487" i="11"/>
  <c r="B1486" i="11"/>
  <c r="B1485" i="11"/>
  <c r="B1484" i="11"/>
  <c r="B1483" i="11"/>
  <c r="B1482" i="11"/>
  <c r="B1481" i="11"/>
  <c r="B1480" i="11"/>
  <c r="B1479" i="11"/>
  <c r="B1478" i="11"/>
  <c r="B1477" i="11"/>
  <c r="B1476" i="11"/>
  <c r="B1475" i="11"/>
  <c r="B1474" i="11"/>
  <c r="B1473" i="11"/>
  <c r="B1472" i="11"/>
  <c r="B1471" i="11"/>
  <c r="B1470" i="11"/>
  <c r="B1469" i="11"/>
  <c r="B1468" i="11"/>
  <c r="B1467" i="11"/>
  <c r="B1466" i="11"/>
  <c r="B1465" i="11"/>
  <c r="B1464" i="11"/>
  <c r="B1463" i="11"/>
  <c r="B1462" i="11"/>
  <c r="B1461" i="11"/>
  <c r="B1460" i="11"/>
  <c r="B1459" i="11"/>
  <c r="B1458" i="11"/>
  <c r="B1457" i="11"/>
  <c r="B1456" i="11"/>
  <c r="B1455" i="11"/>
  <c r="B1454" i="11"/>
  <c r="B1453" i="11"/>
  <c r="B1452" i="11"/>
  <c r="B1451" i="11"/>
  <c r="B1450" i="11"/>
  <c r="B1449" i="11"/>
  <c r="B1448" i="11"/>
  <c r="B1447" i="11"/>
  <c r="B1446" i="11"/>
  <c r="B1445" i="11"/>
  <c r="B1444" i="11"/>
  <c r="B1443" i="11"/>
  <c r="B1442" i="11"/>
  <c r="B1441" i="11"/>
  <c r="B1440" i="11"/>
  <c r="B1439" i="11"/>
  <c r="B1438" i="11"/>
  <c r="B1437" i="11"/>
  <c r="B1436" i="11"/>
  <c r="B1435" i="11"/>
  <c r="B1434" i="11"/>
  <c r="B1433" i="11"/>
  <c r="B1432" i="11"/>
  <c r="B1431" i="11"/>
  <c r="B1430" i="11"/>
  <c r="B1429" i="11"/>
  <c r="B1428" i="11"/>
  <c r="B1427" i="11"/>
  <c r="B1426" i="11"/>
  <c r="B1425" i="11"/>
  <c r="B1424" i="11"/>
  <c r="B1423" i="11"/>
  <c r="B1422" i="11"/>
  <c r="B1421" i="11"/>
  <c r="B1420" i="11"/>
  <c r="B1419" i="11"/>
  <c r="B1418" i="11"/>
  <c r="B1417" i="11"/>
  <c r="B1416" i="11"/>
  <c r="B1415" i="11"/>
  <c r="B1414" i="11"/>
  <c r="B1413" i="11"/>
  <c r="B1412" i="11"/>
  <c r="B1411" i="11"/>
  <c r="B1410" i="11"/>
  <c r="B1409" i="11"/>
  <c r="B1408" i="11"/>
  <c r="B1407" i="11"/>
  <c r="B1406" i="11"/>
  <c r="B1405" i="11"/>
  <c r="B1404" i="11"/>
  <c r="B1403" i="11"/>
  <c r="B1402" i="11"/>
  <c r="B1401" i="11"/>
  <c r="B1400" i="11"/>
  <c r="B1399" i="11"/>
  <c r="B1398" i="11"/>
  <c r="B1397" i="11"/>
  <c r="B1396" i="11"/>
  <c r="B1395" i="11"/>
  <c r="B1394" i="11"/>
  <c r="B1393" i="11"/>
  <c r="B1392" i="11"/>
  <c r="B1391" i="11"/>
  <c r="B1390" i="11"/>
  <c r="B1389" i="11"/>
  <c r="B1388" i="11"/>
  <c r="B1387" i="11"/>
  <c r="B1386" i="11"/>
  <c r="B1385" i="11"/>
  <c r="B1384" i="11"/>
  <c r="B1383" i="11"/>
  <c r="B1382" i="11"/>
  <c r="B1381" i="11"/>
  <c r="B1380" i="11"/>
  <c r="B1379" i="11"/>
  <c r="B1378" i="11"/>
  <c r="B1377" i="11"/>
  <c r="B1376" i="11"/>
  <c r="B1375" i="11"/>
  <c r="B1374" i="11"/>
  <c r="B1373" i="11"/>
  <c r="B1372" i="11"/>
  <c r="B1371" i="11"/>
  <c r="B1370" i="11"/>
  <c r="B1369" i="11"/>
  <c r="B1368" i="11"/>
  <c r="B1367" i="11"/>
  <c r="B1366" i="11"/>
  <c r="B1365" i="11"/>
  <c r="B1364" i="11"/>
  <c r="B1363" i="11"/>
  <c r="B1362" i="11"/>
  <c r="B1361" i="11"/>
  <c r="B1360" i="11"/>
  <c r="B1359" i="11"/>
  <c r="B1358" i="11"/>
  <c r="B1357" i="11"/>
  <c r="B1356" i="11"/>
  <c r="B1355" i="11"/>
  <c r="B1354" i="11"/>
  <c r="B1353" i="11"/>
  <c r="B1352" i="11"/>
  <c r="B1351" i="11"/>
  <c r="B1350" i="11"/>
  <c r="B1349" i="11"/>
  <c r="B1348" i="11"/>
  <c r="B1347" i="11"/>
  <c r="B1346" i="11"/>
  <c r="B1345" i="11"/>
  <c r="B1344" i="11"/>
  <c r="B1343" i="11"/>
  <c r="B1342" i="11"/>
  <c r="B1341" i="11"/>
  <c r="B1340" i="11"/>
  <c r="B1339" i="11"/>
  <c r="B1338" i="11"/>
  <c r="B1337" i="11"/>
  <c r="B1336" i="11"/>
  <c r="B1335" i="11"/>
  <c r="B1334" i="11"/>
  <c r="B1333" i="11"/>
  <c r="B1332" i="11"/>
  <c r="B1331" i="11"/>
  <c r="B1330" i="11"/>
  <c r="B1329" i="11"/>
  <c r="B1328" i="11"/>
  <c r="B1327" i="11"/>
  <c r="B1326" i="11"/>
  <c r="B1325" i="11"/>
  <c r="B1324" i="11"/>
  <c r="B1323" i="11"/>
  <c r="B1322" i="11"/>
  <c r="B1321" i="11"/>
  <c r="B1320" i="11"/>
  <c r="B1319" i="11"/>
  <c r="B1318" i="11"/>
  <c r="B1317" i="11"/>
  <c r="B1316" i="11"/>
  <c r="B1315" i="11"/>
  <c r="B1314" i="11"/>
  <c r="B1313" i="11"/>
  <c r="B1312" i="11"/>
  <c r="B1311" i="11"/>
  <c r="B1310" i="11"/>
  <c r="B1309" i="11"/>
  <c r="B1308" i="11"/>
  <c r="B1307" i="11"/>
  <c r="B1306" i="11"/>
  <c r="B1305" i="11"/>
  <c r="B1304" i="11"/>
  <c r="B1303" i="11"/>
  <c r="B1302" i="11"/>
  <c r="B1301" i="11"/>
  <c r="B1300" i="11"/>
  <c r="B1299" i="11"/>
  <c r="B1298" i="11"/>
  <c r="B1297" i="11"/>
  <c r="B1296" i="11"/>
  <c r="B1295" i="11"/>
  <c r="B1294" i="11"/>
  <c r="B1293" i="11"/>
  <c r="B1292" i="11"/>
  <c r="B1291" i="11"/>
  <c r="B1290" i="11"/>
  <c r="B1289" i="11"/>
  <c r="B1288" i="11"/>
  <c r="B1287" i="11"/>
  <c r="B1286" i="11"/>
  <c r="B1285" i="11"/>
  <c r="B1284" i="11"/>
  <c r="B1283" i="11"/>
  <c r="B1282" i="11"/>
  <c r="B1281" i="11"/>
  <c r="B1280" i="11"/>
  <c r="B1279" i="11"/>
  <c r="B1278" i="11"/>
  <c r="B1277" i="11"/>
  <c r="B1276" i="11"/>
  <c r="B1275" i="11"/>
  <c r="B1274" i="11"/>
  <c r="B1273" i="11"/>
  <c r="B1272" i="11"/>
  <c r="B1271" i="11"/>
  <c r="B1270" i="11"/>
  <c r="B1269" i="11"/>
  <c r="B1268" i="11"/>
  <c r="B1267" i="11"/>
  <c r="B1266" i="11"/>
  <c r="B1265" i="11"/>
  <c r="B1264" i="11"/>
  <c r="B1263" i="11"/>
  <c r="B1262" i="11"/>
  <c r="B1261" i="11"/>
  <c r="B1260" i="11"/>
  <c r="B1259" i="11"/>
  <c r="B1258" i="11"/>
  <c r="B1257" i="11"/>
  <c r="B1256" i="11"/>
  <c r="B1255" i="11"/>
  <c r="B1254" i="11"/>
  <c r="B1253" i="11"/>
  <c r="B1252" i="11"/>
  <c r="B1251" i="11"/>
  <c r="B1250" i="11"/>
  <c r="B1249" i="11"/>
  <c r="B1248" i="11"/>
  <c r="B1247" i="11"/>
  <c r="B1246" i="11"/>
  <c r="B1245" i="11"/>
  <c r="B1244" i="11"/>
  <c r="B1243" i="11"/>
  <c r="B1242" i="11"/>
  <c r="B1241" i="11"/>
  <c r="B1240" i="11"/>
  <c r="B1239" i="11"/>
  <c r="B1238" i="11"/>
  <c r="B1237" i="11"/>
  <c r="B1236" i="11"/>
  <c r="B1235" i="11"/>
  <c r="B1234" i="11"/>
  <c r="B1233" i="11"/>
  <c r="B1232" i="11"/>
  <c r="B1231" i="11"/>
  <c r="B1230" i="11"/>
  <c r="B1229" i="11"/>
  <c r="B1228" i="11"/>
  <c r="B1227" i="11"/>
  <c r="B1226" i="11"/>
  <c r="B1225" i="11"/>
  <c r="B1224" i="11"/>
  <c r="B1223" i="11"/>
  <c r="B1222" i="11"/>
  <c r="B1221" i="11"/>
  <c r="B1220" i="11"/>
  <c r="B1219" i="11"/>
  <c r="B1218" i="11"/>
  <c r="B1217" i="11"/>
  <c r="B1216" i="11"/>
  <c r="B1215" i="11"/>
  <c r="B1214" i="11"/>
  <c r="B1213" i="11"/>
  <c r="B1212" i="11"/>
  <c r="B1211" i="11"/>
  <c r="B1210" i="11"/>
  <c r="B1209" i="11"/>
  <c r="B1208" i="11"/>
  <c r="B1207" i="11"/>
  <c r="B1206" i="11"/>
  <c r="B1205" i="11"/>
  <c r="B1204" i="11"/>
  <c r="B1203" i="11"/>
  <c r="B1202" i="11"/>
  <c r="B1201" i="11"/>
  <c r="B1200" i="11"/>
  <c r="B1199" i="11"/>
  <c r="B1198" i="11"/>
  <c r="B1197" i="11"/>
  <c r="B1196" i="11"/>
  <c r="B1195" i="11"/>
  <c r="B1194" i="11"/>
  <c r="B1193" i="11"/>
  <c r="B1192" i="11"/>
  <c r="B1191" i="11"/>
  <c r="B1190" i="11"/>
  <c r="B1189" i="11"/>
  <c r="B1188" i="11"/>
  <c r="B1187" i="11"/>
  <c r="B1186" i="11"/>
  <c r="B1185" i="11"/>
  <c r="B1184" i="11"/>
  <c r="B1183" i="11"/>
  <c r="B1182" i="11"/>
  <c r="B1181" i="11"/>
  <c r="B1180" i="11"/>
  <c r="B1179" i="11"/>
  <c r="B1178" i="11"/>
  <c r="B1177" i="11"/>
  <c r="B1176" i="11"/>
  <c r="B1175" i="11"/>
  <c r="B1174" i="11"/>
  <c r="B1173" i="11"/>
  <c r="B1172" i="11"/>
  <c r="B1171" i="11"/>
  <c r="B1170" i="11"/>
  <c r="B1169" i="11"/>
  <c r="B1168" i="11"/>
  <c r="B1167" i="11"/>
  <c r="B1166" i="11"/>
  <c r="B1165" i="11"/>
  <c r="B1164" i="11"/>
  <c r="B1163" i="11"/>
  <c r="B1162" i="11"/>
  <c r="B1161" i="11"/>
  <c r="B1160" i="11"/>
  <c r="B1159" i="11"/>
  <c r="B1158" i="11"/>
  <c r="B1157" i="11"/>
  <c r="B1156" i="11"/>
  <c r="B1155" i="11"/>
  <c r="B1154" i="11"/>
  <c r="B1153" i="11"/>
  <c r="B1152" i="11"/>
  <c r="B1151" i="11"/>
  <c r="B1150" i="11"/>
  <c r="B1149" i="11"/>
  <c r="B1148" i="11"/>
  <c r="B1147" i="11"/>
  <c r="B1146" i="11"/>
  <c r="B1145" i="11"/>
  <c r="B1144" i="11"/>
  <c r="B1143" i="11"/>
  <c r="B1142" i="11"/>
  <c r="B1141" i="11"/>
  <c r="B1140" i="11"/>
  <c r="B1139" i="11"/>
  <c r="B1138" i="11"/>
  <c r="B1137" i="11"/>
  <c r="B1136" i="11"/>
  <c r="B1135" i="11"/>
  <c r="B1134" i="11"/>
  <c r="B1133" i="11"/>
  <c r="B1132" i="11"/>
  <c r="B1131" i="11"/>
  <c r="B1130" i="11"/>
  <c r="B1129" i="11"/>
  <c r="B1128" i="11"/>
  <c r="B1127" i="11"/>
  <c r="B1126" i="11"/>
  <c r="B1125" i="11"/>
  <c r="B1124" i="11"/>
  <c r="B1123" i="11"/>
  <c r="B1122" i="11"/>
  <c r="B1121" i="11"/>
  <c r="B1120" i="11"/>
  <c r="B1119" i="11"/>
  <c r="B1118" i="11"/>
  <c r="B1117" i="11"/>
  <c r="B1116" i="11"/>
  <c r="B1115" i="11"/>
  <c r="B1114" i="11"/>
  <c r="B1113" i="11"/>
  <c r="B1112" i="11"/>
  <c r="B1111" i="11"/>
  <c r="B1110" i="11"/>
  <c r="B1109" i="11"/>
  <c r="B1108" i="11"/>
  <c r="B1107" i="11"/>
  <c r="B1106" i="11"/>
  <c r="B1105" i="11"/>
  <c r="B1104" i="11"/>
  <c r="B1103" i="11"/>
  <c r="B1102" i="11"/>
  <c r="B1101" i="11"/>
  <c r="B1100" i="11"/>
  <c r="B1099" i="11"/>
  <c r="B1098" i="11"/>
  <c r="B1097" i="11"/>
  <c r="B1096" i="11"/>
  <c r="B1095" i="11"/>
  <c r="B1094" i="11"/>
  <c r="B1093" i="11"/>
  <c r="B1092" i="11"/>
  <c r="B1091" i="11"/>
  <c r="B1090" i="11"/>
  <c r="B1089" i="11"/>
  <c r="B1088" i="11"/>
  <c r="B1087" i="11"/>
  <c r="B1086" i="11"/>
  <c r="B1085" i="11"/>
  <c r="B1084" i="11"/>
  <c r="B1083" i="11"/>
  <c r="B1082" i="11"/>
  <c r="B1081" i="11"/>
  <c r="B1080" i="11"/>
  <c r="B1079" i="11"/>
  <c r="B1078" i="11"/>
  <c r="B1077" i="11"/>
  <c r="B1076" i="11"/>
  <c r="B1075" i="11"/>
  <c r="B1074" i="11"/>
  <c r="B1073" i="11"/>
  <c r="B1072" i="11"/>
  <c r="B1071" i="11"/>
  <c r="B1070" i="11"/>
  <c r="B1069" i="11"/>
  <c r="B1068" i="11"/>
  <c r="B1067" i="11"/>
  <c r="B1066" i="11"/>
  <c r="B1065" i="11"/>
  <c r="B1064" i="11"/>
  <c r="B1063" i="11"/>
  <c r="B1062" i="11"/>
  <c r="B1061" i="11"/>
  <c r="B1060" i="11"/>
  <c r="B1059" i="11"/>
  <c r="B1058" i="11"/>
  <c r="B1057" i="11"/>
  <c r="B1056" i="11"/>
  <c r="B1055" i="11"/>
  <c r="B1054" i="11"/>
  <c r="B1053" i="11"/>
  <c r="B1052" i="11"/>
  <c r="B1051" i="11"/>
  <c r="B1050" i="11"/>
  <c r="B1049" i="11"/>
  <c r="B1048" i="11"/>
  <c r="B1047" i="11"/>
  <c r="B1046" i="11"/>
  <c r="B1045" i="11"/>
  <c r="B1044" i="11"/>
  <c r="B1043" i="11"/>
  <c r="B1042" i="11"/>
  <c r="B1041" i="11"/>
  <c r="B1040" i="11"/>
  <c r="B1039" i="11"/>
  <c r="B1038" i="11"/>
  <c r="B1037" i="11"/>
  <c r="B1036" i="11"/>
  <c r="B1035" i="11"/>
  <c r="B1034" i="11"/>
  <c r="B1033" i="11"/>
  <c r="B1032" i="11"/>
  <c r="B1031" i="11"/>
  <c r="B1030" i="11"/>
  <c r="B1029" i="11"/>
  <c r="B1028" i="11"/>
  <c r="B1027" i="11"/>
  <c r="B1026" i="11"/>
  <c r="B1025" i="11"/>
  <c r="B1024" i="11"/>
  <c r="B1023" i="11"/>
  <c r="B1022" i="11"/>
  <c r="B1021" i="11"/>
  <c r="B1020" i="11"/>
  <c r="B1019" i="11"/>
  <c r="B1018" i="11"/>
  <c r="B1017" i="11"/>
  <c r="B1016" i="11"/>
  <c r="B1015" i="11"/>
  <c r="B1014" i="11"/>
  <c r="B1013" i="11"/>
  <c r="B1012" i="11"/>
  <c r="B1011" i="11"/>
  <c r="B1010" i="11"/>
  <c r="B1009" i="11"/>
  <c r="B1008" i="11"/>
  <c r="B1007" i="11"/>
  <c r="B1006" i="11"/>
  <c r="B1005" i="11"/>
  <c r="B1004" i="11"/>
  <c r="B1003" i="11"/>
  <c r="B1002" i="11"/>
  <c r="B1001" i="11"/>
  <c r="B1000" i="11"/>
  <c r="B999" i="11"/>
  <c r="B998" i="11"/>
  <c r="B997" i="11"/>
  <c r="B996" i="11"/>
  <c r="B995" i="11"/>
  <c r="B994" i="11"/>
  <c r="B993" i="11"/>
  <c r="B992" i="11"/>
  <c r="B991" i="11"/>
  <c r="B990" i="11"/>
  <c r="B989" i="11"/>
  <c r="B988" i="11"/>
  <c r="B987" i="11"/>
  <c r="B986" i="11"/>
  <c r="B985" i="11"/>
  <c r="B984" i="11"/>
  <c r="B983" i="11"/>
  <c r="B982" i="11"/>
  <c r="B981" i="11"/>
  <c r="B980" i="11"/>
  <c r="B979" i="11"/>
  <c r="B978" i="11"/>
  <c r="B977" i="11"/>
  <c r="B976" i="11"/>
  <c r="B975" i="11"/>
  <c r="B974" i="11"/>
  <c r="B973" i="11"/>
  <c r="B972" i="11"/>
  <c r="B971" i="11"/>
  <c r="B970" i="11"/>
  <c r="B969" i="11"/>
  <c r="B968" i="11"/>
  <c r="B967" i="11"/>
  <c r="B966" i="11"/>
  <c r="B965" i="11"/>
  <c r="B964" i="11"/>
  <c r="B963" i="11"/>
  <c r="B962" i="11"/>
  <c r="B961" i="11"/>
  <c r="B960" i="11"/>
  <c r="B959" i="11"/>
  <c r="B958" i="11"/>
  <c r="B957" i="11"/>
  <c r="B956" i="11"/>
  <c r="B955" i="11"/>
  <c r="B954" i="11"/>
  <c r="B953" i="11"/>
  <c r="B952" i="11"/>
  <c r="B951" i="11"/>
  <c r="B950" i="11"/>
  <c r="B949" i="11"/>
  <c r="B948" i="11"/>
  <c r="B947" i="11"/>
  <c r="B946" i="11"/>
  <c r="B945" i="11"/>
  <c r="B944" i="11"/>
  <c r="B943" i="11"/>
  <c r="B942" i="11"/>
  <c r="B941" i="11"/>
  <c r="B940" i="11"/>
  <c r="B939" i="11"/>
  <c r="B938" i="11"/>
  <c r="B937" i="11"/>
  <c r="B936" i="11"/>
  <c r="B935" i="11"/>
  <c r="B934" i="11"/>
  <c r="B933" i="11"/>
  <c r="B932" i="11"/>
  <c r="B931" i="11"/>
  <c r="B930" i="11"/>
  <c r="B929" i="11"/>
  <c r="B928" i="11"/>
  <c r="B927" i="11"/>
  <c r="B926" i="11"/>
  <c r="B925" i="11"/>
  <c r="B924" i="11"/>
  <c r="B923" i="11"/>
  <c r="B922" i="11"/>
  <c r="B921" i="11"/>
  <c r="B920" i="11"/>
  <c r="B919" i="11"/>
  <c r="B918" i="11"/>
  <c r="B917" i="11"/>
  <c r="B916" i="11"/>
  <c r="B915" i="11"/>
  <c r="B914" i="11"/>
  <c r="B913" i="11"/>
  <c r="B912" i="11"/>
  <c r="B911" i="11"/>
  <c r="B910" i="11"/>
  <c r="B909" i="11"/>
  <c r="B908" i="11"/>
  <c r="B907" i="11"/>
  <c r="B906" i="11"/>
  <c r="B905" i="11"/>
  <c r="B904" i="11"/>
  <c r="B903" i="11"/>
  <c r="B902" i="11"/>
  <c r="B901" i="11"/>
  <c r="B900" i="11"/>
  <c r="B899" i="11"/>
  <c r="B898" i="11"/>
  <c r="B897" i="11"/>
  <c r="B896" i="11"/>
  <c r="B895" i="11"/>
  <c r="B894" i="11"/>
  <c r="B893" i="11"/>
  <c r="B892" i="11"/>
  <c r="B891" i="11"/>
  <c r="B890" i="11"/>
  <c r="B889" i="11"/>
  <c r="B888" i="11"/>
  <c r="B887" i="11"/>
  <c r="B886" i="11"/>
  <c r="B885" i="11"/>
  <c r="B884" i="11"/>
  <c r="B883" i="11"/>
  <c r="B882" i="11"/>
  <c r="B881" i="11"/>
  <c r="B880" i="11"/>
  <c r="B879" i="11"/>
  <c r="B878" i="11"/>
  <c r="B877" i="11"/>
  <c r="B876" i="11"/>
  <c r="B875" i="11"/>
  <c r="B874" i="11"/>
  <c r="B873" i="11"/>
  <c r="B872" i="11"/>
  <c r="B871" i="11"/>
  <c r="B870" i="11"/>
  <c r="B869" i="11"/>
  <c r="B868" i="11"/>
  <c r="B867" i="11"/>
  <c r="B866" i="11"/>
  <c r="B865" i="11"/>
  <c r="B864" i="11"/>
  <c r="B863" i="11"/>
  <c r="B862" i="11"/>
  <c r="B861" i="11"/>
  <c r="B860" i="11"/>
  <c r="B859" i="11"/>
  <c r="B858" i="11"/>
  <c r="B857" i="11"/>
  <c r="B856" i="11"/>
  <c r="B855" i="11"/>
  <c r="B854" i="11"/>
  <c r="B853" i="11"/>
  <c r="B852" i="11"/>
  <c r="B851" i="11"/>
  <c r="B850" i="11"/>
  <c r="B849" i="11"/>
  <c r="B848" i="11"/>
  <c r="B847" i="11"/>
  <c r="B846" i="11"/>
  <c r="B845" i="11"/>
  <c r="B844" i="11"/>
  <c r="B843" i="11"/>
  <c r="B842" i="11"/>
  <c r="B841" i="11"/>
  <c r="B840" i="11"/>
  <c r="B839" i="11"/>
  <c r="B838" i="11"/>
  <c r="B837" i="11"/>
  <c r="B836" i="11"/>
  <c r="B835" i="11"/>
  <c r="B834" i="11"/>
  <c r="B833" i="11"/>
  <c r="B832" i="11"/>
  <c r="B831" i="11"/>
  <c r="B830" i="11"/>
  <c r="B829" i="11"/>
  <c r="B828" i="11"/>
  <c r="B827" i="11"/>
  <c r="B826" i="11"/>
  <c r="B825" i="11"/>
  <c r="B824" i="11"/>
  <c r="B823" i="11"/>
  <c r="B822" i="11"/>
  <c r="B821" i="11"/>
  <c r="B820" i="11"/>
  <c r="B819" i="11"/>
  <c r="B818" i="11"/>
  <c r="B817" i="11"/>
  <c r="B816" i="11"/>
  <c r="B815" i="11"/>
  <c r="B814" i="11"/>
  <c r="B813" i="11"/>
  <c r="B812" i="11"/>
  <c r="B811" i="11"/>
  <c r="B810" i="11"/>
  <c r="B809" i="11"/>
  <c r="B808" i="11"/>
  <c r="B807" i="11"/>
  <c r="B806" i="11"/>
  <c r="B805" i="11"/>
  <c r="B804" i="11"/>
  <c r="B803" i="11"/>
  <c r="B802" i="11"/>
  <c r="B801" i="11"/>
  <c r="B800" i="11"/>
  <c r="B799" i="11"/>
  <c r="B798" i="11"/>
  <c r="B797" i="11"/>
  <c r="B796" i="11"/>
  <c r="B795" i="11"/>
  <c r="B794" i="11"/>
  <c r="B793" i="11"/>
  <c r="B792" i="11"/>
  <c r="B791" i="11"/>
  <c r="B790" i="11"/>
  <c r="B789" i="11"/>
  <c r="B788" i="11"/>
  <c r="B787" i="11"/>
  <c r="B786" i="11"/>
  <c r="B785" i="11"/>
  <c r="B784" i="11"/>
  <c r="B783" i="11"/>
  <c r="B782" i="11"/>
  <c r="B781" i="11"/>
  <c r="B780" i="11"/>
  <c r="B779" i="11"/>
  <c r="B778" i="11"/>
  <c r="B777" i="11"/>
  <c r="B776" i="11"/>
  <c r="B775" i="11"/>
  <c r="B774" i="11"/>
  <c r="B773" i="11"/>
  <c r="B772" i="11"/>
  <c r="B771" i="11"/>
  <c r="B770" i="11"/>
  <c r="B769" i="11"/>
  <c r="B768" i="11"/>
  <c r="B767" i="11"/>
  <c r="B766" i="11"/>
  <c r="B765" i="11"/>
  <c r="B764" i="11"/>
  <c r="B763" i="11"/>
  <c r="B762" i="11"/>
  <c r="B761" i="11"/>
  <c r="B760" i="11"/>
  <c r="B759" i="11"/>
  <c r="B758" i="11"/>
  <c r="B757" i="11"/>
  <c r="B756" i="11"/>
  <c r="B755" i="11"/>
  <c r="B754" i="11"/>
  <c r="B753" i="11"/>
  <c r="B752" i="11"/>
  <c r="B751" i="11"/>
  <c r="B750" i="11"/>
  <c r="B749" i="11"/>
  <c r="B748" i="11"/>
  <c r="B747" i="11"/>
  <c r="B746" i="11"/>
  <c r="B745" i="11"/>
  <c r="B744" i="11"/>
  <c r="B743" i="11"/>
  <c r="B742" i="11"/>
  <c r="B741" i="11"/>
  <c r="B740" i="11"/>
  <c r="B739" i="11"/>
  <c r="B738" i="11"/>
  <c r="B737" i="11"/>
  <c r="B736" i="11"/>
  <c r="B735" i="11"/>
  <c r="B734" i="11"/>
  <c r="B733" i="11"/>
  <c r="B732" i="11"/>
  <c r="B731" i="11"/>
  <c r="B730" i="11"/>
  <c r="B729" i="11"/>
  <c r="B728" i="11"/>
  <c r="B727" i="11"/>
  <c r="B726" i="11"/>
  <c r="B725" i="11"/>
  <c r="B724" i="11"/>
  <c r="B723" i="11"/>
  <c r="B722" i="11"/>
  <c r="B721" i="11"/>
  <c r="B720" i="11"/>
  <c r="B719" i="11"/>
  <c r="B718" i="11"/>
  <c r="B717" i="11"/>
  <c r="B716" i="11"/>
  <c r="B715" i="11"/>
  <c r="B714" i="11"/>
  <c r="B713" i="11"/>
  <c r="B712" i="11"/>
  <c r="B711" i="11"/>
  <c r="B710" i="11"/>
  <c r="B709" i="11"/>
  <c r="B708" i="11"/>
  <c r="B707" i="11"/>
  <c r="B706" i="11"/>
  <c r="B705" i="11"/>
  <c r="B704" i="11"/>
  <c r="B703" i="11"/>
  <c r="B702" i="11"/>
  <c r="B701" i="11"/>
  <c r="B700" i="11"/>
  <c r="B699" i="11"/>
  <c r="B698" i="11"/>
  <c r="B697" i="11"/>
  <c r="B696" i="11"/>
  <c r="B695" i="11"/>
  <c r="B694" i="11"/>
  <c r="B693" i="11"/>
  <c r="B692" i="11"/>
  <c r="B691" i="11"/>
  <c r="B690" i="11"/>
  <c r="B689" i="11"/>
  <c r="B688" i="11"/>
  <c r="B687" i="11"/>
  <c r="B686" i="11"/>
  <c r="B685" i="11"/>
  <c r="B684" i="11"/>
  <c r="B683" i="11"/>
  <c r="B682" i="11"/>
  <c r="B681" i="11"/>
  <c r="B680" i="11"/>
  <c r="B679" i="11"/>
  <c r="B678" i="11"/>
  <c r="B677" i="11"/>
  <c r="B676" i="11"/>
  <c r="B675" i="11"/>
  <c r="B674" i="11"/>
  <c r="B673" i="11"/>
  <c r="B672" i="11"/>
  <c r="B671" i="11"/>
  <c r="B670" i="11"/>
  <c r="B669" i="11"/>
  <c r="B668" i="11"/>
  <c r="B667" i="11"/>
  <c r="B666" i="11"/>
  <c r="B665" i="11"/>
  <c r="B664" i="11"/>
  <c r="B663" i="11"/>
  <c r="B662" i="11"/>
  <c r="B661" i="11"/>
  <c r="B660" i="11"/>
  <c r="B659" i="11"/>
  <c r="B658" i="11"/>
  <c r="B657" i="11"/>
  <c r="B656" i="11"/>
  <c r="B655" i="11"/>
  <c r="B654" i="11"/>
  <c r="B653" i="11"/>
  <c r="B652" i="11"/>
  <c r="B651" i="11"/>
  <c r="B650" i="11"/>
  <c r="B649" i="11"/>
  <c r="B648" i="11"/>
  <c r="B647" i="11"/>
  <c r="B646" i="11"/>
  <c r="B645" i="11"/>
  <c r="B644" i="11"/>
  <c r="B643" i="11"/>
  <c r="B642" i="11"/>
  <c r="B641" i="11"/>
  <c r="B640" i="11"/>
  <c r="B639" i="11"/>
  <c r="B638" i="11"/>
  <c r="B637" i="11"/>
  <c r="B636" i="11"/>
  <c r="B635" i="11"/>
  <c r="B634" i="11"/>
  <c r="B633" i="11"/>
  <c r="B632" i="11"/>
  <c r="B631" i="11"/>
  <c r="B630" i="11"/>
  <c r="B629" i="11"/>
  <c r="B628" i="11"/>
  <c r="B627" i="11"/>
  <c r="B626" i="11"/>
  <c r="B625" i="11"/>
  <c r="B624" i="11"/>
  <c r="B623" i="11"/>
  <c r="B622" i="11"/>
  <c r="B621" i="11"/>
  <c r="B620" i="11"/>
  <c r="B619" i="11"/>
  <c r="B618" i="11"/>
  <c r="B617" i="11"/>
  <c r="B616" i="11"/>
  <c r="B615" i="11"/>
  <c r="B614" i="11"/>
  <c r="B613" i="11"/>
  <c r="B612" i="11"/>
  <c r="B611" i="11"/>
  <c r="B610" i="11"/>
  <c r="B609" i="11"/>
  <c r="B608" i="11"/>
  <c r="B607" i="11"/>
  <c r="B606" i="11"/>
  <c r="B605" i="11"/>
  <c r="B604" i="11"/>
  <c r="B603" i="11"/>
  <c r="B602" i="11"/>
  <c r="B601" i="11"/>
  <c r="B600" i="11"/>
  <c r="B599" i="11"/>
  <c r="B598" i="11"/>
  <c r="B597" i="11"/>
  <c r="B596" i="11"/>
  <c r="B595" i="11"/>
  <c r="B594" i="11"/>
  <c r="B593" i="11"/>
  <c r="B592" i="11"/>
  <c r="B591" i="11"/>
  <c r="B590" i="11"/>
  <c r="B589" i="11"/>
  <c r="B588" i="11"/>
  <c r="B587" i="11"/>
  <c r="B586" i="11"/>
  <c r="B585" i="11"/>
  <c r="B584" i="11"/>
  <c r="B583" i="11"/>
  <c r="B582" i="11"/>
  <c r="B581" i="11"/>
  <c r="B580" i="11"/>
  <c r="B579" i="11"/>
  <c r="B578" i="11"/>
  <c r="B577" i="11"/>
  <c r="B576" i="11"/>
  <c r="B575" i="11"/>
  <c r="B574" i="11"/>
  <c r="B573" i="11"/>
  <c r="B572" i="11"/>
  <c r="B571" i="11"/>
  <c r="B570" i="11"/>
  <c r="B569" i="11"/>
  <c r="B568" i="11"/>
  <c r="B567" i="11"/>
  <c r="B566" i="11"/>
  <c r="B565" i="11"/>
  <c r="B564" i="11"/>
  <c r="B563" i="11"/>
  <c r="B562" i="11"/>
  <c r="B561" i="11"/>
  <c r="B560" i="11"/>
  <c r="B559" i="11"/>
  <c r="B558" i="11"/>
  <c r="B557" i="11"/>
  <c r="B556" i="11"/>
  <c r="B555" i="11"/>
  <c r="B554" i="11"/>
  <c r="B553" i="11"/>
  <c r="B552" i="11"/>
  <c r="B551" i="11"/>
  <c r="B550" i="11"/>
  <c r="B549" i="11"/>
  <c r="B548" i="11"/>
  <c r="B547" i="11"/>
  <c r="B546" i="11"/>
  <c r="B545" i="11"/>
  <c r="B544" i="11"/>
  <c r="B543" i="11"/>
  <c r="B542" i="11"/>
  <c r="B541" i="11"/>
  <c r="B540" i="11"/>
  <c r="B539" i="11"/>
  <c r="B538" i="11"/>
  <c r="B537" i="11"/>
  <c r="B536" i="11"/>
  <c r="B535" i="11"/>
  <c r="B534" i="11"/>
  <c r="B533" i="11"/>
  <c r="B532" i="11"/>
  <c r="B531" i="11"/>
  <c r="B530" i="11"/>
  <c r="B529" i="11"/>
  <c r="B528" i="11"/>
  <c r="B527" i="11"/>
  <c r="B526" i="11"/>
  <c r="B525" i="11"/>
  <c r="B524" i="11"/>
  <c r="B523" i="11"/>
  <c r="B522" i="11"/>
  <c r="B521" i="11"/>
  <c r="B520" i="11"/>
  <c r="B519" i="11"/>
  <c r="B518" i="11"/>
  <c r="B517" i="11"/>
  <c r="B516" i="11"/>
  <c r="B515" i="11"/>
  <c r="B514" i="11"/>
  <c r="B513" i="11"/>
  <c r="B512" i="11"/>
  <c r="B511" i="11"/>
  <c r="B510" i="11"/>
  <c r="B509" i="11"/>
  <c r="B508" i="11"/>
  <c r="B507" i="11"/>
  <c r="B506" i="11"/>
  <c r="B505" i="11"/>
  <c r="B504" i="11"/>
  <c r="B503" i="11"/>
  <c r="B502" i="11"/>
  <c r="B501" i="11"/>
  <c r="B500" i="11"/>
  <c r="B499" i="11"/>
  <c r="B498" i="11"/>
  <c r="B497" i="11"/>
  <c r="B496" i="11"/>
  <c r="B495" i="11"/>
  <c r="B494" i="11"/>
  <c r="B493" i="11"/>
  <c r="B492" i="11"/>
  <c r="B491" i="11"/>
  <c r="B490" i="11"/>
  <c r="B489" i="11"/>
  <c r="B488" i="11"/>
  <c r="B487" i="11"/>
  <c r="B486" i="11"/>
  <c r="B485" i="11"/>
  <c r="B484" i="11"/>
  <c r="B483" i="11"/>
  <c r="B482" i="11"/>
  <c r="B481" i="11"/>
  <c r="B480" i="11"/>
  <c r="B479" i="11"/>
  <c r="B478" i="11"/>
  <c r="B477" i="11"/>
  <c r="B476" i="11"/>
  <c r="B475" i="11"/>
  <c r="B474" i="11"/>
  <c r="B473" i="11"/>
  <c r="B472" i="11"/>
  <c r="B471" i="11"/>
  <c r="B470" i="11"/>
  <c r="B469" i="11"/>
  <c r="B468" i="11"/>
  <c r="B467" i="11"/>
  <c r="B466" i="11"/>
  <c r="B465" i="11"/>
  <c r="B464" i="11"/>
  <c r="B463" i="11"/>
  <c r="B462" i="11"/>
  <c r="B461" i="11"/>
  <c r="B460" i="11"/>
  <c r="B459" i="11"/>
  <c r="B458" i="11"/>
  <c r="B457" i="11"/>
  <c r="B456" i="11"/>
  <c r="B455" i="11"/>
  <c r="B454" i="11"/>
  <c r="B453" i="11"/>
  <c r="B452" i="11"/>
  <c r="B451" i="11"/>
  <c r="B450" i="11"/>
  <c r="B449" i="11"/>
  <c r="B448" i="11"/>
  <c r="B447" i="11"/>
  <c r="B446" i="11"/>
  <c r="B445" i="11"/>
  <c r="B444" i="11"/>
  <c r="B443" i="11"/>
  <c r="B442" i="11"/>
  <c r="B441" i="11"/>
  <c r="B440" i="11"/>
  <c r="B439" i="11"/>
  <c r="B438" i="11"/>
  <c r="B437" i="11"/>
  <c r="B436" i="11"/>
  <c r="B435" i="11"/>
  <c r="B434" i="11"/>
  <c r="B433" i="11"/>
  <c r="B432" i="11"/>
  <c r="B431" i="11"/>
  <c r="B430" i="11"/>
  <c r="B429" i="11"/>
  <c r="B428" i="11"/>
  <c r="B427" i="11"/>
  <c r="B426" i="11"/>
  <c r="B425" i="11"/>
  <c r="B424" i="11"/>
  <c r="B423" i="11"/>
  <c r="B422" i="11"/>
  <c r="B421" i="11"/>
  <c r="B420" i="11"/>
  <c r="B419" i="11"/>
  <c r="B418" i="11"/>
  <c r="B417" i="11"/>
  <c r="B416" i="11"/>
  <c r="B415" i="11"/>
  <c r="B414" i="11"/>
  <c r="B413" i="11"/>
  <c r="B412" i="11"/>
  <c r="B411" i="11"/>
  <c r="B410" i="11"/>
  <c r="B409" i="11"/>
  <c r="B408" i="11"/>
  <c r="B407" i="11"/>
  <c r="B406" i="11"/>
  <c r="B405" i="11"/>
  <c r="B404" i="11"/>
  <c r="B403" i="11"/>
  <c r="B402" i="11"/>
  <c r="B401" i="11"/>
  <c r="B400" i="11"/>
  <c r="B399" i="11"/>
  <c r="B398" i="11"/>
  <c r="B397" i="11"/>
  <c r="B396" i="11"/>
  <c r="B395" i="11"/>
  <c r="B394" i="11"/>
  <c r="B393" i="11"/>
  <c r="B392" i="11"/>
  <c r="B391" i="11"/>
  <c r="B390" i="11"/>
  <c r="B389" i="11"/>
  <c r="B388" i="11"/>
  <c r="B387" i="11"/>
  <c r="B386" i="11"/>
  <c r="B385" i="11"/>
  <c r="B384" i="11"/>
  <c r="B383" i="11"/>
  <c r="B382" i="11"/>
  <c r="B381" i="11"/>
  <c r="B380" i="11"/>
  <c r="B379" i="11"/>
  <c r="B378" i="11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45" i="11"/>
  <c r="B344" i="11"/>
  <c r="B343" i="11"/>
  <c r="B342" i="11"/>
  <c r="B341" i="11"/>
  <c r="B340" i="11"/>
  <c r="B339" i="11"/>
  <c r="B338" i="11"/>
  <c r="B337" i="11"/>
  <c r="B336" i="11"/>
  <c r="B335" i="11"/>
  <c r="B334" i="11"/>
  <c r="B333" i="11"/>
  <c r="B332" i="11"/>
  <c r="B331" i="11"/>
  <c r="B330" i="11"/>
  <c r="B329" i="11"/>
  <c r="B328" i="11"/>
  <c r="B327" i="11"/>
  <c r="B326" i="11"/>
  <c r="B325" i="11"/>
  <c r="B324" i="11"/>
  <c r="B323" i="11"/>
  <c r="B322" i="11"/>
  <c r="B321" i="11"/>
  <c r="B320" i="11"/>
  <c r="B319" i="11"/>
  <c r="B318" i="11"/>
  <c r="B317" i="11"/>
  <c r="B316" i="11"/>
  <c r="B315" i="11"/>
  <c r="B314" i="11"/>
  <c r="B313" i="11"/>
  <c r="B312" i="11"/>
  <c r="B311" i="11"/>
  <c r="B310" i="11"/>
  <c r="B309" i="11"/>
  <c r="B308" i="11"/>
  <c r="B307" i="11"/>
  <c r="B306" i="11"/>
  <c r="B305" i="11"/>
  <c r="B304" i="11"/>
  <c r="B303" i="11"/>
  <c r="B302" i="11"/>
  <c r="B301" i="11"/>
  <c r="B300" i="11"/>
  <c r="B299" i="11"/>
  <c r="B298" i="11"/>
  <c r="B297" i="11"/>
  <c r="B296" i="11"/>
  <c r="B295" i="11"/>
  <c r="B294" i="11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61" i="11"/>
  <c r="B260" i="11"/>
  <c r="B259" i="11"/>
  <c r="B258" i="11"/>
  <c r="B257" i="11"/>
  <c r="B256" i="11"/>
  <c r="B255" i="11"/>
  <c r="B254" i="11"/>
  <c r="B253" i="11"/>
  <c r="B25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19" i="11"/>
  <c r="B218" i="11"/>
  <c r="B217" i="11"/>
  <c r="B216" i="11"/>
  <c r="B215" i="11"/>
  <c r="B214" i="11"/>
  <c r="B213" i="11"/>
  <c r="B212" i="11"/>
  <c r="B211" i="11"/>
  <c r="B21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77" i="11"/>
  <c r="B176" i="11"/>
  <c r="B175" i="11"/>
  <c r="B174" i="11"/>
  <c r="B173" i="11"/>
  <c r="B172" i="11"/>
  <c r="B171" i="11"/>
  <c r="B170" i="11"/>
  <c r="B169" i="11"/>
  <c r="B16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4740" i="10"/>
  <c r="A14740" i="10"/>
  <c r="D14739" i="10"/>
  <c r="A14739" i="10"/>
  <c r="D14738" i="10"/>
  <c r="A14738" i="10"/>
  <c r="D14737" i="10"/>
  <c r="A14737" i="10"/>
  <c r="D14736" i="10"/>
  <c r="A14736" i="10"/>
  <c r="D14735" i="10"/>
  <c r="A14735" i="10"/>
  <c r="D14734" i="10"/>
  <c r="A14734" i="10"/>
  <c r="D14733" i="10"/>
  <c r="A14733" i="10"/>
  <c r="D14732" i="10"/>
  <c r="A14732" i="10"/>
  <c r="D14731" i="10"/>
  <c r="A14731" i="10"/>
  <c r="D14730" i="10"/>
  <c r="A14730" i="10"/>
  <c r="D14729" i="10"/>
  <c r="A14729" i="10"/>
  <c r="D14728" i="10"/>
  <c r="A14728" i="10"/>
  <c r="D14727" i="10"/>
  <c r="A14727" i="10"/>
  <c r="D14726" i="10"/>
  <c r="A14726" i="10"/>
  <c r="D14725" i="10"/>
  <c r="A14725" i="10"/>
  <c r="D14724" i="10"/>
  <c r="A14724" i="10"/>
  <c r="D14723" i="10"/>
  <c r="A14723" i="10"/>
  <c r="D14722" i="10"/>
  <c r="A14722" i="10"/>
  <c r="D14721" i="10"/>
  <c r="A14721" i="10"/>
  <c r="D14720" i="10"/>
  <c r="A14720" i="10"/>
  <c r="D14719" i="10"/>
  <c r="A14719" i="10"/>
  <c r="D14718" i="10"/>
  <c r="A14718" i="10"/>
  <c r="D14717" i="10"/>
  <c r="A14717" i="10"/>
  <c r="D14716" i="10"/>
  <c r="A14716" i="10"/>
  <c r="D14715" i="10"/>
  <c r="A14715" i="10"/>
  <c r="D14714" i="10"/>
  <c r="A14714" i="10"/>
  <c r="D14713" i="10"/>
  <c r="A14713" i="10"/>
  <c r="D14712" i="10"/>
  <c r="A14712" i="10"/>
  <c r="D14711" i="10"/>
  <c r="A14711" i="10"/>
  <c r="D14710" i="10"/>
  <c r="A14710" i="10"/>
  <c r="D14709" i="10"/>
  <c r="A14709" i="10"/>
  <c r="D14708" i="10"/>
  <c r="A14708" i="10"/>
  <c r="D14707" i="10"/>
  <c r="A14707" i="10"/>
  <c r="D14706" i="10"/>
  <c r="A14706" i="10"/>
  <c r="D14705" i="10"/>
  <c r="A14705" i="10"/>
  <c r="D14704" i="10"/>
  <c r="A14704" i="10"/>
  <c r="D14703" i="10"/>
  <c r="A14703" i="10"/>
  <c r="D14702" i="10"/>
  <c r="A14702" i="10"/>
  <c r="D14701" i="10"/>
  <c r="A14701" i="10"/>
  <c r="D14700" i="10"/>
  <c r="A14700" i="10"/>
  <c r="D14699" i="10"/>
  <c r="A14699" i="10"/>
  <c r="D14698" i="10"/>
  <c r="A14698" i="10"/>
  <c r="D14697" i="10"/>
  <c r="A14697" i="10"/>
  <c r="D14696" i="10"/>
  <c r="A14696" i="10"/>
  <c r="D14695" i="10"/>
  <c r="A14695" i="10"/>
  <c r="D14694" i="10"/>
  <c r="A14694" i="10"/>
  <c r="D14693" i="10"/>
  <c r="A14693" i="10"/>
  <c r="D14692" i="10"/>
  <c r="A14692" i="10"/>
  <c r="D14691" i="10"/>
  <c r="A14691" i="10"/>
  <c r="D14690" i="10"/>
  <c r="A14690" i="10"/>
  <c r="D14689" i="10"/>
  <c r="A14689" i="10"/>
  <c r="D14688" i="10"/>
  <c r="A14688" i="10"/>
  <c r="D14687" i="10"/>
  <c r="A14687" i="10"/>
  <c r="D14686" i="10"/>
  <c r="A14686" i="10"/>
  <c r="D14685" i="10"/>
  <c r="A14685" i="10"/>
  <c r="D14684" i="10"/>
  <c r="A14684" i="10"/>
  <c r="D14683" i="10"/>
  <c r="A14683" i="10"/>
  <c r="D14682" i="10"/>
  <c r="A14682" i="10"/>
  <c r="D14681" i="10"/>
  <c r="A14681" i="10"/>
  <c r="D14680" i="10"/>
  <c r="A14680" i="10"/>
  <c r="D14679" i="10"/>
  <c r="A14679" i="10"/>
  <c r="D14678" i="10"/>
  <c r="A14678" i="10"/>
  <c r="D14677" i="10"/>
  <c r="A14677" i="10"/>
  <c r="D14676" i="10"/>
  <c r="A14676" i="10"/>
  <c r="D14675" i="10"/>
  <c r="A14675" i="10"/>
  <c r="D14674" i="10"/>
  <c r="A14674" i="10"/>
  <c r="D14673" i="10"/>
  <c r="A14673" i="10"/>
  <c r="D14672" i="10"/>
  <c r="A14672" i="10"/>
  <c r="D14671" i="10"/>
  <c r="A14671" i="10"/>
  <c r="D14670" i="10"/>
  <c r="A14670" i="10"/>
  <c r="D14669" i="10"/>
  <c r="A14669" i="10"/>
  <c r="D14668" i="10"/>
  <c r="A14668" i="10"/>
  <c r="D14667" i="10"/>
  <c r="A14667" i="10"/>
  <c r="D14666" i="10"/>
  <c r="A14666" i="10"/>
  <c r="D14665" i="10"/>
  <c r="A14665" i="10"/>
  <c r="D14664" i="10"/>
  <c r="A14664" i="10"/>
  <c r="D14663" i="10"/>
  <c r="A14663" i="10"/>
  <c r="D14662" i="10"/>
  <c r="A14662" i="10"/>
  <c r="D14661" i="10"/>
  <c r="A14661" i="10"/>
  <c r="D14660" i="10"/>
  <c r="A14660" i="10"/>
  <c r="D14659" i="10"/>
  <c r="A14659" i="10"/>
  <c r="D14658" i="10"/>
  <c r="A14658" i="10"/>
  <c r="D14657" i="10"/>
  <c r="A14657" i="10"/>
  <c r="D14656" i="10"/>
  <c r="A14656" i="10"/>
  <c r="D14655" i="10"/>
  <c r="A14655" i="10"/>
  <c r="D14654" i="10"/>
  <c r="A14654" i="10"/>
  <c r="D14653" i="10"/>
  <c r="A14653" i="10"/>
  <c r="D14652" i="10"/>
  <c r="A14652" i="10"/>
  <c r="D14651" i="10"/>
  <c r="A14651" i="10"/>
  <c r="D14650" i="10"/>
  <c r="A14650" i="10"/>
  <c r="D14649" i="10"/>
  <c r="A14649" i="10"/>
  <c r="D14648" i="10"/>
  <c r="A14648" i="10"/>
  <c r="D14647" i="10"/>
  <c r="A14647" i="10"/>
  <c r="D14646" i="10"/>
  <c r="A14646" i="10"/>
  <c r="D14645" i="10"/>
  <c r="A14645" i="10"/>
  <c r="D14644" i="10"/>
  <c r="A14644" i="10"/>
  <c r="D14643" i="10"/>
  <c r="A14643" i="10"/>
  <c r="D14642" i="10"/>
  <c r="A14642" i="10"/>
  <c r="D14641" i="10"/>
  <c r="A14641" i="10"/>
  <c r="D14640" i="10"/>
  <c r="A14640" i="10"/>
  <c r="D14639" i="10"/>
  <c r="A14639" i="10"/>
  <c r="D14638" i="10"/>
  <c r="A14638" i="10"/>
  <c r="D14637" i="10"/>
  <c r="A14637" i="10"/>
  <c r="D14636" i="10"/>
  <c r="A14636" i="10"/>
  <c r="D14635" i="10"/>
  <c r="A14635" i="10"/>
  <c r="D14634" i="10"/>
  <c r="A14634" i="10"/>
  <c r="D14633" i="10"/>
  <c r="A14633" i="10"/>
  <c r="D14632" i="10"/>
  <c r="A14632" i="10"/>
  <c r="D14631" i="10"/>
  <c r="A14631" i="10"/>
  <c r="D14630" i="10"/>
  <c r="A14630" i="10"/>
  <c r="D14629" i="10"/>
  <c r="A14629" i="10"/>
  <c r="D14628" i="10"/>
  <c r="A14628" i="10"/>
  <c r="D14627" i="10"/>
  <c r="A14627" i="10"/>
  <c r="D14626" i="10"/>
  <c r="A14626" i="10"/>
  <c r="D14625" i="10"/>
  <c r="A14625" i="10"/>
  <c r="D14624" i="10"/>
  <c r="A14624" i="10"/>
  <c r="D14623" i="10"/>
  <c r="A14623" i="10"/>
  <c r="D14622" i="10"/>
  <c r="A14622" i="10"/>
  <c r="D14621" i="10"/>
  <c r="A14621" i="10"/>
  <c r="D14620" i="10"/>
  <c r="A14620" i="10"/>
  <c r="D14619" i="10"/>
  <c r="A14619" i="10"/>
  <c r="D14618" i="10"/>
  <c r="A14618" i="10"/>
  <c r="D14617" i="10"/>
  <c r="A14617" i="10"/>
  <c r="D14616" i="10"/>
  <c r="A14616" i="10"/>
  <c r="D14615" i="10"/>
  <c r="A14615" i="10"/>
  <c r="D14614" i="10"/>
  <c r="A14614" i="10"/>
  <c r="D14613" i="10"/>
  <c r="A14613" i="10"/>
  <c r="D14612" i="10"/>
  <c r="A14612" i="10"/>
  <c r="D14611" i="10"/>
  <c r="A14611" i="10"/>
  <c r="D14610" i="10"/>
  <c r="A14610" i="10"/>
  <c r="D14609" i="10"/>
  <c r="A14609" i="10"/>
  <c r="D14608" i="10"/>
  <c r="A14608" i="10"/>
  <c r="D14607" i="10"/>
  <c r="A14607" i="10"/>
  <c r="D14606" i="10"/>
  <c r="A14606" i="10"/>
  <c r="D14605" i="10"/>
  <c r="A14605" i="10"/>
  <c r="D14604" i="10"/>
  <c r="A14604" i="10"/>
  <c r="D14603" i="10"/>
  <c r="A14603" i="10"/>
  <c r="D14602" i="10"/>
  <c r="A14602" i="10"/>
  <c r="D14601" i="10"/>
  <c r="A14601" i="10"/>
  <c r="D14600" i="10"/>
  <c r="A14600" i="10"/>
  <c r="D14599" i="10"/>
  <c r="A14599" i="10"/>
  <c r="D14598" i="10"/>
  <c r="A14598" i="10"/>
  <c r="D14597" i="10"/>
  <c r="A14597" i="10"/>
  <c r="D14596" i="10"/>
  <c r="A14596" i="10"/>
  <c r="D14595" i="10"/>
  <c r="A14595" i="10"/>
  <c r="D14594" i="10"/>
  <c r="A14594" i="10"/>
  <c r="D14593" i="10"/>
  <c r="A14593" i="10"/>
  <c r="D14592" i="10"/>
  <c r="A14592" i="10"/>
  <c r="D14591" i="10"/>
  <c r="A14591" i="10"/>
  <c r="D14590" i="10"/>
  <c r="A14590" i="10"/>
  <c r="D14589" i="10"/>
  <c r="A14589" i="10"/>
  <c r="D14588" i="10"/>
  <c r="A14588" i="10"/>
  <c r="D14587" i="10"/>
  <c r="A14587" i="10"/>
  <c r="D14586" i="10"/>
  <c r="A14586" i="10"/>
  <c r="D14585" i="10"/>
  <c r="A14585" i="10"/>
  <c r="D14584" i="10"/>
  <c r="A14584" i="10"/>
  <c r="D14583" i="10"/>
  <c r="A14583" i="10"/>
  <c r="D14582" i="10"/>
  <c r="A14582" i="10"/>
  <c r="D14581" i="10"/>
  <c r="A14581" i="10"/>
  <c r="D14580" i="10"/>
  <c r="A14580" i="10"/>
  <c r="D14579" i="10"/>
  <c r="A14579" i="10"/>
  <c r="D14578" i="10"/>
  <c r="A14578" i="10"/>
  <c r="D14577" i="10"/>
  <c r="A14577" i="10"/>
  <c r="D14576" i="10"/>
  <c r="A14576" i="10"/>
  <c r="D14575" i="10"/>
  <c r="A14575" i="10"/>
  <c r="D14574" i="10"/>
  <c r="A14574" i="10"/>
  <c r="D14573" i="10"/>
  <c r="A14573" i="10"/>
  <c r="D14572" i="10"/>
  <c r="A14572" i="10"/>
  <c r="D14571" i="10"/>
  <c r="A14571" i="10"/>
  <c r="D14570" i="10"/>
  <c r="A14570" i="10"/>
  <c r="D14569" i="10"/>
  <c r="A14569" i="10"/>
  <c r="D14568" i="10"/>
  <c r="A14568" i="10"/>
  <c r="D14567" i="10"/>
  <c r="A14567" i="10"/>
  <c r="D14566" i="10"/>
  <c r="A14566" i="10"/>
  <c r="D14565" i="10"/>
  <c r="A14565" i="10"/>
  <c r="D14564" i="10"/>
  <c r="A14564" i="10"/>
  <c r="D14563" i="10"/>
  <c r="A14563" i="10"/>
  <c r="D14562" i="10"/>
  <c r="A14562" i="10"/>
  <c r="D14561" i="10"/>
  <c r="A14561" i="10"/>
  <c r="D14560" i="10"/>
  <c r="A14560" i="10"/>
  <c r="D14559" i="10"/>
  <c r="A14559" i="10"/>
  <c r="D14558" i="10"/>
  <c r="A14558" i="10"/>
  <c r="D14557" i="10"/>
  <c r="A14557" i="10"/>
  <c r="D14556" i="10"/>
  <c r="A14556" i="10"/>
  <c r="D14555" i="10"/>
  <c r="A14555" i="10"/>
  <c r="D14554" i="10"/>
  <c r="A14554" i="10"/>
  <c r="D14553" i="10"/>
  <c r="A14553" i="10"/>
  <c r="D14552" i="10"/>
  <c r="A14552" i="10"/>
  <c r="D14551" i="10"/>
  <c r="A14551" i="10"/>
  <c r="D14550" i="10"/>
  <c r="A14550" i="10"/>
  <c r="D14549" i="10"/>
  <c r="A14549" i="10"/>
  <c r="D14548" i="10"/>
  <c r="A14548" i="10"/>
  <c r="D14547" i="10"/>
  <c r="A14547" i="10"/>
  <c r="D14546" i="10"/>
  <c r="A14546" i="10"/>
  <c r="D14545" i="10"/>
  <c r="A14545" i="10"/>
  <c r="D14544" i="10"/>
  <c r="A14544" i="10"/>
  <c r="D14543" i="10"/>
  <c r="A14543" i="10"/>
  <c r="D14542" i="10"/>
  <c r="A14542" i="10"/>
  <c r="D14541" i="10"/>
  <c r="A14541" i="10"/>
  <c r="D14540" i="10"/>
  <c r="A14540" i="10"/>
  <c r="D14539" i="10"/>
  <c r="A14539" i="10"/>
  <c r="D14538" i="10"/>
  <c r="A14538" i="10"/>
  <c r="D14537" i="10"/>
  <c r="A14537" i="10"/>
  <c r="D14536" i="10"/>
  <c r="A14536" i="10"/>
  <c r="D14535" i="10"/>
  <c r="A14535" i="10"/>
  <c r="D14534" i="10"/>
  <c r="A14534" i="10"/>
  <c r="D14533" i="10"/>
  <c r="A14533" i="10"/>
  <c r="D14532" i="10"/>
  <c r="A14532" i="10"/>
  <c r="D14531" i="10"/>
  <c r="A14531" i="10"/>
  <c r="D14530" i="10"/>
  <c r="A14530" i="10"/>
  <c r="D14529" i="10"/>
  <c r="A14529" i="10"/>
  <c r="D14528" i="10"/>
  <c r="A14528" i="10"/>
  <c r="D14527" i="10"/>
  <c r="A14527" i="10"/>
  <c r="D14526" i="10"/>
  <c r="A14526" i="10"/>
  <c r="D14525" i="10"/>
  <c r="A14525" i="10"/>
  <c r="D14524" i="10"/>
  <c r="A14524" i="10"/>
  <c r="D14523" i="10"/>
  <c r="A14523" i="10"/>
  <c r="D14522" i="10"/>
  <c r="A14522" i="10"/>
  <c r="D14521" i="10"/>
  <c r="A14521" i="10"/>
  <c r="D14520" i="10"/>
  <c r="A14520" i="10"/>
  <c r="D14519" i="10"/>
  <c r="A14519" i="10"/>
  <c r="D14518" i="10"/>
  <c r="A14518" i="10"/>
  <c r="D14517" i="10"/>
  <c r="A14517" i="10"/>
  <c r="D14516" i="10"/>
  <c r="A14516" i="10"/>
  <c r="D14515" i="10"/>
  <c r="A14515" i="10"/>
  <c r="D14514" i="10"/>
  <c r="A14514" i="10"/>
  <c r="D14513" i="10"/>
  <c r="A14513" i="10"/>
  <c r="D14512" i="10"/>
  <c r="A14512" i="10"/>
  <c r="D14511" i="10"/>
  <c r="A14511" i="10"/>
  <c r="D14510" i="10"/>
  <c r="A14510" i="10"/>
  <c r="D14509" i="10"/>
  <c r="A14509" i="10"/>
  <c r="D14508" i="10"/>
  <c r="A14508" i="10"/>
  <c r="D14507" i="10"/>
  <c r="A14507" i="10"/>
  <c r="D14506" i="10"/>
  <c r="A14506" i="10"/>
  <c r="D14505" i="10"/>
  <c r="A14505" i="10"/>
  <c r="D14504" i="10"/>
  <c r="A14504" i="10"/>
  <c r="D14503" i="10"/>
  <c r="A14503" i="10"/>
  <c r="D14502" i="10"/>
  <c r="A14502" i="10"/>
  <c r="D14501" i="10"/>
  <c r="A14501" i="10"/>
  <c r="D14500" i="10"/>
  <c r="A14500" i="10"/>
  <c r="D14499" i="10"/>
  <c r="A14499" i="10"/>
  <c r="D14498" i="10"/>
  <c r="A14498" i="10"/>
  <c r="D14497" i="10"/>
  <c r="A14497" i="10"/>
  <c r="D14496" i="10"/>
  <c r="A14496" i="10"/>
  <c r="D14495" i="10"/>
  <c r="A14495" i="10"/>
  <c r="D14494" i="10"/>
  <c r="A14494" i="10"/>
  <c r="D14493" i="10"/>
  <c r="A14493" i="10"/>
  <c r="D14492" i="10"/>
  <c r="A14492" i="10"/>
  <c r="D14491" i="10"/>
  <c r="A14491" i="10"/>
  <c r="D14490" i="10"/>
  <c r="A14490" i="10"/>
  <c r="D14489" i="10"/>
  <c r="A14489" i="10"/>
  <c r="D14488" i="10"/>
  <c r="A14488" i="10"/>
  <c r="D14487" i="10"/>
  <c r="A14487" i="10"/>
  <c r="D14486" i="10"/>
  <c r="A14486" i="10"/>
  <c r="D14485" i="10"/>
  <c r="A14485" i="10"/>
  <c r="D14484" i="10"/>
  <c r="A14484" i="10"/>
  <c r="D14483" i="10"/>
  <c r="A14483" i="10"/>
  <c r="D14482" i="10"/>
  <c r="A14482" i="10"/>
  <c r="D14481" i="10"/>
  <c r="A14481" i="10"/>
  <c r="D14480" i="10"/>
  <c r="A14480" i="10"/>
  <c r="D14479" i="10"/>
  <c r="A14479" i="10"/>
  <c r="D14478" i="10"/>
  <c r="A14478" i="10"/>
  <c r="D14477" i="10"/>
  <c r="A14477" i="10"/>
  <c r="D14476" i="10"/>
  <c r="A14476" i="10"/>
  <c r="D14475" i="10"/>
  <c r="A14475" i="10"/>
  <c r="D14474" i="10"/>
  <c r="A14474" i="10"/>
  <c r="D14473" i="10"/>
  <c r="A14473" i="10"/>
  <c r="D14472" i="10"/>
  <c r="A14472" i="10"/>
  <c r="D14471" i="10"/>
  <c r="A14471" i="10"/>
  <c r="D14470" i="10"/>
  <c r="A14470" i="10"/>
  <c r="D14469" i="10"/>
  <c r="A14469" i="10"/>
  <c r="D14468" i="10"/>
  <c r="A14468" i="10"/>
  <c r="D14467" i="10"/>
  <c r="A14467" i="10"/>
  <c r="D14466" i="10"/>
  <c r="A14466" i="10"/>
  <c r="D14465" i="10"/>
  <c r="A14465" i="10"/>
  <c r="D14464" i="10"/>
  <c r="A14464" i="10"/>
  <c r="D14463" i="10"/>
  <c r="A14463" i="10"/>
  <c r="D14462" i="10"/>
  <c r="A14462" i="10"/>
  <c r="D14461" i="10"/>
  <c r="A14461" i="10"/>
  <c r="D14460" i="10"/>
  <c r="A14460" i="10"/>
  <c r="D14459" i="10"/>
  <c r="A14459" i="10"/>
  <c r="D14458" i="10"/>
  <c r="A14458" i="10"/>
  <c r="D14457" i="10"/>
  <c r="A14457" i="10"/>
  <c r="D14456" i="10"/>
  <c r="A14456" i="10"/>
  <c r="D14455" i="10"/>
  <c r="A14455" i="10"/>
  <c r="D14454" i="10"/>
  <c r="A14454" i="10"/>
  <c r="D14453" i="10"/>
  <c r="A14453" i="10"/>
  <c r="D14452" i="10"/>
  <c r="A14452" i="10"/>
  <c r="D14451" i="10"/>
  <c r="A14451" i="10"/>
  <c r="D14450" i="10"/>
  <c r="A14450" i="10"/>
  <c r="D14449" i="10"/>
  <c r="A14449" i="10"/>
  <c r="D14448" i="10"/>
  <c r="A14448" i="10"/>
  <c r="D14447" i="10"/>
  <c r="A14447" i="10"/>
  <c r="D14446" i="10"/>
  <c r="A14446" i="10"/>
  <c r="D14445" i="10"/>
  <c r="A14445" i="10"/>
  <c r="D14444" i="10"/>
  <c r="A14444" i="10"/>
  <c r="D14443" i="10"/>
  <c r="A14443" i="10"/>
  <c r="D14442" i="10"/>
  <c r="A14442" i="10"/>
  <c r="D14441" i="10"/>
  <c r="A14441" i="10"/>
  <c r="D14440" i="10"/>
  <c r="A14440" i="10"/>
  <c r="D14439" i="10"/>
  <c r="A14439" i="10"/>
  <c r="D14438" i="10"/>
  <c r="A14438" i="10"/>
  <c r="D14437" i="10"/>
  <c r="A14437" i="10"/>
  <c r="D14436" i="10"/>
  <c r="A14436" i="10"/>
  <c r="D14435" i="10"/>
  <c r="A14435" i="10"/>
  <c r="D14434" i="10"/>
  <c r="A14434" i="10"/>
  <c r="D14433" i="10"/>
  <c r="A14433" i="10"/>
  <c r="D14432" i="10"/>
  <c r="A14432" i="10"/>
  <c r="D14431" i="10"/>
  <c r="A14431" i="10"/>
  <c r="D14430" i="10"/>
  <c r="A14430" i="10"/>
  <c r="D14429" i="10"/>
  <c r="A14429" i="10"/>
  <c r="D14428" i="10"/>
  <c r="A14428" i="10"/>
  <c r="D14427" i="10"/>
  <c r="A14427" i="10"/>
  <c r="D14426" i="10"/>
  <c r="A14426" i="10"/>
  <c r="D14425" i="10"/>
  <c r="A14425" i="10"/>
  <c r="D14424" i="10"/>
  <c r="A14424" i="10"/>
  <c r="D14423" i="10"/>
  <c r="A14423" i="10"/>
  <c r="D14422" i="10"/>
  <c r="A14422" i="10"/>
  <c r="D14421" i="10"/>
  <c r="A14421" i="10"/>
  <c r="D14420" i="10"/>
  <c r="A14420" i="10"/>
  <c r="D14419" i="10"/>
  <c r="A14419" i="10"/>
  <c r="D14418" i="10"/>
  <c r="A14418" i="10"/>
  <c r="D14417" i="10"/>
  <c r="A14417" i="10"/>
  <c r="D14416" i="10"/>
  <c r="A14416" i="10"/>
  <c r="D14415" i="10"/>
  <c r="A14415" i="10"/>
  <c r="D14414" i="10"/>
  <c r="A14414" i="10"/>
  <c r="D14413" i="10"/>
  <c r="A14413" i="10"/>
  <c r="D14412" i="10"/>
  <c r="A14412" i="10"/>
  <c r="D14411" i="10"/>
  <c r="A14411" i="10"/>
  <c r="D14410" i="10"/>
  <c r="A14410" i="10"/>
  <c r="D14409" i="10"/>
  <c r="A14409" i="10"/>
  <c r="D14408" i="10"/>
  <c r="A14408" i="10"/>
  <c r="D14407" i="10"/>
  <c r="A14407" i="10"/>
  <c r="D14406" i="10"/>
  <c r="A14406" i="10"/>
  <c r="D14405" i="10"/>
  <c r="A14405" i="10"/>
  <c r="D14404" i="10"/>
  <c r="A14404" i="10"/>
  <c r="D14403" i="10"/>
  <c r="A14403" i="10"/>
  <c r="D14402" i="10"/>
  <c r="A14402" i="10"/>
  <c r="D14401" i="10"/>
  <c r="A14401" i="10"/>
  <c r="D14400" i="10"/>
  <c r="A14400" i="10"/>
  <c r="D14399" i="10"/>
  <c r="A14399" i="10"/>
  <c r="D14398" i="10"/>
  <c r="A14398" i="10"/>
  <c r="D14397" i="10"/>
  <c r="A14397" i="10"/>
  <c r="D14396" i="10"/>
  <c r="A14396" i="10"/>
  <c r="D14395" i="10"/>
  <c r="A14395" i="10"/>
  <c r="D14394" i="10"/>
  <c r="A14394" i="10"/>
  <c r="D14393" i="10"/>
  <c r="A14393" i="10"/>
  <c r="D14392" i="10"/>
  <c r="A14392" i="10"/>
  <c r="D14391" i="10"/>
  <c r="A14391" i="10"/>
  <c r="D14390" i="10"/>
  <c r="A14390" i="10"/>
  <c r="D14389" i="10"/>
  <c r="A14389" i="10"/>
  <c r="D14388" i="10"/>
  <c r="A14388" i="10"/>
  <c r="D14387" i="10"/>
  <c r="A14387" i="10"/>
  <c r="D14386" i="10"/>
  <c r="A14386" i="10"/>
  <c r="D14385" i="10"/>
  <c r="A14385" i="10"/>
  <c r="D14384" i="10"/>
  <c r="A14384" i="10"/>
  <c r="D14383" i="10"/>
  <c r="A14383" i="10"/>
  <c r="D14382" i="10"/>
  <c r="A14382" i="10"/>
  <c r="D14381" i="10"/>
  <c r="A14381" i="10"/>
  <c r="D14380" i="10"/>
  <c r="A14380" i="10"/>
  <c r="D14379" i="10"/>
  <c r="A14379" i="10"/>
  <c r="D14378" i="10"/>
  <c r="A14378" i="10"/>
  <c r="D14377" i="10"/>
  <c r="A14377" i="10"/>
  <c r="D14376" i="10"/>
  <c r="A14376" i="10"/>
  <c r="D14375" i="10"/>
  <c r="A14375" i="10"/>
  <c r="D14374" i="10"/>
  <c r="A14374" i="10"/>
  <c r="D14373" i="10"/>
  <c r="A14373" i="10"/>
  <c r="D14372" i="10"/>
  <c r="A14372" i="10"/>
  <c r="D14371" i="10"/>
  <c r="A14371" i="10"/>
  <c r="D14370" i="10"/>
  <c r="A14370" i="10"/>
  <c r="D14369" i="10"/>
  <c r="A14369" i="10"/>
  <c r="D14368" i="10"/>
  <c r="A14368" i="10"/>
  <c r="D14367" i="10"/>
  <c r="A14367" i="10"/>
  <c r="D14366" i="10"/>
  <c r="A14366" i="10"/>
  <c r="D14365" i="10"/>
  <c r="A14365" i="10"/>
  <c r="D14364" i="10"/>
  <c r="A14364" i="10"/>
  <c r="D14363" i="10"/>
  <c r="A14363" i="10"/>
  <c r="D14362" i="10"/>
  <c r="A14362" i="10"/>
  <c r="D14361" i="10"/>
  <c r="A14361" i="10"/>
  <c r="D14360" i="10"/>
  <c r="A14360" i="10"/>
  <c r="D14359" i="10"/>
  <c r="A14359" i="10"/>
  <c r="D14358" i="10"/>
  <c r="A14358" i="10"/>
  <c r="D14357" i="10"/>
  <c r="A14357" i="10"/>
  <c r="D14356" i="10"/>
  <c r="A14356" i="10"/>
  <c r="D14355" i="10"/>
  <c r="A14355" i="10"/>
  <c r="D14354" i="10"/>
  <c r="A14354" i="10"/>
  <c r="D14353" i="10"/>
  <c r="A14353" i="10"/>
  <c r="D14352" i="10"/>
  <c r="A14352" i="10"/>
  <c r="D14351" i="10"/>
  <c r="A14351" i="10"/>
  <c r="D14350" i="10"/>
  <c r="A14350" i="10"/>
  <c r="D14349" i="10"/>
  <c r="A14349" i="10"/>
  <c r="D14348" i="10"/>
  <c r="A14348" i="10"/>
  <c r="D14347" i="10"/>
  <c r="A14347" i="10"/>
  <c r="D14346" i="10"/>
  <c r="A14346" i="10"/>
  <c r="D14345" i="10"/>
  <c r="A14345" i="10"/>
  <c r="D14344" i="10"/>
  <c r="A14344" i="10"/>
  <c r="D14343" i="10"/>
  <c r="A14343" i="10"/>
  <c r="D14342" i="10"/>
  <c r="A14342" i="10"/>
  <c r="D14341" i="10"/>
  <c r="A14341" i="10"/>
  <c r="D14340" i="10"/>
  <c r="A14340" i="10"/>
  <c r="D14339" i="10"/>
  <c r="A14339" i="10"/>
  <c r="D14338" i="10"/>
  <c r="A14338" i="10"/>
  <c r="D14337" i="10"/>
  <c r="A14337" i="10"/>
  <c r="D14336" i="10"/>
  <c r="A14336" i="10"/>
  <c r="D14335" i="10"/>
  <c r="A14335" i="10"/>
  <c r="D14334" i="10"/>
  <c r="A14334" i="10"/>
  <c r="D14333" i="10"/>
  <c r="A14333" i="10"/>
  <c r="D14332" i="10"/>
  <c r="A14332" i="10"/>
  <c r="D14331" i="10"/>
  <c r="A14331" i="10"/>
  <c r="D14330" i="10"/>
  <c r="A14330" i="10"/>
  <c r="D14329" i="10"/>
  <c r="A14329" i="10"/>
  <c r="D14328" i="10"/>
  <c r="A14328" i="10"/>
  <c r="D14327" i="10"/>
  <c r="A14327" i="10"/>
  <c r="D14326" i="10"/>
  <c r="A14326" i="10"/>
  <c r="D14325" i="10"/>
  <c r="A14325" i="10"/>
  <c r="D14324" i="10"/>
  <c r="A14324" i="10"/>
  <c r="D14323" i="10"/>
  <c r="A14323" i="10"/>
  <c r="D14322" i="10"/>
  <c r="A14322" i="10"/>
  <c r="D14321" i="10"/>
  <c r="A14321" i="10"/>
  <c r="D14320" i="10"/>
  <c r="A14320" i="10"/>
  <c r="D14319" i="10"/>
  <c r="A14319" i="10"/>
  <c r="D14318" i="10"/>
  <c r="A14318" i="10"/>
  <c r="D14317" i="10"/>
  <c r="A14317" i="10"/>
  <c r="D14316" i="10"/>
  <c r="A14316" i="10"/>
  <c r="D14315" i="10"/>
  <c r="A14315" i="10"/>
  <c r="D14314" i="10"/>
  <c r="A14314" i="10"/>
  <c r="D14313" i="10"/>
  <c r="A14313" i="10"/>
  <c r="D14312" i="10"/>
  <c r="A14312" i="10"/>
  <c r="D14311" i="10"/>
  <c r="A14311" i="10"/>
  <c r="D14310" i="10"/>
  <c r="A14310" i="10"/>
  <c r="D14309" i="10"/>
  <c r="A14309" i="10"/>
  <c r="D14308" i="10"/>
  <c r="A14308" i="10"/>
  <c r="D14307" i="10"/>
  <c r="A14307" i="10"/>
  <c r="D14306" i="10"/>
  <c r="A14306" i="10"/>
  <c r="D14305" i="10"/>
  <c r="A14305" i="10"/>
  <c r="D14304" i="10"/>
  <c r="A14304" i="10"/>
  <c r="D14303" i="10"/>
  <c r="A14303" i="10"/>
  <c r="D14302" i="10"/>
  <c r="A14302" i="10"/>
  <c r="D14301" i="10"/>
  <c r="A14301" i="10"/>
  <c r="D14300" i="10"/>
  <c r="A14300" i="10"/>
  <c r="D14299" i="10"/>
  <c r="A14299" i="10"/>
  <c r="D14298" i="10"/>
  <c r="A14298" i="10"/>
  <c r="D14297" i="10"/>
  <c r="A14297" i="10"/>
  <c r="D14296" i="10"/>
  <c r="A14296" i="10"/>
  <c r="D14295" i="10"/>
  <c r="A14295" i="10"/>
  <c r="D14294" i="10"/>
  <c r="A14294" i="10"/>
  <c r="D14293" i="10"/>
  <c r="A14293" i="10"/>
  <c r="D14292" i="10"/>
  <c r="A14292" i="10"/>
  <c r="D14291" i="10"/>
  <c r="A14291" i="10"/>
  <c r="D14290" i="10"/>
  <c r="A14290" i="10"/>
  <c r="D14289" i="10"/>
  <c r="A14289" i="10"/>
  <c r="D14288" i="10"/>
  <c r="A14288" i="10"/>
  <c r="D14287" i="10"/>
  <c r="A14287" i="10"/>
  <c r="D14286" i="10"/>
  <c r="A14286" i="10"/>
  <c r="D14285" i="10"/>
  <c r="A14285" i="10"/>
  <c r="D14284" i="10"/>
  <c r="A14284" i="10"/>
  <c r="D14283" i="10"/>
  <c r="A14283" i="10"/>
  <c r="D14282" i="10"/>
  <c r="A14282" i="10"/>
  <c r="D14281" i="10"/>
  <c r="A14281" i="10"/>
  <c r="D14280" i="10"/>
  <c r="A14280" i="10"/>
  <c r="D14279" i="10"/>
  <c r="A14279" i="10"/>
  <c r="D14278" i="10"/>
  <c r="A14278" i="10"/>
  <c r="D14277" i="10"/>
  <c r="A14277" i="10"/>
  <c r="D14276" i="10"/>
  <c r="A14276" i="10"/>
  <c r="D14275" i="10"/>
  <c r="A14275" i="10"/>
  <c r="D14274" i="10"/>
  <c r="A14274" i="10"/>
  <c r="D14273" i="10"/>
  <c r="A14273" i="10"/>
  <c r="D14272" i="10"/>
  <c r="A14272" i="10"/>
  <c r="D14271" i="10"/>
  <c r="A14271" i="10"/>
  <c r="D14270" i="10"/>
  <c r="A14270" i="10"/>
  <c r="D14269" i="10"/>
  <c r="A14269" i="10"/>
  <c r="D14268" i="10"/>
  <c r="A14268" i="10"/>
  <c r="D14267" i="10"/>
  <c r="A14267" i="10"/>
  <c r="D14266" i="10"/>
  <c r="A14266" i="10"/>
  <c r="D14265" i="10"/>
  <c r="A14265" i="10"/>
  <c r="D14264" i="10"/>
  <c r="A14264" i="10"/>
  <c r="D14263" i="10"/>
  <c r="A14263" i="10"/>
  <c r="D14262" i="10"/>
  <c r="A14262" i="10"/>
  <c r="D14261" i="10"/>
  <c r="A14261" i="10"/>
  <c r="D14260" i="10"/>
  <c r="A14260" i="10"/>
  <c r="D14259" i="10"/>
  <c r="A14259" i="10"/>
  <c r="D14258" i="10"/>
  <c r="A14258" i="10"/>
  <c r="D14257" i="10"/>
  <c r="A14257" i="10"/>
  <c r="D14256" i="10"/>
  <c r="A14256" i="10"/>
  <c r="D14255" i="10"/>
  <c r="A14255" i="10"/>
  <c r="D14254" i="10"/>
  <c r="A14254" i="10"/>
  <c r="D14253" i="10"/>
  <c r="A14253" i="10"/>
  <c r="D14252" i="10"/>
  <c r="A14252" i="10"/>
  <c r="D14251" i="10"/>
  <c r="A14251" i="10"/>
  <c r="D14250" i="10"/>
  <c r="A14250" i="10"/>
  <c r="D14249" i="10"/>
  <c r="A14249" i="10"/>
  <c r="D14248" i="10"/>
  <c r="A14248" i="10"/>
  <c r="D14247" i="10"/>
  <c r="A14247" i="10"/>
  <c r="D14246" i="10"/>
  <c r="A14246" i="10"/>
  <c r="D14245" i="10"/>
  <c r="A14245" i="10"/>
  <c r="D14244" i="10"/>
  <c r="A14244" i="10"/>
  <c r="D14243" i="10"/>
  <c r="A14243" i="10"/>
  <c r="D14242" i="10"/>
  <c r="A14242" i="10"/>
  <c r="D14241" i="10"/>
  <c r="A14241" i="10"/>
  <c r="D14240" i="10"/>
  <c r="A14240" i="10"/>
  <c r="D14239" i="10"/>
  <c r="A14239" i="10"/>
  <c r="D14238" i="10"/>
  <c r="A14238" i="10"/>
  <c r="D14237" i="10"/>
  <c r="A14237" i="10"/>
  <c r="D14236" i="10"/>
  <c r="A14236" i="10"/>
  <c r="D14235" i="10"/>
  <c r="A14235" i="10"/>
  <c r="D14234" i="10"/>
  <c r="A14234" i="10"/>
  <c r="D14233" i="10"/>
  <c r="A14233" i="10"/>
  <c r="D14232" i="10"/>
  <c r="A14232" i="10"/>
  <c r="D14231" i="10"/>
  <c r="A14231" i="10"/>
  <c r="D14230" i="10"/>
  <c r="A14230" i="10"/>
  <c r="D14229" i="10"/>
  <c r="A14229" i="10"/>
  <c r="D14228" i="10"/>
  <c r="A14228" i="10"/>
  <c r="D14227" i="10"/>
  <c r="A14227" i="10"/>
  <c r="D14226" i="10"/>
  <c r="A14226" i="10"/>
  <c r="D14225" i="10"/>
  <c r="A14225" i="10"/>
  <c r="D14224" i="10"/>
  <c r="A14224" i="10"/>
  <c r="D14223" i="10"/>
  <c r="A14223" i="10"/>
  <c r="D14222" i="10"/>
  <c r="A14222" i="10"/>
  <c r="D14221" i="10"/>
  <c r="A14221" i="10"/>
  <c r="D14220" i="10"/>
  <c r="A14220" i="10"/>
  <c r="D14219" i="10"/>
  <c r="A14219" i="10"/>
  <c r="D14218" i="10"/>
  <c r="A14218" i="10"/>
  <c r="D14217" i="10"/>
  <c r="A14217" i="10"/>
  <c r="D14216" i="10"/>
  <c r="A14216" i="10"/>
  <c r="D14215" i="10"/>
  <c r="A14215" i="10"/>
  <c r="D14214" i="10"/>
  <c r="A14214" i="10"/>
  <c r="D14213" i="10"/>
  <c r="A14213" i="10"/>
  <c r="D14212" i="10"/>
  <c r="A14212" i="10"/>
  <c r="D14211" i="10"/>
  <c r="A14211" i="10"/>
  <c r="D14210" i="10"/>
  <c r="A14210" i="10"/>
  <c r="D14209" i="10"/>
  <c r="A14209" i="10"/>
  <c r="D14208" i="10"/>
  <c r="A14208" i="10"/>
  <c r="D14207" i="10"/>
  <c r="A14207" i="10"/>
  <c r="D14206" i="10"/>
  <c r="A14206" i="10"/>
  <c r="D14205" i="10"/>
  <c r="A14205" i="10"/>
  <c r="D14204" i="10"/>
  <c r="A14204" i="10"/>
  <c r="D14203" i="10"/>
  <c r="A14203" i="10"/>
  <c r="D14202" i="10"/>
  <c r="A14202" i="10"/>
  <c r="D14201" i="10"/>
  <c r="A14201" i="10"/>
  <c r="D14200" i="10"/>
  <c r="A14200" i="10"/>
  <c r="D14199" i="10"/>
  <c r="A14199" i="10"/>
  <c r="D14198" i="10"/>
  <c r="A14198" i="10"/>
  <c r="D14197" i="10"/>
  <c r="A14197" i="10"/>
  <c r="D14196" i="10"/>
  <c r="A14196" i="10"/>
  <c r="D14195" i="10"/>
  <c r="A14195" i="10"/>
  <c r="D14194" i="10"/>
  <c r="A14194" i="10"/>
  <c r="D14193" i="10"/>
  <c r="A14193" i="10"/>
  <c r="D14192" i="10"/>
  <c r="A14192" i="10"/>
  <c r="D14191" i="10"/>
  <c r="A14191" i="10"/>
  <c r="D14190" i="10"/>
  <c r="A14190" i="10"/>
  <c r="D14189" i="10"/>
  <c r="A14189" i="10"/>
  <c r="D14188" i="10"/>
  <c r="A14188" i="10"/>
  <c r="D14187" i="10"/>
  <c r="A14187" i="10"/>
  <c r="D14186" i="10"/>
  <c r="A14186" i="10"/>
  <c r="D14185" i="10"/>
  <c r="A14185" i="10"/>
  <c r="D14184" i="10"/>
  <c r="A14184" i="10"/>
  <c r="D14183" i="10"/>
  <c r="A14183" i="10"/>
  <c r="D14182" i="10"/>
  <c r="A14182" i="10"/>
  <c r="D14181" i="10"/>
  <c r="A14181" i="10"/>
  <c r="D14180" i="10"/>
  <c r="A14180" i="10"/>
  <c r="D14179" i="10"/>
  <c r="A14179" i="10"/>
  <c r="D14178" i="10"/>
  <c r="A14178" i="10"/>
  <c r="D14177" i="10"/>
  <c r="A14177" i="10"/>
  <c r="D14176" i="10"/>
  <c r="A14176" i="10"/>
  <c r="D14175" i="10"/>
  <c r="A14175" i="10"/>
  <c r="D14174" i="10"/>
  <c r="A14174" i="10"/>
  <c r="D14173" i="10"/>
  <c r="A14173" i="10"/>
  <c r="D14172" i="10"/>
  <c r="A14172" i="10"/>
  <c r="D14171" i="10"/>
  <c r="A14171" i="10"/>
  <c r="D14170" i="10"/>
  <c r="A14170" i="10"/>
  <c r="D14169" i="10"/>
  <c r="A14169" i="10"/>
  <c r="D14168" i="10"/>
  <c r="A14168" i="10"/>
  <c r="D14167" i="10"/>
  <c r="A14167" i="10"/>
  <c r="D14166" i="10"/>
  <c r="A14166" i="10"/>
  <c r="D14165" i="10"/>
  <c r="A14165" i="10"/>
  <c r="D14164" i="10"/>
  <c r="A14164" i="10"/>
  <c r="D14163" i="10"/>
  <c r="A14163" i="10"/>
  <c r="D14162" i="10"/>
  <c r="A14162" i="10"/>
  <c r="D14161" i="10"/>
  <c r="A14161" i="10"/>
  <c r="D14160" i="10"/>
  <c r="A14160" i="10"/>
  <c r="D14159" i="10"/>
  <c r="A14159" i="10"/>
  <c r="D14158" i="10"/>
  <c r="A14158" i="10"/>
  <c r="D14157" i="10"/>
  <c r="A14157" i="10"/>
  <c r="D14156" i="10"/>
  <c r="A14156" i="10"/>
  <c r="D14155" i="10"/>
  <c r="A14155" i="10"/>
  <c r="D14154" i="10"/>
  <c r="A14154" i="10"/>
  <c r="D14153" i="10"/>
  <c r="A14153" i="10"/>
  <c r="D14152" i="10"/>
  <c r="A14152" i="10"/>
  <c r="D14151" i="10"/>
  <c r="A14151" i="10"/>
  <c r="D14150" i="10"/>
  <c r="A14150" i="10"/>
  <c r="D14149" i="10"/>
  <c r="A14149" i="10"/>
  <c r="D14148" i="10"/>
  <c r="A14148" i="10"/>
  <c r="D14147" i="10"/>
  <c r="A14147" i="10"/>
  <c r="D14146" i="10"/>
  <c r="A14146" i="10"/>
  <c r="D14145" i="10"/>
  <c r="A14145" i="10"/>
  <c r="D14144" i="10"/>
  <c r="A14144" i="10"/>
  <c r="D14143" i="10"/>
  <c r="A14143" i="10"/>
  <c r="D14142" i="10"/>
  <c r="A14142" i="10"/>
  <c r="D14141" i="10"/>
  <c r="A14141" i="10"/>
  <c r="D14140" i="10"/>
  <c r="A14140" i="10"/>
  <c r="D14139" i="10"/>
  <c r="A14139" i="10"/>
  <c r="D14138" i="10"/>
  <c r="A14138" i="10"/>
  <c r="D14137" i="10"/>
  <c r="A14137" i="10"/>
  <c r="D14136" i="10"/>
  <c r="A14136" i="10"/>
  <c r="D14135" i="10"/>
  <c r="A14135" i="10"/>
  <c r="D14134" i="10"/>
  <c r="A14134" i="10"/>
  <c r="D14133" i="10"/>
  <c r="A14133" i="10"/>
  <c r="D14132" i="10"/>
  <c r="A14132" i="10"/>
  <c r="D14131" i="10"/>
  <c r="A14131" i="10"/>
  <c r="D14130" i="10"/>
  <c r="A14130" i="10"/>
  <c r="D14129" i="10"/>
  <c r="A14129" i="10"/>
  <c r="D14128" i="10"/>
  <c r="A14128" i="10"/>
  <c r="D14127" i="10"/>
  <c r="A14127" i="10"/>
  <c r="D14126" i="10"/>
  <c r="A14126" i="10"/>
  <c r="D14125" i="10"/>
  <c r="A14125" i="10"/>
  <c r="D14124" i="10"/>
  <c r="A14124" i="10"/>
  <c r="D14123" i="10"/>
  <c r="A14123" i="10"/>
  <c r="D14122" i="10"/>
  <c r="A14122" i="10"/>
  <c r="D14121" i="10"/>
  <c r="A14121" i="10"/>
  <c r="D14120" i="10"/>
  <c r="A14120" i="10"/>
  <c r="D14119" i="10"/>
  <c r="A14119" i="10"/>
  <c r="D14118" i="10"/>
  <c r="A14118" i="10"/>
  <c r="D14117" i="10"/>
  <c r="A14117" i="10"/>
  <c r="D14116" i="10"/>
  <c r="A14116" i="10"/>
  <c r="D14115" i="10"/>
  <c r="A14115" i="10"/>
  <c r="D14114" i="10"/>
  <c r="A14114" i="10"/>
  <c r="D14113" i="10"/>
  <c r="A14113" i="10"/>
  <c r="D14112" i="10"/>
  <c r="A14112" i="10"/>
  <c r="D14111" i="10"/>
  <c r="A14111" i="10"/>
  <c r="D14110" i="10"/>
  <c r="A14110" i="10"/>
  <c r="D14109" i="10"/>
  <c r="A14109" i="10"/>
  <c r="D14108" i="10"/>
  <c r="A14108" i="10"/>
  <c r="D14107" i="10"/>
  <c r="A14107" i="10"/>
  <c r="D14106" i="10"/>
  <c r="A14106" i="10"/>
  <c r="D14105" i="10"/>
  <c r="A14105" i="10"/>
  <c r="D14104" i="10"/>
  <c r="A14104" i="10"/>
  <c r="D14103" i="10"/>
  <c r="A14103" i="10"/>
  <c r="D14102" i="10"/>
  <c r="A14102" i="10"/>
  <c r="D14101" i="10"/>
  <c r="A14101" i="10"/>
  <c r="D14100" i="10"/>
  <c r="A14100" i="10"/>
  <c r="D14099" i="10"/>
  <c r="A14099" i="10"/>
  <c r="D14098" i="10"/>
  <c r="A14098" i="10"/>
  <c r="D14097" i="10"/>
  <c r="A14097" i="10"/>
  <c r="D14096" i="10"/>
  <c r="A14096" i="10"/>
  <c r="D14095" i="10"/>
  <c r="A14095" i="10"/>
  <c r="D14094" i="10"/>
  <c r="A14094" i="10"/>
  <c r="D14093" i="10"/>
  <c r="A14093" i="10"/>
  <c r="D14092" i="10"/>
  <c r="A14092" i="10"/>
  <c r="D14091" i="10"/>
  <c r="A14091" i="10"/>
  <c r="D14090" i="10"/>
  <c r="A14090" i="10"/>
  <c r="D14089" i="10"/>
  <c r="A14089" i="10"/>
  <c r="D14088" i="10"/>
  <c r="A14088" i="10"/>
  <c r="D14087" i="10"/>
  <c r="A14087" i="10"/>
  <c r="D14086" i="10"/>
  <c r="A14086" i="10"/>
  <c r="D14085" i="10"/>
  <c r="A14085" i="10"/>
  <c r="D14084" i="10"/>
  <c r="A14084" i="10"/>
  <c r="D14083" i="10"/>
  <c r="A14083" i="10"/>
  <c r="D14082" i="10"/>
  <c r="A14082" i="10"/>
  <c r="D14081" i="10"/>
  <c r="A14081" i="10"/>
  <c r="D14080" i="10"/>
  <c r="A14080" i="10"/>
  <c r="D14079" i="10"/>
  <c r="A14079" i="10"/>
  <c r="D14078" i="10"/>
  <c r="A14078" i="10"/>
  <c r="D14077" i="10"/>
  <c r="A14077" i="10"/>
  <c r="D14076" i="10"/>
  <c r="A14076" i="10"/>
  <c r="D14075" i="10"/>
  <c r="A14075" i="10"/>
  <c r="D14074" i="10"/>
  <c r="A14074" i="10"/>
  <c r="D14073" i="10"/>
  <c r="A14073" i="10"/>
  <c r="D14072" i="10"/>
  <c r="A14072" i="10"/>
  <c r="D14071" i="10"/>
  <c r="A14071" i="10"/>
  <c r="D14070" i="10"/>
  <c r="A14070" i="10"/>
  <c r="D14069" i="10"/>
  <c r="A14069" i="10"/>
  <c r="D14068" i="10"/>
  <c r="A14068" i="10"/>
  <c r="D14067" i="10"/>
  <c r="A14067" i="10"/>
  <c r="D14066" i="10"/>
  <c r="A14066" i="10"/>
  <c r="D14065" i="10"/>
  <c r="A14065" i="10"/>
  <c r="D14064" i="10"/>
  <c r="A14064" i="10"/>
  <c r="D14063" i="10"/>
  <c r="A14063" i="10"/>
  <c r="D14062" i="10"/>
  <c r="A14062" i="10"/>
  <c r="D14061" i="10"/>
  <c r="A14061" i="10"/>
  <c r="D14060" i="10"/>
  <c r="A14060" i="10"/>
  <c r="D14059" i="10"/>
  <c r="A14059" i="10"/>
  <c r="D14058" i="10"/>
  <c r="A14058" i="10"/>
  <c r="D14057" i="10"/>
  <c r="A14057" i="10"/>
  <c r="D14056" i="10"/>
  <c r="A14056" i="10"/>
  <c r="D14055" i="10"/>
  <c r="A14055" i="10"/>
  <c r="D14054" i="10"/>
  <c r="A14054" i="10"/>
  <c r="D14053" i="10"/>
  <c r="A14053" i="10"/>
  <c r="D14052" i="10"/>
  <c r="A14052" i="10"/>
  <c r="D14051" i="10"/>
  <c r="A14051" i="10"/>
  <c r="D14050" i="10"/>
  <c r="A14050" i="10"/>
  <c r="D14049" i="10"/>
  <c r="A14049" i="10"/>
  <c r="D14048" i="10"/>
  <c r="A14048" i="10"/>
  <c r="D14047" i="10"/>
  <c r="A14047" i="10"/>
  <c r="D14046" i="10"/>
  <c r="A14046" i="10"/>
  <c r="D14045" i="10"/>
  <c r="A14045" i="10"/>
  <c r="D14044" i="10"/>
  <c r="A14044" i="10"/>
  <c r="D14043" i="10"/>
  <c r="A14043" i="10"/>
  <c r="D14042" i="10"/>
  <c r="A14042" i="10"/>
  <c r="D14041" i="10"/>
  <c r="A14041" i="10"/>
  <c r="D14040" i="10"/>
  <c r="A14040" i="10"/>
  <c r="D14039" i="10"/>
  <c r="A14039" i="10"/>
  <c r="D14038" i="10"/>
  <c r="A14038" i="10"/>
  <c r="D14037" i="10"/>
  <c r="A14037" i="10"/>
  <c r="D14036" i="10"/>
  <c r="A14036" i="10"/>
  <c r="D14035" i="10"/>
  <c r="A14035" i="10"/>
  <c r="D14034" i="10"/>
  <c r="A14034" i="10"/>
  <c r="D14033" i="10"/>
  <c r="A14033" i="10"/>
  <c r="D14032" i="10"/>
  <c r="A14032" i="10"/>
  <c r="D14031" i="10"/>
  <c r="A14031" i="10"/>
  <c r="D14030" i="10"/>
  <c r="A14030" i="10"/>
  <c r="D14029" i="10"/>
  <c r="A14029" i="10"/>
  <c r="D14028" i="10"/>
  <c r="A14028" i="10"/>
  <c r="D14027" i="10"/>
  <c r="A14027" i="10"/>
  <c r="D14026" i="10"/>
  <c r="A14026" i="10"/>
  <c r="D14025" i="10"/>
  <c r="A14025" i="10"/>
  <c r="D14024" i="10"/>
  <c r="A14024" i="10"/>
  <c r="D14023" i="10"/>
  <c r="A14023" i="10"/>
  <c r="D14022" i="10"/>
  <c r="A14022" i="10"/>
  <c r="D14021" i="10"/>
  <c r="A14021" i="10"/>
  <c r="D14020" i="10"/>
  <c r="A14020" i="10"/>
  <c r="D14019" i="10"/>
  <c r="A14019" i="10"/>
  <c r="D14018" i="10"/>
  <c r="A14018" i="10"/>
  <c r="D14017" i="10"/>
  <c r="A14017" i="10"/>
  <c r="D14016" i="10"/>
  <c r="A14016" i="10"/>
  <c r="D14015" i="10"/>
  <c r="A14015" i="10"/>
  <c r="D14014" i="10"/>
  <c r="A14014" i="10"/>
  <c r="D14013" i="10"/>
  <c r="A14013" i="10"/>
  <c r="D14012" i="10"/>
  <c r="A14012" i="10"/>
  <c r="D14011" i="10"/>
  <c r="A14011" i="10"/>
  <c r="D14010" i="10"/>
  <c r="A14010" i="10"/>
  <c r="D14009" i="10"/>
  <c r="A14009" i="10"/>
  <c r="D14008" i="10"/>
  <c r="A14008" i="10"/>
  <c r="D14007" i="10"/>
  <c r="A14007" i="10"/>
  <c r="D14006" i="10"/>
  <c r="A14006" i="10"/>
  <c r="D14005" i="10"/>
  <c r="A14005" i="10"/>
  <c r="D14004" i="10"/>
  <c r="A14004" i="10"/>
  <c r="D14003" i="10"/>
  <c r="A14003" i="10"/>
  <c r="D14002" i="10"/>
  <c r="A14002" i="10"/>
  <c r="D14001" i="10"/>
  <c r="A14001" i="10"/>
  <c r="D14000" i="10"/>
  <c r="A14000" i="10"/>
  <c r="D13999" i="10"/>
  <c r="A13999" i="10"/>
  <c r="D13998" i="10"/>
  <c r="A13998" i="10"/>
  <c r="D13997" i="10"/>
  <c r="A13997" i="10"/>
  <c r="D13996" i="10"/>
  <c r="A13996" i="10"/>
  <c r="D13995" i="10"/>
  <c r="A13995" i="10"/>
  <c r="D13994" i="10"/>
  <c r="A13994" i="10"/>
  <c r="D13993" i="10"/>
  <c r="A13993" i="10"/>
  <c r="D13992" i="10"/>
  <c r="A13992" i="10"/>
  <c r="D13991" i="10"/>
  <c r="A13991" i="10"/>
  <c r="D13990" i="10"/>
  <c r="A13990" i="10"/>
  <c r="D13989" i="10"/>
  <c r="A13989" i="10"/>
  <c r="D13988" i="10"/>
  <c r="A13988" i="10"/>
  <c r="D13987" i="10"/>
  <c r="A13987" i="10"/>
  <c r="D13986" i="10"/>
  <c r="A13986" i="10"/>
  <c r="D13985" i="10"/>
  <c r="A13985" i="10"/>
  <c r="D13984" i="10"/>
  <c r="A13984" i="10"/>
  <c r="D13983" i="10"/>
  <c r="A13983" i="10"/>
  <c r="D13982" i="10"/>
  <c r="A13982" i="10"/>
  <c r="D13981" i="10"/>
  <c r="A13981" i="10"/>
  <c r="D13980" i="10"/>
  <c r="A13980" i="10"/>
  <c r="D13979" i="10"/>
  <c r="A13979" i="10"/>
  <c r="D13978" i="10"/>
  <c r="A13978" i="10"/>
  <c r="D13977" i="10"/>
  <c r="A13977" i="10"/>
  <c r="D13976" i="10"/>
  <c r="A13976" i="10"/>
  <c r="D13975" i="10"/>
  <c r="A13975" i="10"/>
  <c r="D13974" i="10"/>
  <c r="A13974" i="10"/>
  <c r="D13973" i="10"/>
  <c r="A13973" i="10"/>
  <c r="D13972" i="10"/>
  <c r="A13972" i="10"/>
  <c r="D13971" i="10"/>
  <c r="A13971" i="10"/>
  <c r="D13970" i="10"/>
  <c r="A13970" i="10"/>
  <c r="D13969" i="10"/>
  <c r="A13969" i="10"/>
  <c r="D13968" i="10"/>
  <c r="A13968" i="10"/>
  <c r="D13967" i="10"/>
  <c r="A13967" i="10"/>
  <c r="D13966" i="10"/>
  <c r="A13966" i="10"/>
  <c r="D13965" i="10"/>
  <c r="A13965" i="10"/>
  <c r="D13964" i="10"/>
  <c r="A13964" i="10"/>
  <c r="D13963" i="10"/>
  <c r="A13963" i="10"/>
  <c r="D13962" i="10"/>
  <c r="A13962" i="10"/>
  <c r="D13961" i="10"/>
  <c r="A13961" i="10"/>
  <c r="D13960" i="10"/>
  <c r="A13960" i="10"/>
  <c r="D13959" i="10"/>
  <c r="A13959" i="10"/>
  <c r="D13958" i="10"/>
  <c r="A13958" i="10"/>
  <c r="D13957" i="10"/>
  <c r="A13957" i="10"/>
  <c r="D13956" i="10"/>
  <c r="A13956" i="10"/>
  <c r="D13955" i="10"/>
  <c r="A13955" i="10"/>
  <c r="D13954" i="10"/>
  <c r="A13954" i="10"/>
  <c r="D13953" i="10"/>
  <c r="A13953" i="10"/>
  <c r="D13952" i="10"/>
  <c r="A13952" i="10"/>
  <c r="D13951" i="10"/>
  <c r="A13951" i="10"/>
  <c r="D13950" i="10"/>
  <c r="A13950" i="10"/>
  <c r="D13949" i="10"/>
  <c r="A13949" i="10"/>
  <c r="D13948" i="10"/>
  <c r="A13948" i="10"/>
  <c r="D13947" i="10"/>
  <c r="A13947" i="10"/>
  <c r="D13946" i="10"/>
  <c r="A13946" i="10"/>
  <c r="D13945" i="10"/>
  <c r="A13945" i="10"/>
  <c r="D13944" i="10"/>
  <c r="A13944" i="10"/>
  <c r="D13943" i="10"/>
  <c r="A13943" i="10"/>
  <c r="D13942" i="10"/>
  <c r="A13942" i="10"/>
  <c r="D13941" i="10"/>
  <c r="A13941" i="10"/>
  <c r="D13940" i="10"/>
  <c r="A13940" i="10"/>
  <c r="D13939" i="10"/>
  <c r="A13939" i="10"/>
  <c r="D13938" i="10"/>
  <c r="A13938" i="10"/>
  <c r="D13937" i="10"/>
  <c r="A13937" i="10"/>
  <c r="D13936" i="10"/>
  <c r="A13936" i="10"/>
  <c r="D13935" i="10"/>
  <c r="A13935" i="10"/>
  <c r="D13934" i="10"/>
  <c r="A13934" i="10"/>
  <c r="D13933" i="10"/>
  <c r="A13933" i="10"/>
  <c r="D13932" i="10"/>
  <c r="A13932" i="10"/>
  <c r="D13931" i="10"/>
  <c r="A13931" i="10"/>
  <c r="D13930" i="10"/>
  <c r="A13930" i="10"/>
  <c r="D13929" i="10"/>
  <c r="A13929" i="10"/>
  <c r="D13928" i="10"/>
  <c r="A13928" i="10"/>
  <c r="D13927" i="10"/>
  <c r="A13927" i="10"/>
  <c r="D13926" i="10"/>
  <c r="A13926" i="10"/>
  <c r="D13925" i="10"/>
  <c r="A13925" i="10"/>
  <c r="D13924" i="10"/>
  <c r="A13924" i="10"/>
  <c r="D13923" i="10"/>
  <c r="A13923" i="10"/>
  <c r="D13922" i="10"/>
  <c r="A13922" i="10"/>
  <c r="D13921" i="10"/>
  <c r="A13921" i="10"/>
  <c r="D13920" i="10"/>
  <c r="A13920" i="10"/>
  <c r="D13919" i="10"/>
  <c r="A13919" i="10"/>
  <c r="D13918" i="10"/>
  <c r="A13918" i="10"/>
  <c r="D13917" i="10"/>
  <c r="A13917" i="10"/>
  <c r="D13916" i="10"/>
  <c r="A13916" i="10"/>
  <c r="D13915" i="10"/>
  <c r="A13915" i="10"/>
  <c r="D13914" i="10"/>
  <c r="A13914" i="10"/>
  <c r="D13913" i="10"/>
  <c r="A13913" i="10"/>
  <c r="D13912" i="10"/>
  <c r="A13912" i="10"/>
  <c r="D13911" i="10"/>
  <c r="A13911" i="10"/>
  <c r="D13910" i="10"/>
  <c r="A13910" i="10"/>
  <c r="D13909" i="10"/>
  <c r="A13909" i="10"/>
  <c r="D13908" i="10"/>
  <c r="A13908" i="10"/>
  <c r="D13907" i="10"/>
  <c r="A13907" i="10"/>
  <c r="D13906" i="10"/>
  <c r="A13906" i="10"/>
  <c r="D13905" i="10"/>
  <c r="A13905" i="10"/>
  <c r="D13904" i="10"/>
  <c r="A13904" i="10"/>
  <c r="D13903" i="10"/>
  <c r="A13903" i="10"/>
  <c r="D13902" i="10"/>
  <c r="A13902" i="10"/>
  <c r="D13901" i="10"/>
  <c r="A13901" i="10"/>
  <c r="D13900" i="10"/>
  <c r="A13900" i="10"/>
  <c r="D13899" i="10"/>
  <c r="A13899" i="10"/>
  <c r="D13898" i="10"/>
  <c r="A13898" i="10"/>
  <c r="D13897" i="10"/>
  <c r="A13897" i="10"/>
  <c r="D13896" i="10"/>
  <c r="A13896" i="10"/>
  <c r="D13895" i="10"/>
  <c r="A13895" i="10"/>
  <c r="D13894" i="10"/>
  <c r="A13894" i="10"/>
  <c r="D13893" i="10"/>
  <c r="A13893" i="10"/>
  <c r="D13892" i="10"/>
  <c r="A13892" i="10"/>
  <c r="D13891" i="10"/>
  <c r="A13891" i="10"/>
  <c r="D13890" i="10"/>
  <c r="A13890" i="10"/>
  <c r="D13889" i="10"/>
  <c r="A13889" i="10"/>
  <c r="D13888" i="10"/>
  <c r="A13888" i="10"/>
  <c r="D13887" i="10"/>
  <c r="A13887" i="10"/>
  <c r="D13886" i="10"/>
  <c r="A13886" i="10"/>
  <c r="D13885" i="10"/>
  <c r="A13885" i="10"/>
  <c r="D13884" i="10"/>
  <c r="A13884" i="10"/>
  <c r="D13883" i="10"/>
  <c r="A13883" i="10"/>
  <c r="D13882" i="10"/>
  <c r="A13882" i="10"/>
  <c r="D13881" i="10"/>
  <c r="A13881" i="10"/>
  <c r="D13880" i="10"/>
  <c r="A13880" i="10"/>
  <c r="D13879" i="10"/>
  <c r="A13879" i="10"/>
  <c r="D13878" i="10"/>
  <c r="A13878" i="10"/>
  <c r="D13877" i="10"/>
  <c r="A13877" i="10"/>
  <c r="D13876" i="10"/>
  <c r="A13876" i="10"/>
  <c r="D13875" i="10"/>
  <c r="A13875" i="10"/>
  <c r="D13874" i="10"/>
  <c r="A13874" i="10"/>
  <c r="D13873" i="10"/>
  <c r="A13873" i="10"/>
  <c r="D13872" i="10"/>
  <c r="A13872" i="10"/>
  <c r="D13871" i="10"/>
  <c r="A13871" i="10"/>
  <c r="D13870" i="10"/>
  <c r="A13870" i="10"/>
  <c r="D13869" i="10"/>
  <c r="A13869" i="10"/>
  <c r="D13868" i="10"/>
  <c r="A13868" i="10"/>
  <c r="D13867" i="10"/>
  <c r="A13867" i="10"/>
  <c r="D13866" i="10"/>
  <c r="A13866" i="10"/>
  <c r="D13865" i="10"/>
  <c r="A13865" i="10"/>
  <c r="D13864" i="10"/>
  <c r="A13864" i="10"/>
  <c r="D13863" i="10"/>
  <c r="A13863" i="10"/>
  <c r="D13862" i="10"/>
  <c r="A13862" i="10"/>
  <c r="D13861" i="10"/>
  <c r="A13861" i="10"/>
  <c r="D13860" i="10"/>
  <c r="A13860" i="10"/>
  <c r="D13859" i="10"/>
  <c r="A13859" i="10"/>
  <c r="D13858" i="10"/>
  <c r="A13858" i="10"/>
  <c r="D13857" i="10"/>
  <c r="A13857" i="10"/>
  <c r="D13856" i="10"/>
  <c r="A13856" i="10"/>
  <c r="D13855" i="10"/>
  <c r="A13855" i="10"/>
  <c r="D13854" i="10"/>
  <c r="A13854" i="10"/>
  <c r="D13853" i="10"/>
  <c r="A13853" i="10"/>
  <c r="D13852" i="10"/>
  <c r="A13852" i="10"/>
  <c r="D13851" i="10"/>
  <c r="A13851" i="10"/>
  <c r="D13850" i="10"/>
  <c r="A13850" i="10"/>
  <c r="D13849" i="10"/>
  <c r="A13849" i="10"/>
  <c r="D13848" i="10"/>
  <c r="A13848" i="10"/>
  <c r="D13847" i="10"/>
  <c r="A13847" i="10"/>
  <c r="D13846" i="10"/>
  <c r="A13846" i="10"/>
  <c r="D13845" i="10"/>
  <c r="A13845" i="10"/>
  <c r="D13844" i="10"/>
  <c r="A13844" i="10"/>
  <c r="D13843" i="10"/>
  <c r="A13843" i="10"/>
  <c r="D13842" i="10"/>
  <c r="A13842" i="10"/>
  <c r="D13841" i="10"/>
  <c r="A13841" i="10"/>
  <c r="D13840" i="10"/>
  <c r="A13840" i="10"/>
  <c r="D13839" i="10"/>
  <c r="A13839" i="10"/>
  <c r="D13838" i="10"/>
  <c r="A13838" i="10"/>
  <c r="D13837" i="10"/>
  <c r="A13837" i="10"/>
  <c r="D13836" i="10"/>
  <c r="A13836" i="10"/>
  <c r="D13835" i="10"/>
  <c r="A13835" i="10"/>
  <c r="D13834" i="10"/>
  <c r="A13834" i="10"/>
  <c r="D13833" i="10"/>
  <c r="A13833" i="10"/>
  <c r="D13832" i="10"/>
  <c r="A13832" i="10"/>
  <c r="D13831" i="10"/>
  <c r="A13831" i="10"/>
  <c r="D13830" i="10"/>
  <c r="A13830" i="10"/>
  <c r="D13829" i="10"/>
  <c r="A13829" i="10"/>
  <c r="D13828" i="10"/>
  <c r="A13828" i="10"/>
  <c r="D13827" i="10"/>
  <c r="A13827" i="10"/>
  <c r="D13826" i="10"/>
  <c r="A13826" i="10"/>
  <c r="D13825" i="10"/>
  <c r="A13825" i="10"/>
  <c r="D13824" i="10"/>
  <c r="A13824" i="10"/>
  <c r="D13823" i="10"/>
  <c r="A13823" i="10"/>
  <c r="D13822" i="10"/>
  <c r="A13822" i="10"/>
  <c r="D13821" i="10"/>
  <c r="A13821" i="10"/>
  <c r="D13820" i="10"/>
  <c r="A13820" i="10"/>
  <c r="D13819" i="10"/>
  <c r="A13819" i="10"/>
  <c r="D13818" i="10"/>
  <c r="A13818" i="10"/>
  <c r="D13817" i="10"/>
  <c r="A13817" i="10"/>
  <c r="D13816" i="10"/>
  <c r="A13816" i="10"/>
  <c r="D13815" i="10"/>
  <c r="A13815" i="10"/>
  <c r="D13814" i="10"/>
  <c r="A13814" i="10"/>
  <c r="D13813" i="10"/>
  <c r="A13813" i="10"/>
  <c r="D13812" i="10"/>
  <c r="A13812" i="10"/>
  <c r="D13811" i="10"/>
  <c r="A13811" i="10"/>
  <c r="D13810" i="10"/>
  <c r="A13810" i="10"/>
  <c r="D13809" i="10"/>
  <c r="A13809" i="10"/>
  <c r="D13808" i="10"/>
  <c r="A13808" i="10"/>
  <c r="D13807" i="10"/>
  <c r="A13807" i="10"/>
  <c r="D13806" i="10"/>
  <c r="A13806" i="10"/>
  <c r="D13805" i="10"/>
  <c r="A13805" i="10"/>
  <c r="D13804" i="10"/>
  <c r="A13804" i="10"/>
  <c r="D13803" i="10"/>
  <c r="A13803" i="10"/>
  <c r="D13802" i="10"/>
  <c r="A13802" i="10"/>
  <c r="D13801" i="10"/>
  <c r="A13801" i="10"/>
  <c r="D13800" i="10"/>
  <c r="A13800" i="10"/>
  <c r="D13799" i="10"/>
  <c r="A13799" i="10"/>
  <c r="D13798" i="10"/>
  <c r="A13798" i="10"/>
  <c r="D13797" i="10"/>
  <c r="A13797" i="10"/>
  <c r="D13796" i="10"/>
  <c r="A13796" i="10"/>
  <c r="D13795" i="10"/>
  <c r="A13795" i="10"/>
  <c r="D13794" i="10"/>
  <c r="A13794" i="10"/>
  <c r="D13793" i="10"/>
  <c r="A13793" i="10"/>
  <c r="D13792" i="10"/>
  <c r="A13792" i="10"/>
  <c r="D13791" i="10"/>
  <c r="A13791" i="10"/>
  <c r="D13790" i="10"/>
  <c r="A13790" i="10"/>
  <c r="D13789" i="10"/>
  <c r="A13789" i="10"/>
  <c r="D13788" i="10"/>
  <c r="A13788" i="10"/>
  <c r="D13787" i="10"/>
  <c r="A13787" i="10"/>
  <c r="D13786" i="10"/>
  <c r="A13786" i="10"/>
  <c r="D13785" i="10"/>
  <c r="A13785" i="10"/>
  <c r="D13784" i="10"/>
  <c r="A13784" i="10"/>
  <c r="D13783" i="10"/>
  <c r="A13783" i="10"/>
  <c r="D13782" i="10"/>
  <c r="A13782" i="10"/>
  <c r="D13781" i="10"/>
  <c r="A13781" i="10"/>
  <c r="D13780" i="10"/>
  <c r="A13780" i="10"/>
  <c r="D13779" i="10"/>
  <c r="A13779" i="10"/>
  <c r="D13778" i="10"/>
  <c r="A13778" i="10"/>
  <c r="D13777" i="10"/>
  <c r="A13777" i="10"/>
  <c r="D13776" i="10"/>
  <c r="A13776" i="10"/>
  <c r="D13775" i="10"/>
  <c r="A13775" i="10"/>
  <c r="D13774" i="10"/>
  <c r="A13774" i="10"/>
  <c r="D13773" i="10"/>
  <c r="A13773" i="10"/>
  <c r="D13772" i="10"/>
  <c r="A13772" i="10"/>
  <c r="D13771" i="10"/>
  <c r="A13771" i="10"/>
  <c r="D13770" i="10"/>
  <c r="A13770" i="10"/>
  <c r="D13769" i="10"/>
  <c r="A13769" i="10"/>
  <c r="D13768" i="10"/>
  <c r="A13768" i="10"/>
  <c r="D13767" i="10"/>
  <c r="A13767" i="10"/>
  <c r="D13766" i="10"/>
  <c r="A13766" i="10"/>
  <c r="D13765" i="10"/>
  <c r="A13765" i="10"/>
  <c r="D13764" i="10"/>
  <c r="A13764" i="10"/>
  <c r="D13763" i="10"/>
  <c r="A13763" i="10"/>
  <c r="D13762" i="10"/>
  <c r="A13762" i="10"/>
  <c r="D13761" i="10"/>
  <c r="A13761" i="10"/>
  <c r="D13760" i="10"/>
  <c r="A13760" i="10"/>
  <c r="D13759" i="10"/>
  <c r="A13759" i="10"/>
  <c r="D13758" i="10"/>
  <c r="A13758" i="10"/>
  <c r="D13757" i="10"/>
  <c r="A13757" i="10"/>
  <c r="D13756" i="10"/>
  <c r="A13756" i="10"/>
  <c r="D13755" i="10"/>
  <c r="A13755" i="10"/>
  <c r="D13754" i="10"/>
  <c r="A13754" i="10"/>
  <c r="D13753" i="10"/>
  <c r="A13753" i="10"/>
  <c r="D13752" i="10"/>
  <c r="A13752" i="10"/>
  <c r="D13751" i="10"/>
  <c r="A13751" i="10"/>
  <c r="D13750" i="10"/>
  <c r="A13750" i="10"/>
  <c r="D13749" i="10"/>
  <c r="A13749" i="10"/>
  <c r="D13748" i="10"/>
  <c r="A13748" i="10"/>
  <c r="D13747" i="10"/>
  <c r="A13747" i="10"/>
  <c r="D13746" i="10"/>
  <c r="A13746" i="10"/>
  <c r="D13745" i="10"/>
  <c r="A13745" i="10"/>
  <c r="D13744" i="10"/>
  <c r="A13744" i="10"/>
  <c r="D13743" i="10"/>
  <c r="A13743" i="10"/>
  <c r="D13742" i="10"/>
  <c r="A13742" i="10"/>
  <c r="D13741" i="10"/>
  <c r="A13741" i="10"/>
  <c r="D13740" i="10"/>
  <c r="A13740" i="10"/>
  <c r="D13739" i="10"/>
  <c r="A13739" i="10"/>
  <c r="D13738" i="10"/>
  <c r="A13738" i="10"/>
  <c r="D13737" i="10"/>
  <c r="A13737" i="10"/>
  <c r="D13736" i="10"/>
  <c r="A13736" i="10"/>
  <c r="D13735" i="10"/>
  <c r="A13735" i="10"/>
  <c r="D13734" i="10"/>
  <c r="A13734" i="10"/>
  <c r="D13733" i="10"/>
  <c r="A13733" i="10"/>
  <c r="D13732" i="10"/>
  <c r="A13732" i="10"/>
  <c r="D13731" i="10"/>
  <c r="A13731" i="10"/>
  <c r="D13730" i="10"/>
  <c r="A13730" i="10"/>
  <c r="D13729" i="10"/>
  <c r="A13729" i="10"/>
  <c r="D13728" i="10"/>
  <c r="A13728" i="10"/>
  <c r="D13727" i="10"/>
  <c r="A13727" i="10"/>
  <c r="D13726" i="10"/>
  <c r="A13726" i="10"/>
  <c r="D13725" i="10"/>
  <c r="A13725" i="10"/>
  <c r="D13724" i="10"/>
  <c r="A13724" i="10"/>
  <c r="D13723" i="10"/>
  <c r="A13723" i="10"/>
  <c r="D13722" i="10"/>
  <c r="A13722" i="10"/>
  <c r="D13721" i="10"/>
  <c r="A13721" i="10"/>
  <c r="D13720" i="10"/>
  <c r="A13720" i="10"/>
  <c r="D13719" i="10"/>
  <c r="A13719" i="10"/>
  <c r="D13718" i="10"/>
  <c r="A13718" i="10"/>
  <c r="D13717" i="10"/>
  <c r="A13717" i="10"/>
  <c r="D13716" i="10"/>
  <c r="A13716" i="10"/>
  <c r="D13715" i="10"/>
  <c r="A13715" i="10"/>
  <c r="D13714" i="10"/>
  <c r="A13714" i="10"/>
  <c r="D13713" i="10"/>
  <c r="A13713" i="10"/>
  <c r="D13712" i="10"/>
  <c r="A13712" i="10"/>
  <c r="D13711" i="10"/>
  <c r="A13711" i="10"/>
  <c r="D13710" i="10"/>
  <c r="A13710" i="10"/>
  <c r="D13709" i="10"/>
  <c r="A13709" i="10"/>
  <c r="D13708" i="10"/>
  <c r="A13708" i="10"/>
  <c r="D13707" i="10"/>
  <c r="A13707" i="10"/>
  <c r="D13706" i="10"/>
  <c r="A13706" i="10"/>
  <c r="D13705" i="10"/>
  <c r="A13705" i="10"/>
  <c r="D13704" i="10"/>
  <c r="A13704" i="10"/>
  <c r="D13703" i="10"/>
  <c r="A13703" i="10"/>
  <c r="D13702" i="10"/>
  <c r="A13702" i="10"/>
  <c r="D13701" i="10"/>
  <c r="A13701" i="10"/>
  <c r="D13700" i="10"/>
  <c r="A13700" i="10"/>
  <c r="D13699" i="10"/>
  <c r="A13699" i="10"/>
  <c r="D13698" i="10"/>
  <c r="A13698" i="10"/>
  <c r="D13697" i="10"/>
  <c r="A13697" i="10"/>
  <c r="D13696" i="10"/>
  <c r="A13696" i="10"/>
  <c r="D13695" i="10"/>
  <c r="A13695" i="10"/>
  <c r="D13694" i="10"/>
  <c r="A13694" i="10"/>
  <c r="D13693" i="10"/>
  <c r="A13693" i="10"/>
  <c r="D13692" i="10"/>
  <c r="A13692" i="10"/>
  <c r="D13691" i="10"/>
  <c r="A13691" i="10"/>
  <c r="D13690" i="10"/>
  <c r="A13690" i="10"/>
  <c r="D13689" i="10"/>
  <c r="A13689" i="10"/>
  <c r="D13688" i="10"/>
  <c r="A13688" i="10"/>
  <c r="D13687" i="10"/>
  <c r="A13687" i="10"/>
  <c r="D13686" i="10"/>
  <c r="A13686" i="10"/>
  <c r="D13685" i="10"/>
  <c r="A13685" i="10"/>
  <c r="D13684" i="10"/>
  <c r="A13684" i="10"/>
  <c r="D13683" i="10"/>
  <c r="A13683" i="10"/>
  <c r="D13682" i="10"/>
  <c r="A13682" i="10"/>
  <c r="D13681" i="10"/>
  <c r="A13681" i="10"/>
  <c r="D13680" i="10"/>
  <c r="A13680" i="10"/>
  <c r="D13679" i="10"/>
  <c r="A13679" i="10"/>
  <c r="D13678" i="10"/>
  <c r="A13678" i="10"/>
  <c r="D13677" i="10"/>
  <c r="A13677" i="10"/>
  <c r="D13676" i="10"/>
  <c r="A13676" i="10"/>
  <c r="D13675" i="10"/>
  <c r="A13675" i="10"/>
  <c r="D13674" i="10"/>
  <c r="A13674" i="10"/>
  <c r="D13673" i="10"/>
  <c r="A13673" i="10"/>
  <c r="D13672" i="10"/>
  <c r="A13672" i="10"/>
  <c r="D13671" i="10"/>
  <c r="A13671" i="10"/>
  <c r="D13670" i="10"/>
  <c r="A13670" i="10"/>
  <c r="D13669" i="10"/>
  <c r="A13669" i="10"/>
  <c r="D13668" i="10"/>
  <c r="A13668" i="10"/>
  <c r="D13667" i="10"/>
  <c r="A13667" i="10"/>
  <c r="D13666" i="10"/>
  <c r="A13666" i="10"/>
  <c r="D13665" i="10"/>
  <c r="A13665" i="10"/>
  <c r="D13664" i="10"/>
  <c r="A13664" i="10"/>
  <c r="D13663" i="10"/>
  <c r="A13663" i="10"/>
  <c r="D13662" i="10"/>
  <c r="A13662" i="10"/>
  <c r="D13661" i="10"/>
  <c r="A13661" i="10"/>
  <c r="D13660" i="10"/>
  <c r="A13660" i="10"/>
  <c r="D13659" i="10"/>
  <c r="A13659" i="10"/>
  <c r="D13658" i="10"/>
  <c r="A13658" i="10"/>
  <c r="D13657" i="10"/>
  <c r="A13657" i="10"/>
  <c r="D13656" i="10"/>
  <c r="A13656" i="10"/>
  <c r="D13655" i="10"/>
  <c r="A13655" i="10"/>
  <c r="D13654" i="10"/>
  <c r="A13654" i="10"/>
  <c r="D13653" i="10"/>
  <c r="A13653" i="10"/>
  <c r="D13652" i="10"/>
  <c r="A13652" i="10"/>
  <c r="D13651" i="10"/>
  <c r="A13651" i="10"/>
  <c r="D13650" i="10"/>
  <c r="A13650" i="10"/>
  <c r="D13649" i="10"/>
  <c r="A13649" i="10"/>
  <c r="D13648" i="10"/>
  <c r="A13648" i="10"/>
  <c r="D13647" i="10"/>
  <c r="A13647" i="10"/>
  <c r="D13646" i="10"/>
  <c r="A13646" i="10"/>
  <c r="D13645" i="10"/>
  <c r="A13645" i="10"/>
  <c r="D13644" i="10"/>
  <c r="A13644" i="10"/>
  <c r="D13643" i="10"/>
  <c r="A13643" i="10"/>
  <c r="D13642" i="10"/>
  <c r="A13642" i="10"/>
  <c r="D13641" i="10"/>
  <c r="A13641" i="10"/>
  <c r="D13640" i="10"/>
  <c r="A13640" i="10"/>
  <c r="D13639" i="10"/>
  <c r="A13639" i="10"/>
  <c r="D13638" i="10"/>
  <c r="A13638" i="10"/>
  <c r="D13637" i="10"/>
  <c r="A13637" i="10"/>
  <c r="D13636" i="10"/>
  <c r="A13636" i="10"/>
  <c r="D13635" i="10"/>
  <c r="A13635" i="10"/>
  <c r="D13634" i="10"/>
  <c r="A13634" i="10"/>
  <c r="D13633" i="10"/>
  <c r="A13633" i="10"/>
  <c r="D13632" i="10"/>
  <c r="A13632" i="10"/>
  <c r="D13631" i="10"/>
  <c r="A13631" i="10"/>
  <c r="D13630" i="10"/>
  <c r="A13630" i="10"/>
  <c r="D13629" i="10"/>
  <c r="A13629" i="10"/>
  <c r="D13628" i="10"/>
  <c r="A13628" i="10"/>
  <c r="D13627" i="10"/>
  <c r="A13627" i="10"/>
  <c r="D13626" i="10"/>
  <c r="A13626" i="10"/>
  <c r="D13625" i="10"/>
  <c r="A13625" i="10"/>
  <c r="D13624" i="10"/>
  <c r="A13624" i="10"/>
  <c r="D13623" i="10"/>
  <c r="A13623" i="10"/>
  <c r="D13622" i="10"/>
  <c r="A13622" i="10"/>
  <c r="D13621" i="10"/>
  <c r="A13621" i="10"/>
  <c r="D13620" i="10"/>
  <c r="A13620" i="10"/>
  <c r="D13619" i="10"/>
  <c r="A13619" i="10"/>
  <c r="D13618" i="10"/>
  <c r="A13618" i="10"/>
  <c r="D13617" i="10"/>
  <c r="A13617" i="10"/>
  <c r="D13616" i="10"/>
  <c r="A13616" i="10"/>
  <c r="D13615" i="10"/>
  <c r="A13615" i="10"/>
  <c r="D13614" i="10"/>
  <c r="A13614" i="10"/>
  <c r="D13613" i="10"/>
  <c r="A13613" i="10"/>
  <c r="D13612" i="10"/>
  <c r="A13612" i="10"/>
  <c r="D13611" i="10"/>
  <c r="A13611" i="10"/>
  <c r="D13610" i="10"/>
  <c r="A13610" i="10"/>
  <c r="D13609" i="10"/>
  <c r="A13609" i="10"/>
  <c r="D13608" i="10"/>
  <c r="A13608" i="10"/>
  <c r="D13607" i="10"/>
  <c r="A13607" i="10"/>
  <c r="D13606" i="10"/>
  <c r="A13606" i="10"/>
  <c r="D13605" i="10"/>
  <c r="A13605" i="10"/>
  <c r="D13604" i="10"/>
  <c r="A13604" i="10"/>
  <c r="D13603" i="10"/>
  <c r="A13603" i="10"/>
  <c r="D13602" i="10"/>
  <c r="A13602" i="10"/>
  <c r="D13601" i="10"/>
  <c r="A13601" i="10"/>
  <c r="D13600" i="10"/>
  <c r="A13600" i="10"/>
  <c r="D13599" i="10"/>
  <c r="A13599" i="10"/>
  <c r="D13598" i="10"/>
  <c r="A13598" i="10"/>
  <c r="D13597" i="10"/>
  <c r="A13597" i="10"/>
  <c r="D13596" i="10"/>
  <c r="A13596" i="10"/>
  <c r="D13595" i="10"/>
  <c r="A13595" i="10"/>
  <c r="D13594" i="10"/>
  <c r="A13594" i="10"/>
  <c r="D13593" i="10"/>
  <c r="A13593" i="10"/>
  <c r="D13592" i="10"/>
  <c r="A13592" i="10"/>
  <c r="D13591" i="10"/>
  <c r="A13591" i="10"/>
  <c r="D13590" i="10"/>
  <c r="A13590" i="10"/>
  <c r="D13589" i="10"/>
  <c r="A13589" i="10"/>
  <c r="D13588" i="10"/>
  <c r="A13588" i="10"/>
  <c r="D13587" i="10"/>
  <c r="A13587" i="10"/>
  <c r="D13586" i="10"/>
  <c r="A13586" i="10"/>
  <c r="D13585" i="10"/>
  <c r="A13585" i="10"/>
  <c r="D13584" i="10"/>
  <c r="A13584" i="10"/>
  <c r="D13583" i="10"/>
  <c r="A13583" i="10"/>
  <c r="D13582" i="10"/>
  <c r="A13582" i="10"/>
  <c r="D13581" i="10"/>
  <c r="A13581" i="10"/>
  <c r="D13580" i="10"/>
  <c r="A13580" i="10"/>
  <c r="D13579" i="10"/>
  <c r="A13579" i="10"/>
  <c r="D13578" i="10"/>
  <c r="A13578" i="10"/>
  <c r="D13577" i="10"/>
  <c r="A13577" i="10"/>
  <c r="D13576" i="10"/>
  <c r="A13576" i="10"/>
  <c r="D13575" i="10"/>
  <c r="A13575" i="10"/>
  <c r="D13574" i="10"/>
  <c r="A13574" i="10"/>
  <c r="D13573" i="10"/>
  <c r="A13573" i="10"/>
  <c r="D13572" i="10"/>
  <c r="A13572" i="10"/>
  <c r="D13571" i="10"/>
  <c r="A13571" i="10"/>
  <c r="D13570" i="10"/>
  <c r="A13570" i="10"/>
  <c r="D13569" i="10"/>
  <c r="A13569" i="10"/>
  <c r="D13568" i="10"/>
  <c r="A13568" i="10"/>
  <c r="D13567" i="10"/>
  <c r="A13567" i="10"/>
  <c r="D13566" i="10"/>
  <c r="A13566" i="10"/>
  <c r="D13565" i="10"/>
  <c r="A13565" i="10"/>
  <c r="D13564" i="10"/>
  <c r="A13564" i="10"/>
  <c r="D13563" i="10"/>
  <c r="A13563" i="10"/>
  <c r="D13562" i="10"/>
  <c r="A13562" i="10"/>
  <c r="D13561" i="10"/>
  <c r="A13561" i="10"/>
  <c r="D13560" i="10"/>
  <c r="A13560" i="10"/>
  <c r="D13559" i="10"/>
  <c r="A13559" i="10"/>
  <c r="D13558" i="10"/>
  <c r="A13558" i="10"/>
  <c r="D13557" i="10"/>
  <c r="A13557" i="10"/>
  <c r="D13556" i="10"/>
  <c r="A13556" i="10"/>
  <c r="D13555" i="10"/>
  <c r="A13555" i="10"/>
  <c r="D13554" i="10"/>
  <c r="A13554" i="10"/>
  <c r="D13553" i="10"/>
  <c r="A13553" i="10"/>
  <c r="D13552" i="10"/>
  <c r="A13552" i="10"/>
  <c r="D13551" i="10"/>
  <c r="A13551" i="10"/>
  <c r="D13550" i="10"/>
  <c r="A13550" i="10"/>
  <c r="D13549" i="10"/>
  <c r="A13549" i="10"/>
  <c r="D13548" i="10"/>
  <c r="A13548" i="10"/>
  <c r="D13547" i="10"/>
  <c r="A13547" i="10"/>
  <c r="D13546" i="10"/>
  <c r="A13546" i="10"/>
  <c r="D13545" i="10"/>
  <c r="A13545" i="10"/>
  <c r="D13544" i="10"/>
  <c r="A13544" i="10"/>
  <c r="D13543" i="10"/>
  <c r="A13543" i="10"/>
  <c r="D13542" i="10"/>
  <c r="A13542" i="10"/>
  <c r="D13541" i="10"/>
  <c r="A13541" i="10"/>
  <c r="D13540" i="10"/>
  <c r="A13540" i="10"/>
  <c r="D13539" i="10"/>
  <c r="A13539" i="10"/>
  <c r="D13538" i="10"/>
  <c r="A13538" i="10"/>
  <c r="D13537" i="10"/>
  <c r="A13537" i="10"/>
  <c r="D13536" i="10"/>
  <c r="A13536" i="10"/>
  <c r="D13535" i="10"/>
  <c r="A13535" i="10"/>
  <c r="D13534" i="10"/>
  <c r="A13534" i="10"/>
  <c r="D13533" i="10"/>
  <c r="A13533" i="10"/>
  <c r="D13532" i="10"/>
  <c r="A13532" i="10"/>
  <c r="D13531" i="10"/>
  <c r="A13531" i="10"/>
  <c r="D13530" i="10"/>
  <c r="A13530" i="10"/>
  <c r="D13529" i="10"/>
  <c r="A13529" i="10"/>
  <c r="D13528" i="10"/>
  <c r="A13528" i="10"/>
  <c r="D13527" i="10"/>
  <c r="A13527" i="10"/>
  <c r="D13526" i="10"/>
  <c r="A13526" i="10"/>
  <c r="D13525" i="10"/>
  <c r="A13525" i="10"/>
  <c r="D13524" i="10"/>
  <c r="A13524" i="10"/>
  <c r="D13523" i="10"/>
  <c r="A13523" i="10"/>
  <c r="D13522" i="10"/>
  <c r="A13522" i="10"/>
  <c r="D13521" i="10"/>
  <c r="A13521" i="10"/>
  <c r="D13520" i="10"/>
  <c r="A13520" i="10"/>
  <c r="D13519" i="10"/>
  <c r="A13519" i="10"/>
  <c r="D13518" i="10"/>
  <c r="A13518" i="10"/>
  <c r="D13517" i="10"/>
  <c r="A13517" i="10"/>
  <c r="D13516" i="10"/>
  <c r="A13516" i="10"/>
  <c r="D13515" i="10"/>
  <c r="A13515" i="10"/>
  <c r="D13514" i="10"/>
  <c r="A13514" i="10"/>
  <c r="D13513" i="10"/>
  <c r="A13513" i="10"/>
  <c r="D13512" i="10"/>
  <c r="A13512" i="10"/>
  <c r="D13511" i="10"/>
  <c r="A13511" i="10"/>
  <c r="D13510" i="10"/>
  <c r="A13510" i="10"/>
  <c r="D13509" i="10"/>
  <c r="A13509" i="10"/>
  <c r="D13508" i="10"/>
  <c r="A13508" i="10"/>
  <c r="D13507" i="10"/>
  <c r="A13507" i="10"/>
  <c r="D13506" i="10"/>
  <c r="A13506" i="10"/>
  <c r="D13505" i="10"/>
  <c r="A13505" i="10"/>
  <c r="D13504" i="10"/>
  <c r="A13504" i="10"/>
  <c r="D13503" i="10"/>
  <c r="A13503" i="10"/>
  <c r="D13502" i="10"/>
  <c r="A13502" i="10"/>
  <c r="D13501" i="10"/>
  <c r="A13501" i="10"/>
  <c r="D13500" i="10"/>
  <c r="A13500" i="10"/>
  <c r="D13499" i="10"/>
  <c r="A13499" i="10"/>
  <c r="D13498" i="10"/>
  <c r="A13498" i="10"/>
  <c r="D13497" i="10"/>
  <c r="A13497" i="10"/>
  <c r="D13496" i="10"/>
  <c r="A13496" i="10"/>
  <c r="D13495" i="10"/>
  <c r="A13495" i="10"/>
  <c r="D13494" i="10"/>
  <c r="A13494" i="10"/>
  <c r="D13493" i="10"/>
  <c r="A13493" i="10"/>
  <c r="D13492" i="10"/>
  <c r="A13492" i="10"/>
  <c r="D13491" i="10"/>
  <c r="A13491" i="10"/>
  <c r="D13490" i="10"/>
  <c r="A13490" i="10"/>
  <c r="D13489" i="10"/>
  <c r="A13489" i="10"/>
  <c r="D13488" i="10"/>
  <c r="A13488" i="10"/>
  <c r="D13487" i="10"/>
  <c r="A13487" i="10"/>
  <c r="D13486" i="10"/>
  <c r="A13486" i="10"/>
  <c r="D13485" i="10"/>
  <c r="A13485" i="10"/>
  <c r="D13484" i="10"/>
  <c r="A13484" i="10"/>
  <c r="D13483" i="10"/>
  <c r="A13483" i="10"/>
  <c r="D13482" i="10"/>
  <c r="A13482" i="10"/>
  <c r="D13481" i="10"/>
  <c r="A13481" i="10"/>
  <c r="D13480" i="10"/>
  <c r="A13480" i="10"/>
  <c r="D13479" i="10"/>
  <c r="A13479" i="10"/>
  <c r="D13478" i="10"/>
  <c r="A13478" i="10"/>
  <c r="D13477" i="10"/>
  <c r="A13477" i="10"/>
  <c r="D13476" i="10"/>
  <c r="A13476" i="10"/>
  <c r="D13475" i="10"/>
  <c r="A13475" i="10"/>
  <c r="D13474" i="10"/>
  <c r="A13474" i="10"/>
  <c r="D13473" i="10"/>
  <c r="A13473" i="10"/>
  <c r="D13472" i="10"/>
  <c r="A13472" i="10"/>
  <c r="D13471" i="10"/>
  <c r="A13471" i="10"/>
  <c r="D13470" i="10"/>
  <c r="A13470" i="10"/>
  <c r="D13469" i="10"/>
  <c r="A13469" i="10"/>
  <c r="D13468" i="10"/>
  <c r="A13468" i="10"/>
  <c r="D13467" i="10"/>
  <c r="A13467" i="10"/>
  <c r="D13466" i="10"/>
  <c r="A13466" i="10"/>
  <c r="D13465" i="10"/>
  <c r="A13465" i="10"/>
  <c r="D13464" i="10"/>
  <c r="A13464" i="10"/>
  <c r="D13463" i="10"/>
  <c r="A13463" i="10"/>
  <c r="D13462" i="10"/>
  <c r="A13462" i="10"/>
  <c r="D13461" i="10"/>
  <c r="A13461" i="10"/>
  <c r="D13460" i="10"/>
  <c r="A13460" i="10"/>
  <c r="D13459" i="10"/>
  <c r="A13459" i="10"/>
  <c r="D13458" i="10"/>
  <c r="A13458" i="10"/>
  <c r="D13457" i="10"/>
  <c r="A13457" i="10"/>
  <c r="D13456" i="10"/>
  <c r="A13456" i="10"/>
  <c r="D13455" i="10"/>
  <c r="A13455" i="10"/>
  <c r="D13454" i="10"/>
  <c r="A13454" i="10"/>
  <c r="D13453" i="10"/>
  <c r="A13453" i="10"/>
  <c r="D13452" i="10"/>
  <c r="A13452" i="10"/>
  <c r="E13451" i="10"/>
  <c r="D13451" i="10"/>
  <c r="C13451" i="10"/>
  <c r="B13451" i="10"/>
  <c r="A13451" i="10"/>
  <c r="E13450" i="10"/>
  <c r="D13450" i="10"/>
  <c r="C13450" i="10"/>
  <c r="B13450" i="10"/>
  <c r="A13450" i="10"/>
  <c r="E13449" i="10"/>
  <c r="D13449" i="10"/>
  <c r="C13449" i="10"/>
  <c r="B13449" i="10"/>
  <c r="A13449" i="10"/>
  <c r="E13448" i="10"/>
  <c r="D13448" i="10"/>
  <c r="C13448" i="10"/>
  <c r="B13448" i="10"/>
  <c r="A13448" i="10"/>
  <c r="E13447" i="10"/>
  <c r="D13447" i="10"/>
  <c r="C13447" i="10"/>
  <c r="B13447" i="10"/>
  <c r="A13447" i="10"/>
  <c r="E13446" i="10"/>
  <c r="D13446" i="10"/>
  <c r="C13446" i="10"/>
  <c r="B13446" i="10"/>
  <c r="A13446" i="10"/>
  <c r="E13445" i="10"/>
  <c r="D13445" i="10"/>
  <c r="C13445" i="10"/>
  <c r="B13445" i="10"/>
  <c r="A13445" i="10"/>
  <c r="E13444" i="10"/>
  <c r="D13444" i="10"/>
  <c r="C13444" i="10"/>
  <c r="B13444" i="10"/>
  <c r="A13444" i="10"/>
  <c r="E13443" i="10"/>
  <c r="D13443" i="10"/>
  <c r="C13443" i="10"/>
  <c r="B13443" i="10"/>
  <c r="A13443" i="10"/>
  <c r="E13442" i="10"/>
  <c r="D13442" i="10"/>
  <c r="C13442" i="10"/>
  <c r="B13442" i="10"/>
  <c r="A13442" i="10"/>
  <c r="E13441" i="10"/>
  <c r="D13441" i="10"/>
  <c r="C13441" i="10"/>
  <c r="B13441" i="10"/>
  <c r="A13441" i="10"/>
  <c r="E13440" i="10"/>
  <c r="D13440" i="10"/>
  <c r="C13440" i="10"/>
  <c r="B13440" i="10"/>
  <c r="A13440" i="10"/>
  <c r="E13439" i="10"/>
  <c r="D13439" i="10"/>
  <c r="C13439" i="10"/>
  <c r="B13439" i="10"/>
  <c r="A13439" i="10"/>
  <c r="E13438" i="10"/>
  <c r="D13438" i="10"/>
  <c r="C13438" i="10"/>
  <c r="B13438" i="10"/>
  <c r="A13438" i="10"/>
  <c r="E13437" i="10"/>
  <c r="D13437" i="10"/>
  <c r="C13437" i="10"/>
  <c r="B13437" i="10"/>
  <c r="A13437" i="10"/>
  <c r="E13436" i="10"/>
  <c r="D13436" i="10"/>
  <c r="C13436" i="10"/>
  <c r="B13436" i="10"/>
  <c r="A13436" i="10"/>
  <c r="E13435" i="10"/>
  <c r="D13435" i="10"/>
  <c r="C13435" i="10"/>
  <c r="B13435" i="10"/>
  <c r="A13435" i="10"/>
  <c r="E13434" i="10"/>
  <c r="D13434" i="10"/>
  <c r="C13434" i="10"/>
  <c r="B13434" i="10"/>
  <c r="A13434" i="10"/>
  <c r="E13433" i="10"/>
  <c r="D13433" i="10"/>
  <c r="C13433" i="10"/>
  <c r="B13433" i="10"/>
  <c r="A13433" i="10"/>
  <c r="E13432" i="10"/>
  <c r="D13432" i="10"/>
  <c r="C13432" i="10"/>
  <c r="B13432" i="10"/>
  <c r="A13432" i="10"/>
  <c r="E13431" i="10"/>
  <c r="D13431" i="10"/>
  <c r="C13431" i="10"/>
  <c r="B13431" i="10"/>
  <c r="A13431" i="10"/>
  <c r="E13430" i="10"/>
  <c r="D13430" i="10"/>
  <c r="C13430" i="10"/>
  <c r="B13430" i="10"/>
  <c r="A13430" i="10"/>
  <c r="E13429" i="10"/>
  <c r="D13429" i="10"/>
  <c r="C13429" i="10"/>
  <c r="B13429" i="10"/>
  <c r="A13429" i="10"/>
  <c r="E13428" i="10"/>
  <c r="D13428" i="10"/>
  <c r="C13428" i="10"/>
  <c r="B13428" i="10"/>
  <c r="A13428" i="10"/>
  <c r="E13427" i="10"/>
  <c r="D13427" i="10"/>
  <c r="C13427" i="10"/>
  <c r="B13427" i="10"/>
  <c r="A13427" i="10"/>
  <c r="E13426" i="10"/>
  <c r="D13426" i="10"/>
  <c r="C13426" i="10"/>
  <c r="B13426" i="10"/>
  <c r="A13426" i="10"/>
  <c r="E13425" i="10"/>
  <c r="D13425" i="10"/>
  <c r="C13425" i="10"/>
  <c r="B13425" i="10"/>
  <c r="A13425" i="10"/>
  <c r="E13424" i="10"/>
  <c r="D13424" i="10"/>
  <c r="C13424" i="10"/>
  <c r="B13424" i="10"/>
  <c r="A13424" i="10"/>
  <c r="E13423" i="10"/>
  <c r="D13423" i="10"/>
  <c r="C13423" i="10"/>
  <c r="B13423" i="10"/>
  <c r="A13423" i="10"/>
  <c r="E13422" i="10"/>
  <c r="D13422" i="10"/>
  <c r="C13422" i="10"/>
  <c r="B13422" i="10"/>
  <c r="A13422" i="10"/>
  <c r="E13421" i="10"/>
  <c r="D13421" i="10"/>
  <c r="C13421" i="10"/>
  <c r="B13421" i="10"/>
  <c r="A13421" i="10"/>
  <c r="E13420" i="10"/>
  <c r="D13420" i="10"/>
  <c r="C13420" i="10"/>
  <c r="B13420" i="10"/>
  <c r="A13420" i="10"/>
  <c r="E13419" i="10"/>
  <c r="D13419" i="10"/>
  <c r="C13419" i="10"/>
  <c r="B13419" i="10"/>
  <c r="A13419" i="10"/>
  <c r="E13418" i="10"/>
  <c r="D13418" i="10"/>
  <c r="C13418" i="10"/>
  <c r="B13418" i="10"/>
  <c r="A13418" i="10"/>
  <c r="E13417" i="10"/>
  <c r="D13417" i="10"/>
  <c r="C13417" i="10"/>
  <c r="B13417" i="10"/>
  <c r="A13417" i="10"/>
  <c r="E13416" i="10"/>
  <c r="D13416" i="10"/>
  <c r="C13416" i="10"/>
  <c r="B13416" i="10"/>
  <c r="A13416" i="10"/>
  <c r="E13415" i="10"/>
  <c r="D13415" i="10"/>
  <c r="C13415" i="10"/>
  <c r="B13415" i="10"/>
  <c r="A13415" i="10"/>
  <c r="E13414" i="10"/>
  <c r="D13414" i="10"/>
  <c r="C13414" i="10"/>
  <c r="B13414" i="10"/>
  <c r="A13414" i="10"/>
  <c r="E13413" i="10"/>
  <c r="D13413" i="10"/>
  <c r="C13413" i="10"/>
  <c r="B13413" i="10"/>
  <c r="A13413" i="10"/>
  <c r="E13412" i="10"/>
  <c r="D13412" i="10"/>
  <c r="C13412" i="10"/>
  <c r="B13412" i="10"/>
  <c r="A13412" i="10"/>
  <c r="E13411" i="10"/>
  <c r="D13411" i="10"/>
  <c r="C13411" i="10"/>
  <c r="B13411" i="10"/>
  <c r="A13411" i="10"/>
  <c r="E13410" i="10"/>
  <c r="D13410" i="10"/>
  <c r="C13410" i="10"/>
  <c r="B13410" i="10"/>
  <c r="A13410" i="10"/>
  <c r="E13409" i="10"/>
  <c r="D13409" i="10"/>
  <c r="C13409" i="10"/>
  <c r="B13409" i="10"/>
  <c r="A13409" i="10"/>
  <c r="E13408" i="10"/>
  <c r="D13408" i="10"/>
  <c r="C13408" i="10"/>
  <c r="B13408" i="10"/>
  <c r="A13408" i="10"/>
  <c r="E13407" i="10"/>
  <c r="D13407" i="10"/>
  <c r="C13407" i="10"/>
  <c r="B13407" i="10"/>
  <c r="A13407" i="10"/>
  <c r="E13406" i="10"/>
  <c r="D13406" i="10"/>
  <c r="C13406" i="10"/>
  <c r="B13406" i="10"/>
  <c r="A13406" i="10"/>
  <c r="E13405" i="10"/>
  <c r="D13405" i="10"/>
  <c r="C13405" i="10"/>
  <c r="B13405" i="10"/>
  <c r="A13405" i="10"/>
  <c r="E13404" i="10"/>
  <c r="D13404" i="10"/>
  <c r="C13404" i="10"/>
  <c r="B13404" i="10"/>
  <c r="A13404" i="10"/>
  <c r="E13403" i="10"/>
  <c r="D13403" i="10"/>
  <c r="C13403" i="10"/>
  <c r="B13403" i="10"/>
  <c r="A13403" i="10"/>
  <c r="E13402" i="10"/>
  <c r="D13402" i="10"/>
  <c r="C13402" i="10"/>
  <c r="B13402" i="10"/>
  <c r="A13402" i="10"/>
  <c r="E13401" i="10"/>
  <c r="D13401" i="10"/>
  <c r="C13401" i="10"/>
  <c r="B13401" i="10"/>
  <c r="A13401" i="10"/>
  <c r="E13400" i="10"/>
  <c r="D13400" i="10"/>
  <c r="C13400" i="10"/>
  <c r="B13400" i="10"/>
  <c r="A13400" i="10"/>
  <c r="E13399" i="10"/>
  <c r="D13399" i="10"/>
  <c r="C13399" i="10"/>
  <c r="B13399" i="10"/>
  <c r="A13399" i="10"/>
  <c r="E13398" i="10"/>
  <c r="D13398" i="10"/>
  <c r="C13398" i="10"/>
  <c r="B13398" i="10"/>
  <c r="A13398" i="10"/>
  <c r="E13397" i="10"/>
  <c r="D13397" i="10"/>
  <c r="C13397" i="10"/>
  <c r="B13397" i="10"/>
  <c r="A13397" i="10"/>
  <c r="E13396" i="10"/>
  <c r="D13396" i="10"/>
  <c r="C13396" i="10"/>
  <c r="B13396" i="10"/>
  <c r="A13396" i="10"/>
  <c r="E13395" i="10"/>
  <c r="D13395" i="10"/>
  <c r="C13395" i="10"/>
  <c r="B13395" i="10"/>
  <c r="A13395" i="10"/>
  <c r="E13394" i="10"/>
  <c r="D13394" i="10"/>
  <c r="C13394" i="10"/>
  <c r="B13394" i="10"/>
  <c r="A13394" i="10"/>
  <c r="E13393" i="10"/>
  <c r="D13393" i="10"/>
  <c r="C13393" i="10"/>
  <c r="B13393" i="10"/>
  <c r="A13393" i="10"/>
  <c r="E13392" i="10"/>
  <c r="D13392" i="10"/>
  <c r="C13392" i="10"/>
  <c r="B13392" i="10"/>
  <c r="A13392" i="10"/>
  <c r="E13391" i="10"/>
  <c r="D13391" i="10"/>
  <c r="C13391" i="10"/>
  <c r="B13391" i="10"/>
  <c r="A13391" i="10"/>
  <c r="E13390" i="10"/>
  <c r="D13390" i="10"/>
  <c r="C13390" i="10"/>
  <c r="B13390" i="10"/>
  <c r="A13390" i="10"/>
  <c r="E13389" i="10"/>
  <c r="D13389" i="10"/>
  <c r="C13389" i="10"/>
  <c r="B13389" i="10"/>
  <c r="A13389" i="10"/>
  <c r="E13388" i="10"/>
  <c r="D13388" i="10"/>
  <c r="C13388" i="10"/>
  <c r="B13388" i="10"/>
  <c r="A13388" i="10"/>
  <c r="E13387" i="10"/>
  <c r="D13387" i="10"/>
  <c r="C13387" i="10"/>
  <c r="B13387" i="10"/>
  <c r="A13387" i="10"/>
  <c r="E13386" i="10"/>
  <c r="D13386" i="10"/>
  <c r="C13386" i="10"/>
  <c r="B13386" i="10"/>
  <c r="A13386" i="10"/>
  <c r="E13385" i="10"/>
  <c r="D13385" i="10"/>
  <c r="C13385" i="10"/>
  <c r="B13385" i="10"/>
  <c r="A13385" i="10"/>
  <c r="E13384" i="10"/>
  <c r="D13384" i="10"/>
  <c r="C13384" i="10"/>
  <c r="B13384" i="10"/>
  <c r="A13384" i="10"/>
  <c r="E13383" i="10"/>
  <c r="D13383" i="10"/>
  <c r="C13383" i="10"/>
  <c r="B13383" i="10"/>
  <c r="A13383" i="10"/>
  <c r="E13382" i="10"/>
  <c r="D13382" i="10"/>
  <c r="C13382" i="10"/>
  <c r="B13382" i="10"/>
  <c r="A13382" i="10"/>
  <c r="E13381" i="10"/>
  <c r="D13381" i="10"/>
  <c r="C13381" i="10"/>
  <c r="B13381" i="10"/>
  <c r="A13381" i="10"/>
  <c r="E13380" i="10"/>
  <c r="D13380" i="10"/>
  <c r="C13380" i="10"/>
  <c r="B13380" i="10"/>
  <c r="A13380" i="10"/>
  <c r="E13379" i="10"/>
  <c r="D13379" i="10"/>
  <c r="C13379" i="10"/>
  <c r="B13379" i="10"/>
  <c r="A13379" i="10"/>
  <c r="E13378" i="10"/>
  <c r="D13378" i="10"/>
  <c r="C13378" i="10"/>
  <c r="B13378" i="10"/>
  <c r="A13378" i="10"/>
  <c r="E13377" i="10"/>
  <c r="D13377" i="10"/>
  <c r="C13377" i="10"/>
  <c r="B13377" i="10"/>
  <c r="A13377" i="10"/>
  <c r="E13376" i="10"/>
  <c r="D13376" i="10"/>
  <c r="C13376" i="10"/>
  <c r="B13376" i="10"/>
  <c r="A13376" i="10"/>
  <c r="E13375" i="10"/>
  <c r="D13375" i="10"/>
  <c r="C13375" i="10"/>
  <c r="B13375" i="10"/>
  <c r="A13375" i="10"/>
  <c r="E13374" i="10"/>
  <c r="D13374" i="10"/>
  <c r="C13374" i="10"/>
  <c r="B13374" i="10"/>
  <c r="A13374" i="10"/>
  <c r="E13373" i="10"/>
  <c r="D13373" i="10"/>
  <c r="C13373" i="10"/>
  <c r="B13373" i="10"/>
  <c r="A13373" i="10"/>
  <c r="E13372" i="10"/>
  <c r="D13372" i="10"/>
  <c r="C13372" i="10"/>
  <c r="B13372" i="10"/>
  <c r="A13372" i="10"/>
  <c r="E13371" i="10"/>
  <c r="D13371" i="10"/>
  <c r="C13371" i="10"/>
  <c r="B13371" i="10"/>
  <c r="A13371" i="10"/>
  <c r="E13370" i="10"/>
  <c r="D13370" i="10"/>
  <c r="C13370" i="10"/>
  <c r="B13370" i="10"/>
  <c r="A13370" i="10"/>
  <c r="E13369" i="10"/>
  <c r="D13369" i="10"/>
  <c r="C13369" i="10"/>
  <c r="B13369" i="10"/>
  <c r="A13369" i="10"/>
  <c r="E13368" i="10"/>
  <c r="D13368" i="10"/>
  <c r="C13368" i="10"/>
  <c r="B13368" i="10"/>
  <c r="A13368" i="10"/>
  <c r="E13367" i="10"/>
  <c r="D13367" i="10"/>
  <c r="C13367" i="10"/>
  <c r="B13367" i="10"/>
  <c r="A13367" i="10"/>
  <c r="E13366" i="10"/>
  <c r="D13366" i="10"/>
  <c r="C13366" i="10"/>
  <c r="B13366" i="10"/>
  <c r="A13366" i="10"/>
  <c r="E13365" i="10"/>
  <c r="D13365" i="10"/>
  <c r="C13365" i="10"/>
  <c r="B13365" i="10"/>
  <c r="A13365" i="10"/>
  <c r="E13364" i="10"/>
  <c r="D13364" i="10"/>
  <c r="C13364" i="10"/>
  <c r="B13364" i="10"/>
  <c r="A13364" i="10"/>
  <c r="E13363" i="10"/>
  <c r="D13363" i="10"/>
  <c r="C13363" i="10"/>
  <c r="B13363" i="10"/>
  <c r="A13363" i="10"/>
  <c r="E13362" i="10"/>
  <c r="D13362" i="10"/>
  <c r="C13362" i="10"/>
  <c r="B13362" i="10"/>
  <c r="A13362" i="10"/>
  <c r="E13361" i="10"/>
  <c r="D13361" i="10"/>
  <c r="C13361" i="10"/>
  <c r="B13361" i="10"/>
  <c r="A13361" i="10"/>
  <c r="E13360" i="10"/>
  <c r="D13360" i="10"/>
  <c r="C13360" i="10"/>
  <c r="B13360" i="10"/>
  <c r="A13360" i="10"/>
  <c r="E13359" i="10"/>
  <c r="D13359" i="10"/>
  <c r="C13359" i="10"/>
  <c r="B13359" i="10"/>
  <c r="A13359" i="10"/>
  <c r="E13358" i="10"/>
  <c r="D13358" i="10"/>
  <c r="C13358" i="10"/>
  <c r="B13358" i="10"/>
  <c r="A13358" i="10"/>
  <c r="E13357" i="10"/>
  <c r="D13357" i="10"/>
  <c r="C13357" i="10"/>
  <c r="B13357" i="10"/>
  <c r="A13357" i="10"/>
  <c r="E13356" i="10"/>
  <c r="D13356" i="10"/>
  <c r="C13356" i="10"/>
  <c r="B13356" i="10"/>
  <c r="A13356" i="10"/>
  <c r="E13355" i="10"/>
  <c r="D13355" i="10"/>
  <c r="C13355" i="10"/>
  <c r="B13355" i="10"/>
  <c r="A13355" i="10"/>
  <c r="E13354" i="10"/>
  <c r="D13354" i="10"/>
  <c r="C13354" i="10"/>
  <c r="B13354" i="10"/>
  <c r="A13354" i="10"/>
  <c r="E13353" i="10"/>
  <c r="D13353" i="10"/>
  <c r="C13353" i="10"/>
  <c r="B13353" i="10"/>
  <c r="A13353" i="10"/>
  <c r="E13352" i="10"/>
  <c r="D13352" i="10"/>
  <c r="C13352" i="10"/>
  <c r="B13352" i="10"/>
  <c r="A13352" i="10"/>
  <c r="E13351" i="10"/>
  <c r="D13351" i="10"/>
  <c r="C13351" i="10"/>
  <c r="B13351" i="10"/>
  <c r="A13351" i="10"/>
  <c r="E13350" i="10"/>
  <c r="D13350" i="10"/>
  <c r="C13350" i="10"/>
  <c r="B13350" i="10"/>
  <c r="A13350" i="10"/>
  <c r="E13349" i="10"/>
  <c r="D13349" i="10"/>
  <c r="C13349" i="10"/>
  <c r="B13349" i="10"/>
  <c r="A13349" i="10"/>
  <c r="E13348" i="10"/>
  <c r="D13348" i="10"/>
  <c r="C13348" i="10"/>
  <c r="B13348" i="10"/>
  <c r="A13348" i="10"/>
  <c r="E13347" i="10"/>
  <c r="D13347" i="10"/>
  <c r="C13347" i="10"/>
  <c r="B13347" i="10"/>
  <c r="A13347" i="10"/>
  <c r="E13346" i="10"/>
  <c r="D13346" i="10"/>
  <c r="C13346" i="10"/>
  <c r="B13346" i="10"/>
  <c r="A13346" i="10"/>
  <c r="E13345" i="10"/>
  <c r="D13345" i="10"/>
  <c r="C13345" i="10"/>
  <c r="B13345" i="10"/>
  <c r="A13345" i="10"/>
  <c r="E13344" i="10"/>
  <c r="D13344" i="10"/>
  <c r="C13344" i="10"/>
  <c r="B13344" i="10"/>
  <c r="A13344" i="10"/>
  <c r="E13343" i="10"/>
  <c r="D13343" i="10"/>
  <c r="C13343" i="10"/>
  <c r="B13343" i="10"/>
  <c r="A13343" i="10"/>
  <c r="E13342" i="10"/>
  <c r="D13342" i="10"/>
  <c r="C13342" i="10"/>
  <c r="B13342" i="10"/>
  <c r="A13342" i="10"/>
  <c r="E13341" i="10"/>
  <c r="D13341" i="10"/>
  <c r="C13341" i="10"/>
  <c r="B13341" i="10"/>
  <c r="A13341" i="10"/>
  <c r="E13340" i="10"/>
  <c r="D13340" i="10"/>
  <c r="C13340" i="10"/>
  <c r="B13340" i="10"/>
  <c r="A13340" i="10"/>
  <c r="E13339" i="10"/>
  <c r="D13339" i="10"/>
  <c r="C13339" i="10"/>
  <c r="B13339" i="10"/>
  <c r="A13339" i="10"/>
  <c r="E13338" i="10"/>
  <c r="D13338" i="10"/>
  <c r="C13338" i="10"/>
  <c r="B13338" i="10"/>
  <c r="A13338" i="10"/>
  <c r="E13337" i="10"/>
  <c r="D13337" i="10"/>
  <c r="C13337" i="10"/>
  <c r="B13337" i="10"/>
  <c r="A13337" i="10"/>
  <c r="E13336" i="10"/>
  <c r="D13336" i="10"/>
  <c r="C13336" i="10"/>
  <c r="B13336" i="10"/>
  <c r="A13336" i="10"/>
  <c r="E13335" i="10"/>
  <c r="D13335" i="10"/>
  <c r="C13335" i="10"/>
  <c r="B13335" i="10"/>
  <c r="A13335" i="10"/>
  <c r="E13334" i="10"/>
  <c r="D13334" i="10"/>
  <c r="C13334" i="10"/>
  <c r="B13334" i="10"/>
  <c r="A13334" i="10"/>
  <c r="E13333" i="10"/>
  <c r="D13333" i="10"/>
  <c r="C13333" i="10"/>
  <c r="B13333" i="10"/>
  <c r="A13333" i="10"/>
  <c r="E13332" i="10"/>
  <c r="D13332" i="10"/>
  <c r="C13332" i="10"/>
  <c r="B13332" i="10"/>
  <c r="A13332" i="10"/>
  <c r="E13331" i="10"/>
  <c r="D13331" i="10"/>
  <c r="C13331" i="10"/>
  <c r="B13331" i="10"/>
  <c r="A13331" i="10"/>
  <c r="E13330" i="10"/>
  <c r="D13330" i="10"/>
  <c r="C13330" i="10"/>
  <c r="B13330" i="10"/>
  <c r="A13330" i="10"/>
  <c r="E13329" i="10"/>
  <c r="D13329" i="10"/>
  <c r="C13329" i="10"/>
  <c r="B13329" i="10"/>
  <c r="A13329" i="10"/>
  <c r="E13328" i="10"/>
  <c r="D13328" i="10"/>
  <c r="C13328" i="10"/>
  <c r="B13328" i="10"/>
  <c r="A13328" i="10"/>
  <c r="E13327" i="10"/>
  <c r="D13327" i="10"/>
  <c r="C13327" i="10"/>
  <c r="B13327" i="10"/>
  <c r="A13327" i="10"/>
  <c r="E13326" i="10"/>
  <c r="D13326" i="10"/>
  <c r="C13326" i="10"/>
  <c r="B13326" i="10"/>
  <c r="A13326" i="10"/>
  <c r="E13325" i="10"/>
  <c r="D13325" i="10"/>
  <c r="C13325" i="10"/>
  <c r="B13325" i="10"/>
  <c r="A13325" i="10"/>
  <c r="E13324" i="10"/>
  <c r="D13324" i="10"/>
  <c r="C13324" i="10"/>
  <c r="B13324" i="10"/>
  <c r="A13324" i="10"/>
  <c r="E13323" i="10"/>
  <c r="D13323" i="10"/>
  <c r="C13323" i="10"/>
  <c r="B13323" i="10"/>
  <c r="A13323" i="10"/>
  <c r="E13322" i="10"/>
  <c r="D13322" i="10"/>
  <c r="C13322" i="10"/>
  <c r="B13322" i="10"/>
  <c r="A13322" i="10"/>
  <c r="E13321" i="10"/>
  <c r="D13321" i="10"/>
  <c r="C13321" i="10"/>
  <c r="B13321" i="10"/>
  <c r="A13321" i="10"/>
  <c r="E13320" i="10"/>
  <c r="D13320" i="10"/>
  <c r="C13320" i="10"/>
  <c r="B13320" i="10"/>
  <c r="A13320" i="10"/>
  <c r="E13319" i="10"/>
  <c r="D13319" i="10"/>
  <c r="C13319" i="10"/>
  <c r="B13319" i="10"/>
  <c r="A13319" i="10"/>
  <c r="E13318" i="10"/>
  <c r="D13318" i="10"/>
  <c r="C13318" i="10"/>
  <c r="B13318" i="10"/>
  <c r="A13318" i="10"/>
  <c r="E13317" i="10"/>
  <c r="D13317" i="10"/>
  <c r="C13317" i="10"/>
  <c r="B13317" i="10"/>
  <c r="A13317" i="10"/>
  <c r="E13316" i="10"/>
  <c r="D13316" i="10"/>
  <c r="C13316" i="10"/>
  <c r="B13316" i="10"/>
  <c r="A13316" i="10"/>
  <c r="E13315" i="10"/>
  <c r="D13315" i="10"/>
  <c r="C13315" i="10"/>
  <c r="B13315" i="10"/>
  <c r="A13315" i="10"/>
  <c r="E13314" i="10"/>
  <c r="D13314" i="10"/>
  <c r="C13314" i="10"/>
  <c r="B13314" i="10"/>
  <c r="A13314" i="10"/>
  <c r="E13313" i="10"/>
  <c r="D13313" i="10"/>
  <c r="C13313" i="10"/>
  <c r="B13313" i="10"/>
  <c r="A13313" i="10"/>
  <c r="E13312" i="10"/>
  <c r="D13312" i="10"/>
  <c r="C13312" i="10"/>
  <c r="B13312" i="10"/>
  <c r="A13312" i="10"/>
  <c r="E13311" i="10"/>
  <c r="D13311" i="10"/>
  <c r="C13311" i="10"/>
  <c r="B13311" i="10"/>
  <c r="A13311" i="10"/>
  <c r="E13310" i="10"/>
  <c r="D13310" i="10"/>
  <c r="C13310" i="10"/>
  <c r="B13310" i="10"/>
  <c r="A13310" i="10"/>
  <c r="E13309" i="10"/>
  <c r="D13309" i="10"/>
  <c r="C13309" i="10"/>
  <c r="B13309" i="10"/>
  <c r="A13309" i="10"/>
  <c r="E13308" i="10"/>
  <c r="D13308" i="10"/>
  <c r="C13308" i="10"/>
  <c r="B13308" i="10"/>
  <c r="A13308" i="10"/>
  <c r="E13307" i="10"/>
  <c r="D13307" i="10"/>
  <c r="C13307" i="10"/>
  <c r="B13307" i="10"/>
  <c r="A13307" i="10"/>
  <c r="E13306" i="10"/>
  <c r="D13306" i="10"/>
  <c r="C13306" i="10"/>
  <c r="B13306" i="10"/>
  <c r="A13306" i="10"/>
  <c r="E13305" i="10"/>
  <c r="D13305" i="10"/>
  <c r="C13305" i="10"/>
  <c r="B13305" i="10"/>
  <c r="A13305" i="10"/>
  <c r="E13304" i="10"/>
  <c r="D13304" i="10"/>
  <c r="C13304" i="10"/>
  <c r="B13304" i="10"/>
  <c r="A13304" i="10"/>
  <c r="E13303" i="10"/>
  <c r="D13303" i="10"/>
  <c r="C13303" i="10"/>
  <c r="B13303" i="10"/>
  <c r="A13303" i="10"/>
  <c r="E13302" i="10"/>
  <c r="D13302" i="10"/>
  <c r="C13302" i="10"/>
  <c r="B13302" i="10"/>
  <c r="A13302" i="10"/>
  <c r="E13301" i="10"/>
  <c r="D13301" i="10"/>
  <c r="C13301" i="10"/>
  <c r="B13301" i="10"/>
  <c r="A13301" i="10"/>
  <c r="E13300" i="10"/>
  <c r="D13300" i="10"/>
  <c r="C13300" i="10"/>
  <c r="B13300" i="10"/>
  <c r="A13300" i="10"/>
  <c r="E13299" i="10"/>
  <c r="D13299" i="10"/>
  <c r="C13299" i="10"/>
  <c r="B13299" i="10"/>
  <c r="A13299" i="10"/>
  <c r="E13298" i="10"/>
  <c r="D13298" i="10"/>
  <c r="C13298" i="10"/>
  <c r="B13298" i="10"/>
  <c r="A13298" i="10"/>
  <c r="E13297" i="10"/>
  <c r="D13297" i="10"/>
  <c r="C13297" i="10"/>
  <c r="B13297" i="10"/>
  <c r="A13297" i="10"/>
  <c r="E13296" i="10"/>
  <c r="D13296" i="10"/>
  <c r="C13296" i="10"/>
  <c r="B13296" i="10"/>
  <c r="A13296" i="10"/>
  <c r="E13295" i="10"/>
  <c r="D13295" i="10"/>
  <c r="C13295" i="10"/>
  <c r="B13295" i="10"/>
  <c r="A13295" i="10"/>
  <c r="E13294" i="10"/>
  <c r="D13294" i="10"/>
  <c r="C13294" i="10"/>
  <c r="B13294" i="10"/>
  <c r="A13294" i="10"/>
  <c r="E13293" i="10"/>
  <c r="D13293" i="10"/>
  <c r="C13293" i="10"/>
  <c r="B13293" i="10"/>
  <c r="A13293" i="10"/>
  <c r="E13292" i="10"/>
  <c r="D13292" i="10"/>
  <c r="C13292" i="10"/>
  <c r="B13292" i="10"/>
  <c r="A13292" i="10"/>
  <c r="E13291" i="10"/>
  <c r="D13291" i="10"/>
  <c r="C13291" i="10"/>
  <c r="B13291" i="10"/>
  <c r="A13291" i="10"/>
  <c r="E13290" i="10"/>
  <c r="D13290" i="10"/>
  <c r="C13290" i="10"/>
  <c r="B13290" i="10"/>
  <c r="A13290" i="10"/>
  <c r="E13289" i="10"/>
  <c r="D13289" i="10"/>
  <c r="C13289" i="10"/>
  <c r="B13289" i="10"/>
  <c r="A13289" i="10"/>
  <c r="E13288" i="10"/>
  <c r="D13288" i="10"/>
  <c r="C13288" i="10"/>
  <c r="B13288" i="10"/>
  <c r="A13288" i="10"/>
  <c r="E13287" i="10"/>
  <c r="D13287" i="10"/>
  <c r="C13287" i="10"/>
  <c r="B13287" i="10"/>
  <c r="A13287" i="10"/>
  <c r="E13286" i="10"/>
  <c r="D13286" i="10"/>
  <c r="C13286" i="10"/>
  <c r="B13286" i="10"/>
  <c r="A13286" i="10"/>
  <c r="E13285" i="10"/>
  <c r="D13285" i="10"/>
  <c r="C13285" i="10"/>
  <c r="B13285" i="10"/>
  <c r="A13285" i="10"/>
  <c r="E13284" i="10"/>
  <c r="D13284" i="10"/>
  <c r="C13284" i="10"/>
  <c r="B13284" i="10"/>
  <c r="A13284" i="10"/>
  <c r="E13283" i="10"/>
  <c r="D13283" i="10"/>
  <c r="C13283" i="10"/>
  <c r="B13283" i="10"/>
  <c r="A13283" i="10"/>
  <c r="E13282" i="10"/>
  <c r="D13282" i="10"/>
  <c r="C13282" i="10"/>
  <c r="B13282" i="10"/>
  <c r="A13282" i="10"/>
  <c r="E13281" i="10"/>
  <c r="D13281" i="10"/>
  <c r="C13281" i="10"/>
  <c r="B13281" i="10"/>
  <c r="A13281" i="10"/>
  <c r="E13280" i="10"/>
  <c r="D13280" i="10"/>
  <c r="C13280" i="10"/>
  <c r="B13280" i="10"/>
  <c r="A13280" i="10"/>
  <c r="E13279" i="10"/>
  <c r="D13279" i="10"/>
  <c r="C13279" i="10"/>
  <c r="B13279" i="10"/>
  <c r="A13279" i="10"/>
  <c r="E13278" i="10"/>
  <c r="D13278" i="10"/>
  <c r="C13278" i="10"/>
  <c r="B13278" i="10"/>
  <c r="A13278" i="10"/>
  <c r="E13277" i="10"/>
  <c r="D13277" i="10"/>
  <c r="C13277" i="10"/>
  <c r="B13277" i="10"/>
  <c r="A13277" i="10"/>
  <c r="E13276" i="10"/>
  <c r="D13276" i="10"/>
  <c r="C13276" i="10"/>
  <c r="B13276" i="10"/>
  <c r="A13276" i="10"/>
  <c r="E13275" i="10"/>
  <c r="D13275" i="10"/>
  <c r="C13275" i="10"/>
  <c r="B13275" i="10"/>
  <c r="A13275" i="10"/>
  <c r="E13274" i="10"/>
  <c r="D13274" i="10"/>
  <c r="C13274" i="10"/>
  <c r="B13274" i="10"/>
  <c r="A13274" i="10"/>
  <c r="E13273" i="10"/>
  <c r="D13273" i="10"/>
  <c r="C13273" i="10"/>
  <c r="B13273" i="10"/>
  <c r="A13273" i="10"/>
  <c r="E13272" i="10"/>
  <c r="D13272" i="10"/>
  <c r="C13272" i="10"/>
  <c r="B13272" i="10"/>
  <c r="A13272" i="10"/>
  <c r="E13271" i="10"/>
  <c r="D13271" i="10"/>
  <c r="C13271" i="10"/>
  <c r="B13271" i="10"/>
  <c r="A13271" i="10"/>
  <c r="E13270" i="10"/>
  <c r="D13270" i="10"/>
  <c r="C13270" i="10"/>
  <c r="B13270" i="10"/>
  <c r="A13270" i="10"/>
  <c r="E13269" i="10"/>
  <c r="D13269" i="10"/>
  <c r="C13269" i="10"/>
  <c r="B13269" i="10"/>
  <c r="A13269" i="10"/>
  <c r="E13268" i="10"/>
  <c r="D13268" i="10"/>
  <c r="C13268" i="10"/>
  <c r="B13268" i="10"/>
  <c r="A13268" i="10"/>
  <c r="E13267" i="10"/>
  <c r="D13267" i="10"/>
  <c r="C13267" i="10"/>
  <c r="B13267" i="10"/>
  <c r="A13267" i="10"/>
  <c r="E13266" i="10"/>
  <c r="D13266" i="10"/>
  <c r="C13266" i="10"/>
  <c r="B13266" i="10"/>
  <c r="A13266" i="10"/>
  <c r="E13265" i="10"/>
  <c r="D13265" i="10"/>
  <c r="C13265" i="10"/>
  <c r="B13265" i="10"/>
  <c r="A13265" i="10"/>
  <c r="E13264" i="10"/>
  <c r="D13264" i="10"/>
  <c r="C13264" i="10"/>
  <c r="B13264" i="10"/>
  <c r="A13264" i="10"/>
  <c r="E13263" i="10"/>
  <c r="D13263" i="10"/>
  <c r="C13263" i="10"/>
  <c r="B13263" i="10"/>
  <c r="A13263" i="10"/>
  <c r="E13262" i="10"/>
  <c r="D13262" i="10"/>
  <c r="C13262" i="10"/>
  <c r="B13262" i="10"/>
  <c r="A13262" i="10"/>
  <c r="E13261" i="10"/>
  <c r="D13261" i="10"/>
  <c r="C13261" i="10"/>
  <c r="B13261" i="10"/>
  <c r="A13261" i="10"/>
  <c r="E13260" i="10"/>
  <c r="D13260" i="10"/>
  <c r="C13260" i="10"/>
  <c r="B13260" i="10"/>
  <c r="A13260" i="10"/>
  <c r="E13259" i="10"/>
  <c r="D13259" i="10"/>
  <c r="C13259" i="10"/>
  <c r="B13259" i="10"/>
  <c r="A13259" i="10"/>
  <c r="E13258" i="10"/>
  <c r="D13258" i="10"/>
  <c r="C13258" i="10"/>
  <c r="B13258" i="10"/>
  <c r="A13258" i="10"/>
  <c r="E13257" i="10"/>
  <c r="D13257" i="10"/>
  <c r="C13257" i="10"/>
  <c r="B13257" i="10"/>
  <c r="A13257" i="10"/>
  <c r="E13256" i="10"/>
  <c r="D13256" i="10"/>
  <c r="C13256" i="10"/>
  <c r="B13256" i="10"/>
  <c r="A13256" i="10"/>
  <c r="E13255" i="10"/>
  <c r="D13255" i="10"/>
  <c r="C13255" i="10"/>
  <c r="B13255" i="10"/>
  <c r="A13255" i="10"/>
  <c r="E13254" i="10"/>
  <c r="D13254" i="10"/>
  <c r="C13254" i="10"/>
  <c r="B13254" i="10"/>
  <c r="A13254" i="10"/>
  <c r="E13253" i="10"/>
  <c r="D13253" i="10"/>
  <c r="C13253" i="10"/>
  <c r="B13253" i="10"/>
  <c r="A13253" i="10"/>
  <c r="E13252" i="10"/>
  <c r="D13252" i="10"/>
  <c r="C13252" i="10"/>
  <c r="B13252" i="10"/>
  <c r="A13252" i="10"/>
  <c r="E13251" i="10"/>
  <c r="D13251" i="10"/>
  <c r="C13251" i="10"/>
  <c r="B13251" i="10"/>
  <c r="A13251" i="10"/>
  <c r="E13250" i="10"/>
  <c r="D13250" i="10"/>
  <c r="C13250" i="10"/>
  <c r="B13250" i="10"/>
  <c r="A13250" i="10"/>
  <c r="E13249" i="10"/>
  <c r="D13249" i="10"/>
  <c r="C13249" i="10"/>
  <c r="B13249" i="10"/>
  <c r="A13249" i="10"/>
  <c r="E13248" i="10"/>
  <c r="D13248" i="10"/>
  <c r="C13248" i="10"/>
  <c r="B13248" i="10"/>
  <c r="A13248" i="10"/>
  <c r="E13247" i="10"/>
  <c r="D13247" i="10"/>
  <c r="C13247" i="10"/>
  <c r="B13247" i="10"/>
  <c r="A13247" i="10"/>
  <c r="E13246" i="10"/>
  <c r="D13246" i="10"/>
  <c r="C13246" i="10"/>
  <c r="B13246" i="10"/>
  <c r="A13246" i="10"/>
  <c r="E13245" i="10"/>
  <c r="D13245" i="10"/>
  <c r="C13245" i="10"/>
  <c r="B13245" i="10"/>
  <c r="A13245" i="10"/>
  <c r="E13244" i="10"/>
  <c r="D13244" i="10"/>
  <c r="C13244" i="10"/>
  <c r="B13244" i="10"/>
  <c r="A13244" i="10"/>
  <c r="E13243" i="10"/>
  <c r="D13243" i="10"/>
  <c r="C13243" i="10"/>
  <c r="B13243" i="10"/>
  <c r="A13243" i="10"/>
  <c r="E13242" i="10"/>
  <c r="D13242" i="10"/>
  <c r="C13242" i="10"/>
  <c r="B13242" i="10"/>
  <c r="A13242" i="10"/>
  <c r="E13241" i="10"/>
  <c r="D13241" i="10"/>
  <c r="C13241" i="10"/>
  <c r="B13241" i="10"/>
  <c r="A13241" i="10"/>
  <c r="E13240" i="10"/>
  <c r="D13240" i="10"/>
  <c r="C13240" i="10"/>
  <c r="B13240" i="10"/>
  <c r="A13240" i="10"/>
  <c r="E13239" i="10"/>
  <c r="D13239" i="10"/>
  <c r="C13239" i="10"/>
  <c r="B13239" i="10"/>
  <c r="A13239" i="10"/>
  <c r="E13238" i="10"/>
  <c r="D13238" i="10"/>
  <c r="C13238" i="10"/>
  <c r="B13238" i="10"/>
  <c r="A13238" i="10"/>
  <c r="E13237" i="10"/>
  <c r="D13237" i="10"/>
  <c r="C13237" i="10"/>
  <c r="B13237" i="10"/>
  <c r="A13237" i="10"/>
  <c r="E13236" i="10"/>
  <c r="D13236" i="10"/>
  <c r="C13236" i="10"/>
  <c r="B13236" i="10"/>
  <c r="A13236" i="10"/>
  <c r="E13235" i="10"/>
  <c r="D13235" i="10"/>
  <c r="C13235" i="10"/>
  <c r="B13235" i="10"/>
  <c r="A13235" i="10"/>
  <c r="E13234" i="10"/>
  <c r="D13234" i="10"/>
  <c r="C13234" i="10"/>
  <c r="B13234" i="10"/>
  <c r="A13234" i="10"/>
  <c r="E13233" i="10"/>
  <c r="D13233" i="10"/>
  <c r="C13233" i="10"/>
  <c r="B13233" i="10"/>
  <c r="A13233" i="10"/>
  <c r="E13232" i="10"/>
  <c r="D13232" i="10"/>
  <c r="C13232" i="10"/>
  <c r="B13232" i="10"/>
  <c r="A13232" i="10"/>
  <c r="E13231" i="10"/>
  <c r="D13231" i="10"/>
  <c r="C13231" i="10"/>
  <c r="B13231" i="10"/>
  <c r="A13231" i="10"/>
  <c r="E13230" i="10"/>
  <c r="D13230" i="10"/>
  <c r="C13230" i="10"/>
  <c r="B13230" i="10"/>
  <c r="A13230" i="10"/>
  <c r="E13229" i="10"/>
  <c r="D13229" i="10"/>
  <c r="C13229" i="10"/>
  <c r="B13229" i="10"/>
  <c r="A13229" i="10"/>
  <c r="E13228" i="10"/>
  <c r="D13228" i="10"/>
  <c r="C13228" i="10"/>
  <c r="B13228" i="10"/>
  <c r="A13228" i="10"/>
  <c r="E13227" i="10"/>
  <c r="D13227" i="10"/>
  <c r="C13227" i="10"/>
  <c r="B13227" i="10"/>
  <c r="A13227" i="10"/>
  <c r="E13226" i="10"/>
  <c r="D13226" i="10"/>
  <c r="C13226" i="10"/>
  <c r="B13226" i="10"/>
  <c r="A13226" i="10"/>
  <c r="E13225" i="10"/>
  <c r="D13225" i="10"/>
  <c r="C13225" i="10"/>
  <c r="B13225" i="10"/>
  <c r="A13225" i="10"/>
  <c r="E13224" i="10"/>
  <c r="D13224" i="10"/>
  <c r="C13224" i="10"/>
  <c r="B13224" i="10"/>
  <c r="A13224" i="10"/>
  <c r="E13223" i="10"/>
  <c r="D13223" i="10"/>
  <c r="C13223" i="10"/>
  <c r="B13223" i="10"/>
  <c r="A13223" i="10"/>
  <c r="E13222" i="10"/>
  <c r="D13222" i="10"/>
  <c r="C13222" i="10"/>
  <c r="B13222" i="10"/>
  <c r="A13222" i="10"/>
  <c r="E13221" i="10"/>
  <c r="D13221" i="10"/>
  <c r="C13221" i="10"/>
  <c r="B13221" i="10"/>
  <c r="A13221" i="10"/>
  <c r="E13220" i="10"/>
  <c r="D13220" i="10"/>
  <c r="C13220" i="10"/>
  <c r="B13220" i="10"/>
  <c r="A13220" i="10"/>
  <c r="E13219" i="10"/>
  <c r="D13219" i="10"/>
  <c r="C13219" i="10"/>
  <c r="B13219" i="10"/>
  <c r="A13219" i="10"/>
  <c r="E13218" i="10"/>
  <c r="D13218" i="10"/>
  <c r="C13218" i="10"/>
  <c r="B13218" i="10"/>
  <c r="A13218" i="10"/>
  <c r="E13217" i="10"/>
  <c r="D13217" i="10"/>
  <c r="C13217" i="10"/>
  <c r="B13217" i="10"/>
  <c r="A13217" i="10"/>
  <c r="E13216" i="10"/>
  <c r="D13216" i="10"/>
  <c r="C13216" i="10"/>
  <c r="B13216" i="10"/>
  <c r="A13216" i="10"/>
  <c r="E13215" i="10"/>
  <c r="D13215" i="10"/>
  <c r="C13215" i="10"/>
  <c r="B13215" i="10"/>
  <c r="A13215" i="10"/>
  <c r="E13214" i="10"/>
  <c r="D13214" i="10"/>
  <c r="C13214" i="10"/>
  <c r="B13214" i="10"/>
  <c r="A13214" i="10"/>
  <c r="E13213" i="10"/>
  <c r="D13213" i="10"/>
  <c r="C13213" i="10"/>
  <c r="B13213" i="10"/>
  <c r="A13213" i="10"/>
  <c r="E13212" i="10"/>
  <c r="D13212" i="10"/>
  <c r="C13212" i="10"/>
  <c r="B13212" i="10"/>
  <c r="A13212" i="10"/>
  <c r="E13211" i="10"/>
  <c r="D13211" i="10"/>
  <c r="C13211" i="10"/>
  <c r="B13211" i="10"/>
  <c r="A13211" i="10"/>
  <c r="E13210" i="10"/>
  <c r="D13210" i="10"/>
  <c r="C13210" i="10"/>
  <c r="B13210" i="10"/>
  <c r="A13210" i="10"/>
  <c r="E13209" i="10"/>
  <c r="D13209" i="10"/>
  <c r="C13209" i="10"/>
  <c r="B13209" i="10"/>
  <c r="A13209" i="10"/>
  <c r="E13208" i="10"/>
  <c r="D13208" i="10"/>
  <c r="C13208" i="10"/>
  <c r="B13208" i="10"/>
  <c r="A13208" i="10"/>
  <c r="E13207" i="10"/>
  <c r="D13207" i="10"/>
  <c r="C13207" i="10"/>
  <c r="B13207" i="10"/>
  <c r="A13207" i="10"/>
  <c r="E13206" i="10"/>
  <c r="D13206" i="10"/>
  <c r="C13206" i="10"/>
  <c r="B13206" i="10"/>
  <c r="A13206" i="10"/>
  <c r="E13205" i="10"/>
  <c r="D13205" i="10"/>
  <c r="C13205" i="10"/>
  <c r="B13205" i="10"/>
  <c r="A13205" i="10"/>
  <c r="E13204" i="10"/>
  <c r="D13204" i="10"/>
  <c r="C13204" i="10"/>
  <c r="B13204" i="10"/>
  <c r="A13204" i="10"/>
  <c r="E13203" i="10"/>
  <c r="D13203" i="10"/>
  <c r="C13203" i="10"/>
  <c r="B13203" i="10"/>
  <c r="A13203" i="10"/>
  <c r="E13202" i="10"/>
  <c r="D13202" i="10"/>
  <c r="C13202" i="10"/>
  <c r="B13202" i="10"/>
  <c r="A13202" i="10"/>
  <c r="E13201" i="10"/>
  <c r="D13201" i="10"/>
  <c r="C13201" i="10"/>
  <c r="B13201" i="10"/>
  <c r="A13201" i="10"/>
  <c r="E13200" i="10"/>
  <c r="D13200" i="10"/>
  <c r="C13200" i="10"/>
  <c r="B13200" i="10"/>
  <c r="A13200" i="10"/>
  <c r="E13199" i="10"/>
  <c r="D13199" i="10"/>
  <c r="C13199" i="10"/>
  <c r="B13199" i="10"/>
  <c r="A13199" i="10"/>
  <c r="E13198" i="10"/>
  <c r="D13198" i="10"/>
  <c r="C13198" i="10"/>
  <c r="B13198" i="10"/>
  <c r="A13198" i="10"/>
  <c r="E13197" i="10"/>
  <c r="D13197" i="10"/>
  <c r="C13197" i="10"/>
  <c r="B13197" i="10"/>
  <c r="A13197" i="10"/>
  <c r="E13196" i="10"/>
  <c r="D13196" i="10"/>
  <c r="C13196" i="10"/>
  <c r="B13196" i="10"/>
  <c r="A13196" i="10"/>
  <c r="E13195" i="10"/>
  <c r="D13195" i="10"/>
  <c r="C13195" i="10"/>
  <c r="B13195" i="10"/>
  <c r="A13195" i="10"/>
  <c r="E13194" i="10"/>
  <c r="D13194" i="10"/>
  <c r="C13194" i="10"/>
  <c r="B13194" i="10"/>
  <c r="A13194" i="10"/>
  <c r="E13193" i="10"/>
  <c r="D13193" i="10"/>
  <c r="C13193" i="10"/>
  <c r="B13193" i="10"/>
  <c r="A13193" i="10"/>
  <c r="E13192" i="10"/>
  <c r="D13192" i="10"/>
  <c r="C13192" i="10"/>
  <c r="B13192" i="10"/>
  <c r="A13192" i="10"/>
  <c r="E13191" i="10"/>
  <c r="D13191" i="10"/>
  <c r="C13191" i="10"/>
  <c r="B13191" i="10"/>
  <c r="A13191" i="10"/>
  <c r="E13190" i="10"/>
  <c r="D13190" i="10"/>
  <c r="C13190" i="10"/>
  <c r="B13190" i="10"/>
  <c r="A13190" i="10"/>
  <c r="E13189" i="10"/>
  <c r="D13189" i="10"/>
  <c r="C13189" i="10"/>
  <c r="B13189" i="10"/>
  <c r="A13189" i="10"/>
  <c r="E13188" i="10"/>
  <c r="D13188" i="10"/>
  <c r="C13188" i="10"/>
  <c r="B13188" i="10"/>
  <c r="A13188" i="10"/>
  <c r="E13187" i="10"/>
  <c r="D13187" i="10"/>
  <c r="C13187" i="10"/>
  <c r="B13187" i="10"/>
  <c r="A13187" i="10"/>
  <c r="E13186" i="10"/>
  <c r="D13186" i="10"/>
  <c r="C13186" i="10"/>
  <c r="B13186" i="10"/>
  <c r="A13186" i="10"/>
  <c r="E13185" i="10"/>
  <c r="D13185" i="10"/>
  <c r="C13185" i="10"/>
  <c r="B13185" i="10"/>
  <c r="A13185" i="10"/>
  <c r="E13184" i="10"/>
  <c r="D13184" i="10"/>
  <c r="C13184" i="10"/>
  <c r="B13184" i="10"/>
  <c r="A13184" i="10"/>
  <c r="E13183" i="10"/>
  <c r="D13183" i="10"/>
  <c r="C13183" i="10"/>
  <c r="B13183" i="10"/>
  <c r="A13183" i="10"/>
  <c r="E13182" i="10"/>
  <c r="D13182" i="10"/>
  <c r="C13182" i="10"/>
  <c r="B13182" i="10"/>
  <c r="A13182" i="10"/>
  <c r="E13181" i="10"/>
  <c r="D13181" i="10"/>
  <c r="C13181" i="10"/>
  <c r="B13181" i="10"/>
  <c r="A13181" i="10"/>
  <c r="E13180" i="10"/>
  <c r="D13180" i="10"/>
  <c r="C13180" i="10"/>
  <c r="B13180" i="10"/>
  <c r="A13180" i="10"/>
  <c r="E13179" i="10"/>
  <c r="D13179" i="10"/>
  <c r="C13179" i="10"/>
  <c r="B13179" i="10"/>
  <c r="A13179" i="10"/>
  <c r="E13178" i="10"/>
  <c r="D13178" i="10"/>
  <c r="C13178" i="10"/>
  <c r="B13178" i="10"/>
  <c r="A13178" i="10"/>
  <c r="E13177" i="10"/>
  <c r="D13177" i="10"/>
  <c r="C13177" i="10"/>
  <c r="B13177" i="10"/>
  <c r="A13177" i="10"/>
  <c r="E13176" i="10"/>
  <c r="D13176" i="10"/>
  <c r="C13176" i="10"/>
  <c r="B13176" i="10"/>
  <c r="A13176" i="10"/>
  <c r="E13175" i="10"/>
  <c r="D13175" i="10"/>
  <c r="C13175" i="10"/>
  <c r="B13175" i="10"/>
  <c r="A13175" i="10"/>
  <c r="E13174" i="10"/>
  <c r="D13174" i="10"/>
  <c r="C13174" i="10"/>
  <c r="B13174" i="10"/>
  <c r="A13174" i="10"/>
  <c r="E13173" i="10"/>
  <c r="D13173" i="10"/>
  <c r="C13173" i="10"/>
  <c r="B13173" i="10"/>
  <c r="A13173" i="10"/>
  <c r="E13172" i="10"/>
  <c r="D13172" i="10"/>
  <c r="C13172" i="10"/>
  <c r="B13172" i="10"/>
  <c r="A13172" i="10"/>
  <c r="E13171" i="10"/>
  <c r="D13171" i="10"/>
  <c r="C13171" i="10"/>
  <c r="B13171" i="10"/>
  <c r="A13171" i="10"/>
  <c r="E13170" i="10"/>
  <c r="D13170" i="10"/>
  <c r="C13170" i="10"/>
  <c r="B13170" i="10"/>
  <c r="A13170" i="10"/>
  <c r="E13169" i="10"/>
  <c r="D13169" i="10"/>
  <c r="C13169" i="10"/>
  <c r="B13169" i="10"/>
  <c r="A13169" i="10"/>
  <c r="E13168" i="10"/>
  <c r="D13168" i="10"/>
  <c r="C13168" i="10"/>
  <c r="B13168" i="10"/>
  <c r="A13168" i="10"/>
  <c r="E13167" i="10"/>
  <c r="D13167" i="10"/>
  <c r="C13167" i="10"/>
  <c r="B13167" i="10"/>
  <c r="A13167" i="10"/>
  <c r="E13166" i="10"/>
  <c r="D13166" i="10"/>
  <c r="C13166" i="10"/>
  <c r="B13166" i="10"/>
  <c r="A13166" i="10"/>
  <c r="E13165" i="10"/>
  <c r="D13165" i="10"/>
  <c r="C13165" i="10"/>
  <c r="B13165" i="10"/>
  <c r="A13165" i="10"/>
  <c r="E13164" i="10"/>
  <c r="D13164" i="10"/>
  <c r="C13164" i="10"/>
  <c r="B13164" i="10"/>
  <c r="A13164" i="10"/>
  <c r="E13163" i="10"/>
  <c r="D13163" i="10"/>
  <c r="C13163" i="10"/>
  <c r="B13163" i="10"/>
  <c r="A13163" i="10"/>
  <c r="E13162" i="10"/>
  <c r="D13162" i="10"/>
  <c r="C13162" i="10"/>
  <c r="B13162" i="10"/>
  <c r="A13162" i="10"/>
  <c r="E13161" i="10"/>
  <c r="D13161" i="10"/>
  <c r="C13161" i="10"/>
  <c r="B13161" i="10"/>
  <c r="A13161" i="10"/>
  <c r="E13160" i="10"/>
  <c r="D13160" i="10"/>
  <c r="C13160" i="10"/>
  <c r="B13160" i="10"/>
  <c r="A13160" i="10"/>
  <c r="E13159" i="10"/>
  <c r="D13159" i="10"/>
  <c r="C13159" i="10"/>
  <c r="B13159" i="10"/>
  <c r="A13159" i="10"/>
  <c r="E13158" i="10"/>
  <c r="D13158" i="10"/>
  <c r="C13158" i="10"/>
  <c r="B13158" i="10"/>
  <c r="A13158" i="10"/>
  <c r="E13157" i="10"/>
  <c r="D13157" i="10"/>
  <c r="C13157" i="10"/>
  <c r="B13157" i="10"/>
  <c r="A13157" i="10"/>
  <c r="E13156" i="10"/>
  <c r="D13156" i="10"/>
  <c r="C13156" i="10"/>
  <c r="B13156" i="10"/>
  <c r="A13156" i="10"/>
  <c r="E13155" i="10"/>
  <c r="D13155" i="10"/>
  <c r="C13155" i="10"/>
  <c r="B13155" i="10"/>
  <c r="A13155" i="10"/>
  <c r="E13154" i="10"/>
  <c r="D13154" i="10"/>
  <c r="C13154" i="10"/>
  <c r="B13154" i="10"/>
  <c r="A13154" i="10"/>
  <c r="E13153" i="10"/>
  <c r="D13153" i="10"/>
  <c r="C13153" i="10"/>
  <c r="B13153" i="10"/>
  <c r="A13153" i="10"/>
  <c r="E13152" i="10"/>
  <c r="D13152" i="10"/>
  <c r="C13152" i="10"/>
  <c r="B13152" i="10"/>
  <c r="A13152" i="10"/>
  <c r="E13151" i="10"/>
  <c r="D13151" i="10"/>
  <c r="C13151" i="10"/>
  <c r="B13151" i="10"/>
  <c r="A13151" i="10"/>
  <c r="E13150" i="10"/>
  <c r="D13150" i="10"/>
  <c r="C13150" i="10"/>
  <c r="B13150" i="10"/>
  <c r="A13150" i="10"/>
  <c r="E13149" i="10"/>
  <c r="D13149" i="10"/>
  <c r="C13149" i="10"/>
  <c r="B13149" i="10"/>
  <c r="A13149" i="10"/>
  <c r="E13148" i="10"/>
  <c r="D13148" i="10"/>
  <c r="C13148" i="10"/>
  <c r="B13148" i="10"/>
  <c r="A13148" i="10"/>
  <c r="E13147" i="10"/>
  <c r="D13147" i="10"/>
  <c r="C13147" i="10"/>
  <c r="B13147" i="10"/>
  <c r="A13147" i="10"/>
  <c r="E13146" i="10"/>
  <c r="D13146" i="10"/>
  <c r="C13146" i="10"/>
  <c r="B13146" i="10"/>
  <c r="A13146" i="10"/>
  <c r="E13145" i="10"/>
  <c r="D13145" i="10"/>
  <c r="C13145" i="10"/>
  <c r="B13145" i="10"/>
  <c r="A13145" i="10"/>
  <c r="E13144" i="10"/>
  <c r="D13144" i="10"/>
  <c r="C13144" i="10"/>
  <c r="B13144" i="10"/>
  <c r="A13144" i="10"/>
  <c r="E13143" i="10"/>
  <c r="D13143" i="10"/>
  <c r="C13143" i="10"/>
  <c r="B13143" i="10"/>
  <c r="A13143" i="10"/>
  <c r="E13142" i="10"/>
  <c r="D13142" i="10"/>
  <c r="C13142" i="10"/>
  <c r="B13142" i="10"/>
  <c r="A13142" i="10"/>
  <c r="E13141" i="10"/>
  <c r="D13141" i="10"/>
  <c r="C13141" i="10"/>
  <c r="B13141" i="10"/>
  <c r="A13141" i="10"/>
  <c r="E13140" i="10"/>
  <c r="D13140" i="10"/>
  <c r="C13140" i="10"/>
  <c r="B13140" i="10"/>
  <c r="A13140" i="10"/>
  <c r="E13139" i="10"/>
  <c r="D13139" i="10"/>
  <c r="C13139" i="10"/>
  <c r="B13139" i="10"/>
  <c r="A13139" i="10"/>
  <c r="E13138" i="10"/>
  <c r="D13138" i="10"/>
  <c r="C13138" i="10"/>
  <c r="B13138" i="10"/>
  <c r="A13138" i="10"/>
  <c r="E13137" i="10"/>
  <c r="D13137" i="10"/>
  <c r="C13137" i="10"/>
  <c r="B13137" i="10"/>
  <c r="A13137" i="10"/>
  <c r="E13136" i="10"/>
  <c r="D13136" i="10"/>
  <c r="C13136" i="10"/>
  <c r="B13136" i="10"/>
  <c r="A13136" i="10"/>
  <c r="E13135" i="10"/>
  <c r="D13135" i="10"/>
  <c r="C13135" i="10"/>
  <c r="B13135" i="10"/>
  <c r="A13135" i="10"/>
  <c r="E13134" i="10"/>
  <c r="D13134" i="10"/>
  <c r="C13134" i="10"/>
  <c r="B13134" i="10"/>
  <c r="A13134" i="10"/>
  <c r="E13133" i="10"/>
  <c r="D13133" i="10"/>
  <c r="C13133" i="10"/>
  <c r="B13133" i="10"/>
  <c r="A13133" i="10"/>
  <c r="E13132" i="10"/>
  <c r="D13132" i="10"/>
  <c r="C13132" i="10"/>
  <c r="B13132" i="10"/>
  <c r="A13132" i="10"/>
  <c r="E13131" i="10"/>
  <c r="D13131" i="10"/>
  <c r="C13131" i="10"/>
  <c r="B13131" i="10"/>
  <c r="A13131" i="10"/>
  <c r="E13130" i="10"/>
  <c r="D13130" i="10"/>
  <c r="C13130" i="10"/>
  <c r="B13130" i="10"/>
  <c r="A13130" i="10"/>
  <c r="E13129" i="10"/>
  <c r="D13129" i="10"/>
  <c r="C13129" i="10"/>
  <c r="B13129" i="10"/>
  <c r="A13129" i="10"/>
  <c r="E13128" i="10"/>
  <c r="D13128" i="10"/>
  <c r="C13128" i="10"/>
  <c r="B13128" i="10"/>
  <c r="A13128" i="10"/>
  <c r="E13127" i="10"/>
  <c r="D13127" i="10"/>
  <c r="C13127" i="10"/>
  <c r="B13127" i="10"/>
  <c r="A13127" i="10"/>
  <c r="E13126" i="10"/>
  <c r="D13126" i="10"/>
  <c r="C13126" i="10"/>
  <c r="B13126" i="10"/>
  <c r="A13126" i="10"/>
  <c r="E13125" i="10"/>
  <c r="D13125" i="10"/>
  <c r="C13125" i="10"/>
  <c r="B13125" i="10"/>
  <c r="A13125" i="10"/>
  <c r="E13124" i="10"/>
  <c r="D13124" i="10"/>
  <c r="C13124" i="10"/>
  <c r="B13124" i="10"/>
  <c r="A13124" i="10"/>
  <c r="E13123" i="10"/>
  <c r="D13123" i="10"/>
  <c r="C13123" i="10"/>
  <c r="B13123" i="10"/>
  <c r="A13123" i="10"/>
  <c r="E13122" i="10"/>
  <c r="D13122" i="10"/>
  <c r="C13122" i="10"/>
  <c r="B13122" i="10"/>
  <c r="A13122" i="10"/>
  <c r="E13121" i="10"/>
  <c r="D13121" i="10"/>
  <c r="C13121" i="10"/>
  <c r="B13121" i="10"/>
  <c r="A13121" i="10"/>
  <c r="E13120" i="10"/>
  <c r="D13120" i="10"/>
  <c r="C13120" i="10"/>
  <c r="B13120" i="10"/>
  <c r="A13120" i="10"/>
  <c r="E13119" i="10"/>
  <c r="D13119" i="10"/>
  <c r="C13119" i="10"/>
  <c r="B13119" i="10"/>
  <c r="A13119" i="10"/>
  <c r="E13118" i="10"/>
  <c r="D13118" i="10"/>
  <c r="C13118" i="10"/>
  <c r="B13118" i="10"/>
  <c r="A13118" i="10"/>
  <c r="E13117" i="10"/>
  <c r="D13117" i="10"/>
  <c r="C13117" i="10"/>
  <c r="B13117" i="10"/>
  <c r="A13117" i="10"/>
  <c r="E13116" i="10"/>
  <c r="D13116" i="10"/>
  <c r="C13116" i="10"/>
  <c r="B13116" i="10"/>
  <c r="A13116" i="10"/>
  <c r="E13115" i="10"/>
  <c r="D13115" i="10"/>
  <c r="C13115" i="10"/>
  <c r="B13115" i="10"/>
  <c r="A13115" i="10"/>
  <c r="E13114" i="10"/>
  <c r="D13114" i="10"/>
  <c r="C13114" i="10"/>
  <c r="B13114" i="10"/>
  <c r="A13114" i="10"/>
  <c r="E13113" i="10"/>
  <c r="D13113" i="10"/>
  <c r="C13113" i="10"/>
  <c r="B13113" i="10"/>
  <c r="A13113" i="10"/>
  <c r="E13112" i="10"/>
  <c r="D13112" i="10"/>
  <c r="C13112" i="10"/>
  <c r="B13112" i="10"/>
  <c r="A13112" i="10"/>
  <c r="E13111" i="10"/>
  <c r="D13111" i="10"/>
  <c r="C13111" i="10"/>
  <c r="B13111" i="10"/>
  <c r="A13111" i="10"/>
  <c r="E13110" i="10"/>
  <c r="D13110" i="10"/>
  <c r="C13110" i="10"/>
  <c r="B13110" i="10"/>
  <c r="A13110" i="10"/>
  <c r="E13109" i="10"/>
  <c r="D13109" i="10"/>
  <c r="C13109" i="10"/>
  <c r="B13109" i="10"/>
  <c r="A13109" i="10"/>
  <c r="E13108" i="10"/>
  <c r="D13108" i="10"/>
  <c r="C13108" i="10"/>
  <c r="B13108" i="10"/>
  <c r="A13108" i="10"/>
  <c r="E13107" i="10"/>
  <c r="D13107" i="10"/>
  <c r="C13107" i="10"/>
  <c r="B13107" i="10"/>
  <c r="A13107" i="10"/>
  <c r="E13106" i="10"/>
  <c r="D13106" i="10"/>
  <c r="C13106" i="10"/>
  <c r="B13106" i="10"/>
  <c r="A13106" i="10"/>
  <c r="E13105" i="10"/>
  <c r="D13105" i="10"/>
  <c r="C13105" i="10"/>
  <c r="B13105" i="10"/>
  <c r="A13105" i="10"/>
  <c r="E13104" i="10"/>
  <c r="D13104" i="10"/>
  <c r="C13104" i="10"/>
  <c r="B13104" i="10"/>
  <c r="A13104" i="10"/>
  <c r="E13103" i="10"/>
  <c r="D13103" i="10"/>
  <c r="C13103" i="10"/>
  <c r="B13103" i="10"/>
  <c r="A13103" i="10"/>
  <c r="E13102" i="10"/>
  <c r="D13102" i="10"/>
  <c r="C13102" i="10"/>
  <c r="B13102" i="10"/>
  <c r="A13102" i="10"/>
  <c r="E13101" i="10"/>
  <c r="D13101" i="10"/>
  <c r="C13101" i="10"/>
  <c r="B13101" i="10"/>
  <c r="A13101" i="10"/>
  <c r="E13100" i="10"/>
  <c r="D13100" i="10"/>
  <c r="C13100" i="10"/>
  <c r="B13100" i="10"/>
  <c r="A13100" i="10"/>
  <c r="E13099" i="10"/>
  <c r="D13099" i="10"/>
  <c r="C13099" i="10"/>
  <c r="B13099" i="10"/>
  <c r="A13099" i="10"/>
  <c r="E13098" i="10"/>
  <c r="D13098" i="10"/>
  <c r="C13098" i="10"/>
  <c r="B13098" i="10"/>
  <c r="A13098" i="10"/>
  <c r="E13097" i="10"/>
  <c r="D13097" i="10"/>
  <c r="C13097" i="10"/>
  <c r="B13097" i="10"/>
  <c r="A13097" i="10"/>
  <c r="E13096" i="10"/>
  <c r="D13096" i="10"/>
  <c r="C13096" i="10"/>
  <c r="B13096" i="10"/>
  <c r="A13096" i="10"/>
  <c r="E13095" i="10"/>
  <c r="D13095" i="10"/>
  <c r="C13095" i="10"/>
  <c r="B13095" i="10"/>
  <c r="A13095" i="10"/>
  <c r="E13094" i="10"/>
  <c r="D13094" i="10"/>
  <c r="C13094" i="10"/>
  <c r="B13094" i="10"/>
  <c r="A13094" i="10"/>
  <c r="E13093" i="10"/>
  <c r="D13093" i="10"/>
  <c r="C13093" i="10"/>
  <c r="B13093" i="10"/>
  <c r="A13093" i="10"/>
  <c r="E13092" i="10"/>
  <c r="D13092" i="10"/>
  <c r="C13092" i="10"/>
  <c r="B13092" i="10"/>
  <c r="A13092" i="10"/>
  <c r="E13091" i="10"/>
  <c r="D13091" i="10"/>
  <c r="C13091" i="10"/>
  <c r="B13091" i="10"/>
  <c r="A13091" i="10"/>
  <c r="E13090" i="10"/>
  <c r="D13090" i="10"/>
  <c r="C13090" i="10"/>
  <c r="B13090" i="10"/>
  <c r="A13090" i="10"/>
  <c r="E13089" i="10"/>
  <c r="D13089" i="10"/>
  <c r="C13089" i="10"/>
  <c r="B13089" i="10"/>
  <c r="A13089" i="10"/>
  <c r="E13088" i="10"/>
  <c r="D13088" i="10"/>
  <c r="C13088" i="10"/>
  <c r="B13088" i="10"/>
  <c r="A13088" i="10"/>
  <c r="E13087" i="10"/>
  <c r="D13087" i="10"/>
  <c r="C13087" i="10"/>
  <c r="B13087" i="10"/>
  <c r="A13087" i="10"/>
  <c r="E13086" i="10"/>
  <c r="D13086" i="10"/>
  <c r="C13086" i="10"/>
  <c r="B13086" i="10"/>
  <c r="A13086" i="10"/>
  <c r="E13085" i="10"/>
  <c r="D13085" i="10"/>
  <c r="C13085" i="10"/>
  <c r="B13085" i="10"/>
  <c r="A13085" i="10"/>
  <c r="E13084" i="10"/>
  <c r="D13084" i="10"/>
  <c r="C13084" i="10"/>
  <c r="B13084" i="10"/>
  <c r="A13084" i="10"/>
  <c r="E13083" i="10"/>
  <c r="D13083" i="10"/>
  <c r="C13083" i="10"/>
  <c r="B13083" i="10"/>
  <c r="A13083" i="10"/>
  <c r="E13082" i="10"/>
  <c r="D13082" i="10"/>
  <c r="C13082" i="10"/>
  <c r="B13082" i="10"/>
  <c r="A13082" i="10"/>
  <c r="E13081" i="10"/>
  <c r="D13081" i="10"/>
  <c r="C13081" i="10"/>
  <c r="B13081" i="10"/>
  <c r="A13081" i="10"/>
  <c r="E13080" i="10"/>
  <c r="D13080" i="10"/>
  <c r="C13080" i="10"/>
  <c r="B13080" i="10"/>
  <c r="A13080" i="10"/>
  <c r="E13079" i="10"/>
  <c r="D13079" i="10"/>
  <c r="C13079" i="10"/>
  <c r="B13079" i="10"/>
  <c r="A13079" i="10"/>
  <c r="E13078" i="10"/>
  <c r="D13078" i="10"/>
  <c r="C13078" i="10"/>
  <c r="B13078" i="10"/>
  <c r="A13078" i="10"/>
  <c r="E13077" i="10"/>
  <c r="D13077" i="10"/>
  <c r="C13077" i="10"/>
  <c r="B13077" i="10"/>
  <c r="A13077" i="10"/>
  <c r="E13076" i="10"/>
  <c r="D13076" i="10"/>
  <c r="C13076" i="10"/>
  <c r="B13076" i="10"/>
  <c r="A13076" i="10"/>
  <c r="E13075" i="10"/>
  <c r="D13075" i="10"/>
  <c r="C13075" i="10"/>
  <c r="B13075" i="10"/>
  <c r="A13075" i="10"/>
  <c r="E13074" i="10"/>
  <c r="D13074" i="10"/>
  <c r="C13074" i="10"/>
  <c r="B13074" i="10"/>
  <c r="A13074" i="10"/>
  <c r="E13073" i="10"/>
  <c r="D13073" i="10"/>
  <c r="C13073" i="10"/>
  <c r="B13073" i="10"/>
  <c r="A13073" i="10"/>
  <c r="E13072" i="10"/>
  <c r="D13072" i="10"/>
  <c r="C13072" i="10"/>
  <c r="B13072" i="10"/>
  <c r="A13072" i="10"/>
  <c r="E13071" i="10"/>
  <c r="D13071" i="10"/>
  <c r="C13071" i="10"/>
  <c r="B13071" i="10"/>
  <c r="A13071" i="10"/>
  <c r="E13070" i="10"/>
  <c r="D13070" i="10"/>
  <c r="C13070" i="10"/>
  <c r="B13070" i="10"/>
  <c r="A13070" i="10"/>
  <c r="E13069" i="10"/>
  <c r="D13069" i="10"/>
  <c r="C13069" i="10"/>
  <c r="B13069" i="10"/>
  <c r="A13069" i="10"/>
  <c r="E13068" i="10"/>
  <c r="D13068" i="10"/>
  <c r="C13068" i="10"/>
  <c r="B13068" i="10"/>
  <c r="A13068" i="10"/>
  <c r="E13067" i="10"/>
  <c r="D13067" i="10"/>
  <c r="C13067" i="10"/>
  <c r="B13067" i="10"/>
  <c r="A13067" i="10"/>
  <c r="E13066" i="10"/>
  <c r="D13066" i="10"/>
  <c r="C13066" i="10"/>
  <c r="B13066" i="10"/>
  <c r="A13066" i="10"/>
  <c r="E13065" i="10"/>
  <c r="D13065" i="10"/>
  <c r="C13065" i="10"/>
  <c r="B13065" i="10"/>
  <c r="A13065" i="10"/>
  <c r="E13064" i="10"/>
  <c r="D13064" i="10"/>
  <c r="C13064" i="10"/>
  <c r="B13064" i="10"/>
  <c r="A13064" i="10"/>
  <c r="E13063" i="10"/>
  <c r="D13063" i="10"/>
  <c r="C13063" i="10"/>
  <c r="B13063" i="10"/>
  <c r="A13063" i="10"/>
  <c r="E13062" i="10"/>
  <c r="D13062" i="10"/>
  <c r="C13062" i="10"/>
  <c r="B13062" i="10"/>
  <c r="A13062" i="10"/>
  <c r="E13061" i="10"/>
  <c r="D13061" i="10"/>
  <c r="C13061" i="10"/>
  <c r="B13061" i="10"/>
  <c r="A13061" i="10"/>
  <c r="E13060" i="10"/>
  <c r="D13060" i="10"/>
  <c r="C13060" i="10"/>
  <c r="B13060" i="10"/>
  <c r="A13060" i="10"/>
  <c r="E13059" i="10"/>
  <c r="D13059" i="10"/>
  <c r="C13059" i="10"/>
  <c r="B13059" i="10"/>
  <c r="A13059" i="10"/>
  <c r="E13058" i="10"/>
  <c r="D13058" i="10"/>
  <c r="C13058" i="10"/>
  <c r="B13058" i="10"/>
  <c r="A13058" i="10"/>
  <c r="E13057" i="10"/>
  <c r="D13057" i="10"/>
  <c r="C13057" i="10"/>
  <c r="B13057" i="10"/>
  <c r="A13057" i="10"/>
  <c r="E13056" i="10"/>
  <c r="D13056" i="10"/>
  <c r="C13056" i="10"/>
  <c r="B13056" i="10"/>
  <c r="A13056" i="10"/>
  <c r="E13055" i="10"/>
  <c r="D13055" i="10"/>
  <c r="C13055" i="10"/>
  <c r="B13055" i="10"/>
  <c r="A13055" i="10"/>
  <c r="E13054" i="10"/>
  <c r="D13054" i="10"/>
  <c r="C13054" i="10"/>
  <c r="B13054" i="10"/>
  <c r="A13054" i="10"/>
  <c r="E13053" i="10"/>
  <c r="D13053" i="10"/>
  <c r="C13053" i="10"/>
  <c r="B13053" i="10"/>
  <c r="A13053" i="10"/>
  <c r="E13052" i="10"/>
  <c r="D13052" i="10"/>
  <c r="C13052" i="10"/>
  <c r="B13052" i="10"/>
  <c r="A13052" i="10"/>
  <c r="E13051" i="10"/>
  <c r="D13051" i="10"/>
  <c r="C13051" i="10"/>
  <c r="B13051" i="10"/>
  <c r="A13051" i="10"/>
  <c r="E13050" i="10"/>
  <c r="D13050" i="10"/>
  <c r="C13050" i="10"/>
  <c r="B13050" i="10"/>
  <c r="A13050" i="10"/>
  <c r="E13049" i="10"/>
  <c r="D13049" i="10"/>
  <c r="C13049" i="10"/>
  <c r="B13049" i="10"/>
  <c r="A13049" i="10"/>
  <c r="E13048" i="10"/>
  <c r="D13048" i="10"/>
  <c r="C13048" i="10"/>
  <c r="B13048" i="10"/>
  <c r="A13048" i="10"/>
  <c r="E13047" i="10"/>
  <c r="D13047" i="10"/>
  <c r="C13047" i="10"/>
  <c r="B13047" i="10"/>
  <c r="A13047" i="10"/>
  <c r="E13046" i="10"/>
  <c r="D13046" i="10"/>
  <c r="C13046" i="10"/>
  <c r="B13046" i="10"/>
  <c r="A13046" i="10"/>
  <c r="E13045" i="10"/>
  <c r="D13045" i="10"/>
  <c r="C13045" i="10"/>
  <c r="B13045" i="10"/>
  <c r="A13045" i="10"/>
  <c r="E13044" i="10"/>
  <c r="D13044" i="10"/>
  <c r="C13044" i="10"/>
  <c r="B13044" i="10"/>
  <c r="A13044" i="10"/>
  <c r="E13043" i="10"/>
  <c r="D13043" i="10"/>
  <c r="C13043" i="10"/>
  <c r="B13043" i="10"/>
  <c r="A13043" i="10"/>
  <c r="E13042" i="10"/>
  <c r="D13042" i="10"/>
  <c r="C13042" i="10"/>
  <c r="B13042" i="10"/>
  <c r="A13042" i="10"/>
  <c r="E13041" i="10"/>
  <c r="D13041" i="10"/>
  <c r="C13041" i="10"/>
  <c r="B13041" i="10"/>
  <c r="A13041" i="10"/>
  <c r="E13040" i="10"/>
  <c r="D13040" i="10"/>
  <c r="C13040" i="10"/>
  <c r="B13040" i="10"/>
  <c r="A13040" i="10"/>
  <c r="E13039" i="10"/>
  <c r="D13039" i="10"/>
  <c r="C13039" i="10"/>
  <c r="B13039" i="10"/>
  <c r="A13039" i="10"/>
  <c r="E13038" i="10"/>
  <c r="D13038" i="10"/>
  <c r="C13038" i="10"/>
  <c r="B13038" i="10"/>
  <c r="A13038" i="10"/>
  <c r="E13037" i="10"/>
  <c r="D13037" i="10"/>
  <c r="C13037" i="10"/>
  <c r="B13037" i="10"/>
  <c r="A13037" i="10"/>
  <c r="E13036" i="10"/>
  <c r="D13036" i="10"/>
  <c r="C13036" i="10"/>
  <c r="B13036" i="10"/>
  <c r="A13036" i="10"/>
  <c r="E13035" i="10"/>
  <c r="D13035" i="10"/>
  <c r="C13035" i="10"/>
  <c r="B13035" i="10"/>
  <c r="A13035" i="10"/>
  <c r="E13034" i="10"/>
  <c r="D13034" i="10"/>
  <c r="C13034" i="10"/>
  <c r="B13034" i="10"/>
  <c r="A13034" i="10"/>
  <c r="E13033" i="10"/>
  <c r="D13033" i="10"/>
  <c r="C13033" i="10"/>
  <c r="B13033" i="10"/>
  <c r="A13033" i="10"/>
  <c r="E13032" i="10"/>
  <c r="D13032" i="10"/>
  <c r="C13032" i="10"/>
  <c r="B13032" i="10"/>
  <c r="A13032" i="10"/>
  <c r="E13031" i="10"/>
  <c r="D13031" i="10"/>
  <c r="C13031" i="10"/>
  <c r="B13031" i="10"/>
  <c r="A13031" i="10"/>
  <c r="E13030" i="10"/>
  <c r="D13030" i="10"/>
  <c r="C13030" i="10"/>
  <c r="B13030" i="10"/>
  <c r="A13030" i="10"/>
  <c r="E13029" i="10"/>
  <c r="D13029" i="10"/>
  <c r="C13029" i="10"/>
  <c r="B13029" i="10"/>
  <c r="A13029" i="10"/>
  <c r="E13028" i="10"/>
  <c r="D13028" i="10"/>
  <c r="C13028" i="10"/>
  <c r="B13028" i="10"/>
  <c r="A13028" i="10"/>
  <c r="E13027" i="10"/>
  <c r="D13027" i="10"/>
  <c r="C13027" i="10"/>
  <c r="B13027" i="10"/>
  <c r="A13027" i="10"/>
  <c r="E13026" i="10"/>
  <c r="D13026" i="10"/>
  <c r="C13026" i="10"/>
  <c r="B13026" i="10"/>
  <c r="A13026" i="10"/>
  <c r="E13025" i="10"/>
  <c r="D13025" i="10"/>
  <c r="C13025" i="10"/>
  <c r="B13025" i="10"/>
  <c r="A13025" i="10"/>
  <c r="E13024" i="10"/>
  <c r="D13024" i="10"/>
  <c r="C13024" i="10"/>
  <c r="B13024" i="10"/>
  <c r="A13024" i="10"/>
  <c r="E13023" i="10"/>
  <c r="D13023" i="10"/>
  <c r="C13023" i="10"/>
  <c r="B13023" i="10"/>
  <c r="A13023" i="10"/>
  <c r="E13022" i="10"/>
  <c r="D13022" i="10"/>
  <c r="C13022" i="10"/>
  <c r="B13022" i="10"/>
  <c r="A13022" i="10"/>
  <c r="E13021" i="10"/>
  <c r="D13021" i="10"/>
  <c r="C13021" i="10"/>
  <c r="B13021" i="10"/>
  <c r="A13021" i="10"/>
  <c r="E13020" i="10"/>
  <c r="D13020" i="10"/>
  <c r="C13020" i="10"/>
  <c r="B13020" i="10"/>
  <c r="A13020" i="10"/>
  <c r="E13019" i="10"/>
  <c r="D13019" i="10"/>
  <c r="C13019" i="10"/>
  <c r="B13019" i="10"/>
  <c r="A13019" i="10"/>
  <c r="E13018" i="10"/>
  <c r="D13018" i="10"/>
  <c r="C13018" i="10"/>
  <c r="B13018" i="10"/>
  <c r="A13018" i="10"/>
  <c r="E13017" i="10"/>
  <c r="D13017" i="10"/>
  <c r="C13017" i="10"/>
  <c r="B13017" i="10"/>
  <c r="A13017" i="10"/>
  <c r="E13016" i="10"/>
  <c r="D13016" i="10"/>
  <c r="C13016" i="10"/>
  <c r="B13016" i="10"/>
  <c r="A13016" i="10"/>
  <c r="E13015" i="10"/>
  <c r="D13015" i="10"/>
  <c r="C13015" i="10"/>
  <c r="B13015" i="10"/>
  <c r="A13015" i="10"/>
  <c r="E13014" i="10"/>
  <c r="D13014" i="10"/>
  <c r="C13014" i="10"/>
  <c r="B13014" i="10"/>
  <c r="A13014" i="10"/>
  <c r="E13013" i="10"/>
  <c r="D13013" i="10"/>
  <c r="C13013" i="10"/>
  <c r="B13013" i="10"/>
  <c r="A13013" i="10"/>
  <c r="E13012" i="10"/>
  <c r="D13012" i="10"/>
  <c r="C13012" i="10"/>
  <c r="B13012" i="10"/>
  <c r="A13012" i="10"/>
  <c r="E13011" i="10"/>
  <c r="D13011" i="10"/>
  <c r="C13011" i="10"/>
  <c r="B13011" i="10"/>
  <c r="A13011" i="10"/>
  <c r="E13010" i="10"/>
  <c r="D13010" i="10"/>
  <c r="C13010" i="10"/>
  <c r="B13010" i="10"/>
  <c r="A13010" i="10"/>
  <c r="E13009" i="10"/>
  <c r="D13009" i="10"/>
  <c r="C13009" i="10"/>
  <c r="B13009" i="10"/>
  <c r="A13009" i="10"/>
  <c r="E13008" i="10"/>
  <c r="D13008" i="10"/>
  <c r="C13008" i="10"/>
  <c r="B13008" i="10"/>
  <c r="A13008" i="10"/>
  <c r="E13007" i="10"/>
  <c r="D13007" i="10"/>
  <c r="C13007" i="10"/>
  <c r="B13007" i="10"/>
  <c r="A13007" i="10"/>
  <c r="E13006" i="10"/>
  <c r="D13006" i="10"/>
  <c r="C13006" i="10"/>
  <c r="B13006" i="10"/>
  <c r="A13006" i="10"/>
  <c r="E13005" i="10"/>
  <c r="D13005" i="10"/>
  <c r="C13005" i="10"/>
  <c r="B13005" i="10"/>
  <c r="A13005" i="10"/>
  <c r="E13004" i="10"/>
  <c r="D13004" i="10"/>
  <c r="C13004" i="10"/>
  <c r="B13004" i="10"/>
  <c r="A13004" i="10"/>
  <c r="E13003" i="10"/>
  <c r="D13003" i="10"/>
  <c r="C13003" i="10"/>
  <c r="B13003" i="10"/>
  <c r="A13003" i="10"/>
  <c r="E13002" i="10"/>
  <c r="D13002" i="10"/>
  <c r="C13002" i="10"/>
  <c r="B13002" i="10"/>
  <c r="A13002" i="10"/>
  <c r="E13001" i="10"/>
  <c r="D13001" i="10"/>
  <c r="C13001" i="10"/>
  <c r="B13001" i="10"/>
  <c r="A13001" i="10"/>
  <c r="E13000" i="10"/>
  <c r="D13000" i="10"/>
  <c r="C13000" i="10"/>
  <c r="B13000" i="10"/>
  <c r="A13000" i="10"/>
  <c r="E12999" i="10"/>
  <c r="D12999" i="10"/>
  <c r="C12999" i="10"/>
  <c r="B12999" i="10"/>
  <c r="A12999" i="10"/>
  <c r="E12998" i="10"/>
  <c r="D12998" i="10"/>
  <c r="C12998" i="10"/>
  <c r="B12998" i="10"/>
  <c r="A12998" i="10"/>
  <c r="E12997" i="10"/>
  <c r="D12997" i="10"/>
  <c r="C12997" i="10"/>
  <c r="B12997" i="10"/>
  <c r="A12997" i="10"/>
  <c r="E12996" i="10"/>
  <c r="D12996" i="10"/>
  <c r="C12996" i="10"/>
  <c r="B12996" i="10"/>
  <c r="A12996" i="10"/>
  <c r="E12995" i="10"/>
  <c r="D12995" i="10"/>
  <c r="C12995" i="10"/>
  <c r="B12995" i="10"/>
  <c r="A12995" i="10"/>
  <c r="E12994" i="10"/>
  <c r="D12994" i="10"/>
  <c r="C12994" i="10"/>
  <c r="B12994" i="10"/>
  <c r="A12994" i="10"/>
  <c r="E12993" i="10"/>
  <c r="D12993" i="10"/>
  <c r="C12993" i="10"/>
  <c r="B12993" i="10"/>
  <c r="A12993" i="10"/>
  <c r="E12992" i="10"/>
  <c r="D12992" i="10"/>
  <c r="C12992" i="10"/>
  <c r="B12992" i="10"/>
  <c r="A12992" i="10"/>
  <c r="E12991" i="10"/>
  <c r="D12991" i="10"/>
  <c r="C12991" i="10"/>
  <c r="B12991" i="10"/>
  <c r="A12991" i="10"/>
  <c r="E12990" i="10"/>
  <c r="D12990" i="10"/>
  <c r="C12990" i="10"/>
  <c r="B12990" i="10"/>
  <c r="A12990" i="10"/>
  <c r="E12989" i="10"/>
  <c r="D12989" i="10"/>
  <c r="C12989" i="10"/>
  <c r="B12989" i="10"/>
  <c r="A12989" i="10"/>
  <c r="E12988" i="10"/>
  <c r="D12988" i="10"/>
  <c r="C12988" i="10"/>
  <c r="B12988" i="10"/>
  <c r="A12988" i="10"/>
  <c r="E12987" i="10"/>
  <c r="D12987" i="10"/>
  <c r="C12987" i="10"/>
  <c r="B12987" i="10"/>
  <c r="A12987" i="10"/>
  <c r="E12986" i="10"/>
  <c r="D12986" i="10"/>
  <c r="C12986" i="10"/>
  <c r="B12986" i="10"/>
  <c r="A12986" i="10"/>
  <c r="E12985" i="10"/>
  <c r="D12985" i="10"/>
  <c r="C12985" i="10"/>
  <c r="B12985" i="10"/>
  <c r="A12985" i="10"/>
  <c r="E12984" i="10"/>
  <c r="D12984" i="10"/>
  <c r="C12984" i="10"/>
  <c r="B12984" i="10"/>
  <c r="A12984" i="10"/>
  <c r="E12983" i="10"/>
  <c r="D12983" i="10"/>
  <c r="C12983" i="10"/>
  <c r="B12983" i="10"/>
  <c r="A12983" i="10"/>
  <c r="E12982" i="10"/>
  <c r="D12982" i="10"/>
  <c r="C12982" i="10"/>
  <c r="B12982" i="10"/>
  <c r="A12982" i="10"/>
  <c r="E12981" i="10"/>
  <c r="D12981" i="10"/>
  <c r="C12981" i="10"/>
  <c r="B12981" i="10"/>
  <c r="A12981" i="10"/>
  <c r="E12980" i="10"/>
  <c r="D12980" i="10"/>
  <c r="C12980" i="10"/>
  <c r="B12980" i="10"/>
  <c r="A12980" i="10"/>
  <c r="E12979" i="10"/>
  <c r="D12979" i="10"/>
  <c r="C12979" i="10"/>
  <c r="B12979" i="10"/>
  <c r="A12979" i="10"/>
  <c r="E12978" i="10"/>
  <c r="D12978" i="10"/>
  <c r="C12978" i="10"/>
  <c r="B12978" i="10"/>
  <c r="A12978" i="10"/>
  <c r="E12977" i="10"/>
  <c r="D12977" i="10"/>
  <c r="C12977" i="10"/>
  <c r="B12977" i="10"/>
  <c r="A12977" i="10"/>
  <c r="E12976" i="10"/>
  <c r="D12976" i="10"/>
  <c r="C12976" i="10"/>
  <c r="B12976" i="10"/>
  <c r="A12976" i="10"/>
  <c r="E12975" i="10"/>
  <c r="D12975" i="10"/>
  <c r="C12975" i="10"/>
  <c r="B12975" i="10"/>
  <c r="A12975" i="10"/>
  <c r="E12974" i="10"/>
  <c r="D12974" i="10"/>
  <c r="C12974" i="10"/>
  <c r="B12974" i="10"/>
  <c r="A12974" i="10"/>
  <c r="E12973" i="10"/>
  <c r="D12973" i="10"/>
  <c r="C12973" i="10"/>
  <c r="B12973" i="10"/>
  <c r="A12973" i="10"/>
  <c r="E12972" i="10"/>
  <c r="D12972" i="10"/>
  <c r="C12972" i="10"/>
  <c r="B12972" i="10"/>
  <c r="A12972" i="10"/>
  <c r="E12971" i="10"/>
  <c r="D12971" i="10"/>
  <c r="C12971" i="10"/>
  <c r="B12971" i="10"/>
  <c r="A12971" i="10"/>
  <c r="E12970" i="10"/>
  <c r="D12970" i="10"/>
  <c r="C12970" i="10"/>
  <c r="B12970" i="10"/>
  <c r="A12970" i="10"/>
  <c r="E12969" i="10"/>
  <c r="D12969" i="10"/>
  <c r="C12969" i="10"/>
  <c r="B12969" i="10"/>
  <c r="A12969" i="10"/>
  <c r="E12968" i="10"/>
  <c r="D12968" i="10"/>
  <c r="C12968" i="10"/>
  <c r="B12968" i="10"/>
  <c r="A12968" i="10"/>
  <c r="E12967" i="10"/>
  <c r="D12967" i="10"/>
  <c r="C12967" i="10"/>
  <c r="B12967" i="10"/>
  <c r="A12967" i="10"/>
  <c r="E12966" i="10"/>
  <c r="D12966" i="10"/>
  <c r="C12966" i="10"/>
  <c r="B12966" i="10"/>
  <c r="A12966" i="10"/>
  <c r="E12965" i="10"/>
  <c r="D12965" i="10"/>
  <c r="C12965" i="10"/>
  <c r="B12965" i="10"/>
  <c r="A12965" i="10"/>
  <c r="E12964" i="10"/>
  <c r="D12964" i="10"/>
  <c r="C12964" i="10"/>
  <c r="B12964" i="10"/>
  <c r="A12964" i="10"/>
  <c r="E12963" i="10"/>
  <c r="D12963" i="10"/>
  <c r="C12963" i="10"/>
  <c r="B12963" i="10"/>
  <c r="A12963" i="10"/>
  <c r="E12962" i="10"/>
  <c r="D12962" i="10"/>
  <c r="C12962" i="10"/>
  <c r="B12962" i="10"/>
  <c r="A12962" i="10"/>
  <c r="E12961" i="10"/>
  <c r="D12961" i="10"/>
  <c r="C12961" i="10"/>
  <c r="B12961" i="10"/>
  <c r="A12961" i="10"/>
  <c r="E12960" i="10"/>
  <c r="D12960" i="10"/>
  <c r="C12960" i="10"/>
  <c r="B12960" i="10"/>
  <c r="A12960" i="10"/>
  <c r="E12959" i="10"/>
  <c r="D12959" i="10"/>
  <c r="C12959" i="10"/>
  <c r="B12959" i="10"/>
  <c r="A12959" i="10"/>
  <c r="E12958" i="10"/>
  <c r="D12958" i="10"/>
  <c r="C12958" i="10"/>
  <c r="B12958" i="10"/>
  <c r="A12958" i="10"/>
  <c r="E12957" i="10"/>
  <c r="D12957" i="10"/>
  <c r="C12957" i="10"/>
  <c r="B12957" i="10"/>
  <c r="A12957" i="10"/>
  <c r="E12956" i="10"/>
  <c r="D12956" i="10"/>
  <c r="C12956" i="10"/>
  <c r="B12956" i="10"/>
  <c r="A12956" i="10"/>
  <c r="E12955" i="10"/>
  <c r="D12955" i="10"/>
  <c r="C12955" i="10"/>
  <c r="B12955" i="10"/>
  <c r="A12955" i="10"/>
  <c r="E12954" i="10"/>
  <c r="D12954" i="10"/>
  <c r="C12954" i="10"/>
  <c r="B12954" i="10"/>
  <c r="A12954" i="10"/>
  <c r="E12953" i="10"/>
  <c r="D12953" i="10"/>
  <c r="C12953" i="10"/>
  <c r="B12953" i="10"/>
  <c r="A12953" i="10"/>
  <c r="E12952" i="10"/>
  <c r="D12952" i="10"/>
  <c r="C12952" i="10"/>
  <c r="B12952" i="10"/>
  <c r="A12952" i="10"/>
  <c r="E12951" i="10"/>
  <c r="D12951" i="10"/>
  <c r="C12951" i="10"/>
  <c r="B12951" i="10"/>
  <c r="A12951" i="10"/>
  <c r="E12950" i="10"/>
  <c r="D12950" i="10"/>
  <c r="C12950" i="10"/>
  <c r="B12950" i="10"/>
  <c r="A12950" i="10"/>
  <c r="E12949" i="10"/>
  <c r="D12949" i="10"/>
  <c r="C12949" i="10"/>
  <c r="B12949" i="10"/>
  <c r="A12949" i="10"/>
  <c r="E12948" i="10"/>
  <c r="D12948" i="10"/>
  <c r="C12948" i="10"/>
  <c r="B12948" i="10"/>
  <c r="A12948" i="10"/>
  <c r="E12947" i="10"/>
  <c r="D12947" i="10"/>
  <c r="C12947" i="10"/>
  <c r="B12947" i="10"/>
  <c r="A12947" i="10"/>
  <c r="E12946" i="10"/>
  <c r="D12946" i="10"/>
  <c r="C12946" i="10"/>
  <c r="B12946" i="10"/>
  <c r="A12946" i="10"/>
  <c r="E12945" i="10"/>
  <c r="D12945" i="10"/>
  <c r="C12945" i="10"/>
  <c r="B12945" i="10"/>
  <c r="A12945" i="10"/>
  <c r="E12944" i="10"/>
  <c r="D12944" i="10"/>
  <c r="C12944" i="10"/>
  <c r="B12944" i="10"/>
  <c r="A12944" i="10"/>
  <c r="E12943" i="10"/>
  <c r="D12943" i="10"/>
  <c r="C12943" i="10"/>
  <c r="B12943" i="10"/>
  <c r="A12943" i="10"/>
  <c r="E12942" i="10"/>
  <c r="D12942" i="10"/>
  <c r="C12942" i="10"/>
  <c r="B12942" i="10"/>
  <c r="A12942" i="10"/>
  <c r="E12941" i="10"/>
  <c r="D12941" i="10"/>
  <c r="C12941" i="10"/>
  <c r="B12941" i="10"/>
  <c r="A12941" i="10"/>
  <c r="E12940" i="10"/>
  <c r="D12940" i="10"/>
  <c r="C12940" i="10"/>
  <c r="B12940" i="10"/>
  <c r="A12940" i="10"/>
  <c r="E12939" i="10"/>
  <c r="D12939" i="10"/>
  <c r="C12939" i="10"/>
  <c r="B12939" i="10"/>
  <c r="A12939" i="10"/>
  <c r="E12938" i="10"/>
  <c r="D12938" i="10"/>
  <c r="C12938" i="10"/>
  <c r="B12938" i="10"/>
  <c r="A12938" i="10"/>
  <c r="E12937" i="10"/>
  <c r="D12937" i="10"/>
  <c r="C12937" i="10"/>
  <c r="B12937" i="10"/>
  <c r="A12937" i="10"/>
  <c r="E12936" i="10"/>
  <c r="D12936" i="10"/>
  <c r="C12936" i="10"/>
  <c r="B12936" i="10"/>
  <c r="A12936" i="10"/>
  <c r="E12935" i="10"/>
  <c r="D12935" i="10"/>
  <c r="C12935" i="10"/>
  <c r="B12935" i="10"/>
  <c r="A12935" i="10"/>
  <c r="E12934" i="10"/>
  <c r="D12934" i="10"/>
  <c r="C12934" i="10"/>
  <c r="B12934" i="10"/>
  <c r="A12934" i="10"/>
  <c r="E12933" i="10"/>
  <c r="D12933" i="10"/>
  <c r="C12933" i="10"/>
  <c r="B12933" i="10"/>
  <c r="A12933" i="10"/>
  <c r="E12932" i="10"/>
  <c r="D12932" i="10"/>
  <c r="C12932" i="10"/>
  <c r="B12932" i="10"/>
  <c r="A12932" i="10"/>
  <c r="E12931" i="10"/>
  <c r="D12931" i="10"/>
  <c r="C12931" i="10"/>
  <c r="B12931" i="10"/>
  <c r="A12931" i="10"/>
  <c r="E12930" i="10"/>
  <c r="D12930" i="10"/>
  <c r="C12930" i="10"/>
  <c r="B12930" i="10"/>
  <c r="A12930" i="10"/>
  <c r="E12929" i="10"/>
  <c r="D12929" i="10"/>
  <c r="C12929" i="10"/>
  <c r="B12929" i="10"/>
  <c r="A12929" i="10"/>
  <c r="E12928" i="10"/>
  <c r="D12928" i="10"/>
  <c r="C12928" i="10"/>
  <c r="B12928" i="10"/>
  <c r="A12928" i="10"/>
  <c r="E12927" i="10"/>
  <c r="D12927" i="10"/>
  <c r="C12927" i="10"/>
  <c r="B12927" i="10"/>
  <c r="A12927" i="10"/>
  <c r="E12926" i="10"/>
  <c r="D12926" i="10"/>
  <c r="C12926" i="10"/>
  <c r="B12926" i="10"/>
  <c r="A12926" i="10"/>
  <c r="E12925" i="10"/>
  <c r="D12925" i="10"/>
  <c r="C12925" i="10"/>
  <c r="B12925" i="10"/>
  <c r="A12925" i="10"/>
  <c r="E12924" i="10"/>
  <c r="D12924" i="10"/>
  <c r="C12924" i="10"/>
  <c r="B12924" i="10"/>
  <c r="A12924" i="10"/>
  <c r="E12923" i="10"/>
  <c r="D12923" i="10"/>
  <c r="C12923" i="10"/>
  <c r="B12923" i="10"/>
  <c r="A12923" i="10"/>
  <c r="E12922" i="10"/>
  <c r="D12922" i="10"/>
  <c r="C12922" i="10"/>
  <c r="B12922" i="10"/>
  <c r="A12922" i="10"/>
  <c r="E12921" i="10"/>
  <c r="D12921" i="10"/>
  <c r="C12921" i="10"/>
  <c r="B12921" i="10"/>
  <c r="A12921" i="10"/>
  <c r="E12920" i="10"/>
  <c r="D12920" i="10"/>
  <c r="C12920" i="10"/>
  <c r="B12920" i="10"/>
  <c r="A12920" i="10"/>
  <c r="E12919" i="10"/>
  <c r="D12919" i="10"/>
  <c r="C12919" i="10"/>
  <c r="B12919" i="10"/>
  <c r="A12919" i="10"/>
  <c r="E12918" i="10"/>
  <c r="D12918" i="10"/>
  <c r="C12918" i="10"/>
  <c r="B12918" i="10"/>
  <c r="A12918" i="10"/>
  <c r="E12917" i="10"/>
  <c r="D12917" i="10"/>
  <c r="C12917" i="10"/>
  <c r="B12917" i="10"/>
  <c r="A12917" i="10"/>
  <c r="E12916" i="10"/>
  <c r="D12916" i="10"/>
  <c r="C12916" i="10"/>
  <c r="B12916" i="10"/>
  <c r="A12916" i="10"/>
  <c r="E12915" i="10"/>
  <c r="D12915" i="10"/>
  <c r="C12915" i="10"/>
  <c r="B12915" i="10"/>
  <c r="A12915" i="10"/>
  <c r="E12914" i="10"/>
  <c r="D12914" i="10"/>
  <c r="C12914" i="10"/>
  <c r="B12914" i="10"/>
  <c r="A12914" i="10"/>
  <c r="E12913" i="10"/>
  <c r="D12913" i="10"/>
  <c r="C12913" i="10"/>
  <c r="B12913" i="10"/>
  <c r="A12913" i="10"/>
  <c r="E12912" i="10"/>
  <c r="D12912" i="10"/>
  <c r="C12912" i="10"/>
  <c r="B12912" i="10"/>
  <c r="A12912" i="10"/>
  <c r="E12911" i="10"/>
  <c r="D12911" i="10"/>
  <c r="C12911" i="10"/>
  <c r="B12911" i="10"/>
  <c r="A12911" i="10"/>
  <c r="E12910" i="10"/>
  <c r="D12910" i="10"/>
  <c r="C12910" i="10"/>
  <c r="B12910" i="10"/>
  <c r="A12910" i="10"/>
  <c r="E12909" i="10"/>
  <c r="D12909" i="10"/>
  <c r="C12909" i="10"/>
  <c r="B12909" i="10"/>
  <c r="A12909" i="10"/>
  <c r="E12908" i="10"/>
  <c r="D12908" i="10"/>
  <c r="C12908" i="10"/>
  <c r="B12908" i="10"/>
  <c r="A12908" i="10"/>
  <c r="E12907" i="10"/>
  <c r="D12907" i="10"/>
  <c r="C12907" i="10"/>
  <c r="B12907" i="10"/>
  <c r="A12907" i="10"/>
  <c r="E12906" i="10"/>
  <c r="D12906" i="10"/>
  <c r="C12906" i="10"/>
  <c r="B12906" i="10"/>
  <c r="A12906" i="10"/>
  <c r="E12905" i="10"/>
  <c r="D12905" i="10"/>
  <c r="C12905" i="10"/>
  <c r="B12905" i="10"/>
  <c r="A12905" i="10"/>
  <c r="E12904" i="10"/>
  <c r="D12904" i="10"/>
  <c r="C12904" i="10"/>
  <c r="B12904" i="10"/>
  <c r="A12904" i="10"/>
  <c r="E12903" i="10"/>
  <c r="D12903" i="10"/>
  <c r="C12903" i="10"/>
  <c r="B12903" i="10"/>
  <c r="A12903" i="10"/>
  <c r="E12902" i="10"/>
  <c r="D12902" i="10"/>
  <c r="C12902" i="10"/>
  <c r="B12902" i="10"/>
  <c r="A12902" i="10"/>
  <c r="E12901" i="10"/>
  <c r="D12901" i="10"/>
  <c r="C12901" i="10"/>
  <c r="B12901" i="10"/>
  <c r="A12901" i="10"/>
  <c r="E12900" i="10"/>
  <c r="D12900" i="10"/>
  <c r="C12900" i="10"/>
  <c r="B12900" i="10"/>
  <c r="A12900" i="10"/>
  <c r="E12899" i="10"/>
  <c r="D12899" i="10"/>
  <c r="C12899" i="10"/>
  <c r="B12899" i="10"/>
  <c r="A12899" i="10"/>
  <c r="E12898" i="10"/>
  <c r="D12898" i="10"/>
  <c r="C12898" i="10"/>
  <c r="B12898" i="10"/>
  <c r="A12898" i="10"/>
  <c r="E12897" i="10"/>
  <c r="D12897" i="10"/>
  <c r="C12897" i="10"/>
  <c r="B12897" i="10"/>
  <c r="A12897" i="10"/>
  <c r="E12896" i="10"/>
  <c r="D12896" i="10"/>
  <c r="C12896" i="10"/>
  <c r="B12896" i="10"/>
  <c r="A12896" i="10"/>
  <c r="E12895" i="10"/>
  <c r="D12895" i="10"/>
  <c r="C12895" i="10"/>
  <c r="B12895" i="10"/>
  <c r="A12895" i="10"/>
  <c r="E12894" i="10"/>
  <c r="D12894" i="10"/>
  <c r="C12894" i="10"/>
  <c r="B12894" i="10"/>
  <c r="A12894" i="10"/>
  <c r="E12893" i="10"/>
  <c r="D12893" i="10"/>
  <c r="C12893" i="10"/>
  <c r="B12893" i="10"/>
  <c r="A12893" i="10"/>
  <c r="E12892" i="10"/>
  <c r="D12892" i="10"/>
  <c r="C12892" i="10"/>
  <c r="B12892" i="10"/>
  <c r="A12892" i="10"/>
  <c r="E12891" i="10"/>
  <c r="D12891" i="10"/>
  <c r="C12891" i="10"/>
  <c r="B12891" i="10"/>
  <c r="A12891" i="10"/>
  <c r="E12890" i="10"/>
  <c r="D12890" i="10"/>
  <c r="C12890" i="10"/>
  <c r="B12890" i="10"/>
  <c r="A12890" i="10"/>
  <c r="E12889" i="10"/>
  <c r="D12889" i="10"/>
  <c r="C12889" i="10"/>
  <c r="B12889" i="10"/>
  <c r="A12889" i="10"/>
  <c r="E12888" i="10"/>
  <c r="D12888" i="10"/>
  <c r="C12888" i="10"/>
  <c r="B12888" i="10"/>
  <c r="A12888" i="10"/>
  <c r="E12887" i="10"/>
  <c r="D12887" i="10"/>
  <c r="C12887" i="10"/>
  <c r="B12887" i="10"/>
  <c r="A12887" i="10"/>
  <c r="E12886" i="10"/>
  <c r="D12886" i="10"/>
  <c r="C12886" i="10"/>
  <c r="B12886" i="10"/>
  <c r="A12886" i="10"/>
  <c r="E12885" i="10"/>
  <c r="D12885" i="10"/>
  <c r="C12885" i="10"/>
  <c r="B12885" i="10"/>
  <c r="A12885" i="10"/>
  <c r="E12884" i="10"/>
  <c r="D12884" i="10"/>
  <c r="C12884" i="10"/>
  <c r="B12884" i="10"/>
  <c r="A12884" i="10"/>
  <c r="E12883" i="10"/>
  <c r="D12883" i="10"/>
  <c r="C12883" i="10"/>
  <c r="B12883" i="10"/>
  <c r="A12883" i="10"/>
  <c r="E12882" i="10"/>
  <c r="D12882" i="10"/>
  <c r="C12882" i="10"/>
  <c r="B12882" i="10"/>
  <c r="A12882" i="10"/>
  <c r="E12881" i="10"/>
  <c r="D12881" i="10"/>
  <c r="C12881" i="10"/>
  <c r="B12881" i="10"/>
  <c r="A12881" i="10"/>
  <c r="E12880" i="10"/>
  <c r="D12880" i="10"/>
  <c r="C12880" i="10"/>
  <c r="B12880" i="10"/>
  <c r="A12880" i="10"/>
  <c r="E12879" i="10"/>
  <c r="D12879" i="10"/>
  <c r="C12879" i="10"/>
  <c r="B12879" i="10"/>
  <c r="A12879" i="10"/>
  <c r="E12878" i="10"/>
  <c r="D12878" i="10"/>
  <c r="C12878" i="10"/>
  <c r="B12878" i="10"/>
  <c r="A12878" i="10"/>
  <c r="E12877" i="10"/>
  <c r="D12877" i="10"/>
  <c r="C12877" i="10"/>
  <c r="B12877" i="10"/>
  <c r="A12877" i="10"/>
  <c r="E12876" i="10"/>
  <c r="D12876" i="10"/>
  <c r="C12876" i="10"/>
  <c r="B12876" i="10"/>
  <c r="A12876" i="10"/>
  <c r="E12875" i="10"/>
  <c r="D12875" i="10"/>
  <c r="C12875" i="10"/>
  <c r="B12875" i="10"/>
  <c r="A12875" i="10"/>
  <c r="E12874" i="10"/>
  <c r="D12874" i="10"/>
  <c r="C12874" i="10"/>
  <c r="B12874" i="10"/>
  <c r="A12874" i="10"/>
  <c r="E12873" i="10"/>
  <c r="D12873" i="10"/>
  <c r="C12873" i="10"/>
  <c r="B12873" i="10"/>
  <c r="A12873" i="10"/>
  <c r="E12872" i="10"/>
  <c r="D12872" i="10"/>
  <c r="C12872" i="10"/>
  <c r="B12872" i="10"/>
  <c r="A12872" i="10"/>
  <c r="E12871" i="10"/>
  <c r="D12871" i="10"/>
  <c r="C12871" i="10"/>
  <c r="B12871" i="10"/>
  <c r="A12871" i="10"/>
  <c r="E12870" i="10"/>
  <c r="D12870" i="10"/>
  <c r="C12870" i="10"/>
  <c r="B12870" i="10"/>
  <c r="A12870" i="10"/>
  <c r="E12869" i="10"/>
  <c r="D12869" i="10"/>
  <c r="C12869" i="10"/>
  <c r="B12869" i="10"/>
  <c r="A12869" i="10"/>
  <c r="E12868" i="10"/>
  <c r="D12868" i="10"/>
  <c r="C12868" i="10"/>
  <c r="B12868" i="10"/>
  <c r="A12868" i="10"/>
  <c r="E12867" i="10"/>
  <c r="D12867" i="10"/>
  <c r="C12867" i="10"/>
  <c r="B12867" i="10"/>
  <c r="A12867" i="10"/>
  <c r="E12866" i="10"/>
  <c r="D12866" i="10"/>
  <c r="C12866" i="10"/>
  <c r="B12866" i="10"/>
  <c r="A12866" i="10"/>
  <c r="E12865" i="10"/>
  <c r="D12865" i="10"/>
  <c r="C12865" i="10"/>
  <c r="B12865" i="10"/>
  <c r="A12865" i="10"/>
  <c r="E12864" i="10"/>
  <c r="D12864" i="10"/>
  <c r="C12864" i="10"/>
  <c r="B12864" i="10"/>
  <c r="A12864" i="10"/>
  <c r="E12863" i="10"/>
  <c r="D12863" i="10"/>
  <c r="C12863" i="10"/>
  <c r="B12863" i="10"/>
  <c r="A12863" i="10"/>
  <c r="E12862" i="10"/>
  <c r="D12862" i="10"/>
  <c r="C12862" i="10"/>
  <c r="B12862" i="10"/>
  <c r="A12862" i="10"/>
  <c r="E12861" i="10"/>
  <c r="D12861" i="10"/>
  <c r="C12861" i="10"/>
  <c r="B12861" i="10"/>
  <c r="A12861" i="10"/>
  <c r="E12860" i="10"/>
  <c r="D12860" i="10"/>
  <c r="C12860" i="10"/>
  <c r="B12860" i="10"/>
  <c r="A12860" i="10"/>
  <c r="E12859" i="10"/>
  <c r="D12859" i="10"/>
  <c r="C12859" i="10"/>
  <c r="B12859" i="10"/>
  <c r="A12859" i="10"/>
  <c r="E12858" i="10"/>
  <c r="D12858" i="10"/>
  <c r="C12858" i="10"/>
  <c r="B12858" i="10"/>
  <c r="A12858" i="10"/>
  <c r="E12857" i="10"/>
  <c r="D12857" i="10"/>
  <c r="C12857" i="10"/>
  <c r="B12857" i="10"/>
  <c r="A12857" i="10"/>
  <c r="E12856" i="10"/>
  <c r="D12856" i="10"/>
  <c r="C12856" i="10"/>
  <c r="B12856" i="10"/>
  <c r="A12856" i="10"/>
  <c r="E12855" i="10"/>
  <c r="D12855" i="10"/>
  <c r="C12855" i="10"/>
  <c r="B12855" i="10"/>
  <c r="A12855" i="10"/>
  <c r="E12854" i="10"/>
  <c r="D12854" i="10"/>
  <c r="C12854" i="10"/>
  <c r="B12854" i="10"/>
  <c r="A12854" i="10"/>
  <c r="E12853" i="10"/>
  <c r="D12853" i="10"/>
  <c r="C12853" i="10"/>
  <c r="B12853" i="10"/>
  <c r="A12853" i="10"/>
  <c r="E12852" i="10"/>
  <c r="D12852" i="10"/>
  <c r="C12852" i="10"/>
  <c r="B12852" i="10"/>
  <c r="A12852" i="10"/>
  <c r="E12851" i="10"/>
  <c r="D12851" i="10"/>
  <c r="C12851" i="10"/>
  <c r="B12851" i="10"/>
  <c r="A12851" i="10"/>
  <c r="E12850" i="10"/>
  <c r="D12850" i="10"/>
  <c r="C12850" i="10"/>
  <c r="B12850" i="10"/>
  <c r="A12850" i="10"/>
  <c r="E12849" i="10"/>
  <c r="D12849" i="10"/>
  <c r="C12849" i="10"/>
  <c r="B12849" i="10"/>
  <c r="A12849" i="10"/>
  <c r="E12848" i="10"/>
  <c r="D12848" i="10"/>
  <c r="C12848" i="10"/>
  <c r="B12848" i="10"/>
  <c r="A12848" i="10"/>
  <c r="E12847" i="10"/>
  <c r="D12847" i="10"/>
  <c r="C12847" i="10"/>
  <c r="B12847" i="10"/>
  <c r="A12847" i="10"/>
  <c r="E12846" i="10"/>
  <c r="D12846" i="10"/>
  <c r="C12846" i="10"/>
  <c r="B12846" i="10"/>
  <c r="A12846" i="10"/>
  <c r="E12845" i="10"/>
  <c r="D12845" i="10"/>
  <c r="C12845" i="10"/>
  <c r="B12845" i="10"/>
  <c r="A12845" i="10"/>
  <c r="E12844" i="10"/>
  <c r="D12844" i="10"/>
  <c r="C12844" i="10"/>
  <c r="B12844" i="10"/>
  <c r="A12844" i="10"/>
  <c r="E12843" i="10"/>
  <c r="D12843" i="10"/>
  <c r="C12843" i="10"/>
  <c r="B12843" i="10"/>
  <c r="A12843" i="10"/>
  <c r="E12842" i="10"/>
  <c r="D12842" i="10"/>
  <c r="C12842" i="10"/>
  <c r="B12842" i="10"/>
  <c r="A12842" i="10"/>
  <c r="E12841" i="10"/>
  <c r="D12841" i="10"/>
  <c r="C12841" i="10"/>
  <c r="B12841" i="10"/>
  <c r="A12841" i="10"/>
  <c r="E12840" i="10"/>
  <c r="D12840" i="10"/>
  <c r="C12840" i="10"/>
  <c r="B12840" i="10"/>
  <c r="A12840" i="10"/>
  <c r="E12839" i="10"/>
  <c r="D12839" i="10"/>
  <c r="C12839" i="10"/>
  <c r="B12839" i="10"/>
  <c r="A12839" i="10"/>
  <c r="E12838" i="10"/>
  <c r="D12838" i="10"/>
  <c r="C12838" i="10"/>
  <c r="B12838" i="10"/>
  <c r="A12838" i="10"/>
  <c r="E12837" i="10"/>
  <c r="D12837" i="10"/>
  <c r="C12837" i="10"/>
  <c r="B12837" i="10"/>
  <c r="A12837" i="10"/>
  <c r="E12836" i="10"/>
  <c r="D12836" i="10"/>
  <c r="C12836" i="10"/>
  <c r="B12836" i="10"/>
  <c r="A12836" i="10"/>
  <c r="E12835" i="10"/>
  <c r="D12835" i="10"/>
  <c r="C12835" i="10"/>
  <c r="B12835" i="10"/>
  <c r="A12835" i="10"/>
  <c r="E12834" i="10"/>
  <c r="D12834" i="10"/>
  <c r="C12834" i="10"/>
  <c r="B12834" i="10"/>
  <c r="A12834" i="10"/>
  <c r="E12833" i="10"/>
  <c r="D12833" i="10"/>
  <c r="C12833" i="10"/>
  <c r="B12833" i="10"/>
  <c r="A12833" i="10"/>
  <c r="E12832" i="10"/>
  <c r="D12832" i="10"/>
  <c r="C12832" i="10"/>
  <c r="B12832" i="10"/>
  <c r="A12832" i="10"/>
  <c r="E12831" i="10"/>
  <c r="D12831" i="10"/>
  <c r="C12831" i="10"/>
  <c r="B12831" i="10"/>
  <c r="A12831" i="10"/>
  <c r="E12830" i="10"/>
  <c r="D12830" i="10"/>
  <c r="C12830" i="10"/>
  <c r="B12830" i="10"/>
  <c r="A12830" i="10"/>
  <c r="E12829" i="10"/>
  <c r="D12829" i="10"/>
  <c r="C12829" i="10"/>
  <c r="B12829" i="10"/>
  <c r="A12829" i="10"/>
  <c r="E12828" i="10"/>
  <c r="D12828" i="10"/>
  <c r="C12828" i="10"/>
  <c r="B12828" i="10"/>
  <c r="A12828" i="10"/>
  <c r="E12827" i="10"/>
  <c r="D12827" i="10"/>
  <c r="C12827" i="10"/>
  <c r="B12827" i="10"/>
  <c r="A12827" i="10"/>
  <c r="E12826" i="10"/>
  <c r="D12826" i="10"/>
  <c r="C12826" i="10"/>
  <c r="B12826" i="10"/>
  <c r="A12826" i="10"/>
  <c r="E12825" i="10"/>
  <c r="D12825" i="10"/>
  <c r="C12825" i="10"/>
  <c r="B12825" i="10"/>
  <c r="A12825" i="10"/>
  <c r="E12824" i="10"/>
  <c r="D12824" i="10"/>
  <c r="C12824" i="10"/>
  <c r="B12824" i="10"/>
  <c r="A12824" i="10"/>
  <c r="E12823" i="10"/>
  <c r="D12823" i="10"/>
  <c r="C12823" i="10"/>
  <c r="B12823" i="10"/>
  <c r="A12823" i="10"/>
  <c r="E12822" i="10"/>
  <c r="D12822" i="10"/>
  <c r="C12822" i="10"/>
  <c r="B12822" i="10"/>
  <c r="A12822" i="10"/>
  <c r="E12821" i="10"/>
  <c r="D12821" i="10"/>
  <c r="C12821" i="10"/>
  <c r="B12821" i="10"/>
  <c r="A12821" i="10"/>
  <c r="E12820" i="10"/>
  <c r="D12820" i="10"/>
  <c r="C12820" i="10"/>
  <c r="B12820" i="10"/>
  <c r="A12820" i="10"/>
  <c r="E12819" i="10"/>
  <c r="D12819" i="10"/>
  <c r="C12819" i="10"/>
  <c r="B12819" i="10"/>
  <c r="A12819" i="10"/>
  <c r="E12818" i="10"/>
  <c r="D12818" i="10"/>
  <c r="C12818" i="10"/>
  <c r="B12818" i="10"/>
  <c r="A12818" i="10"/>
  <c r="E12817" i="10"/>
  <c r="D12817" i="10"/>
  <c r="C12817" i="10"/>
  <c r="B12817" i="10"/>
  <c r="A12817" i="10"/>
  <c r="E12816" i="10"/>
  <c r="D12816" i="10"/>
  <c r="C12816" i="10"/>
  <c r="B12816" i="10"/>
  <c r="A12816" i="10"/>
  <c r="E12815" i="10"/>
  <c r="D12815" i="10"/>
  <c r="C12815" i="10"/>
  <c r="B12815" i="10"/>
  <c r="A12815" i="10"/>
  <c r="E12814" i="10"/>
  <c r="D12814" i="10"/>
  <c r="C12814" i="10"/>
  <c r="B12814" i="10"/>
  <c r="A12814" i="10"/>
  <c r="E12813" i="10"/>
  <c r="D12813" i="10"/>
  <c r="C12813" i="10"/>
  <c r="B12813" i="10"/>
  <c r="A12813" i="10"/>
  <c r="E12812" i="10"/>
  <c r="D12812" i="10"/>
  <c r="C12812" i="10"/>
  <c r="B12812" i="10"/>
  <c r="A12812" i="10"/>
  <c r="E12811" i="10"/>
  <c r="D12811" i="10"/>
  <c r="C12811" i="10"/>
  <c r="B12811" i="10"/>
  <c r="A12811" i="10"/>
  <c r="E12810" i="10"/>
  <c r="D12810" i="10"/>
  <c r="C12810" i="10"/>
  <c r="B12810" i="10"/>
  <c r="A12810" i="10"/>
  <c r="E12809" i="10"/>
  <c r="D12809" i="10"/>
  <c r="C12809" i="10"/>
  <c r="B12809" i="10"/>
  <c r="A12809" i="10"/>
  <c r="E12808" i="10"/>
  <c r="D12808" i="10"/>
  <c r="C12808" i="10"/>
  <c r="B12808" i="10"/>
  <c r="A12808" i="10"/>
  <c r="E12807" i="10"/>
  <c r="D12807" i="10"/>
  <c r="C12807" i="10"/>
  <c r="B12807" i="10"/>
  <c r="A12807" i="10"/>
  <c r="E12806" i="10"/>
  <c r="D12806" i="10"/>
  <c r="C12806" i="10"/>
  <c r="B12806" i="10"/>
  <c r="A12806" i="10"/>
  <c r="E12805" i="10"/>
  <c r="D12805" i="10"/>
  <c r="C12805" i="10"/>
  <c r="B12805" i="10"/>
  <c r="A12805" i="10"/>
  <c r="E12804" i="10"/>
  <c r="D12804" i="10"/>
  <c r="C12804" i="10"/>
  <c r="B12804" i="10"/>
  <c r="A12804" i="10"/>
  <c r="E12803" i="10"/>
  <c r="D12803" i="10"/>
  <c r="C12803" i="10"/>
  <c r="B12803" i="10"/>
  <c r="A12803" i="10"/>
  <c r="E12802" i="10"/>
  <c r="D12802" i="10"/>
  <c r="C12802" i="10"/>
  <c r="B12802" i="10"/>
  <c r="A12802" i="10"/>
  <c r="E12801" i="10"/>
  <c r="D12801" i="10"/>
  <c r="C12801" i="10"/>
  <c r="B12801" i="10"/>
  <c r="A12801" i="10"/>
  <c r="E12800" i="10"/>
  <c r="D12800" i="10"/>
  <c r="C12800" i="10"/>
  <c r="B12800" i="10"/>
  <c r="A12800" i="10"/>
  <c r="E12799" i="10"/>
  <c r="D12799" i="10"/>
  <c r="C12799" i="10"/>
  <c r="B12799" i="10"/>
  <c r="A12799" i="10"/>
  <c r="E12798" i="10"/>
  <c r="D12798" i="10"/>
  <c r="C12798" i="10"/>
  <c r="B12798" i="10"/>
  <c r="A12798" i="10"/>
  <c r="E12797" i="10"/>
  <c r="D12797" i="10"/>
  <c r="C12797" i="10"/>
  <c r="B12797" i="10"/>
  <c r="A12797" i="10"/>
  <c r="E12796" i="10"/>
  <c r="D12796" i="10"/>
  <c r="C12796" i="10"/>
  <c r="B12796" i="10"/>
  <c r="A12796" i="10"/>
  <c r="E12795" i="10"/>
  <c r="D12795" i="10"/>
  <c r="C12795" i="10"/>
  <c r="B12795" i="10"/>
  <c r="A12795" i="10"/>
  <c r="E12794" i="10"/>
  <c r="D12794" i="10"/>
  <c r="C12794" i="10"/>
  <c r="B12794" i="10"/>
  <c r="A12794" i="10"/>
  <c r="E12793" i="10"/>
  <c r="D12793" i="10"/>
  <c r="C12793" i="10"/>
  <c r="B12793" i="10"/>
  <c r="A12793" i="10"/>
  <c r="E12792" i="10"/>
  <c r="D12792" i="10"/>
  <c r="C12792" i="10"/>
  <c r="B12792" i="10"/>
  <c r="A12792" i="10"/>
  <c r="E12791" i="10"/>
  <c r="D12791" i="10"/>
  <c r="C12791" i="10"/>
  <c r="B12791" i="10"/>
  <c r="A12791" i="10"/>
  <c r="E12790" i="10"/>
  <c r="D12790" i="10"/>
  <c r="C12790" i="10"/>
  <c r="B12790" i="10"/>
  <c r="A12790" i="10"/>
  <c r="E12789" i="10"/>
  <c r="D12789" i="10"/>
  <c r="C12789" i="10"/>
  <c r="B12789" i="10"/>
  <c r="A12789" i="10"/>
  <c r="E12788" i="10"/>
  <c r="D12788" i="10"/>
  <c r="C12788" i="10"/>
  <c r="B12788" i="10"/>
  <c r="A12788" i="10"/>
  <c r="E12787" i="10"/>
  <c r="D12787" i="10"/>
  <c r="C12787" i="10"/>
  <c r="B12787" i="10"/>
  <c r="A12787" i="10"/>
  <c r="E12786" i="10"/>
  <c r="D12786" i="10"/>
  <c r="C12786" i="10"/>
  <c r="B12786" i="10"/>
  <c r="A12786" i="10"/>
  <c r="E12785" i="10"/>
  <c r="D12785" i="10"/>
  <c r="C12785" i="10"/>
  <c r="B12785" i="10"/>
  <c r="A12785" i="10"/>
  <c r="E12784" i="10"/>
  <c r="D12784" i="10"/>
  <c r="C12784" i="10"/>
  <c r="B12784" i="10"/>
  <c r="A12784" i="10"/>
  <c r="E12783" i="10"/>
  <c r="D12783" i="10"/>
  <c r="C12783" i="10"/>
  <c r="B12783" i="10"/>
  <c r="A12783" i="10"/>
  <c r="E12782" i="10"/>
  <c r="D12782" i="10"/>
  <c r="C12782" i="10"/>
  <c r="B12782" i="10"/>
  <c r="A12782" i="10"/>
  <c r="E12781" i="10"/>
  <c r="D12781" i="10"/>
  <c r="C12781" i="10"/>
  <c r="B12781" i="10"/>
  <c r="A12781" i="10"/>
  <c r="E12780" i="10"/>
  <c r="D12780" i="10"/>
  <c r="C12780" i="10"/>
  <c r="B12780" i="10"/>
  <c r="A12780" i="10"/>
  <c r="E12779" i="10"/>
  <c r="D12779" i="10"/>
  <c r="C12779" i="10"/>
  <c r="B12779" i="10"/>
  <c r="A12779" i="10"/>
  <c r="E12778" i="10"/>
  <c r="D12778" i="10"/>
  <c r="C12778" i="10"/>
  <c r="B12778" i="10"/>
  <c r="A12778" i="10"/>
  <c r="E12777" i="10"/>
  <c r="D12777" i="10"/>
  <c r="C12777" i="10"/>
  <c r="B12777" i="10"/>
  <c r="A12777" i="10"/>
  <c r="E12776" i="10"/>
  <c r="D12776" i="10"/>
  <c r="C12776" i="10"/>
  <c r="B12776" i="10"/>
  <c r="A12776" i="10"/>
  <c r="E12775" i="10"/>
  <c r="D12775" i="10"/>
  <c r="C12775" i="10"/>
  <c r="B12775" i="10"/>
  <c r="A12775" i="10"/>
  <c r="E12774" i="10"/>
  <c r="D12774" i="10"/>
  <c r="C12774" i="10"/>
  <c r="B12774" i="10"/>
  <c r="A12774" i="10"/>
  <c r="E12773" i="10"/>
  <c r="D12773" i="10"/>
  <c r="C12773" i="10"/>
  <c r="B12773" i="10"/>
  <c r="A12773" i="10"/>
  <c r="E12772" i="10"/>
  <c r="D12772" i="10"/>
  <c r="C12772" i="10"/>
  <c r="B12772" i="10"/>
  <c r="A12772" i="10"/>
  <c r="E12771" i="10"/>
  <c r="D12771" i="10"/>
  <c r="C12771" i="10"/>
  <c r="B12771" i="10"/>
  <c r="A12771" i="10"/>
  <c r="E12770" i="10"/>
  <c r="D12770" i="10"/>
  <c r="C12770" i="10"/>
  <c r="B12770" i="10"/>
  <c r="A12770" i="10"/>
  <c r="E12769" i="10"/>
  <c r="D12769" i="10"/>
  <c r="C12769" i="10"/>
  <c r="B12769" i="10"/>
  <c r="A12769" i="10"/>
  <c r="E12768" i="10"/>
  <c r="D12768" i="10"/>
  <c r="C12768" i="10"/>
  <c r="B12768" i="10"/>
  <c r="A12768" i="10"/>
  <c r="E12767" i="10"/>
  <c r="D12767" i="10"/>
  <c r="C12767" i="10"/>
  <c r="B12767" i="10"/>
  <c r="A12767" i="10"/>
  <c r="E12766" i="10"/>
  <c r="D12766" i="10"/>
  <c r="C12766" i="10"/>
  <c r="B12766" i="10"/>
  <c r="A12766" i="10"/>
  <c r="E12765" i="10"/>
  <c r="D12765" i="10"/>
  <c r="C12765" i="10"/>
  <c r="B12765" i="10"/>
  <c r="A12765" i="10"/>
  <c r="E12764" i="10"/>
  <c r="D12764" i="10"/>
  <c r="C12764" i="10"/>
  <c r="B12764" i="10"/>
  <c r="A12764" i="10"/>
  <c r="E12763" i="10"/>
  <c r="D12763" i="10"/>
  <c r="C12763" i="10"/>
  <c r="B12763" i="10"/>
  <c r="A12763" i="10"/>
  <c r="E12762" i="10"/>
  <c r="D12762" i="10"/>
  <c r="C12762" i="10"/>
  <c r="B12762" i="10"/>
  <c r="A12762" i="10"/>
  <c r="E12761" i="10"/>
  <c r="D12761" i="10"/>
  <c r="C12761" i="10"/>
  <c r="B12761" i="10"/>
  <c r="A12761" i="10"/>
  <c r="E12760" i="10"/>
  <c r="D12760" i="10"/>
  <c r="C12760" i="10"/>
  <c r="B12760" i="10"/>
  <c r="A12760" i="10"/>
  <c r="E12759" i="10"/>
  <c r="D12759" i="10"/>
  <c r="C12759" i="10"/>
  <c r="B12759" i="10"/>
  <c r="A12759" i="10"/>
  <c r="E12758" i="10"/>
  <c r="D12758" i="10"/>
  <c r="C12758" i="10"/>
  <c r="B12758" i="10"/>
  <c r="A12758" i="10"/>
  <c r="E12757" i="10"/>
  <c r="D12757" i="10"/>
  <c r="C12757" i="10"/>
  <c r="B12757" i="10"/>
  <c r="A12757" i="10"/>
  <c r="E12756" i="10"/>
  <c r="D12756" i="10"/>
  <c r="C12756" i="10"/>
  <c r="B12756" i="10"/>
  <c r="A12756" i="10"/>
  <c r="E12755" i="10"/>
  <c r="D12755" i="10"/>
  <c r="C12755" i="10"/>
  <c r="B12755" i="10"/>
  <c r="A12755" i="10"/>
  <c r="E12754" i="10"/>
  <c r="D12754" i="10"/>
  <c r="C12754" i="10"/>
  <c r="B12754" i="10"/>
  <c r="A12754" i="10"/>
  <c r="E12753" i="10"/>
  <c r="D12753" i="10"/>
  <c r="C12753" i="10"/>
  <c r="B12753" i="10"/>
  <c r="A12753" i="10"/>
  <c r="E12752" i="10"/>
  <c r="D12752" i="10"/>
  <c r="C12752" i="10"/>
  <c r="B12752" i="10"/>
  <c r="A12752" i="10"/>
  <c r="E12751" i="10"/>
  <c r="D12751" i="10"/>
  <c r="C12751" i="10"/>
  <c r="B12751" i="10"/>
  <c r="A12751" i="10"/>
  <c r="E12750" i="10"/>
  <c r="D12750" i="10"/>
  <c r="C12750" i="10"/>
  <c r="B12750" i="10"/>
  <c r="A12750" i="10"/>
  <c r="E12749" i="10"/>
  <c r="D12749" i="10"/>
  <c r="C12749" i="10"/>
  <c r="B12749" i="10"/>
  <c r="A12749" i="10"/>
  <c r="E12748" i="10"/>
  <c r="D12748" i="10"/>
  <c r="C12748" i="10"/>
  <c r="B12748" i="10"/>
  <c r="A12748" i="10"/>
  <c r="E12747" i="10"/>
  <c r="D12747" i="10"/>
  <c r="C12747" i="10"/>
  <c r="B12747" i="10"/>
  <c r="A12747" i="10"/>
  <c r="E12746" i="10"/>
  <c r="D12746" i="10"/>
  <c r="C12746" i="10"/>
  <c r="B12746" i="10"/>
  <c r="A12746" i="10"/>
  <c r="E12745" i="10"/>
  <c r="D12745" i="10"/>
  <c r="C12745" i="10"/>
  <c r="B12745" i="10"/>
  <c r="A12745" i="10"/>
  <c r="E12744" i="10"/>
  <c r="D12744" i="10"/>
  <c r="C12744" i="10"/>
  <c r="B12744" i="10"/>
  <c r="A12744" i="10"/>
  <c r="E12743" i="10"/>
  <c r="D12743" i="10"/>
  <c r="C12743" i="10"/>
  <c r="B12743" i="10"/>
  <c r="A12743" i="10"/>
  <c r="E12742" i="10"/>
  <c r="D12742" i="10"/>
  <c r="C12742" i="10"/>
  <c r="B12742" i="10"/>
  <c r="A12742" i="10"/>
  <c r="E12741" i="10"/>
  <c r="D12741" i="10"/>
  <c r="C12741" i="10"/>
  <c r="B12741" i="10"/>
  <c r="A12741" i="10"/>
  <c r="E12740" i="10"/>
  <c r="D12740" i="10"/>
  <c r="C12740" i="10"/>
  <c r="B12740" i="10"/>
  <c r="A12740" i="10"/>
  <c r="E12739" i="10"/>
  <c r="D12739" i="10"/>
  <c r="C12739" i="10"/>
  <c r="B12739" i="10"/>
  <c r="A12739" i="10"/>
  <c r="E12738" i="10"/>
  <c r="D12738" i="10"/>
  <c r="C12738" i="10"/>
  <c r="B12738" i="10"/>
  <c r="A12738" i="10"/>
  <c r="E12737" i="10"/>
  <c r="D12737" i="10"/>
  <c r="C12737" i="10"/>
  <c r="B12737" i="10"/>
  <c r="A12737" i="10"/>
  <c r="E12736" i="10"/>
  <c r="D12736" i="10"/>
  <c r="C12736" i="10"/>
  <c r="B12736" i="10"/>
  <c r="A12736" i="10"/>
  <c r="E12735" i="10"/>
  <c r="D12735" i="10"/>
  <c r="C12735" i="10"/>
  <c r="B12735" i="10"/>
  <c r="A12735" i="10"/>
  <c r="E12734" i="10"/>
  <c r="D12734" i="10"/>
  <c r="C12734" i="10"/>
  <c r="B12734" i="10"/>
  <c r="A12734" i="10"/>
  <c r="E12733" i="10"/>
  <c r="D12733" i="10"/>
  <c r="C12733" i="10"/>
  <c r="B12733" i="10"/>
  <c r="A12733" i="10"/>
  <c r="E12732" i="10"/>
  <c r="D12732" i="10"/>
  <c r="C12732" i="10"/>
  <c r="B12732" i="10"/>
  <c r="A12732" i="10"/>
  <c r="E12731" i="10"/>
  <c r="D12731" i="10"/>
  <c r="C12731" i="10"/>
  <c r="B12731" i="10"/>
  <c r="A12731" i="10"/>
  <c r="E12730" i="10"/>
  <c r="D12730" i="10"/>
  <c r="C12730" i="10"/>
  <c r="B12730" i="10"/>
  <c r="A12730" i="10"/>
  <c r="E12729" i="10"/>
  <c r="D12729" i="10"/>
  <c r="C12729" i="10"/>
  <c r="B12729" i="10"/>
  <c r="A12729" i="10"/>
  <c r="E12728" i="10"/>
  <c r="D12728" i="10"/>
  <c r="C12728" i="10"/>
  <c r="B12728" i="10"/>
  <c r="A12728" i="10"/>
  <c r="E12727" i="10"/>
  <c r="D12727" i="10"/>
  <c r="C12727" i="10"/>
  <c r="B12727" i="10"/>
  <c r="A12727" i="10"/>
  <c r="E12726" i="10"/>
  <c r="D12726" i="10"/>
  <c r="C12726" i="10"/>
  <c r="B12726" i="10"/>
  <c r="A12726" i="10"/>
  <c r="E12725" i="10"/>
  <c r="D12725" i="10"/>
  <c r="C12725" i="10"/>
  <c r="B12725" i="10"/>
  <c r="A12725" i="10"/>
  <c r="E12724" i="10"/>
  <c r="D12724" i="10"/>
  <c r="C12724" i="10"/>
  <c r="B12724" i="10"/>
  <c r="A12724" i="10"/>
  <c r="E12723" i="10"/>
  <c r="D12723" i="10"/>
  <c r="C12723" i="10"/>
  <c r="B12723" i="10"/>
  <c r="A12723" i="10"/>
  <c r="E12722" i="10"/>
  <c r="D12722" i="10"/>
  <c r="C12722" i="10"/>
  <c r="B12722" i="10"/>
  <c r="A12722" i="10"/>
  <c r="E12721" i="10"/>
  <c r="D12721" i="10"/>
  <c r="C12721" i="10"/>
  <c r="B12721" i="10"/>
  <c r="A12721" i="10"/>
  <c r="E12720" i="10"/>
  <c r="D12720" i="10"/>
  <c r="C12720" i="10"/>
  <c r="B12720" i="10"/>
  <c r="A12720" i="10"/>
  <c r="E12719" i="10"/>
  <c r="D12719" i="10"/>
  <c r="C12719" i="10"/>
  <c r="B12719" i="10"/>
  <c r="A12719" i="10"/>
  <c r="E12718" i="10"/>
  <c r="D12718" i="10"/>
  <c r="C12718" i="10"/>
  <c r="B12718" i="10"/>
  <c r="A12718" i="10"/>
  <c r="E12717" i="10"/>
  <c r="D12717" i="10"/>
  <c r="C12717" i="10"/>
  <c r="B12717" i="10"/>
  <c r="A12717" i="10"/>
  <c r="E12716" i="10"/>
  <c r="D12716" i="10"/>
  <c r="C12716" i="10"/>
  <c r="B12716" i="10"/>
  <c r="A12716" i="10"/>
  <c r="E12715" i="10"/>
  <c r="D12715" i="10"/>
  <c r="C12715" i="10"/>
  <c r="B12715" i="10"/>
  <c r="A12715" i="10"/>
  <c r="E12714" i="10"/>
  <c r="D12714" i="10"/>
  <c r="C12714" i="10"/>
  <c r="B12714" i="10"/>
  <c r="A12714" i="10"/>
  <c r="E12713" i="10"/>
  <c r="D12713" i="10"/>
  <c r="C12713" i="10"/>
  <c r="B12713" i="10"/>
  <c r="A12713" i="10"/>
  <c r="E12712" i="10"/>
  <c r="D12712" i="10"/>
  <c r="C12712" i="10"/>
  <c r="B12712" i="10"/>
  <c r="A12712" i="10"/>
  <c r="E12711" i="10"/>
  <c r="D12711" i="10"/>
  <c r="C12711" i="10"/>
  <c r="B12711" i="10"/>
  <c r="A12711" i="10"/>
  <c r="E12710" i="10"/>
  <c r="D12710" i="10"/>
  <c r="C12710" i="10"/>
  <c r="B12710" i="10"/>
  <c r="A12710" i="10"/>
  <c r="E12709" i="10"/>
  <c r="D12709" i="10"/>
  <c r="C12709" i="10"/>
  <c r="B12709" i="10"/>
  <c r="A12709" i="10"/>
  <c r="E12708" i="10"/>
  <c r="D12708" i="10"/>
  <c r="C12708" i="10"/>
  <c r="B12708" i="10"/>
  <c r="A12708" i="10"/>
  <c r="E12707" i="10"/>
  <c r="D12707" i="10"/>
  <c r="C12707" i="10"/>
  <c r="B12707" i="10"/>
  <c r="A12707" i="10"/>
  <c r="E12706" i="10"/>
  <c r="D12706" i="10"/>
  <c r="C12706" i="10"/>
  <c r="B12706" i="10"/>
  <c r="A12706" i="10"/>
  <c r="E12705" i="10"/>
  <c r="D12705" i="10"/>
  <c r="C12705" i="10"/>
  <c r="B12705" i="10"/>
  <c r="A12705" i="10"/>
  <c r="E12704" i="10"/>
  <c r="D12704" i="10"/>
  <c r="C12704" i="10"/>
  <c r="B12704" i="10"/>
  <c r="A12704" i="10"/>
  <c r="E12703" i="10"/>
  <c r="D12703" i="10"/>
  <c r="C12703" i="10"/>
  <c r="B12703" i="10"/>
  <c r="A12703" i="10"/>
  <c r="E12702" i="10"/>
  <c r="D12702" i="10"/>
  <c r="C12702" i="10"/>
  <c r="B12702" i="10"/>
  <c r="A12702" i="10"/>
  <c r="E12701" i="10"/>
  <c r="D12701" i="10"/>
  <c r="C12701" i="10"/>
  <c r="B12701" i="10"/>
  <c r="A12701" i="10"/>
  <c r="E12700" i="10"/>
  <c r="D12700" i="10"/>
  <c r="C12700" i="10"/>
  <c r="B12700" i="10"/>
  <c r="A12700" i="10"/>
  <c r="E12699" i="10"/>
  <c r="D12699" i="10"/>
  <c r="C12699" i="10"/>
  <c r="B12699" i="10"/>
  <c r="A12699" i="10"/>
  <c r="E12698" i="10"/>
  <c r="D12698" i="10"/>
  <c r="C12698" i="10"/>
  <c r="B12698" i="10"/>
  <c r="A12698" i="10"/>
  <c r="E12697" i="10"/>
  <c r="D12697" i="10"/>
  <c r="C12697" i="10"/>
  <c r="B12697" i="10"/>
  <c r="A12697" i="10"/>
  <c r="E12696" i="10"/>
  <c r="D12696" i="10"/>
  <c r="C12696" i="10"/>
  <c r="B12696" i="10"/>
  <c r="A12696" i="10"/>
  <c r="E12695" i="10"/>
  <c r="D12695" i="10"/>
  <c r="C12695" i="10"/>
  <c r="B12695" i="10"/>
  <c r="A12695" i="10"/>
  <c r="E12694" i="10"/>
  <c r="D12694" i="10"/>
  <c r="C12694" i="10"/>
  <c r="B12694" i="10"/>
  <c r="A12694" i="10"/>
  <c r="E12693" i="10"/>
  <c r="D12693" i="10"/>
  <c r="C12693" i="10"/>
  <c r="B12693" i="10"/>
  <c r="A12693" i="10"/>
  <c r="E12692" i="10"/>
  <c r="D12692" i="10"/>
  <c r="C12692" i="10"/>
  <c r="B12692" i="10"/>
  <c r="A12692" i="10"/>
  <c r="E12691" i="10"/>
  <c r="D12691" i="10"/>
  <c r="C12691" i="10"/>
  <c r="B12691" i="10"/>
  <c r="A12691" i="10"/>
  <c r="E12690" i="10"/>
  <c r="D12690" i="10"/>
  <c r="C12690" i="10"/>
  <c r="B12690" i="10"/>
  <c r="A12690" i="10"/>
  <c r="E12689" i="10"/>
  <c r="D12689" i="10"/>
  <c r="C12689" i="10"/>
  <c r="B12689" i="10"/>
  <c r="A12689" i="10"/>
  <c r="E12688" i="10"/>
  <c r="D12688" i="10"/>
  <c r="C12688" i="10"/>
  <c r="B12688" i="10"/>
  <c r="A12688" i="10"/>
  <c r="E12687" i="10"/>
  <c r="D12687" i="10"/>
  <c r="C12687" i="10"/>
  <c r="B12687" i="10"/>
  <c r="A12687" i="10"/>
  <c r="E12686" i="10"/>
  <c r="D12686" i="10"/>
  <c r="C12686" i="10"/>
  <c r="B12686" i="10"/>
  <c r="A12686" i="10"/>
  <c r="E12685" i="10"/>
  <c r="D12685" i="10"/>
  <c r="C12685" i="10"/>
  <c r="B12685" i="10"/>
  <c r="A12685" i="10"/>
  <c r="E12684" i="10"/>
  <c r="D12684" i="10"/>
  <c r="C12684" i="10"/>
  <c r="B12684" i="10"/>
  <c r="A12684" i="10"/>
  <c r="E12683" i="10"/>
  <c r="D12683" i="10"/>
  <c r="C12683" i="10"/>
  <c r="B12683" i="10"/>
  <c r="A12683" i="10"/>
  <c r="E12682" i="10"/>
  <c r="D12682" i="10"/>
  <c r="C12682" i="10"/>
  <c r="B12682" i="10"/>
  <c r="A12682" i="10"/>
  <c r="E12681" i="10"/>
  <c r="D12681" i="10"/>
  <c r="C12681" i="10"/>
  <c r="B12681" i="10"/>
  <c r="A12681" i="10"/>
  <c r="E12680" i="10"/>
  <c r="D12680" i="10"/>
  <c r="C12680" i="10"/>
  <c r="B12680" i="10"/>
  <c r="A12680" i="10"/>
  <c r="E12679" i="10"/>
  <c r="D12679" i="10"/>
  <c r="C12679" i="10"/>
  <c r="B12679" i="10"/>
  <c r="A12679" i="10"/>
  <c r="E12678" i="10"/>
  <c r="D12678" i="10"/>
  <c r="C12678" i="10"/>
  <c r="B12678" i="10"/>
  <c r="A12678" i="10"/>
  <c r="E12677" i="10"/>
  <c r="D12677" i="10"/>
  <c r="C12677" i="10"/>
  <c r="B12677" i="10"/>
  <c r="A12677" i="10"/>
  <c r="E12676" i="10"/>
  <c r="D12676" i="10"/>
  <c r="C12676" i="10"/>
  <c r="B12676" i="10"/>
  <c r="A12676" i="10"/>
  <c r="E12675" i="10"/>
  <c r="D12675" i="10"/>
  <c r="C12675" i="10"/>
  <c r="B12675" i="10"/>
  <c r="A12675" i="10"/>
  <c r="E12674" i="10"/>
  <c r="D12674" i="10"/>
  <c r="C12674" i="10"/>
  <c r="B12674" i="10"/>
  <c r="A12674" i="10"/>
  <c r="E12673" i="10"/>
  <c r="D12673" i="10"/>
  <c r="C12673" i="10"/>
  <c r="B12673" i="10"/>
  <c r="A12673" i="10"/>
  <c r="E12672" i="10"/>
  <c r="D12672" i="10"/>
  <c r="C12672" i="10"/>
  <c r="B12672" i="10"/>
  <c r="A12672" i="10"/>
  <c r="E12671" i="10"/>
  <c r="D12671" i="10"/>
  <c r="C12671" i="10"/>
  <c r="B12671" i="10"/>
  <c r="A12671" i="10"/>
  <c r="E12670" i="10"/>
  <c r="D12670" i="10"/>
  <c r="C12670" i="10"/>
  <c r="B12670" i="10"/>
  <c r="A12670" i="10"/>
  <c r="E12669" i="10"/>
  <c r="D12669" i="10"/>
  <c r="C12669" i="10"/>
  <c r="B12669" i="10"/>
  <c r="A12669" i="10"/>
  <c r="E12668" i="10"/>
  <c r="D12668" i="10"/>
  <c r="C12668" i="10"/>
  <c r="B12668" i="10"/>
  <c r="A12668" i="10"/>
  <c r="E12667" i="10"/>
  <c r="D12667" i="10"/>
  <c r="C12667" i="10"/>
  <c r="B12667" i="10"/>
  <c r="A12667" i="10"/>
  <c r="E12666" i="10"/>
  <c r="D12666" i="10"/>
  <c r="C12666" i="10"/>
  <c r="B12666" i="10"/>
  <c r="A12666" i="10"/>
  <c r="E12665" i="10"/>
  <c r="D12665" i="10"/>
  <c r="C12665" i="10"/>
  <c r="B12665" i="10"/>
  <c r="A12665" i="10"/>
  <c r="E12664" i="10"/>
  <c r="D12664" i="10"/>
  <c r="C12664" i="10"/>
  <c r="B12664" i="10"/>
  <c r="A12664" i="10"/>
  <c r="E12663" i="10"/>
  <c r="D12663" i="10"/>
  <c r="C12663" i="10"/>
  <c r="B12663" i="10"/>
  <c r="A12663" i="10"/>
  <c r="E12662" i="10"/>
  <c r="D12662" i="10"/>
  <c r="C12662" i="10"/>
  <c r="B12662" i="10"/>
  <c r="A12662" i="10"/>
  <c r="E12661" i="10"/>
  <c r="D12661" i="10"/>
  <c r="C12661" i="10"/>
  <c r="B12661" i="10"/>
  <c r="A12661" i="10"/>
  <c r="E12660" i="10"/>
  <c r="D12660" i="10"/>
  <c r="C12660" i="10"/>
  <c r="B12660" i="10"/>
  <c r="A12660" i="10"/>
  <c r="E12659" i="10"/>
  <c r="D12659" i="10"/>
  <c r="C12659" i="10"/>
  <c r="B12659" i="10"/>
  <c r="A12659" i="10"/>
  <c r="E12658" i="10"/>
  <c r="D12658" i="10"/>
  <c r="C12658" i="10"/>
  <c r="B12658" i="10"/>
  <c r="A12658" i="10"/>
  <c r="E12657" i="10"/>
  <c r="D12657" i="10"/>
  <c r="C12657" i="10"/>
  <c r="B12657" i="10"/>
  <c r="A12657" i="10"/>
  <c r="E12656" i="10"/>
  <c r="D12656" i="10"/>
  <c r="C12656" i="10"/>
  <c r="B12656" i="10"/>
  <c r="A12656" i="10"/>
  <c r="E12655" i="10"/>
  <c r="D12655" i="10"/>
  <c r="C12655" i="10"/>
  <c r="B12655" i="10"/>
  <c r="A12655" i="10"/>
  <c r="E12654" i="10"/>
  <c r="D12654" i="10"/>
  <c r="C12654" i="10"/>
  <c r="B12654" i="10"/>
  <c r="A12654" i="10"/>
  <c r="E12653" i="10"/>
  <c r="D12653" i="10"/>
  <c r="C12653" i="10"/>
  <c r="B12653" i="10"/>
  <c r="A12653" i="10"/>
  <c r="E12652" i="10"/>
  <c r="D12652" i="10"/>
  <c r="C12652" i="10"/>
  <c r="B12652" i="10"/>
  <c r="A12652" i="10"/>
  <c r="E12651" i="10"/>
  <c r="D12651" i="10"/>
  <c r="C12651" i="10"/>
  <c r="B12651" i="10"/>
  <c r="A12651" i="10"/>
  <c r="E12650" i="10"/>
  <c r="D12650" i="10"/>
  <c r="C12650" i="10"/>
  <c r="B12650" i="10"/>
  <c r="A12650" i="10"/>
  <c r="E12649" i="10"/>
  <c r="D12649" i="10"/>
  <c r="C12649" i="10"/>
  <c r="B12649" i="10"/>
  <c r="A12649" i="10"/>
  <c r="E12648" i="10"/>
  <c r="D12648" i="10"/>
  <c r="C12648" i="10"/>
  <c r="B12648" i="10"/>
  <c r="A12648" i="10"/>
  <c r="E12647" i="10"/>
  <c r="D12647" i="10"/>
  <c r="C12647" i="10"/>
  <c r="B12647" i="10"/>
  <c r="A12647" i="10"/>
  <c r="E12646" i="10"/>
  <c r="D12646" i="10"/>
  <c r="C12646" i="10"/>
  <c r="B12646" i="10"/>
  <c r="A12646" i="10"/>
  <c r="E12645" i="10"/>
  <c r="D12645" i="10"/>
  <c r="C12645" i="10"/>
  <c r="B12645" i="10"/>
  <c r="A12645" i="10"/>
  <c r="E12644" i="10"/>
  <c r="D12644" i="10"/>
  <c r="C12644" i="10"/>
  <c r="B12644" i="10"/>
  <c r="A12644" i="10"/>
  <c r="E12643" i="10"/>
  <c r="D12643" i="10"/>
  <c r="C12643" i="10"/>
  <c r="B12643" i="10"/>
  <c r="A12643" i="10"/>
  <c r="E12642" i="10"/>
  <c r="D12642" i="10"/>
  <c r="C12642" i="10"/>
  <c r="B12642" i="10"/>
  <c r="A12642" i="10"/>
  <c r="E12641" i="10"/>
  <c r="D12641" i="10"/>
  <c r="C12641" i="10"/>
  <c r="B12641" i="10"/>
  <c r="A12641" i="10"/>
  <c r="E12640" i="10"/>
  <c r="D12640" i="10"/>
  <c r="C12640" i="10"/>
  <c r="B12640" i="10"/>
  <c r="A12640" i="10"/>
  <c r="E12639" i="10"/>
  <c r="D12639" i="10"/>
  <c r="C12639" i="10"/>
  <c r="B12639" i="10"/>
  <c r="A12639" i="10"/>
  <c r="E12638" i="10"/>
  <c r="D12638" i="10"/>
  <c r="C12638" i="10"/>
  <c r="B12638" i="10"/>
  <c r="A12638" i="10"/>
  <c r="E12637" i="10"/>
  <c r="D12637" i="10"/>
  <c r="C12637" i="10"/>
  <c r="B12637" i="10"/>
  <c r="A12637" i="10"/>
  <c r="E12636" i="10"/>
  <c r="D12636" i="10"/>
  <c r="C12636" i="10"/>
  <c r="B12636" i="10"/>
  <c r="A12636" i="10"/>
  <c r="E12635" i="10"/>
  <c r="D12635" i="10"/>
  <c r="C12635" i="10"/>
  <c r="B12635" i="10"/>
  <c r="A12635" i="10"/>
  <c r="E12634" i="10"/>
  <c r="D12634" i="10"/>
  <c r="C12634" i="10"/>
  <c r="B12634" i="10"/>
  <c r="A12634" i="10"/>
  <c r="E12633" i="10"/>
  <c r="D12633" i="10"/>
  <c r="C12633" i="10"/>
  <c r="B12633" i="10"/>
  <c r="A12633" i="10"/>
  <c r="E12632" i="10"/>
  <c r="D12632" i="10"/>
  <c r="C12632" i="10"/>
  <c r="B12632" i="10"/>
  <c r="A12632" i="10"/>
  <c r="E12631" i="10"/>
  <c r="D12631" i="10"/>
  <c r="C12631" i="10"/>
  <c r="B12631" i="10"/>
  <c r="A12631" i="10"/>
  <c r="E12630" i="10"/>
  <c r="D12630" i="10"/>
  <c r="C12630" i="10"/>
  <c r="B12630" i="10"/>
  <c r="A12630" i="10"/>
  <c r="E12629" i="10"/>
  <c r="D12629" i="10"/>
  <c r="C12629" i="10"/>
  <c r="B12629" i="10"/>
  <c r="A12629" i="10"/>
  <c r="E12628" i="10"/>
  <c r="D12628" i="10"/>
  <c r="C12628" i="10"/>
  <c r="B12628" i="10"/>
  <c r="A12628" i="10"/>
  <c r="E12627" i="10"/>
  <c r="D12627" i="10"/>
  <c r="C12627" i="10"/>
  <c r="B12627" i="10"/>
  <c r="A12627" i="10"/>
  <c r="E12626" i="10"/>
  <c r="D12626" i="10"/>
  <c r="C12626" i="10"/>
  <c r="B12626" i="10"/>
  <c r="A12626" i="10"/>
  <c r="E12625" i="10"/>
  <c r="D12625" i="10"/>
  <c r="C12625" i="10"/>
  <c r="B12625" i="10"/>
  <c r="A12625" i="10"/>
  <c r="E12624" i="10"/>
  <c r="D12624" i="10"/>
  <c r="C12624" i="10"/>
  <c r="B12624" i="10"/>
  <c r="A12624" i="10"/>
  <c r="E12623" i="10"/>
  <c r="D12623" i="10"/>
  <c r="C12623" i="10"/>
  <c r="B12623" i="10"/>
  <c r="A12623" i="10"/>
  <c r="E12622" i="10"/>
  <c r="D12622" i="10"/>
  <c r="C12622" i="10"/>
  <c r="B12622" i="10"/>
  <c r="A12622" i="10"/>
  <c r="E12621" i="10"/>
  <c r="D12621" i="10"/>
  <c r="C12621" i="10"/>
  <c r="B12621" i="10"/>
  <c r="A12621" i="10"/>
  <c r="E12620" i="10"/>
  <c r="D12620" i="10"/>
  <c r="C12620" i="10"/>
  <c r="B12620" i="10"/>
  <c r="A12620" i="10"/>
  <c r="E12619" i="10"/>
  <c r="D12619" i="10"/>
  <c r="C12619" i="10"/>
  <c r="B12619" i="10"/>
  <c r="A12619" i="10"/>
  <c r="E12618" i="10"/>
  <c r="D12618" i="10"/>
  <c r="C12618" i="10"/>
  <c r="B12618" i="10"/>
  <c r="A12618" i="10"/>
  <c r="E12617" i="10"/>
  <c r="D12617" i="10"/>
  <c r="C12617" i="10"/>
  <c r="B12617" i="10"/>
  <c r="A12617" i="10"/>
  <c r="E12616" i="10"/>
  <c r="D12616" i="10"/>
  <c r="C12616" i="10"/>
  <c r="B12616" i="10"/>
  <c r="A12616" i="10"/>
  <c r="E12615" i="10"/>
  <c r="D12615" i="10"/>
  <c r="C12615" i="10"/>
  <c r="B12615" i="10"/>
  <c r="A12615" i="10"/>
  <c r="E12614" i="10"/>
  <c r="D12614" i="10"/>
  <c r="C12614" i="10"/>
  <c r="B12614" i="10"/>
  <c r="A12614" i="10"/>
  <c r="E12613" i="10"/>
  <c r="D12613" i="10"/>
  <c r="C12613" i="10"/>
  <c r="B12613" i="10"/>
  <c r="A12613" i="10"/>
  <c r="E12612" i="10"/>
  <c r="D12612" i="10"/>
  <c r="C12612" i="10"/>
  <c r="B12612" i="10"/>
  <c r="A12612" i="10"/>
  <c r="E12611" i="10"/>
  <c r="D12611" i="10"/>
  <c r="C12611" i="10"/>
  <c r="B12611" i="10"/>
  <c r="A12611" i="10"/>
  <c r="E12610" i="10"/>
  <c r="D12610" i="10"/>
  <c r="C12610" i="10"/>
  <c r="B12610" i="10"/>
  <c r="A12610" i="10"/>
  <c r="E12609" i="10"/>
  <c r="D12609" i="10"/>
  <c r="C12609" i="10"/>
  <c r="B12609" i="10"/>
  <c r="A12609" i="10"/>
  <c r="E12608" i="10"/>
  <c r="D12608" i="10"/>
  <c r="C12608" i="10"/>
  <c r="B12608" i="10"/>
  <c r="A12608" i="10"/>
  <c r="E12607" i="10"/>
  <c r="D12607" i="10"/>
  <c r="C12607" i="10"/>
  <c r="B12607" i="10"/>
  <c r="A12607" i="10"/>
  <c r="E12606" i="10"/>
  <c r="D12606" i="10"/>
  <c r="C12606" i="10"/>
  <c r="B12606" i="10"/>
  <c r="A12606" i="10"/>
  <c r="E12605" i="10"/>
  <c r="D12605" i="10"/>
  <c r="C12605" i="10"/>
  <c r="B12605" i="10"/>
  <c r="A12605" i="10"/>
  <c r="E12604" i="10"/>
  <c r="D12604" i="10"/>
  <c r="C12604" i="10"/>
  <c r="B12604" i="10"/>
  <c r="A12604" i="10"/>
  <c r="E12603" i="10"/>
  <c r="D12603" i="10"/>
  <c r="C12603" i="10"/>
  <c r="B12603" i="10"/>
  <c r="A12603" i="10"/>
  <c r="E12602" i="10"/>
  <c r="D12602" i="10"/>
  <c r="C12602" i="10"/>
  <c r="B12602" i="10"/>
  <c r="A12602" i="10"/>
  <c r="E12601" i="10"/>
  <c r="D12601" i="10"/>
  <c r="C12601" i="10"/>
  <c r="B12601" i="10"/>
  <c r="A12601" i="10"/>
  <c r="E12600" i="10"/>
  <c r="D12600" i="10"/>
  <c r="C12600" i="10"/>
  <c r="B12600" i="10"/>
  <c r="A12600" i="10"/>
  <c r="E12599" i="10"/>
  <c r="D12599" i="10"/>
  <c r="C12599" i="10"/>
  <c r="B12599" i="10"/>
  <c r="A12599" i="10"/>
  <c r="E12598" i="10"/>
  <c r="D12598" i="10"/>
  <c r="C12598" i="10"/>
  <c r="B12598" i="10"/>
  <c r="A12598" i="10"/>
  <c r="E12597" i="10"/>
  <c r="D12597" i="10"/>
  <c r="C12597" i="10"/>
  <c r="B12597" i="10"/>
  <c r="A12597" i="10"/>
  <c r="E12596" i="10"/>
  <c r="D12596" i="10"/>
  <c r="C12596" i="10"/>
  <c r="B12596" i="10"/>
  <c r="A12596" i="10"/>
  <c r="E12595" i="10"/>
  <c r="D12595" i="10"/>
  <c r="C12595" i="10"/>
  <c r="B12595" i="10"/>
  <c r="A12595" i="10"/>
  <c r="E12594" i="10"/>
  <c r="D12594" i="10"/>
  <c r="C12594" i="10"/>
  <c r="B12594" i="10"/>
  <c r="A12594" i="10"/>
  <c r="E12593" i="10"/>
  <c r="D12593" i="10"/>
  <c r="C12593" i="10"/>
  <c r="B12593" i="10"/>
  <c r="A12593" i="10"/>
  <c r="E12592" i="10"/>
  <c r="D12592" i="10"/>
  <c r="C12592" i="10"/>
  <c r="B12592" i="10"/>
  <c r="A12592" i="10"/>
  <c r="E12591" i="10"/>
  <c r="D12591" i="10"/>
  <c r="C12591" i="10"/>
  <c r="B12591" i="10"/>
  <c r="A12591" i="10"/>
  <c r="E12590" i="10"/>
  <c r="D12590" i="10"/>
  <c r="C12590" i="10"/>
  <c r="B12590" i="10"/>
  <c r="A12590" i="10"/>
  <c r="E12589" i="10"/>
  <c r="D12589" i="10"/>
  <c r="C12589" i="10"/>
  <c r="B12589" i="10"/>
  <c r="A12589" i="10"/>
  <c r="E12588" i="10"/>
  <c r="D12588" i="10"/>
  <c r="C12588" i="10"/>
  <c r="B12588" i="10"/>
  <c r="A12588" i="10"/>
  <c r="E12587" i="10"/>
  <c r="D12587" i="10"/>
  <c r="C12587" i="10"/>
  <c r="B12587" i="10"/>
  <c r="A12587" i="10"/>
  <c r="E12586" i="10"/>
  <c r="D12586" i="10"/>
  <c r="C12586" i="10"/>
  <c r="B12586" i="10"/>
  <c r="A12586" i="10"/>
  <c r="E12585" i="10"/>
  <c r="D12585" i="10"/>
  <c r="C12585" i="10"/>
  <c r="B12585" i="10"/>
  <c r="A12585" i="10"/>
  <c r="E12584" i="10"/>
  <c r="D12584" i="10"/>
  <c r="C12584" i="10"/>
  <c r="B12584" i="10"/>
  <c r="A12584" i="10"/>
  <c r="E12583" i="10"/>
  <c r="D12583" i="10"/>
  <c r="C12583" i="10"/>
  <c r="B12583" i="10"/>
  <c r="A12583" i="10"/>
  <c r="E12582" i="10"/>
  <c r="D12582" i="10"/>
  <c r="C12582" i="10"/>
  <c r="B12582" i="10"/>
  <c r="A12582" i="10"/>
  <c r="E12581" i="10"/>
  <c r="D12581" i="10"/>
  <c r="C12581" i="10"/>
  <c r="B12581" i="10"/>
  <c r="A12581" i="10"/>
  <c r="E12580" i="10"/>
  <c r="D12580" i="10"/>
  <c r="C12580" i="10"/>
  <c r="B12580" i="10"/>
  <c r="A12580" i="10"/>
  <c r="E12579" i="10"/>
  <c r="D12579" i="10"/>
  <c r="C12579" i="10"/>
  <c r="B12579" i="10"/>
  <c r="A12579" i="10"/>
  <c r="E12578" i="10"/>
  <c r="D12578" i="10"/>
  <c r="C12578" i="10"/>
  <c r="B12578" i="10"/>
  <c r="A12578" i="10"/>
  <c r="E12577" i="10"/>
  <c r="D12577" i="10"/>
  <c r="C12577" i="10"/>
  <c r="B12577" i="10"/>
  <c r="A12577" i="10"/>
  <c r="E12576" i="10"/>
  <c r="D12576" i="10"/>
  <c r="C12576" i="10"/>
  <c r="B12576" i="10"/>
  <c r="A12576" i="10"/>
  <c r="E12575" i="10"/>
  <c r="D12575" i="10"/>
  <c r="C12575" i="10"/>
  <c r="B12575" i="10"/>
  <c r="A12575" i="10"/>
  <c r="E12574" i="10"/>
  <c r="D12574" i="10"/>
  <c r="C12574" i="10"/>
  <c r="B12574" i="10"/>
  <c r="A12574" i="10"/>
  <c r="E12573" i="10"/>
  <c r="D12573" i="10"/>
  <c r="C12573" i="10"/>
  <c r="B12573" i="10"/>
  <c r="A12573" i="10"/>
  <c r="E12572" i="10"/>
  <c r="D12572" i="10"/>
  <c r="C12572" i="10"/>
  <c r="B12572" i="10"/>
  <c r="A12572" i="10"/>
  <c r="E12571" i="10"/>
  <c r="D12571" i="10"/>
  <c r="C12571" i="10"/>
  <c r="B12571" i="10"/>
  <c r="A12571" i="10"/>
  <c r="E12570" i="10"/>
  <c r="D12570" i="10"/>
  <c r="C12570" i="10"/>
  <c r="B12570" i="10"/>
  <c r="A12570" i="10"/>
  <c r="E12569" i="10"/>
  <c r="D12569" i="10"/>
  <c r="C12569" i="10"/>
  <c r="B12569" i="10"/>
  <c r="A12569" i="10"/>
  <c r="E12568" i="10"/>
  <c r="D12568" i="10"/>
  <c r="C12568" i="10"/>
  <c r="B12568" i="10"/>
  <c r="A12568" i="10"/>
  <c r="E12567" i="10"/>
  <c r="D12567" i="10"/>
  <c r="C12567" i="10"/>
  <c r="B12567" i="10"/>
  <c r="A12567" i="10"/>
  <c r="E12566" i="10"/>
  <c r="D12566" i="10"/>
  <c r="C12566" i="10"/>
  <c r="B12566" i="10"/>
  <c r="A12566" i="10"/>
  <c r="E12565" i="10"/>
  <c r="D12565" i="10"/>
  <c r="C12565" i="10"/>
  <c r="B12565" i="10"/>
  <c r="A12565" i="10"/>
  <c r="E12564" i="10"/>
  <c r="D12564" i="10"/>
  <c r="C12564" i="10"/>
  <c r="B12564" i="10"/>
  <c r="A12564" i="10"/>
  <c r="E12563" i="10"/>
  <c r="D12563" i="10"/>
  <c r="C12563" i="10"/>
  <c r="B12563" i="10"/>
  <c r="A12563" i="10"/>
  <c r="E12562" i="10"/>
  <c r="D12562" i="10"/>
  <c r="C12562" i="10"/>
  <c r="B12562" i="10"/>
  <c r="A12562" i="10"/>
  <c r="E12561" i="10"/>
  <c r="D12561" i="10"/>
  <c r="C12561" i="10"/>
  <c r="B12561" i="10"/>
  <c r="A12561" i="10"/>
  <c r="E12560" i="10"/>
  <c r="D12560" i="10"/>
  <c r="C12560" i="10"/>
  <c r="B12560" i="10"/>
  <c r="A12560" i="10"/>
  <c r="E12559" i="10"/>
  <c r="D12559" i="10"/>
  <c r="C12559" i="10"/>
  <c r="B12559" i="10"/>
  <c r="A12559" i="10"/>
  <c r="E12558" i="10"/>
  <c r="D12558" i="10"/>
  <c r="C12558" i="10"/>
  <c r="B12558" i="10"/>
  <c r="A12558" i="10"/>
  <c r="E12557" i="10"/>
  <c r="D12557" i="10"/>
  <c r="C12557" i="10"/>
  <c r="B12557" i="10"/>
  <c r="A12557" i="10"/>
  <c r="E12556" i="10"/>
  <c r="D12556" i="10"/>
  <c r="C12556" i="10"/>
  <c r="B12556" i="10"/>
  <c r="A12556" i="10"/>
  <c r="E12555" i="10"/>
  <c r="D12555" i="10"/>
  <c r="C12555" i="10"/>
  <c r="B12555" i="10"/>
  <c r="A12555" i="10"/>
  <c r="E12554" i="10"/>
  <c r="D12554" i="10"/>
  <c r="C12554" i="10"/>
  <c r="B12554" i="10"/>
  <c r="A12554" i="10"/>
  <c r="E12553" i="10"/>
  <c r="D12553" i="10"/>
  <c r="C12553" i="10"/>
  <c r="B12553" i="10"/>
  <c r="A12553" i="10"/>
  <c r="E12552" i="10"/>
  <c r="D12552" i="10"/>
  <c r="C12552" i="10"/>
  <c r="B12552" i="10"/>
  <c r="A12552" i="10"/>
  <c r="E12551" i="10"/>
  <c r="D12551" i="10"/>
  <c r="C12551" i="10"/>
  <c r="B12551" i="10"/>
  <c r="A12551" i="10"/>
  <c r="E12550" i="10"/>
  <c r="D12550" i="10"/>
  <c r="C12550" i="10"/>
  <c r="B12550" i="10"/>
  <c r="A12550" i="10"/>
  <c r="E12549" i="10"/>
  <c r="D12549" i="10"/>
  <c r="C12549" i="10"/>
  <c r="B12549" i="10"/>
  <c r="A12549" i="10"/>
  <c r="E12548" i="10"/>
  <c r="D12548" i="10"/>
  <c r="C12548" i="10"/>
  <c r="B12548" i="10"/>
  <c r="A12548" i="10"/>
  <c r="E12547" i="10"/>
  <c r="D12547" i="10"/>
  <c r="C12547" i="10"/>
  <c r="B12547" i="10"/>
  <c r="A12547" i="10"/>
  <c r="E12546" i="10"/>
  <c r="D12546" i="10"/>
  <c r="C12546" i="10"/>
  <c r="B12546" i="10"/>
  <c r="A12546" i="10"/>
  <c r="E12545" i="10"/>
  <c r="D12545" i="10"/>
  <c r="C12545" i="10"/>
  <c r="B12545" i="10"/>
  <c r="A12545" i="10"/>
  <c r="E12544" i="10"/>
  <c r="D12544" i="10"/>
  <c r="C12544" i="10"/>
  <c r="B12544" i="10"/>
  <c r="A12544" i="10"/>
  <c r="E12543" i="10"/>
  <c r="D12543" i="10"/>
  <c r="C12543" i="10"/>
  <c r="B12543" i="10"/>
  <c r="A12543" i="10"/>
  <c r="E12542" i="10"/>
  <c r="D12542" i="10"/>
  <c r="C12542" i="10"/>
  <c r="B12542" i="10"/>
  <c r="A12542" i="10"/>
  <c r="E12541" i="10"/>
  <c r="D12541" i="10"/>
  <c r="C12541" i="10"/>
  <c r="B12541" i="10"/>
  <c r="A12541" i="10"/>
  <c r="E12540" i="10"/>
  <c r="D12540" i="10"/>
  <c r="C12540" i="10"/>
  <c r="B12540" i="10"/>
  <c r="A12540" i="10"/>
  <c r="E12539" i="10"/>
  <c r="D12539" i="10"/>
  <c r="C12539" i="10"/>
  <c r="B12539" i="10"/>
  <c r="A12539" i="10"/>
  <c r="E12538" i="10"/>
  <c r="D12538" i="10"/>
  <c r="C12538" i="10"/>
  <c r="B12538" i="10"/>
  <c r="A12538" i="10"/>
  <c r="E12537" i="10"/>
  <c r="D12537" i="10"/>
  <c r="C12537" i="10"/>
  <c r="B12537" i="10"/>
  <c r="A12537" i="10"/>
  <c r="E12536" i="10"/>
  <c r="D12536" i="10"/>
  <c r="C12536" i="10"/>
  <c r="B12536" i="10"/>
  <c r="A12536" i="10"/>
  <c r="E12535" i="10"/>
  <c r="D12535" i="10"/>
  <c r="C12535" i="10"/>
  <c r="B12535" i="10"/>
  <c r="A12535" i="10"/>
  <c r="E12534" i="10"/>
  <c r="D12534" i="10"/>
  <c r="C12534" i="10"/>
  <c r="B12534" i="10"/>
  <c r="A12534" i="10"/>
  <c r="E12533" i="10"/>
  <c r="D12533" i="10"/>
  <c r="C12533" i="10"/>
  <c r="B12533" i="10"/>
  <c r="A12533" i="10"/>
  <c r="E12532" i="10"/>
  <c r="D12532" i="10"/>
  <c r="C12532" i="10"/>
  <c r="B12532" i="10"/>
  <c r="A12532" i="10"/>
  <c r="E12531" i="10"/>
  <c r="D12531" i="10"/>
  <c r="C12531" i="10"/>
  <c r="B12531" i="10"/>
  <c r="A12531" i="10"/>
  <c r="E12530" i="10"/>
  <c r="D12530" i="10"/>
  <c r="C12530" i="10"/>
  <c r="B12530" i="10"/>
  <c r="A12530" i="10"/>
  <c r="E12529" i="10"/>
  <c r="D12529" i="10"/>
  <c r="C12529" i="10"/>
  <c r="B12529" i="10"/>
  <c r="A12529" i="10"/>
  <c r="E12528" i="10"/>
  <c r="D12528" i="10"/>
  <c r="C12528" i="10"/>
  <c r="B12528" i="10"/>
  <c r="A12528" i="10"/>
  <c r="E12527" i="10"/>
  <c r="D12527" i="10"/>
  <c r="C12527" i="10"/>
  <c r="B12527" i="10"/>
  <c r="A12527" i="10"/>
  <c r="E12526" i="10"/>
  <c r="D12526" i="10"/>
  <c r="C12526" i="10"/>
  <c r="B12526" i="10"/>
  <c r="A12526" i="10"/>
  <c r="E12525" i="10"/>
  <c r="D12525" i="10"/>
  <c r="C12525" i="10"/>
  <c r="B12525" i="10"/>
  <c r="A12525" i="10"/>
  <c r="E12524" i="10"/>
  <c r="D12524" i="10"/>
  <c r="C12524" i="10"/>
  <c r="B12524" i="10"/>
  <c r="A12524" i="10"/>
  <c r="E12523" i="10"/>
  <c r="D12523" i="10"/>
  <c r="C12523" i="10"/>
  <c r="B12523" i="10"/>
  <c r="A12523" i="10"/>
  <c r="E12522" i="10"/>
  <c r="D12522" i="10"/>
  <c r="C12522" i="10"/>
  <c r="B12522" i="10"/>
  <c r="A12522" i="10"/>
  <c r="E12521" i="10"/>
  <c r="D12521" i="10"/>
  <c r="C12521" i="10"/>
  <c r="B12521" i="10"/>
  <c r="A12521" i="10"/>
  <c r="E12520" i="10"/>
  <c r="D12520" i="10"/>
  <c r="C12520" i="10"/>
  <c r="B12520" i="10"/>
  <c r="A12520" i="10"/>
  <c r="E12519" i="10"/>
  <c r="D12519" i="10"/>
  <c r="C12519" i="10"/>
  <c r="B12519" i="10"/>
  <c r="A12519" i="10"/>
  <c r="E12518" i="10"/>
  <c r="D12518" i="10"/>
  <c r="C12518" i="10"/>
  <c r="B12518" i="10"/>
  <c r="A12518" i="10"/>
  <c r="E12517" i="10"/>
  <c r="D12517" i="10"/>
  <c r="C12517" i="10"/>
  <c r="B12517" i="10"/>
  <c r="A12517" i="10"/>
  <c r="E12516" i="10"/>
  <c r="D12516" i="10"/>
  <c r="C12516" i="10"/>
  <c r="B12516" i="10"/>
  <c r="A12516" i="10"/>
  <c r="E12515" i="10"/>
  <c r="D12515" i="10"/>
  <c r="C12515" i="10"/>
  <c r="B12515" i="10"/>
  <c r="A12515" i="10"/>
  <c r="E12514" i="10"/>
  <c r="D12514" i="10"/>
  <c r="C12514" i="10"/>
  <c r="B12514" i="10"/>
  <c r="A12514" i="10"/>
  <c r="E12513" i="10"/>
  <c r="D12513" i="10"/>
  <c r="C12513" i="10"/>
  <c r="B12513" i="10"/>
  <c r="A12513" i="10"/>
  <c r="E12512" i="10"/>
  <c r="D12512" i="10"/>
  <c r="C12512" i="10"/>
  <c r="B12512" i="10"/>
  <c r="A12512" i="10"/>
  <c r="E12511" i="10"/>
  <c r="D12511" i="10"/>
  <c r="C12511" i="10"/>
  <c r="B12511" i="10"/>
  <c r="A12511" i="10"/>
  <c r="E12510" i="10"/>
  <c r="D12510" i="10"/>
  <c r="C12510" i="10"/>
  <c r="B12510" i="10"/>
  <c r="A12510" i="10"/>
  <c r="E12509" i="10"/>
  <c r="D12509" i="10"/>
  <c r="C12509" i="10"/>
  <c r="B12509" i="10"/>
  <c r="A12509" i="10"/>
  <c r="E12508" i="10"/>
  <c r="D12508" i="10"/>
  <c r="C12508" i="10"/>
  <c r="B12508" i="10"/>
  <c r="A12508" i="10"/>
  <c r="E12507" i="10"/>
  <c r="D12507" i="10"/>
  <c r="C12507" i="10"/>
  <c r="B12507" i="10"/>
  <c r="A12507" i="10"/>
  <c r="E12506" i="10"/>
  <c r="D12506" i="10"/>
  <c r="C12506" i="10"/>
  <c r="B12506" i="10"/>
  <c r="A12506" i="10"/>
  <c r="E12505" i="10"/>
  <c r="D12505" i="10"/>
  <c r="C12505" i="10"/>
  <c r="B12505" i="10"/>
  <c r="A12505" i="10"/>
  <c r="E12504" i="10"/>
  <c r="D12504" i="10"/>
  <c r="C12504" i="10"/>
  <c r="B12504" i="10"/>
  <c r="A12504" i="10"/>
  <c r="E12503" i="10"/>
  <c r="D12503" i="10"/>
  <c r="C12503" i="10"/>
  <c r="B12503" i="10"/>
  <c r="A12503" i="10"/>
  <c r="E12502" i="10"/>
  <c r="D12502" i="10"/>
  <c r="C12502" i="10"/>
  <c r="B12502" i="10"/>
  <c r="A12502" i="10"/>
  <c r="E12501" i="10"/>
  <c r="D12501" i="10"/>
  <c r="C12501" i="10"/>
  <c r="B12501" i="10"/>
  <c r="A12501" i="10"/>
  <c r="E12500" i="10"/>
  <c r="D12500" i="10"/>
  <c r="C12500" i="10"/>
  <c r="B12500" i="10"/>
  <c r="A12500" i="10"/>
  <c r="E12499" i="10"/>
  <c r="D12499" i="10"/>
  <c r="C12499" i="10"/>
  <c r="B12499" i="10"/>
  <c r="A12499" i="10"/>
  <c r="E12498" i="10"/>
  <c r="D12498" i="10"/>
  <c r="C12498" i="10"/>
  <c r="B12498" i="10"/>
  <c r="A12498" i="10"/>
  <c r="E12497" i="10"/>
  <c r="D12497" i="10"/>
  <c r="C12497" i="10"/>
  <c r="B12497" i="10"/>
  <c r="A12497" i="10"/>
  <c r="E12496" i="10"/>
  <c r="D12496" i="10"/>
  <c r="C12496" i="10"/>
  <c r="B12496" i="10"/>
  <c r="A12496" i="10"/>
  <c r="E12495" i="10"/>
  <c r="D12495" i="10"/>
  <c r="C12495" i="10"/>
  <c r="B12495" i="10"/>
  <c r="A12495" i="10"/>
  <c r="E12494" i="10"/>
  <c r="D12494" i="10"/>
  <c r="C12494" i="10"/>
  <c r="B12494" i="10"/>
  <c r="A12494" i="10"/>
  <c r="E12493" i="10"/>
  <c r="D12493" i="10"/>
  <c r="C12493" i="10"/>
  <c r="B12493" i="10"/>
  <c r="A12493" i="10"/>
  <c r="E12492" i="10"/>
  <c r="D12492" i="10"/>
  <c r="C12492" i="10"/>
  <c r="B12492" i="10"/>
  <c r="A12492" i="10"/>
  <c r="E12491" i="10"/>
  <c r="D12491" i="10"/>
  <c r="C12491" i="10"/>
  <c r="B12491" i="10"/>
  <c r="A12491" i="10"/>
  <c r="E12490" i="10"/>
  <c r="D12490" i="10"/>
  <c r="C12490" i="10"/>
  <c r="B12490" i="10"/>
  <c r="A12490" i="10"/>
  <c r="E12489" i="10"/>
  <c r="D12489" i="10"/>
  <c r="C12489" i="10"/>
  <c r="B12489" i="10"/>
  <c r="A12489" i="10"/>
  <c r="E12488" i="10"/>
  <c r="D12488" i="10"/>
  <c r="C12488" i="10"/>
  <c r="B12488" i="10"/>
  <c r="A12488" i="10"/>
  <c r="E12487" i="10"/>
  <c r="D12487" i="10"/>
  <c r="C12487" i="10"/>
  <c r="B12487" i="10"/>
  <c r="A12487" i="10"/>
  <c r="E12486" i="10"/>
  <c r="D12486" i="10"/>
  <c r="C12486" i="10"/>
  <c r="B12486" i="10"/>
  <c r="A12486" i="10"/>
  <c r="E12485" i="10"/>
  <c r="D12485" i="10"/>
  <c r="C12485" i="10"/>
  <c r="B12485" i="10"/>
  <c r="A12485" i="10"/>
  <c r="E12484" i="10"/>
  <c r="D12484" i="10"/>
  <c r="C12484" i="10"/>
  <c r="B12484" i="10"/>
  <c r="A12484" i="10"/>
  <c r="E12483" i="10"/>
  <c r="D12483" i="10"/>
  <c r="C12483" i="10"/>
  <c r="B12483" i="10"/>
  <c r="A12483" i="10"/>
  <c r="E12482" i="10"/>
  <c r="D12482" i="10"/>
  <c r="C12482" i="10"/>
  <c r="B12482" i="10"/>
  <c r="A12482" i="10"/>
  <c r="E12481" i="10"/>
  <c r="D12481" i="10"/>
  <c r="C12481" i="10"/>
  <c r="B12481" i="10"/>
  <c r="A12481" i="10"/>
  <c r="E12480" i="10"/>
  <c r="D12480" i="10"/>
  <c r="C12480" i="10"/>
  <c r="B12480" i="10"/>
  <c r="A12480" i="10"/>
  <c r="E12479" i="10"/>
  <c r="D12479" i="10"/>
  <c r="C12479" i="10"/>
  <c r="B12479" i="10"/>
  <c r="A12479" i="10"/>
  <c r="E12478" i="10"/>
  <c r="D12478" i="10"/>
  <c r="C12478" i="10"/>
  <c r="B12478" i="10"/>
  <c r="A12478" i="10"/>
  <c r="E12477" i="10"/>
  <c r="D12477" i="10"/>
  <c r="C12477" i="10"/>
  <c r="B12477" i="10"/>
  <c r="A12477" i="10"/>
  <c r="E12476" i="10"/>
  <c r="D12476" i="10"/>
  <c r="C12476" i="10"/>
  <c r="B12476" i="10"/>
  <c r="A12476" i="10"/>
  <c r="E12475" i="10"/>
  <c r="D12475" i="10"/>
  <c r="C12475" i="10"/>
  <c r="B12475" i="10"/>
  <c r="A12475" i="10"/>
  <c r="E12474" i="10"/>
  <c r="D12474" i="10"/>
  <c r="C12474" i="10"/>
  <c r="B12474" i="10"/>
  <c r="A12474" i="10"/>
  <c r="E12473" i="10"/>
  <c r="D12473" i="10"/>
  <c r="C12473" i="10"/>
  <c r="B12473" i="10"/>
  <c r="A12473" i="10"/>
  <c r="E12472" i="10"/>
  <c r="D12472" i="10"/>
  <c r="C12472" i="10"/>
  <c r="B12472" i="10"/>
  <c r="A12472" i="10"/>
  <c r="E12471" i="10"/>
  <c r="D12471" i="10"/>
  <c r="C12471" i="10"/>
  <c r="B12471" i="10"/>
  <c r="A12471" i="10"/>
  <c r="E12470" i="10"/>
  <c r="D12470" i="10"/>
  <c r="C12470" i="10"/>
  <c r="B12470" i="10"/>
  <c r="A12470" i="10"/>
  <c r="E12469" i="10"/>
  <c r="D12469" i="10"/>
  <c r="C12469" i="10"/>
  <c r="B12469" i="10"/>
  <c r="A12469" i="10"/>
  <c r="E12468" i="10"/>
  <c r="D12468" i="10"/>
  <c r="C12468" i="10"/>
  <c r="B12468" i="10"/>
  <c r="A12468" i="10"/>
  <c r="E12467" i="10"/>
  <c r="D12467" i="10"/>
  <c r="C12467" i="10"/>
  <c r="B12467" i="10"/>
  <c r="A12467" i="10"/>
  <c r="E12466" i="10"/>
  <c r="D12466" i="10"/>
  <c r="C12466" i="10"/>
  <c r="B12466" i="10"/>
  <c r="A12466" i="10"/>
  <c r="E12465" i="10"/>
  <c r="D12465" i="10"/>
  <c r="C12465" i="10"/>
  <c r="B12465" i="10"/>
  <c r="A12465" i="10"/>
  <c r="E12464" i="10"/>
  <c r="D12464" i="10"/>
  <c r="C12464" i="10"/>
  <c r="B12464" i="10"/>
  <c r="A12464" i="10"/>
  <c r="E12463" i="10"/>
  <c r="D12463" i="10"/>
  <c r="C12463" i="10"/>
  <c r="B12463" i="10"/>
  <c r="A12463" i="10"/>
  <c r="E12462" i="10"/>
  <c r="D12462" i="10"/>
  <c r="C12462" i="10"/>
  <c r="B12462" i="10"/>
  <c r="A12462" i="10"/>
  <c r="E12461" i="10"/>
  <c r="D12461" i="10"/>
  <c r="C12461" i="10"/>
  <c r="B12461" i="10"/>
  <c r="A12461" i="10"/>
  <c r="E12460" i="10"/>
  <c r="D12460" i="10"/>
  <c r="C12460" i="10"/>
  <c r="B12460" i="10"/>
  <c r="A12460" i="10"/>
  <c r="E12459" i="10"/>
  <c r="D12459" i="10"/>
  <c r="C12459" i="10"/>
  <c r="B12459" i="10"/>
  <c r="A12459" i="10"/>
  <c r="E12458" i="10"/>
  <c r="D12458" i="10"/>
  <c r="C12458" i="10"/>
  <c r="B12458" i="10"/>
  <c r="A12458" i="10"/>
  <c r="E12457" i="10"/>
  <c r="D12457" i="10"/>
  <c r="C12457" i="10"/>
  <c r="B12457" i="10"/>
  <c r="A12457" i="10"/>
  <c r="E12456" i="10"/>
  <c r="D12456" i="10"/>
  <c r="C12456" i="10"/>
  <c r="B12456" i="10"/>
  <c r="A12456" i="10"/>
  <c r="E12455" i="10"/>
  <c r="D12455" i="10"/>
  <c r="C12455" i="10"/>
  <c r="B12455" i="10"/>
  <c r="A12455" i="10"/>
  <c r="E12454" i="10"/>
  <c r="D12454" i="10"/>
  <c r="C12454" i="10"/>
  <c r="B12454" i="10"/>
  <c r="A12454" i="10"/>
  <c r="E12453" i="10"/>
  <c r="D12453" i="10"/>
  <c r="C12453" i="10"/>
  <c r="B12453" i="10"/>
  <c r="A12453" i="10"/>
  <c r="E12452" i="10"/>
  <c r="D12452" i="10"/>
  <c r="C12452" i="10"/>
  <c r="B12452" i="10"/>
  <c r="A12452" i="10"/>
  <c r="E12451" i="10"/>
  <c r="D12451" i="10"/>
  <c r="C12451" i="10"/>
  <c r="B12451" i="10"/>
  <c r="A12451" i="10"/>
  <c r="E12450" i="10"/>
  <c r="D12450" i="10"/>
  <c r="C12450" i="10"/>
  <c r="B12450" i="10"/>
  <c r="A12450" i="10"/>
  <c r="E12449" i="10"/>
  <c r="D12449" i="10"/>
  <c r="C12449" i="10"/>
  <c r="B12449" i="10"/>
  <c r="A12449" i="10"/>
  <c r="E12448" i="10"/>
  <c r="D12448" i="10"/>
  <c r="C12448" i="10"/>
  <c r="B12448" i="10"/>
  <c r="A12448" i="10"/>
  <c r="E12447" i="10"/>
  <c r="D12447" i="10"/>
  <c r="C12447" i="10"/>
  <c r="B12447" i="10"/>
  <c r="A12447" i="10"/>
  <c r="E12446" i="10"/>
  <c r="D12446" i="10"/>
  <c r="C12446" i="10"/>
  <c r="B12446" i="10"/>
  <c r="A12446" i="10"/>
  <c r="E12445" i="10"/>
  <c r="D12445" i="10"/>
  <c r="C12445" i="10"/>
  <c r="B12445" i="10"/>
  <c r="A12445" i="10"/>
  <c r="E12444" i="10"/>
  <c r="D12444" i="10"/>
  <c r="C12444" i="10"/>
  <c r="B12444" i="10"/>
  <c r="A12444" i="10"/>
  <c r="E12443" i="10"/>
  <c r="D12443" i="10"/>
  <c r="C12443" i="10"/>
  <c r="B12443" i="10"/>
  <c r="A12443" i="10"/>
  <c r="E12442" i="10"/>
  <c r="D12442" i="10"/>
  <c r="C12442" i="10"/>
  <c r="B12442" i="10"/>
  <c r="A12442" i="10"/>
  <c r="E12441" i="10"/>
  <c r="D12441" i="10"/>
  <c r="C12441" i="10"/>
  <c r="B12441" i="10"/>
  <c r="A12441" i="10"/>
  <c r="E12440" i="10"/>
  <c r="D12440" i="10"/>
  <c r="C12440" i="10"/>
  <c r="B12440" i="10"/>
  <c r="A12440" i="10"/>
  <c r="E12439" i="10"/>
  <c r="D12439" i="10"/>
  <c r="C12439" i="10"/>
  <c r="B12439" i="10"/>
  <c r="A12439" i="10"/>
  <c r="E12438" i="10"/>
  <c r="D12438" i="10"/>
  <c r="C12438" i="10"/>
  <c r="B12438" i="10"/>
  <c r="A12438" i="10"/>
  <c r="E12437" i="10"/>
  <c r="D12437" i="10"/>
  <c r="C12437" i="10"/>
  <c r="B12437" i="10"/>
  <c r="A12437" i="10"/>
  <c r="E12436" i="10"/>
  <c r="D12436" i="10"/>
  <c r="C12436" i="10"/>
  <c r="B12436" i="10"/>
  <c r="A12436" i="10"/>
  <c r="E12435" i="10"/>
  <c r="D12435" i="10"/>
  <c r="C12435" i="10"/>
  <c r="B12435" i="10"/>
  <c r="A12435" i="10"/>
  <c r="E12434" i="10"/>
  <c r="D12434" i="10"/>
  <c r="C12434" i="10"/>
  <c r="B12434" i="10"/>
  <c r="A12434" i="10"/>
  <c r="E12433" i="10"/>
  <c r="D12433" i="10"/>
  <c r="C12433" i="10"/>
  <c r="B12433" i="10"/>
  <c r="A12433" i="10"/>
  <c r="E12432" i="10"/>
  <c r="D12432" i="10"/>
  <c r="C12432" i="10"/>
  <c r="B12432" i="10"/>
  <c r="A12432" i="10"/>
  <c r="E12431" i="10"/>
  <c r="D12431" i="10"/>
  <c r="C12431" i="10"/>
  <c r="B12431" i="10"/>
  <c r="A12431" i="10"/>
  <c r="E12430" i="10"/>
  <c r="D12430" i="10"/>
  <c r="C12430" i="10"/>
  <c r="B12430" i="10"/>
  <c r="A12430" i="10"/>
  <c r="E12429" i="10"/>
  <c r="D12429" i="10"/>
  <c r="C12429" i="10"/>
  <c r="B12429" i="10"/>
  <c r="A12429" i="10"/>
  <c r="E12428" i="10"/>
  <c r="D12428" i="10"/>
  <c r="C12428" i="10"/>
  <c r="B12428" i="10"/>
  <c r="A12428" i="10"/>
  <c r="E12427" i="10"/>
  <c r="D12427" i="10"/>
  <c r="C12427" i="10"/>
  <c r="B12427" i="10"/>
  <c r="A12427" i="10"/>
  <c r="E12426" i="10"/>
  <c r="D12426" i="10"/>
  <c r="C12426" i="10"/>
  <c r="B12426" i="10"/>
  <c r="A12426" i="10"/>
  <c r="E12425" i="10"/>
  <c r="D12425" i="10"/>
  <c r="C12425" i="10"/>
  <c r="B12425" i="10"/>
  <c r="A12425" i="10"/>
  <c r="E12424" i="10"/>
  <c r="D12424" i="10"/>
  <c r="C12424" i="10"/>
  <c r="B12424" i="10"/>
  <c r="A12424" i="10"/>
  <c r="E12423" i="10"/>
  <c r="D12423" i="10"/>
  <c r="C12423" i="10"/>
  <c r="B12423" i="10"/>
  <c r="A12423" i="10"/>
  <c r="E12422" i="10"/>
  <c r="D12422" i="10"/>
  <c r="C12422" i="10"/>
  <c r="B12422" i="10"/>
  <c r="A12422" i="10"/>
  <c r="E12421" i="10"/>
  <c r="D12421" i="10"/>
  <c r="C12421" i="10"/>
  <c r="B12421" i="10"/>
  <c r="A12421" i="10"/>
  <c r="E12420" i="10"/>
  <c r="D12420" i="10"/>
  <c r="C12420" i="10"/>
  <c r="B12420" i="10"/>
  <c r="A12420" i="10"/>
  <c r="E12419" i="10"/>
  <c r="D12419" i="10"/>
  <c r="C12419" i="10"/>
  <c r="B12419" i="10"/>
  <c r="A12419" i="10"/>
  <c r="E12418" i="10"/>
  <c r="D12418" i="10"/>
  <c r="C12418" i="10"/>
  <c r="B12418" i="10"/>
  <c r="A12418" i="10"/>
  <c r="E12417" i="10"/>
  <c r="D12417" i="10"/>
  <c r="C12417" i="10"/>
  <c r="B12417" i="10"/>
  <c r="A12417" i="10"/>
  <c r="E12416" i="10"/>
  <c r="D12416" i="10"/>
  <c r="C12416" i="10"/>
  <c r="B12416" i="10"/>
  <c r="A12416" i="10"/>
  <c r="E12415" i="10"/>
  <c r="D12415" i="10"/>
  <c r="C12415" i="10"/>
  <c r="B12415" i="10"/>
  <c r="A12415" i="10"/>
  <c r="E12414" i="10"/>
  <c r="D12414" i="10"/>
  <c r="C12414" i="10"/>
  <c r="B12414" i="10"/>
  <c r="A12414" i="10"/>
  <c r="E12413" i="10"/>
  <c r="D12413" i="10"/>
  <c r="C12413" i="10"/>
  <c r="B12413" i="10"/>
  <c r="A12413" i="10"/>
  <c r="E12412" i="10"/>
  <c r="D12412" i="10"/>
  <c r="C12412" i="10"/>
  <c r="B12412" i="10"/>
  <c r="A12412" i="10"/>
  <c r="E12411" i="10"/>
  <c r="D12411" i="10"/>
  <c r="C12411" i="10"/>
  <c r="B12411" i="10"/>
  <c r="A12411" i="10"/>
  <c r="E12410" i="10"/>
  <c r="D12410" i="10"/>
  <c r="C12410" i="10"/>
  <c r="B12410" i="10"/>
  <c r="A12410" i="10"/>
  <c r="E12409" i="10"/>
  <c r="D12409" i="10"/>
  <c r="C12409" i="10"/>
  <c r="B12409" i="10"/>
  <c r="A12409" i="10"/>
  <c r="E12408" i="10"/>
  <c r="D12408" i="10"/>
  <c r="C12408" i="10"/>
  <c r="B12408" i="10"/>
  <c r="A12408" i="10"/>
  <c r="E12407" i="10"/>
  <c r="D12407" i="10"/>
  <c r="C12407" i="10"/>
  <c r="B12407" i="10"/>
  <c r="A12407" i="10"/>
  <c r="E12406" i="10"/>
  <c r="D12406" i="10"/>
  <c r="C12406" i="10"/>
  <c r="B12406" i="10"/>
  <c r="A12406" i="10"/>
  <c r="E12405" i="10"/>
  <c r="D12405" i="10"/>
  <c r="C12405" i="10"/>
  <c r="B12405" i="10"/>
  <c r="A12405" i="10"/>
  <c r="E12404" i="10"/>
  <c r="D12404" i="10"/>
  <c r="C12404" i="10"/>
  <c r="B12404" i="10"/>
  <c r="A12404" i="10"/>
  <c r="E12403" i="10"/>
  <c r="D12403" i="10"/>
  <c r="C12403" i="10"/>
  <c r="B12403" i="10"/>
  <c r="A12403" i="10"/>
  <c r="E12402" i="10"/>
  <c r="D12402" i="10"/>
  <c r="C12402" i="10"/>
  <c r="B12402" i="10"/>
  <c r="A12402" i="10"/>
  <c r="E12401" i="10"/>
  <c r="D12401" i="10"/>
  <c r="C12401" i="10"/>
  <c r="B12401" i="10"/>
  <c r="A12401" i="10"/>
  <c r="E12400" i="10"/>
  <c r="D12400" i="10"/>
  <c r="C12400" i="10"/>
  <c r="B12400" i="10"/>
  <c r="A12400" i="10"/>
  <c r="E12399" i="10"/>
  <c r="D12399" i="10"/>
  <c r="C12399" i="10"/>
  <c r="B12399" i="10"/>
  <c r="A12399" i="10"/>
  <c r="E12398" i="10"/>
  <c r="D12398" i="10"/>
  <c r="C12398" i="10"/>
  <c r="B12398" i="10"/>
  <c r="A12398" i="10"/>
  <c r="E12397" i="10"/>
  <c r="D12397" i="10"/>
  <c r="C12397" i="10"/>
  <c r="B12397" i="10"/>
  <c r="A12397" i="10"/>
  <c r="E12396" i="10"/>
  <c r="D12396" i="10"/>
  <c r="C12396" i="10"/>
  <c r="B12396" i="10"/>
  <c r="A12396" i="10"/>
  <c r="E12395" i="10"/>
  <c r="D12395" i="10"/>
  <c r="C12395" i="10"/>
  <c r="B12395" i="10"/>
  <c r="A12395" i="10"/>
  <c r="E12394" i="10"/>
  <c r="D12394" i="10"/>
  <c r="C12394" i="10"/>
  <c r="B12394" i="10"/>
  <c r="A12394" i="10"/>
  <c r="E12393" i="10"/>
  <c r="D12393" i="10"/>
  <c r="C12393" i="10"/>
  <c r="B12393" i="10"/>
  <c r="A12393" i="10"/>
  <c r="E12392" i="10"/>
  <c r="D12392" i="10"/>
  <c r="C12392" i="10"/>
  <c r="B12392" i="10"/>
  <c r="A12392" i="10"/>
  <c r="E12391" i="10"/>
  <c r="D12391" i="10"/>
  <c r="C12391" i="10"/>
  <c r="B12391" i="10"/>
  <c r="A12391" i="10"/>
  <c r="E12390" i="10"/>
  <c r="D12390" i="10"/>
  <c r="C12390" i="10"/>
  <c r="B12390" i="10"/>
  <c r="A12390" i="10"/>
  <c r="E12389" i="10"/>
  <c r="D12389" i="10"/>
  <c r="C12389" i="10"/>
  <c r="B12389" i="10"/>
  <c r="A12389" i="10"/>
  <c r="E12388" i="10"/>
  <c r="D12388" i="10"/>
  <c r="C12388" i="10"/>
  <c r="B12388" i="10"/>
  <c r="A12388" i="10"/>
  <c r="E12387" i="10"/>
  <c r="D12387" i="10"/>
  <c r="C12387" i="10"/>
  <c r="B12387" i="10"/>
  <c r="A12387" i="10"/>
  <c r="E12386" i="10"/>
  <c r="D12386" i="10"/>
  <c r="C12386" i="10"/>
  <c r="B12386" i="10"/>
  <c r="A12386" i="10"/>
  <c r="E12385" i="10"/>
  <c r="D12385" i="10"/>
  <c r="C12385" i="10"/>
  <c r="B12385" i="10"/>
  <c r="A12385" i="10"/>
  <c r="E12384" i="10"/>
  <c r="D12384" i="10"/>
  <c r="C12384" i="10"/>
  <c r="B12384" i="10"/>
  <c r="A12384" i="10"/>
  <c r="E12383" i="10"/>
  <c r="D12383" i="10"/>
  <c r="C12383" i="10"/>
  <c r="B12383" i="10"/>
  <c r="A12383" i="10"/>
  <c r="E12382" i="10"/>
  <c r="D12382" i="10"/>
  <c r="C12382" i="10"/>
  <c r="B12382" i="10"/>
  <c r="A12382" i="10"/>
  <c r="E12381" i="10"/>
  <c r="D12381" i="10"/>
  <c r="C12381" i="10"/>
  <c r="B12381" i="10"/>
  <c r="A12381" i="10"/>
  <c r="E12380" i="10"/>
  <c r="D12380" i="10"/>
  <c r="C12380" i="10"/>
  <c r="B12380" i="10"/>
  <c r="A12380" i="10"/>
  <c r="E12379" i="10"/>
  <c r="D12379" i="10"/>
  <c r="C12379" i="10"/>
  <c r="B12379" i="10"/>
  <c r="A12379" i="10"/>
  <c r="E12378" i="10"/>
  <c r="D12378" i="10"/>
  <c r="C12378" i="10"/>
  <c r="B12378" i="10"/>
  <c r="A12378" i="10"/>
  <c r="E12377" i="10"/>
  <c r="D12377" i="10"/>
  <c r="C12377" i="10"/>
  <c r="B12377" i="10"/>
  <c r="A12377" i="10"/>
  <c r="E12376" i="10"/>
  <c r="D12376" i="10"/>
  <c r="C12376" i="10"/>
  <c r="B12376" i="10"/>
  <c r="A12376" i="10"/>
  <c r="E12375" i="10"/>
  <c r="D12375" i="10"/>
  <c r="C12375" i="10"/>
  <c r="B12375" i="10"/>
  <c r="A12375" i="10"/>
  <c r="E12374" i="10"/>
  <c r="D12374" i="10"/>
  <c r="C12374" i="10"/>
  <c r="B12374" i="10"/>
  <c r="A12374" i="10"/>
  <c r="E12373" i="10"/>
  <c r="D12373" i="10"/>
  <c r="C12373" i="10"/>
  <c r="B12373" i="10"/>
  <c r="A12373" i="10"/>
  <c r="E12372" i="10"/>
  <c r="D12372" i="10"/>
  <c r="C12372" i="10"/>
  <c r="B12372" i="10"/>
  <c r="A12372" i="10"/>
  <c r="E12371" i="10"/>
  <c r="D12371" i="10"/>
  <c r="C12371" i="10"/>
  <c r="B12371" i="10"/>
  <c r="A12371" i="10"/>
  <c r="E12370" i="10"/>
  <c r="D12370" i="10"/>
  <c r="C12370" i="10"/>
  <c r="B12370" i="10"/>
  <c r="A12370" i="10"/>
  <c r="E12369" i="10"/>
  <c r="D12369" i="10"/>
  <c r="C12369" i="10"/>
  <c r="B12369" i="10"/>
  <c r="A12369" i="10"/>
  <c r="E12368" i="10"/>
  <c r="D12368" i="10"/>
  <c r="C12368" i="10"/>
  <c r="B12368" i="10"/>
  <c r="A12368" i="10"/>
  <c r="E12367" i="10"/>
  <c r="D12367" i="10"/>
  <c r="C12367" i="10"/>
  <c r="B12367" i="10"/>
  <c r="A12367" i="10"/>
  <c r="E12366" i="10"/>
  <c r="D12366" i="10"/>
  <c r="C12366" i="10"/>
  <c r="B12366" i="10"/>
  <c r="A12366" i="10"/>
  <c r="E12365" i="10"/>
  <c r="D12365" i="10"/>
  <c r="C12365" i="10"/>
  <c r="B12365" i="10"/>
  <c r="A12365" i="10"/>
  <c r="E12364" i="10"/>
  <c r="D12364" i="10"/>
  <c r="C12364" i="10"/>
  <c r="B12364" i="10"/>
  <c r="A12364" i="10"/>
  <c r="E12363" i="10"/>
  <c r="D12363" i="10"/>
  <c r="C12363" i="10"/>
  <c r="B12363" i="10"/>
  <c r="A12363" i="10"/>
  <c r="E12362" i="10"/>
  <c r="D12362" i="10"/>
  <c r="C12362" i="10"/>
  <c r="B12362" i="10"/>
  <c r="A12362" i="10"/>
  <c r="E12361" i="10"/>
  <c r="D12361" i="10"/>
  <c r="C12361" i="10"/>
  <c r="B12361" i="10"/>
  <c r="A12361" i="10"/>
  <c r="E12360" i="10"/>
  <c r="D12360" i="10"/>
  <c r="C12360" i="10"/>
  <c r="B12360" i="10"/>
  <c r="A12360" i="10"/>
  <c r="E12359" i="10"/>
  <c r="D12359" i="10"/>
  <c r="C12359" i="10"/>
  <c r="B12359" i="10"/>
  <c r="A12359" i="10"/>
  <c r="E12358" i="10"/>
  <c r="D12358" i="10"/>
  <c r="C12358" i="10"/>
  <c r="B12358" i="10"/>
  <c r="A12358" i="10"/>
  <c r="E12357" i="10"/>
  <c r="D12357" i="10"/>
  <c r="C12357" i="10"/>
  <c r="B12357" i="10"/>
  <c r="A12357" i="10"/>
  <c r="E12356" i="10"/>
  <c r="D12356" i="10"/>
  <c r="C12356" i="10"/>
  <c r="B12356" i="10"/>
  <c r="A12356" i="10"/>
  <c r="E12355" i="10"/>
  <c r="D12355" i="10"/>
  <c r="C12355" i="10"/>
  <c r="B12355" i="10"/>
  <c r="A12355" i="10"/>
  <c r="E12354" i="10"/>
  <c r="D12354" i="10"/>
  <c r="C12354" i="10"/>
  <c r="B12354" i="10"/>
  <c r="A12354" i="10"/>
  <c r="E12353" i="10"/>
  <c r="D12353" i="10"/>
  <c r="C12353" i="10"/>
  <c r="B12353" i="10"/>
  <c r="A12353" i="10"/>
  <c r="E12352" i="10"/>
  <c r="D12352" i="10"/>
  <c r="C12352" i="10"/>
  <c r="B12352" i="10"/>
  <c r="A12352" i="10"/>
  <c r="E12351" i="10"/>
  <c r="D12351" i="10"/>
  <c r="C12351" i="10"/>
  <c r="B12351" i="10"/>
  <c r="A12351" i="10"/>
  <c r="E12350" i="10"/>
  <c r="D12350" i="10"/>
  <c r="C12350" i="10"/>
  <c r="B12350" i="10"/>
  <c r="A12350" i="10"/>
  <c r="E12349" i="10"/>
  <c r="D12349" i="10"/>
  <c r="C12349" i="10"/>
  <c r="B12349" i="10"/>
  <c r="A12349" i="10"/>
  <c r="E12348" i="10"/>
  <c r="D12348" i="10"/>
  <c r="C12348" i="10"/>
  <c r="B12348" i="10"/>
  <c r="A12348" i="10"/>
  <c r="E12347" i="10"/>
  <c r="D12347" i="10"/>
  <c r="C12347" i="10"/>
  <c r="B12347" i="10"/>
  <c r="A12347" i="10"/>
  <c r="E12346" i="10"/>
  <c r="D12346" i="10"/>
  <c r="C12346" i="10"/>
  <c r="B12346" i="10"/>
  <c r="A12346" i="10"/>
  <c r="E12345" i="10"/>
  <c r="D12345" i="10"/>
  <c r="C12345" i="10"/>
  <c r="B12345" i="10"/>
  <c r="A12345" i="10"/>
  <c r="E12344" i="10"/>
  <c r="D12344" i="10"/>
  <c r="C12344" i="10"/>
  <c r="B12344" i="10"/>
  <c r="A12344" i="10"/>
  <c r="E12343" i="10"/>
  <c r="D12343" i="10"/>
  <c r="C12343" i="10"/>
  <c r="B12343" i="10"/>
  <c r="A12343" i="10"/>
  <c r="E12342" i="10"/>
  <c r="D12342" i="10"/>
  <c r="C12342" i="10"/>
  <c r="B12342" i="10"/>
  <c r="A12342" i="10"/>
  <c r="E12341" i="10"/>
  <c r="D12341" i="10"/>
  <c r="C12341" i="10"/>
  <c r="B12341" i="10"/>
  <c r="A12341" i="10"/>
  <c r="E12340" i="10"/>
  <c r="D12340" i="10"/>
  <c r="C12340" i="10"/>
  <c r="B12340" i="10"/>
  <c r="A12340" i="10"/>
  <c r="E12339" i="10"/>
  <c r="D12339" i="10"/>
  <c r="C12339" i="10"/>
  <c r="B12339" i="10"/>
  <c r="A12339" i="10"/>
  <c r="E12338" i="10"/>
  <c r="D12338" i="10"/>
  <c r="C12338" i="10"/>
  <c r="B12338" i="10"/>
  <c r="A12338" i="10"/>
  <c r="E12337" i="10"/>
  <c r="D12337" i="10"/>
  <c r="C12337" i="10"/>
  <c r="B12337" i="10"/>
  <c r="A12337" i="10"/>
  <c r="E12336" i="10"/>
  <c r="D12336" i="10"/>
  <c r="C12336" i="10"/>
  <c r="B12336" i="10"/>
  <c r="A12336" i="10"/>
  <c r="E12335" i="10"/>
  <c r="D12335" i="10"/>
  <c r="C12335" i="10"/>
  <c r="B12335" i="10"/>
  <c r="A12335" i="10"/>
  <c r="E12334" i="10"/>
  <c r="D12334" i="10"/>
  <c r="C12334" i="10"/>
  <c r="B12334" i="10"/>
  <c r="A12334" i="10"/>
  <c r="E12333" i="10"/>
  <c r="D12333" i="10"/>
  <c r="C12333" i="10"/>
  <c r="B12333" i="10"/>
  <c r="A12333" i="10"/>
  <c r="E12332" i="10"/>
  <c r="D12332" i="10"/>
  <c r="C12332" i="10"/>
  <c r="B12332" i="10"/>
  <c r="A12332" i="10"/>
  <c r="E12331" i="10"/>
  <c r="D12331" i="10"/>
  <c r="C12331" i="10"/>
  <c r="B12331" i="10"/>
  <c r="A12331" i="10"/>
  <c r="E12330" i="10"/>
  <c r="D12330" i="10"/>
  <c r="C12330" i="10"/>
  <c r="B12330" i="10"/>
  <c r="A12330" i="10"/>
  <c r="E12329" i="10"/>
  <c r="D12329" i="10"/>
  <c r="C12329" i="10"/>
  <c r="B12329" i="10"/>
  <c r="A12329" i="10"/>
  <c r="E12328" i="10"/>
  <c r="D12328" i="10"/>
  <c r="C12328" i="10"/>
  <c r="B12328" i="10"/>
  <c r="A12328" i="10"/>
  <c r="E12327" i="10"/>
  <c r="D12327" i="10"/>
  <c r="C12327" i="10"/>
  <c r="B12327" i="10"/>
  <c r="A12327" i="10"/>
  <c r="E12326" i="10"/>
  <c r="D12326" i="10"/>
  <c r="C12326" i="10"/>
  <c r="B12326" i="10"/>
  <c r="A12326" i="10"/>
  <c r="E12325" i="10"/>
  <c r="D12325" i="10"/>
  <c r="C12325" i="10"/>
  <c r="B12325" i="10"/>
  <c r="A12325" i="10"/>
  <c r="E12324" i="10"/>
  <c r="D12324" i="10"/>
  <c r="C12324" i="10"/>
  <c r="B12324" i="10"/>
  <c r="A12324" i="10"/>
  <c r="E12323" i="10"/>
  <c r="D12323" i="10"/>
  <c r="C12323" i="10"/>
  <c r="B12323" i="10"/>
  <c r="A12323" i="10"/>
  <c r="E12322" i="10"/>
  <c r="D12322" i="10"/>
  <c r="C12322" i="10"/>
  <c r="B12322" i="10"/>
  <c r="A12322" i="10"/>
  <c r="E12321" i="10"/>
  <c r="D12321" i="10"/>
  <c r="C12321" i="10"/>
  <c r="B12321" i="10"/>
  <c r="A12321" i="10"/>
  <c r="E12320" i="10"/>
  <c r="D12320" i="10"/>
  <c r="C12320" i="10"/>
  <c r="B12320" i="10"/>
  <c r="A12320" i="10"/>
  <c r="E12319" i="10"/>
  <c r="D12319" i="10"/>
  <c r="C12319" i="10"/>
  <c r="B12319" i="10"/>
  <c r="A12319" i="10"/>
  <c r="E12318" i="10"/>
  <c r="D12318" i="10"/>
  <c r="C12318" i="10"/>
  <c r="B12318" i="10"/>
  <c r="A12318" i="10"/>
  <c r="E12317" i="10"/>
  <c r="D12317" i="10"/>
  <c r="C12317" i="10"/>
  <c r="B12317" i="10"/>
  <c r="A12317" i="10"/>
  <c r="E12316" i="10"/>
  <c r="D12316" i="10"/>
  <c r="C12316" i="10"/>
  <c r="B12316" i="10"/>
  <c r="A12316" i="10"/>
  <c r="E12315" i="10"/>
  <c r="D12315" i="10"/>
  <c r="C12315" i="10"/>
  <c r="B12315" i="10"/>
  <c r="A12315" i="10"/>
  <c r="E12314" i="10"/>
  <c r="D12314" i="10"/>
  <c r="C12314" i="10"/>
  <c r="B12314" i="10"/>
  <c r="A12314" i="10"/>
  <c r="E12313" i="10"/>
  <c r="D12313" i="10"/>
  <c r="C12313" i="10"/>
  <c r="B12313" i="10"/>
  <c r="A12313" i="10"/>
  <c r="E12312" i="10"/>
  <c r="D12312" i="10"/>
  <c r="C12312" i="10"/>
  <c r="B12312" i="10"/>
  <c r="A12312" i="10"/>
  <c r="E12311" i="10"/>
  <c r="D12311" i="10"/>
  <c r="C12311" i="10"/>
  <c r="B12311" i="10"/>
  <c r="A12311" i="10"/>
  <c r="E12310" i="10"/>
  <c r="D12310" i="10"/>
  <c r="C12310" i="10"/>
  <c r="B12310" i="10"/>
  <c r="A12310" i="10"/>
  <c r="E12309" i="10"/>
  <c r="D12309" i="10"/>
  <c r="C12309" i="10"/>
  <c r="B12309" i="10"/>
  <c r="A12309" i="10"/>
  <c r="E12308" i="10"/>
  <c r="D12308" i="10"/>
  <c r="C12308" i="10"/>
  <c r="B12308" i="10"/>
  <c r="A12308" i="10"/>
  <c r="E12307" i="10"/>
  <c r="D12307" i="10"/>
  <c r="C12307" i="10"/>
  <c r="B12307" i="10"/>
  <c r="A12307" i="10"/>
  <c r="E12306" i="10"/>
  <c r="D12306" i="10"/>
  <c r="C12306" i="10"/>
  <c r="B12306" i="10"/>
  <c r="A12306" i="10"/>
  <c r="E12305" i="10"/>
  <c r="D12305" i="10"/>
  <c r="C12305" i="10"/>
  <c r="B12305" i="10"/>
  <c r="A12305" i="10"/>
  <c r="E12304" i="10"/>
  <c r="D12304" i="10"/>
  <c r="C12304" i="10"/>
  <c r="B12304" i="10"/>
  <c r="A12304" i="10"/>
  <c r="E12303" i="10"/>
  <c r="D12303" i="10"/>
  <c r="C12303" i="10"/>
  <c r="B12303" i="10"/>
  <c r="A12303" i="10"/>
  <c r="E12302" i="10"/>
  <c r="D12302" i="10"/>
  <c r="C12302" i="10"/>
  <c r="B12302" i="10"/>
  <c r="A12302" i="10"/>
  <c r="E12301" i="10"/>
  <c r="D12301" i="10"/>
  <c r="C12301" i="10"/>
  <c r="B12301" i="10"/>
  <c r="A12301" i="10"/>
  <c r="E12300" i="10"/>
  <c r="D12300" i="10"/>
  <c r="C12300" i="10"/>
  <c r="B12300" i="10"/>
  <c r="A12300" i="10"/>
  <c r="E12299" i="10"/>
  <c r="D12299" i="10"/>
  <c r="C12299" i="10"/>
  <c r="B12299" i="10"/>
  <c r="A12299" i="10"/>
  <c r="E12298" i="10"/>
  <c r="D12298" i="10"/>
  <c r="C12298" i="10"/>
  <c r="B12298" i="10"/>
  <c r="A12298" i="10"/>
  <c r="E12297" i="10"/>
  <c r="D12297" i="10"/>
  <c r="C12297" i="10"/>
  <c r="B12297" i="10"/>
  <c r="A12297" i="10"/>
  <c r="E12296" i="10"/>
  <c r="D12296" i="10"/>
  <c r="C12296" i="10"/>
  <c r="B12296" i="10"/>
  <c r="A12296" i="10"/>
  <c r="E12295" i="10"/>
  <c r="D12295" i="10"/>
  <c r="C12295" i="10"/>
  <c r="B12295" i="10"/>
  <c r="A12295" i="10"/>
  <c r="E12294" i="10"/>
  <c r="D12294" i="10"/>
  <c r="C12294" i="10"/>
  <c r="B12294" i="10"/>
  <c r="A12294" i="10"/>
  <c r="E12293" i="10"/>
  <c r="D12293" i="10"/>
  <c r="C12293" i="10"/>
  <c r="B12293" i="10"/>
  <c r="A12293" i="10"/>
  <c r="E12292" i="10"/>
  <c r="D12292" i="10"/>
  <c r="C12292" i="10"/>
  <c r="B12292" i="10"/>
  <c r="A12292" i="10"/>
  <c r="E12291" i="10"/>
  <c r="D12291" i="10"/>
  <c r="C12291" i="10"/>
  <c r="B12291" i="10"/>
  <c r="A12291" i="10"/>
  <c r="E12290" i="10"/>
  <c r="D12290" i="10"/>
  <c r="C12290" i="10"/>
  <c r="B12290" i="10"/>
  <c r="A12290" i="10"/>
  <c r="E12289" i="10"/>
  <c r="D12289" i="10"/>
  <c r="C12289" i="10"/>
  <c r="B12289" i="10"/>
  <c r="A12289" i="10"/>
  <c r="E12288" i="10"/>
  <c r="D12288" i="10"/>
  <c r="C12288" i="10"/>
  <c r="B12288" i="10"/>
  <c r="A12288" i="10"/>
  <c r="E12287" i="10"/>
  <c r="D12287" i="10"/>
  <c r="C12287" i="10"/>
  <c r="B12287" i="10"/>
  <c r="A12287" i="10"/>
  <c r="E12286" i="10"/>
  <c r="D12286" i="10"/>
  <c r="C12286" i="10"/>
  <c r="B12286" i="10"/>
  <c r="A12286" i="10"/>
  <c r="E12285" i="10"/>
  <c r="D12285" i="10"/>
  <c r="C12285" i="10"/>
  <c r="B12285" i="10"/>
  <c r="A12285" i="10"/>
  <c r="E12284" i="10"/>
  <c r="D12284" i="10"/>
  <c r="C12284" i="10"/>
  <c r="B12284" i="10"/>
  <c r="A12284" i="10"/>
  <c r="E12283" i="10"/>
  <c r="D12283" i="10"/>
  <c r="C12283" i="10"/>
  <c r="B12283" i="10"/>
  <c r="A12283" i="10"/>
  <c r="E12282" i="10"/>
  <c r="D12282" i="10"/>
  <c r="C12282" i="10"/>
  <c r="B12282" i="10"/>
  <c r="A12282" i="10"/>
  <c r="E12281" i="10"/>
  <c r="D12281" i="10"/>
  <c r="C12281" i="10"/>
  <c r="B12281" i="10"/>
  <c r="A12281" i="10"/>
  <c r="E12280" i="10"/>
  <c r="D12280" i="10"/>
  <c r="C12280" i="10"/>
  <c r="B12280" i="10"/>
  <c r="A12280" i="10"/>
  <c r="E12279" i="10"/>
  <c r="D12279" i="10"/>
  <c r="C12279" i="10"/>
  <c r="B12279" i="10"/>
  <c r="A12279" i="10"/>
  <c r="E12278" i="10"/>
  <c r="D12278" i="10"/>
  <c r="C12278" i="10"/>
  <c r="B12278" i="10"/>
  <c r="A12278" i="10"/>
  <c r="E12277" i="10"/>
  <c r="D12277" i="10"/>
  <c r="C12277" i="10"/>
  <c r="B12277" i="10"/>
  <c r="A12277" i="10"/>
  <c r="E12276" i="10"/>
  <c r="D12276" i="10"/>
  <c r="C12276" i="10"/>
  <c r="B12276" i="10"/>
  <c r="A12276" i="10"/>
  <c r="E12275" i="10"/>
  <c r="D12275" i="10"/>
  <c r="C12275" i="10"/>
  <c r="B12275" i="10"/>
  <c r="A12275" i="10"/>
  <c r="E12274" i="10"/>
  <c r="D12274" i="10"/>
  <c r="C12274" i="10"/>
  <c r="B12274" i="10"/>
  <c r="A12274" i="10"/>
  <c r="E12273" i="10"/>
  <c r="D12273" i="10"/>
  <c r="C12273" i="10"/>
  <c r="B12273" i="10"/>
  <c r="A12273" i="10"/>
  <c r="E12272" i="10"/>
  <c r="D12272" i="10"/>
  <c r="C12272" i="10"/>
  <c r="B12272" i="10"/>
  <c r="A12272" i="10"/>
  <c r="E12271" i="10"/>
  <c r="D12271" i="10"/>
  <c r="C12271" i="10"/>
  <c r="B12271" i="10"/>
  <c r="A12271" i="10"/>
  <c r="E12270" i="10"/>
  <c r="D12270" i="10"/>
  <c r="C12270" i="10"/>
  <c r="B12270" i="10"/>
  <c r="A12270" i="10"/>
  <c r="E12269" i="10"/>
  <c r="D12269" i="10"/>
  <c r="C12269" i="10"/>
  <c r="B12269" i="10"/>
  <c r="A12269" i="10"/>
  <c r="E12268" i="10"/>
  <c r="D12268" i="10"/>
  <c r="C12268" i="10"/>
  <c r="B12268" i="10"/>
  <c r="A12268" i="10"/>
  <c r="E12267" i="10"/>
  <c r="D12267" i="10"/>
  <c r="C12267" i="10"/>
  <c r="B12267" i="10"/>
  <c r="A12267" i="10"/>
  <c r="E12266" i="10"/>
  <c r="D12266" i="10"/>
  <c r="C12266" i="10"/>
  <c r="B12266" i="10"/>
  <c r="A12266" i="10"/>
  <c r="E12265" i="10"/>
  <c r="D12265" i="10"/>
  <c r="C12265" i="10"/>
  <c r="B12265" i="10"/>
  <c r="A12265" i="10"/>
  <c r="E12264" i="10"/>
  <c r="D12264" i="10"/>
  <c r="C12264" i="10"/>
  <c r="B12264" i="10"/>
  <c r="A12264" i="10"/>
  <c r="E12263" i="10"/>
  <c r="D12263" i="10"/>
  <c r="C12263" i="10"/>
  <c r="B12263" i="10"/>
  <c r="A12263" i="10"/>
  <c r="E12262" i="10"/>
  <c r="D12262" i="10"/>
  <c r="C12262" i="10"/>
  <c r="B12262" i="10"/>
  <c r="A12262" i="10"/>
  <c r="E12261" i="10"/>
  <c r="D12261" i="10"/>
  <c r="C12261" i="10"/>
  <c r="B12261" i="10"/>
  <c r="A12261" i="10"/>
  <c r="E12260" i="10"/>
  <c r="D12260" i="10"/>
  <c r="C12260" i="10"/>
  <c r="B12260" i="10"/>
  <c r="A12260" i="10"/>
  <c r="E12259" i="10"/>
  <c r="D12259" i="10"/>
  <c r="C12259" i="10"/>
  <c r="B12259" i="10"/>
  <c r="A12259" i="10"/>
  <c r="E12258" i="10"/>
  <c r="D12258" i="10"/>
  <c r="C12258" i="10"/>
  <c r="B12258" i="10"/>
  <c r="A12258" i="10"/>
  <c r="E12257" i="10"/>
  <c r="D12257" i="10"/>
  <c r="C12257" i="10"/>
  <c r="B12257" i="10"/>
  <c r="A12257" i="10"/>
  <c r="E12256" i="10"/>
  <c r="D12256" i="10"/>
  <c r="C12256" i="10"/>
  <c r="B12256" i="10"/>
  <c r="A12256" i="10"/>
  <c r="E12255" i="10"/>
  <c r="D12255" i="10"/>
  <c r="C12255" i="10"/>
  <c r="B12255" i="10"/>
  <c r="A12255" i="10"/>
  <c r="E12254" i="10"/>
  <c r="D12254" i="10"/>
  <c r="C12254" i="10"/>
  <c r="B12254" i="10"/>
  <c r="A12254" i="10"/>
  <c r="E12253" i="10"/>
  <c r="D12253" i="10"/>
  <c r="C12253" i="10"/>
  <c r="B12253" i="10"/>
  <c r="A12253" i="10"/>
  <c r="E12252" i="10"/>
  <c r="D12252" i="10"/>
  <c r="C12252" i="10"/>
  <c r="B12252" i="10"/>
  <c r="A12252" i="10"/>
  <c r="E12251" i="10"/>
  <c r="D12251" i="10"/>
  <c r="C12251" i="10"/>
  <c r="B12251" i="10"/>
  <c r="A12251" i="10"/>
  <c r="E12250" i="10"/>
  <c r="D12250" i="10"/>
  <c r="C12250" i="10"/>
  <c r="B12250" i="10"/>
  <c r="A12250" i="10"/>
  <c r="E12249" i="10"/>
  <c r="D12249" i="10"/>
  <c r="C12249" i="10"/>
  <c r="B12249" i="10"/>
  <c r="A12249" i="10"/>
  <c r="E12248" i="10"/>
  <c r="D12248" i="10"/>
  <c r="C12248" i="10"/>
  <c r="B12248" i="10"/>
  <c r="A12248" i="10"/>
  <c r="E12247" i="10"/>
  <c r="D12247" i="10"/>
  <c r="C12247" i="10"/>
  <c r="B12247" i="10"/>
  <c r="A12247" i="10"/>
  <c r="E12246" i="10"/>
  <c r="D12246" i="10"/>
  <c r="C12246" i="10"/>
  <c r="B12246" i="10"/>
  <c r="A12246" i="10"/>
  <c r="E12245" i="10"/>
  <c r="D12245" i="10"/>
  <c r="C12245" i="10"/>
  <c r="B12245" i="10"/>
  <c r="A12245" i="10"/>
  <c r="E12244" i="10"/>
  <c r="D12244" i="10"/>
  <c r="C12244" i="10"/>
  <c r="B12244" i="10"/>
  <c r="A12244" i="10"/>
  <c r="E12243" i="10"/>
  <c r="D12243" i="10"/>
  <c r="C12243" i="10"/>
  <c r="B12243" i="10"/>
  <c r="A12243" i="10"/>
  <c r="E12242" i="10"/>
  <c r="D12242" i="10"/>
  <c r="C12242" i="10"/>
  <c r="B12242" i="10"/>
  <c r="A12242" i="10"/>
  <c r="E12241" i="10"/>
  <c r="D12241" i="10"/>
  <c r="C12241" i="10"/>
  <c r="B12241" i="10"/>
  <c r="A12241" i="10"/>
  <c r="E12240" i="10"/>
  <c r="D12240" i="10"/>
  <c r="C12240" i="10"/>
  <c r="B12240" i="10"/>
  <c r="A12240" i="10"/>
  <c r="E12239" i="10"/>
  <c r="D12239" i="10"/>
  <c r="C12239" i="10"/>
  <c r="B12239" i="10"/>
  <c r="A12239" i="10"/>
  <c r="E12238" i="10"/>
  <c r="D12238" i="10"/>
  <c r="C12238" i="10"/>
  <c r="B12238" i="10"/>
  <c r="A12238" i="10"/>
  <c r="E12237" i="10"/>
  <c r="D12237" i="10"/>
  <c r="C12237" i="10"/>
  <c r="B12237" i="10"/>
  <c r="A12237" i="10"/>
  <c r="E12236" i="10"/>
  <c r="D12236" i="10"/>
  <c r="C12236" i="10"/>
  <c r="B12236" i="10"/>
  <c r="A12236" i="10"/>
  <c r="E12235" i="10"/>
  <c r="D12235" i="10"/>
  <c r="C12235" i="10"/>
  <c r="B12235" i="10"/>
  <c r="A12235" i="10"/>
  <c r="E12234" i="10"/>
  <c r="D12234" i="10"/>
  <c r="C12234" i="10"/>
  <c r="B12234" i="10"/>
  <c r="A12234" i="10"/>
  <c r="E12233" i="10"/>
  <c r="D12233" i="10"/>
  <c r="C12233" i="10"/>
  <c r="B12233" i="10"/>
  <c r="A12233" i="10"/>
  <c r="E12232" i="10"/>
  <c r="D12232" i="10"/>
  <c r="C12232" i="10"/>
  <c r="B12232" i="10"/>
  <c r="A12232" i="10"/>
  <c r="E12231" i="10"/>
  <c r="D12231" i="10"/>
  <c r="C12231" i="10"/>
  <c r="B12231" i="10"/>
  <c r="A12231" i="10"/>
  <c r="E12230" i="10"/>
  <c r="D12230" i="10"/>
  <c r="C12230" i="10"/>
  <c r="B12230" i="10"/>
  <c r="A12230" i="10"/>
  <c r="E12229" i="10"/>
  <c r="D12229" i="10"/>
  <c r="C12229" i="10"/>
  <c r="B12229" i="10"/>
  <c r="A12229" i="10"/>
  <c r="E12228" i="10"/>
  <c r="D12228" i="10"/>
  <c r="C12228" i="10"/>
  <c r="B12228" i="10"/>
  <c r="A12228" i="10"/>
  <c r="E12227" i="10"/>
  <c r="D12227" i="10"/>
  <c r="C12227" i="10"/>
  <c r="B12227" i="10"/>
  <c r="A12227" i="10"/>
  <c r="E12226" i="10"/>
  <c r="D12226" i="10"/>
  <c r="C12226" i="10"/>
  <c r="B12226" i="10"/>
  <c r="A12226" i="10"/>
  <c r="E12225" i="10"/>
  <c r="D12225" i="10"/>
  <c r="C12225" i="10"/>
  <c r="B12225" i="10"/>
  <c r="A12225" i="10"/>
  <c r="E12224" i="10"/>
  <c r="D12224" i="10"/>
  <c r="C12224" i="10"/>
  <c r="B12224" i="10"/>
  <c r="A12224" i="10"/>
  <c r="E12223" i="10"/>
  <c r="D12223" i="10"/>
  <c r="C12223" i="10"/>
  <c r="B12223" i="10"/>
  <c r="A12223" i="10"/>
  <c r="E12222" i="10"/>
  <c r="D12222" i="10"/>
  <c r="C12222" i="10"/>
  <c r="B12222" i="10"/>
  <c r="A12222" i="10"/>
  <c r="E12221" i="10"/>
  <c r="D12221" i="10"/>
  <c r="C12221" i="10"/>
  <c r="B12221" i="10"/>
  <c r="A12221" i="10"/>
  <c r="E12220" i="10"/>
  <c r="D12220" i="10"/>
  <c r="C12220" i="10"/>
  <c r="B12220" i="10"/>
  <c r="A12220" i="10"/>
  <c r="E12219" i="10"/>
  <c r="D12219" i="10"/>
  <c r="C12219" i="10"/>
  <c r="B12219" i="10"/>
  <c r="A12219" i="10"/>
  <c r="E12218" i="10"/>
  <c r="D12218" i="10"/>
  <c r="C12218" i="10"/>
  <c r="B12218" i="10"/>
  <c r="A12218" i="10"/>
  <c r="E12217" i="10"/>
  <c r="D12217" i="10"/>
  <c r="C12217" i="10"/>
  <c r="B12217" i="10"/>
  <c r="A12217" i="10"/>
  <c r="E12216" i="10"/>
  <c r="D12216" i="10"/>
  <c r="C12216" i="10"/>
  <c r="B12216" i="10"/>
  <c r="A12216" i="10"/>
  <c r="E12215" i="10"/>
  <c r="D12215" i="10"/>
  <c r="C12215" i="10"/>
  <c r="B12215" i="10"/>
  <c r="A12215" i="10"/>
  <c r="E12214" i="10"/>
  <c r="D12214" i="10"/>
  <c r="C12214" i="10"/>
  <c r="B12214" i="10"/>
  <c r="A12214" i="10"/>
  <c r="E12213" i="10"/>
  <c r="D12213" i="10"/>
  <c r="C12213" i="10"/>
  <c r="B12213" i="10"/>
  <c r="A12213" i="10"/>
  <c r="E12212" i="10"/>
  <c r="D12212" i="10"/>
  <c r="C12212" i="10"/>
  <c r="B12212" i="10"/>
  <c r="A12212" i="10"/>
  <c r="E12211" i="10"/>
  <c r="D12211" i="10"/>
  <c r="C12211" i="10"/>
  <c r="B12211" i="10"/>
  <c r="A12211" i="10"/>
  <c r="E12210" i="10"/>
  <c r="D12210" i="10"/>
  <c r="C12210" i="10"/>
  <c r="B12210" i="10"/>
  <c r="A12210" i="10"/>
  <c r="E12209" i="10"/>
  <c r="D12209" i="10"/>
  <c r="C12209" i="10"/>
  <c r="B12209" i="10"/>
  <c r="A12209" i="10"/>
  <c r="E12208" i="10"/>
  <c r="D12208" i="10"/>
  <c r="C12208" i="10"/>
  <c r="B12208" i="10"/>
  <c r="A12208" i="10"/>
  <c r="E12207" i="10"/>
  <c r="D12207" i="10"/>
  <c r="C12207" i="10"/>
  <c r="B12207" i="10"/>
  <c r="A12207" i="10"/>
  <c r="E12206" i="10"/>
  <c r="D12206" i="10"/>
  <c r="C12206" i="10"/>
  <c r="B12206" i="10"/>
  <c r="A12206" i="10"/>
  <c r="E12205" i="10"/>
  <c r="D12205" i="10"/>
  <c r="C12205" i="10"/>
  <c r="B12205" i="10"/>
  <c r="A12205" i="10"/>
  <c r="E12204" i="10"/>
  <c r="D12204" i="10"/>
  <c r="C12204" i="10"/>
  <c r="B12204" i="10"/>
  <c r="A12204" i="10"/>
  <c r="E12203" i="10"/>
  <c r="D12203" i="10"/>
  <c r="C12203" i="10"/>
  <c r="B12203" i="10"/>
  <c r="A12203" i="10"/>
  <c r="E12202" i="10"/>
  <c r="D12202" i="10"/>
  <c r="C12202" i="10"/>
  <c r="B12202" i="10"/>
  <c r="A12202" i="10"/>
  <c r="E12201" i="10"/>
  <c r="D12201" i="10"/>
  <c r="C12201" i="10"/>
  <c r="B12201" i="10"/>
  <c r="A12201" i="10"/>
  <c r="E12200" i="10"/>
  <c r="D12200" i="10"/>
  <c r="C12200" i="10"/>
  <c r="B12200" i="10"/>
  <c r="A12200" i="10"/>
  <c r="E12199" i="10"/>
  <c r="D12199" i="10"/>
  <c r="C12199" i="10"/>
  <c r="B12199" i="10"/>
  <c r="A12199" i="10"/>
  <c r="E12198" i="10"/>
  <c r="D12198" i="10"/>
  <c r="C12198" i="10"/>
  <c r="B12198" i="10"/>
  <c r="A12198" i="10"/>
  <c r="E12197" i="10"/>
  <c r="D12197" i="10"/>
  <c r="C12197" i="10"/>
  <c r="B12197" i="10"/>
  <c r="A12197" i="10"/>
  <c r="E12196" i="10"/>
  <c r="D12196" i="10"/>
  <c r="C12196" i="10"/>
  <c r="B12196" i="10"/>
  <c r="A12196" i="10"/>
  <c r="E12195" i="10"/>
  <c r="D12195" i="10"/>
  <c r="C12195" i="10"/>
  <c r="B12195" i="10"/>
  <c r="A12195" i="10"/>
  <c r="E12194" i="10"/>
  <c r="D12194" i="10"/>
  <c r="C12194" i="10"/>
  <c r="B12194" i="10"/>
  <c r="A12194" i="10"/>
  <c r="E12193" i="10"/>
  <c r="D12193" i="10"/>
  <c r="C12193" i="10"/>
  <c r="B12193" i="10"/>
  <c r="A12193" i="10"/>
  <c r="E12192" i="10"/>
  <c r="D12192" i="10"/>
  <c r="C12192" i="10"/>
  <c r="B12192" i="10"/>
  <c r="A12192" i="10"/>
  <c r="E12191" i="10"/>
  <c r="D12191" i="10"/>
  <c r="C12191" i="10"/>
  <c r="B12191" i="10"/>
  <c r="A12191" i="10"/>
  <c r="E12190" i="10"/>
  <c r="D12190" i="10"/>
  <c r="C12190" i="10"/>
  <c r="B12190" i="10"/>
  <c r="A12190" i="10"/>
  <c r="E12189" i="10"/>
  <c r="D12189" i="10"/>
  <c r="C12189" i="10"/>
  <c r="B12189" i="10"/>
  <c r="A12189" i="10"/>
  <c r="E12188" i="10"/>
  <c r="D12188" i="10"/>
  <c r="C12188" i="10"/>
  <c r="B12188" i="10"/>
  <c r="A12188" i="10"/>
  <c r="E12187" i="10"/>
  <c r="D12187" i="10"/>
  <c r="C12187" i="10"/>
  <c r="B12187" i="10"/>
  <c r="A12187" i="10"/>
  <c r="E12186" i="10"/>
  <c r="D12186" i="10"/>
  <c r="C12186" i="10"/>
  <c r="B12186" i="10"/>
  <c r="A12186" i="10"/>
  <c r="E12185" i="10"/>
  <c r="D12185" i="10"/>
  <c r="C12185" i="10"/>
  <c r="B12185" i="10"/>
  <c r="A12185" i="10"/>
  <c r="E12184" i="10"/>
  <c r="D12184" i="10"/>
  <c r="C12184" i="10"/>
  <c r="B12184" i="10"/>
  <c r="A12184" i="10"/>
  <c r="E12183" i="10"/>
  <c r="D12183" i="10"/>
  <c r="C12183" i="10"/>
  <c r="B12183" i="10"/>
  <c r="A12183" i="10"/>
  <c r="E12182" i="10"/>
  <c r="D12182" i="10"/>
  <c r="C12182" i="10"/>
  <c r="B12182" i="10"/>
  <c r="A12182" i="10"/>
  <c r="E12181" i="10"/>
  <c r="D12181" i="10"/>
  <c r="C12181" i="10"/>
  <c r="B12181" i="10"/>
  <c r="A12181" i="10"/>
  <c r="E12180" i="10"/>
  <c r="D12180" i="10"/>
  <c r="C12180" i="10"/>
  <c r="B12180" i="10"/>
  <c r="A12180" i="10"/>
  <c r="E12179" i="10"/>
  <c r="D12179" i="10"/>
  <c r="C12179" i="10"/>
  <c r="B12179" i="10"/>
  <c r="A12179" i="10"/>
  <c r="E12178" i="10"/>
  <c r="D12178" i="10"/>
  <c r="C12178" i="10"/>
  <c r="B12178" i="10"/>
  <c r="A12178" i="10"/>
  <c r="E12177" i="10"/>
  <c r="D12177" i="10"/>
  <c r="C12177" i="10"/>
  <c r="B12177" i="10"/>
  <c r="A12177" i="10"/>
  <c r="E12176" i="10"/>
  <c r="D12176" i="10"/>
  <c r="C12176" i="10"/>
  <c r="B12176" i="10"/>
  <c r="A12176" i="10"/>
  <c r="E12175" i="10"/>
  <c r="D12175" i="10"/>
  <c r="C12175" i="10"/>
  <c r="B12175" i="10"/>
  <c r="A12175" i="10"/>
  <c r="E12174" i="10"/>
  <c r="D12174" i="10"/>
  <c r="C12174" i="10"/>
  <c r="B12174" i="10"/>
  <c r="A12174" i="10"/>
  <c r="E12173" i="10"/>
  <c r="D12173" i="10"/>
  <c r="C12173" i="10"/>
  <c r="B12173" i="10"/>
  <c r="A12173" i="10"/>
  <c r="E12172" i="10"/>
  <c r="D12172" i="10"/>
  <c r="C12172" i="10"/>
  <c r="B12172" i="10"/>
  <c r="A12172" i="10"/>
  <c r="E12171" i="10"/>
  <c r="D12171" i="10"/>
  <c r="C12171" i="10"/>
  <c r="B12171" i="10"/>
  <c r="A12171" i="10"/>
  <c r="E12170" i="10"/>
  <c r="D12170" i="10"/>
  <c r="C12170" i="10"/>
  <c r="B12170" i="10"/>
  <c r="A12170" i="10"/>
  <c r="E12169" i="10"/>
  <c r="D12169" i="10"/>
  <c r="C12169" i="10"/>
  <c r="B12169" i="10"/>
  <c r="A12169" i="10"/>
  <c r="E12168" i="10"/>
  <c r="D12168" i="10"/>
  <c r="C12168" i="10"/>
  <c r="B12168" i="10"/>
  <c r="A12168" i="10"/>
  <c r="E12167" i="10"/>
  <c r="D12167" i="10"/>
  <c r="C12167" i="10"/>
  <c r="B12167" i="10"/>
  <c r="A12167" i="10"/>
  <c r="E12166" i="10"/>
  <c r="D12166" i="10"/>
  <c r="C12166" i="10"/>
  <c r="B12166" i="10"/>
  <c r="A12166" i="10"/>
  <c r="E12165" i="10"/>
  <c r="D12165" i="10"/>
  <c r="C12165" i="10"/>
  <c r="B12165" i="10"/>
  <c r="A12165" i="10"/>
  <c r="E12164" i="10"/>
  <c r="D12164" i="10"/>
  <c r="C12164" i="10"/>
  <c r="B12164" i="10"/>
  <c r="A12164" i="10"/>
  <c r="E12163" i="10"/>
  <c r="D12163" i="10"/>
  <c r="C12163" i="10"/>
  <c r="B12163" i="10"/>
  <c r="A12163" i="10"/>
  <c r="E12162" i="10"/>
  <c r="D12162" i="10"/>
  <c r="C12162" i="10"/>
  <c r="B12162" i="10"/>
  <c r="A12162" i="10"/>
  <c r="E12161" i="10"/>
  <c r="D12161" i="10"/>
  <c r="C12161" i="10"/>
  <c r="B12161" i="10"/>
  <c r="A12161" i="10"/>
  <c r="E12160" i="10"/>
  <c r="D12160" i="10"/>
  <c r="C12160" i="10"/>
  <c r="B12160" i="10"/>
  <c r="A12160" i="10"/>
  <c r="E12159" i="10"/>
  <c r="D12159" i="10"/>
  <c r="C12159" i="10"/>
  <c r="B12159" i="10"/>
  <c r="A12159" i="10"/>
  <c r="E12158" i="10"/>
  <c r="D12158" i="10"/>
  <c r="C12158" i="10"/>
  <c r="B12158" i="10"/>
  <c r="A12158" i="10"/>
  <c r="E12157" i="10"/>
  <c r="D12157" i="10"/>
  <c r="C12157" i="10"/>
  <c r="B12157" i="10"/>
  <c r="A12157" i="10"/>
  <c r="E12156" i="10"/>
  <c r="D12156" i="10"/>
  <c r="C12156" i="10"/>
  <c r="B12156" i="10"/>
  <c r="A12156" i="10"/>
  <c r="E12155" i="10"/>
  <c r="D12155" i="10"/>
  <c r="C12155" i="10"/>
  <c r="B12155" i="10"/>
  <c r="A12155" i="10"/>
  <c r="E12154" i="10"/>
  <c r="D12154" i="10"/>
  <c r="C12154" i="10"/>
  <c r="B12154" i="10"/>
  <c r="A12154" i="10"/>
  <c r="E12153" i="10"/>
  <c r="D12153" i="10"/>
  <c r="C12153" i="10"/>
  <c r="B12153" i="10"/>
  <c r="A12153" i="10"/>
  <c r="E12152" i="10"/>
  <c r="D12152" i="10"/>
  <c r="C12152" i="10"/>
  <c r="B12152" i="10"/>
  <c r="A12152" i="10"/>
  <c r="E12151" i="10"/>
  <c r="D12151" i="10"/>
  <c r="C12151" i="10"/>
  <c r="B12151" i="10"/>
  <c r="A12151" i="10"/>
  <c r="E12150" i="10"/>
  <c r="D12150" i="10"/>
  <c r="C12150" i="10"/>
  <c r="B12150" i="10"/>
  <c r="A12150" i="10"/>
  <c r="E12149" i="10"/>
  <c r="D12149" i="10"/>
  <c r="C12149" i="10"/>
  <c r="B12149" i="10"/>
  <c r="A12149" i="10"/>
  <c r="E12148" i="10"/>
  <c r="D12148" i="10"/>
  <c r="C12148" i="10"/>
  <c r="B12148" i="10"/>
  <c r="A12148" i="10"/>
  <c r="E12147" i="10"/>
  <c r="D12147" i="10"/>
  <c r="C12147" i="10"/>
  <c r="B12147" i="10"/>
  <c r="A12147" i="10"/>
  <c r="E12146" i="10"/>
  <c r="D12146" i="10"/>
  <c r="C12146" i="10"/>
  <c r="B12146" i="10"/>
  <c r="A12146" i="10"/>
  <c r="E12145" i="10"/>
  <c r="D12145" i="10"/>
  <c r="C12145" i="10"/>
  <c r="B12145" i="10"/>
  <c r="A12145" i="10"/>
  <c r="E12144" i="10"/>
  <c r="D12144" i="10"/>
  <c r="C12144" i="10"/>
  <c r="B12144" i="10"/>
  <c r="A12144" i="10"/>
  <c r="E12143" i="10"/>
  <c r="D12143" i="10"/>
  <c r="C12143" i="10"/>
  <c r="B12143" i="10"/>
  <c r="A12143" i="10"/>
  <c r="E12142" i="10"/>
  <c r="D12142" i="10"/>
  <c r="C12142" i="10"/>
  <c r="B12142" i="10"/>
  <c r="A12142" i="10"/>
  <c r="E12141" i="10"/>
  <c r="D12141" i="10"/>
  <c r="C12141" i="10"/>
  <c r="B12141" i="10"/>
  <c r="A12141" i="10"/>
  <c r="E12140" i="10"/>
  <c r="D12140" i="10"/>
  <c r="C12140" i="10"/>
  <c r="B12140" i="10"/>
  <c r="A12140" i="10"/>
  <c r="E12139" i="10"/>
  <c r="D12139" i="10"/>
  <c r="C12139" i="10"/>
  <c r="B12139" i="10"/>
  <c r="A12139" i="10"/>
  <c r="E12138" i="10"/>
  <c r="D12138" i="10"/>
  <c r="C12138" i="10"/>
  <c r="B12138" i="10"/>
  <c r="A12138" i="10"/>
  <c r="E12137" i="10"/>
  <c r="D12137" i="10"/>
  <c r="C12137" i="10"/>
  <c r="B12137" i="10"/>
  <c r="A12137" i="10"/>
  <c r="E12136" i="10"/>
  <c r="D12136" i="10"/>
  <c r="C12136" i="10"/>
  <c r="B12136" i="10"/>
  <c r="A12136" i="10"/>
  <c r="E12135" i="10"/>
  <c r="D12135" i="10"/>
  <c r="C12135" i="10"/>
  <c r="B12135" i="10"/>
  <c r="A12135" i="10"/>
  <c r="E12134" i="10"/>
  <c r="D12134" i="10"/>
  <c r="C12134" i="10"/>
  <c r="B12134" i="10"/>
  <c r="A12134" i="10"/>
  <c r="E12133" i="10"/>
  <c r="D12133" i="10"/>
  <c r="C12133" i="10"/>
  <c r="B12133" i="10"/>
  <c r="A12133" i="10"/>
  <c r="E12132" i="10"/>
  <c r="D12132" i="10"/>
  <c r="C12132" i="10"/>
  <c r="B12132" i="10"/>
  <c r="A12132" i="10"/>
  <c r="E12131" i="10"/>
  <c r="D12131" i="10"/>
  <c r="C12131" i="10"/>
  <c r="B12131" i="10"/>
  <c r="A12131" i="10"/>
  <c r="E12130" i="10"/>
  <c r="D12130" i="10"/>
  <c r="C12130" i="10"/>
  <c r="B12130" i="10"/>
  <c r="A12130" i="10"/>
  <c r="E12129" i="10"/>
  <c r="D12129" i="10"/>
  <c r="C12129" i="10"/>
  <c r="B12129" i="10"/>
  <c r="A12129" i="10"/>
  <c r="E12128" i="10"/>
  <c r="D12128" i="10"/>
  <c r="C12128" i="10"/>
  <c r="B12128" i="10"/>
  <c r="A12128" i="10"/>
  <c r="E12127" i="10"/>
  <c r="D12127" i="10"/>
  <c r="C12127" i="10"/>
  <c r="B12127" i="10"/>
  <c r="A12127" i="10"/>
  <c r="E12126" i="10"/>
  <c r="D12126" i="10"/>
  <c r="C12126" i="10"/>
  <c r="B12126" i="10"/>
  <c r="A12126" i="10"/>
  <c r="E12125" i="10"/>
  <c r="D12125" i="10"/>
  <c r="C12125" i="10"/>
  <c r="B12125" i="10"/>
  <c r="A12125" i="10"/>
  <c r="E12124" i="10"/>
  <c r="D12124" i="10"/>
  <c r="C12124" i="10"/>
  <c r="B12124" i="10"/>
  <c r="A12124" i="10"/>
  <c r="E12123" i="10"/>
  <c r="D12123" i="10"/>
  <c r="C12123" i="10"/>
  <c r="B12123" i="10"/>
  <c r="A12123" i="10"/>
  <c r="E12122" i="10"/>
  <c r="D12122" i="10"/>
  <c r="C12122" i="10"/>
  <c r="B12122" i="10"/>
  <c r="A12122" i="10"/>
  <c r="E12121" i="10"/>
  <c r="D12121" i="10"/>
  <c r="C12121" i="10"/>
  <c r="B12121" i="10"/>
  <c r="A12121" i="10"/>
  <c r="E12120" i="10"/>
  <c r="D12120" i="10"/>
  <c r="C12120" i="10"/>
  <c r="B12120" i="10"/>
  <c r="A12120" i="10"/>
  <c r="E12119" i="10"/>
  <c r="D12119" i="10"/>
  <c r="C12119" i="10"/>
  <c r="B12119" i="10"/>
  <c r="A12119" i="10"/>
  <c r="E12118" i="10"/>
  <c r="D12118" i="10"/>
  <c r="C12118" i="10"/>
  <c r="B12118" i="10"/>
  <c r="A12118" i="10"/>
  <c r="E12117" i="10"/>
  <c r="D12117" i="10"/>
  <c r="C12117" i="10"/>
  <c r="B12117" i="10"/>
  <c r="A12117" i="10"/>
  <c r="E12116" i="10"/>
  <c r="D12116" i="10"/>
  <c r="C12116" i="10"/>
  <c r="B12116" i="10"/>
  <c r="A12116" i="10"/>
  <c r="E12115" i="10"/>
  <c r="D12115" i="10"/>
  <c r="C12115" i="10"/>
  <c r="B12115" i="10"/>
  <c r="A12115" i="10"/>
  <c r="E12114" i="10"/>
  <c r="D12114" i="10"/>
  <c r="C12114" i="10"/>
  <c r="B12114" i="10"/>
  <c r="A12114" i="10"/>
  <c r="E12113" i="10"/>
  <c r="D12113" i="10"/>
  <c r="C12113" i="10"/>
  <c r="B12113" i="10"/>
  <c r="A12113" i="10"/>
  <c r="E12112" i="10"/>
  <c r="D12112" i="10"/>
  <c r="C12112" i="10"/>
  <c r="B12112" i="10"/>
  <c r="A12112" i="10"/>
  <c r="E12111" i="10"/>
  <c r="D12111" i="10"/>
  <c r="C12111" i="10"/>
  <c r="B12111" i="10"/>
  <c r="A12111" i="10"/>
  <c r="E12110" i="10"/>
  <c r="D12110" i="10"/>
  <c r="C12110" i="10"/>
  <c r="B12110" i="10"/>
  <c r="A12110" i="10"/>
  <c r="E12109" i="10"/>
  <c r="D12109" i="10"/>
  <c r="C12109" i="10"/>
  <c r="B12109" i="10"/>
  <c r="A12109" i="10"/>
  <c r="E12108" i="10"/>
  <c r="D12108" i="10"/>
  <c r="C12108" i="10"/>
  <c r="B12108" i="10"/>
  <c r="A12108" i="10"/>
  <c r="E12107" i="10"/>
  <c r="D12107" i="10"/>
  <c r="C12107" i="10"/>
  <c r="B12107" i="10"/>
  <c r="A12107" i="10"/>
  <c r="E12106" i="10"/>
  <c r="D12106" i="10"/>
  <c r="C12106" i="10"/>
  <c r="B12106" i="10"/>
  <c r="A12106" i="10"/>
  <c r="E12105" i="10"/>
  <c r="D12105" i="10"/>
  <c r="C12105" i="10"/>
  <c r="B12105" i="10"/>
  <c r="A12105" i="10"/>
  <c r="E12104" i="10"/>
  <c r="D12104" i="10"/>
  <c r="C12104" i="10"/>
  <c r="B12104" i="10"/>
  <c r="A12104" i="10"/>
  <c r="E12103" i="10"/>
  <c r="D12103" i="10"/>
  <c r="C12103" i="10"/>
  <c r="B12103" i="10"/>
  <c r="A12103" i="10"/>
  <c r="E12102" i="10"/>
  <c r="D12102" i="10"/>
  <c r="C12102" i="10"/>
  <c r="B12102" i="10"/>
  <c r="A12102" i="10"/>
  <c r="E12101" i="10"/>
  <c r="D12101" i="10"/>
  <c r="C12101" i="10"/>
  <c r="B12101" i="10"/>
  <c r="A12101" i="10"/>
  <c r="E12100" i="10"/>
  <c r="D12100" i="10"/>
  <c r="C12100" i="10"/>
  <c r="B12100" i="10"/>
  <c r="A12100" i="10"/>
  <c r="E12099" i="10"/>
  <c r="D12099" i="10"/>
  <c r="C12099" i="10"/>
  <c r="B12099" i="10"/>
  <c r="A12099" i="10"/>
  <c r="E12098" i="10"/>
  <c r="D12098" i="10"/>
  <c r="C12098" i="10"/>
  <c r="B12098" i="10"/>
  <c r="A12098" i="10"/>
  <c r="E12097" i="10"/>
  <c r="D12097" i="10"/>
  <c r="C12097" i="10"/>
  <c r="B12097" i="10"/>
  <c r="A12097" i="10"/>
  <c r="E12096" i="10"/>
  <c r="D12096" i="10"/>
  <c r="C12096" i="10"/>
  <c r="B12096" i="10"/>
  <c r="A12096" i="10"/>
  <c r="E12095" i="10"/>
  <c r="D12095" i="10"/>
  <c r="C12095" i="10"/>
  <c r="B12095" i="10"/>
  <c r="A12095" i="10"/>
  <c r="E12094" i="10"/>
  <c r="D12094" i="10"/>
  <c r="C12094" i="10"/>
  <c r="B12094" i="10"/>
  <c r="A12094" i="10"/>
  <c r="E12093" i="10"/>
  <c r="D12093" i="10"/>
  <c r="C12093" i="10"/>
  <c r="B12093" i="10"/>
  <c r="A12093" i="10"/>
  <c r="E12092" i="10"/>
  <c r="D12092" i="10"/>
  <c r="C12092" i="10"/>
  <c r="B12092" i="10"/>
  <c r="A12092" i="10"/>
  <c r="E12091" i="10"/>
  <c r="D12091" i="10"/>
  <c r="C12091" i="10"/>
  <c r="B12091" i="10"/>
  <c r="A12091" i="10"/>
  <c r="E12090" i="10"/>
  <c r="D12090" i="10"/>
  <c r="C12090" i="10"/>
  <c r="B12090" i="10"/>
  <c r="A12090" i="10"/>
  <c r="E12089" i="10"/>
  <c r="D12089" i="10"/>
  <c r="C12089" i="10"/>
  <c r="B12089" i="10"/>
  <c r="A12089" i="10"/>
  <c r="E12088" i="10"/>
  <c r="D12088" i="10"/>
  <c r="C12088" i="10"/>
  <c r="B12088" i="10"/>
  <c r="A12088" i="10"/>
  <c r="E12087" i="10"/>
  <c r="D12087" i="10"/>
  <c r="C12087" i="10"/>
  <c r="B12087" i="10"/>
  <c r="A12087" i="10"/>
  <c r="E12086" i="10"/>
  <c r="D12086" i="10"/>
  <c r="C12086" i="10"/>
  <c r="B12086" i="10"/>
  <c r="A12086" i="10"/>
  <c r="E12085" i="10"/>
  <c r="D12085" i="10"/>
  <c r="C12085" i="10"/>
  <c r="B12085" i="10"/>
  <c r="A12085" i="10"/>
  <c r="E12084" i="10"/>
  <c r="D12084" i="10"/>
  <c r="C12084" i="10"/>
  <c r="B12084" i="10"/>
  <c r="A12084" i="10"/>
  <c r="E12083" i="10"/>
  <c r="D12083" i="10"/>
  <c r="C12083" i="10"/>
  <c r="B12083" i="10"/>
  <c r="A12083" i="10"/>
  <c r="E12082" i="10"/>
  <c r="D12082" i="10"/>
  <c r="C12082" i="10"/>
  <c r="B12082" i="10"/>
  <c r="A12082" i="10"/>
  <c r="E12081" i="10"/>
  <c r="D12081" i="10"/>
  <c r="C12081" i="10"/>
  <c r="B12081" i="10"/>
  <c r="A12081" i="10"/>
  <c r="E12080" i="10"/>
  <c r="D12080" i="10"/>
  <c r="C12080" i="10"/>
  <c r="B12080" i="10"/>
  <c r="A12080" i="10"/>
  <c r="E12079" i="10"/>
  <c r="D12079" i="10"/>
  <c r="C12079" i="10"/>
  <c r="B12079" i="10"/>
  <c r="A12079" i="10"/>
  <c r="E12078" i="10"/>
  <c r="D12078" i="10"/>
  <c r="C12078" i="10"/>
  <c r="B12078" i="10"/>
  <c r="A12078" i="10"/>
  <c r="E12077" i="10"/>
  <c r="D12077" i="10"/>
  <c r="C12077" i="10"/>
  <c r="B12077" i="10"/>
  <c r="A12077" i="10"/>
  <c r="E12076" i="10"/>
  <c r="D12076" i="10"/>
  <c r="C12076" i="10"/>
  <c r="B12076" i="10"/>
  <c r="A12076" i="10"/>
  <c r="E12075" i="10"/>
  <c r="D12075" i="10"/>
  <c r="C12075" i="10"/>
  <c r="B12075" i="10"/>
  <c r="A12075" i="10"/>
  <c r="E12074" i="10"/>
  <c r="D12074" i="10"/>
  <c r="C12074" i="10"/>
  <c r="B12074" i="10"/>
  <c r="A12074" i="10"/>
  <c r="E12073" i="10"/>
  <c r="D12073" i="10"/>
  <c r="C12073" i="10"/>
  <c r="B12073" i="10"/>
  <c r="A12073" i="10"/>
  <c r="E12072" i="10"/>
  <c r="D12072" i="10"/>
  <c r="C12072" i="10"/>
  <c r="B12072" i="10"/>
  <c r="A12072" i="10"/>
  <c r="E12071" i="10"/>
  <c r="D12071" i="10"/>
  <c r="C12071" i="10"/>
  <c r="B12071" i="10"/>
  <c r="A12071" i="10"/>
  <c r="E12070" i="10"/>
  <c r="D12070" i="10"/>
  <c r="C12070" i="10"/>
  <c r="B12070" i="10"/>
  <c r="A12070" i="10"/>
  <c r="E12069" i="10"/>
  <c r="D12069" i="10"/>
  <c r="C12069" i="10"/>
  <c r="B12069" i="10"/>
  <c r="A12069" i="10"/>
  <c r="E12068" i="10"/>
  <c r="D12068" i="10"/>
  <c r="C12068" i="10"/>
  <c r="B12068" i="10"/>
  <c r="A12068" i="10"/>
  <c r="E12067" i="10"/>
  <c r="D12067" i="10"/>
  <c r="C12067" i="10"/>
  <c r="B12067" i="10"/>
  <c r="A12067" i="10"/>
  <c r="E12066" i="10"/>
  <c r="D12066" i="10"/>
  <c r="C12066" i="10"/>
  <c r="B12066" i="10"/>
  <c r="A12066" i="10"/>
  <c r="E12065" i="10"/>
  <c r="D12065" i="10"/>
  <c r="C12065" i="10"/>
  <c r="B12065" i="10"/>
  <c r="A12065" i="10"/>
  <c r="E12064" i="10"/>
  <c r="D12064" i="10"/>
  <c r="C12064" i="10"/>
  <c r="B12064" i="10"/>
  <c r="A12064" i="10"/>
  <c r="E12063" i="10"/>
  <c r="D12063" i="10"/>
  <c r="C12063" i="10"/>
  <c r="B12063" i="10"/>
  <c r="A12063" i="10"/>
  <c r="E12062" i="10"/>
  <c r="D12062" i="10"/>
  <c r="C12062" i="10"/>
  <c r="B12062" i="10"/>
  <c r="A12062" i="10"/>
  <c r="E12061" i="10"/>
  <c r="D12061" i="10"/>
  <c r="C12061" i="10"/>
  <c r="B12061" i="10"/>
  <c r="A12061" i="10"/>
  <c r="E12060" i="10"/>
  <c r="D12060" i="10"/>
  <c r="C12060" i="10"/>
  <c r="B12060" i="10"/>
  <c r="A12060" i="10"/>
  <c r="E12059" i="10"/>
  <c r="D12059" i="10"/>
  <c r="C12059" i="10"/>
  <c r="B12059" i="10"/>
  <c r="A12059" i="10"/>
  <c r="E12058" i="10"/>
  <c r="D12058" i="10"/>
  <c r="C12058" i="10"/>
  <c r="B12058" i="10"/>
  <c r="A12058" i="10"/>
  <c r="E12057" i="10"/>
  <c r="D12057" i="10"/>
  <c r="C12057" i="10"/>
  <c r="B12057" i="10"/>
  <c r="A12057" i="10"/>
  <c r="E12056" i="10"/>
  <c r="D12056" i="10"/>
  <c r="C12056" i="10"/>
  <c r="B12056" i="10"/>
  <c r="A12056" i="10"/>
  <c r="E12055" i="10"/>
  <c r="D12055" i="10"/>
  <c r="C12055" i="10"/>
  <c r="B12055" i="10"/>
  <c r="A12055" i="10"/>
  <c r="E12054" i="10"/>
  <c r="D12054" i="10"/>
  <c r="C12054" i="10"/>
  <c r="B12054" i="10"/>
  <c r="A12054" i="10"/>
  <c r="E12053" i="10"/>
  <c r="D12053" i="10"/>
  <c r="C12053" i="10"/>
  <c r="B12053" i="10"/>
  <c r="A12053" i="10"/>
  <c r="E12052" i="10"/>
  <c r="D12052" i="10"/>
  <c r="C12052" i="10"/>
  <c r="B12052" i="10"/>
  <c r="A12052" i="10"/>
  <c r="E12051" i="10"/>
  <c r="D12051" i="10"/>
  <c r="C12051" i="10"/>
  <c r="B12051" i="10"/>
  <c r="A12051" i="10"/>
  <c r="E12050" i="10"/>
  <c r="D12050" i="10"/>
  <c r="C12050" i="10"/>
  <c r="B12050" i="10"/>
  <c r="A12050" i="10"/>
  <c r="E12049" i="10"/>
  <c r="D12049" i="10"/>
  <c r="C12049" i="10"/>
  <c r="B12049" i="10"/>
  <c r="A12049" i="10"/>
  <c r="E12048" i="10"/>
  <c r="D12048" i="10"/>
  <c r="C12048" i="10"/>
  <c r="B12048" i="10"/>
  <c r="A12048" i="10"/>
  <c r="E12047" i="10"/>
  <c r="D12047" i="10"/>
  <c r="C12047" i="10"/>
  <c r="B12047" i="10"/>
  <c r="A12047" i="10"/>
  <c r="E12046" i="10"/>
  <c r="D12046" i="10"/>
  <c r="C12046" i="10"/>
  <c r="B12046" i="10"/>
  <c r="A12046" i="10"/>
  <c r="E12045" i="10"/>
  <c r="D12045" i="10"/>
  <c r="C12045" i="10"/>
  <c r="B12045" i="10"/>
  <c r="A12045" i="10"/>
  <c r="E12044" i="10"/>
  <c r="D12044" i="10"/>
  <c r="C12044" i="10"/>
  <c r="B12044" i="10"/>
  <c r="A12044" i="10"/>
  <c r="E12043" i="10"/>
  <c r="D12043" i="10"/>
  <c r="C12043" i="10"/>
  <c r="B12043" i="10"/>
  <c r="A12043" i="10"/>
  <c r="E12042" i="10"/>
  <c r="D12042" i="10"/>
  <c r="C12042" i="10"/>
  <c r="B12042" i="10"/>
  <c r="A12042" i="10"/>
  <c r="E12041" i="10"/>
  <c r="D12041" i="10"/>
  <c r="C12041" i="10"/>
  <c r="B12041" i="10"/>
  <c r="A12041" i="10"/>
  <c r="E12040" i="10"/>
  <c r="D12040" i="10"/>
  <c r="C12040" i="10"/>
  <c r="B12040" i="10"/>
  <c r="A12040" i="10"/>
  <c r="E12039" i="10"/>
  <c r="D12039" i="10"/>
  <c r="C12039" i="10"/>
  <c r="B12039" i="10"/>
  <c r="A12039" i="10"/>
  <c r="E12038" i="10"/>
  <c r="D12038" i="10"/>
  <c r="C12038" i="10"/>
  <c r="B12038" i="10"/>
  <c r="A12038" i="10"/>
  <c r="E12037" i="10"/>
  <c r="D12037" i="10"/>
  <c r="C12037" i="10"/>
  <c r="B12037" i="10"/>
  <c r="A12037" i="10"/>
  <c r="E12036" i="10"/>
  <c r="D12036" i="10"/>
  <c r="C12036" i="10"/>
  <c r="B12036" i="10"/>
  <c r="A12036" i="10"/>
  <c r="E12035" i="10"/>
  <c r="D12035" i="10"/>
  <c r="C12035" i="10"/>
  <c r="B12035" i="10"/>
  <c r="A12035" i="10"/>
  <c r="E12034" i="10"/>
  <c r="D12034" i="10"/>
  <c r="C12034" i="10"/>
  <c r="B12034" i="10"/>
  <c r="A12034" i="10"/>
  <c r="E12033" i="10"/>
  <c r="D12033" i="10"/>
  <c r="C12033" i="10"/>
  <c r="B12033" i="10"/>
  <c r="A12033" i="10"/>
  <c r="E12032" i="10"/>
  <c r="D12032" i="10"/>
  <c r="C12032" i="10"/>
  <c r="B12032" i="10"/>
  <c r="A12032" i="10"/>
  <c r="E12031" i="10"/>
  <c r="D12031" i="10"/>
  <c r="C12031" i="10"/>
  <c r="B12031" i="10"/>
  <c r="A12031" i="10"/>
  <c r="E12030" i="10"/>
  <c r="D12030" i="10"/>
  <c r="C12030" i="10"/>
  <c r="B12030" i="10"/>
  <c r="A12030" i="10"/>
  <c r="E12029" i="10"/>
  <c r="D12029" i="10"/>
  <c r="C12029" i="10"/>
  <c r="B12029" i="10"/>
  <c r="A12029" i="10"/>
  <c r="E12028" i="10"/>
  <c r="D12028" i="10"/>
  <c r="C12028" i="10"/>
  <c r="B12028" i="10"/>
  <c r="A12028" i="10"/>
  <c r="E12027" i="10"/>
  <c r="D12027" i="10"/>
  <c r="C12027" i="10"/>
  <c r="B12027" i="10"/>
  <c r="A12027" i="10"/>
  <c r="E12026" i="10"/>
  <c r="D12026" i="10"/>
  <c r="C12026" i="10"/>
  <c r="B12026" i="10"/>
  <c r="A12026" i="10"/>
  <c r="E12025" i="10"/>
  <c r="D12025" i="10"/>
  <c r="C12025" i="10"/>
  <c r="B12025" i="10"/>
  <c r="A12025" i="10"/>
  <c r="E12024" i="10"/>
  <c r="D12024" i="10"/>
  <c r="C12024" i="10"/>
  <c r="B12024" i="10"/>
  <c r="A12024" i="10"/>
  <c r="E12023" i="10"/>
  <c r="D12023" i="10"/>
  <c r="C12023" i="10"/>
  <c r="B12023" i="10"/>
  <c r="A12023" i="10"/>
  <c r="E12022" i="10"/>
  <c r="D12022" i="10"/>
  <c r="C12022" i="10"/>
  <c r="B12022" i="10"/>
  <c r="A12022" i="10"/>
  <c r="E12021" i="10"/>
  <c r="D12021" i="10"/>
  <c r="C12021" i="10"/>
  <c r="B12021" i="10"/>
  <c r="A12021" i="10"/>
  <c r="E12020" i="10"/>
  <c r="D12020" i="10"/>
  <c r="C12020" i="10"/>
  <c r="B12020" i="10"/>
  <c r="A12020" i="10"/>
  <c r="E12019" i="10"/>
  <c r="D12019" i="10"/>
  <c r="C12019" i="10"/>
  <c r="B12019" i="10"/>
  <c r="A12019" i="10"/>
  <c r="E12018" i="10"/>
  <c r="D12018" i="10"/>
  <c r="C12018" i="10"/>
  <c r="B12018" i="10"/>
  <c r="A12018" i="10"/>
  <c r="E12017" i="10"/>
  <c r="D12017" i="10"/>
  <c r="C12017" i="10"/>
  <c r="B12017" i="10"/>
  <c r="A12017" i="10"/>
  <c r="E12016" i="10"/>
  <c r="D12016" i="10"/>
  <c r="C12016" i="10"/>
  <c r="B12016" i="10"/>
  <c r="A12016" i="10"/>
  <c r="E12015" i="10"/>
  <c r="D12015" i="10"/>
  <c r="C12015" i="10"/>
  <c r="B12015" i="10"/>
  <c r="A12015" i="10"/>
  <c r="E12014" i="10"/>
  <c r="D12014" i="10"/>
  <c r="C12014" i="10"/>
  <c r="B12014" i="10"/>
  <c r="A12014" i="10"/>
  <c r="E12013" i="10"/>
  <c r="D12013" i="10"/>
  <c r="C12013" i="10"/>
  <c r="B12013" i="10"/>
  <c r="A12013" i="10"/>
  <c r="E12012" i="10"/>
  <c r="D12012" i="10"/>
  <c r="C12012" i="10"/>
  <c r="B12012" i="10"/>
  <c r="A12012" i="10"/>
  <c r="E12011" i="10"/>
  <c r="D12011" i="10"/>
  <c r="C12011" i="10"/>
  <c r="B12011" i="10"/>
  <c r="A12011" i="10"/>
  <c r="E12010" i="10"/>
  <c r="D12010" i="10"/>
  <c r="C12010" i="10"/>
  <c r="B12010" i="10"/>
  <c r="A12010" i="10"/>
  <c r="E12009" i="10"/>
  <c r="D12009" i="10"/>
  <c r="C12009" i="10"/>
  <c r="B12009" i="10"/>
  <c r="A12009" i="10"/>
  <c r="E12008" i="10"/>
  <c r="D12008" i="10"/>
  <c r="C12008" i="10"/>
  <c r="B12008" i="10"/>
  <c r="A12008" i="10"/>
  <c r="E12007" i="10"/>
  <c r="D12007" i="10"/>
  <c r="C12007" i="10"/>
  <c r="B12007" i="10"/>
  <c r="A12007" i="10"/>
  <c r="E12006" i="10"/>
  <c r="D12006" i="10"/>
  <c r="C12006" i="10"/>
  <c r="B12006" i="10"/>
  <c r="A12006" i="10"/>
  <c r="E12005" i="10"/>
  <c r="D12005" i="10"/>
  <c r="C12005" i="10"/>
  <c r="B12005" i="10"/>
  <c r="A12005" i="10"/>
  <c r="E12004" i="10"/>
  <c r="D12004" i="10"/>
  <c r="C12004" i="10"/>
  <c r="B12004" i="10"/>
  <c r="A12004" i="10"/>
  <c r="E12003" i="10"/>
  <c r="D12003" i="10"/>
  <c r="C12003" i="10"/>
  <c r="B12003" i="10"/>
  <c r="A12003" i="10"/>
  <c r="E12002" i="10"/>
  <c r="D12002" i="10"/>
  <c r="C12002" i="10"/>
  <c r="B12002" i="10"/>
  <c r="A12002" i="10"/>
  <c r="E12001" i="10"/>
  <c r="D12001" i="10"/>
  <c r="C12001" i="10"/>
  <c r="B12001" i="10"/>
  <c r="A12001" i="10"/>
  <c r="E12000" i="10"/>
  <c r="D12000" i="10"/>
  <c r="C12000" i="10"/>
  <c r="B12000" i="10"/>
  <c r="A12000" i="10"/>
  <c r="E11999" i="10"/>
  <c r="D11999" i="10"/>
  <c r="C11999" i="10"/>
  <c r="B11999" i="10"/>
  <c r="A11999" i="10"/>
  <c r="E11998" i="10"/>
  <c r="D11998" i="10"/>
  <c r="C11998" i="10"/>
  <c r="B11998" i="10"/>
  <c r="A11998" i="10"/>
  <c r="E11997" i="10"/>
  <c r="D11997" i="10"/>
  <c r="C11997" i="10"/>
  <c r="B11997" i="10"/>
  <c r="A11997" i="10"/>
  <c r="E11996" i="10"/>
  <c r="D11996" i="10"/>
  <c r="C11996" i="10"/>
  <c r="B11996" i="10"/>
  <c r="A11996" i="10"/>
  <c r="E11995" i="10"/>
  <c r="D11995" i="10"/>
  <c r="C11995" i="10"/>
  <c r="B11995" i="10"/>
  <c r="A11995" i="10"/>
  <c r="E11994" i="10"/>
  <c r="D11994" i="10"/>
  <c r="C11994" i="10"/>
  <c r="B11994" i="10"/>
  <c r="A11994" i="10"/>
  <c r="E11993" i="10"/>
  <c r="D11993" i="10"/>
  <c r="C11993" i="10"/>
  <c r="B11993" i="10"/>
  <c r="A11993" i="10"/>
  <c r="E11992" i="10"/>
  <c r="D11992" i="10"/>
  <c r="C11992" i="10"/>
  <c r="B11992" i="10"/>
  <c r="A11992" i="10"/>
  <c r="E11991" i="10"/>
  <c r="D11991" i="10"/>
  <c r="C11991" i="10"/>
  <c r="B11991" i="10"/>
  <c r="A11991" i="10"/>
  <c r="E11990" i="10"/>
  <c r="D11990" i="10"/>
  <c r="C11990" i="10"/>
  <c r="B11990" i="10"/>
  <c r="A11990" i="10"/>
  <c r="E11989" i="10"/>
  <c r="D11989" i="10"/>
  <c r="C11989" i="10"/>
  <c r="B11989" i="10"/>
  <c r="A11989" i="10"/>
  <c r="E11988" i="10"/>
  <c r="D11988" i="10"/>
  <c r="C11988" i="10"/>
  <c r="B11988" i="10"/>
  <c r="A11988" i="10"/>
  <c r="E11987" i="10"/>
  <c r="D11987" i="10"/>
  <c r="C11987" i="10"/>
  <c r="B11987" i="10"/>
  <c r="A11987" i="10"/>
  <c r="E11986" i="10"/>
  <c r="D11986" i="10"/>
  <c r="C11986" i="10"/>
  <c r="B11986" i="10"/>
  <c r="A11986" i="10"/>
  <c r="E11985" i="10"/>
  <c r="D11985" i="10"/>
  <c r="C11985" i="10"/>
  <c r="B11985" i="10"/>
  <c r="A11985" i="10"/>
  <c r="E11984" i="10"/>
  <c r="D11984" i="10"/>
  <c r="C11984" i="10"/>
  <c r="B11984" i="10"/>
  <c r="A11984" i="10"/>
  <c r="E11983" i="10"/>
  <c r="D11983" i="10"/>
  <c r="C11983" i="10"/>
  <c r="B11983" i="10"/>
  <c r="A11983" i="10"/>
  <c r="E11982" i="10"/>
  <c r="D11982" i="10"/>
  <c r="C11982" i="10"/>
  <c r="B11982" i="10"/>
  <c r="A11982" i="10"/>
  <c r="E11981" i="10"/>
  <c r="D11981" i="10"/>
  <c r="C11981" i="10"/>
  <c r="B11981" i="10"/>
  <c r="A11981" i="10"/>
  <c r="E11980" i="10"/>
  <c r="D11980" i="10"/>
  <c r="C11980" i="10"/>
  <c r="B11980" i="10"/>
  <c r="A11980" i="10"/>
  <c r="E11979" i="10"/>
  <c r="D11979" i="10"/>
  <c r="C11979" i="10"/>
  <c r="B11979" i="10"/>
  <c r="A11979" i="10"/>
  <c r="E11978" i="10"/>
  <c r="D11978" i="10"/>
  <c r="C11978" i="10"/>
  <c r="B11978" i="10"/>
  <c r="A11978" i="10"/>
  <c r="E11977" i="10"/>
  <c r="D11977" i="10"/>
  <c r="C11977" i="10"/>
  <c r="B11977" i="10"/>
  <c r="A11977" i="10"/>
  <c r="E11976" i="10"/>
  <c r="D11976" i="10"/>
  <c r="C11976" i="10"/>
  <c r="B11976" i="10"/>
  <c r="A11976" i="10"/>
  <c r="E11975" i="10"/>
  <c r="D11975" i="10"/>
  <c r="C11975" i="10"/>
  <c r="B11975" i="10"/>
  <c r="A11975" i="10"/>
  <c r="E11974" i="10"/>
  <c r="D11974" i="10"/>
  <c r="C11974" i="10"/>
  <c r="B11974" i="10"/>
  <c r="A11974" i="10"/>
  <c r="E11973" i="10"/>
  <c r="D11973" i="10"/>
  <c r="C11973" i="10"/>
  <c r="B11973" i="10"/>
  <c r="A11973" i="10"/>
  <c r="E11972" i="10"/>
  <c r="D11972" i="10"/>
  <c r="C11972" i="10"/>
  <c r="B11972" i="10"/>
  <c r="A11972" i="10"/>
  <c r="E11971" i="10"/>
  <c r="D11971" i="10"/>
  <c r="C11971" i="10"/>
  <c r="B11971" i="10"/>
  <c r="A11971" i="10"/>
  <c r="E11970" i="10"/>
  <c r="D11970" i="10"/>
  <c r="C11970" i="10"/>
  <c r="B11970" i="10"/>
  <c r="A11970" i="10"/>
  <c r="E11969" i="10"/>
  <c r="D11969" i="10"/>
  <c r="C11969" i="10"/>
  <c r="B11969" i="10"/>
  <c r="A11969" i="10"/>
  <c r="E11968" i="10"/>
  <c r="D11968" i="10"/>
  <c r="C11968" i="10"/>
  <c r="B11968" i="10"/>
  <c r="A11968" i="10"/>
  <c r="E11967" i="10"/>
  <c r="D11967" i="10"/>
  <c r="C11967" i="10"/>
  <c r="B11967" i="10"/>
  <c r="A11967" i="10"/>
  <c r="E11966" i="10"/>
  <c r="D11966" i="10"/>
  <c r="C11966" i="10"/>
  <c r="B11966" i="10"/>
  <c r="A11966" i="10"/>
  <c r="E11965" i="10"/>
  <c r="D11965" i="10"/>
  <c r="C11965" i="10"/>
  <c r="B11965" i="10"/>
  <c r="A11965" i="10"/>
  <c r="E11964" i="10"/>
  <c r="D11964" i="10"/>
  <c r="C11964" i="10"/>
  <c r="B11964" i="10"/>
  <c r="A11964" i="10"/>
  <c r="E11963" i="10"/>
  <c r="D11963" i="10"/>
  <c r="C11963" i="10"/>
  <c r="B11963" i="10"/>
  <c r="A11963" i="10"/>
  <c r="E11962" i="10"/>
  <c r="D11962" i="10"/>
  <c r="C11962" i="10"/>
  <c r="B11962" i="10"/>
  <c r="A11962" i="10"/>
  <c r="E11961" i="10"/>
  <c r="D11961" i="10"/>
  <c r="C11961" i="10"/>
  <c r="B11961" i="10"/>
  <c r="A11961" i="10"/>
  <c r="E11960" i="10"/>
  <c r="D11960" i="10"/>
  <c r="C11960" i="10"/>
  <c r="B11960" i="10"/>
  <c r="A11960" i="10"/>
  <c r="E11959" i="10"/>
  <c r="D11959" i="10"/>
  <c r="C11959" i="10"/>
  <c r="B11959" i="10"/>
  <c r="A11959" i="10"/>
  <c r="E11958" i="10"/>
  <c r="D11958" i="10"/>
  <c r="C11958" i="10"/>
  <c r="B11958" i="10"/>
  <c r="A11958" i="10"/>
  <c r="E11957" i="10"/>
  <c r="D11957" i="10"/>
  <c r="C11957" i="10"/>
  <c r="B11957" i="10"/>
  <c r="A11957" i="10"/>
  <c r="E11956" i="10"/>
  <c r="D11956" i="10"/>
  <c r="C11956" i="10"/>
  <c r="B11956" i="10"/>
  <c r="A11956" i="10"/>
  <c r="E11955" i="10"/>
  <c r="D11955" i="10"/>
  <c r="C11955" i="10"/>
  <c r="B11955" i="10"/>
  <c r="A11955" i="10"/>
  <c r="E11954" i="10"/>
  <c r="D11954" i="10"/>
  <c r="C11954" i="10"/>
  <c r="B11954" i="10"/>
  <c r="A11954" i="10"/>
  <c r="E11953" i="10"/>
  <c r="D11953" i="10"/>
  <c r="C11953" i="10"/>
  <c r="B11953" i="10"/>
  <c r="A11953" i="10"/>
  <c r="E11952" i="10"/>
  <c r="D11952" i="10"/>
  <c r="C11952" i="10"/>
  <c r="B11952" i="10"/>
  <c r="A11952" i="10"/>
  <c r="E11951" i="10"/>
  <c r="D11951" i="10"/>
  <c r="C11951" i="10"/>
  <c r="B11951" i="10"/>
  <c r="A11951" i="10"/>
  <c r="E11950" i="10"/>
  <c r="D11950" i="10"/>
  <c r="C11950" i="10"/>
  <c r="B11950" i="10"/>
  <c r="A11950" i="10"/>
  <c r="E11949" i="10"/>
  <c r="D11949" i="10"/>
  <c r="C11949" i="10"/>
  <c r="B11949" i="10"/>
  <c r="A11949" i="10"/>
  <c r="E11948" i="10"/>
  <c r="D11948" i="10"/>
  <c r="C11948" i="10"/>
  <c r="B11948" i="10"/>
  <c r="A11948" i="10"/>
  <c r="E11947" i="10"/>
  <c r="D11947" i="10"/>
  <c r="C11947" i="10"/>
  <c r="B11947" i="10"/>
  <c r="A11947" i="10"/>
  <c r="E11946" i="10"/>
  <c r="D11946" i="10"/>
  <c r="C11946" i="10"/>
  <c r="B11946" i="10"/>
  <c r="A11946" i="10"/>
  <c r="E11945" i="10"/>
  <c r="D11945" i="10"/>
  <c r="C11945" i="10"/>
  <c r="B11945" i="10"/>
  <c r="A11945" i="10"/>
  <c r="E11944" i="10"/>
  <c r="D11944" i="10"/>
  <c r="C11944" i="10"/>
  <c r="B11944" i="10"/>
  <c r="A11944" i="10"/>
  <c r="E11943" i="10"/>
  <c r="D11943" i="10"/>
  <c r="C11943" i="10"/>
  <c r="B11943" i="10"/>
  <c r="A11943" i="10"/>
  <c r="E11942" i="10"/>
  <c r="D11942" i="10"/>
  <c r="C11942" i="10"/>
  <c r="B11942" i="10"/>
  <c r="A11942" i="10"/>
  <c r="E11941" i="10"/>
  <c r="D11941" i="10"/>
  <c r="C11941" i="10"/>
  <c r="B11941" i="10"/>
  <c r="A11941" i="10"/>
  <c r="E11940" i="10"/>
  <c r="D11940" i="10"/>
  <c r="C11940" i="10"/>
  <c r="B11940" i="10"/>
  <c r="A11940" i="10"/>
  <c r="E11939" i="10"/>
  <c r="D11939" i="10"/>
  <c r="C11939" i="10"/>
  <c r="B11939" i="10"/>
  <c r="A11939" i="10"/>
  <c r="E11938" i="10"/>
  <c r="D11938" i="10"/>
  <c r="C11938" i="10"/>
  <c r="B11938" i="10"/>
  <c r="A11938" i="10"/>
  <c r="E11937" i="10"/>
  <c r="D11937" i="10"/>
  <c r="C11937" i="10"/>
  <c r="B11937" i="10"/>
  <c r="A11937" i="10"/>
  <c r="E11936" i="10"/>
  <c r="D11936" i="10"/>
  <c r="C11936" i="10"/>
  <c r="B11936" i="10"/>
  <c r="A11936" i="10"/>
  <c r="E11935" i="10"/>
  <c r="D11935" i="10"/>
  <c r="C11935" i="10"/>
  <c r="B11935" i="10"/>
  <c r="A11935" i="10"/>
  <c r="E11934" i="10"/>
  <c r="D11934" i="10"/>
  <c r="C11934" i="10"/>
  <c r="B11934" i="10"/>
  <c r="A11934" i="10"/>
  <c r="E11933" i="10"/>
  <c r="D11933" i="10"/>
  <c r="C11933" i="10"/>
  <c r="B11933" i="10"/>
  <c r="A11933" i="10"/>
  <c r="E11932" i="10"/>
  <c r="D11932" i="10"/>
  <c r="C11932" i="10"/>
  <c r="B11932" i="10"/>
  <c r="A11932" i="10"/>
  <c r="E11931" i="10"/>
  <c r="D11931" i="10"/>
  <c r="C11931" i="10"/>
  <c r="B11931" i="10"/>
  <c r="A11931" i="10"/>
  <c r="E11930" i="10"/>
  <c r="D11930" i="10"/>
  <c r="C11930" i="10"/>
  <c r="B11930" i="10"/>
  <c r="A11930" i="10"/>
  <c r="E11929" i="10"/>
  <c r="D11929" i="10"/>
  <c r="C11929" i="10"/>
  <c r="B11929" i="10"/>
  <c r="A11929" i="10"/>
  <c r="E11928" i="10"/>
  <c r="D11928" i="10"/>
  <c r="C11928" i="10"/>
  <c r="B11928" i="10"/>
  <c r="A11928" i="10"/>
  <c r="E11927" i="10"/>
  <c r="D11927" i="10"/>
  <c r="C11927" i="10"/>
  <c r="B11927" i="10"/>
  <c r="A11927" i="10"/>
  <c r="E11926" i="10"/>
  <c r="D11926" i="10"/>
  <c r="C11926" i="10"/>
  <c r="B11926" i="10"/>
  <c r="A11926" i="10"/>
  <c r="E11925" i="10"/>
  <c r="D11925" i="10"/>
  <c r="C11925" i="10"/>
  <c r="B11925" i="10"/>
  <c r="A11925" i="10"/>
  <c r="E11924" i="10"/>
  <c r="D11924" i="10"/>
  <c r="C11924" i="10"/>
  <c r="B11924" i="10"/>
  <c r="A11924" i="10"/>
  <c r="E11923" i="10"/>
  <c r="D11923" i="10"/>
  <c r="C11923" i="10"/>
  <c r="B11923" i="10"/>
  <c r="A11923" i="10"/>
  <c r="E11922" i="10"/>
  <c r="D11922" i="10"/>
  <c r="C11922" i="10"/>
  <c r="B11922" i="10"/>
  <c r="A11922" i="10"/>
  <c r="E11921" i="10"/>
  <c r="D11921" i="10"/>
  <c r="C11921" i="10"/>
  <c r="B11921" i="10"/>
  <c r="A11921" i="10"/>
  <c r="E11920" i="10"/>
  <c r="D11920" i="10"/>
  <c r="C11920" i="10"/>
  <c r="B11920" i="10"/>
  <c r="A11920" i="10"/>
  <c r="E11919" i="10"/>
  <c r="D11919" i="10"/>
  <c r="C11919" i="10"/>
  <c r="B11919" i="10"/>
  <c r="A11919" i="10"/>
  <c r="E11918" i="10"/>
  <c r="D11918" i="10"/>
  <c r="C11918" i="10"/>
  <c r="B11918" i="10"/>
  <c r="A11918" i="10"/>
  <c r="E11917" i="10"/>
  <c r="D11917" i="10"/>
  <c r="C11917" i="10"/>
  <c r="B11917" i="10"/>
  <c r="A11917" i="10"/>
  <c r="E11916" i="10"/>
  <c r="D11916" i="10"/>
  <c r="C11916" i="10"/>
  <c r="B11916" i="10"/>
  <c r="A11916" i="10"/>
  <c r="E11915" i="10"/>
  <c r="D11915" i="10"/>
  <c r="C11915" i="10"/>
  <c r="B11915" i="10"/>
  <c r="A11915" i="10"/>
  <c r="D11914" i="10"/>
  <c r="C11914" i="10"/>
  <c r="B11914" i="10"/>
  <c r="A11914" i="10"/>
  <c r="E11913" i="10"/>
  <c r="D11913" i="10"/>
  <c r="C11913" i="10"/>
  <c r="B11913" i="10"/>
  <c r="A11913" i="10"/>
  <c r="E11912" i="10"/>
  <c r="D11912" i="10"/>
  <c r="C11912" i="10"/>
  <c r="B11912" i="10"/>
  <c r="A11912" i="10"/>
  <c r="E11911" i="10"/>
  <c r="D11911" i="10"/>
  <c r="C11911" i="10"/>
  <c r="B11911" i="10"/>
  <c r="A11911" i="10"/>
  <c r="E11910" i="10"/>
  <c r="D11910" i="10"/>
  <c r="C11910" i="10"/>
  <c r="B11910" i="10"/>
  <c r="A11910" i="10"/>
  <c r="E11909" i="10"/>
  <c r="D11909" i="10"/>
  <c r="C11909" i="10"/>
  <c r="B11909" i="10"/>
  <c r="A11909" i="10"/>
  <c r="E11908" i="10"/>
  <c r="D11908" i="10"/>
  <c r="C11908" i="10"/>
  <c r="B11908" i="10"/>
  <c r="A11908" i="10"/>
  <c r="E11907" i="10"/>
  <c r="D11907" i="10"/>
  <c r="C11907" i="10"/>
  <c r="B11907" i="10"/>
  <c r="A11907" i="10"/>
  <c r="E11906" i="10"/>
  <c r="D11906" i="10"/>
  <c r="C11906" i="10"/>
  <c r="B11906" i="10"/>
  <c r="A11906" i="10"/>
  <c r="E11905" i="10"/>
  <c r="D11905" i="10"/>
  <c r="C11905" i="10"/>
  <c r="B11905" i="10"/>
  <c r="A11905" i="10"/>
  <c r="E11904" i="10"/>
  <c r="D11904" i="10"/>
  <c r="C11904" i="10"/>
  <c r="B11904" i="10"/>
  <c r="A11904" i="10"/>
  <c r="E11903" i="10"/>
  <c r="D11903" i="10"/>
  <c r="C11903" i="10"/>
  <c r="B11903" i="10"/>
  <c r="A11903" i="10"/>
  <c r="E11902" i="10"/>
  <c r="D11902" i="10"/>
  <c r="C11902" i="10"/>
  <c r="B11902" i="10"/>
  <c r="A11902" i="10"/>
  <c r="E11901" i="10"/>
  <c r="D11901" i="10"/>
  <c r="C11901" i="10"/>
  <c r="B11901" i="10"/>
  <c r="A11901" i="10"/>
  <c r="E11900" i="10"/>
  <c r="D11900" i="10"/>
  <c r="C11900" i="10"/>
  <c r="B11900" i="10"/>
  <c r="A11900" i="10"/>
  <c r="E11899" i="10"/>
  <c r="D11899" i="10"/>
  <c r="C11899" i="10"/>
  <c r="B11899" i="10"/>
  <c r="A11899" i="10"/>
  <c r="E11898" i="10"/>
  <c r="D11898" i="10"/>
  <c r="C11898" i="10"/>
  <c r="B11898" i="10"/>
  <c r="A11898" i="10"/>
  <c r="E11897" i="10"/>
  <c r="D11897" i="10"/>
  <c r="C11897" i="10"/>
  <c r="B11897" i="10"/>
  <c r="A11897" i="10"/>
  <c r="E11896" i="10"/>
  <c r="D11896" i="10"/>
  <c r="C11896" i="10"/>
  <c r="B11896" i="10"/>
  <c r="A11896" i="10"/>
  <c r="E11895" i="10"/>
  <c r="D11895" i="10"/>
  <c r="C11895" i="10"/>
  <c r="B11895" i="10"/>
  <c r="A11895" i="10"/>
  <c r="E11894" i="10"/>
  <c r="D11894" i="10"/>
  <c r="C11894" i="10"/>
  <c r="B11894" i="10"/>
  <c r="A11894" i="10"/>
  <c r="E11893" i="10"/>
  <c r="D11893" i="10"/>
  <c r="C11893" i="10"/>
  <c r="B11893" i="10"/>
  <c r="A11893" i="10"/>
  <c r="E11892" i="10"/>
  <c r="D11892" i="10"/>
  <c r="C11892" i="10"/>
  <c r="B11892" i="10"/>
  <c r="A11892" i="10"/>
  <c r="E11891" i="10"/>
  <c r="D11891" i="10"/>
  <c r="C11891" i="10"/>
  <c r="B11891" i="10"/>
  <c r="A11891" i="10"/>
  <c r="E11890" i="10"/>
  <c r="D11890" i="10"/>
  <c r="C11890" i="10"/>
  <c r="B11890" i="10"/>
  <c r="A11890" i="10"/>
  <c r="E11889" i="10"/>
  <c r="D11889" i="10"/>
  <c r="C11889" i="10"/>
  <c r="B11889" i="10"/>
  <c r="A11889" i="10"/>
  <c r="E11888" i="10"/>
  <c r="D11888" i="10"/>
  <c r="C11888" i="10"/>
  <c r="B11888" i="10"/>
  <c r="A11888" i="10"/>
  <c r="E11887" i="10"/>
  <c r="D11887" i="10"/>
  <c r="C11887" i="10"/>
  <c r="B11887" i="10"/>
  <c r="A11887" i="10"/>
  <c r="E11886" i="10"/>
  <c r="D11886" i="10"/>
  <c r="C11886" i="10"/>
  <c r="B11886" i="10"/>
  <c r="A11886" i="10"/>
  <c r="E11885" i="10"/>
  <c r="D11885" i="10"/>
  <c r="C11885" i="10"/>
  <c r="B11885" i="10"/>
  <c r="A11885" i="10"/>
  <c r="E11884" i="10"/>
  <c r="D11884" i="10"/>
  <c r="C11884" i="10"/>
  <c r="B11884" i="10"/>
  <c r="A11884" i="10"/>
  <c r="E11883" i="10"/>
  <c r="D11883" i="10"/>
  <c r="C11883" i="10"/>
  <c r="B11883" i="10"/>
  <c r="A11883" i="10"/>
  <c r="E11882" i="10"/>
  <c r="D11882" i="10"/>
  <c r="C11882" i="10"/>
  <c r="B11882" i="10"/>
  <c r="A11882" i="10"/>
  <c r="E11881" i="10"/>
  <c r="D11881" i="10"/>
  <c r="C11881" i="10"/>
  <c r="B11881" i="10"/>
  <c r="A11881" i="10"/>
  <c r="E11880" i="10"/>
  <c r="D11880" i="10"/>
  <c r="C11880" i="10"/>
  <c r="B11880" i="10"/>
  <c r="A11880" i="10"/>
  <c r="E11879" i="10"/>
  <c r="D11879" i="10"/>
  <c r="C11879" i="10"/>
  <c r="B11879" i="10"/>
  <c r="A11879" i="10"/>
  <c r="E11878" i="10"/>
  <c r="D11878" i="10"/>
  <c r="C11878" i="10"/>
  <c r="B11878" i="10"/>
  <c r="A11878" i="10"/>
  <c r="E11877" i="10"/>
  <c r="D11877" i="10"/>
  <c r="C11877" i="10"/>
  <c r="B11877" i="10"/>
  <c r="A11877" i="10"/>
  <c r="E11876" i="10"/>
  <c r="D11876" i="10"/>
  <c r="C11876" i="10"/>
  <c r="B11876" i="10"/>
  <c r="A11876" i="10"/>
  <c r="E11875" i="10"/>
  <c r="D11875" i="10"/>
  <c r="C11875" i="10"/>
  <c r="B11875" i="10"/>
  <c r="A11875" i="10"/>
  <c r="E11874" i="10"/>
  <c r="D11874" i="10"/>
  <c r="C11874" i="10"/>
  <c r="B11874" i="10"/>
  <c r="A11874" i="10"/>
  <c r="E11873" i="10"/>
  <c r="D11873" i="10"/>
  <c r="C11873" i="10"/>
  <c r="B11873" i="10"/>
  <c r="A11873" i="10"/>
  <c r="E11872" i="10"/>
  <c r="D11872" i="10"/>
  <c r="C11872" i="10"/>
  <c r="B11872" i="10"/>
  <c r="A11872" i="10"/>
  <c r="E11871" i="10"/>
  <c r="D11871" i="10"/>
  <c r="C11871" i="10"/>
  <c r="B11871" i="10"/>
  <c r="A11871" i="10"/>
  <c r="E11870" i="10"/>
  <c r="D11870" i="10"/>
  <c r="C11870" i="10"/>
  <c r="B11870" i="10"/>
  <c r="A11870" i="10"/>
  <c r="E11869" i="10"/>
  <c r="D11869" i="10"/>
  <c r="C11869" i="10"/>
  <c r="B11869" i="10"/>
  <c r="A11869" i="10"/>
  <c r="E11868" i="10"/>
  <c r="D11868" i="10"/>
  <c r="C11868" i="10"/>
  <c r="B11868" i="10"/>
  <c r="A11868" i="10"/>
  <c r="E11867" i="10"/>
  <c r="D11867" i="10"/>
  <c r="C11867" i="10"/>
  <c r="B11867" i="10"/>
  <c r="A11867" i="10"/>
  <c r="E11866" i="10"/>
  <c r="D11866" i="10"/>
  <c r="C11866" i="10"/>
  <c r="B11866" i="10"/>
  <c r="A11866" i="10"/>
  <c r="E11865" i="10"/>
  <c r="D11865" i="10"/>
  <c r="C11865" i="10"/>
  <c r="B11865" i="10"/>
  <c r="A11865" i="10"/>
  <c r="E11864" i="10"/>
  <c r="D11864" i="10"/>
  <c r="C11864" i="10"/>
  <c r="B11864" i="10"/>
  <c r="A11864" i="10"/>
  <c r="E11863" i="10"/>
  <c r="D11863" i="10"/>
  <c r="C11863" i="10"/>
  <c r="B11863" i="10"/>
  <c r="A11863" i="10"/>
  <c r="E11862" i="10"/>
  <c r="D11862" i="10"/>
  <c r="C11862" i="10"/>
  <c r="B11862" i="10"/>
  <c r="A11862" i="10"/>
  <c r="E11861" i="10"/>
  <c r="D11861" i="10"/>
  <c r="C11861" i="10"/>
  <c r="B11861" i="10"/>
  <c r="A11861" i="10"/>
  <c r="E11860" i="10"/>
  <c r="D11860" i="10"/>
  <c r="C11860" i="10"/>
  <c r="B11860" i="10"/>
  <c r="A11860" i="10"/>
  <c r="E11859" i="10"/>
  <c r="D11859" i="10"/>
  <c r="C11859" i="10"/>
  <c r="B11859" i="10"/>
  <c r="A11859" i="10"/>
  <c r="E11858" i="10"/>
  <c r="D11858" i="10"/>
  <c r="C11858" i="10"/>
  <c r="B11858" i="10"/>
  <c r="A11858" i="10"/>
  <c r="E11857" i="10"/>
  <c r="D11857" i="10"/>
  <c r="C11857" i="10"/>
  <c r="B11857" i="10"/>
  <c r="A11857" i="10"/>
  <c r="E11856" i="10"/>
  <c r="D11856" i="10"/>
  <c r="C11856" i="10"/>
  <c r="B11856" i="10"/>
  <c r="A11856" i="10"/>
  <c r="E11855" i="10"/>
  <c r="D11855" i="10"/>
  <c r="C11855" i="10"/>
  <c r="B11855" i="10"/>
  <c r="A11855" i="10"/>
  <c r="E11854" i="10"/>
  <c r="D11854" i="10"/>
  <c r="C11854" i="10"/>
  <c r="B11854" i="10"/>
  <c r="A11854" i="10"/>
  <c r="E11853" i="10"/>
  <c r="D11853" i="10"/>
  <c r="C11853" i="10"/>
  <c r="B11853" i="10"/>
  <c r="A11853" i="10"/>
  <c r="E11852" i="10"/>
  <c r="D11852" i="10"/>
  <c r="C11852" i="10"/>
  <c r="B11852" i="10"/>
  <c r="A11852" i="10"/>
  <c r="E11851" i="10"/>
  <c r="D11851" i="10"/>
  <c r="C11851" i="10"/>
  <c r="B11851" i="10"/>
  <c r="A11851" i="10"/>
  <c r="E11850" i="10"/>
  <c r="D11850" i="10"/>
  <c r="C11850" i="10"/>
  <c r="B11850" i="10"/>
  <c r="A11850" i="10"/>
  <c r="E11849" i="10"/>
  <c r="D11849" i="10"/>
  <c r="C11849" i="10"/>
  <c r="B11849" i="10"/>
  <c r="A11849" i="10"/>
  <c r="E11848" i="10"/>
  <c r="D11848" i="10"/>
  <c r="C11848" i="10"/>
  <c r="B11848" i="10"/>
  <c r="A11848" i="10"/>
  <c r="E11847" i="10"/>
  <c r="D11847" i="10"/>
  <c r="C11847" i="10"/>
  <c r="B11847" i="10"/>
  <c r="A11847" i="10"/>
  <c r="E11846" i="10"/>
  <c r="D11846" i="10"/>
  <c r="C11846" i="10"/>
  <c r="B11846" i="10"/>
  <c r="A11846" i="10"/>
  <c r="E11845" i="10"/>
  <c r="D11845" i="10"/>
  <c r="C11845" i="10"/>
  <c r="B11845" i="10"/>
  <c r="A11845" i="10"/>
  <c r="E11844" i="10"/>
  <c r="D11844" i="10"/>
  <c r="C11844" i="10"/>
  <c r="B11844" i="10"/>
  <c r="A11844" i="10"/>
  <c r="E11843" i="10"/>
  <c r="D11843" i="10"/>
  <c r="C11843" i="10"/>
  <c r="B11843" i="10"/>
  <c r="A11843" i="10"/>
  <c r="E11842" i="10"/>
  <c r="D11842" i="10"/>
  <c r="C11842" i="10"/>
  <c r="B11842" i="10"/>
  <c r="A11842" i="10"/>
  <c r="E11841" i="10"/>
  <c r="D11841" i="10"/>
  <c r="C11841" i="10"/>
  <c r="B11841" i="10"/>
  <c r="A11841" i="10"/>
  <c r="E11840" i="10"/>
  <c r="D11840" i="10"/>
  <c r="C11840" i="10"/>
  <c r="B11840" i="10"/>
  <c r="A11840" i="10"/>
  <c r="E11839" i="10"/>
  <c r="D11839" i="10"/>
  <c r="C11839" i="10"/>
  <c r="B11839" i="10"/>
  <c r="A11839" i="10"/>
  <c r="E11838" i="10"/>
  <c r="D11838" i="10"/>
  <c r="C11838" i="10"/>
  <c r="B11838" i="10"/>
  <c r="A11838" i="10"/>
  <c r="E11837" i="10"/>
  <c r="D11837" i="10"/>
  <c r="C11837" i="10"/>
  <c r="B11837" i="10"/>
  <c r="A11837" i="10"/>
  <c r="E11836" i="10"/>
  <c r="D11836" i="10"/>
  <c r="C11836" i="10"/>
  <c r="B11836" i="10"/>
  <c r="A11836" i="10"/>
  <c r="E11835" i="10"/>
  <c r="D11835" i="10"/>
  <c r="C11835" i="10"/>
  <c r="B11835" i="10"/>
  <c r="A11835" i="10"/>
  <c r="E11834" i="10"/>
  <c r="D11834" i="10"/>
  <c r="C11834" i="10"/>
  <c r="B11834" i="10"/>
  <c r="A11834" i="10"/>
  <c r="E11833" i="10"/>
  <c r="D11833" i="10"/>
  <c r="C11833" i="10"/>
  <c r="B11833" i="10"/>
  <c r="A11833" i="10"/>
  <c r="E11832" i="10"/>
  <c r="D11832" i="10"/>
  <c r="C11832" i="10"/>
  <c r="B11832" i="10"/>
  <c r="A11832" i="10"/>
  <c r="E11831" i="10"/>
  <c r="D11831" i="10"/>
  <c r="C11831" i="10"/>
  <c r="B11831" i="10"/>
  <c r="A11831" i="10"/>
  <c r="E11830" i="10"/>
  <c r="D11830" i="10"/>
  <c r="C11830" i="10"/>
  <c r="B11830" i="10"/>
  <c r="A11830" i="10"/>
  <c r="E11829" i="10"/>
  <c r="D11829" i="10"/>
  <c r="C11829" i="10"/>
  <c r="B11829" i="10"/>
  <c r="A11829" i="10"/>
  <c r="E11828" i="10"/>
  <c r="D11828" i="10"/>
  <c r="C11828" i="10"/>
  <c r="B11828" i="10"/>
  <c r="A11828" i="10"/>
  <c r="E11827" i="10"/>
  <c r="D11827" i="10"/>
  <c r="C11827" i="10"/>
  <c r="B11827" i="10"/>
  <c r="A11827" i="10"/>
  <c r="E11826" i="10"/>
  <c r="D11826" i="10"/>
  <c r="C11826" i="10"/>
  <c r="B11826" i="10"/>
  <c r="A11826" i="10"/>
  <c r="E11825" i="10"/>
  <c r="D11825" i="10"/>
  <c r="C11825" i="10"/>
  <c r="B11825" i="10"/>
  <c r="A11825" i="10"/>
  <c r="E11824" i="10"/>
  <c r="D11824" i="10"/>
  <c r="C11824" i="10"/>
  <c r="B11824" i="10"/>
  <c r="A11824" i="10"/>
  <c r="E11823" i="10"/>
  <c r="D11823" i="10"/>
  <c r="C11823" i="10"/>
  <c r="B11823" i="10"/>
  <c r="A11823" i="10"/>
  <c r="E11822" i="10"/>
  <c r="D11822" i="10"/>
  <c r="C11822" i="10"/>
  <c r="B11822" i="10"/>
  <c r="A11822" i="10"/>
  <c r="E11821" i="10"/>
  <c r="D11821" i="10"/>
  <c r="C11821" i="10"/>
  <c r="B11821" i="10"/>
  <c r="A11821" i="10"/>
  <c r="E11820" i="10"/>
  <c r="D11820" i="10"/>
  <c r="C11820" i="10"/>
  <c r="B11820" i="10"/>
  <c r="A11820" i="10"/>
  <c r="E11819" i="10"/>
  <c r="D11819" i="10"/>
  <c r="C11819" i="10"/>
  <c r="B11819" i="10"/>
  <c r="A11819" i="10"/>
  <c r="E11818" i="10"/>
  <c r="D11818" i="10"/>
  <c r="C11818" i="10"/>
  <c r="B11818" i="10"/>
  <c r="A11818" i="10"/>
  <c r="E11817" i="10"/>
  <c r="D11817" i="10"/>
  <c r="C11817" i="10"/>
  <c r="B11817" i="10"/>
  <c r="A11817" i="10"/>
  <c r="E11816" i="10"/>
  <c r="D11816" i="10"/>
  <c r="C11816" i="10"/>
  <c r="B11816" i="10"/>
  <c r="A11816" i="10"/>
  <c r="E11815" i="10"/>
  <c r="D11815" i="10"/>
  <c r="C11815" i="10"/>
  <c r="B11815" i="10"/>
  <c r="A11815" i="10"/>
  <c r="E11814" i="10"/>
  <c r="D11814" i="10"/>
  <c r="C11814" i="10"/>
  <c r="B11814" i="10"/>
  <c r="A11814" i="10"/>
  <c r="E11813" i="10"/>
  <c r="D11813" i="10"/>
  <c r="C11813" i="10"/>
  <c r="B11813" i="10"/>
  <c r="A11813" i="10"/>
  <c r="E11812" i="10"/>
  <c r="D11812" i="10"/>
  <c r="C11812" i="10"/>
  <c r="B11812" i="10"/>
  <c r="A11812" i="10"/>
  <c r="E11811" i="10"/>
  <c r="D11811" i="10"/>
  <c r="C11811" i="10"/>
  <c r="B11811" i="10"/>
  <c r="A11811" i="10"/>
  <c r="E11810" i="10"/>
  <c r="D11810" i="10"/>
  <c r="C11810" i="10"/>
  <c r="B11810" i="10"/>
  <c r="A11810" i="10"/>
  <c r="E11809" i="10"/>
  <c r="D11809" i="10"/>
  <c r="C11809" i="10"/>
  <c r="B11809" i="10"/>
  <c r="A11809" i="10"/>
  <c r="E11808" i="10"/>
  <c r="D11808" i="10"/>
  <c r="C11808" i="10"/>
  <c r="B11808" i="10"/>
  <c r="A11808" i="10"/>
  <c r="E11807" i="10"/>
  <c r="D11807" i="10"/>
  <c r="C11807" i="10"/>
  <c r="B11807" i="10"/>
  <c r="A11807" i="10"/>
  <c r="E11806" i="10"/>
  <c r="D11806" i="10"/>
  <c r="C11806" i="10"/>
  <c r="B11806" i="10"/>
  <c r="A11806" i="10"/>
  <c r="E11805" i="10"/>
  <c r="D11805" i="10"/>
  <c r="C11805" i="10"/>
  <c r="B11805" i="10"/>
  <c r="A11805" i="10"/>
  <c r="E11804" i="10"/>
  <c r="D11804" i="10"/>
  <c r="C11804" i="10"/>
  <c r="B11804" i="10"/>
  <c r="A11804" i="10"/>
  <c r="E11803" i="10"/>
  <c r="D11803" i="10"/>
  <c r="C11803" i="10"/>
  <c r="B11803" i="10"/>
  <c r="A11803" i="10"/>
  <c r="E11802" i="10"/>
  <c r="D11802" i="10"/>
  <c r="C11802" i="10"/>
  <c r="B11802" i="10"/>
  <c r="A11802" i="10"/>
  <c r="E11801" i="10"/>
  <c r="D11801" i="10"/>
  <c r="C11801" i="10"/>
  <c r="B11801" i="10"/>
  <c r="A11801" i="10"/>
  <c r="E11800" i="10"/>
  <c r="D11800" i="10"/>
  <c r="C11800" i="10"/>
  <c r="B11800" i="10"/>
  <c r="A11800" i="10"/>
  <c r="E11799" i="10"/>
  <c r="D11799" i="10"/>
  <c r="C11799" i="10"/>
  <c r="B11799" i="10"/>
  <c r="A11799" i="10"/>
  <c r="E11798" i="10"/>
  <c r="D11798" i="10"/>
  <c r="C11798" i="10"/>
  <c r="B11798" i="10"/>
  <c r="A11798" i="10"/>
  <c r="E11797" i="10"/>
  <c r="D11797" i="10"/>
  <c r="C11797" i="10"/>
  <c r="B11797" i="10"/>
  <c r="A11797" i="10"/>
  <c r="E11796" i="10"/>
  <c r="D11796" i="10"/>
  <c r="C11796" i="10"/>
  <c r="B11796" i="10"/>
  <c r="A11796" i="10"/>
  <c r="E11795" i="10"/>
  <c r="D11795" i="10"/>
  <c r="C11795" i="10"/>
  <c r="B11795" i="10"/>
  <c r="A11795" i="10"/>
  <c r="E11794" i="10"/>
  <c r="D11794" i="10"/>
  <c r="C11794" i="10"/>
  <c r="B11794" i="10"/>
  <c r="A11794" i="10"/>
  <c r="E11793" i="10"/>
  <c r="D11793" i="10"/>
  <c r="C11793" i="10"/>
  <c r="B11793" i="10"/>
  <c r="A11793" i="10"/>
  <c r="E11792" i="10"/>
  <c r="D11792" i="10"/>
  <c r="C11792" i="10"/>
  <c r="B11792" i="10"/>
  <c r="A11792" i="10"/>
  <c r="E11791" i="10"/>
  <c r="D11791" i="10"/>
  <c r="C11791" i="10"/>
  <c r="B11791" i="10"/>
  <c r="A11791" i="10"/>
  <c r="E11790" i="10"/>
  <c r="D11790" i="10"/>
  <c r="C11790" i="10"/>
  <c r="B11790" i="10"/>
  <c r="A11790" i="10"/>
  <c r="E11789" i="10"/>
  <c r="D11789" i="10"/>
  <c r="C11789" i="10"/>
  <c r="B11789" i="10"/>
  <c r="A11789" i="10"/>
  <c r="E11788" i="10"/>
  <c r="D11788" i="10"/>
  <c r="C11788" i="10"/>
  <c r="B11788" i="10"/>
  <c r="A11788" i="10"/>
  <c r="E11787" i="10"/>
  <c r="D11787" i="10"/>
  <c r="C11787" i="10"/>
  <c r="B11787" i="10"/>
  <c r="A11787" i="10"/>
  <c r="E11786" i="10"/>
  <c r="D11786" i="10"/>
  <c r="C11786" i="10"/>
  <c r="B11786" i="10"/>
  <c r="A11786" i="10"/>
  <c r="E11785" i="10"/>
  <c r="D11785" i="10"/>
  <c r="C11785" i="10"/>
  <c r="B11785" i="10"/>
  <c r="A11785" i="10"/>
  <c r="E11784" i="10"/>
  <c r="D11784" i="10"/>
  <c r="C11784" i="10"/>
  <c r="B11784" i="10"/>
  <c r="A11784" i="10"/>
  <c r="E11783" i="10"/>
  <c r="D11783" i="10"/>
  <c r="C11783" i="10"/>
  <c r="B11783" i="10"/>
  <c r="A11783" i="10"/>
  <c r="E11782" i="10"/>
  <c r="D11782" i="10"/>
  <c r="C11782" i="10"/>
  <c r="B11782" i="10"/>
  <c r="A11782" i="10"/>
  <c r="E11781" i="10"/>
  <c r="D11781" i="10"/>
  <c r="C11781" i="10"/>
  <c r="B11781" i="10"/>
  <c r="A11781" i="10"/>
  <c r="E11780" i="10"/>
  <c r="D11780" i="10"/>
  <c r="C11780" i="10"/>
  <c r="B11780" i="10"/>
  <c r="A11780" i="10"/>
  <c r="E11779" i="10"/>
  <c r="D11779" i="10"/>
  <c r="C11779" i="10"/>
  <c r="B11779" i="10"/>
  <c r="A11779" i="10"/>
  <c r="E11778" i="10"/>
  <c r="D11778" i="10"/>
  <c r="C11778" i="10"/>
  <c r="B11778" i="10"/>
  <c r="A11778" i="10"/>
  <c r="E11777" i="10"/>
  <c r="D11777" i="10"/>
  <c r="C11777" i="10"/>
  <c r="B11777" i="10"/>
  <c r="A11777" i="10"/>
  <c r="E11776" i="10"/>
  <c r="D11776" i="10"/>
  <c r="C11776" i="10"/>
  <c r="B11776" i="10"/>
  <c r="A11776" i="10"/>
  <c r="E11775" i="10"/>
  <c r="D11775" i="10"/>
  <c r="C11775" i="10"/>
  <c r="B11775" i="10"/>
  <c r="A11775" i="10"/>
  <c r="E11774" i="10"/>
  <c r="D11774" i="10"/>
  <c r="C11774" i="10"/>
  <c r="B11774" i="10"/>
  <c r="A11774" i="10"/>
  <c r="E11773" i="10"/>
  <c r="D11773" i="10"/>
  <c r="C11773" i="10"/>
  <c r="B11773" i="10"/>
  <c r="A11773" i="10"/>
  <c r="E11772" i="10"/>
  <c r="D11772" i="10"/>
  <c r="C11772" i="10"/>
  <c r="B11772" i="10"/>
  <c r="A11772" i="10"/>
  <c r="E11771" i="10"/>
  <c r="D11771" i="10"/>
  <c r="C11771" i="10"/>
  <c r="B11771" i="10"/>
  <c r="A11771" i="10"/>
  <c r="E11770" i="10"/>
  <c r="D11770" i="10"/>
  <c r="C11770" i="10"/>
  <c r="B11770" i="10"/>
  <c r="A11770" i="10"/>
  <c r="E11769" i="10"/>
  <c r="D11769" i="10"/>
  <c r="C11769" i="10"/>
  <c r="B11769" i="10"/>
  <c r="A11769" i="10"/>
  <c r="E11768" i="10"/>
  <c r="D11768" i="10"/>
  <c r="C11768" i="10"/>
  <c r="B11768" i="10"/>
  <c r="A11768" i="10"/>
  <c r="E11767" i="10"/>
  <c r="D11767" i="10"/>
  <c r="C11767" i="10"/>
  <c r="B11767" i="10"/>
  <c r="A11767" i="10"/>
  <c r="E11766" i="10"/>
  <c r="D11766" i="10"/>
  <c r="C11766" i="10"/>
  <c r="B11766" i="10"/>
  <c r="A11766" i="10"/>
  <c r="E11765" i="10"/>
  <c r="D11765" i="10"/>
  <c r="C11765" i="10"/>
  <c r="B11765" i="10"/>
  <c r="A11765" i="10"/>
  <c r="E11764" i="10"/>
  <c r="D11764" i="10"/>
  <c r="C11764" i="10"/>
  <c r="B11764" i="10"/>
  <c r="A11764" i="10"/>
  <c r="E11763" i="10"/>
  <c r="D11763" i="10"/>
  <c r="C11763" i="10"/>
  <c r="B11763" i="10"/>
  <c r="A11763" i="10"/>
  <c r="E11762" i="10"/>
  <c r="D11762" i="10"/>
  <c r="C11762" i="10"/>
  <c r="B11762" i="10"/>
  <c r="A11762" i="10"/>
  <c r="E11761" i="10"/>
  <c r="D11761" i="10"/>
  <c r="C11761" i="10"/>
  <c r="B11761" i="10"/>
  <c r="A11761" i="10"/>
  <c r="E11760" i="10"/>
  <c r="D11760" i="10"/>
  <c r="C11760" i="10"/>
  <c r="B11760" i="10"/>
  <c r="A11760" i="10"/>
  <c r="E11759" i="10"/>
  <c r="D11759" i="10"/>
  <c r="C11759" i="10"/>
  <c r="B11759" i="10"/>
  <c r="A11759" i="10"/>
  <c r="E11758" i="10"/>
  <c r="D11758" i="10"/>
  <c r="C11758" i="10"/>
  <c r="B11758" i="10"/>
  <c r="A11758" i="10"/>
  <c r="E11757" i="10"/>
  <c r="D11757" i="10"/>
  <c r="C11757" i="10"/>
  <c r="B11757" i="10"/>
  <c r="A11757" i="10"/>
  <c r="E11756" i="10"/>
  <c r="D11756" i="10"/>
  <c r="C11756" i="10"/>
  <c r="B11756" i="10"/>
  <c r="A11756" i="10"/>
  <c r="E11755" i="10"/>
  <c r="D11755" i="10"/>
  <c r="C11755" i="10"/>
  <c r="B11755" i="10"/>
  <c r="A11755" i="10"/>
  <c r="E11754" i="10"/>
  <c r="D11754" i="10"/>
  <c r="C11754" i="10"/>
  <c r="B11754" i="10"/>
  <c r="A11754" i="10"/>
  <c r="E11753" i="10"/>
  <c r="D11753" i="10"/>
  <c r="C11753" i="10"/>
  <c r="B11753" i="10"/>
  <c r="A11753" i="10"/>
  <c r="E11752" i="10"/>
  <c r="D11752" i="10"/>
  <c r="C11752" i="10"/>
  <c r="B11752" i="10"/>
  <c r="A11752" i="10"/>
  <c r="E11751" i="10"/>
  <c r="D11751" i="10"/>
  <c r="C11751" i="10"/>
  <c r="B11751" i="10"/>
  <c r="A11751" i="10"/>
  <c r="E11750" i="10"/>
  <c r="D11750" i="10"/>
  <c r="C11750" i="10"/>
  <c r="B11750" i="10"/>
  <c r="A11750" i="10"/>
  <c r="E11749" i="10"/>
  <c r="D11749" i="10"/>
  <c r="C11749" i="10"/>
  <c r="B11749" i="10"/>
  <c r="A11749" i="10"/>
  <c r="E11748" i="10"/>
  <c r="D11748" i="10"/>
  <c r="C11748" i="10"/>
  <c r="B11748" i="10"/>
  <c r="A11748" i="10"/>
  <c r="E11747" i="10"/>
  <c r="D11747" i="10"/>
  <c r="C11747" i="10"/>
  <c r="B11747" i="10"/>
  <c r="A11747" i="10"/>
  <c r="E11746" i="10"/>
  <c r="D11746" i="10"/>
  <c r="C11746" i="10"/>
  <c r="B11746" i="10"/>
  <c r="A11746" i="10"/>
  <c r="E11745" i="10"/>
  <c r="D11745" i="10"/>
  <c r="C11745" i="10"/>
  <c r="B11745" i="10"/>
  <c r="A11745" i="10"/>
  <c r="E11744" i="10"/>
  <c r="D11744" i="10"/>
  <c r="C11744" i="10"/>
  <c r="B11744" i="10"/>
  <c r="A11744" i="10"/>
  <c r="E11743" i="10"/>
  <c r="D11743" i="10"/>
  <c r="C11743" i="10"/>
  <c r="B11743" i="10"/>
  <c r="A11743" i="10"/>
  <c r="E11742" i="10"/>
  <c r="D11742" i="10"/>
  <c r="C11742" i="10"/>
  <c r="B11742" i="10"/>
  <c r="A11742" i="10"/>
  <c r="E11741" i="10"/>
  <c r="D11741" i="10"/>
  <c r="C11741" i="10"/>
  <c r="B11741" i="10"/>
  <c r="A11741" i="10"/>
  <c r="E11740" i="10"/>
  <c r="D11740" i="10"/>
  <c r="C11740" i="10"/>
  <c r="B11740" i="10"/>
  <c r="A11740" i="10"/>
  <c r="E11739" i="10"/>
  <c r="D11739" i="10"/>
  <c r="C11739" i="10"/>
  <c r="B11739" i="10"/>
  <c r="A11739" i="10"/>
  <c r="E11738" i="10"/>
  <c r="D11738" i="10"/>
  <c r="C11738" i="10"/>
  <c r="B11738" i="10"/>
  <c r="A11738" i="10"/>
  <c r="E11737" i="10"/>
  <c r="D11737" i="10"/>
  <c r="C11737" i="10"/>
  <c r="B11737" i="10"/>
  <c r="A11737" i="10"/>
  <c r="E11736" i="10"/>
  <c r="D11736" i="10"/>
  <c r="C11736" i="10"/>
  <c r="B11736" i="10"/>
  <c r="A11736" i="10"/>
  <c r="E11735" i="10"/>
  <c r="D11735" i="10"/>
  <c r="C11735" i="10"/>
  <c r="B11735" i="10"/>
  <c r="A11735" i="10"/>
  <c r="E11734" i="10"/>
  <c r="D11734" i="10"/>
  <c r="C11734" i="10"/>
  <c r="B11734" i="10"/>
  <c r="A11734" i="10"/>
  <c r="E11733" i="10"/>
  <c r="D11733" i="10"/>
  <c r="C11733" i="10"/>
  <c r="B11733" i="10"/>
  <c r="A11733" i="10"/>
  <c r="E11732" i="10"/>
  <c r="D11732" i="10"/>
  <c r="C11732" i="10"/>
  <c r="B11732" i="10"/>
  <c r="A11732" i="10"/>
  <c r="E11731" i="10"/>
  <c r="D11731" i="10"/>
  <c r="C11731" i="10"/>
  <c r="B11731" i="10"/>
  <c r="A11731" i="10"/>
  <c r="E11730" i="10"/>
  <c r="D11730" i="10"/>
  <c r="C11730" i="10"/>
  <c r="B11730" i="10"/>
  <c r="A11730" i="10"/>
  <c r="E11729" i="10"/>
  <c r="D11729" i="10"/>
  <c r="C11729" i="10"/>
  <c r="B11729" i="10"/>
  <c r="A11729" i="10"/>
  <c r="E11728" i="10"/>
  <c r="D11728" i="10"/>
  <c r="C11728" i="10"/>
  <c r="B11728" i="10"/>
  <c r="A11728" i="10"/>
  <c r="E11727" i="10"/>
  <c r="D11727" i="10"/>
  <c r="C11727" i="10"/>
  <c r="B11727" i="10"/>
  <c r="A11727" i="10"/>
  <c r="E11726" i="10"/>
  <c r="D11726" i="10"/>
  <c r="C11726" i="10"/>
  <c r="B11726" i="10"/>
  <c r="A11726" i="10"/>
  <c r="E11725" i="10"/>
  <c r="D11725" i="10"/>
  <c r="C11725" i="10"/>
  <c r="B11725" i="10"/>
  <c r="A11725" i="10"/>
  <c r="E11724" i="10"/>
  <c r="D11724" i="10"/>
  <c r="C11724" i="10"/>
  <c r="B11724" i="10"/>
  <c r="A11724" i="10"/>
  <c r="E11723" i="10"/>
  <c r="D11723" i="10"/>
  <c r="C11723" i="10"/>
  <c r="B11723" i="10"/>
  <c r="A11723" i="10"/>
  <c r="E11722" i="10"/>
  <c r="D11722" i="10"/>
  <c r="C11722" i="10"/>
  <c r="B11722" i="10"/>
  <c r="A11722" i="10"/>
  <c r="E11721" i="10"/>
  <c r="D11721" i="10"/>
  <c r="C11721" i="10"/>
  <c r="B11721" i="10"/>
  <c r="A11721" i="10"/>
  <c r="E11720" i="10"/>
  <c r="D11720" i="10"/>
  <c r="C11720" i="10"/>
  <c r="B11720" i="10"/>
  <c r="A11720" i="10"/>
  <c r="E11719" i="10"/>
  <c r="D11719" i="10"/>
  <c r="C11719" i="10"/>
  <c r="B11719" i="10"/>
  <c r="A11719" i="10"/>
  <c r="E11718" i="10"/>
  <c r="D11718" i="10"/>
  <c r="C11718" i="10"/>
  <c r="B11718" i="10"/>
  <c r="A11718" i="10"/>
  <c r="E11717" i="10"/>
  <c r="D11717" i="10"/>
  <c r="C11717" i="10"/>
  <c r="B11717" i="10"/>
  <c r="A11717" i="10"/>
  <c r="E11716" i="10"/>
  <c r="D11716" i="10"/>
  <c r="C11716" i="10"/>
  <c r="B11716" i="10"/>
  <c r="A11716" i="10"/>
  <c r="E11715" i="10"/>
  <c r="D11715" i="10"/>
  <c r="C11715" i="10"/>
  <c r="B11715" i="10"/>
  <c r="A11715" i="10"/>
  <c r="E11714" i="10"/>
  <c r="D11714" i="10"/>
  <c r="C11714" i="10"/>
  <c r="B11714" i="10"/>
  <c r="A11714" i="10"/>
  <c r="E11713" i="10"/>
  <c r="D11713" i="10"/>
  <c r="C11713" i="10"/>
  <c r="B11713" i="10"/>
  <c r="A11713" i="10"/>
  <c r="E11712" i="10"/>
  <c r="D11712" i="10"/>
  <c r="C11712" i="10"/>
  <c r="B11712" i="10"/>
  <c r="A11712" i="10"/>
  <c r="E11711" i="10"/>
  <c r="D11711" i="10"/>
  <c r="C11711" i="10"/>
  <c r="B11711" i="10"/>
  <c r="A11711" i="10"/>
  <c r="E11710" i="10"/>
  <c r="D11710" i="10"/>
  <c r="C11710" i="10"/>
  <c r="B11710" i="10"/>
  <c r="A11710" i="10"/>
  <c r="E11709" i="10"/>
  <c r="D11709" i="10"/>
  <c r="C11709" i="10"/>
  <c r="B11709" i="10"/>
  <c r="A11709" i="10"/>
  <c r="E11708" i="10"/>
  <c r="D11708" i="10"/>
  <c r="C11708" i="10"/>
  <c r="B11708" i="10"/>
  <c r="A11708" i="10"/>
  <c r="E11707" i="10"/>
  <c r="D11707" i="10"/>
  <c r="C11707" i="10"/>
  <c r="B11707" i="10"/>
  <c r="A11707" i="10"/>
  <c r="E11706" i="10"/>
  <c r="D11706" i="10"/>
  <c r="C11706" i="10"/>
  <c r="B11706" i="10"/>
  <c r="A11706" i="10"/>
  <c r="E11705" i="10"/>
  <c r="D11705" i="10"/>
  <c r="C11705" i="10"/>
  <c r="B11705" i="10"/>
  <c r="A11705" i="10"/>
  <c r="E11704" i="10"/>
  <c r="D11704" i="10"/>
  <c r="C11704" i="10"/>
  <c r="B11704" i="10"/>
  <c r="A11704" i="10"/>
  <c r="E11703" i="10"/>
  <c r="D11703" i="10"/>
  <c r="C11703" i="10"/>
  <c r="B11703" i="10"/>
  <c r="A11703" i="10"/>
  <c r="E11702" i="10"/>
  <c r="D11702" i="10"/>
  <c r="C11702" i="10"/>
  <c r="B11702" i="10"/>
  <c r="A11702" i="10"/>
  <c r="E11701" i="10"/>
  <c r="D11701" i="10"/>
  <c r="C11701" i="10"/>
  <c r="B11701" i="10"/>
  <c r="A11701" i="10"/>
  <c r="E11700" i="10"/>
  <c r="D11700" i="10"/>
  <c r="C11700" i="10"/>
  <c r="B11700" i="10"/>
  <c r="A11700" i="10"/>
  <c r="E11699" i="10"/>
  <c r="D11699" i="10"/>
  <c r="C11699" i="10"/>
  <c r="B11699" i="10"/>
  <c r="A11699" i="10"/>
  <c r="E11698" i="10"/>
  <c r="D11698" i="10"/>
  <c r="C11698" i="10"/>
  <c r="B11698" i="10"/>
  <c r="A11698" i="10"/>
  <c r="E11697" i="10"/>
  <c r="D11697" i="10"/>
  <c r="C11697" i="10"/>
  <c r="B11697" i="10"/>
  <c r="A11697" i="10"/>
  <c r="E11696" i="10"/>
  <c r="D11696" i="10"/>
  <c r="C11696" i="10"/>
  <c r="B11696" i="10"/>
  <c r="A11696" i="10"/>
  <c r="E11695" i="10"/>
  <c r="D11695" i="10"/>
  <c r="C11695" i="10"/>
  <c r="B11695" i="10"/>
  <c r="A11695" i="10"/>
  <c r="E11694" i="10"/>
  <c r="D11694" i="10"/>
  <c r="C11694" i="10"/>
  <c r="B11694" i="10"/>
  <c r="A11694" i="10"/>
  <c r="E11693" i="10"/>
  <c r="D11693" i="10"/>
  <c r="C11693" i="10"/>
  <c r="B11693" i="10"/>
  <c r="A11693" i="10"/>
  <c r="E11692" i="10"/>
  <c r="D11692" i="10"/>
  <c r="C11692" i="10"/>
  <c r="B11692" i="10"/>
  <c r="A11692" i="10"/>
  <c r="E11691" i="10"/>
  <c r="D11691" i="10"/>
  <c r="C11691" i="10"/>
  <c r="B11691" i="10"/>
  <c r="A11691" i="10"/>
  <c r="E11690" i="10"/>
  <c r="D11690" i="10"/>
  <c r="C11690" i="10"/>
  <c r="B11690" i="10"/>
  <c r="A11690" i="10"/>
  <c r="E11689" i="10"/>
  <c r="D11689" i="10"/>
  <c r="C11689" i="10"/>
  <c r="B11689" i="10"/>
  <c r="A11689" i="10"/>
  <c r="E11688" i="10"/>
  <c r="D11688" i="10"/>
  <c r="C11688" i="10"/>
  <c r="B11688" i="10"/>
  <c r="A11688" i="10"/>
  <c r="E11687" i="10"/>
  <c r="D11687" i="10"/>
  <c r="C11687" i="10"/>
  <c r="B11687" i="10"/>
  <c r="A11687" i="10"/>
  <c r="E11686" i="10"/>
  <c r="D11686" i="10"/>
  <c r="C11686" i="10"/>
  <c r="B11686" i="10"/>
  <c r="A11686" i="10"/>
  <c r="E11685" i="10"/>
  <c r="D11685" i="10"/>
  <c r="C11685" i="10"/>
  <c r="B11685" i="10"/>
  <c r="A11685" i="10"/>
  <c r="E11684" i="10"/>
  <c r="D11684" i="10"/>
  <c r="C11684" i="10"/>
  <c r="B11684" i="10"/>
  <c r="A11684" i="10"/>
  <c r="E11683" i="10"/>
  <c r="D11683" i="10"/>
  <c r="C11683" i="10"/>
  <c r="B11683" i="10"/>
  <c r="A11683" i="10"/>
  <c r="E11682" i="10"/>
  <c r="D11682" i="10"/>
  <c r="C11682" i="10"/>
  <c r="B11682" i="10"/>
  <c r="A11682" i="10"/>
  <c r="E11681" i="10"/>
  <c r="D11681" i="10"/>
  <c r="C11681" i="10"/>
  <c r="B11681" i="10"/>
  <c r="A11681" i="10"/>
  <c r="E11680" i="10"/>
  <c r="D11680" i="10"/>
  <c r="C11680" i="10"/>
  <c r="B11680" i="10"/>
  <c r="A11680" i="10"/>
  <c r="E11679" i="10"/>
  <c r="D11679" i="10"/>
  <c r="C11679" i="10"/>
  <c r="B11679" i="10"/>
  <c r="A11679" i="10"/>
  <c r="E11678" i="10"/>
  <c r="D11678" i="10"/>
  <c r="C11678" i="10"/>
  <c r="B11678" i="10"/>
  <c r="A11678" i="10"/>
  <c r="E11677" i="10"/>
  <c r="D11677" i="10"/>
  <c r="C11677" i="10"/>
  <c r="B11677" i="10"/>
  <c r="A11677" i="10"/>
  <c r="E11676" i="10"/>
  <c r="D11676" i="10"/>
  <c r="C11676" i="10"/>
  <c r="B11676" i="10"/>
  <c r="A11676" i="10"/>
  <c r="E11675" i="10"/>
  <c r="D11675" i="10"/>
  <c r="C11675" i="10"/>
  <c r="B11675" i="10"/>
  <c r="A11675" i="10"/>
  <c r="E11674" i="10"/>
  <c r="D11674" i="10"/>
  <c r="C11674" i="10"/>
  <c r="B11674" i="10"/>
  <c r="A11674" i="10"/>
  <c r="E11673" i="10"/>
  <c r="D11673" i="10"/>
  <c r="C11673" i="10"/>
  <c r="B11673" i="10"/>
  <c r="A11673" i="10"/>
  <c r="E11672" i="10"/>
  <c r="D11672" i="10"/>
  <c r="C11672" i="10"/>
  <c r="B11672" i="10"/>
  <c r="A11672" i="10"/>
  <c r="E11671" i="10"/>
  <c r="D11671" i="10"/>
  <c r="C11671" i="10"/>
  <c r="B11671" i="10"/>
  <c r="A11671" i="10"/>
  <c r="E11670" i="10"/>
  <c r="D11670" i="10"/>
  <c r="C11670" i="10"/>
  <c r="B11670" i="10"/>
  <c r="A11670" i="10"/>
  <c r="E11669" i="10"/>
  <c r="D11669" i="10"/>
  <c r="C11669" i="10"/>
  <c r="B11669" i="10"/>
  <c r="A11669" i="10"/>
  <c r="E11668" i="10"/>
  <c r="D11668" i="10"/>
  <c r="C11668" i="10"/>
  <c r="B11668" i="10"/>
  <c r="A11668" i="10"/>
  <c r="E11667" i="10"/>
  <c r="D11667" i="10"/>
  <c r="C11667" i="10"/>
  <c r="B11667" i="10"/>
  <c r="A11667" i="10"/>
  <c r="E11666" i="10"/>
  <c r="D11666" i="10"/>
  <c r="C11666" i="10"/>
  <c r="B11666" i="10"/>
  <c r="A11666" i="10"/>
  <c r="E11665" i="10"/>
  <c r="D11665" i="10"/>
  <c r="C11665" i="10"/>
  <c r="B11665" i="10"/>
  <c r="A11665" i="10"/>
  <c r="E11664" i="10"/>
  <c r="D11664" i="10"/>
  <c r="C11664" i="10"/>
  <c r="B11664" i="10"/>
  <c r="A11664" i="10"/>
  <c r="E11663" i="10"/>
  <c r="D11663" i="10"/>
  <c r="C11663" i="10"/>
  <c r="B11663" i="10"/>
  <c r="A11663" i="10"/>
  <c r="E11662" i="10"/>
  <c r="D11662" i="10"/>
  <c r="C11662" i="10"/>
  <c r="B11662" i="10"/>
  <c r="A11662" i="10"/>
  <c r="E11661" i="10"/>
  <c r="D11661" i="10"/>
  <c r="C11661" i="10"/>
  <c r="B11661" i="10"/>
  <c r="A11661" i="10"/>
  <c r="E11660" i="10"/>
  <c r="D11660" i="10"/>
  <c r="C11660" i="10"/>
  <c r="B11660" i="10"/>
  <c r="A11660" i="10"/>
  <c r="E11659" i="10"/>
  <c r="D11659" i="10"/>
  <c r="C11659" i="10"/>
  <c r="B11659" i="10"/>
  <c r="A11659" i="10"/>
  <c r="E11658" i="10"/>
  <c r="D11658" i="10"/>
  <c r="C11658" i="10"/>
  <c r="B11658" i="10"/>
  <c r="A11658" i="10"/>
  <c r="E11657" i="10"/>
  <c r="D11657" i="10"/>
  <c r="C11657" i="10"/>
  <c r="B11657" i="10"/>
  <c r="A11657" i="10"/>
  <c r="E11656" i="10"/>
  <c r="D11656" i="10"/>
  <c r="C11656" i="10"/>
  <c r="B11656" i="10"/>
  <c r="A11656" i="10"/>
  <c r="E11655" i="10"/>
  <c r="D11655" i="10"/>
  <c r="C11655" i="10"/>
  <c r="B11655" i="10"/>
  <c r="A11655" i="10"/>
  <c r="E11654" i="10"/>
  <c r="D11654" i="10"/>
  <c r="C11654" i="10"/>
  <c r="B11654" i="10"/>
  <c r="A11654" i="10"/>
  <c r="E11653" i="10"/>
  <c r="D11653" i="10"/>
  <c r="C11653" i="10"/>
  <c r="B11653" i="10"/>
  <c r="A11653" i="10"/>
  <c r="E11652" i="10"/>
  <c r="D11652" i="10"/>
  <c r="C11652" i="10"/>
  <c r="B11652" i="10"/>
  <c r="A11652" i="10"/>
  <c r="E11651" i="10"/>
  <c r="D11651" i="10"/>
  <c r="C11651" i="10"/>
  <c r="B11651" i="10"/>
  <c r="A11651" i="10"/>
  <c r="E11650" i="10"/>
  <c r="D11650" i="10"/>
  <c r="C11650" i="10"/>
  <c r="B11650" i="10"/>
  <c r="A11650" i="10"/>
  <c r="E11649" i="10"/>
  <c r="D11649" i="10"/>
  <c r="C11649" i="10"/>
  <c r="B11649" i="10"/>
  <c r="A11649" i="10"/>
  <c r="E11648" i="10"/>
  <c r="D11648" i="10"/>
  <c r="C11648" i="10"/>
  <c r="B11648" i="10"/>
  <c r="A11648" i="10"/>
  <c r="E11647" i="10"/>
  <c r="D11647" i="10"/>
  <c r="C11647" i="10"/>
  <c r="B11647" i="10"/>
  <c r="A11647" i="10"/>
  <c r="E11646" i="10"/>
  <c r="D11646" i="10"/>
  <c r="C11646" i="10"/>
  <c r="B11646" i="10"/>
  <c r="A11646" i="10"/>
  <c r="E11645" i="10"/>
  <c r="D11645" i="10"/>
  <c r="C11645" i="10"/>
  <c r="B11645" i="10"/>
  <c r="A11645" i="10"/>
  <c r="E11644" i="10"/>
  <c r="D11644" i="10"/>
  <c r="C11644" i="10"/>
  <c r="B11644" i="10"/>
  <c r="A11644" i="10"/>
  <c r="E11643" i="10"/>
  <c r="D11643" i="10"/>
  <c r="C11643" i="10"/>
  <c r="B11643" i="10"/>
  <c r="A11643" i="10"/>
  <c r="E11642" i="10"/>
  <c r="D11642" i="10"/>
  <c r="C11642" i="10"/>
  <c r="B11642" i="10"/>
  <c r="A11642" i="10"/>
  <c r="E11641" i="10"/>
  <c r="D11641" i="10"/>
  <c r="C11641" i="10"/>
  <c r="B11641" i="10"/>
  <c r="A11641" i="10"/>
  <c r="E11640" i="10"/>
  <c r="D11640" i="10"/>
  <c r="C11640" i="10"/>
  <c r="B11640" i="10"/>
  <c r="A11640" i="10"/>
  <c r="E11639" i="10"/>
  <c r="D11639" i="10"/>
  <c r="C11639" i="10"/>
  <c r="B11639" i="10"/>
  <c r="A11639" i="10"/>
  <c r="E11638" i="10"/>
  <c r="D11638" i="10"/>
  <c r="C11638" i="10"/>
  <c r="B11638" i="10"/>
  <c r="A11638" i="10"/>
  <c r="E11637" i="10"/>
  <c r="D11637" i="10"/>
  <c r="C11637" i="10"/>
  <c r="B11637" i="10"/>
  <c r="A11637" i="10"/>
  <c r="E11636" i="10"/>
  <c r="D11636" i="10"/>
  <c r="C11636" i="10"/>
  <c r="B11636" i="10"/>
  <c r="A11636" i="10"/>
  <c r="E11635" i="10"/>
  <c r="D11635" i="10"/>
  <c r="C11635" i="10"/>
  <c r="B11635" i="10"/>
  <c r="A11635" i="10"/>
  <c r="E11634" i="10"/>
  <c r="D11634" i="10"/>
  <c r="C11634" i="10"/>
  <c r="B11634" i="10"/>
  <c r="A11634" i="10"/>
  <c r="E11633" i="10"/>
  <c r="D11633" i="10"/>
  <c r="C11633" i="10"/>
  <c r="B11633" i="10"/>
  <c r="A11633" i="10"/>
  <c r="E11632" i="10"/>
  <c r="D11632" i="10"/>
  <c r="C11632" i="10"/>
  <c r="B11632" i="10"/>
  <c r="A11632" i="10"/>
  <c r="E11631" i="10"/>
  <c r="D11631" i="10"/>
  <c r="C11631" i="10"/>
  <c r="B11631" i="10"/>
  <c r="A11631" i="10"/>
  <c r="E11630" i="10"/>
  <c r="D11630" i="10"/>
  <c r="C11630" i="10"/>
  <c r="B11630" i="10"/>
  <c r="A11630" i="10"/>
  <c r="E11629" i="10"/>
  <c r="D11629" i="10"/>
  <c r="C11629" i="10"/>
  <c r="B11629" i="10"/>
  <c r="A11629" i="10"/>
  <c r="E11628" i="10"/>
  <c r="D11628" i="10"/>
  <c r="C11628" i="10"/>
  <c r="B11628" i="10"/>
  <c r="A11628" i="10"/>
  <c r="E11627" i="10"/>
  <c r="D11627" i="10"/>
  <c r="C11627" i="10"/>
  <c r="B11627" i="10"/>
  <c r="A11627" i="10"/>
  <c r="E11626" i="10"/>
  <c r="D11626" i="10"/>
  <c r="C11626" i="10"/>
  <c r="B11626" i="10"/>
  <c r="A11626" i="10"/>
  <c r="E11625" i="10"/>
  <c r="D11625" i="10"/>
  <c r="C11625" i="10"/>
  <c r="B11625" i="10"/>
  <c r="A11625" i="10"/>
  <c r="E11624" i="10"/>
  <c r="D11624" i="10"/>
  <c r="C11624" i="10"/>
  <c r="B11624" i="10"/>
  <c r="A11624" i="10"/>
  <c r="E11623" i="10"/>
  <c r="D11623" i="10"/>
  <c r="C11623" i="10"/>
  <c r="B11623" i="10"/>
  <c r="A11623" i="10"/>
  <c r="E11622" i="10"/>
  <c r="D11622" i="10"/>
  <c r="C11622" i="10"/>
  <c r="B11622" i="10"/>
  <c r="A11622" i="10"/>
  <c r="E11621" i="10"/>
  <c r="D11621" i="10"/>
  <c r="C11621" i="10"/>
  <c r="B11621" i="10"/>
  <c r="A11621" i="10"/>
  <c r="E11620" i="10"/>
  <c r="D11620" i="10"/>
  <c r="C11620" i="10"/>
  <c r="B11620" i="10"/>
  <c r="A11620" i="10"/>
  <c r="E11619" i="10"/>
  <c r="D11619" i="10"/>
  <c r="C11619" i="10"/>
  <c r="B11619" i="10"/>
  <c r="A11619" i="10"/>
  <c r="E11618" i="10"/>
  <c r="D11618" i="10"/>
  <c r="C11618" i="10"/>
  <c r="B11618" i="10"/>
  <c r="A11618" i="10"/>
  <c r="E11617" i="10"/>
  <c r="D11617" i="10"/>
  <c r="C11617" i="10"/>
  <c r="B11617" i="10"/>
  <c r="A11617" i="10"/>
  <c r="E11616" i="10"/>
  <c r="D11616" i="10"/>
  <c r="C11616" i="10"/>
  <c r="B11616" i="10"/>
  <c r="A11616" i="10"/>
  <c r="E11615" i="10"/>
  <c r="D11615" i="10"/>
  <c r="C11615" i="10"/>
  <c r="B11615" i="10"/>
  <c r="A11615" i="10"/>
  <c r="E11614" i="10"/>
  <c r="D11614" i="10"/>
  <c r="C11614" i="10"/>
  <c r="B11614" i="10"/>
  <c r="A11614" i="10"/>
  <c r="E11613" i="10"/>
  <c r="D11613" i="10"/>
  <c r="C11613" i="10"/>
  <c r="B11613" i="10"/>
  <c r="A11613" i="10"/>
  <c r="E11612" i="10"/>
  <c r="D11612" i="10"/>
  <c r="C11612" i="10"/>
  <c r="B11612" i="10"/>
  <c r="A11612" i="10"/>
  <c r="E11611" i="10"/>
  <c r="D11611" i="10"/>
  <c r="C11611" i="10"/>
  <c r="B11611" i="10"/>
  <c r="A11611" i="10"/>
  <c r="E11610" i="10"/>
  <c r="D11610" i="10"/>
  <c r="C11610" i="10"/>
  <c r="B11610" i="10"/>
  <c r="A11610" i="10"/>
  <c r="E11609" i="10"/>
  <c r="D11609" i="10"/>
  <c r="C11609" i="10"/>
  <c r="B11609" i="10"/>
  <c r="A11609" i="10"/>
  <c r="E11608" i="10"/>
  <c r="D11608" i="10"/>
  <c r="C11608" i="10"/>
  <c r="B11608" i="10"/>
  <c r="A11608" i="10"/>
  <c r="E11607" i="10"/>
  <c r="D11607" i="10"/>
  <c r="C11607" i="10"/>
  <c r="B11607" i="10"/>
  <c r="A11607" i="10"/>
  <c r="E11606" i="10"/>
  <c r="D11606" i="10"/>
  <c r="C11606" i="10"/>
  <c r="B11606" i="10"/>
  <c r="A11606" i="10"/>
  <c r="E11605" i="10"/>
  <c r="D11605" i="10"/>
  <c r="C11605" i="10"/>
  <c r="B11605" i="10"/>
  <c r="A11605" i="10"/>
  <c r="E11604" i="10"/>
  <c r="D11604" i="10"/>
  <c r="C11604" i="10"/>
  <c r="B11604" i="10"/>
  <c r="A11604" i="10"/>
  <c r="E11603" i="10"/>
  <c r="D11603" i="10"/>
  <c r="C11603" i="10"/>
  <c r="B11603" i="10"/>
  <c r="A11603" i="10"/>
  <c r="E11602" i="10"/>
  <c r="D11602" i="10"/>
  <c r="C11602" i="10"/>
  <c r="B11602" i="10"/>
  <c r="A11602" i="10"/>
  <c r="E11601" i="10"/>
  <c r="D11601" i="10"/>
  <c r="C11601" i="10"/>
  <c r="B11601" i="10"/>
  <c r="A11601" i="10"/>
  <c r="E11600" i="10"/>
  <c r="D11600" i="10"/>
  <c r="C11600" i="10"/>
  <c r="B11600" i="10"/>
  <c r="A11600" i="10"/>
  <c r="E11599" i="10"/>
  <c r="D11599" i="10"/>
  <c r="C11599" i="10"/>
  <c r="B11599" i="10"/>
  <c r="A11599" i="10"/>
  <c r="E11598" i="10"/>
  <c r="D11598" i="10"/>
  <c r="C11598" i="10"/>
  <c r="B11598" i="10"/>
  <c r="A11598" i="10"/>
  <c r="E11597" i="10"/>
  <c r="D11597" i="10"/>
  <c r="C11597" i="10"/>
  <c r="B11597" i="10"/>
  <c r="A11597" i="10"/>
  <c r="E11596" i="10"/>
  <c r="D11596" i="10"/>
  <c r="C11596" i="10"/>
  <c r="B11596" i="10"/>
  <c r="A11596" i="10"/>
  <c r="E11595" i="10"/>
  <c r="D11595" i="10"/>
  <c r="C11595" i="10"/>
  <c r="B11595" i="10"/>
  <c r="A11595" i="10"/>
  <c r="E11594" i="10"/>
  <c r="D11594" i="10"/>
  <c r="C11594" i="10"/>
  <c r="B11594" i="10"/>
  <c r="A11594" i="10"/>
  <c r="E11593" i="10"/>
  <c r="D11593" i="10"/>
  <c r="C11593" i="10"/>
  <c r="B11593" i="10"/>
  <c r="A11593" i="10"/>
  <c r="E11592" i="10"/>
  <c r="D11592" i="10"/>
  <c r="C11592" i="10"/>
  <c r="B11592" i="10"/>
  <c r="A11592" i="10"/>
  <c r="E11591" i="10"/>
  <c r="D11591" i="10"/>
  <c r="C11591" i="10"/>
  <c r="B11591" i="10"/>
  <c r="A11591" i="10"/>
  <c r="E11590" i="10"/>
  <c r="D11590" i="10"/>
  <c r="C11590" i="10"/>
  <c r="B11590" i="10"/>
  <c r="A11590" i="10"/>
  <c r="E11589" i="10"/>
  <c r="D11589" i="10"/>
  <c r="C11589" i="10"/>
  <c r="B11589" i="10"/>
  <c r="A11589" i="10"/>
  <c r="E11588" i="10"/>
  <c r="D11588" i="10"/>
  <c r="C11588" i="10"/>
  <c r="B11588" i="10"/>
  <c r="A11588" i="10"/>
  <c r="E11587" i="10"/>
  <c r="D11587" i="10"/>
  <c r="C11587" i="10"/>
  <c r="B11587" i="10"/>
  <c r="A11587" i="10"/>
  <c r="E11586" i="10"/>
  <c r="D11586" i="10"/>
  <c r="C11586" i="10"/>
  <c r="B11586" i="10"/>
  <c r="A11586" i="10"/>
  <c r="E11585" i="10"/>
  <c r="D11585" i="10"/>
  <c r="C11585" i="10"/>
  <c r="B11585" i="10"/>
  <c r="A11585" i="10"/>
  <c r="E11584" i="10"/>
  <c r="D11584" i="10"/>
  <c r="C11584" i="10"/>
  <c r="B11584" i="10"/>
  <c r="A11584" i="10"/>
  <c r="E11583" i="10"/>
  <c r="D11583" i="10"/>
  <c r="C11583" i="10"/>
  <c r="B11583" i="10"/>
  <c r="A11583" i="10"/>
  <c r="E11582" i="10"/>
  <c r="D11582" i="10"/>
  <c r="C11582" i="10"/>
  <c r="B11582" i="10"/>
  <c r="A11582" i="10"/>
  <c r="E11581" i="10"/>
  <c r="D11581" i="10"/>
  <c r="C11581" i="10"/>
  <c r="B11581" i="10"/>
  <c r="A11581" i="10"/>
  <c r="E11580" i="10"/>
  <c r="D11580" i="10"/>
  <c r="C11580" i="10"/>
  <c r="B11580" i="10"/>
  <c r="A11580" i="10"/>
  <c r="E11579" i="10"/>
  <c r="D11579" i="10"/>
  <c r="C11579" i="10"/>
  <c r="B11579" i="10"/>
  <c r="A11579" i="10"/>
  <c r="E11578" i="10"/>
  <c r="D11578" i="10"/>
  <c r="C11578" i="10"/>
  <c r="B11578" i="10"/>
  <c r="A11578" i="10"/>
  <c r="E11577" i="10"/>
  <c r="D11577" i="10"/>
  <c r="C11577" i="10"/>
  <c r="B11577" i="10"/>
  <c r="A11577" i="10"/>
  <c r="E11576" i="10"/>
  <c r="D11576" i="10"/>
  <c r="C11576" i="10"/>
  <c r="B11576" i="10"/>
  <c r="A11576" i="10"/>
  <c r="E11575" i="10"/>
  <c r="D11575" i="10"/>
  <c r="C11575" i="10"/>
  <c r="B11575" i="10"/>
  <c r="A11575" i="10"/>
  <c r="E11574" i="10"/>
  <c r="D11574" i="10"/>
  <c r="C11574" i="10"/>
  <c r="B11574" i="10"/>
  <c r="A11574" i="10"/>
  <c r="E11573" i="10"/>
  <c r="D11573" i="10"/>
  <c r="C11573" i="10"/>
  <c r="B11573" i="10"/>
  <c r="A11573" i="10"/>
  <c r="E11572" i="10"/>
  <c r="D11572" i="10"/>
  <c r="C11572" i="10"/>
  <c r="B11572" i="10"/>
  <c r="A11572" i="10"/>
  <c r="E11571" i="10"/>
  <c r="D11571" i="10"/>
  <c r="C11571" i="10"/>
  <c r="B11571" i="10"/>
  <c r="A11571" i="10"/>
  <c r="E11570" i="10"/>
  <c r="D11570" i="10"/>
  <c r="C11570" i="10"/>
  <c r="B11570" i="10"/>
  <c r="A11570" i="10"/>
  <c r="E11569" i="10"/>
  <c r="D11569" i="10"/>
  <c r="C11569" i="10"/>
  <c r="B11569" i="10"/>
  <c r="A11569" i="10"/>
  <c r="E11568" i="10"/>
  <c r="D11568" i="10"/>
  <c r="C11568" i="10"/>
  <c r="B11568" i="10"/>
  <c r="A11568" i="10"/>
  <c r="E11567" i="10"/>
  <c r="D11567" i="10"/>
  <c r="C11567" i="10"/>
  <c r="B11567" i="10"/>
  <c r="A11567" i="10"/>
  <c r="E11566" i="10"/>
  <c r="D11566" i="10"/>
  <c r="C11566" i="10"/>
  <c r="B11566" i="10"/>
  <c r="A11566" i="10"/>
  <c r="E11565" i="10"/>
  <c r="D11565" i="10"/>
  <c r="C11565" i="10"/>
  <c r="B11565" i="10"/>
  <c r="A11565" i="10"/>
  <c r="E11564" i="10"/>
  <c r="D11564" i="10"/>
  <c r="C11564" i="10"/>
  <c r="B11564" i="10"/>
  <c r="A11564" i="10"/>
  <c r="E11563" i="10"/>
  <c r="D11563" i="10"/>
  <c r="C11563" i="10"/>
  <c r="B11563" i="10"/>
  <c r="A11563" i="10"/>
  <c r="E11562" i="10"/>
  <c r="D11562" i="10"/>
  <c r="C11562" i="10"/>
  <c r="B11562" i="10"/>
  <c r="A11562" i="10"/>
  <c r="E11561" i="10"/>
  <c r="D11561" i="10"/>
  <c r="C11561" i="10"/>
  <c r="B11561" i="10"/>
  <c r="A11561" i="10"/>
  <c r="E11560" i="10"/>
  <c r="D11560" i="10"/>
  <c r="C11560" i="10"/>
  <c r="B11560" i="10"/>
  <c r="A11560" i="10"/>
  <c r="E11559" i="10"/>
  <c r="D11559" i="10"/>
  <c r="C11559" i="10"/>
  <c r="B11559" i="10"/>
  <c r="A11559" i="10"/>
  <c r="E11558" i="10"/>
  <c r="D11558" i="10"/>
  <c r="C11558" i="10"/>
  <c r="B11558" i="10"/>
  <c r="A11558" i="10"/>
  <c r="E11557" i="10"/>
  <c r="D11557" i="10"/>
  <c r="C11557" i="10"/>
  <c r="B11557" i="10"/>
  <c r="A11557" i="10"/>
  <c r="E11556" i="10"/>
  <c r="D11556" i="10"/>
  <c r="C11556" i="10"/>
  <c r="B11556" i="10"/>
  <c r="A11556" i="10"/>
  <c r="E11555" i="10"/>
  <c r="D11555" i="10"/>
  <c r="C11555" i="10"/>
  <c r="B11555" i="10"/>
  <c r="A11555" i="10"/>
  <c r="E11554" i="10"/>
  <c r="D11554" i="10"/>
  <c r="C11554" i="10"/>
  <c r="B11554" i="10"/>
  <c r="A11554" i="10"/>
  <c r="E11553" i="10"/>
  <c r="D11553" i="10"/>
  <c r="C11553" i="10"/>
  <c r="B11553" i="10"/>
  <c r="A11553" i="10"/>
  <c r="E11552" i="10"/>
  <c r="D11552" i="10"/>
  <c r="C11552" i="10"/>
  <c r="B11552" i="10"/>
  <c r="A11552" i="10"/>
  <c r="E11551" i="10"/>
  <c r="D11551" i="10"/>
  <c r="C11551" i="10"/>
  <c r="B11551" i="10"/>
  <c r="A11551" i="10"/>
  <c r="E11550" i="10"/>
  <c r="D11550" i="10"/>
  <c r="C11550" i="10"/>
  <c r="B11550" i="10"/>
  <c r="A11550" i="10"/>
  <c r="E11549" i="10"/>
  <c r="D11549" i="10"/>
  <c r="C11549" i="10"/>
  <c r="B11549" i="10"/>
  <c r="A11549" i="10"/>
  <c r="E11548" i="10"/>
  <c r="D11548" i="10"/>
  <c r="C11548" i="10"/>
  <c r="B11548" i="10"/>
  <c r="A11548" i="10"/>
  <c r="E11547" i="10"/>
  <c r="D11547" i="10"/>
  <c r="C11547" i="10"/>
  <c r="B11547" i="10"/>
  <c r="A11547" i="10"/>
  <c r="E11546" i="10"/>
  <c r="D11546" i="10"/>
  <c r="C11546" i="10"/>
  <c r="B11546" i="10"/>
  <c r="A11546" i="10"/>
  <c r="E11545" i="10"/>
  <c r="D11545" i="10"/>
  <c r="C11545" i="10"/>
  <c r="B11545" i="10"/>
  <c r="A11545" i="10"/>
  <c r="E11544" i="10"/>
  <c r="D11544" i="10"/>
  <c r="C11544" i="10"/>
  <c r="B11544" i="10"/>
  <c r="A11544" i="10"/>
  <c r="E11543" i="10"/>
  <c r="D11543" i="10"/>
  <c r="C11543" i="10"/>
  <c r="B11543" i="10"/>
  <c r="A11543" i="10"/>
  <c r="E11542" i="10"/>
  <c r="D11542" i="10"/>
  <c r="C11542" i="10"/>
  <c r="B11542" i="10"/>
  <c r="A11542" i="10"/>
  <c r="E11541" i="10"/>
  <c r="D11541" i="10"/>
  <c r="C11541" i="10"/>
  <c r="B11541" i="10"/>
  <c r="A11541" i="10"/>
  <c r="E11540" i="10"/>
  <c r="D11540" i="10"/>
  <c r="C11540" i="10"/>
  <c r="B11540" i="10"/>
  <c r="A11540" i="10"/>
  <c r="E11539" i="10"/>
  <c r="D11539" i="10"/>
  <c r="C11539" i="10"/>
  <c r="B11539" i="10"/>
  <c r="A11539" i="10"/>
  <c r="E11538" i="10"/>
  <c r="D11538" i="10"/>
  <c r="C11538" i="10"/>
  <c r="B11538" i="10"/>
  <c r="A11538" i="10"/>
  <c r="E11537" i="10"/>
  <c r="D11537" i="10"/>
  <c r="C11537" i="10"/>
  <c r="B11537" i="10"/>
  <c r="A11537" i="10"/>
  <c r="E11536" i="10"/>
  <c r="D11536" i="10"/>
  <c r="C11536" i="10"/>
  <c r="B11536" i="10"/>
  <c r="A11536" i="10"/>
  <c r="E11535" i="10"/>
  <c r="D11535" i="10"/>
  <c r="C11535" i="10"/>
  <c r="B11535" i="10"/>
  <c r="A11535" i="10"/>
  <c r="E11534" i="10"/>
  <c r="D11534" i="10"/>
  <c r="C11534" i="10"/>
  <c r="B11534" i="10"/>
  <c r="A11534" i="10"/>
  <c r="E11533" i="10"/>
  <c r="D11533" i="10"/>
  <c r="C11533" i="10"/>
  <c r="B11533" i="10"/>
  <c r="A11533" i="10"/>
  <c r="E11532" i="10"/>
  <c r="D11532" i="10"/>
  <c r="C11532" i="10"/>
  <c r="B11532" i="10"/>
  <c r="A11532" i="10"/>
  <c r="E11531" i="10"/>
  <c r="D11531" i="10"/>
  <c r="C11531" i="10"/>
  <c r="B11531" i="10"/>
  <c r="A11531" i="10"/>
  <c r="E11530" i="10"/>
  <c r="D11530" i="10"/>
  <c r="C11530" i="10"/>
  <c r="B11530" i="10"/>
  <c r="A11530" i="10"/>
  <c r="E11529" i="10"/>
  <c r="D11529" i="10"/>
  <c r="C11529" i="10"/>
  <c r="B11529" i="10"/>
  <c r="A11529" i="10"/>
  <c r="E11528" i="10"/>
  <c r="D11528" i="10"/>
  <c r="C11528" i="10"/>
  <c r="B11528" i="10"/>
  <c r="A11528" i="10"/>
  <c r="E11527" i="10"/>
  <c r="D11527" i="10"/>
  <c r="C11527" i="10"/>
  <c r="B11527" i="10"/>
  <c r="A11527" i="10"/>
  <c r="E11526" i="10"/>
  <c r="D11526" i="10"/>
  <c r="C11526" i="10"/>
  <c r="B11526" i="10"/>
  <c r="A11526" i="10"/>
  <c r="E11525" i="10"/>
  <c r="D11525" i="10"/>
  <c r="C11525" i="10"/>
  <c r="B11525" i="10"/>
  <c r="A11525" i="10"/>
  <c r="E11524" i="10"/>
  <c r="D11524" i="10"/>
  <c r="C11524" i="10"/>
  <c r="B11524" i="10"/>
  <c r="A11524" i="10"/>
  <c r="E11523" i="10"/>
  <c r="D11523" i="10"/>
  <c r="C11523" i="10"/>
  <c r="B11523" i="10"/>
  <c r="A11523" i="10"/>
  <c r="E11522" i="10"/>
  <c r="D11522" i="10"/>
  <c r="C11522" i="10"/>
  <c r="B11522" i="10"/>
  <c r="A11522" i="10"/>
  <c r="E11521" i="10"/>
  <c r="D11521" i="10"/>
  <c r="C11521" i="10"/>
  <c r="B11521" i="10"/>
  <c r="A11521" i="10"/>
  <c r="E11520" i="10"/>
  <c r="D11520" i="10"/>
  <c r="C11520" i="10"/>
  <c r="B11520" i="10"/>
  <c r="A11520" i="10"/>
  <c r="E11519" i="10"/>
  <c r="D11519" i="10"/>
  <c r="C11519" i="10"/>
  <c r="B11519" i="10"/>
  <c r="A11519" i="10"/>
  <c r="E11518" i="10"/>
  <c r="D11518" i="10"/>
  <c r="C11518" i="10"/>
  <c r="B11518" i="10"/>
  <c r="A11518" i="10"/>
  <c r="E11517" i="10"/>
  <c r="D11517" i="10"/>
  <c r="C11517" i="10"/>
  <c r="B11517" i="10"/>
  <c r="A11517" i="10"/>
  <c r="E11516" i="10"/>
  <c r="D11516" i="10"/>
  <c r="C11516" i="10"/>
  <c r="B11516" i="10"/>
  <c r="A11516" i="10"/>
  <c r="E11515" i="10"/>
  <c r="D11515" i="10"/>
  <c r="C11515" i="10"/>
  <c r="B11515" i="10"/>
  <c r="A11515" i="10"/>
  <c r="E11514" i="10"/>
  <c r="D11514" i="10"/>
  <c r="C11514" i="10"/>
  <c r="B11514" i="10"/>
  <c r="A11514" i="10"/>
  <c r="E11513" i="10"/>
  <c r="D11513" i="10"/>
  <c r="C11513" i="10"/>
  <c r="B11513" i="10"/>
  <c r="A11513" i="10"/>
  <c r="E11512" i="10"/>
  <c r="D11512" i="10"/>
  <c r="C11512" i="10"/>
  <c r="B11512" i="10"/>
  <c r="A11512" i="10"/>
  <c r="E11511" i="10"/>
  <c r="D11511" i="10"/>
  <c r="C11511" i="10"/>
  <c r="B11511" i="10"/>
  <c r="A11511" i="10"/>
  <c r="E11510" i="10"/>
  <c r="D11510" i="10"/>
  <c r="C11510" i="10"/>
  <c r="B11510" i="10"/>
  <c r="A11510" i="10"/>
  <c r="E11509" i="10"/>
  <c r="D11509" i="10"/>
  <c r="C11509" i="10"/>
  <c r="B11509" i="10"/>
  <c r="A11509" i="10"/>
  <c r="E11508" i="10"/>
  <c r="D11508" i="10"/>
  <c r="C11508" i="10"/>
  <c r="B11508" i="10"/>
  <c r="A11508" i="10"/>
  <c r="E11507" i="10"/>
  <c r="D11507" i="10"/>
  <c r="C11507" i="10"/>
  <c r="B11507" i="10"/>
  <c r="A11507" i="10"/>
  <c r="E11506" i="10"/>
  <c r="D11506" i="10"/>
  <c r="C11506" i="10"/>
  <c r="B11506" i="10"/>
  <c r="A11506" i="10"/>
  <c r="E11505" i="10"/>
  <c r="D11505" i="10"/>
  <c r="C11505" i="10"/>
  <c r="B11505" i="10"/>
  <c r="A11505" i="10"/>
  <c r="E11504" i="10"/>
  <c r="D11504" i="10"/>
  <c r="C11504" i="10"/>
  <c r="B11504" i="10"/>
  <c r="A11504" i="10"/>
  <c r="E11503" i="10"/>
  <c r="D11503" i="10"/>
  <c r="C11503" i="10"/>
  <c r="B11503" i="10"/>
  <c r="A11503" i="10"/>
  <c r="E11502" i="10"/>
  <c r="D11502" i="10"/>
  <c r="C11502" i="10"/>
  <c r="B11502" i="10"/>
  <c r="A11502" i="10"/>
  <c r="E11501" i="10"/>
  <c r="D11501" i="10"/>
  <c r="C11501" i="10"/>
  <c r="B11501" i="10"/>
  <c r="A11501" i="10"/>
  <c r="E11500" i="10"/>
  <c r="D11500" i="10"/>
  <c r="C11500" i="10"/>
  <c r="B11500" i="10"/>
  <c r="A11500" i="10"/>
  <c r="E11499" i="10"/>
  <c r="D11499" i="10"/>
  <c r="C11499" i="10"/>
  <c r="B11499" i="10"/>
  <c r="A11499" i="10"/>
  <c r="E11498" i="10"/>
  <c r="D11498" i="10"/>
  <c r="C11498" i="10"/>
  <c r="B11498" i="10"/>
  <c r="A11498" i="10"/>
  <c r="E11497" i="10"/>
  <c r="D11497" i="10"/>
  <c r="C11497" i="10"/>
  <c r="B11497" i="10"/>
  <c r="A11497" i="10"/>
  <c r="E11496" i="10"/>
  <c r="D11496" i="10"/>
  <c r="C11496" i="10"/>
  <c r="B11496" i="10"/>
  <c r="A11496" i="10"/>
  <c r="E11495" i="10"/>
  <c r="D11495" i="10"/>
  <c r="C11495" i="10"/>
  <c r="B11495" i="10"/>
  <c r="A11495" i="10"/>
  <c r="E11494" i="10"/>
  <c r="D11494" i="10"/>
  <c r="C11494" i="10"/>
  <c r="B11494" i="10"/>
  <c r="A11494" i="10"/>
  <c r="E11493" i="10"/>
  <c r="D11493" i="10"/>
  <c r="C11493" i="10"/>
  <c r="B11493" i="10"/>
  <c r="A11493" i="10"/>
  <c r="E11492" i="10"/>
  <c r="D11492" i="10"/>
  <c r="C11492" i="10"/>
  <c r="B11492" i="10"/>
  <c r="A11492" i="10"/>
  <c r="E11491" i="10"/>
  <c r="D11491" i="10"/>
  <c r="C11491" i="10"/>
  <c r="B11491" i="10"/>
  <c r="A11491" i="10"/>
  <c r="E11490" i="10"/>
  <c r="D11490" i="10"/>
  <c r="C11490" i="10"/>
  <c r="B11490" i="10"/>
  <c r="A11490" i="10"/>
  <c r="E11489" i="10"/>
  <c r="D11489" i="10"/>
  <c r="C11489" i="10"/>
  <c r="B11489" i="10"/>
  <c r="A11489" i="10"/>
  <c r="E11488" i="10"/>
  <c r="D11488" i="10"/>
  <c r="C11488" i="10"/>
  <c r="B11488" i="10"/>
  <c r="A11488" i="10"/>
  <c r="E11487" i="10"/>
  <c r="D11487" i="10"/>
  <c r="C11487" i="10"/>
  <c r="B11487" i="10"/>
  <c r="A11487" i="10"/>
  <c r="E11486" i="10"/>
  <c r="D11486" i="10"/>
  <c r="C11486" i="10"/>
  <c r="B11486" i="10"/>
  <c r="A11486" i="10"/>
  <c r="E11485" i="10"/>
  <c r="D11485" i="10"/>
  <c r="C11485" i="10"/>
  <c r="B11485" i="10"/>
  <c r="A11485" i="10"/>
  <c r="E11484" i="10"/>
  <c r="D11484" i="10"/>
  <c r="C11484" i="10"/>
  <c r="B11484" i="10"/>
  <c r="A11484" i="10"/>
  <c r="E11483" i="10"/>
  <c r="D11483" i="10"/>
  <c r="C11483" i="10"/>
  <c r="B11483" i="10"/>
  <c r="A11483" i="10"/>
  <c r="E11482" i="10"/>
  <c r="D11482" i="10"/>
  <c r="C11482" i="10"/>
  <c r="B11482" i="10"/>
  <c r="A11482" i="10"/>
  <c r="E11481" i="10"/>
  <c r="D11481" i="10"/>
  <c r="C11481" i="10"/>
  <c r="B11481" i="10"/>
  <c r="A11481" i="10"/>
  <c r="E11480" i="10"/>
  <c r="D11480" i="10"/>
  <c r="C11480" i="10"/>
  <c r="B11480" i="10"/>
  <c r="A11480" i="10"/>
  <c r="E11479" i="10"/>
  <c r="D11479" i="10"/>
  <c r="C11479" i="10"/>
  <c r="B11479" i="10"/>
  <c r="A11479" i="10"/>
  <c r="E11478" i="10"/>
  <c r="D11478" i="10"/>
  <c r="C11478" i="10"/>
  <c r="B11478" i="10"/>
  <c r="A11478" i="10"/>
  <c r="E11477" i="10"/>
  <c r="D11477" i="10"/>
  <c r="C11477" i="10"/>
  <c r="B11477" i="10"/>
  <c r="A11477" i="10"/>
  <c r="E11476" i="10"/>
  <c r="D11476" i="10"/>
  <c r="C11476" i="10"/>
  <c r="B11476" i="10"/>
  <c r="A11476" i="10"/>
  <c r="E11475" i="10"/>
  <c r="D11475" i="10"/>
  <c r="C11475" i="10"/>
  <c r="B11475" i="10"/>
  <c r="A11475" i="10"/>
  <c r="E11474" i="10"/>
  <c r="D11474" i="10"/>
  <c r="C11474" i="10"/>
  <c r="B11474" i="10"/>
  <c r="A11474" i="10"/>
  <c r="E11473" i="10"/>
  <c r="D11473" i="10"/>
  <c r="C11473" i="10"/>
  <c r="B11473" i="10"/>
  <c r="A11473" i="10"/>
  <c r="E11472" i="10"/>
  <c r="D11472" i="10"/>
  <c r="C11472" i="10"/>
  <c r="B11472" i="10"/>
  <c r="A11472" i="10"/>
  <c r="E11471" i="10"/>
  <c r="D11471" i="10"/>
  <c r="C11471" i="10"/>
  <c r="B11471" i="10"/>
  <c r="A11471" i="10"/>
  <c r="E11470" i="10"/>
  <c r="D11470" i="10"/>
  <c r="C11470" i="10"/>
  <c r="B11470" i="10"/>
  <c r="A11470" i="10"/>
  <c r="E11469" i="10"/>
  <c r="D11469" i="10"/>
  <c r="C11469" i="10"/>
  <c r="B11469" i="10"/>
  <c r="A11469" i="10"/>
  <c r="E11468" i="10"/>
  <c r="D11468" i="10"/>
  <c r="C11468" i="10"/>
  <c r="B11468" i="10"/>
  <c r="A11468" i="10"/>
  <c r="E11467" i="10"/>
  <c r="D11467" i="10"/>
  <c r="C11467" i="10"/>
  <c r="B11467" i="10"/>
  <c r="A11467" i="10"/>
  <c r="E11466" i="10"/>
  <c r="D11466" i="10"/>
  <c r="C11466" i="10"/>
  <c r="B11466" i="10"/>
  <c r="A11466" i="10"/>
  <c r="E11465" i="10"/>
  <c r="D11465" i="10"/>
  <c r="C11465" i="10"/>
  <c r="B11465" i="10"/>
  <c r="A11465" i="10"/>
  <c r="E11464" i="10"/>
  <c r="D11464" i="10"/>
  <c r="C11464" i="10"/>
  <c r="B11464" i="10"/>
  <c r="A11464" i="10"/>
  <c r="E11463" i="10"/>
  <c r="D11463" i="10"/>
  <c r="C11463" i="10"/>
  <c r="B11463" i="10"/>
  <c r="A11463" i="10"/>
  <c r="E11462" i="10"/>
  <c r="D11462" i="10"/>
  <c r="C11462" i="10"/>
  <c r="B11462" i="10"/>
  <c r="A11462" i="10"/>
  <c r="E11461" i="10"/>
  <c r="D11461" i="10"/>
  <c r="C11461" i="10"/>
  <c r="B11461" i="10"/>
  <c r="A11461" i="10"/>
  <c r="E11460" i="10"/>
  <c r="D11460" i="10"/>
  <c r="C11460" i="10"/>
  <c r="B11460" i="10"/>
  <c r="A11460" i="10"/>
  <c r="E11459" i="10"/>
  <c r="D11459" i="10"/>
  <c r="C11459" i="10"/>
  <c r="B11459" i="10"/>
  <c r="A11459" i="10"/>
  <c r="E11458" i="10"/>
  <c r="D11458" i="10"/>
  <c r="C11458" i="10"/>
  <c r="B11458" i="10"/>
  <c r="A11458" i="10"/>
  <c r="E11457" i="10"/>
  <c r="D11457" i="10"/>
  <c r="C11457" i="10"/>
  <c r="B11457" i="10"/>
  <c r="A11457" i="10"/>
  <c r="E11456" i="10"/>
  <c r="D11456" i="10"/>
  <c r="C11456" i="10"/>
  <c r="B11456" i="10"/>
  <c r="A11456" i="10"/>
  <c r="E11455" i="10"/>
  <c r="D11455" i="10"/>
  <c r="C11455" i="10"/>
  <c r="B11455" i="10"/>
  <c r="A11455" i="10"/>
  <c r="E11454" i="10"/>
  <c r="D11454" i="10"/>
  <c r="C11454" i="10"/>
  <c r="B11454" i="10"/>
  <c r="A11454" i="10"/>
  <c r="E11453" i="10"/>
  <c r="D11453" i="10"/>
  <c r="C11453" i="10"/>
  <c r="B11453" i="10"/>
  <c r="A11453" i="10"/>
  <c r="E11452" i="10"/>
  <c r="D11452" i="10"/>
  <c r="C11452" i="10"/>
  <c r="B11452" i="10"/>
  <c r="A11452" i="10"/>
  <c r="E11451" i="10"/>
  <c r="D11451" i="10"/>
  <c r="C11451" i="10"/>
  <c r="B11451" i="10"/>
  <c r="A11451" i="10"/>
  <c r="E11450" i="10"/>
  <c r="D11450" i="10"/>
  <c r="C11450" i="10"/>
  <c r="B11450" i="10"/>
  <c r="A11450" i="10"/>
  <c r="E11449" i="10"/>
  <c r="D11449" i="10"/>
  <c r="C11449" i="10"/>
  <c r="B11449" i="10"/>
  <c r="A11449" i="10"/>
  <c r="E11448" i="10"/>
  <c r="D11448" i="10"/>
  <c r="C11448" i="10"/>
  <c r="B11448" i="10"/>
  <c r="A11448" i="10"/>
  <c r="E11447" i="10"/>
  <c r="D11447" i="10"/>
  <c r="C11447" i="10"/>
  <c r="B11447" i="10"/>
  <c r="A11447" i="10"/>
  <c r="E11446" i="10"/>
  <c r="D11446" i="10"/>
  <c r="C11446" i="10"/>
  <c r="B11446" i="10"/>
  <c r="A11446" i="10"/>
  <c r="E11445" i="10"/>
  <c r="D11445" i="10"/>
  <c r="C11445" i="10"/>
  <c r="B11445" i="10"/>
  <c r="A11445" i="10"/>
  <c r="E11444" i="10"/>
  <c r="D11444" i="10"/>
  <c r="C11444" i="10"/>
  <c r="B11444" i="10"/>
  <c r="A11444" i="10"/>
  <c r="E11443" i="10"/>
  <c r="D11443" i="10"/>
  <c r="C11443" i="10"/>
  <c r="B11443" i="10"/>
  <c r="A11443" i="10"/>
  <c r="E11442" i="10"/>
  <c r="D11442" i="10"/>
  <c r="C11442" i="10"/>
  <c r="B11442" i="10"/>
  <c r="A11442" i="10"/>
  <c r="E11441" i="10"/>
  <c r="D11441" i="10"/>
  <c r="C11441" i="10"/>
  <c r="B11441" i="10"/>
  <c r="A11441" i="10"/>
  <c r="E11440" i="10"/>
  <c r="D11440" i="10"/>
  <c r="C11440" i="10"/>
  <c r="B11440" i="10"/>
  <c r="A11440" i="10"/>
  <c r="E11439" i="10"/>
  <c r="D11439" i="10"/>
  <c r="C11439" i="10"/>
  <c r="B11439" i="10"/>
  <c r="A11439" i="10"/>
  <c r="E11438" i="10"/>
  <c r="D11438" i="10"/>
  <c r="C11438" i="10"/>
  <c r="B11438" i="10"/>
  <c r="A11438" i="10"/>
  <c r="E11437" i="10"/>
  <c r="D11437" i="10"/>
  <c r="C11437" i="10"/>
  <c r="B11437" i="10"/>
  <c r="A11437" i="10"/>
  <c r="E11436" i="10"/>
  <c r="D11436" i="10"/>
  <c r="C11436" i="10"/>
  <c r="B11436" i="10"/>
  <c r="A11436" i="10"/>
  <c r="E11435" i="10"/>
  <c r="D11435" i="10"/>
  <c r="C11435" i="10"/>
  <c r="B11435" i="10"/>
  <c r="A11435" i="10"/>
  <c r="E11434" i="10"/>
  <c r="D11434" i="10"/>
  <c r="C11434" i="10"/>
  <c r="B11434" i="10"/>
  <c r="A11434" i="10"/>
  <c r="E11433" i="10"/>
  <c r="D11433" i="10"/>
  <c r="C11433" i="10"/>
  <c r="B11433" i="10"/>
  <c r="A11433" i="10"/>
  <c r="E11432" i="10"/>
  <c r="D11432" i="10"/>
  <c r="C11432" i="10"/>
  <c r="B11432" i="10"/>
  <c r="A11432" i="10"/>
  <c r="E11431" i="10"/>
  <c r="D11431" i="10"/>
  <c r="C11431" i="10"/>
  <c r="B11431" i="10"/>
  <c r="A11431" i="10"/>
  <c r="E11430" i="10"/>
  <c r="D11430" i="10"/>
  <c r="C11430" i="10"/>
  <c r="B11430" i="10"/>
  <c r="A11430" i="10"/>
  <c r="E11429" i="10"/>
  <c r="D11429" i="10"/>
  <c r="C11429" i="10"/>
  <c r="B11429" i="10"/>
  <c r="A11429" i="10"/>
  <c r="E11428" i="10"/>
  <c r="D11428" i="10"/>
  <c r="C11428" i="10"/>
  <c r="B11428" i="10"/>
  <c r="A11428" i="10"/>
  <c r="E11427" i="10"/>
  <c r="D11427" i="10"/>
  <c r="C11427" i="10"/>
  <c r="B11427" i="10"/>
  <c r="A11427" i="10"/>
  <c r="E11426" i="10"/>
  <c r="D11426" i="10"/>
  <c r="C11426" i="10"/>
  <c r="B11426" i="10"/>
  <c r="A11426" i="10"/>
  <c r="E11425" i="10"/>
  <c r="D11425" i="10"/>
  <c r="C11425" i="10"/>
  <c r="B11425" i="10"/>
  <c r="A11425" i="10"/>
  <c r="E11424" i="10"/>
  <c r="D11424" i="10"/>
  <c r="C11424" i="10"/>
  <c r="B11424" i="10"/>
  <c r="A11424" i="10"/>
  <c r="E11423" i="10"/>
  <c r="D11423" i="10"/>
  <c r="C11423" i="10"/>
  <c r="B11423" i="10"/>
  <c r="A11423" i="10"/>
  <c r="E11422" i="10"/>
  <c r="D11422" i="10"/>
  <c r="C11422" i="10"/>
  <c r="B11422" i="10"/>
  <c r="A11422" i="10"/>
  <c r="E11421" i="10"/>
  <c r="D11421" i="10"/>
  <c r="C11421" i="10"/>
  <c r="B11421" i="10"/>
  <c r="A11421" i="10"/>
  <c r="E11420" i="10"/>
  <c r="D11420" i="10"/>
  <c r="C11420" i="10"/>
  <c r="B11420" i="10"/>
  <c r="A11420" i="10"/>
  <c r="E11419" i="10"/>
  <c r="D11419" i="10"/>
  <c r="C11419" i="10"/>
  <c r="B11419" i="10"/>
  <c r="A11419" i="10"/>
  <c r="E11418" i="10"/>
  <c r="D11418" i="10"/>
  <c r="C11418" i="10"/>
  <c r="B11418" i="10"/>
  <c r="A11418" i="10"/>
  <c r="E11417" i="10"/>
  <c r="D11417" i="10"/>
  <c r="C11417" i="10"/>
  <c r="B11417" i="10"/>
  <c r="A11417" i="10"/>
  <c r="E11416" i="10"/>
  <c r="D11416" i="10"/>
  <c r="C11416" i="10"/>
  <c r="B11416" i="10"/>
  <c r="A11416" i="10"/>
  <c r="E11415" i="10"/>
  <c r="D11415" i="10"/>
  <c r="C11415" i="10"/>
  <c r="B11415" i="10"/>
  <c r="A11415" i="10"/>
  <c r="E11414" i="10"/>
  <c r="D11414" i="10"/>
  <c r="C11414" i="10"/>
  <c r="B11414" i="10"/>
  <c r="A11414" i="10"/>
  <c r="E11413" i="10"/>
  <c r="D11413" i="10"/>
  <c r="C11413" i="10"/>
  <c r="B11413" i="10"/>
  <c r="A11413" i="10"/>
  <c r="E11412" i="10"/>
  <c r="D11412" i="10"/>
  <c r="C11412" i="10"/>
  <c r="B11412" i="10"/>
  <c r="A11412" i="10"/>
  <c r="E11411" i="10"/>
  <c r="D11411" i="10"/>
  <c r="C11411" i="10"/>
  <c r="B11411" i="10"/>
  <c r="A11411" i="10"/>
  <c r="E11410" i="10"/>
  <c r="D11410" i="10"/>
  <c r="C11410" i="10"/>
  <c r="B11410" i="10"/>
  <c r="A11410" i="10"/>
  <c r="E11409" i="10"/>
  <c r="D11409" i="10"/>
  <c r="C11409" i="10"/>
  <c r="B11409" i="10"/>
  <c r="A11409" i="10"/>
  <c r="E11408" i="10"/>
  <c r="D11408" i="10"/>
  <c r="C11408" i="10"/>
  <c r="B11408" i="10"/>
  <c r="A11408" i="10"/>
  <c r="E11407" i="10"/>
  <c r="D11407" i="10"/>
  <c r="C11407" i="10"/>
  <c r="B11407" i="10"/>
  <c r="A11407" i="10"/>
  <c r="E11406" i="10"/>
  <c r="D11406" i="10"/>
  <c r="C11406" i="10"/>
  <c r="B11406" i="10"/>
  <c r="A11406" i="10"/>
  <c r="E11405" i="10"/>
  <c r="D11405" i="10"/>
  <c r="C11405" i="10"/>
  <c r="B11405" i="10"/>
  <c r="A11405" i="10"/>
  <c r="E11404" i="10"/>
  <c r="D11404" i="10"/>
  <c r="C11404" i="10"/>
  <c r="B11404" i="10"/>
  <c r="A11404" i="10"/>
  <c r="E11403" i="10"/>
  <c r="D11403" i="10"/>
  <c r="C11403" i="10"/>
  <c r="B11403" i="10"/>
  <c r="A11403" i="10"/>
  <c r="E11402" i="10"/>
  <c r="D11402" i="10"/>
  <c r="C11402" i="10"/>
  <c r="B11402" i="10"/>
  <c r="A11402" i="10"/>
  <c r="E11401" i="10"/>
  <c r="D11401" i="10"/>
  <c r="C11401" i="10"/>
  <c r="B11401" i="10"/>
  <c r="A11401" i="10"/>
  <c r="E11400" i="10"/>
  <c r="D11400" i="10"/>
  <c r="C11400" i="10"/>
  <c r="B11400" i="10"/>
  <c r="A11400" i="10"/>
  <c r="E11399" i="10"/>
  <c r="D11399" i="10"/>
  <c r="C11399" i="10"/>
  <c r="B11399" i="10"/>
  <c r="A11399" i="10"/>
  <c r="E11398" i="10"/>
  <c r="D11398" i="10"/>
  <c r="C11398" i="10"/>
  <c r="B11398" i="10"/>
  <c r="A11398" i="10"/>
  <c r="E11397" i="10"/>
  <c r="D11397" i="10"/>
  <c r="C11397" i="10"/>
  <c r="B11397" i="10"/>
  <c r="A11397" i="10"/>
  <c r="E11396" i="10"/>
  <c r="D11396" i="10"/>
  <c r="C11396" i="10"/>
  <c r="B11396" i="10"/>
  <c r="A11396" i="10"/>
  <c r="E11395" i="10"/>
  <c r="D11395" i="10"/>
  <c r="C11395" i="10"/>
  <c r="B11395" i="10"/>
  <c r="A11395" i="10"/>
  <c r="E11394" i="10"/>
  <c r="D11394" i="10"/>
  <c r="C11394" i="10"/>
  <c r="B11394" i="10"/>
  <c r="A11394" i="10"/>
  <c r="E11393" i="10"/>
  <c r="D11393" i="10"/>
  <c r="C11393" i="10"/>
  <c r="B11393" i="10"/>
  <c r="A11393" i="10"/>
  <c r="E11392" i="10"/>
  <c r="D11392" i="10"/>
  <c r="C11392" i="10"/>
  <c r="B11392" i="10"/>
  <c r="A11392" i="10"/>
  <c r="E11391" i="10"/>
  <c r="D11391" i="10"/>
  <c r="C11391" i="10"/>
  <c r="B11391" i="10"/>
  <c r="A11391" i="10"/>
  <c r="E11390" i="10"/>
  <c r="D11390" i="10"/>
  <c r="C11390" i="10"/>
  <c r="B11390" i="10"/>
  <c r="A11390" i="10"/>
  <c r="E11389" i="10"/>
  <c r="D11389" i="10"/>
  <c r="C11389" i="10"/>
  <c r="B11389" i="10"/>
  <c r="A11389" i="10"/>
  <c r="E11388" i="10"/>
  <c r="D11388" i="10"/>
  <c r="C11388" i="10"/>
  <c r="B11388" i="10"/>
  <c r="A11388" i="10"/>
  <c r="E11387" i="10"/>
  <c r="D11387" i="10"/>
  <c r="C11387" i="10"/>
  <c r="B11387" i="10"/>
  <c r="A11387" i="10"/>
  <c r="E11386" i="10"/>
  <c r="D11386" i="10"/>
  <c r="C11386" i="10"/>
  <c r="B11386" i="10"/>
  <c r="A11386" i="10"/>
  <c r="E11385" i="10"/>
  <c r="D11385" i="10"/>
  <c r="C11385" i="10"/>
  <c r="B11385" i="10"/>
  <c r="A11385" i="10"/>
  <c r="E11384" i="10"/>
  <c r="D11384" i="10"/>
  <c r="C11384" i="10"/>
  <c r="B11384" i="10"/>
  <c r="A11384" i="10"/>
  <c r="E11383" i="10"/>
  <c r="D11383" i="10"/>
  <c r="C11383" i="10"/>
  <c r="B11383" i="10"/>
  <c r="A11383" i="10"/>
  <c r="E11382" i="10"/>
  <c r="D11382" i="10"/>
  <c r="C11382" i="10"/>
  <c r="B11382" i="10"/>
  <c r="A11382" i="10"/>
  <c r="E11381" i="10"/>
  <c r="D11381" i="10"/>
  <c r="C11381" i="10"/>
  <c r="B11381" i="10"/>
  <c r="A11381" i="10"/>
  <c r="E11380" i="10"/>
  <c r="D11380" i="10"/>
  <c r="C11380" i="10"/>
  <c r="B11380" i="10"/>
  <c r="A11380" i="10"/>
  <c r="E11379" i="10"/>
  <c r="D11379" i="10"/>
  <c r="C11379" i="10"/>
  <c r="B11379" i="10"/>
  <c r="A11379" i="10"/>
  <c r="E11378" i="10"/>
  <c r="D11378" i="10"/>
  <c r="C11378" i="10"/>
  <c r="B11378" i="10"/>
  <c r="A11378" i="10"/>
  <c r="E11377" i="10"/>
  <c r="D11377" i="10"/>
  <c r="C11377" i="10"/>
  <c r="B11377" i="10"/>
  <c r="A11377" i="10"/>
  <c r="E11376" i="10"/>
  <c r="D11376" i="10"/>
  <c r="C11376" i="10"/>
  <c r="B11376" i="10"/>
  <c r="A11376" i="10"/>
  <c r="E11375" i="10"/>
  <c r="D11375" i="10"/>
  <c r="C11375" i="10"/>
  <c r="B11375" i="10"/>
  <c r="A11375" i="10"/>
  <c r="E11374" i="10"/>
  <c r="D11374" i="10"/>
  <c r="C11374" i="10"/>
  <c r="B11374" i="10"/>
  <c r="A11374" i="10"/>
  <c r="E11373" i="10"/>
  <c r="D11373" i="10"/>
  <c r="C11373" i="10"/>
  <c r="B11373" i="10"/>
  <c r="A11373" i="10"/>
  <c r="E11372" i="10"/>
  <c r="D11372" i="10"/>
  <c r="C11372" i="10"/>
  <c r="B11372" i="10"/>
  <c r="A11372" i="10"/>
  <c r="E11371" i="10"/>
  <c r="D11371" i="10"/>
  <c r="C11371" i="10"/>
  <c r="B11371" i="10"/>
  <c r="A11371" i="10"/>
  <c r="E11370" i="10"/>
  <c r="D11370" i="10"/>
  <c r="C11370" i="10"/>
  <c r="B11370" i="10"/>
  <c r="A11370" i="10"/>
  <c r="E11369" i="10"/>
  <c r="D11369" i="10"/>
  <c r="C11369" i="10"/>
  <c r="B11369" i="10"/>
  <c r="A11369" i="10"/>
  <c r="E11368" i="10"/>
  <c r="D11368" i="10"/>
  <c r="C11368" i="10"/>
  <c r="B11368" i="10"/>
  <c r="A11368" i="10"/>
  <c r="E11367" i="10"/>
  <c r="D11367" i="10"/>
  <c r="C11367" i="10"/>
  <c r="B11367" i="10"/>
  <c r="A11367" i="10"/>
  <c r="E11366" i="10"/>
  <c r="D11366" i="10"/>
  <c r="C11366" i="10"/>
  <c r="B11366" i="10"/>
  <c r="A11366" i="10"/>
  <c r="E11365" i="10"/>
  <c r="D11365" i="10"/>
  <c r="C11365" i="10"/>
  <c r="B11365" i="10"/>
  <c r="A11365" i="10"/>
  <c r="E11364" i="10"/>
  <c r="D11364" i="10"/>
  <c r="C11364" i="10"/>
  <c r="B11364" i="10"/>
  <c r="A11364" i="10"/>
  <c r="E11363" i="10"/>
  <c r="D11363" i="10"/>
  <c r="C11363" i="10"/>
  <c r="B11363" i="10"/>
  <c r="A11363" i="10"/>
  <c r="E11362" i="10"/>
  <c r="D11362" i="10"/>
  <c r="C11362" i="10"/>
  <c r="B11362" i="10"/>
  <c r="A11362" i="10"/>
  <c r="E11361" i="10"/>
  <c r="D11361" i="10"/>
  <c r="C11361" i="10"/>
  <c r="B11361" i="10"/>
  <c r="A11361" i="10"/>
  <c r="E11360" i="10"/>
  <c r="D11360" i="10"/>
  <c r="C11360" i="10"/>
  <c r="B11360" i="10"/>
  <c r="A11360" i="10"/>
  <c r="E11359" i="10"/>
  <c r="D11359" i="10"/>
  <c r="C11359" i="10"/>
  <c r="B11359" i="10"/>
  <c r="A11359" i="10"/>
  <c r="E11358" i="10"/>
  <c r="D11358" i="10"/>
  <c r="C11358" i="10"/>
  <c r="B11358" i="10"/>
  <c r="A11358" i="10"/>
  <c r="E11357" i="10"/>
  <c r="D11357" i="10"/>
  <c r="C11357" i="10"/>
  <c r="B11357" i="10"/>
  <c r="A11357" i="10"/>
  <c r="E11356" i="10"/>
  <c r="D11356" i="10"/>
  <c r="C11356" i="10"/>
  <c r="B11356" i="10"/>
  <c r="A11356" i="10"/>
  <c r="E11355" i="10"/>
  <c r="D11355" i="10"/>
  <c r="C11355" i="10"/>
  <c r="B11355" i="10"/>
  <c r="A11355" i="10"/>
  <c r="E11354" i="10"/>
  <c r="D11354" i="10"/>
  <c r="C11354" i="10"/>
  <c r="B11354" i="10"/>
  <c r="A11354" i="10"/>
  <c r="E11353" i="10"/>
  <c r="D11353" i="10"/>
  <c r="C11353" i="10"/>
  <c r="B11353" i="10"/>
  <c r="A11353" i="10"/>
  <c r="E11352" i="10"/>
  <c r="D11352" i="10"/>
  <c r="C11352" i="10"/>
  <c r="B11352" i="10"/>
  <c r="A11352" i="10"/>
  <c r="E11351" i="10"/>
  <c r="D11351" i="10"/>
  <c r="C11351" i="10"/>
  <c r="B11351" i="10"/>
  <c r="A11351" i="10"/>
  <c r="E11350" i="10"/>
  <c r="D11350" i="10"/>
  <c r="C11350" i="10"/>
  <c r="B11350" i="10"/>
  <c r="A11350" i="10"/>
  <c r="E11349" i="10"/>
  <c r="D11349" i="10"/>
  <c r="C11349" i="10"/>
  <c r="B11349" i="10"/>
  <c r="A11349" i="10"/>
  <c r="E11348" i="10"/>
  <c r="D11348" i="10"/>
  <c r="C11348" i="10"/>
  <c r="B11348" i="10"/>
  <c r="A11348" i="10"/>
  <c r="E11347" i="10"/>
  <c r="D11347" i="10"/>
  <c r="C11347" i="10"/>
  <c r="B11347" i="10"/>
  <c r="A11347" i="10"/>
  <c r="E11346" i="10"/>
  <c r="D11346" i="10"/>
  <c r="C11346" i="10"/>
  <c r="B11346" i="10"/>
  <c r="A11346" i="10"/>
  <c r="E11345" i="10"/>
  <c r="D11345" i="10"/>
  <c r="C11345" i="10"/>
  <c r="B11345" i="10"/>
  <c r="A11345" i="10"/>
  <c r="E11344" i="10"/>
  <c r="D11344" i="10"/>
  <c r="C11344" i="10"/>
  <c r="B11344" i="10"/>
  <c r="A11344" i="10"/>
  <c r="E11343" i="10"/>
  <c r="D11343" i="10"/>
  <c r="C11343" i="10"/>
  <c r="B11343" i="10"/>
  <c r="A11343" i="10"/>
  <c r="E11342" i="10"/>
  <c r="D11342" i="10"/>
  <c r="C11342" i="10"/>
  <c r="B11342" i="10"/>
  <c r="A11342" i="10"/>
  <c r="E11341" i="10"/>
  <c r="D11341" i="10"/>
  <c r="C11341" i="10"/>
  <c r="B11341" i="10"/>
  <c r="A11341" i="10"/>
  <c r="E11340" i="10"/>
  <c r="D11340" i="10"/>
  <c r="C11340" i="10"/>
  <c r="B11340" i="10"/>
  <c r="A11340" i="10"/>
  <c r="E11339" i="10"/>
  <c r="D11339" i="10"/>
  <c r="C11339" i="10"/>
  <c r="B11339" i="10"/>
  <c r="A11339" i="10"/>
  <c r="E11338" i="10"/>
  <c r="D11338" i="10"/>
  <c r="C11338" i="10"/>
  <c r="B11338" i="10"/>
  <c r="A11338" i="10"/>
  <c r="E11337" i="10"/>
  <c r="D11337" i="10"/>
  <c r="C11337" i="10"/>
  <c r="B11337" i="10"/>
  <c r="A11337" i="10"/>
  <c r="E11336" i="10"/>
  <c r="D11336" i="10"/>
  <c r="C11336" i="10"/>
  <c r="B11336" i="10"/>
  <c r="A11336" i="10"/>
  <c r="E11335" i="10"/>
  <c r="D11335" i="10"/>
  <c r="C11335" i="10"/>
  <c r="B11335" i="10"/>
  <c r="A11335" i="10"/>
  <c r="E11334" i="10"/>
  <c r="D11334" i="10"/>
  <c r="C11334" i="10"/>
  <c r="B11334" i="10"/>
  <c r="A11334" i="10"/>
  <c r="E11333" i="10"/>
  <c r="D11333" i="10"/>
  <c r="C11333" i="10"/>
  <c r="B11333" i="10"/>
  <c r="A11333" i="10"/>
  <c r="E11332" i="10"/>
  <c r="D11332" i="10"/>
  <c r="C11332" i="10"/>
  <c r="B11332" i="10"/>
  <c r="A11332" i="10"/>
  <c r="E11331" i="10"/>
  <c r="D11331" i="10"/>
  <c r="C11331" i="10"/>
  <c r="B11331" i="10"/>
  <c r="A11331" i="10"/>
  <c r="E11330" i="10"/>
  <c r="D11330" i="10"/>
  <c r="C11330" i="10"/>
  <c r="B11330" i="10"/>
  <c r="A11330" i="10"/>
  <c r="E11329" i="10"/>
  <c r="D11329" i="10"/>
  <c r="C11329" i="10"/>
  <c r="B11329" i="10"/>
  <c r="A11329" i="10"/>
  <c r="E11328" i="10"/>
  <c r="D11328" i="10"/>
  <c r="C11328" i="10"/>
  <c r="B11328" i="10"/>
  <c r="A11328" i="10"/>
  <c r="E11327" i="10"/>
  <c r="D11327" i="10"/>
  <c r="C11327" i="10"/>
  <c r="B11327" i="10"/>
  <c r="A11327" i="10"/>
  <c r="E11326" i="10"/>
  <c r="D11326" i="10"/>
  <c r="C11326" i="10"/>
  <c r="B11326" i="10"/>
  <c r="A11326" i="10"/>
  <c r="E11325" i="10"/>
  <c r="D11325" i="10"/>
  <c r="C11325" i="10"/>
  <c r="B11325" i="10"/>
  <c r="A11325" i="10"/>
  <c r="E11324" i="10"/>
  <c r="D11324" i="10"/>
  <c r="C11324" i="10"/>
  <c r="B11324" i="10"/>
  <c r="A11324" i="10"/>
  <c r="E11323" i="10"/>
  <c r="D11323" i="10"/>
  <c r="C11323" i="10"/>
  <c r="B11323" i="10"/>
  <c r="A11323" i="10"/>
  <c r="E11322" i="10"/>
  <c r="D11322" i="10"/>
  <c r="C11322" i="10"/>
  <c r="B11322" i="10"/>
  <c r="A11322" i="10"/>
  <c r="E11321" i="10"/>
  <c r="D11321" i="10"/>
  <c r="C11321" i="10"/>
  <c r="B11321" i="10"/>
  <c r="A11321" i="10"/>
  <c r="E11320" i="10"/>
  <c r="D11320" i="10"/>
  <c r="C11320" i="10"/>
  <c r="B11320" i="10"/>
  <c r="A11320" i="10"/>
  <c r="E11319" i="10"/>
  <c r="D11319" i="10"/>
  <c r="C11319" i="10"/>
  <c r="B11319" i="10"/>
  <c r="A11319" i="10"/>
  <c r="E11318" i="10"/>
  <c r="D11318" i="10"/>
  <c r="C11318" i="10"/>
  <c r="B11318" i="10"/>
  <c r="A11318" i="10"/>
  <c r="E11317" i="10"/>
  <c r="D11317" i="10"/>
  <c r="C11317" i="10"/>
  <c r="B11317" i="10"/>
  <c r="A11317" i="10"/>
  <c r="E11316" i="10"/>
  <c r="D11316" i="10"/>
  <c r="C11316" i="10"/>
  <c r="B11316" i="10"/>
  <c r="A11316" i="10"/>
  <c r="E11315" i="10"/>
  <c r="D11315" i="10"/>
  <c r="C11315" i="10"/>
  <c r="B11315" i="10"/>
  <c r="A11315" i="10"/>
  <c r="E11314" i="10"/>
  <c r="D11314" i="10"/>
  <c r="C11314" i="10"/>
  <c r="B11314" i="10"/>
  <c r="A11314" i="10"/>
  <c r="E11313" i="10"/>
  <c r="D11313" i="10"/>
  <c r="C11313" i="10"/>
  <c r="B11313" i="10"/>
  <c r="A11313" i="10"/>
  <c r="E11312" i="10"/>
  <c r="D11312" i="10"/>
  <c r="C11312" i="10"/>
  <c r="B11312" i="10"/>
  <c r="A11312" i="10"/>
  <c r="E11311" i="10"/>
  <c r="D11311" i="10"/>
  <c r="C11311" i="10"/>
  <c r="B11311" i="10"/>
  <c r="A11311" i="10"/>
  <c r="E11310" i="10"/>
  <c r="D11310" i="10"/>
  <c r="C11310" i="10"/>
  <c r="B11310" i="10"/>
  <c r="A11310" i="10"/>
  <c r="E11309" i="10"/>
  <c r="D11309" i="10"/>
  <c r="C11309" i="10"/>
  <c r="B11309" i="10"/>
  <c r="A11309" i="10"/>
  <c r="E11308" i="10"/>
  <c r="D11308" i="10"/>
  <c r="C11308" i="10"/>
  <c r="B11308" i="10"/>
  <c r="A11308" i="10"/>
  <c r="E11307" i="10"/>
  <c r="D11307" i="10"/>
  <c r="C11307" i="10"/>
  <c r="B11307" i="10"/>
  <c r="A11307" i="10"/>
  <c r="E11306" i="10"/>
  <c r="D11306" i="10"/>
  <c r="C11306" i="10"/>
  <c r="B11306" i="10"/>
  <c r="A11306" i="10"/>
  <c r="E11305" i="10"/>
  <c r="D11305" i="10"/>
  <c r="C11305" i="10"/>
  <c r="B11305" i="10"/>
  <c r="A11305" i="10"/>
  <c r="E11304" i="10"/>
  <c r="D11304" i="10"/>
  <c r="C11304" i="10"/>
  <c r="B11304" i="10"/>
  <c r="A11304" i="10"/>
  <c r="E11303" i="10"/>
  <c r="D11303" i="10"/>
  <c r="C11303" i="10"/>
  <c r="B11303" i="10"/>
  <c r="A11303" i="10"/>
  <c r="E11302" i="10"/>
  <c r="D11302" i="10"/>
  <c r="C11302" i="10"/>
  <c r="B11302" i="10"/>
  <c r="A11302" i="10"/>
  <c r="E11301" i="10"/>
  <c r="D11301" i="10"/>
  <c r="C11301" i="10"/>
  <c r="B11301" i="10"/>
  <c r="A11301" i="10"/>
  <c r="E11300" i="10"/>
  <c r="D11300" i="10"/>
  <c r="C11300" i="10"/>
  <c r="B11300" i="10"/>
  <c r="A11300" i="10"/>
  <c r="E11299" i="10"/>
  <c r="D11299" i="10"/>
  <c r="C11299" i="10"/>
  <c r="B11299" i="10"/>
  <c r="A11299" i="10"/>
  <c r="E11298" i="10"/>
  <c r="D11298" i="10"/>
  <c r="C11298" i="10"/>
  <c r="B11298" i="10"/>
  <c r="A11298" i="10"/>
  <c r="E11297" i="10"/>
  <c r="D11297" i="10"/>
  <c r="C11297" i="10"/>
  <c r="B11297" i="10"/>
  <c r="A11297" i="10"/>
  <c r="E11296" i="10"/>
  <c r="D11296" i="10"/>
  <c r="C11296" i="10"/>
  <c r="B11296" i="10"/>
  <c r="A11296" i="10"/>
  <c r="E11295" i="10"/>
  <c r="D11295" i="10"/>
  <c r="C11295" i="10"/>
  <c r="B11295" i="10"/>
  <c r="A11295" i="10"/>
  <c r="E11294" i="10"/>
  <c r="D11294" i="10"/>
  <c r="C11294" i="10"/>
  <c r="B11294" i="10"/>
  <c r="A11294" i="10"/>
  <c r="E11293" i="10"/>
  <c r="D11293" i="10"/>
  <c r="C11293" i="10"/>
  <c r="B11293" i="10"/>
  <c r="A11293" i="10"/>
  <c r="E11292" i="10"/>
  <c r="D11292" i="10"/>
  <c r="C11292" i="10"/>
  <c r="B11292" i="10"/>
  <c r="A11292" i="10"/>
  <c r="E11291" i="10"/>
  <c r="D11291" i="10"/>
  <c r="C11291" i="10"/>
  <c r="B11291" i="10"/>
  <c r="A11291" i="10"/>
  <c r="E11290" i="10"/>
  <c r="D11290" i="10"/>
  <c r="C11290" i="10"/>
  <c r="B11290" i="10"/>
  <c r="A11290" i="10"/>
  <c r="E11289" i="10"/>
  <c r="D11289" i="10"/>
  <c r="C11289" i="10"/>
  <c r="B11289" i="10"/>
  <c r="A11289" i="10"/>
  <c r="E11288" i="10"/>
  <c r="D11288" i="10"/>
  <c r="C11288" i="10"/>
  <c r="B11288" i="10"/>
  <c r="A11288" i="10"/>
  <c r="E11287" i="10"/>
  <c r="D11287" i="10"/>
  <c r="C11287" i="10"/>
  <c r="B11287" i="10"/>
  <c r="A11287" i="10"/>
  <c r="E11286" i="10"/>
  <c r="D11286" i="10"/>
  <c r="C11286" i="10"/>
  <c r="B11286" i="10"/>
  <c r="A11286" i="10"/>
  <c r="E11285" i="10"/>
  <c r="D11285" i="10"/>
  <c r="C11285" i="10"/>
  <c r="B11285" i="10"/>
  <c r="A11285" i="10"/>
  <c r="E11284" i="10"/>
  <c r="D11284" i="10"/>
  <c r="C11284" i="10"/>
  <c r="B11284" i="10"/>
  <c r="A11284" i="10"/>
  <c r="E11283" i="10"/>
  <c r="D11283" i="10"/>
  <c r="C11283" i="10"/>
  <c r="B11283" i="10"/>
  <c r="A11283" i="10"/>
  <c r="E11282" i="10"/>
  <c r="D11282" i="10"/>
  <c r="C11282" i="10"/>
  <c r="B11282" i="10"/>
  <c r="A11282" i="10"/>
  <c r="E11281" i="10"/>
  <c r="D11281" i="10"/>
  <c r="C11281" i="10"/>
  <c r="B11281" i="10"/>
  <c r="A11281" i="10"/>
  <c r="E11280" i="10"/>
  <c r="D11280" i="10"/>
  <c r="C11280" i="10"/>
  <c r="B11280" i="10"/>
  <c r="A11280" i="10"/>
  <c r="E11279" i="10"/>
  <c r="D11279" i="10"/>
  <c r="C11279" i="10"/>
  <c r="B11279" i="10"/>
  <c r="A11279" i="10"/>
  <c r="E11278" i="10"/>
  <c r="D11278" i="10"/>
  <c r="C11278" i="10"/>
  <c r="B11278" i="10"/>
  <c r="A11278" i="10"/>
  <c r="E11277" i="10"/>
  <c r="D11277" i="10"/>
  <c r="C11277" i="10"/>
  <c r="B11277" i="10"/>
  <c r="A11277" i="10"/>
  <c r="E11276" i="10"/>
  <c r="D11276" i="10"/>
  <c r="C11276" i="10"/>
  <c r="B11276" i="10"/>
  <c r="A11276" i="10"/>
  <c r="E11275" i="10"/>
  <c r="D11275" i="10"/>
  <c r="C11275" i="10"/>
  <c r="B11275" i="10"/>
  <c r="A11275" i="10"/>
  <c r="E11274" i="10"/>
  <c r="D11274" i="10"/>
  <c r="C11274" i="10"/>
  <c r="B11274" i="10"/>
  <c r="A11274" i="10"/>
  <c r="E11273" i="10"/>
  <c r="D11273" i="10"/>
  <c r="C11273" i="10"/>
  <c r="B11273" i="10"/>
  <c r="A11273" i="10"/>
  <c r="E11272" i="10"/>
  <c r="D11272" i="10"/>
  <c r="C11272" i="10"/>
  <c r="B11272" i="10"/>
  <c r="A11272" i="10"/>
  <c r="E11271" i="10"/>
  <c r="D11271" i="10"/>
  <c r="C11271" i="10"/>
  <c r="B11271" i="10"/>
  <c r="A11271" i="10"/>
  <c r="E11270" i="10"/>
  <c r="D11270" i="10"/>
  <c r="C11270" i="10"/>
  <c r="B11270" i="10"/>
  <c r="A11270" i="10"/>
  <c r="E11269" i="10"/>
  <c r="D11269" i="10"/>
  <c r="C11269" i="10"/>
  <c r="B11269" i="10"/>
  <c r="A11269" i="10"/>
  <c r="E11268" i="10"/>
  <c r="D11268" i="10"/>
  <c r="C11268" i="10"/>
  <c r="B11268" i="10"/>
  <c r="A11268" i="10"/>
  <c r="E11267" i="10"/>
  <c r="D11267" i="10"/>
  <c r="C11267" i="10"/>
  <c r="B11267" i="10"/>
  <c r="A11267" i="10"/>
  <c r="E11266" i="10"/>
  <c r="D11266" i="10"/>
  <c r="C11266" i="10"/>
  <c r="B11266" i="10"/>
  <c r="A11266" i="10"/>
  <c r="E11265" i="10"/>
  <c r="D11265" i="10"/>
  <c r="C11265" i="10"/>
  <c r="B11265" i="10"/>
  <c r="A11265" i="10"/>
  <c r="E11264" i="10"/>
  <c r="D11264" i="10"/>
  <c r="C11264" i="10"/>
  <c r="B11264" i="10"/>
  <c r="A11264" i="10"/>
  <c r="E11263" i="10"/>
  <c r="D11263" i="10"/>
  <c r="C11263" i="10"/>
  <c r="B11263" i="10"/>
  <c r="A11263" i="10"/>
  <c r="E11262" i="10"/>
  <c r="D11262" i="10"/>
  <c r="C11262" i="10"/>
  <c r="B11262" i="10"/>
  <c r="A11262" i="10"/>
  <c r="E11261" i="10"/>
  <c r="D11261" i="10"/>
  <c r="C11261" i="10"/>
  <c r="B11261" i="10"/>
  <c r="A11261" i="10"/>
  <c r="E11260" i="10"/>
  <c r="D11260" i="10"/>
  <c r="C11260" i="10"/>
  <c r="B11260" i="10"/>
  <c r="A11260" i="10"/>
  <c r="E11259" i="10"/>
  <c r="D11259" i="10"/>
  <c r="C11259" i="10"/>
  <c r="B11259" i="10"/>
  <c r="A11259" i="10"/>
  <c r="E11258" i="10"/>
  <c r="D11258" i="10"/>
  <c r="C11258" i="10"/>
  <c r="B11258" i="10"/>
  <c r="A11258" i="10"/>
  <c r="E11257" i="10"/>
  <c r="D11257" i="10"/>
  <c r="C11257" i="10"/>
  <c r="B11257" i="10"/>
  <c r="A11257" i="10"/>
  <c r="E11256" i="10"/>
  <c r="D11256" i="10"/>
  <c r="C11256" i="10"/>
  <c r="B11256" i="10"/>
  <c r="A11256" i="10"/>
  <c r="E11255" i="10"/>
  <c r="D11255" i="10"/>
  <c r="C11255" i="10"/>
  <c r="B11255" i="10"/>
  <c r="A11255" i="10"/>
  <c r="E11254" i="10"/>
  <c r="D11254" i="10"/>
  <c r="C11254" i="10"/>
  <c r="B11254" i="10"/>
  <c r="A11254" i="10"/>
  <c r="E11253" i="10"/>
  <c r="D11253" i="10"/>
  <c r="C11253" i="10"/>
  <c r="B11253" i="10"/>
  <c r="A11253" i="10"/>
  <c r="E11252" i="10"/>
  <c r="D11252" i="10"/>
  <c r="C11252" i="10"/>
  <c r="B11252" i="10"/>
  <c r="A11252" i="10"/>
  <c r="E11251" i="10"/>
  <c r="D11251" i="10"/>
  <c r="C11251" i="10"/>
  <c r="B11251" i="10"/>
  <c r="A11251" i="10"/>
  <c r="E11250" i="10"/>
  <c r="D11250" i="10"/>
  <c r="C11250" i="10"/>
  <c r="B11250" i="10"/>
  <c r="A11250" i="10"/>
  <c r="E11249" i="10"/>
  <c r="D11249" i="10"/>
  <c r="C11249" i="10"/>
  <c r="B11249" i="10"/>
  <c r="A11249" i="10"/>
  <c r="E11248" i="10"/>
  <c r="D11248" i="10"/>
  <c r="C11248" i="10"/>
  <c r="B11248" i="10"/>
  <c r="A11248" i="10"/>
  <c r="E11247" i="10"/>
  <c r="D11247" i="10"/>
  <c r="C11247" i="10"/>
  <c r="B11247" i="10"/>
  <c r="A11247" i="10"/>
  <c r="E11246" i="10"/>
  <c r="D11246" i="10"/>
  <c r="C11246" i="10"/>
  <c r="B11246" i="10"/>
  <c r="A11246" i="10"/>
  <c r="E11245" i="10"/>
  <c r="D11245" i="10"/>
  <c r="C11245" i="10"/>
  <c r="B11245" i="10"/>
  <c r="A11245" i="10"/>
  <c r="E11244" i="10"/>
  <c r="D11244" i="10"/>
  <c r="C11244" i="10"/>
  <c r="B11244" i="10"/>
  <c r="A11244" i="10"/>
  <c r="E11243" i="10"/>
  <c r="D11243" i="10"/>
  <c r="C11243" i="10"/>
  <c r="B11243" i="10"/>
  <c r="A11243" i="10"/>
  <c r="E11242" i="10"/>
  <c r="D11242" i="10"/>
  <c r="C11242" i="10"/>
  <c r="B11242" i="10"/>
  <c r="A11242" i="10"/>
  <c r="E11241" i="10"/>
  <c r="D11241" i="10"/>
  <c r="C11241" i="10"/>
  <c r="B11241" i="10"/>
  <c r="A11241" i="10"/>
  <c r="E11240" i="10"/>
  <c r="D11240" i="10"/>
  <c r="C11240" i="10"/>
  <c r="B11240" i="10"/>
  <c r="A11240" i="10"/>
  <c r="E11239" i="10"/>
  <c r="D11239" i="10"/>
  <c r="C11239" i="10"/>
  <c r="B11239" i="10"/>
  <c r="A11239" i="10"/>
  <c r="E11238" i="10"/>
  <c r="D11238" i="10"/>
  <c r="C11238" i="10"/>
  <c r="B11238" i="10"/>
  <c r="A11238" i="10"/>
  <c r="E11237" i="10"/>
  <c r="D11237" i="10"/>
  <c r="C11237" i="10"/>
  <c r="B11237" i="10"/>
  <c r="A11237" i="10"/>
  <c r="E11236" i="10"/>
  <c r="D11236" i="10"/>
  <c r="C11236" i="10"/>
  <c r="B11236" i="10"/>
  <c r="A11236" i="10"/>
  <c r="E11235" i="10"/>
  <c r="D11235" i="10"/>
  <c r="C11235" i="10"/>
  <c r="B11235" i="10"/>
  <c r="A11235" i="10"/>
  <c r="E11234" i="10"/>
  <c r="D11234" i="10"/>
  <c r="C11234" i="10"/>
  <c r="B11234" i="10"/>
  <c r="A11234" i="10"/>
  <c r="E11233" i="10"/>
  <c r="D11233" i="10"/>
  <c r="C11233" i="10"/>
  <c r="B11233" i="10"/>
  <c r="A11233" i="10"/>
  <c r="E11232" i="10"/>
  <c r="D11232" i="10"/>
  <c r="C11232" i="10"/>
  <c r="B11232" i="10"/>
  <c r="A11232" i="10"/>
  <c r="E11231" i="10"/>
  <c r="D11231" i="10"/>
  <c r="C11231" i="10"/>
  <c r="B11231" i="10"/>
  <c r="A11231" i="10"/>
  <c r="E11230" i="10"/>
  <c r="D11230" i="10"/>
  <c r="C11230" i="10"/>
  <c r="B11230" i="10"/>
  <c r="A11230" i="10"/>
  <c r="E11229" i="10"/>
  <c r="D11229" i="10"/>
  <c r="C11229" i="10"/>
  <c r="B11229" i="10"/>
  <c r="A11229" i="10"/>
  <c r="E11228" i="10"/>
  <c r="D11228" i="10"/>
  <c r="C11228" i="10"/>
  <c r="B11228" i="10"/>
  <c r="A11228" i="10"/>
  <c r="E11227" i="10"/>
  <c r="D11227" i="10"/>
  <c r="C11227" i="10"/>
  <c r="B11227" i="10"/>
  <c r="A11227" i="10"/>
  <c r="E11226" i="10"/>
  <c r="D11226" i="10"/>
  <c r="C11226" i="10"/>
  <c r="B11226" i="10"/>
  <c r="A11226" i="10"/>
  <c r="E11225" i="10"/>
  <c r="D11225" i="10"/>
  <c r="C11225" i="10"/>
  <c r="B11225" i="10"/>
  <c r="A11225" i="10"/>
  <c r="E11224" i="10"/>
  <c r="D11224" i="10"/>
  <c r="C11224" i="10"/>
  <c r="B11224" i="10"/>
  <c r="A11224" i="10"/>
  <c r="E11223" i="10"/>
  <c r="D11223" i="10"/>
  <c r="C11223" i="10"/>
  <c r="B11223" i="10"/>
  <c r="A11223" i="10"/>
  <c r="E11222" i="10"/>
  <c r="D11222" i="10"/>
  <c r="C11222" i="10"/>
  <c r="B11222" i="10"/>
  <c r="A11222" i="10"/>
  <c r="E11221" i="10"/>
  <c r="D11221" i="10"/>
  <c r="C11221" i="10"/>
  <c r="B11221" i="10"/>
  <c r="A11221" i="10"/>
  <c r="E11220" i="10"/>
  <c r="D11220" i="10"/>
  <c r="C11220" i="10"/>
  <c r="B11220" i="10"/>
  <c r="A11220" i="10"/>
  <c r="E11219" i="10"/>
  <c r="D11219" i="10"/>
  <c r="C11219" i="10"/>
  <c r="B11219" i="10"/>
  <c r="A11219" i="10"/>
  <c r="E11218" i="10"/>
  <c r="D11218" i="10"/>
  <c r="C11218" i="10"/>
  <c r="B11218" i="10"/>
  <c r="A11218" i="10"/>
  <c r="E11217" i="10"/>
  <c r="D11217" i="10"/>
  <c r="C11217" i="10"/>
  <c r="B11217" i="10"/>
  <c r="A11217" i="10"/>
  <c r="E11216" i="10"/>
  <c r="D11216" i="10"/>
  <c r="C11216" i="10"/>
  <c r="B11216" i="10"/>
  <c r="A11216" i="10"/>
  <c r="E11215" i="10"/>
  <c r="D11215" i="10"/>
  <c r="C11215" i="10"/>
  <c r="B11215" i="10"/>
  <c r="A11215" i="10"/>
  <c r="E11214" i="10"/>
  <c r="D11214" i="10"/>
  <c r="C11214" i="10"/>
  <c r="B11214" i="10"/>
  <c r="A11214" i="10"/>
  <c r="E11213" i="10"/>
  <c r="D11213" i="10"/>
  <c r="C11213" i="10"/>
  <c r="B11213" i="10"/>
  <c r="A11213" i="10"/>
  <c r="E11212" i="10"/>
  <c r="D11212" i="10"/>
  <c r="C11212" i="10"/>
  <c r="B11212" i="10"/>
  <c r="A11212" i="10"/>
  <c r="E11211" i="10"/>
  <c r="D11211" i="10"/>
  <c r="C11211" i="10"/>
  <c r="B11211" i="10"/>
  <c r="A11211" i="10"/>
  <c r="E11210" i="10"/>
  <c r="D11210" i="10"/>
  <c r="C11210" i="10"/>
  <c r="B11210" i="10"/>
  <c r="A11210" i="10"/>
  <c r="E11209" i="10"/>
  <c r="D11209" i="10"/>
  <c r="C11209" i="10"/>
  <c r="B11209" i="10"/>
  <c r="A11209" i="10"/>
  <c r="E11208" i="10"/>
  <c r="D11208" i="10"/>
  <c r="C11208" i="10"/>
  <c r="B11208" i="10"/>
  <c r="A11208" i="10"/>
  <c r="E11207" i="10"/>
  <c r="D11207" i="10"/>
  <c r="C11207" i="10"/>
  <c r="B11207" i="10"/>
  <c r="A11207" i="10"/>
  <c r="E11206" i="10"/>
  <c r="D11206" i="10"/>
  <c r="C11206" i="10"/>
  <c r="B11206" i="10"/>
  <c r="A11206" i="10"/>
  <c r="E11205" i="10"/>
  <c r="D11205" i="10"/>
  <c r="C11205" i="10"/>
  <c r="B11205" i="10"/>
  <c r="A11205" i="10"/>
  <c r="E11204" i="10"/>
  <c r="D11204" i="10"/>
  <c r="C11204" i="10"/>
  <c r="B11204" i="10"/>
  <c r="A11204" i="10"/>
  <c r="E11203" i="10"/>
  <c r="D11203" i="10"/>
  <c r="C11203" i="10"/>
  <c r="B11203" i="10"/>
  <c r="A11203" i="10"/>
  <c r="E11202" i="10"/>
  <c r="D11202" i="10"/>
  <c r="C11202" i="10"/>
  <c r="B11202" i="10"/>
  <c r="A11202" i="10"/>
  <c r="E11201" i="10"/>
  <c r="D11201" i="10"/>
  <c r="C11201" i="10"/>
  <c r="B11201" i="10"/>
  <c r="A11201" i="10"/>
  <c r="E11200" i="10"/>
  <c r="D11200" i="10"/>
  <c r="C11200" i="10"/>
  <c r="B11200" i="10"/>
  <c r="A11200" i="10"/>
  <c r="E11199" i="10"/>
  <c r="D11199" i="10"/>
  <c r="C11199" i="10"/>
  <c r="B11199" i="10"/>
  <c r="A11199" i="10"/>
  <c r="E11198" i="10"/>
  <c r="D11198" i="10"/>
  <c r="C11198" i="10"/>
  <c r="B11198" i="10"/>
  <c r="A11198" i="10"/>
  <c r="E11197" i="10"/>
  <c r="D11197" i="10"/>
  <c r="C11197" i="10"/>
  <c r="B11197" i="10"/>
  <c r="A11197" i="10"/>
  <c r="E11196" i="10"/>
  <c r="D11196" i="10"/>
  <c r="C11196" i="10"/>
  <c r="B11196" i="10"/>
  <c r="A11196" i="10"/>
  <c r="E11195" i="10"/>
  <c r="D11195" i="10"/>
  <c r="C11195" i="10"/>
  <c r="B11195" i="10"/>
  <c r="A11195" i="10"/>
  <c r="E11194" i="10"/>
  <c r="D11194" i="10"/>
  <c r="C11194" i="10"/>
  <c r="B11194" i="10"/>
  <c r="A11194" i="10"/>
  <c r="E11193" i="10"/>
  <c r="D11193" i="10"/>
  <c r="C11193" i="10"/>
  <c r="B11193" i="10"/>
  <c r="A11193" i="10"/>
  <c r="E11192" i="10"/>
  <c r="D11192" i="10"/>
  <c r="C11192" i="10"/>
  <c r="B11192" i="10"/>
  <c r="A11192" i="10"/>
  <c r="E11191" i="10"/>
  <c r="D11191" i="10"/>
  <c r="C11191" i="10"/>
  <c r="B11191" i="10"/>
  <c r="A11191" i="10"/>
  <c r="E11190" i="10"/>
  <c r="D11190" i="10"/>
  <c r="C11190" i="10"/>
  <c r="B11190" i="10"/>
  <c r="A11190" i="10"/>
  <c r="E11189" i="10"/>
  <c r="D11189" i="10"/>
  <c r="C11189" i="10"/>
  <c r="B11189" i="10"/>
  <c r="A11189" i="10"/>
  <c r="E11188" i="10"/>
  <c r="D11188" i="10"/>
  <c r="C11188" i="10"/>
  <c r="B11188" i="10"/>
  <c r="A11188" i="10"/>
  <c r="E11187" i="10"/>
  <c r="D11187" i="10"/>
  <c r="C11187" i="10"/>
  <c r="B11187" i="10"/>
  <c r="A11187" i="10"/>
  <c r="E11186" i="10"/>
  <c r="D11186" i="10"/>
  <c r="C11186" i="10"/>
  <c r="B11186" i="10"/>
  <c r="A11186" i="10"/>
  <c r="E11185" i="10"/>
  <c r="D11185" i="10"/>
  <c r="C11185" i="10"/>
  <c r="B11185" i="10"/>
  <c r="A11185" i="10"/>
  <c r="E11184" i="10"/>
  <c r="D11184" i="10"/>
  <c r="C11184" i="10"/>
  <c r="B11184" i="10"/>
  <c r="A11184" i="10"/>
  <c r="E11183" i="10"/>
  <c r="D11183" i="10"/>
  <c r="C11183" i="10"/>
  <c r="B11183" i="10"/>
  <c r="A11183" i="10"/>
  <c r="E11182" i="10"/>
  <c r="D11182" i="10"/>
  <c r="C11182" i="10"/>
  <c r="B11182" i="10"/>
  <c r="A11182" i="10"/>
  <c r="E11181" i="10"/>
  <c r="D11181" i="10"/>
  <c r="C11181" i="10"/>
  <c r="B11181" i="10"/>
  <c r="A11181" i="10"/>
  <c r="E11180" i="10"/>
  <c r="D11180" i="10"/>
  <c r="C11180" i="10"/>
  <c r="B11180" i="10"/>
  <c r="A11180" i="10"/>
  <c r="E11179" i="10"/>
  <c r="D11179" i="10"/>
  <c r="C11179" i="10"/>
  <c r="B11179" i="10"/>
  <c r="A11179" i="10"/>
  <c r="E11178" i="10"/>
  <c r="D11178" i="10"/>
  <c r="C11178" i="10"/>
  <c r="B11178" i="10"/>
  <c r="A11178" i="10"/>
  <c r="E11177" i="10"/>
  <c r="D11177" i="10"/>
  <c r="C11177" i="10"/>
  <c r="B11177" i="10"/>
  <c r="A11177" i="10"/>
  <c r="E11176" i="10"/>
  <c r="D11176" i="10"/>
  <c r="C11176" i="10"/>
  <c r="B11176" i="10"/>
  <c r="A11176" i="10"/>
  <c r="E11175" i="10"/>
  <c r="D11175" i="10"/>
  <c r="C11175" i="10"/>
  <c r="B11175" i="10"/>
  <c r="A11175" i="10"/>
  <c r="E11174" i="10"/>
  <c r="D11174" i="10"/>
  <c r="C11174" i="10"/>
  <c r="B11174" i="10"/>
  <c r="A11174" i="10"/>
  <c r="E11173" i="10"/>
  <c r="D11173" i="10"/>
  <c r="C11173" i="10"/>
  <c r="B11173" i="10"/>
  <c r="A11173" i="10"/>
  <c r="E11172" i="10"/>
  <c r="D11172" i="10"/>
  <c r="C11172" i="10"/>
  <c r="B11172" i="10"/>
  <c r="A11172" i="10"/>
  <c r="E11171" i="10"/>
  <c r="D11171" i="10"/>
  <c r="C11171" i="10"/>
  <c r="B11171" i="10"/>
  <c r="A11171" i="10"/>
  <c r="E11170" i="10"/>
  <c r="D11170" i="10"/>
  <c r="C11170" i="10"/>
  <c r="B11170" i="10"/>
  <c r="A11170" i="10"/>
  <c r="E11169" i="10"/>
  <c r="D11169" i="10"/>
  <c r="C11169" i="10"/>
  <c r="B11169" i="10"/>
  <c r="A11169" i="10"/>
  <c r="E11168" i="10"/>
  <c r="D11168" i="10"/>
  <c r="C11168" i="10"/>
  <c r="B11168" i="10"/>
  <c r="A11168" i="10"/>
  <c r="E11167" i="10"/>
  <c r="D11167" i="10"/>
  <c r="C11167" i="10"/>
  <c r="B11167" i="10"/>
  <c r="A11167" i="10"/>
  <c r="E11166" i="10"/>
  <c r="D11166" i="10"/>
  <c r="C11166" i="10"/>
  <c r="B11166" i="10"/>
  <c r="A11166" i="10"/>
  <c r="E11165" i="10"/>
  <c r="D11165" i="10"/>
  <c r="C11165" i="10"/>
  <c r="B11165" i="10"/>
  <c r="A11165" i="10"/>
  <c r="E11164" i="10"/>
  <c r="D11164" i="10"/>
  <c r="C11164" i="10"/>
  <c r="B11164" i="10"/>
  <c r="A11164" i="10"/>
  <c r="E11163" i="10"/>
  <c r="D11163" i="10"/>
  <c r="C11163" i="10"/>
  <c r="B11163" i="10"/>
  <c r="A11163" i="10"/>
  <c r="E11162" i="10"/>
  <c r="D11162" i="10"/>
  <c r="C11162" i="10"/>
  <c r="B11162" i="10"/>
  <c r="A11162" i="10"/>
  <c r="E11161" i="10"/>
  <c r="D11161" i="10"/>
  <c r="C11161" i="10"/>
  <c r="B11161" i="10"/>
  <c r="A11161" i="10"/>
  <c r="E11160" i="10"/>
  <c r="D11160" i="10"/>
  <c r="C11160" i="10"/>
  <c r="B11160" i="10"/>
  <c r="A11160" i="10"/>
  <c r="E11159" i="10"/>
  <c r="D11159" i="10"/>
  <c r="C11159" i="10"/>
  <c r="B11159" i="10"/>
  <c r="A11159" i="10"/>
  <c r="E11158" i="10"/>
  <c r="D11158" i="10"/>
  <c r="C11158" i="10"/>
  <c r="B11158" i="10"/>
  <c r="A11158" i="10"/>
  <c r="E11157" i="10"/>
  <c r="D11157" i="10"/>
  <c r="C11157" i="10"/>
  <c r="B11157" i="10"/>
  <c r="A11157" i="10"/>
  <c r="E11156" i="10"/>
  <c r="D11156" i="10"/>
  <c r="C11156" i="10"/>
  <c r="B11156" i="10"/>
  <c r="A11156" i="10"/>
  <c r="E11155" i="10"/>
  <c r="D11155" i="10"/>
  <c r="C11155" i="10"/>
  <c r="B11155" i="10"/>
  <c r="A11155" i="10"/>
  <c r="E11154" i="10"/>
  <c r="D11154" i="10"/>
  <c r="C11154" i="10"/>
  <c r="B11154" i="10"/>
  <c r="A11154" i="10"/>
  <c r="E11153" i="10"/>
  <c r="D11153" i="10"/>
  <c r="C11153" i="10"/>
  <c r="B11153" i="10"/>
  <c r="A11153" i="10"/>
  <c r="E11152" i="10"/>
  <c r="D11152" i="10"/>
  <c r="C11152" i="10"/>
  <c r="B11152" i="10"/>
  <c r="A11152" i="10"/>
  <c r="E11151" i="10"/>
  <c r="D11151" i="10"/>
  <c r="C11151" i="10"/>
  <c r="B11151" i="10"/>
  <c r="A11151" i="10"/>
  <c r="E11150" i="10"/>
  <c r="D11150" i="10"/>
  <c r="C11150" i="10"/>
  <c r="B11150" i="10"/>
  <c r="A11150" i="10"/>
  <c r="E11149" i="10"/>
  <c r="D11149" i="10"/>
  <c r="C11149" i="10"/>
  <c r="B11149" i="10"/>
  <c r="A11149" i="10"/>
  <c r="E11148" i="10"/>
  <c r="D11148" i="10"/>
  <c r="C11148" i="10"/>
  <c r="B11148" i="10"/>
  <c r="A11148" i="10"/>
  <c r="E11147" i="10"/>
  <c r="D11147" i="10"/>
  <c r="C11147" i="10"/>
  <c r="B11147" i="10"/>
  <c r="A11147" i="10"/>
  <c r="E11146" i="10"/>
  <c r="D11146" i="10"/>
  <c r="C11146" i="10"/>
  <c r="B11146" i="10"/>
  <c r="A11146" i="10"/>
  <c r="E11145" i="10"/>
  <c r="D11145" i="10"/>
  <c r="C11145" i="10"/>
  <c r="B11145" i="10"/>
  <c r="A11145" i="10"/>
  <c r="E11144" i="10"/>
  <c r="D11144" i="10"/>
  <c r="C11144" i="10"/>
  <c r="B11144" i="10"/>
  <c r="A11144" i="10"/>
  <c r="E11143" i="10"/>
  <c r="D11143" i="10"/>
  <c r="C11143" i="10"/>
  <c r="B11143" i="10"/>
  <c r="A11143" i="10"/>
  <c r="E11142" i="10"/>
  <c r="D11142" i="10"/>
  <c r="C11142" i="10"/>
  <c r="B11142" i="10"/>
  <c r="A11142" i="10"/>
  <c r="E11141" i="10"/>
  <c r="D11141" i="10"/>
  <c r="C11141" i="10"/>
  <c r="B11141" i="10"/>
  <c r="A11141" i="10"/>
  <c r="E11140" i="10"/>
  <c r="D11140" i="10"/>
  <c r="C11140" i="10"/>
  <c r="B11140" i="10"/>
  <c r="A11140" i="10"/>
  <c r="E11139" i="10"/>
  <c r="D11139" i="10"/>
  <c r="C11139" i="10"/>
  <c r="B11139" i="10"/>
  <c r="A11139" i="10"/>
  <c r="E11138" i="10"/>
  <c r="D11138" i="10"/>
  <c r="C11138" i="10"/>
  <c r="B11138" i="10"/>
  <c r="A11138" i="10"/>
  <c r="E11137" i="10"/>
  <c r="D11137" i="10"/>
  <c r="C11137" i="10"/>
  <c r="B11137" i="10"/>
  <c r="A11137" i="10"/>
  <c r="E11136" i="10"/>
  <c r="D11136" i="10"/>
  <c r="C11136" i="10"/>
  <c r="B11136" i="10"/>
  <c r="A11136" i="10"/>
  <c r="E11135" i="10"/>
  <c r="D11135" i="10"/>
  <c r="C11135" i="10"/>
  <c r="B11135" i="10"/>
  <c r="A11135" i="10"/>
  <c r="E11134" i="10"/>
  <c r="D11134" i="10"/>
  <c r="C11134" i="10"/>
  <c r="B11134" i="10"/>
  <c r="A11134" i="10"/>
  <c r="E11133" i="10"/>
  <c r="D11133" i="10"/>
  <c r="C11133" i="10"/>
  <c r="B11133" i="10"/>
  <c r="A11133" i="10"/>
  <c r="E11132" i="10"/>
  <c r="D11132" i="10"/>
  <c r="C11132" i="10"/>
  <c r="B11132" i="10"/>
  <c r="A11132" i="10"/>
  <c r="E11131" i="10"/>
  <c r="D11131" i="10"/>
  <c r="C11131" i="10"/>
  <c r="B11131" i="10"/>
  <c r="A11131" i="10"/>
  <c r="E11130" i="10"/>
  <c r="D11130" i="10"/>
  <c r="C11130" i="10"/>
  <c r="B11130" i="10"/>
  <c r="A11130" i="10"/>
  <c r="E11129" i="10"/>
  <c r="D11129" i="10"/>
  <c r="C11129" i="10"/>
  <c r="B11129" i="10"/>
  <c r="A11129" i="10"/>
  <c r="E11128" i="10"/>
  <c r="D11128" i="10"/>
  <c r="C11128" i="10"/>
  <c r="B11128" i="10"/>
  <c r="A11128" i="10"/>
  <c r="E11127" i="10"/>
  <c r="D11127" i="10"/>
  <c r="C11127" i="10"/>
  <c r="B11127" i="10"/>
  <c r="A11127" i="10"/>
  <c r="E11126" i="10"/>
  <c r="D11126" i="10"/>
  <c r="C11126" i="10"/>
  <c r="B11126" i="10"/>
  <c r="A11126" i="10"/>
  <c r="E11125" i="10"/>
  <c r="D11125" i="10"/>
  <c r="C11125" i="10"/>
  <c r="B11125" i="10"/>
  <c r="A11125" i="10"/>
  <c r="E11124" i="10"/>
  <c r="D11124" i="10"/>
  <c r="C11124" i="10"/>
  <c r="B11124" i="10"/>
  <c r="A11124" i="10"/>
  <c r="E11123" i="10"/>
  <c r="D11123" i="10"/>
  <c r="C11123" i="10"/>
  <c r="B11123" i="10"/>
  <c r="A11123" i="10"/>
  <c r="E11122" i="10"/>
  <c r="D11122" i="10"/>
  <c r="C11122" i="10"/>
  <c r="B11122" i="10"/>
  <c r="A11122" i="10"/>
  <c r="E11121" i="10"/>
  <c r="D11121" i="10"/>
  <c r="C11121" i="10"/>
  <c r="B11121" i="10"/>
  <c r="A11121" i="10"/>
  <c r="E11120" i="10"/>
  <c r="D11120" i="10"/>
  <c r="C11120" i="10"/>
  <c r="B11120" i="10"/>
  <c r="A11120" i="10"/>
  <c r="E11119" i="10"/>
  <c r="D11119" i="10"/>
  <c r="C11119" i="10"/>
  <c r="B11119" i="10"/>
  <c r="A11119" i="10"/>
  <c r="E11118" i="10"/>
  <c r="D11118" i="10"/>
  <c r="C11118" i="10"/>
  <c r="B11118" i="10"/>
  <c r="A11118" i="10"/>
  <c r="E11117" i="10"/>
  <c r="D11117" i="10"/>
  <c r="C11117" i="10"/>
  <c r="B11117" i="10"/>
  <c r="A11117" i="10"/>
  <c r="E11116" i="10"/>
  <c r="D11116" i="10"/>
  <c r="C11116" i="10"/>
  <c r="B11116" i="10"/>
  <c r="A11116" i="10"/>
  <c r="E11115" i="10"/>
  <c r="D11115" i="10"/>
  <c r="C11115" i="10"/>
  <c r="B11115" i="10"/>
  <c r="A11115" i="10"/>
  <c r="E11114" i="10"/>
  <c r="D11114" i="10"/>
  <c r="C11114" i="10"/>
  <c r="B11114" i="10"/>
  <c r="A11114" i="10"/>
  <c r="E11113" i="10"/>
  <c r="D11113" i="10"/>
  <c r="C11113" i="10"/>
  <c r="B11113" i="10"/>
  <c r="A11113" i="10"/>
  <c r="E11112" i="10"/>
  <c r="D11112" i="10"/>
  <c r="C11112" i="10"/>
  <c r="B11112" i="10"/>
  <c r="A11112" i="10"/>
  <c r="E11111" i="10"/>
  <c r="D11111" i="10"/>
  <c r="C11111" i="10"/>
  <c r="B11111" i="10"/>
  <c r="A11111" i="10"/>
  <c r="E11110" i="10"/>
  <c r="D11110" i="10"/>
  <c r="C11110" i="10"/>
  <c r="B11110" i="10"/>
  <c r="A11110" i="10"/>
  <c r="E11109" i="10"/>
  <c r="D11109" i="10"/>
  <c r="C11109" i="10"/>
  <c r="B11109" i="10"/>
  <c r="A11109" i="10"/>
  <c r="E11108" i="10"/>
  <c r="D11108" i="10"/>
  <c r="C11108" i="10"/>
  <c r="B11108" i="10"/>
  <c r="A11108" i="10"/>
  <c r="E11107" i="10"/>
  <c r="D11107" i="10"/>
  <c r="C11107" i="10"/>
  <c r="B11107" i="10"/>
  <c r="A11107" i="10"/>
  <c r="E11106" i="10"/>
  <c r="D11106" i="10"/>
  <c r="C11106" i="10"/>
  <c r="B11106" i="10"/>
  <c r="A11106" i="10"/>
  <c r="E11105" i="10"/>
  <c r="D11105" i="10"/>
  <c r="C11105" i="10"/>
  <c r="B11105" i="10"/>
  <c r="A11105" i="10"/>
  <c r="E11104" i="10"/>
  <c r="D11104" i="10"/>
  <c r="C11104" i="10"/>
  <c r="B11104" i="10"/>
  <c r="A11104" i="10"/>
  <c r="E11103" i="10"/>
  <c r="D11103" i="10"/>
  <c r="C11103" i="10"/>
  <c r="B11103" i="10"/>
  <c r="A11103" i="10"/>
  <c r="E11102" i="10"/>
  <c r="D11102" i="10"/>
  <c r="C11102" i="10"/>
  <c r="B11102" i="10"/>
  <c r="A11102" i="10"/>
  <c r="E11101" i="10"/>
  <c r="D11101" i="10"/>
  <c r="C11101" i="10"/>
  <c r="B11101" i="10"/>
  <c r="A11101" i="10"/>
  <c r="E11100" i="10"/>
  <c r="D11100" i="10"/>
  <c r="C11100" i="10"/>
  <c r="B11100" i="10"/>
  <c r="A11100" i="10"/>
  <c r="E11099" i="10"/>
  <c r="D11099" i="10"/>
  <c r="C11099" i="10"/>
  <c r="B11099" i="10"/>
  <c r="A11099" i="10"/>
  <c r="E11098" i="10"/>
  <c r="D11098" i="10"/>
  <c r="C11098" i="10"/>
  <c r="B11098" i="10"/>
  <c r="A11098" i="10"/>
  <c r="E11097" i="10"/>
  <c r="D11097" i="10"/>
  <c r="C11097" i="10"/>
  <c r="B11097" i="10"/>
  <c r="A11097" i="10"/>
  <c r="E11096" i="10"/>
  <c r="D11096" i="10"/>
  <c r="C11096" i="10"/>
  <c r="B11096" i="10"/>
  <c r="A11096" i="10"/>
  <c r="E11095" i="10"/>
  <c r="D11095" i="10"/>
  <c r="C11095" i="10"/>
  <c r="B11095" i="10"/>
  <c r="A11095" i="10"/>
  <c r="E11094" i="10"/>
  <c r="D11094" i="10"/>
  <c r="C11094" i="10"/>
  <c r="B11094" i="10"/>
  <c r="A11094" i="10"/>
  <c r="E11093" i="10"/>
  <c r="D11093" i="10"/>
  <c r="C11093" i="10"/>
  <c r="B11093" i="10"/>
  <c r="A11093" i="10"/>
  <c r="E11092" i="10"/>
  <c r="D11092" i="10"/>
  <c r="C11092" i="10"/>
  <c r="B11092" i="10"/>
  <c r="A11092" i="10"/>
  <c r="E11091" i="10"/>
  <c r="D11091" i="10"/>
  <c r="C11091" i="10"/>
  <c r="B11091" i="10"/>
  <c r="A11091" i="10"/>
  <c r="E11090" i="10"/>
  <c r="D11090" i="10"/>
  <c r="C11090" i="10"/>
  <c r="B11090" i="10"/>
  <c r="A11090" i="10"/>
  <c r="E11089" i="10"/>
  <c r="D11089" i="10"/>
  <c r="C11089" i="10"/>
  <c r="B11089" i="10"/>
  <c r="A11089" i="10"/>
  <c r="E11088" i="10"/>
  <c r="D11088" i="10"/>
  <c r="C11088" i="10"/>
  <c r="B11088" i="10"/>
  <c r="A11088" i="10"/>
  <c r="E11087" i="10"/>
  <c r="D11087" i="10"/>
  <c r="C11087" i="10"/>
  <c r="B11087" i="10"/>
  <c r="A11087" i="10"/>
  <c r="E11086" i="10"/>
  <c r="D11086" i="10"/>
  <c r="C11086" i="10"/>
  <c r="B11086" i="10"/>
  <c r="A11086" i="10"/>
  <c r="E11085" i="10"/>
  <c r="D11085" i="10"/>
  <c r="C11085" i="10"/>
  <c r="B11085" i="10"/>
  <c r="A11085" i="10"/>
  <c r="E11084" i="10"/>
  <c r="D11084" i="10"/>
  <c r="C11084" i="10"/>
  <c r="B11084" i="10"/>
  <c r="A11084" i="10"/>
  <c r="E11083" i="10"/>
  <c r="D11083" i="10"/>
  <c r="C11083" i="10"/>
  <c r="B11083" i="10"/>
  <c r="A11083" i="10"/>
  <c r="E11082" i="10"/>
  <c r="D11082" i="10"/>
  <c r="C11082" i="10"/>
  <c r="B11082" i="10"/>
  <c r="A11082" i="10"/>
  <c r="E11081" i="10"/>
  <c r="D11081" i="10"/>
  <c r="C11081" i="10"/>
  <c r="B11081" i="10"/>
  <c r="A11081" i="10"/>
  <c r="E11080" i="10"/>
  <c r="D11080" i="10"/>
  <c r="C11080" i="10"/>
  <c r="B11080" i="10"/>
  <c r="A11080" i="10"/>
  <c r="E11079" i="10"/>
  <c r="D11079" i="10"/>
  <c r="C11079" i="10"/>
  <c r="B11079" i="10"/>
  <c r="A11079" i="10"/>
  <c r="E11078" i="10"/>
  <c r="D11078" i="10"/>
  <c r="C11078" i="10"/>
  <c r="B11078" i="10"/>
  <c r="A11078" i="10"/>
  <c r="E11077" i="10"/>
  <c r="D11077" i="10"/>
  <c r="C11077" i="10"/>
  <c r="B11077" i="10"/>
  <c r="A11077" i="10"/>
  <c r="E11076" i="10"/>
  <c r="D11076" i="10"/>
  <c r="C11076" i="10"/>
  <c r="B11076" i="10"/>
  <c r="A11076" i="10"/>
  <c r="E11075" i="10"/>
  <c r="D11075" i="10"/>
  <c r="C11075" i="10"/>
  <c r="B11075" i="10"/>
  <c r="A11075" i="10"/>
  <c r="E11074" i="10"/>
  <c r="D11074" i="10"/>
  <c r="C11074" i="10"/>
  <c r="B11074" i="10"/>
  <c r="A11074" i="10"/>
  <c r="E11073" i="10"/>
  <c r="D11073" i="10"/>
  <c r="C11073" i="10"/>
  <c r="B11073" i="10"/>
  <c r="A11073" i="10"/>
  <c r="E11072" i="10"/>
  <c r="D11072" i="10"/>
  <c r="C11072" i="10"/>
  <c r="B11072" i="10"/>
  <c r="A11072" i="10"/>
  <c r="E11071" i="10"/>
  <c r="D11071" i="10"/>
  <c r="C11071" i="10"/>
  <c r="B11071" i="10"/>
  <c r="A11071" i="10"/>
  <c r="E11070" i="10"/>
  <c r="D11070" i="10"/>
  <c r="C11070" i="10"/>
  <c r="B11070" i="10"/>
  <c r="A11070" i="10"/>
  <c r="E11069" i="10"/>
  <c r="D11069" i="10"/>
  <c r="C11069" i="10"/>
  <c r="B11069" i="10"/>
  <c r="A11069" i="10"/>
  <c r="E11068" i="10"/>
  <c r="D11068" i="10"/>
  <c r="C11068" i="10"/>
  <c r="B11068" i="10"/>
  <c r="A11068" i="10"/>
  <c r="E11067" i="10"/>
  <c r="D11067" i="10"/>
  <c r="C11067" i="10"/>
  <c r="B11067" i="10"/>
  <c r="A11067" i="10"/>
  <c r="E11066" i="10"/>
  <c r="D11066" i="10"/>
  <c r="C11066" i="10"/>
  <c r="B11066" i="10"/>
  <c r="A11066" i="10"/>
  <c r="E11065" i="10"/>
  <c r="D11065" i="10"/>
  <c r="C11065" i="10"/>
  <c r="B11065" i="10"/>
  <c r="A11065" i="10"/>
  <c r="E11064" i="10"/>
  <c r="D11064" i="10"/>
  <c r="C11064" i="10"/>
  <c r="B11064" i="10"/>
  <c r="A11064" i="10"/>
  <c r="E11063" i="10"/>
  <c r="D11063" i="10"/>
  <c r="C11063" i="10"/>
  <c r="B11063" i="10"/>
  <c r="A11063" i="10"/>
  <c r="E11062" i="10"/>
  <c r="D11062" i="10"/>
  <c r="C11062" i="10"/>
  <c r="B11062" i="10"/>
  <c r="A11062" i="10"/>
  <c r="E11061" i="10"/>
  <c r="D11061" i="10"/>
  <c r="C11061" i="10"/>
  <c r="B11061" i="10"/>
  <c r="A11061" i="10"/>
  <c r="E11060" i="10"/>
  <c r="D11060" i="10"/>
  <c r="C11060" i="10"/>
  <c r="B11060" i="10"/>
  <c r="A11060" i="10"/>
  <c r="E11059" i="10"/>
  <c r="D11059" i="10"/>
  <c r="C11059" i="10"/>
  <c r="B11059" i="10"/>
  <c r="A11059" i="10"/>
  <c r="E11058" i="10"/>
  <c r="D11058" i="10"/>
  <c r="C11058" i="10"/>
  <c r="B11058" i="10"/>
  <c r="A11058" i="10"/>
  <c r="E11057" i="10"/>
  <c r="D11057" i="10"/>
  <c r="C11057" i="10"/>
  <c r="B11057" i="10"/>
  <c r="A11057" i="10"/>
  <c r="E11056" i="10"/>
  <c r="D11056" i="10"/>
  <c r="C11056" i="10"/>
  <c r="B11056" i="10"/>
  <c r="A11056" i="10"/>
  <c r="E11055" i="10"/>
  <c r="D11055" i="10"/>
  <c r="C11055" i="10"/>
  <c r="B11055" i="10"/>
  <c r="A11055" i="10"/>
  <c r="E11054" i="10"/>
  <c r="D11054" i="10"/>
  <c r="C11054" i="10"/>
  <c r="B11054" i="10"/>
  <c r="A11054" i="10"/>
  <c r="E11053" i="10"/>
  <c r="D11053" i="10"/>
  <c r="C11053" i="10"/>
  <c r="B11053" i="10"/>
  <c r="A11053" i="10"/>
  <c r="E11052" i="10"/>
  <c r="D11052" i="10"/>
  <c r="C11052" i="10"/>
  <c r="B11052" i="10"/>
  <c r="A11052" i="10"/>
  <c r="E11051" i="10"/>
  <c r="D11051" i="10"/>
  <c r="C11051" i="10"/>
  <c r="B11051" i="10"/>
  <c r="A11051" i="10"/>
  <c r="E11050" i="10"/>
  <c r="D11050" i="10"/>
  <c r="C11050" i="10"/>
  <c r="B11050" i="10"/>
  <c r="A11050" i="10"/>
  <c r="E11049" i="10"/>
  <c r="D11049" i="10"/>
  <c r="C11049" i="10"/>
  <c r="B11049" i="10"/>
  <c r="A11049" i="10"/>
  <c r="E11048" i="10"/>
  <c r="D11048" i="10"/>
  <c r="C11048" i="10"/>
  <c r="B11048" i="10"/>
  <c r="A11048" i="10"/>
  <c r="E11047" i="10"/>
  <c r="D11047" i="10"/>
  <c r="C11047" i="10"/>
  <c r="B11047" i="10"/>
  <c r="A11047" i="10"/>
  <c r="E11046" i="10"/>
  <c r="D11046" i="10"/>
  <c r="C11046" i="10"/>
  <c r="B11046" i="10"/>
  <c r="A11046" i="10"/>
  <c r="E11045" i="10"/>
  <c r="D11045" i="10"/>
  <c r="C11045" i="10"/>
  <c r="B11045" i="10"/>
  <c r="A11045" i="10"/>
  <c r="E11044" i="10"/>
  <c r="D11044" i="10"/>
  <c r="C11044" i="10"/>
  <c r="B11044" i="10"/>
  <c r="A11044" i="10"/>
  <c r="E11043" i="10"/>
  <c r="D11043" i="10"/>
  <c r="C11043" i="10"/>
  <c r="B11043" i="10"/>
  <c r="A11043" i="10"/>
  <c r="E11042" i="10"/>
  <c r="D11042" i="10"/>
  <c r="C11042" i="10"/>
  <c r="B11042" i="10"/>
  <c r="A11042" i="10"/>
  <c r="E11041" i="10"/>
  <c r="D11041" i="10"/>
  <c r="C11041" i="10"/>
  <c r="B11041" i="10"/>
  <c r="A11041" i="10"/>
  <c r="E11040" i="10"/>
  <c r="D11040" i="10"/>
  <c r="C11040" i="10"/>
  <c r="B11040" i="10"/>
  <c r="A11040" i="10"/>
  <c r="E11039" i="10"/>
  <c r="D11039" i="10"/>
  <c r="C11039" i="10"/>
  <c r="B11039" i="10"/>
  <c r="A11039" i="10"/>
  <c r="E11038" i="10"/>
  <c r="D11038" i="10"/>
  <c r="C11038" i="10"/>
  <c r="B11038" i="10"/>
  <c r="A11038" i="10"/>
  <c r="E11037" i="10"/>
  <c r="D11037" i="10"/>
  <c r="C11037" i="10"/>
  <c r="B11037" i="10"/>
  <c r="A11037" i="10"/>
  <c r="E11036" i="10"/>
  <c r="D11036" i="10"/>
  <c r="C11036" i="10"/>
  <c r="B11036" i="10"/>
  <c r="A11036" i="10"/>
  <c r="E11035" i="10"/>
  <c r="D11035" i="10"/>
  <c r="C11035" i="10"/>
  <c r="B11035" i="10"/>
  <c r="A11035" i="10"/>
  <c r="E11034" i="10"/>
  <c r="D11034" i="10"/>
  <c r="C11034" i="10"/>
  <c r="B11034" i="10"/>
  <c r="A11034" i="10"/>
  <c r="E11033" i="10"/>
  <c r="D11033" i="10"/>
  <c r="C11033" i="10"/>
  <c r="B11033" i="10"/>
  <c r="A11033" i="10"/>
  <c r="E11032" i="10"/>
  <c r="D11032" i="10"/>
  <c r="C11032" i="10"/>
  <c r="B11032" i="10"/>
  <c r="A11032" i="10"/>
  <c r="E11031" i="10"/>
  <c r="D11031" i="10"/>
  <c r="C11031" i="10"/>
  <c r="B11031" i="10"/>
  <c r="A11031" i="10"/>
  <c r="E11030" i="10"/>
  <c r="D11030" i="10"/>
  <c r="C11030" i="10"/>
  <c r="B11030" i="10"/>
  <c r="A11030" i="10"/>
  <c r="E11029" i="10"/>
  <c r="D11029" i="10"/>
  <c r="C11029" i="10"/>
  <c r="B11029" i="10"/>
  <c r="A11029" i="10"/>
  <c r="E11028" i="10"/>
  <c r="D11028" i="10"/>
  <c r="C11028" i="10"/>
  <c r="B11028" i="10"/>
  <c r="A11028" i="10"/>
  <c r="E11027" i="10"/>
  <c r="D11027" i="10"/>
  <c r="C11027" i="10"/>
  <c r="B11027" i="10"/>
  <c r="A11027" i="10"/>
  <c r="E11026" i="10"/>
  <c r="D11026" i="10"/>
  <c r="C11026" i="10"/>
  <c r="B11026" i="10"/>
  <c r="A11026" i="10"/>
  <c r="E11025" i="10"/>
  <c r="D11025" i="10"/>
  <c r="C11025" i="10"/>
  <c r="B11025" i="10"/>
  <c r="A11025" i="10"/>
  <c r="E11024" i="10"/>
  <c r="D11024" i="10"/>
  <c r="C11024" i="10"/>
  <c r="B11024" i="10"/>
  <c r="A11024" i="10"/>
  <c r="E11023" i="10"/>
  <c r="D11023" i="10"/>
  <c r="C11023" i="10"/>
  <c r="B11023" i="10"/>
  <c r="A11023" i="10"/>
  <c r="E11022" i="10"/>
  <c r="D11022" i="10"/>
  <c r="C11022" i="10"/>
  <c r="B11022" i="10"/>
  <c r="A11022" i="10"/>
  <c r="E11021" i="10"/>
  <c r="D11021" i="10"/>
  <c r="C11021" i="10"/>
  <c r="B11021" i="10"/>
  <c r="A11021" i="10"/>
  <c r="E11020" i="10"/>
  <c r="D11020" i="10"/>
  <c r="C11020" i="10"/>
  <c r="B11020" i="10"/>
  <c r="A11020" i="10"/>
  <c r="E11019" i="10"/>
  <c r="D11019" i="10"/>
  <c r="C11019" i="10"/>
  <c r="B11019" i="10"/>
  <c r="A11019" i="10"/>
  <c r="E11018" i="10"/>
  <c r="D11018" i="10"/>
  <c r="C11018" i="10"/>
  <c r="B11018" i="10"/>
  <c r="A11018" i="10"/>
  <c r="E11017" i="10"/>
  <c r="D11017" i="10"/>
  <c r="C11017" i="10"/>
  <c r="B11017" i="10"/>
  <c r="A11017" i="10"/>
  <c r="E11016" i="10"/>
  <c r="D11016" i="10"/>
  <c r="C11016" i="10"/>
  <c r="B11016" i="10"/>
  <c r="A11016" i="10"/>
  <c r="E11015" i="10"/>
  <c r="D11015" i="10"/>
  <c r="C11015" i="10"/>
  <c r="B11015" i="10"/>
  <c r="A11015" i="10"/>
  <c r="E11014" i="10"/>
  <c r="D11014" i="10"/>
  <c r="C11014" i="10"/>
  <c r="B11014" i="10"/>
  <c r="A11014" i="10"/>
  <c r="E11013" i="10"/>
  <c r="D11013" i="10"/>
  <c r="C11013" i="10"/>
  <c r="B11013" i="10"/>
  <c r="A11013" i="10"/>
  <c r="E11012" i="10"/>
  <c r="D11012" i="10"/>
  <c r="C11012" i="10"/>
  <c r="B11012" i="10"/>
  <c r="A11012" i="10"/>
  <c r="E11011" i="10"/>
  <c r="D11011" i="10"/>
  <c r="C11011" i="10"/>
  <c r="B11011" i="10"/>
  <c r="A11011" i="10"/>
  <c r="E11010" i="10"/>
  <c r="D11010" i="10"/>
  <c r="C11010" i="10"/>
  <c r="B11010" i="10"/>
  <c r="A11010" i="10"/>
  <c r="E11009" i="10"/>
  <c r="D11009" i="10"/>
  <c r="C11009" i="10"/>
  <c r="B11009" i="10"/>
  <c r="A11009" i="10"/>
  <c r="E11008" i="10"/>
  <c r="D11008" i="10"/>
  <c r="C11008" i="10"/>
  <c r="B11008" i="10"/>
  <c r="A11008" i="10"/>
  <c r="E11007" i="10"/>
  <c r="D11007" i="10"/>
  <c r="C11007" i="10"/>
  <c r="B11007" i="10"/>
  <c r="A11007" i="10"/>
  <c r="E11006" i="10"/>
  <c r="D11006" i="10"/>
  <c r="C11006" i="10"/>
  <c r="B11006" i="10"/>
  <c r="A11006" i="10"/>
  <c r="E11005" i="10"/>
  <c r="D11005" i="10"/>
  <c r="C11005" i="10"/>
  <c r="B11005" i="10"/>
  <c r="A11005" i="10"/>
  <c r="E11004" i="10"/>
  <c r="D11004" i="10"/>
  <c r="C11004" i="10"/>
  <c r="B11004" i="10"/>
  <c r="A11004" i="10"/>
  <c r="E11003" i="10"/>
  <c r="D11003" i="10"/>
  <c r="C11003" i="10"/>
  <c r="B11003" i="10"/>
  <c r="A11003" i="10"/>
  <c r="E11002" i="10"/>
  <c r="D11002" i="10"/>
  <c r="C11002" i="10"/>
  <c r="B11002" i="10"/>
  <c r="A11002" i="10"/>
  <c r="E11001" i="10"/>
  <c r="D11001" i="10"/>
  <c r="C11001" i="10"/>
  <c r="B11001" i="10"/>
  <c r="A11001" i="10"/>
  <c r="E11000" i="10"/>
  <c r="D11000" i="10"/>
  <c r="C11000" i="10"/>
  <c r="B11000" i="10"/>
  <c r="A11000" i="10"/>
  <c r="E10999" i="10"/>
  <c r="D10999" i="10"/>
  <c r="C10999" i="10"/>
  <c r="B10999" i="10"/>
  <c r="A10999" i="10"/>
  <c r="E10998" i="10"/>
  <c r="D10998" i="10"/>
  <c r="C10998" i="10"/>
  <c r="B10998" i="10"/>
  <c r="A10998" i="10"/>
  <c r="E10997" i="10"/>
  <c r="D10997" i="10"/>
  <c r="C10997" i="10"/>
  <c r="B10997" i="10"/>
  <c r="A10997" i="10"/>
  <c r="E10996" i="10"/>
  <c r="D10996" i="10"/>
  <c r="C10996" i="10"/>
  <c r="B10996" i="10"/>
  <c r="A10996" i="10"/>
  <c r="E10995" i="10"/>
  <c r="D10995" i="10"/>
  <c r="C10995" i="10"/>
  <c r="B10995" i="10"/>
  <c r="A10995" i="10"/>
  <c r="E10994" i="10"/>
  <c r="D10994" i="10"/>
  <c r="C10994" i="10"/>
  <c r="B10994" i="10"/>
  <c r="A10994" i="10"/>
  <c r="E10993" i="10"/>
  <c r="D10993" i="10"/>
  <c r="C10993" i="10"/>
  <c r="B10993" i="10"/>
  <c r="A10993" i="10"/>
  <c r="E10992" i="10"/>
  <c r="D10992" i="10"/>
  <c r="C10992" i="10"/>
  <c r="B10992" i="10"/>
  <c r="A10992" i="10"/>
  <c r="E10991" i="10"/>
  <c r="D10991" i="10"/>
  <c r="C10991" i="10"/>
  <c r="B10991" i="10"/>
  <c r="A10991" i="10"/>
  <c r="E10990" i="10"/>
  <c r="D10990" i="10"/>
  <c r="C10990" i="10"/>
  <c r="B10990" i="10"/>
  <c r="A10990" i="10"/>
  <c r="E10989" i="10"/>
  <c r="D10989" i="10"/>
  <c r="C10989" i="10"/>
  <c r="B10989" i="10"/>
  <c r="A10989" i="10"/>
  <c r="E10988" i="10"/>
  <c r="D10988" i="10"/>
  <c r="C10988" i="10"/>
  <c r="B10988" i="10"/>
  <c r="A10988" i="10"/>
  <c r="E10987" i="10"/>
  <c r="D10987" i="10"/>
  <c r="C10987" i="10"/>
  <c r="B10987" i="10"/>
  <c r="A10987" i="10"/>
  <c r="E10986" i="10"/>
  <c r="D10986" i="10"/>
  <c r="C10986" i="10"/>
  <c r="B10986" i="10"/>
  <c r="A10986" i="10"/>
  <c r="E10985" i="10"/>
  <c r="D10985" i="10"/>
  <c r="C10985" i="10"/>
  <c r="B10985" i="10"/>
  <c r="A10985" i="10"/>
  <c r="E10984" i="10"/>
  <c r="D10984" i="10"/>
  <c r="C10984" i="10"/>
  <c r="B10984" i="10"/>
  <c r="A10984" i="10"/>
  <c r="E10983" i="10"/>
  <c r="D10983" i="10"/>
  <c r="C10983" i="10"/>
  <c r="B10983" i="10"/>
  <c r="A10983" i="10"/>
  <c r="E10982" i="10"/>
  <c r="D10982" i="10"/>
  <c r="C10982" i="10"/>
  <c r="B10982" i="10"/>
  <c r="A10982" i="10"/>
  <c r="E10981" i="10"/>
  <c r="D10981" i="10"/>
  <c r="C10981" i="10"/>
  <c r="B10981" i="10"/>
  <c r="A10981" i="10"/>
  <c r="E10980" i="10"/>
  <c r="D10980" i="10"/>
  <c r="C10980" i="10"/>
  <c r="B10980" i="10"/>
  <c r="A10980" i="10"/>
  <c r="E10979" i="10"/>
  <c r="D10979" i="10"/>
  <c r="C10979" i="10"/>
  <c r="B10979" i="10"/>
  <c r="A10979" i="10"/>
  <c r="E10978" i="10"/>
  <c r="D10978" i="10"/>
  <c r="C10978" i="10"/>
  <c r="B10978" i="10"/>
  <c r="A10978" i="10"/>
  <c r="E10977" i="10"/>
  <c r="D10977" i="10"/>
  <c r="C10977" i="10"/>
  <c r="B10977" i="10"/>
  <c r="A10977" i="10"/>
  <c r="E10976" i="10"/>
  <c r="D10976" i="10"/>
  <c r="C10976" i="10"/>
  <c r="B10976" i="10"/>
  <c r="A10976" i="10"/>
  <c r="E10975" i="10"/>
  <c r="D10975" i="10"/>
  <c r="C10975" i="10"/>
  <c r="B10975" i="10"/>
  <c r="A10975" i="10"/>
  <c r="E10974" i="10"/>
  <c r="D10974" i="10"/>
  <c r="C10974" i="10"/>
  <c r="B10974" i="10"/>
  <c r="A10974" i="10"/>
  <c r="E10973" i="10"/>
  <c r="D10973" i="10"/>
  <c r="C10973" i="10"/>
  <c r="B10973" i="10"/>
  <c r="A10973" i="10"/>
  <c r="E10972" i="10"/>
  <c r="D10972" i="10"/>
  <c r="C10972" i="10"/>
  <c r="B10972" i="10"/>
  <c r="A10972" i="10"/>
  <c r="E10971" i="10"/>
  <c r="D10971" i="10"/>
  <c r="C10971" i="10"/>
  <c r="B10971" i="10"/>
  <c r="A10971" i="10"/>
  <c r="E10970" i="10"/>
  <c r="D10970" i="10"/>
  <c r="C10970" i="10"/>
  <c r="B10970" i="10"/>
  <c r="A10970" i="10"/>
  <c r="E10969" i="10"/>
  <c r="D10969" i="10"/>
  <c r="C10969" i="10"/>
  <c r="B10969" i="10"/>
  <c r="A10969" i="10"/>
  <c r="E10968" i="10"/>
  <c r="D10968" i="10"/>
  <c r="C10968" i="10"/>
  <c r="B10968" i="10"/>
  <c r="A10968" i="10"/>
  <c r="E10967" i="10"/>
  <c r="D10967" i="10"/>
  <c r="C10967" i="10"/>
  <c r="B10967" i="10"/>
  <c r="A10967" i="10"/>
  <c r="E10966" i="10"/>
  <c r="D10966" i="10"/>
  <c r="C10966" i="10"/>
  <c r="B10966" i="10"/>
  <c r="A10966" i="10"/>
  <c r="E10965" i="10"/>
  <c r="D10965" i="10"/>
  <c r="C10965" i="10"/>
  <c r="B10965" i="10"/>
  <c r="A10965" i="10"/>
  <c r="E10964" i="10"/>
  <c r="D10964" i="10"/>
  <c r="C10964" i="10"/>
  <c r="B10964" i="10"/>
  <c r="A10964" i="10"/>
  <c r="E10963" i="10"/>
  <c r="D10963" i="10"/>
  <c r="C10963" i="10"/>
  <c r="B10963" i="10"/>
  <c r="A10963" i="10"/>
  <c r="E10962" i="10"/>
  <c r="D10962" i="10"/>
  <c r="C10962" i="10"/>
  <c r="B10962" i="10"/>
  <c r="A10962" i="10"/>
  <c r="E10961" i="10"/>
  <c r="D10961" i="10"/>
  <c r="C10961" i="10"/>
  <c r="B10961" i="10"/>
  <c r="A10961" i="10"/>
  <c r="E10960" i="10"/>
  <c r="D10960" i="10"/>
  <c r="C10960" i="10"/>
  <c r="B10960" i="10"/>
  <c r="A10960" i="10"/>
  <c r="E10959" i="10"/>
  <c r="D10959" i="10"/>
  <c r="C10959" i="10"/>
  <c r="B10959" i="10"/>
  <c r="A10959" i="10"/>
  <c r="E10958" i="10"/>
  <c r="D10958" i="10"/>
  <c r="C10958" i="10"/>
  <c r="B10958" i="10"/>
  <c r="A10958" i="10"/>
  <c r="E10957" i="10"/>
  <c r="D10957" i="10"/>
  <c r="C10957" i="10"/>
  <c r="B10957" i="10"/>
  <c r="A10957" i="10"/>
  <c r="E10956" i="10"/>
  <c r="D10956" i="10"/>
  <c r="C10956" i="10"/>
  <c r="B10956" i="10"/>
  <c r="A10956" i="10"/>
  <c r="E10955" i="10"/>
  <c r="D10955" i="10"/>
  <c r="C10955" i="10"/>
  <c r="B10955" i="10"/>
  <c r="A10955" i="10"/>
  <c r="E10954" i="10"/>
  <c r="D10954" i="10"/>
  <c r="C10954" i="10"/>
  <c r="B10954" i="10"/>
  <c r="A10954" i="10"/>
  <c r="E10953" i="10"/>
  <c r="D10953" i="10"/>
  <c r="C10953" i="10"/>
  <c r="B10953" i="10"/>
  <c r="A10953" i="10"/>
  <c r="E10952" i="10"/>
  <c r="D10952" i="10"/>
  <c r="C10952" i="10"/>
  <c r="B10952" i="10"/>
  <c r="A10952" i="10"/>
  <c r="E10951" i="10"/>
  <c r="D10951" i="10"/>
  <c r="C10951" i="10"/>
  <c r="B10951" i="10"/>
  <c r="A10951" i="10"/>
  <c r="E10950" i="10"/>
  <c r="D10950" i="10"/>
  <c r="C10950" i="10"/>
  <c r="B10950" i="10"/>
  <c r="A10950" i="10"/>
  <c r="E10949" i="10"/>
  <c r="D10949" i="10"/>
  <c r="C10949" i="10"/>
  <c r="B10949" i="10"/>
  <c r="A10949" i="10"/>
  <c r="E10948" i="10"/>
  <c r="D10948" i="10"/>
  <c r="C10948" i="10"/>
  <c r="B10948" i="10"/>
  <c r="A10948" i="10"/>
  <c r="E10947" i="10"/>
  <c r="D10947" i="10"/>
  <c r="C10947" i="10"/>
  <c r="B10947" i="10"/>
  <c r="A10947" i="10"/>
  <c r="E10946" i="10"/>
  <c r="D10946" i="10"/>
  <c r="C10946" i="10"/>
  <c r="B10946" i="10"/>
  <c r="A10946" i="10"/>
  <c r="E10945" i="10"/>
  <c r="D10945" i="10"/>
  <c r="C10945" i="10"/>
  <c r="B10945" i="10"/>
  <c r="A10945" i="10"/>
  <c r="E10944" i="10"/>
  <c r="D10944" i="10"/>
  <c r="C10944" i="10"/>
  <c r="B10944" i="10"/>
  <c r="A10944" i="10"/>
  <c r="E10943" i="10"/>
  <c r="D10943" i="10"/>
  <c r="C10943" i="10"/>
  <c r="B10943" i="10"/>
  <c r="A10943" i="10"/>
  <c r="E10942" i="10"/>
  <c r="D10942" i="10"/>
  <c r="C10942" i="10"/>
  <c r="B10942" i="10"/>
  <c r="A10942" i="10"/>
  <c r="E10941" i="10"/>
  <c r="D10941" i="10"/>
  <c r="C10941" i="10"/>
  <c r="B10941" i="10"/>
  <c r="A10941" i="10"/>
  <c r="E10940" i="10"/>
  <c r="D10940" i="10"/>
  <c r="C10940" i="10"/>
  <c r="B10940" i="10"/>
  <c r="A10940" i="10"/>
  <c r="E10939" i="10"/>
  <c r="D10939" i="10"/>
  <c r="C10939" i="10"/>
  <c r="B10939" i="10"/>
  <c r="A10939" i="10"/>
  <c r="E10938" i="10"/>
  <c r="D10938" i="10"/>
  <c r="C10938" i="10"/>
  <c r="B10938" i="10"/>
  <c r="A10938" i="10"/>
  <c r="E10937" i="10"/>
  <c r="D10937" i="10"/>
  <c r="C10937" i="10"/>
  <c r="B10937" i="10"/>
  <c r="A10937" i="10"/>
  <c r="E10936" i="10"/>
  <c r="D10936" i="10"/>
  <c r="C10936" i="10"/>
  <c r="B10936" i="10"/>
  <c r="A10936" i="10"/>
  <c r="E10935" i="10"/>
  <c r="D10935" i="10"/>
  <c r="C10935" i="10"/>
  <c r="B10935" i="10"/>
  <c r="A10935" i="10"/>
  <c r="E10934" i="10"/>
  <c r="D10934" i="10"/>
  <c r="C10934" i="10"/>
  <c r="B10934" i="10"/>
  <c r="A10934" i="10"/>
  <c r="E10933" i="10"/>
  <c r="D10933" i="10"/>
  <c r="C10933" i="10"/>
  <c r="B10933" i="10"/>
  <c r="A10933" i="10"/>
  <c r="E10932" i="10"/>
  <c r="D10932" i="10"/>
  <c r="C10932" i="10"/>
  <c r="B10932" i="10"/>
  <c r="A10932" i="10"/>
  <c r="E10931" i="10"/>
  <c r="D10931" i="10"/>
  <c r="C10931" i="10"/>
  <c r="B10931" i="10"/>
  <c r="A10931" i="10"/>
  <c r="E10930" i="10"/>
  <c r="D10930" i="10"/>
  <c r="C10930" i="10"/>
  <c r="B10930" i="10"/>
  <c r="A10930" i="10"/>
  <c r="E10929" i="10"/>
  <c r="D10929" i="10"/>
  <c r="C10929" i="10"/>
  <c r="B10929" i="10"/>
  <c r="A10929" i="10"/>
  <c r="E10928" i="10"/>
  <c r="D10928" i="10"/>
  <c r="C10928" i="10"/>
  <c r="B10928" i="10"/>
  <c r="A10928" i="10"/>
  <c r="E10927" i="10"/>
  <c r="D10927" i="10"/>
  <c r="C10927" i="10"/>
  <c r="B10927" i="10"/>
  <c r="A10927" i="10"/>
  <c r="E10926" i="10"/>
  <c r="D10926" i="10"/>
  <c r="C10926" i="10"/>
  <c r="B10926" i="10"/>
  <c r="A10926" i="10"/>
  <c r="E10925" i="10"/>
  <c r="D10925" i="10"/>
  <c r="C10925" i="10"/>
  <c r="B10925" i="10"/>
  <c r="A10925" i="10"/>
  <c r="E10924" i="10"/>
  <c r="D10924" i="10"/>
  <c r="C10924" i="10"/>
  <c r="B10924" i="10"/>
  <c r="A10924" i="10"/>
  <c r="E10923" i="10"/>
  <c r="D10923" i="10"/>
  <c r="C10923" i="10"/>
  <c r="B10923" i="10"/>
  <c r="A10923" i="10"/>
  <c r="E10922" i="10"/>
  <c r="D10922" i="10"/>
  <c r="C10922" i="10"/>
  <c r="B10922" i="10"/>
  <c r="A10922" i="10"/>
  <c r="E10921" i="10"/>
  <c r="D10921" i="10"/>
  <c r="C10921" i="10"/>
  <c r="B10921" i="10"/>
  <c r="A10921" i="10"/>
  <c r="E10920" i="10"/>
  <c r="D10920" i="10"/>
  <c r="C10920" i="10"/>
  <c r="B10920" i="10"/>
  <c r="A10920" i="10"/>
  <c r="E10919" i="10"/>
  <c r="D10919" i="10"/>
  <c r="C10919" i="10"/>
  <c r="B10919" i="10"/>
  <c r="A10919" i="10"/>
  <c r="E10918" i="10"/>
  <c r="D10918" i="10"/>
  <c r="C10918" i="10"/>
  <c r="B10918" i="10"/>
  <c r="A10918" i="10"/>
  <c r="E10917" i="10"/>
  <c r="D10917" i="10"/>
  <c r="C10917" i="10"/>
  <c r="B10917" i="10"/>
  <c r="A10917" i="10"/>
  <c r="E10916" i="10"/>
  <c r="D10916" i="10"/>
  <c r="C10916" i="10"/>
  <c r="B10916" i="10"/>
  <c r="A10916" i="10"/>
  <c r="E10915" i="10"/>
  <c r="D10915" i="10"/>
  <c r="C10915" i="10"/>
  <c r="B10915" i="10"/>
  <c r="A10915" i="10"/>
  <c r="E10914" i="10"/>
  <c r="D10914" i="10"/>
  <c r="C10914" i="10"/>
  <c r="B10914" i="10"/>
  <c r="A10914" i="10"/>
  <c r="E10913" i="10"/>
  <c r="D10913" i="10"/>
  <c r="C10913" i="10"/>
  <c r="B10913" i="10"/>
  <c r="A10913" i="10"/>
  <c r="E10912" i="10"/>
  <c r="D10912" i="10"/>
  <c r="C10912" i="10"/>
  <c r="B10912" i="10"/>
  <c r="A10912" i="10"/>
  <c r="E10911" i="10"/>
  <c r="D10911" i="10"/>
  <c r="C10911" i="10"/>
  <c r="B10911" i="10"/>
  <c r="A10911" i="10"/>
  <c r="E10910" i="10"/>
  <c r="D10910" i="10"/>
  <c r="C10910" i="10"/>
  <c r="B10910" i="10"/>
  <c r="A10910" i="10"/>
  <c r="E10909" i="10"/>
  <c r="D10909" i="10"/>
  <c r="C10909" i="10"/>
  <c r="B10909" i="10"/>
  <c r="A10909" i="10"/>
  <c r="E10908" i="10"/>
  <c r="D10908" i="10"/>
  <c r="C10908" i="10"/>
  <c r="B10908" i="10"/>
  <c r="A10908" i="10"/>
  <c r="E10907" i="10"/>
  <c r="D10907" i="10"/>
  <c r="C10907" i="10"/>
  <c r="B10907" i="10"/>
  <c r="A10907" i="10"/>
  <c r="E10906" i="10"/>
  <c r="D10906" i="10"/>
  <c r="C10906" i="10"/>
  <c r="B10906" i="10"/>
  <c r="A10906" i="10"/>
  <c r="E10905" i="10"/>
  <c r="D10905" i="10"/>
  <c r="C10905" i="10"/>
  <c r="B10905" i="10"/>
  <c r="A10905" i="10"/>
  <c r="E10904" i="10"/>
  <c r="D10904" i="10"/>
  <c r="C10904" i="10"/>
  <c r="B10904" i="10"/>
  <c r="A10904" i="10"/>
  <c r="E10903" i="10"/>
  <c r="D10903" i="10"/>
  <c r="C10903" i="10"/>
  <c r="B10903" i="10"/>
  <c r="A10903" i="10"/>
  <c r="E10902" i="10"/>
  <c r="D10902" i="10"/>
  <c r="C10902" i="10"/>
  <c r="B10902" i="10"/>
  <c r="A10902" i="10"/>
  <c r="E10901" i="10"/>
  <c r="D10901" i="10"/>
  <c r="C10901" i="10"/>
  <c r="B10901" i="10"/>
  <c r="A10901" i="10"/>
  <c r="E10900" i="10"/>
  <c r="D10900" i="10"/>
  <c r="C10900" i="10"/>
  <c r="B10900" i="10"/>
  <c r="A10900" i="10"/>
  <c r="E10899" i="10"/>
  <c r="D10899" i="10"/>
  <c r="C10899" i="10"/>
  <c r="B10899" i="10"/>
  <c r="A10899" i="10"/>
  <c r="E10898" i="10"/>
  <c r="D10898" i="10"/>
  <c r="C10898" i="10"/>
  <c r="B10898" i="10"/>
  <c r="A10898" i="10"/>
  <c r="E10897" i="10"/>
  <c r="D10897" i="10"/>
  <c r="C10897" i="10"/>
  <c r="B10897" i="10"/>
  <c r="A10897" i="10"/>
  <c r="E10896" i="10"/>
  <c r="D10896" i="10"/>
  <c r="C10896" i="10"/>
  <c r="B10896" i="10"/>
  <c r="A10896" i="10"/>
  <c r="E10895" i="10"/>
  <c r="D10895" i="10"/>
  <c r="C10895" i="10"/>
  <c r="B10895" i="10"/>
  <c r="A10895" i="10"/>
  <c r="E10894" i="10"/>
  <c r="D10894" i="10"/>
  <c r="C10894" i="10"/>
  <c r="B10894" i="10"/>
  <c r="A10894" i="10"/>
  <c r="E10893" i="10"/>
  <c r="D10893" i="10"/>
  <c r="C10893" i="10"/>
  <c r="B10893" i="10"/>
  <c r="A10893" i="10"/>
  <c r="E10892" i="10"/>
  <c r="D10892" i="10"/>
  <c r="C10892" i="10"/>
  <c r="B10892" i="10"/>
  <c r="A10892" i="10"/>
  <c r="E10891" i="10"/>
  <c r="D10891" i="10"/>
  <c r="C10891" i="10"/>
  <c r="B10891" i="10"/>
  <c r="A10891" i="10"/>
  <c r="E10890" i="10"/>
  <c r="D10890" i="10"/>
  <c r="C10890" i="10"/>
  <c r="B10890" i="10"/>
  <c r="A10890" i="10"/>
  <c r="E10889" i="10"/>
  <c r="D10889" i="10"/>
  <c r="C10889" i="10"/>
  <c r="B10889" i="10"/>
  <c r="A10889" i="10"/>
  <c r="E10888" i="10"/>
  <c r="D10888" i="10"/>
  <c r="C10888" i="10"/>
  <c r="B10888" i="10"/>
  <c r="A10888" i="10"/>
  <c r="E10887" i="10"/>
  <c r="D10887" i="10"/>
  <c r="C10887" i="10"/>
  <c r="B10887" i="10"/>
  <c r="A10887" i="10"/>
  <c r="E10886" i="10"/>
  <c r="D10886" i="10"/>
  <c r="C10886" i="10"/>
  <c r="B10886" i="10"/>
  <c r="A10886" i="10"/>
  <c r="E10885" i="10"/>
  <c r="D10885" i="10"/>
  <c r="C10885" i="10"/>
  <c r="B10885" i="10"/>
  <c r="A10885" i="10"/>
  <c r="E10884" i="10"/>
  <c r="D10884" i="10"/>
  <c r="C10884" i="10"/>
  <c r="B10884" i="10"/>
  <c r="A10884" i="10"/>
  <c r="E10883" i="10"/>
  <c r="D10883" i="10"/>
  <c r="C10883" i="10"/>
  <c r="B10883" i="10"/>
  <c r="A10883" i="10"/>
  <c r="E10882" i="10"/>
  <c r="D10882" i="10"/>
  <c r="C10882" i="10"/>
  <c r="B10882" i="10"/>
  <c r="A10882" i="10"/>
  <c r="E10881" i="10"/>
  <c r="D10881" i="10"/>
  <c r="C10881" i="10"/>
  <c r="B10881" i="10"/>
  <c r="A10881" i="10"/>
  <c r="E10880" i="10"/>
  <c r="D10880" i="10"/>
  <c r="C10880" i="10"/>
  <c r="B10880" i="10"/>
  <c r="A10880" i="10"/>
  <c r="E10879" i="10"/>
  <c r="D10879" i="10"/>
  <c r="C10879" i="10"/>
  <c r="B10879" i="10"/>
  <c r="A10879" i="10"/>
  <c r="E10878" i="10"/>
  <c r="D10878" i="10"/>
  <c r="C10878" i="10"/>
  <c r="B10878" i="10"/>
  <c r="A10878" i="10"/>
  <c r="E10877" i="10"/>
  <c r="D10877" i="10"/>
  <c r="C10877" i="10"/>
  <c r="B10877" i="10"/>
  <c r="A10877" i="10"/>
  <c r="E10876" i="10"/>
  <c r="D10876" i="10"/>
  <c r="C10876" i="10"/>
  <c r="B10876" i="10"/>
  <c r="A10876" i="10"/>
  <c r="E10875" i="10"/>
  <c r="D10875" i="10"/>
  <c r="C10875" i="10"/>
  <c r="B10875" i="10"/>
  <c r="A10875" i="10"/>
  <c r="E10874" i="10"/>
  <c r="D10874" i="10"/>
  <c r="C10874" i="10"/>
  <c r="B10874" i="10"/>
  <c r="A10874" i="10"/>
  <c r="E10873" i="10"/>
  <c r="D10873" i="10"/>
  <c r="C10873" i="10"/>
  <c r="B10873" i="10"/>
  <c r="A10873" i="10"/>
  <c r="E10872" i="10"/>
  <c r="D10872" i="10"/>
  <c r="C10872" i="10"/>
  <c r="B10872" i="10"/>
  <c r="A10872" i="10"/>
  <c r="E10871" i="10"/>
  <c r="D10871" i="10"/>
  <c r="C10871" i="10"/>
  <c r="B10871" i="10"/>
  <c r="A10871" i="10"/>
  <c r="E10870" i="10"/>
  <c r="D10870" i="10"/>
  <c r="C10870" i="10"/>
  <c r="B10870" i="10"/>
  <c r="A10870" i="10"/>
  <c r="E10869" i="10"/>
  <c r="D10869" i="10"/>
  <c r="C10869" i="10"/>
  <c r="B10869" i="10"/>
  <c r="A10869" i="10"/>
  <c r="E10868" i="10"/>
  <c r="D10868" i="10"/>
  <c r="C10868" i="10"/>
  <c r="B10868" i="10"/>
  <c r="A10868" i="10"/>
  <c r="E10867" i="10"/>
  <c r="D10867" i="10"/>
  <c r="C10867" i="10"/>
  <c r="B10867" i="10"/>
  <c r="A10867" i="10"/>
  <c r="E10866" i="10"/>
  <c r="D10866" i="10"/>
  <c r="C10866" i="10"/>
  <c r="B10866" i="10"/>
  <c r="A10866" i="10"/>
  <c r="E10865" i="10"/>
  <c r="D10865" i="10"/>
  <c r="C10865" i="10"/>
  <c r="B10865" i="10"/>
  <c r="A10865" i="10"/>
  <c r="E10864" i="10"/>
  <c r="D10864" i="10"/>
  <c r="C10864" i="10"/>
  <c r="B10864" i="10"/>
  <c r="A10864" i="10"/>
  <c r="E10863" i="10"/>
  <c r="D10863" i="10"/>
  <c r="C10863" i="10"/>
  <c r="B10863" i="10"/>
  <c r="A10863" i="10"/>
  <c r="E10862" i="10"/>
  <c r="D10862" i="10"/>
  <c r="C10862" i="10"/>
  <c r="B10862" i="10"/>
  <c r="A10862" i="10"/>
  <c r="E10861" i="10"/>
  <c r="D10861" i="10"/>
  <c r="C10861" i="10"/>
  <c r="B10861" i="10"/>
  <c r="A10861" i="10"/>
  <c r="E10860" i="10"/>
  <c r="D10860" i="10"/>
  <c r="C10860" i="10"/>
  <c r="B10860" i="10"/>
  <c r="A10860" i="10"/>
  <c r="E10859" i="10"/>
  <c r="D10859" i="10"/>
  <c r="C10859" i="10"/>
  <c r="B10859" i="10"/>
  <c r="A10859" i="10"/>
  <c r="E10858" i="10"/>
  <c r="D10858" i="10"/>
  <c r="C10858" i="10"/>
  <c r="B10858" i="10"/>
  <c r="A10858" i="10"/>
  <c r="E10857" i="10"/>
  <c r="D10857" i="10"/>
  <c r="C10857" i="10"/>
  <c r="B10857" i="10"/>
  <c r="A10857" i="10"/>
  <c r="E10856" i="10"/>
  <c r="D10856" i="10"/>
  <c r="C10856" i="10"/>
  <c r="B10856" i="10"/>
  <c r="A10856" i="10"/>
  <c r="E10855" i="10"/>
  <c r="D10855" i="10"/>
  <c r="C10855" i="10"/>
  <c r="B10855" i="10"/>
  <c r="A10855" i="10"/>
  <c r="E10854" i="10"/>
  <c r="D10854" i="10"/>
  <c r="C10854" i="10"/>
  <c r="B10854" i="10"/>
  <c r="A10854" i="10"/>
  <c r="E10853" i="10"/>
  <c r="D10853" i="10"/>
  <c r="C10853" i="10"/>
  <c r="B10853" i="10"/>
  <c r="A10853" i="10"/>
  <c r="E10852" i="10"/>
  <c r="D10852" i="10"/>
  <c r="C10852" i="10"/>
  <c r="B10852" i="10"/>
  <c r="A10852" i="10"/>
  <c r="E10851" i="10"/>
  <c r="D10851" i="10"/>
  <c r="C10851" i="10"/>
  <c r="B10851" i="10"/>
  <c r="A10851" i="10"/>
  <c r="E10850" i="10"/>
  <c r="D10850" i="10"/>
  <c r="C10850" i="10"/>
  <c r="B10850" i="10"/>
  <c r="A10850" i="10"/>
  <c r="E10849" i="10"/>
  <c r="D10849" i="10"/>
  <c r="C10849" i="10"/>
  <c r="B10849" i="10"/>
  <c r="A10849" i="10"/>
  <c r="E10848" i="10"/>
  <c r="D10848" i="10"/>
  <c r="C10848" i="10"/>
  <c r="B10848" i="10"/>
  <c r="A10848" i="10"/>
  <c r="E10847" i="10"/>
  <c r="D10847" i="10"/>
  <c r="C10847" i="10"/>
  <c r="B10847" i="10"/>
  <c r="A10847" i="10"/>
  <c r="E10846" i="10"/>
  <c r="D10846" i="10"/>
  <c r="C10846" i="10"/>
  <c r="B10846" i="10"/>
  <c r="A10846" i="10"/>
  <c r="E10845" i="10"/>
  <c r="D10845" i="10"/>
  <c r="C10845" i="10"/>
  <c r="B10845" i="10"/>
  <c r="A10845" i="10"/>
  <c r="E10844" i="10"/>
  <c r="D10844" i="10"/>
  <c r="C10844" i="10"/>
  <c r="B10844" i="10"/>
  <c r="A10844" i="10"/>
  <c r="E10843" i="10"/>
  <c r="D10843" i="10"/>
  <c r="C10843" i="10"/>
  <c r="B10843" i="10"/>
  <c r="A10843" i="10"/>
  <c r="E10842" i="10"/>
  <c r="D10842" i="10"/>
  <c r="C10842" i="10"/>
  <c r="B10842" i="10"/>
  <c r="A10842" i="10"/>
  <c r="E10841" i="10"/>
  <c r="D10841" i="10"/>
  <c r="C10841" i="10"/>
  <c r="B10841" i="10"/>
  <c r="A10841" i="10"/>
  <c r="E10840" i="10"/>
  <c r="D10840" i="10"/>
  <c r="C10840" i="10"/>
  <c r="B10840" i="10"/>
  <c r="A10840" i="10"/>
  <c r="E10839" i="10"/>
  <c r="D10839" i="10"/>
  <c r="C10839" i="10"/>
  <c r="B10839" i="10"/>
  <c r="A10839" i="10"/>
  <c r="E10838" i="10"/>
  <c r="D10838" i="10"/>
  <c r="C10838" i="10"/>
  <c r="B10838" i="10"/>
  <c r="A10838" i="10"/>
  <c r="E10837" i="10"/>
  <c r="D10837" i="10"/>
  <c r="C10837" i="10"/>
  <c r="B10837" i="10"/>
  <c r="A10837" i="10"/>
  <c r="E10836" i="10"/>
  <c r="D10836" i="10"/>
  <c r="C10836" i="10"/>
  <c r="B10836" i="10"/>
  <c r="A10836" i="10"/>
  <c r="E10835" i="10"/>
  <c r="D10835" i="10"/>
  <c r="C10835" i="10"/>
  <c r="B10835" i="10"/>
  <c r="A10835" i="10"/>
  <c r="E10834" i="10"/>
  <c r="D10834" i="10"/>
  <c r="C10834" i="10"/>
  <c r="B10834" i="10"/>
  <c r="A10834" i="10"/>
  <c r="E10833" i="10"/>
  <c r="D10833" i="10"/>
  <c r="C10833" i="10"/>
  <c r="B10833" i="10"/>
  <c r="A10833" i="10"/>
  <c r="E10832" i="10"/>
  <c r="D10832" i="10"/>
  <c r="C10832" i="10"/>
  <c r="B10832" i="10"/>
  <c r="A10832" i="10"/>
  <c r="E10831" i="10"/>
  <c r="D10831" i="10"/>
  <c r="C10831" i="10"/>
  <c r="B10831" i="10"/>
  <c r="A10831" i="10"/>
  <c r="E10830" i="10"/>
  <c r="D10830" i="10"/>
  <c r="C10830" i="10"/>
  <c r="B10830" i="10"/>
  <c r="A10830" i="10"/>
  <c r="E10829" i="10"/>
  <c r="D10829" i="10"/>
  <c r="C10829" i="10"/>
  <c r="B10829" i="10"/>
  <c r="A10829" i="10"/>
  <c r="E10828" i="10"/>
  <c r="D10828" i="10"/>
  <c r="C10828" i="10"/>
  <c r="B10828" i="10"/>
  <c r="A10828" i="10"/>
  <c r="E10827" i="10"/>
  <c r="D10827" i="10"/>
  <c r="C10827" i="10"/>
  <c r="B10827" i="10"/>
  <c r="A10827" i="10"/>
  <c r="E10826" i="10"/>
  <c r="D10826" i="10"/>
  <c r="C10826" i="10"/>
  <c r="B10826" i="10"/>
  <c r="A10826" i="10"/>
  <c r="E10825" i="10"/>
  <c r="D10825" i="10"/>
  <c r="C10825" i="10"/>
  <c r="B10825" i="10"/>
  <c r="A10825" i="10"/>
  <c r="E10824" i="10"/>
  <c r="D10824" i="10"/>
  <c r="C10824" i="10"/>
  <c r="B10824" i="10"/>
  <c r="A10824" i="10"/>
  <c r="E10823" i="10"/>
  <c r="D10823" i="10"/>
  <c r="C10823" i="10"/>
  <c r="B10823" i="10"/>
  <c r="A10823" i="10"/>
  <c r="E10822" i="10"/>
  <c r="D10822" i="10"/>
  <c r="C10822" i="10"/>
  <c r="B10822" i="10"/>
  <c r="A10822" i="10"/>
  <c r="E10821" i="10"/>
  <c r="D10821" i="10"/>
  <c r="C10821" i="10"/>
  <c r="B10821" i="10"/>
  <c r="A10821" i="10"/>
  <c r="E10820" i="10"/>
  <c r="D10820" i="10"/>
  <c r="C10820" i="10"/>
  <c r="B10820" i="10"/>
  <c r="A10820" i="10"/>
  <c r="E10819" i="10"/>
  <c r="D10819" i="10"/>
  <c r="C10819" i="10"/>
  <c r="B10819" i="10"/>
  <c r="A10819" i="10"/>
  <c r="E10818" i="10"/>
  <c r="D10818" i="10"/>
  <c r="C10818" i="10"/>
  <c r="B10818" i="10"/>
  <c r="A10818" i="10"/>
  <c r="E10817" i="10"/>
  <c r="D10817" i="10"/>
  <c r="C10817" i="10"/>
  <c r="B10817" i="10"/>
  <c r="A10817" i="10"/>
  <c r="E10816" i="10"/>
  <c r="D10816" i="10"/>
  <c r="C10816" i="10"/>
  <c r="B10816" i="10"/>
  <c r="A10816" i="10"/>
  <c r="E10815" i="10"/>
  <c r="D10815" i="10"/>
  <c r="C10815" i="10"/>
  <c r="B10815" i="10"/>
  <c r="A10815" i="10"/>
  <c r="E10814" i="10"/>
  <c r="D10814" i="10"/>
  <c r="C10814" i="10"/>
  <c r="B10814" i="10"/>
  <c r="A10814" i="10"/>
  <c r="E10813" i="10"/>
  <c r="D10813" i="10"/>
  <c r="C10813" i="10"/>
  <c r="B10813" i="10"/>
  <c r="A10813" i="10"/>
  <c r="E10812" i="10"/>
  <c r="D10812" i="10"/>
  <c r="C10812" i="10"/>
  <c r="B10812" i="10"/>
  <c r="A10812" i="10"/>
  <c r="E10811" i="10"/>
  <c r="D10811" i="10"/>
  <c r="C10811" i="10"/>
  <c r="B10811" i="10"/>
  <c r="A10811" i="10"/>
  <c r="E10810" i="10"/>
  <c r="D10810" i="10"/>
  <c r="C10810" i="10"/>
  <c r="B10810" i="10"/>
  <c r="A10810" i="10"/>
  <c r="E10809" i="10"/>
  <c r="D10809" i="10"/>
  <c r="C10809" i="10"/>
  <c r="B10809" i="10"/>
  <c r="A10809" i="10"/>
  <c r="E10808" i="10"/>
  <c r="D10808" i="10"/>
  <c r="C10808" i="10"/>
  <c r="B10808" i="10"/>
  <c r="A10808" i="10"/>
  <c r="E10807" i="10"/>
  <c r="D10807" i="10"/>
  <c r="C10807" i="10"/>
  <c r="B10807" i="10"/>
  <c r="A10807" i="10"/>
  <c r="E10806" i="10"/>
  <c r="D10806" i="10"/>
  <c r="C10806" i="10"/>
  <c r="B10806" i="10"/>
  <c r="A10806" i="10"/>
  <c r="E10805" i="10"/>
  <c r="D10805" i="10"/>
  <c r="C10805" i="10"/>
  <c r="B10805" i="10"/>
  <c r="A10805" i="10"/>
  <c r="E10804" i="10"/>
  <c r="D10804" i="10"/>
  <c r="C10804" i="10"/>
  <c r="B10804" i="10"/>
  <c r="A10804" i="10"/>
  <c r="E10803" i="10"/>
  <c r="D10803" i="10"/>
  <c r="C10803" i="10"/>
  <c r="B10803" i="10"/>
  <c r="A10803" i="10"/>
  <c r="E10802" i="10"/>
  <c r="D10802" i="10"/>
  <c r="C10802" i="10"/>
  <c r="B10802" i="10"/>
  <c r="A10802" i="10"/>
  <c r="E10801" i="10"/>
  <c r="D10801" i="10"/>
  <c r="C10801" i="10"/>
  <c r="B10801" i="10"/>
  <c r="A10801" i="10"/>
  <c r="E10800" i="10"/>
  <c r="D10800" i="10"/>
  <c r="C10800" i="10"/>
  <c r="B10800" i="10"/>
  <c r="A10800" i="10"/>
  <c r="E10799" i="10"/>
  <c r="D10799" i="10"/>
  <c r="C10799" i="10"/>
  <c r="B10799" i="10"/>
  <c r="A10799" i="10"/>
  <c r="E10798" i="10"/>
  <c r="D10798" i="10"/>
  <c r="C10798" i="10"/>
  <c r="B10798" i="10"/>
  <c r="A10798" i="10"/>
  <c r="E10797" i="10"/>
  <c r="D10797" i="10"/>
  <c r="C10797" i="10"/>
  <c r="B10797" i="10"/>
  <c r="A10797" i="10"/>
  <c r="E10796" i="10"/>
  <c r="D10796" i="10"/>
  <c r="C10796" i="10"/>
  <c r="B10796" i="10"/>
  <c r="A10796" i="10"/>
  <c r="E10795" i="10"/>
  <c r="D10795" i="10"/>
  <c r="C10795" i="10"/>
  <c r="B10795" i="10"/>
  <c r="A10795" i="10"/>
  <c r="E10794" i="10"/>
  <c r="D10794" i="10"/>
  <c r="C10794" i="10"/>
  <c r="B10794" i="10"/>
  <c r="A10794" i="10"/>
  <c r="E10793" i="10"/>
  <c r="D10793" i="10"/>
  <c r="C10793" i="10"/>
  <c r="B10793" i="10"/>
  <c r="A10793" i="10"/>
  <c r="E10792" i="10"/>
  <c r="D10792" i="10"/>
  <c r="C10792" i="10"/>
  <c r="B10792" i="10"/>
  <c r="A10792" i="10"/>
  <c r="E10791" i="10"/>
  <c r="D10791" i="10"/>
  <c r="C10791" i="10"/>
  <c r="B10791" i="10"/>
  <c r="A10791" i="10"/>
  <c r="E10790" i="10"/>
  <c r="D10790" i="10"/>
  <c r="C10790" i="10"/>
  <c r="B10790" i="10"/>
  <c r="A10790" i="10"/>
  <c r="E10789" i="10"/>
  <c r="D10789" i="10"/>
  <c r="C10789" i="10"/>
  <c r="B10789" i="10"/>
  <c r="A10789" i="10"/>
  <c r="E10788" i="10"/>
  <c r="D10788" i="10"/>
  <c r="C10788" i="10"/>
  <c r="B10788" i="10"/>
  <c r="A10788" i="10"/>
  <c r="E10787" i="10"/>
  <c r="D10787" i="10"/>
  <c r="C10787" i="10"/>
  <c r="B10787" i="10"/>
  <c r="A10787" i="10"/>
  <c r="E10786" i="10"/>
  <c r="D10786" i="10"/>
  <c r="C10786" i="10"/>
  <c r="B10786" i="10"/>
  <c r="A10786" i="10"/>
  <c r="E10785" i="10"/>
  <c r="D10785" i="10"/>
  <c r="C10785" i="10"/>
  <c r="B10785" i="10"/>
  <c r="A10785" i="10"/>
  <c r="E10784" i="10"/>
  <c r="D10784" i="10"/>
  <c r="C10784" i="10"/>
  <c r="B10784" i="10"/>
  <c r="A10784" i="10"/>
  <c r="E10783" i="10"/>
  <c r="D10783" i="10"/>
  <c r="C10783" i="10"/>
  <c r="B10783" i="10"/>
  <c r="A10783" i="10"/>
  <c r="E10782" i="10"/>
  <c r="D10782" i="10"/>
  <c r="C10782" i="10"/>
  <c r="B10782" i="10"/>
  <c r="A10782" i="10"/>
  <c r="E10781" i="10"/>
  <c r="D10781" i="10"/>
  <c r="C10781" i="10"/>
  <c r="B10781" i="10"/>
  <c r="A10781" i="10"/>
  <c r="E10780" i="10"/>
  <c r="D10780" i="10"/>
  <c r="C10780" i="10"/>
  <c r="B10780" i="10"/>
  <c r="A10780" i="10"/>
  <c r="E10779" i="10"/>
  <c r="D10779" i="10"/>
  <c r="C10779" i="10"/>
  <c r="B10779" i="10"/>
  <c r="A10779" i="10"/>
  <c r="E10778" i="10"/>
  <c r="D10778" i="10"/>
  <c r="C10778" i="10"/>
  <c r="B10778" i="10"/>
  <c r="A10778" i="10"/>
  <c r="E10777" i="10"/>
  <c r="D10777" i="10"/>
  <c r="C10777" i="10"/>
  <c r="B10777" i="10"/>
  <c r="A10777" i="10"/>
  <c r="E10776" i="10"/>
  <c r="D10776" i="10"/>
  <c r="C10776" i="10"/>
  <c r="B10776" i="10"/>
  <c r="A10776" i="10"/>
  <c r="E10775" i="10"/>
  <c r="D10775" i="10"/>
  <c r="C10775" i="10"/>
  <c r="B10775" i="10"/>
  <c r="A10775" i="10"/>
  <c r="E10774" i="10"/>
  <c r="D10774" i="10"/>
  <c r="C10774" i="10"/>
  <c r="B10774" i="10"/>
  <c r="A10774" i="10"/>
  <c r="E10773" i="10"/>
  <c r="D10773" i="10"/>
  <c r="C10773" i="10"/>
  <c r="B10773" i="10"/>
  <c r="A10773" i="10"/>
  <c r="E10772" i="10"/>
  <c r="D10772" i="10"/>
  <c r="C10772" i="10"/>
  <c r="B10772" i="10"/>
  <c r="A10772" i="10"/>
  <c r="E10771" i="10"/>
  <c r="D10771" i="10"/>
  <c r="C10771" i="10"/>
  <c r="B10771" i="10"/>
  <c r="A10771" i="10"/>
  <c r="E10770" i="10"/>
  <c r="D10770" i="10"/>
  <c r="C10770" i="10"/>
  <c r="B10770" i="10"/>
  <c r="A10770" i="10"/>
  <c r="E10769" i="10"/>
  <c r="D10769" i="10"/>
  <c r="C10769" i="10"/>
  <c r="B10769" i="10"/>
  <c r="A10769" i="10"/>
  <c r="E10768" i="10"/>
  <c r="D10768" i="10"/>
  <c r="C10768" i="10"/>
  <c r="B10768" i="10"/>
  <c r="A10768" i="10"/>
  <c r="E10767" i="10"/>
  <c r="D10767" i="10"/>
  <c r="C10767" i="10"/>
  <c r="B10767" i="10"/>
  <c r="A10767" i="10"/>
  <c r="E10766" i="10"/>
  <c r="D10766" i="10"/>
  <c r="C10766" i="10"/>
  <c r="B10766" i="10"/>
  <c r="A10766" i="10"/>
  <c r="E10765" i="10"/>
  <c r="D10765" i="10"/>
  <c r="C10765" i="10"/>
  <c r="B10765" i="10"/>
  <c r="A10765" i="10"/>
  <c r="E10764" i="10"/>
  <c r="D10764" i="10"/>
  <c r="C10764" i="10"/>
  <c r="B10764" i="10"/>
  <c r="A10764" i="10"/>
  <c r="E10763" i="10"/>
  <c r="D10763" i="10"/>
  <c r="C10763" i="10"/>
  <c r="B10763" i="10"/>
  <c r="A10763" i="10"/>
  <c r="E10762" i="10"/>
  <c r="D10762" i="10"/>
  <c r="C10762" i="10"/>
  <c r="B10762" i="10"/>
  <c r="A10762" i="10"/>
  <c r="E10761" i="10"/>
  <c r="D10761" i="10"/>
  <c r="C10761" i="10"/>
  <c r="B10761" i="10"/>
  <c r="A10761" i="10"/>
  <c r="E10760" i="10"/>
  <c r="D10760" i="10"/>
  <c r="C10760" i="10"/>
  <c r="B10760" i="10"/>
  <c r="A10760" i="10"/>
  <c r="E10759" i="10"/>
  <c r="D10759" i="10"/>
  <c r="C10759" i="10"/>
  <c r="B10759" i="10"/>
  <c r="A10759" i="10"/>
  <c r="E10758" i="10"/>
  <c r="D10758" i="10"/>
  <c r="C10758" i="10"/>
  <c r="B10758" i="10"/>
  <c r="A10758" i="10"/>
  <c r="E10757" i="10"/>
  <c r="D10757" i="10"/>
  <c r="C10757" i="10"/>
  <c r="B10757" i="10"/>
  <c r="A10757" i="10"/>
  <c r="E10756" i="10"/>
  <c r="D10756" i="10"/>
  <c r="C10756" i="10"/>
  <c r="B10756" i="10"/>
  <c r="A10756" i="10"/>
  <c r="E10755" i="10"/>
  <c r="D10755" i="10"/>
  <c r="C10755" i="10"/>
  <c r="B10755" i="10"/>
  <c r="A10755" i="10"/>
  <c r="E10754" i="10"/>
  <c r="D10754" i="10"/>
  <c r="C10754" i="10"/>
  <c r="B10754" i="10"/>
  <c r="A10754" i="10"/>
  <c r="E10753" i="10"/>
  <c r="D10753" i="10"/>
  <c r="C10753" i="10"/>
  <c r="B10753" i="10"/>
  <c r="A10753" i="10"/>
  <c r="E10752" i="10"/>
  <c r="D10752" i="10"/>
  <c r="C10752" i="10"/>
  <c r="B10752" i="10"/>
  <c r="A10752" i="10"/>
  <c r="E10751" i="10"/>
  <c r="D10751" i="10"/>
  <c r="C10751" i="10"/>
  <c r="B10751" i="10"/>
  <c r="A10751" i="10"/>
  <c r="E10750" i="10"/>
  <c r="D10750" i="10"/>
  <c r="C10750" i="10"/>
  <c r="B10750" i="10"/>
  <c r="A10750" i="10"/>
  <c r="E10749" i="10"/>
  <c r="D10749" i="10"/>
  <c r="C10749" i="10"/>
  <c r="B10749" i="10"/>
  <c r="A10749" i="10"/>
  <c r="E10748" i="10"/>
  <c r="D10748" i="10"/>
  <c r="C10748" i="10"/>
  <c r="B10748" i="10"/>
  <c r="A10748" i="10"/>
  <c r="E10747" i="10"/>
  <c r="D10747" i="10"/>
  <c r="C10747" i="10"/>
  <c r="B10747" i="10"/>
  <c r="A10747" i="10"/>
  <c r="E10746" i="10"/>
  <c r="D10746" i="10"/>
  <c r="C10746" i="10"/>
  <c r="B10746" i="10"/>
  <c r="A10746" i="10"/>
  <c r="E10745" i="10"/>
  <c r="D10745" i="10"/>
  <c r="C10745" i="10"/>
  <c r="B10745" i="10"/>
  <c r="A10745" i="10"/>
  <c r="E10744" i="10"/>
  <c r="D10744" i="10"/>
  <c r="C10744" i="10"/>
  <c r="B10744" i="10"/>
  <c r="A10744" i="10"/>
  <c r="E10743" i="10"/>
  <c r="D10743" i="10"/>
  <c r="C10743" i="10"/>
  <c r="B10743" i="10"/>
  <c r="A10743" i="10"/>
  <c r="E10742" i="10"/>
  <c r="D10742" i="10"/>
  <c r="C10742" i="10"/>
  <c r="B10742" i="10"/>
  <c r="A10742" i="10"/>
  <c r="E10741" i="10"/>
  <c r="D10741" i="10"/>
  <c r="C10741" i="10"/>
  <c r="B10741" i="10"/>
  <c r="A10741" i="10"/>
  <c r="E10740" i="10"/>
  <c r="D10740" i="10"/>
  <c r="C10740" i="10"/>
  <c r="B10740" i="10"/>
  <c r="A10740" i="10"/>
  <c r="E10739" i="10"/>
  <c r="D10739" i="10"/>
  <c r="C10739" i="10"/>
  <c r="B10739" i="10"/>
  <c r="A10739" i="10"/>
  <c r="E10738" i="10"/>
  <c r="D10738" i="10"/>
  <c r="C10738" i="10"/>
  <c r="B10738" i="10"/>
  <c r="A10738" i="10"/>
  <c r="E10737" i="10"/>
  <c r="D10737" i="10"/>
  <c r="C10737" i="10"/>
  <c r="B10737" i="10"/>
  <c r="A10737" i="10"/>
  <c r="E10736" i="10"/>
  <c r="D10736" i="10"/>
  <c r="C10736" i="10"/>
  <c r="B10736" i="10"/>
  <c r="A10736" i="10"/>
  <c r="E10735" i="10"/>
  <c r="D10735" i="10"/>
  <c r="C10735" i="10"/>
  <c r="B10735" i="10"/>
  <c r="A10735" i="10"/>
  <c r="E10734" i="10"/>
  <c r="D10734" i="10"/>
  <c r="C10734" i="10"/>
  <c r="B10734" i="10"/>
  <c r="A10734" i="10"/>
  <c r="E10733" i="10"/>
  <c r="D10733" i="10"/>
  <c r="C10733" i="10"/>
  <c r="B10733" i="10"/>
  <c r="A10733" i="10"/>
  <c r="E10732" i="10"/>
  <c r="D10732" i="10"/>
  <c r="C10732" i="10"/>
  <c r="B10732" i="10"/>
  <c r="A10732" i="10"/>
  <c r="E10731" i="10"/>
  <c r="D10731" i="10"/>
  <c r="C10731" i="10"/>
  <c r="B10731" i="10"/>
  <c r="A10731" i="10"/>
  <c r="E10730" i="10"/>
  <c r="D10730" i="10"/>
  <c r="C10730" i="10"/>
  <c r="B10730" i="10"/>
  <c r="A10730" i="10"/>
  <c r="E10729" i="10"/>
  <c r="D10729" i="10"/>
  <c r="C10729" i="10"/>
  <c r="B10729" i="10"/>
  <c r="A10729" i="10"/>
  <c r="E10728" i="10"/>
  <c r="D10728" i="10"/>
  <c r="C10728" i="10"/>
  <c r="B10728" i="10"/>
  <c r="A10728" i="10"/>
  <c r="E10727" i="10"/>
  <c r="D10727" i="10"/>
  <c r="C10727" i="10"/>
  <c r="B10727" i="10"/>
  <c r="A10727" i="10"/>
  <c r="E10726" i="10"/>
  <c r="D10726" i="10"/>
  <c r="C10726" i="10"/>
  <c r="B10726" i="10"/>
  <c r="A10726" i="10"/>
  <c r="E10725" i="10"/>
  <c r="D10725" i="10"/>
  <c r="C10725" i="10"/>
  <c r="B10725" i="10"/>
  <c r="A10725" i="10"/>
  <c r="E10724" i="10"/>
  <c r="D10724" i="10"/>
  <c r="C10724" i="10"/>
  <c r="B10724" i="10"/>
  <c r="A10724" i="10"/>
  <c r="E10723" i="10"/>
  <c r="D10723" i="10"/>
  <c r="C10723" i="10"/>
  <c r="B10723" i="10"/>
  <c r="A10723" i="10"/>
  <c r="E10722" i="10"/>
  <c r="D10722" i="10"/>
  <c r="C10722" i="10"/>
  <c r="B10722" i="10"/>
  <c r="A10722" i="10"/>
  <c r="E10721" i="10"/>
  <c r="D10721" i="10"/>
  <c r="C10721" i="10"/>
  <c r="B10721" i="10"/>
  <c r="A10721" i="10"/>
  <c r="E10720" i="10"/>
  <c r="D10720" i="10"/>
  <c r="C10720" i="10"/>
  <c r="B10720" i="10"/>
  <c r="A10720" i="10"/>
  <c r="E10719" i="10"/>
  <c r="D10719" i="10"/>
  <c r="C10719" i="10"/>
  <c r="B10719" i="10"/>
  <c r="A10719" i="10"/>
  <c r="E10718" i="10"/>
  <c r="D10718" i="10"/>
  <c r="C10718" i="10"/>
  <c r="B10718" i="10"/>
  <c r="A10718" i="10"/>
  <c r="E10717" i="10"/>
  <c r="D10717" i="10"/>
  <c r="C10717" i="10"/>
  <c r="B10717" i="10"/>
  <c r="A10717" i="10"/>
  <c r="E10716" i="10"/>
  <c r="D10716" i="10"/>
  <c r="C10716" i="10"/>
  <c r="B10716" i="10"/>
  <c r="A10716" i="10"/>
  <c r="E10715" i="10"/>
  <c r="D10715" i="10"/>
  <c r="C10715" i="10"/>
  <c r="B10715" i="10"/>
  <c r="A10715" i="10"/>
  <c r="E10714" i="10"/>
  <c r="D10714" i="10"/>
  <c r="C10714" i="10"/>
  <c r="B10714" i="10"/>
  <c r="A10714" i="10"/>
  <c r="E10713" i="10"/>
  <c r="D10713" i="10"/>
  <c r="C10713" i="10"/>
  <c r="B10713" i="10"/>
  <c r="A10713" i="10"/>
  <c r="E10712" i="10"/>
  <c r="D10712" i="10"/>
  <c r="C10712" i="10"/>
  <c r="B10712" i="10"/>
  <c r="A10712" i="10"/>
  <c r="E10711" i="10"/>
  <c r="D10711" i="10"/>
  <c r="C10711" i="10"/>
  <c r="B10711" i="10"/>
  <c r="A10711" i="10"/>
  <c r="E10710" i="10"/>
  <c r="D10710" i="10"/>
  <c r="C10710" i="10"/>
  <c r="B10710" i="10"/>
  <c r="A10710" i="10"/>
  <c r="E10709" i="10"/>
  <c r="D10709" i="10"/>
  <c r="C10709" i="10"/>
  <c r="B10709" i="10"/>
  <c r="A10709" i="10"/>
  <c r="E10708" i="10"/>
  <c r="D10708" i="10"/>
  <c r="C10708" i="10"/>
  <c r="B10708" i="10"/>
  <c r="A10708" i="10"/>
  <c r="E10707" i="10"/>
  <c r="D10707" i="10"/>
  <c r="C10707" i="10"/>
  <c r="B10707" i="10"/>
  <c r="A10707" i="10"/>
  <c r="E10706" i="10"/>
  <c r="D10706" i="10"/>
  <c r="C10706" i="10"/>
  <c r="B10706" i="10"/>
  <c r="A10706" i="10"/>
  <c r="E10705" i="10"/>
  <c r="D10705" i="10"/>
  <c r="C10705" i="10"/>
  <c r="B10705" i="10"/>
  <c r="A10705" i="10"/>
  <c r="E10704" i="10"/>
  <c r="D10704" i="10"/>
  <c r="C10704" i="10"/>
  <c r="B10704" i="10"/>
  <c r="A10704" i="10"/>
  <c r="E10703" i="10"/>
  <c r="D10703" i="10"/>
  <c r="C10703" i="10"/>
  <c r="B10703" i="10"/>
  <c r="A10703" i="10"/>
  <c r="E10702" i="10"/>
  <c r="D10702" i="10"/>
  <c r="C10702" i="10"/>
  <c r="B10702" i="10"/>
  <c r="A10702" i="10"/>
  <c r="E10701" i="10"/>
  <c r="D10701" i="10"/>
  <c r="C10701" i="10"/>
  <c r="B10701" i="10"/>
  <c r="A10701" i="10"/>
  <c r="E10700" i="10"/>
  <c r="D10700" i="10"/>
  <c r="C10700" i="10"/>
  <c r="B10700" i="10"/>
  <c r="A10700" i="10"/>
  <c r="E10699" i="10"/>
  <c r="D10699" i="10"/>
  <c r="C10699" i="10"/>
  <c r="B10699" i="10"/>
  <c r="A10699" i="10"/>
  <c r="E10698" i="10"/>
  <c r="D10698" i="10"/>
  <c r="C10698" i="10"/>
  <c r="B10698" i="10"/>
  <c r="A10698" i="10"/>
  <c r="E10697" i="10"/>
  <c r="D10697" i="10"/>
  <c r="C10697" i="10"/>
  <c r="B10697" i="10"/>
  <c r="A10697" i="10"/>
  <c r="E10696" i="10"/>
  <c r="D10696" i="10"/>
  <c r="C10696" i="10"/>
  <c r="B10696" i="10"/>
  <c r="A10696" i="10"/>
  <c r="E10695" i="10"/>
  <c r="D10695" i="10"/>
  <c r="C10695" i="10"/>
  <c r="B10695" i="10"/>
  <c r="A10695" i="10"/>
  <c r="E10694" i="10"/>
  <c r="D10694" i="10"/>
  <c r="C10694" i="10"/>
  <c r="B10694" i="10"/>
  <c r="A10694" i="10"/>
  <c r="E10693" i="10"/>
  <c r="D10693" i="10"/>
  <c r="C10693" i="10"/>
  <c r="B10693" i="10"/>
  <c r="A10693" i="10"/>
  <c r="E10692" i="10"/>
  <c r="D10692" i="10"/>
  <c r="C10692" i="10"/>
  <c r="B10692" i="10"/>
  <c r="A10692" i="10"/>
  <c r="E10691" i="10"/>
  <c r="D10691" i="10"/>
  <c r="C10691" i="10"/>
  <c r="B10691" i="10"/>
  <c r="A10691" i="10"/>
  <c r="E10690" i="10"/>
  <c r="D10690" i="10"/>
  <c r="C10690" i="10"/>
  <c r="B10690" i="10"/>
  <c r="A10690" i="10"/>
  <c r="E10689" i="10"/>
  <c r="D10689" i="10"/>
  <c r="C10689" i="10"/>
  <c r="B10689" i="10"/>
  <c r="A10689" i="10"/>
  <c r="E10688" i="10"/>
  <c r="D10688" i="10"/>
  <c r="C10688" i="10"/>
  <c r="B10688" i="10"/>
  <c r="A10688" i="10"/>
  <c r="E10687" i="10"/>
  <c r="D10687" i="10"/>
  <c r="C10687" i="10"/>
  <c r="B10687" i="10"/>
  <c r="A10687" i="10"/>
  <c r="E10686" i="10"/>
  <c r="D10686" i="10"/>
  <c r="C10686" i="10"/>
  <c r="B10686" i="10"/>
  <c r="A10686" i="10"/>
  <c r="E10685" i="10"/>
  <c r="D10685" i="10"/>
  <c r="C10685" i="10"/>
  <c r="B10685" i="10"/>
  <c r="A10685" i="10"/>
  <c r="E10684" i="10"/>
  <c r="D10684" i="10"/>
  <c r="C10684" i="10"/>
  <c r="B10684" i="10"/>
  <c r="A10684" i="10"/>
  <c r="E10683" i="10"/>
  <c r="D10683" i="10"/>
  <c r="C10683" i="10"/>
  <c r="B10683" i="10"/>
  <c r="A10683" i="10"/>
  <c r="E10682" i="10"/>
  <c r="D10682" i="10"/>
  <c r="C10682" i="10"/>
  <c r="B10682" i="10"/>
  <c r="A10682" i="10"/>
  <c r="E10681" i="10"/>
  <c r="D10681" i="10"/>
  <c r="C10681" i="10"/>
  <c r="B10681" i="10"/>
  <c r="A10681" i="10"/>
  <c r="E10680" i="10"/>
  <c r="D10680" i="10"/>
  <c r="C10680" i="10"/>
  <c r="B10680" i="10"/>
  <c r="A10680" i="10"/>
  <c r="E10679" i="10"/>
  <c r="D10679" i="10"/>
  <c r="C10679" i="10"/>
  <c r="B10679" i="10"/>
  <c r="A10679" i="10"/>
  <c r="E10678" i="10"/>
  <c r="D10678" i="10"/>
  <c r="C10678" i="10"/>
  <c r="B10678" i="10"/>
  <c r="A10678" i="10"/>
  <c r="E10677" i="10"/>
  <c r="D10677" i="10"/>
  <c r="C10677" i="10"/>
  <c r="B10677" i="10"/>
  <c r="A10677" i="10"/>
  <c r="E10676" i="10"/>
  <c r="D10676" i="10"/>
  <c r="C10676" i="10"/>
  <c r="B10676" i="10"/>
  <c r="A10676" i="10"/>
  <c r="E10675" i="10"/>
  <c r="D10675" i="10"/>
  <c r="C10675" i="10"/>
  <c r="B10675" i="10"/>
  <c r="A10675" i="10"/>
  <c r="E10674" i="10"/>
  <c r="D10674" i="10"/>
  <c r="C10674" i="10"/>
  <c r="B10674" i="10"/>
  <c r="A10674" i="10"/>
  <c r="E10673" i="10"/>
  <c r="D10673" i="10"/>
  <c r="C10673" i="10"/>
  <c r="B10673" i="10"/>
  <c r="A10673" i="10"/>
  <c r="E10672" i="10"/>
  <c r="D10672" i="10"/>
  <c r="C10672" i="10"/>
  <c r="B10672" i="10"/>
  <c r="A10672" i="10"/>
  <c r="E10671" i="10"/>
  <c r="D10671" i="10"/>
  <c r="C10671" i="10"/>
  <c r="B10671" i="10"/>
  <c r="A10671" i="10"/>
  <c r="E10670" i="10"/>
  <c r="D10670" i="10"/>
  <c r="C10670" i="10"/>
  <c r="B10670" i="10"/>
  <c r="A10670" i="10"/>
  <c r="E10669" i="10"/>
  <c r="D10669" i="10"/>
  <c r="C10669" i="10"/>
  <c r="B10669" i="10"/>
  <c r="A10669" i="10"/>
  <c r="E10668" i="10"/>
  <c r="D10668" i="10"/>
  <c r="C10668" i="10"/>
  <c r="B10668" i="10"/>
  <c r="A10668" i="10"/>
  <c r="E10667" i="10"/>
  <c r="D10667" i="10"/>
  <c r="C10667" i="10"/>
  <c r="B10667" i="10"/>
  <c r="A10667" i="10"/>
  <c r="E10666" i="10"/>
  <c r="D10666" i="10"/>
  <c r="C10666" i="10"/>
  <c r="B10666" i="10"/>
  <c r="A10666" i="10"/>
  <c r="E10665" i="10"/>
  <c r="D10665" i="10"/>
  <c r="C10665" i="10"/>
  <c r="B10665" i="10"/>
  <c r="A10665" i="10"/>
  <c r="E10664" i="10"/>
  <c r="D10664" i="10"/>
  <c r="C10664" i="10"/>
  <c r="B10664" i="10"/>
  <c r="A10664" i="10"/>
  <c r="E10663" i="10"/>
  <c r="D10663" i="10"/>
  <c r="C10663" i="10"/>
  <c r="B10663" i="10"/>
  <c r="A10663" i="10"/>
  <c r="E10662" i="10"/>
  <c r="D10662" i="10"/>
  <c r="C10662" i="10"/>
  <c r="B10662" i="10"/>
  <c r="A10662" i="10"/>
  <c r="E10661" i="10"/>
  <c r="D10661" i="10"/>
  <c r="C10661" i="10"/>
  <c r="B10661" i="10"/>
  <c r="A10661" i="10"/>
  <c r="E10660" i="10"/>
  <c r="D10660" i="10"/>
  <c r="C10660" i="10"/>
  <c r="B10660" i="10"/>
  <c r="A10660" i="10"/>
  <c r="E10659" i="10"/>
  <c r="D10659" i="10"/>
  <c r="C10659" i="10"/>
  <c r="B10659" i="10"/>
  <c r="A10659" i="10"/>
  <c r="E10658" i="10"/>
  <c r="D10658" i="10"/>
  <c r="C10658" i="10"/>
  <c r="B10658" i="10"/>
  <c r="A10658" i="10"/>
  <c r="E10657" i="10"/>
  <c r="D10657" i="10"/>
  <c r="C10657" i="10"/>
  <c r="B10657" i="10"/>
  <c r="A10657" i="10"/>
  <c r="E10656" i="10"/>
  <c r="D10656" i="10"/>
  <c r="C10656" i="10"/>
  <c r="B10656" i="10"/>
  <c r="A10656" i="10"/>
  <c r="E10655" i="10"/>
  <c r="D10655" i="10"/>
  <c r="C10655" i="10"/>
  <c r="B10655" i="10"/>
  <c r="A10655" i="10"/>
  <c r="E10654" i="10"/>
  <c r="D10654" i="10"/>
  <c r="C10654" i="10"/>
  <c r="B10654" i="10"/>
  <c r="A10654" i="10"/>
  <c r="E10653" i="10"/>
  <c r="D10653" i="10"/>
  <c r="C10653" i="10"/>
  <c r="B10653" i="10"/>
  <c r="A10653" i="10"/>
  <c r="E10652" i="10"/>
  <c r="D10652" i="10"/>
  <c r="C10652" i="10"/>
  <c r="B10652" i="10"/>
  <c r="A10652" i="10"/>
  <c r="E10651" i="10"/>
  <c r="D10651" i="10"/>
  <c r="C10651" i="10"/>
  <c r="B10651" i="10"/>
  <c r="A10651" i="10"/>
  <c r="E10650" i="10"/>
  <c r="D10650" i="10"/>
  <c r="C10650" i="10"/>
  <c r="B10650" i="10"/>
  <c r="A10650" i="10"/>
  <c r="E10649" i="10"/>
  <c r="D10649" i="10"/>
  <c r="C10649" i="10"/>
  <c r="B10649" i="10"/>
  <c r="A10649" i="10"/>
  <c r="E10648" i="10"/>
  <c r="D10648" i="10"/>
  <c r="C10648" i="10"/>
  <c r="B10648" i="10"/>
  <c r="A10648" i="10"/>
  <c r="E10647" i="10"/>
  <c r="D10647" i="10"/>
  <c r="C10647" i="10"/>
  <c r="B10647" i="10"/>
  <c r="A10647" i="10"/>
  <c r="E10646" i="10"/>
  <c r="D10646" i="10"/>
  <c r="C10646" i="10"/>
  <c r="B10646" i="10"/>
  <c r="A10646" i="10"/>
  <c r="E10645" i="10"/>
  <c r="D10645" i="10"/>
  <c r="C10645" i="10"/>
  <c r="B10645" i="10"/>
  <c r="A10645" i="10"/>
  <c r="E10644" i="10"/>
  <c r="D10644" i="10"/>
  <c r="C10644" i="10"/>
  <c r="B10644" i="10"/>
  <c r="A10644" i="10"/>
  <c r="E10643" i="10"/>
  <c r="D10643" i="10"/>
  <c r="C10643" i="10"/>
  <c r="B10643" i="10"/>
  <c r="A10643" i="10"/>
  <c r="E10642" i="10"/>
  <c r="D10642" i="10"/>
  <c r="C10642" i="10"/>
  <c r="B10642" i="10"/>
  <c r="A10642" i="10"/>
  <c r="E10641" i="10"/>
  <c r="D10641" i="10"/>
  <c r="C10641" i="10"/>
  <c r="B10641" i="10"/>
  <c r="A10641" i="10"/>
  <c r="E10640" i="10"/>
  <c r="D10640" i="10"/>
  <c r="C10640" i="10"/>
  <c r="B10640" i="10"/>
  <c r="A10640" i="10"/>
  <c r="E10639" i="10"/>
  <c r="D10639" i="10"/>
  <c r="C10639" i="10"/>
  <c r="B10639" i="10"/>
  <c r="A10639" i="10"/>
  <c r="E10638" i="10"/>
  <c r="D10638" i="10"/>
  <c r="C10638" i="10"/>
  <c r="B10638" i="10"/>
  <c r="A10638" i="10"/>
  <c r="E10637" i="10"/>
  <c r="D10637" i="10"/>
  <c r="C10637" i="10"/>
  <c r="B10637" i="10"/>
  <c r="A10637" i="10"/>
  <c r="E10636" i="10"/>
  <c r="D10636" i="10"/>
  <c r="C10636" i="10"/>
  <c r="B10636" i="10"/>
  <c r="A10636" i="10"/>
  <c r="E10635" i="10"/>
  <c r="D10635" i="10"/>
  <c r="C10635" i="10"/>
  <c r="B10635" i="10"/>
  <c r="A10635" i="10"/>
  <c r="E10634" i="10"/>
  <c r="D10634" i="10"/>
  <c r="C10634" i="10"/>
  <c r="B10634" i="10"/>
  <c r="A10634" i="10"/>
  <c r="E10633" i="10"/>
  <c r="D10633" i="10"/>
  <c r="C10633" i="10"/>
  <c r="B10633" i="10"/>
  <c r="A10633" i="10"/>
  <c r="E10632" i="10"/>
  <c r="D10632" i="10"/>
  <c r="C10632" i="10"/>
  <c r="B10632" i="10"/>
  <c r="A10632" i="10"/>
  <c r="E10631" i="10"/>
  <c r="D10631" i="10"/>
  <c r="C10631" i="10"/>
  <c r="B10631" i="10"/>
  <c r="A10631" i="10"/>
  <c r="E10630" i="10"/>
  <c r="D10630" i="10"/>
  <c r="C10630" i="10"/>
  <c r="B10630" i="10"/>
  <c r="A10630" i="10"/>
  <c r="E10629" i="10"/>
  <c r="D10629" i="10"/>
  <c r="C10629" i="10"/>
  <c r="B10629" i="10"/>
  <c r="A10629" i="10"/>
  <c r="E10628" i="10"/>
  <c r="D10628" i="10"/>
  <c r="C10628" i="10"/>
  <c r="B10628" i="10"/>
  <c r="A10628" i="10"/>
  <c r="E10627" i="10"/>
  <c r="D10627" i="10"/>
  <c r="C10627" i="10"/>
  <c r="B10627" i="10"/>
  <c r="A10627" i="10"/>
  <c r="E10626" i="10"/>
  <c r="D10626" i="10"/>
  <c r="C10626" i="10"/>
  <c r="B10626" i="10"/>
  <c r="A10626" i="10"/>
  <c r="E10625" i="10"/>
  <c r="D10625" i="10"/>
  <c r="C10625" i="10"/>
  <c r="B10625" i="10"/>
  <c r="A10625" i="10"/>
  <c r="E10624" i="10"/>
  <c r="D10624" i="10"/>
  <c r="C10624" i="10"/>
  <c r="B10624" i="10"/>
  <c r="A10624" i="10"/>
  <c r="E10623" i="10"/>
  <c r="D10623" i="10"/>
  <c r="C10623" i="10"/>
  <c r="B10623" i="10"/>
  <c r="A10623" i="10"/>
  <c r="E10622" i="10"/>
  <c r="D10622" i="10"/>
  <c r="C10622" i="10"/>
  <c r="B10622" i="10"/>
  <c r="A10622" i="10"/>
  <c r="E10621" i="10"/>
  <c r="D10621" i="10"/>
  <c r="C10621" i="10"/>
  <c r="B10621" i="10"/>
  <c r="A10621" i="10"/>
  <c r="E10620" i="10"/>
  <c r="D10620" i="10"/>
  <c r="C10620" i="10"/>
  <c r="B10620" i="10"/>
  <c r="A10620" i="10"/>
  <c r="E10619" i="10"/>
  <c r="D10619" i="10"/>
  <c r="C10619" i="10"/>
  <c r="B10619" i="10"/>
  <c r="A10619" i="10"/>
  <c r="E10618" i="10"/>
  <c r="D10618" i="10"/>
  <c r="C10618" i="10"/>
  <c r="B10618" i="10"/>
  <c r="A10618" i="10"/>
  <c r="E10617" i="10"/>
  <c r="D10617" i="10"/>
  <c r="C10617" i="10"/>
  <c r="B10617" i="10"/>
  <c r="A10617" i="10"/>
  <c r="E10616" i="10"/>
  <c r="D10616" i="10"/>
  <c r="C10616" i="10"/>
  <c r="B10616" i="10"/>
  <c r="A10616" i="10"/>
  <c r="E10615" i="10"/>
  <c r="D10615" i="10"/>
  <c r="C10615" i="10"/>
  <c r="B10615" i="10"/>
  <c r="A10615" i="10"/>
  <c r="E10614" i="10"/>
  <c r="D10614" i="10"/>
  <c r="C10614" i="10"/>
  <c r="B10614" i="10"/>
  <c r="A10614" i="10"/>
  <c r="E10613" i="10"/>
  <c r="D10613" i="10"/>
  <c r="C10613" i="10"/>
  <c r="B10613" i="10"/>
  <c r="A10613" i="10"/>
  <c r="E10612" i="10"/>
  <c r="D10612" i="10"/>
  <c r="C10612" i="10"/>
  <c r="B10612" i="10"/>
  <c r="A10612" i="10"/>
  <c r="E10611" i="10"/>
  <c r="D10611" i="10"/>
  <c r="C10611" i="10"/>
  <c r="B10611" i="10"/>
  <c r="A10611" i="10"/>
  <c r="E10610" i="10"/>
  <c r="D10610" i="10"/>
  <c r="C10610" i="10"/>
  <c r="B10610" i="10"/>
  <c r="A10610" i="10"/>
  <c r="E10609" i="10"/>
  <c r="D10609" i="10"/>
  <c r="C10609" i="10"/>
  <c r="B10609" i="10"/>
  <c r="A10609" i="10"/>
  <c r="E10608" i="10"/>
  <c r="D10608" i="10"/>
  <c r="C10608" i="10"/>
  <c r="B10608" i="10"/>
  <c r="A10608" i="10"/>
  <c r="E10607" i="10"/>
  <c r="D10607" i="10"/>
  <c r="C10607" i="10"/>
  <c r="B10607" i="10"/>
  <c r="A10607" i="10"/>
  <c r="E10606" i="10"/>
  <c r="D10606" i="10"/>
  <c r="C10606" i="10"/>
  <c r="B10606" i="10"/>
  <c r="A10606" i="10"/>
  <c r="E10605" i="10"/>
  <c r="D10605" i="10"/>
  <c r="C10605" i="10"/>
  <c r="B10605" i="10"/>
  <c r="A10605" i="10"/>
  <c r="E10604" i="10"/>
  <c r="D10604" i="10"/>
  <c r="C10604" i="10"/>
  <c r="B10604" i="10"/>
  <c r="A10604" i="10"/>
  <c r="E10603" i="10"/>
  <c r="D10603" i="10"/>
  <c r="C10603" i="10"/>
  <c r="B10603" i="10"/>
  <c r="A10603" i="10"/>
  <c r="E10602" i="10"/>
  <c r="D10602" i="10"/>
  <c r="C10602" i="10"/>
  <c r="B10602" i="10"/>
  <c r="A10602" i="10"/>
  <c r="E10601" i="10"/>
  <c r="D10601" i="10"/>
  <c r="C10601" i="10"/>
  <c r="B10601" i="10"/>
  <c r="A10601" i="10"/>
  <c r="E10600" i="10"/>
  <c r="D10600" i="10"/>
  <c r="C10600" i="10"/>
  <c r="B10600" i="10"/>
  <c r="A10600" i="10"/>
  <c r="E10599" i="10"/>
  <c r="D10599" i="10"/>
  <c r="C10599" i="10"/>
  <c r="B10599" i="10"/>
  <c r="A10599" i="10"/>
  <c r="E10598" i="10"/>
  <c r="D10598" i="10"/>
  <c r="C10598" i="10"/>
  <c r="B10598" i="10"/>
  <c r="A10598" i="10"/>
  <c r="E10597" i="10"/>
  <c r="D10597" i="10"/>
  <c r="C10597" i="10"/>
  <c r="B10597" i="10"/>
  <c r="A10597" i="10"/>
  <c r="E10596" i="10"/>
  <c r="D10596" i="10"/>
  <c r="C10596" i="10"/>
  <c r="B10596" i="10"/>
  <c r="A10596" i="10"/>
  <c r="E10595" i="10"/>
  <c r="D10595" i="10"/>
  <c r="C10595" i="10"/>
  <c r="B10595" i="10"/>
  <c r="A10595" i="10"/>
  <c r="E10594" i="10"/>
  <c r="D10594" i="10"/>
  <c r="C10594" i="10"/>
  <c r="B10594" i="10"/>
  <c r="A10594" i="10"/>
  <c r="E10593" i="10"/>
  <c r="D10593" i="10"/>
  <c r="C10593" i="10"/>
  <c r="B10593" i="10"/>
  <c r="A10593" i="10"/>
  <c r="E10592" i="10"/>
  <c r="D10592" i="10"/>
  <c r="C10592" i="10"/>
  <c r="B10592" i="10"/>
  <c r="A10592" i="10"/>
  <c r="E10591" i="10"/>
  <c r="D10591" i="10"/>
  <c r="C10591" i="10"/>
  <c r="B10591" i="10"/>
  <c r="A10591" i="10"/>
  <c r="E10590" i="10"/>
  <c r="D10590" i="10"/>
  <c r="C10590" i="10"/>
  <c r="B10590" i="10"/>
  <c r="A10590" i="10"/>
  <c r="E10589" i="10"/>
  <c r="D10589" i="10"/>
  <c r="C10589" i="10"/>
  <c r="B10589" i="10"/>
  <c r="A10589" i="10"/>
  <c r="E10588" i="10"/>
  <c r="D10588" i="10"/>
  <c r="C10588" i="10"/>
  <c r="B10588" i="10"/>
  <c r="A10588" i="10"/>
  <c r="E10587" i="10"/>
  <c r="D10587" i="10"/>
  <c r="C10587" i="10"/>
  <c r="B10587" i="10"/>
  <c r="A10587" i="10"/>
  <c r="E10586" i="10"/>
  <c r="D10586" i="10"/>
  <c r="C10586" i="10"/>
  <c r="B10586" i="10"/>
  <c r="A10586" i="10"/>
  <c r="E10585" i="10"/>
  <c r="D10585" i="10"/>
  <c r="C10585" i="10"/>
  <c r="B10585" i="10"/>
  <c r="A10585" i="10"/>
  <c r="E10584" i="10"/>
  <c r="D10584" i="10"/>
  <c r="C10584" i="10"/>
  <c r="B10584" i="10"/>
  <c r="A10584" i="10"/>
  <c r="E10583" i="10"/>
  <c r="D10583" i="10"/>
  <c r="C10583" i="10"/>
  <c r="B10583" i="10"/>
  <c r="A10583" i="10"/>
  <c r="E10582" i="10"/>
  <c r="D10582" i="10"/>
  <c r="C10582" i="10"/>
  <c r="B10582" i="10"/>
  <c r="A10582" i="10"/>
  <c r="E10581" i="10"/>
  <c r="D10581" i="10"/>
  <c r="C10581" i="10"/>
  <c r="B10581" i="10"/>
  <c r="A10581" i="10"/>
  <c r="E10580" i="10"/>
  <c r="D10580" i="10"/>
  <c r="C10580" i="10"/>
  <c r="B10580" i="10"/>
  <c r="A10580" i="10"/>
  <c r="E10579" i="10"/>
  <c r="D10579" i="10"/>
  <c r="C10579" i="10"/>
  <c r="B10579" i="10"/>
  <c r="A10579" i="10"/>
  <c r="E10578" i="10"/>
  <c r="D10578" i="10"/>
  <c r="C10578" i="10"/>
  <c r="B10578" i="10"/>
  <c r="A10578" i="10"/>
  <c r="E10577" i="10"/>
  <c r="D10577" i="10"/>
  <c r="C10577" i="10"/>
  <c r="B10577" i="10"/>
  <c r="A10577" i="10"/>
  <c r="E10576" i="10"/>
  <c r="D10576" i="10"/>
  <c r="C10576" i="10"/>
  <c r="B10576" i="10"/>
  <c r="A10576" i="10"/>
  <c r="E10575" i="10"/>
  <c r="D10575" i="10"/>
  <c r="C10575" i="10"/>
  <c r="B10575" i="10"/>
  <c r="A10575" i="10"/>
  <c r="E10574" i="10"/>
  <c r="D10574" i="10"/>
  <c r="C10574" i="10"/>
  <c r="B10574" i="10"/>
  <c r="A10574" i="10"/>
  <c r="E10573" i="10"/>
  <c r="D10573" i="10"/>
  <c r="C10573" i="10"/>
  <c r="B10573" i="10"/>
  <c r="A10573" i="10"/>
  <c r="E10572" i="10"/>
  <c r="D10572" i="10"/>
  <c r="C10572" i="10"/>
  <c r="B10572" i="10"/>
  <c r="A10572" i="10"/>
  <c r="E10571" i="10"/>
  <c r="D10571" i="10"/>
  <c r="C10571" i="10"/>
  <c r="B10571" i="10"/>
  <c r="A10571" i="10"/>
  <c r="E10570" i="10"/>
  <c r="D10570" i="10"/>
  <c r="C10570" i="10"/>
  <c r="B10570" i="10"/>
  <c r="A10570" i="10"/>
  <c r="E10569" i="10"/>
  <c r="D10569" i="10"/>
  <c r="C10569" i="10"/>
  <c r="B10569" i="10"/>
  <c r="A10569" i="10"/>
  <c r="E10568" i="10"/>
  <c r="D10568" i="10"/>
  <c r="C10568" i="10"/>
  <c r="B10568" i="10"/>
  <c r="A10568" i="10"/>
  <c r="E10567" i="10"/>
  <c r="D10567" i="10"/>
  <c r="C10567" i="10"/>
  <c r="B10567" i="10"/>
  <c r="A10567" i="10"/>
  <c r="E10566" i="10"/>
  <c r="D10566" i="10"/>
  <c r="C10566" i="10"/>
  <c r="B10566" i="10"/>
  <c r="A10566" i="10"/>
  <c r="E10565" i="10"/>
  <c r="D10565" i="10"/>
  <c r="C10565" i="10"/>
  <c r="B10565" i="10"/>
  <c r="A10565" i="10"/>
  <c r="E10564" i="10"/>
  <c r="D10564" i="10"/>
  <c r="C10564" i="10"/>
  <c r="B10564" i="10"/>
  <c r="A10564" i="10"/>
  <c r="E10563" i="10"/>
  <c r="D10563" i="10"/>
  <c r="C10563" i="10"/>
  <c r="B10563" i="10"/>
  <c r="A10563" i="10"/>
  <c r="E10562" i="10"/>
  <c r="D10562" i="10"/>
  <c r="C10562" i="10"/>
  <c r="B10562" i="10"/>
  <c r="A10562" i="10"/>
  <c r="E10561" i="10"/>
  <c r="D10561" i="10"/>
  <c r="C10561" i="10"/>
  <c r="B10561" i="10"/>
  <c r="A10561" i="10"/>
  <c r="E10560" i="10"/>
  <c r="D10560" i="10"/>
  <c r="C10560" i="10"/>
  <c r="B10560" i="10"/>
  <c r="A10560" i="10"/>
  <c r="E10559" i="10"/>
  <c r="D10559" i="10"/>
  <c r="C10559" i="10"/>
  <c r="B10559" i="10"/>
  <c r="A10559" i="10"/>
  <c r="E10558" i="10"/>
  <c r="D10558" i="10"/>
  <c r="C10558" i="10"/>
  <c r="B10558" i="10"/>
  <c r="A10558" i="10"/>
  <c r="E10557" i="10"/>
  <c r="D10557" i="10"/>
  <c r="C10557" i="10"/>
  <c r="B10557" i="10"/>
  <c r="A10557" i="10"/>
  <c r="E10556" i="10"/>
  <c r="D10556" i="10"/>
  <c r="C10556" i="10"/>
  <c r="B10556" i="10"/>
  <c r="A10556" i="10"/>
  <c r="E10555" i="10"/>
  <c r="D10555" i="10"/>
  <c r="C10555" i="10"/>
  <c r="B10555" i="10"/>
  <c r="A10555" i="10"/>
  <c r="E10554" i="10"/>
  <c r="D10554" i="10"/>
  <c r="C10554" i="10"/>
  <c r="B10554" i="10"/>
  <c r="A10554" i="10"/>
  <c r="E10553" i="10"/>
  <c r="D10553" i="10"/>
  <c r="C10553" i="10"/>
  <c r="B10553" i="10"/>
  <c r="A10553" i="10"/>
  <c r="E10552" i="10"/>
  <c r="D10552" i="10"/>
  <c r="C10552" i="10"/>
  <c r="B10552" i="10"/>
  <c r="A10552" i="10"/>
  <c r="E10551" i="10"/>
  <c r="D10551" i="10"/>
  <c r="C10551" i="10"/>
  <c r="B10551" i="10"/>
  <c r="A10551" i="10"/>
  <c r="E10550" i="10"/>
  <c r="D10550" i="10"/>
  <c r="C10550" i="10"/>
  <c r="B10550" i="10"/>
  <c r="A10550" i="10"/>
  <c r="E10549" i="10"/>
  <c r="D10549" i="10"/>
  <c r="C10549" i="10"/>
  <c r="B10549" i="10"/>
  <c r="A10549" i="10"/>
  <c r="E10548" i="10"/>
  <c r="D10548" i="10"/>
  <c r="C10548" i="10"/>
  <c r="B10548" i="10"/>
  <c r="A10548" i="10"/>
  <c r="E10547" i="10"/>
  <c r="D10547" i="10"/>
  <c r="C10547" i="10"/>
  <c r="B10547" i="10"/>
  <c r="A10547" i="10"/>
  <c r="E10546" i="10"/>
  <c r="D10546" i="10"/>
  <c r="C10546" i="10"/>
  <c r="B10546" i="10"/>
  <c r="A10546" i="10"/>
  <c r="E10545" i="10"/>
  <c r="D10545" i="10"/>
  <c r="C10545" i="10"/>
  <c r="B10545" i="10"/>
  <c r="A10545" i="10"/>
  <c r="E10544" i="10"/>
  <c r="D10544" i="10"/>
  <c r="C10544" i="10"/>
  <c r="B10544" i="10"/>
  <c r="A10544" i="10"/>
  <c r="E10543" i="10"/>
  <c r="D10543" i="10"/>
  <c r="C10543" i="10"/>
  <c r="B10543" i="10"/>
  <c r="A10543" i="10"/>
  <c r="E10542" i="10"/>
  <c r="D10542" i="10"/>
  <c r="C10542" i="10"/>
  <c r="B10542" i="10"/>
  <c r="A10542" i="10"/>
  <c r="E10541" i="10"/>
  <c r="D10541" i="10"/>
  <c r="C10541" i="10"/>
  <c r="B10541" i="10"/>
  <c r="A10541" i="10"/>
  <c r="E10540" i="10"/>
  <c r="D10540" i="10"/>
  <c r="C10540" i="10"/>
  <c r="B10540" i="10"/>
  <c r="A10540" i="10"/>
  <c r="E10539" i="10"/>
  <c r="D10539" i="10"/>
  <c r="C10539" i="10"/>
  <c r="B10539" i="10"/>
  <c r="A10539" i="10"/>
  <c r="E10538" i="10"/>
  <c r="D10538" i="10"/>
  <c r="C10538" i="10"/>
  <c r="B10538" i="10"/>
  <c r="A10538" i="10"/>
  <c r="E10537" i="10"/>
  <c r="D10537" i="10"/>
  <c r="C10537" i="10"/>
  <c r="B10537" i="10"/>
  <c r="A10537" i="10"/>
  <c r="E10536" i="10"/>
  <c r="D10536" i="10"/>
  <c r="C10536" i="10"/>
  <c r="B10536" i="10"/>
  <c r="A10536" i="10"/>
  <c r="E10535" i="10"/>
  <c r="D10535" i="10"/>
  <c r="C10535" i="10"/>
  <c r="B10535" i="10"/>
  <c r="A10535" i="10"/>
  <c r="E10534" i="10"/>
  <c r="D10534" i="10"/>
  <c r="C10534" i="10"/>
  <c r="B10534" i="10"/>
  <c r="A10534" i="10"/>
  <c r="E10533" i="10"/>
  <c r="D10533" i="10"/>
  <c r="C10533" i="10"/>
  <c r="B10533" i="10"/>
  <c r="A10533" i="10"/>
  <c r="E10532" i="10"/>
  <c r="D10532" i="10"/>
  <c r="C10532" i="10"/>
  <c r="B10532" i="10"/>
  <c r="A10532" i="10"/>
  <c r="E10531" i="10"/>
  <c r="D10531" i="10"/>
  <c r="C10531" i="10"/>
  <c r="B10531" i="10"/>
  <c r="A10531" i="10"/>
  <c r="E10530" i="10"/>
  <c r="D10530" i="10"/>
  <c r="C10530" i="10"/>
  <c r="B10530" i="10"/>
  <c r="A10530" i="10"/>
  <c r="E10529" i="10"/>
  <c r="D10529" i="10"/>
  <c r="C10529" i="10"/>
  <c r="B10529" i="10"/>
  <c r="A10529" i="10"/>
  <c r="E10528" i="10"/>
  <c r="D10528" i="10"/>
  <c r="C10528" i="10"/>
  <c r="B10528" i="10"/>
  <c r="A10528" i="10"/>
  <c r="E10527" i="10"/>
  <c r="D10527" i="10"/>
  <c r="C10527" i="10"/>
  <c r="B10527" i="10"/>
  <c r="A10527" i="10"/>
  <c r="E10526" i="10"/>
  <c r="D10526" i="10"/>
  <c r="C10526" i="10"/>
  <c r="B10526" i="10"/>
  <c r="A10526" i="10"/>
  <c r="E10525" i="10"/>
  <c r="D10525" i="10"/>
  <c r="C10525" i="10"/>
  <c r="B10525" i="10"/>
  <c r="A10525" i="10"/>
  <c r="E10524" i="10"/>
  <c r="D10524" i="10"/>
  <c r="C10524" i="10"/>
  <c r="B10524" i="10"/>
  <c r="A10524" i="10"/>
  <c r="E10523" i="10"/>
  <c r="D10523" i="10"/>
  <c r="C10523" i="10"/>
  <c r="B10523" i="10"/>
  <c r="A10523" i="10"/>
  <c r="E10522" i="10"/>
  <c r="D10522" i="10"/>
  <c r="C10522" i="10"/>
  <c r="B10522" i="10"/>
  <c r="A10522" i="10"/>
  <c r="E10521" i="10"/>
  <c r="D10521" i="10"/>
  <c r="C10521" i="10"/>
  <c r="B10521" i="10"/>
  <c r="A10521" i="10"/>
  <c r="E10520" i="10"/>
  <c r="D10520" i="10"/>
  <c r="C10520" i="10"/>
  <c r="B10520" i="10"/>
  <c r="A10520" i="10"/>
  <c r="E10519" i="10"/>
  <c r="D10519" i="10"/>
  <c r="C10519" i="10"/>
  <c r="B10519" i="10"/>
  <c r="A10519" i="10"/>
  <c r="E10518" i="10"/>
  <c r="D10518" i="10"/>
  <c r="C10518" i="10"/>
  <c r="B10518" i="10"/>
  <c r="A10518" i="10"/>
  <c r="E10517" i="10"/>
  <c r="D10517" i="10"/>
  <c r="C10517" i="10"/>
  <c r="B10517" i="10"/>
  <c r="A10517" i="10"/>
  <c r="E10516" i="10"/>
  <c r="D10516" i="10"/>
  <c r="C10516" i="10"/>
  <c r="B10516" i="10"/>
  <c r="A10516" i="10"/>
  <c r="E10515" i="10"/>
  <c r="D10515" i="10"/>
  <c r="C10515" i="10"/>
  <c r="B10515" i="10"/>
  <c r="A10515" i="10"/>
  <c r="E10514" i="10"/>
  <c r="D10514" i="10"/>
  <c r="C10514" i="10"/>
  <c r="B10514" i="10"/>
  <c r="A10514" i="10"/>
  <c r="E10513" i="10"/>
  <c r="D10513" i="10"/>
  <c r="C10513" i="10"/>
  <c r="B10513" i="10"/>
  <c r="A10513" i="10"/>
  <c r="E10512" i="10"/>
  <c r="D10512" i="10"/>
  <c r="C10512" i="10"/>
  <c r="B10512" i="10"/>
  <c r="A10512" i="10"/>
  <c r="E10511" i="10"/>
  <c r="D10511" i="10"/>
  <c r="C10511" i="10"/>
  <c r="B10511" i="10"/>
  <c r="A10511" i="10"/>
  <c r="E10510" i="10"/>
  <c r="D10510" i="10"/>
  <c r="C10510" i="10"/>
  <c r="B10510" i="10"/>
  <c r="A10510" i="10"/>
  <c r="E10509" i="10"/>
  <c r="D10509" i="10"/>
  <c r="C10509" i="10"/>
  <c r="B10509" i="10"/>
  <c r="A10509" i="10"/>
  <c r="E10508" i="10"/>
  <c r="D10508" i="10"/>
  <c r="C10508" i="10"/>
  <c r="B10508" i="10"/>
  <c r="A10508" i="10"/>
  <c r="E10507" i="10"/>
  <c r="D10507" i="10"/>
  <c r="C10507" i="10"/>
  <c r="B10507" i="10"/>
  <c r="A10507" i="10"/>
  <c r="E10506" i="10"/>
  <c r="D10506" i="10"/>
  <c r="C10506" i="10"/>
  <c r="B10506" i="10"/>
  <c r="A10506" i="10"/>
  <c r="E10505" i="10"/>
  <c r="D10505" i="10"/>
  <c r="C10505" i="10"/>
  <c r="B10505" i="10"/>
  <c r="A10505" i="10"/>
  <c r="E10504" i="10"/>
  <c r="D10504" i="10"/>
  <c r="C10504" i="10"/>
  <c r="B10504" i="10"/>
  <c r="A10504" i="10"/>
  <c r="E10503" i="10"/>
  <c r="D10503" i="10"/>
  <c r="C10503" i="10"/>
  <c r="B10503" i="10"/>
  <c r="A10503" i="10"/>
  <c r="E10502" i="10"/>
  <c r="D10502" i="10"/>
  <c r="C10502" i="10"/>
  <c r="B10502" i="10"/>
  <c r="A10502" i="10"/>
  <c r="E10501" i="10"/>
  <c r="D10501" i="10"/>
  <c r="C10501" i="10"/>
  <c r="B10501" i="10"/>
  <c r="A10501" i="10"/>
  <c r="E10500" i="10"/>
  <c r="D10500" i="10"/>
  <c r="C10500" i="10"/>
  <c r="B10500" i="10"/>
  <c r="A10500" i="10"/>
  <c r="E10499" i="10"/>
  <c r="D10499" i="10"/>
  <c r="C10499" i="10"/>
  <c r="B10499" i="10"/>
  <c r="A10499" i="10"/>
  <c r="E10498" i="10"/>
  <c r="D10498" i="10"/>
  <c r="C10498" i="10"/>
  <c r="B10498" i="10"/>
  <c r="A10498" i="10"/>
  <c r="E10497" i="10"/>
  <c r="D10497" i="10"/>
  <c r="C10497" i="10"/>
  <c r="B10497" i="10"/>
  <c r="A10497" i="10"/>
  <c r="E10496" i="10"/>
  <c r="D10496" i="10"/>
  <c r="C10496" i="10"/>
  <c r="B10496" i="10"/>
  <c r="A10496" i="10"/>
  <c r="E10495" i="10"/>
  <c r="D10495" i="10"/>
  <c r="C10495" i="10"/>
  <c r="B10495" i="10"/>
  <c r="A10495" i="10"/>
  <c r="E10494" i="10"/>
  <c r="D10494" i="10"/>
  <c r="C10494" i="10"/>
  <c r="B10494" i="10"/>
  <c r="A10494" i="10"/>
  <c r="E10493" i="10"/>
  <c r="D10493" i="10"/>
  <c r="C10493" i="10"/>
  <c r="B10493" i="10"/>
  <c r="A10493" i="10"/>
  <c r="E10492" i="10"/>
  <c r="D10492" i="10"/>
  <c r="C10492" i="10"/>
  <c r="B10492" i="10"/>
  <c r="A10492" i="10"/>
  <c r="E10491" i="10"/>
  <c r="D10491" i="10"/>
  <c r="C10491" i="10"/>
  <c r="B10491" i="10"/>
  <c r="A10491" i="10"/>
  <c r="E10490" i="10"/>
  <c r="D10490" i="10"/>
  <c r="C10490" i="10"/>
  <c r="B10490" i="10"/>
  <c r="A10490" i="10"/>
  <c r="E10489" i="10"/>
  <c r="D10489" i="10"/>
  <c r="C10489" i="10"/>
  <c r="B10489" i="10"/>
  <c r="A10489" i="10"/>
  <c r="E10488" i="10"/>
  <c r="D10488" i="10"/>
  <c r="C10488" i="10"/>
  <c r="B10488" i="10"/>
  <c r="A10488" i="10"/>
  <c r="E10487" i="10"/>
  <c r="D10487" i="10"/>
  <c r="C10487" i="10"/>
  <c r="B10487" i="10"/>
  <c r="A10487" i="10"/>
  <c r="E10486" i="10"/>
  <c r="D10486" i="10"/>
  <c r="C10486" i="10"/>
  <c r="B10486" i="10"/>
  <c r="A10486" i="10"/>
  <c r="E10485" i="10"/>
  <c r="D10485" i="10"/>
  <c r="C10485" i="10"/>
  <c r="B10485" i="10"/>
  <c r="A10485" i="10"/>
  <c r="E10484" i="10"/>
  <c r="D10484" i="10"/>
  <c r="C10484" i="10"/>
  <c r="B10484" i="10"/>
  <c r="A10484" i="10"/>
  <c r="E10483" i="10"/>
  <c r="D10483" i="10"/>
  <c r="C10483" i="10"/>
  <c r="B10483" i="10"/>
  <c r="A10483" i="10"/>
  <c r="E10482" i="10"/>
  <c r="D10482" i="10"/>
  <c r="C10482" i="10"/>
  <c r="B10482" i="10"/>
  <c r="A10482" i="10"/>
  <c r="E10481" i="10"/>
  <c r="D10481" i="10"/>
  <c r="C10481" i="10"/>
  <c r="B10481" i="10"/>
  <c r="A10481" i="10"/>
  <c r="E10480" i="10"/>
  <c r="D10480" i="10"/>
  <c r="C10480" i="10"/>
  <c r="B10480" i="10"/>
  <c r="A10480" i="10"/>
  <c r="E10479" i="10"/>
  <c r="D10479" i="10"/>
  <c r="C10479" i="10"/>
  <c r="B10479" i="10"/>
  <c r="A10479" i="10"/>
  <c r="E10478" i="10"/>
  <c r="D10478" i="10"/>
  <c r="C10478" i="10"/>
  <c r="B10478" i="10"/>
  <c r="A10478" i="10"/>
  <c r="E10477" i="10"/>
  <c r="D10477" i="10"/>
  <c r="C10477" i="10"/>
  <c r="B10477" i="10"/>
  <c r="A10477" i="10"/>
  <c r="E10476" i="10"/>
  <c r="D10476" i="10"/>
  <c r="C10476" i="10"/>
  <c r="B10476" i="10"/>
  <c r="A10476" i="10"/>
  <c r="E10475" i="10"/>
  <c r="D10475" i="10"/>
  <c r="C10475" i="10"/>
  <c r="B10475" i="10"/>
  <c r="A10475" i="10"/>
  <c r="E10474" i="10"/>
  <c r="D10474" i="10"/>
  <c r="C10474" i="10"/>
  <c r="B10474" i="10"/>
  <c r="A10474" i="10"/>
  <c r="E10473" i="10"/>
  <c r="D10473" i="10"/>
  <c r="C10473" i="10"/>
  <c r="B10473" i="10"/>
  <c r="A10473" i="10"/>
  <c r="E10472" i="10"/>
  <c r="D10472" i="10"/>
  <c r="C10472" i="10"/>
  <c r="B10472" i="10"/>
  <c r="A10472" i="10"/>
  <c r="E10471" i="10"/>
  <c r="D10471" i="10"/>
  <c r="C10471" i="10"/>
  <c r="B10471" i="10"/>
  <c r="A10471" i="10"/>
  <c r="E10470" i="10"/>
  <c r="D10470" i="10"/>
  <c r="C10470" i="10"/>
  <c r="B10470" i="10"/>
  <c r="A10470" i="10"/>
  <c r="E10469" i="10"/>
  <c r="D10469" i="10"/>
  <c r="C10469" i="10"/>
  <c r="B10469" i="10"/>
  <c r="A10469" i="10"/>
  <c r="E10468" i="10"/>
  <c r="D10468" i="10"/>
  <c r="C10468" i="10"/>
  <c r="B10468" i="10"/>
  <c r="A10468" i="10"/>
  <c r="E10467" i="10"/>
  <c r="D10467" i="10"/>
  <c r="C10467" i="10"/>
  <c r="B10467" i="10"/>
  <c r="A10467" i="10"/>
  <c r="E10466" i="10"/>
  <c r="D10466" i="10"/>
  <c r="C10466" i="10"/>
  <c r="B10466" i="10"/>
  <c r="A10466" i="10"/>
  <c r="E10465" i="10"/>
  <c r="D10465" i="10"/>
  <c r="C10465" i="10"/>
  <c r="B10465" i="10"/>
  <c r="A10465" i="10"/>
  <c r="E10464" i="10"/>
  <c r="D10464" i="10"/>
  <c r="C10464" i="10"/>
  <c r="B10464" i="10"/>
  <c r="A10464" i="10"/>
  <c r="E10463" i="10"/>
  <c r="D10463" i="10"/>
  <c r="C10463" i="10"/>
  <c r="B10463" i="10"/>
  <c r="A10463" i="10"/>
  <c r="E10462" i="10"/>
  <c r="D10462" i="10"/>
  <c r="C10462" i="10"/>
  <c r="B10462" i="10"/>
  <c r="A10462" i="10"/>
  <c r="E10461" i="10"/>
  <c r="D10461" i="10"/>
  <c r="C10461" i="10"/>
  <c r="B10461" i="10"/>
  <c r="A10461" i="10"/>
  <c r="E10460" i="10"/>
  <c r="D10460" i="10"/>
  <c r="C10460" i="10"/>
  <c r="B10460" i="10"/>
  <c r="A10460" i="10"/>
  <c r="E10459" i="10"/>
  <c r="D10459" i="10"/>
  <c r="C10459" i="10"/>
  <c r="B10459" i="10"/>
  <c r="A10459" i="10"/>
  <c r="E10458" i="10"/>
  <c r="D10458" i="10"/>
  <c r="C10458" i="10"/>
  <c r="B10458" i="10"/>
  <c r="A10458" i="10"/>
  <c r="E10457" i="10"/>
  <c r="D10457" i="10"/>
  <c r="C10457" i="10"/>
  <c r="B10457" i="10"/>
  <c r="A10457" i="10"/>
  <c r="E10456" i="10"/>
  <c r="D10456" i="10"/>
  <c r="C10456" i="10"/>
  <c r="B10456" i="10"/>
  <c r="A10456" i="10"/>
  <c r="E10455" i="10"/>
  <c r="D10455" i="10"/>
  <c r="C10455" i="10"/>
  <c r="B10455" i="10"/>
  <c r="A10455" i="10"/>
  <c r="E10454" i="10"/>
  <c r="D10454" i="10"/>
  <c r="C10454" i="10"/>
  <c r="B10454" i="10"/>
  <c r="A10454" i="10"/>
  <c r="E10453" i="10"/>
  <c r="D10453" i="10"/>
  <c r="C10453" i="10"/>
  <c r="B10453" i="10"/>
  <c r="A10453" i="10"/>
  <c r="E10452" i="10"/>
  <c r="D10452" i="10"/>
  <c r="C10452" i="10"/>
  <c r="B10452" i="10"/>
  <c r="A10452" i="10"/>
  <c r="E10451" i="10"/>
  <c r="D10451" i="10"/>
  <c r="C10451" i="10"/>
  <c r="B10451" i="10"/>
  <c r="A10451" i="10"/>
  <c r="E10450" i="10"/>
  <c r="D10450" i="10"/>
  <c r="C10450" i="10"/>
  <c r="B10450" i="10"/>
  <c r="A10450" i="10"/>
  <c r="E10449" i="10"/>
  <c r="D10449" i="10"/>
  <c r="C10449" i="10"/>
  <c r="B10449" i="10"/>
  <c r="A10449" i="10"/>
  <c r="E10448" i="10"/>
  <c r="D10448" i="10"/>
  <c r="C10448" i="10"/>
  <c r="B10448" i="10"/>
  <c r="A10448" i="10"/>
  <c r="E10447" i="10"/>
  <c r="D10447" i="10"/>
  <c r="C10447" i="10"/>
  <c r="B10447" i="10"/>
  <c r="A10447" i="10"/>
  <c r="E10446" i="10"/>
  <c r="D10446" i="10"/>
  <c r="C10446" i="10"/>
  <c r="B10446" i="10"/>
  <c r="A10446" i="10"/>
  <c r="E10445" i="10"/>
  <c r="D10445" i="10"/>
  <c r="C10445" i="10"/>
  <c r="B10445" i="10"/>
  <c r="A10445" i="10"/>
  <c r="E10444" i="10"/>
  <c r="D10444" i="10"/>
  <c r="C10444" i="10"/>
  <c r="B10444" i="10"/>
  <c r="A10444" i="10"/>
  <c r="E10443" i="10"/>
  <c r="D10443" i="10"/>
  <c r="C10443" i="10"/>
  <c r="B10443" i="10"/>
  <c r="A10443" i="10"/>
  <c r="E10442" i="10"/>
  <c r="D10442" i="10"/>
  <c r="C10442" i="10"/>
  <c r="B10442" i="10"/>
  <c r="A10442" i="10"/>
  <c r="E10441" i="10"/>
  <c r="D10441" i="10"/>
  <c r="C10441" i="10"/>
  <c r="B10441" i="10"/>
  <c r="A10441" i="10"/>
  <c r="E10440" i="10"/>
  <c r="D10440" i="10"/>
  <c r="C10440" i="10"/>
  <c r="B10440" i="10"/>
  <c r="A10440" i="10"/>
  <c r="E10439" i="10"/>
  <c r="D10439" i="10"/>
  <c r="C10439" i="10"/>
  <c r="B10439" i="10"/>
  <c r="A10439" i="10"/>
  <c r="E10438" i="10"/>
  <c r="D10438" i="10"/>
  <c r="C10438" i="10"/>
  <c r="B10438" i="10"/>
  <c r="A10438" i="10"/>
  <c r="E10437" i="10"/>
  <c r="D10437" i="10"/>
  <c r="C10437" i="10"/>
  <c r="B10437" i="10"/>
  <c r="A10437" i="10"/>
  <c r="E10436" i="10"/>
  <c r="D10436" i="10"/>
  <c r="C10436" i="10"/>
  <c r="B10436" i="10"/>
  <c r="A10436" i="10"/>
  <c r="E10435" i="10"/>
  <c r="D10435" i="10"/>
  <c r="C10435" i="10"/>
  <c r="B10435" i="10"/>
  <c r="A10435" i="10"/>
  <c r="E10434" i="10"/>
  <c r="D10434" i="10"/>
  <c r="C10434" i="10"/>
  <c r="B10434" i="10"/>
  <c r="A10434" i="10"/>
  <c r="E10433" i="10"/>
  <c r="D10433" i="10"/>
  <c r="C10433" i="10"/>
  <c r="B10433" i="10"/>
  <c r="A10433" i="10"/>
  <c r="E10432" i="10"/>
  <c r="D10432" i="10"/>
  <c r="C10432" i="10"/>
  <c r="B10432" i="10"/>
  <c r="A10432" i="10"/>
  <c r="E10431" i="10"/>
  <c r="D10431" i="10"/>
  <c r="C10431" i="10"/>
  <c r="B10431" i="10"/>
  <c r="A10431" i="10"/>
  <c r="E10430" i="10"/>
  <c r="D10430" i="10"/>
  <c r="C10430" i="10"/>
  <c r="B10430" i="10"/>
  <c r="A10430" i="10"/>
  <c r="E10429" i="10"/>
  <c r="D10429" i="10"/>
  <c r="C10429" i="10"/>
  <c r="B10429" i="10"/>
  <c r="A10429" i="10"/>
  <c r="E10428" i="10"/>
  <c r="D10428" i="10"/>
  <c r="C10428" i="10"/>
  <c r="B10428" i="10"/>
  <c r="A10428" i="10"/>
  <c r="E10427" i="10"/>
  <c r="D10427" i="10"/>
  <c r="C10427" i="10"/>
  <c r="B10427" i="10"/>
  <c r="A10427" i="10"/>
  <c r="E10426" i="10"/>
  <c r="D10426" i="10"/>
  <c r="C10426" i="10"/>
  <c r="B10426" i="10"/>
  <c r="A10426" i="10"/>
  <c r="E10425" i="10"/>
  <c r="D10425" i="10"/>
  <c r="C10425" i="10"/>
  <c r="B10425" i="10"/>
  <c r="A10425" i="10"/>
  <c r="E10424" i="10"/>
  <c r="D10424" i="10"/>
  <c r="C10424" i="10"/>
  <c r="B10424" i="10"/>
  <c r="A10424" i="10"/>
  <c r="E10423" i="10"/>
  <c r="D10423" i="10"/>
  <c r="C10423" i="10"/>
  <c r="B10423" i="10"/>
  <c r="A10423" i="10"/>
  <c r="E10422" i="10"/>
  <c r="D10422" i="10"/>
  <c r="C10422" i="10"/>
  <c r="B10422" i="10"/>
  <c r="A10422" i="10"/>
  <c r="E10421" i="10"/>
  <c r="D10421" i="10"/>
  <c r="C10421" i="10"/>
  <c r="B10421" i="10"/>
  <c r="A10421" i="10"/>
  <c r="E10420" i="10"/>
  <c r="D10420" i="10"/>
  <c r="C10420" i="10"/>
  <c r="B10420" i="10"/>
  <c r="A10420" i="10"/>
  <c r="E10419" i="10"/>
  <c r="D10419" i="10"/>
  <c r="C10419" i="10"/>
  <c r="B10419" i="10"/>
  <c r="A10419" i="10"/>
  <c r="E10418" i="10"/>
  <c r="D10418" i="10"/>
  <c r="C10418" i="10"/>
  <c r="B10418" i="10"/>
  <c r="A10418" i="10"/>
  <c r="E10417" i="10"/>
  <c r="D10417" i="10"/>
  <c r="C10417" i="10"/>
  <c r="B10417" i="10"/>
  <c r="A10417" i="10"/>
  <c r="E10416" i="10"/>
  <c r="D10416" i="10"/>
  <c r="C10416" i="10"/>
  <c r="B10416" i="10"/>
  <c r="A10416" i="10"/>
  <c r="E10415" i="10"/>
  <c r="D10415" i="10"/>
  <c r="C10415" i="10"/>
  <c r="B10415" i="10"/>
  <c r="A10415" i="10"/>
  <c r="E10414" i="10"/>
  <c r="D10414" i="10"/>
  <c r="C10414" i="10"/>
  <c r="B10414" i="10"/>
  <c r="A10414" i="10"/>
  <c r="E10413" i="10"/>
  <c r="D10413" i="10"/>
  <c r="C10413" i="10"/>
  <c r="B10413" i="10"/>
  <c r="A10413" i="10"/>
  <c r="E10412" i="10"/>
  <c r="D10412" i="10"/>
  <c r="C10412" i="10"/>
  <c r="B10412" i="10"/>
  <c r="A10412" i="10"/>
  <c r="E10411" i="10"/>
  <c r="D10411" i="10"/>
  <c r="C10411" i="10"/>
  <c r="B10411" i="10"/>
  <c r="A10411" i="10"/>
  <c r="E10410" i="10"/>
  <c r="D10410" i="10"/>
  <c r="C10410" i="10"/>
  <c r="B10410" i="10"/>
  <c r="A10410" i="10"/>
  <c r="E10409" i="10"/>
  <c r="D10409" i="10"/>
  <c r="C10409" i="10"/>
  <c r="B10409" i="10"/>
  <c r="A10409" i="10"/>
  <c r="E10408" i="10"/>
  <c r="D10408" i="10"/>
  <c r="C10408" i="10"/>
  <c r="B10408" i="10"/>
  <c r="A10408" i="10"/>
  <c r="E10407" i="10"/>
  <c r="D10407" i="10"/>
  <c r="C10407" i="10"/>
  <c r="B10407" i="10"/>
  <c r="A10407" i="10"/>
  <c r="E10406" i="10"/>
  <c r="D10406" i="10"/>
  <c r="C10406" i="10"/>
  <c r="B10406" i="10"/>
  <c r="A10406" i="10"/>
  <c r="E10405" i="10"/>
  <c r="D10405" i="10"/>
  <c r="C10405" i="10"/>
  <c r="B10405" i="10"/>
  <c r="A10405" i="10"/>
  <c r="E10404" i="10"/>
  <c r="D10404" i="10"/>
  <c r="C10404" i="10"/>
  <c r="B10404" i="10"/>
  <c r="A10404" i="10"/>
  <c r="E10403" i="10"/>
  <c r="D10403" i="10"/>
  <c r="C10403" i="10"/>
  <c r="B10403" i="10"/>
  <c r="A10403" i="10"/>
  <c r="E10402" i="10"/>
  <c r="D10402" i="10"/>
  <c r="C10402" i="10"/>
  <c r="B10402" i="10"/>
  <c r="A10402" i="10"/>
  <c r="E10401" i="10"/>
  <c r="D10401" i="10"/>
  <c r="C10401" i="10"/>
  <c r="B10401" i="10"/>
  <c r="A10401" i="10"/>
  <c r="E10400" i="10"/>
  <c r="D10400" i="10"/>
  <c r="C10400" i="10"/>
  <c r="B10400" i="10"/>
  <c r="A10400" i="10"/>
  <c r="E10399" i="10"/>
  <c r="D10399" i="10"/>
  <c r="C10399" i="10"/>
  <c r="B10399" i="10"/>
  <c r="A10399" i="10"/>
  <c r="E10398" i="10"/>
  <c r="D10398" i="10"/>
  <c r="C10398" i="10"/>
  <c r="B10398" i="10"/>
  <c r="A10398" i="10"/>
  <c r="E10397" i="10"/>
  <c r="D10397" i="10"/>
  <c r="C10397" i="10"/>
  <c r="B10397" i="10"/>
  <c r="A10397" i="10"/>
  <c r="E10396" i="10"/>
  <c r="D10396" i="10"/>
  <c r="C10396" i="10"/>
  <c r="B10396" i="10"/>
  <c r="A10396" i="10"/>
  <c r="E10395" i="10"/>
  <c r="D10395" i="10"/>
  <c r="C10395" i="10"/>
  <c r="B10395" i="10"/>
  <c r="A10395" i="10"/>
  <c r="E10394" i="10"/>
  <c r="D10394" i="10"/>
  <c r="C10394" i="10"/>
  <c r="B10394" i="10"/>
  <c r="A10394" i="10"/>
  <c r="E10393" i="10"/>
  <c r="D10393" i="10"/>
  <c r="C10393" i="10"/>
  <c r="B10393" i="10"/>
  <c r="A10393" i="10"/>
  <c r="E10392" i="10"/>
  <c r="D10392" i="10"/>
  <c r="C10392" i="10"/>
  <c r="B10392" i="10"/>
  <c r="A10392" i="10"/>
  <c r="E10391" i="10"/>
  <c r="D10391" i="10"/>
  <c r="C10391" i="10"/>
  <c r="B10391" i="10"/>
  <c r="A10391" i="10"/>
  <c r="E10390" i="10"/>
  <c r="D10390" i="10"/>
  <c r="C10390" i="10"/>
  <c r="B10390" i="10"/>
  <c r="A10390" i="10"/>
  <c r="E10389" i="10"/>
  <c r="D10389" i="10"/>
  <c r="C10389" i="10"/>
  <c r="B10389" i="10"/>
  <c r="A10389" i="10"/>
  <c r="E10388" i="10"/>
  <c r="D10388" i="10"/>
  <c r="C10388" i="10"/>
  <c r="B10388" i="10"/>
  <c r="A10388" i="10"/>
  <c r="E10387" i="10"/>
  <c r="D10387" i="10"/>
  <c r="C10387" i="10"/>
  <c r="B10387" i="10"/>
  <c r="A10387" i="10"/>
  <c r="E10386" i="10"/>
  <c r="D10386" i="10"/>
  <c r="C10386" i="10"/>
  <c r="B10386" i="10"/>
  <c r="A10386" i="10"/>
  <c r="E10385" i="10"/>
  <c r="D10385" i="10"/>
  <c r="C10385" i="10"/>
  <c r="B10385" i="10"/>
  <c r="A10385" i="10"/>
  <c r="E10384" i="10"/>
  <c r="D10384" i="10"/>
  <c r="C10384" i="10"/>
  <c r="B10384" i="10"/>
  <c r="A10384" i="10"/>
  <c r="E10383" i="10"/>
  <c r="D10383" i="10"/>
  <c r="C10383" i="10"/>
  <c r="B10383" i="10"/>
  <c r="A10383" i="10"/>
  <c r="E10382" i="10"/>
  <c r="D10382" i="10"/>
  <c r="C10382" i="10"/>
  <c r="B10382" i="10"/>
  <c r="A10382" i="10"/>
  <c r="E10381" i="10"/>
  <c r="D10381" i="10"/>
  <c r="C10381" i="10"/>
  <c r="B10381" i="10"/>
  <c r="A10381" i="10"/>
  <c r="E10380" i="10"/>
  <c r="D10380" i="10"/>
  <c r="C10380" i="10"/>
  <c r="B10380" i="10"/>
  <c r="A10380" i="10"/>
  <c r="E10379" i="10"/>
  <c r="D10379" i="10"/>
  <c r="C10379" i="10"/>
  <c r="B10379" i="10"/>
  <c r="A10379" i="10"/>
  <c r="E10378" i="10"/>
  <c r="D10378" i="10"/>
  <c r="C10378" i="10"/>
  <c r="B10378" i="10"/>
  <c r="A10378" i="10"/>
  <c r="E10377" i="10"/>
  <c r="D10377" i="10"/>
  <c r="C10377" i="10"/>
  <c r="B10377" i="10"/>
  <c r="A10377" i="10"/>
  <c r="E10376" i="10"/>
  <c r="D10376" i="10"/>
  <c r="C10376" i="10"/>
  <c r="B10376" i="10"/>
  <c r="A10376" i="10"/>
  <c r="E10375" i="10"/>
  <c r="D10375" i="10"/>
  <c r="C10375" i="10"/>
  <c r="B10375" i="10"/>
  <c r="A10375" i="10"/>
  <c r="E10374" i="10"/>
  <c r="D10374" i="10"/>
  <c r="C10374" i="10"/>
  <c r="B10374" i="10"/>
  <c r="A10374" i="10"/>
  <c r="E10373" i="10"/>
  <c r="D10373" i="10"/>
  <c r="C10373" i="10"/>
  <c r="B10373" i="10"/>
  <c r="A10373" i="10"/>
  <c r="E10372" i="10"/>
  <c r="D10372" i="10"/>
  <c r="C10372" i="10"/>
  <c r="B10372" i="10"/>
  <c r="A10372" i="10"/>
  <c r="E10371" i="10"/>
  <c r="D10371" i="10"/>
  <c r="C10371" i="10"/>
  <c r="B10371" i="10"/>
  <c r="A10371" i="10"/>
  <c r="E10370" i="10"/>
  <c r="D10370" i="10"/>
  <c r="C10370" i="10"/>
  <c r="B10370" i="10"/>
  <c r="A10370" i="10"/>
  <c r="E10369" i="10"/>
  <c r="D10369" i="10"/>
  <c r="C10369" i="10"/>
  <c r="B10369" i="10"/>
  <c r="A10369" i="10"/>
  <c r="E10368" i="10"/>
  <c r="D10368" i="10"/>
  <c r="C10368" i="10"/>
  <c r="B10368" i="10"/>
  <c r="A10368" i="10"/>
  <c r="E10367" i="10"/>
  <c r="D10367" i="10"/>
  <c r="C10367" i="10"/>
  <c r="B10367" i="10"/>
  <c r="A10367" i="10"/>
  <c r="E10366" i="10"/>
  <c r="D10366" i="10"/>
  <c r="C10366" i="10"/>
  <c r="B10366" i="10"/>
  <c r="A10366" i="10"/>
  <c r="E10365" i="10"/>
  <c r="D10365" i="10"/>
  <c r="C10365" i="10"/>
  <c r="B10365" i="10"/>
  <c r="A10365" i="10"/>
  <c r="E10364" i="10"/>
  <c r="D10364" i="10"/>
  <c r="C10364" i="10"/>
  <c r="B10364" i="10"/>
  <c r="A10364" i="10"/>
  <c r="E10363" i="10"/>
  <c r="D10363" i="10"/>
  <c r="C10363" i="10"/>
  <c r="B10363" i="10"/>
  <c r="A10363" i="10"/>
  <c r="E10362" i="10"/>
  <c r="D10362" i="10"/>
  <c r="C10362" i="10"/>
  <c r="B10362" i="10"/>
  <c r="A10362" i="10"/>
  <c r="E10361" i="10"/>
  <c r="D10361" i="10"/>
  <c r="C10361" i="10"/>
  <c r="B10361" i="10"/>
  <c r="A10361" i="10"/>
  <c r="E10360" i="10"/>
  <c r="D10360" i="10"/>
  <c r="C10360" i="10"/>
  <c r="B10360" i="10"/>
  <c r="A10360" i="10"/>
  <c r="E10359" i="10"/>
  <c r="D10359" i="10"/>
  <c r="C10359" i="10"/>
  <c r="B10359" i="10"/>
  <c r="A10359" i="10"/>
  <c r="E10358" i="10"/>
  <c r="D10358" i="10"/>
  <c r="C10358" i="10"/>
  <c r="B10358" i="10"/>
  <c r="A10358" i="10"/>
  <c r="E10357" i="10"/>
  <c r="D10357" i="10"/>
  <c r="C10357" i="10"/>
  <c r="B10357" i="10"/>
  <c r="A10357" i="10"/>
  <c r="E10356" i="10"/>
  <c r="D10356" i="10"/>
  <c r="C10356" i="10"/>
  <c r="B10356" i="10"/>
  <c r="A10356" i="10"/>
  <c r="E10355" i="10"/>
  <c r="D10355" i="10"/>
  <c r="C10355" i="10"/>
  <c r="B10355" i="10"/>
  <c r="A10355" i="10"/>
  <c r="E10354" i="10"/>
  <c r="D10354" i="10"/>
  <c r="C10354" i="10"/>
  <c r="B10354" i="10"/>
  <c r="A10354" i="10"/>
  <c r="E10353" i="10"/>
  <c r="D10353" i="10"/>
  <c r="C10353" i="10"/>
  <c r="B10353" i="10"/>
  <c r="A10353" i="10"/>
  <c r="E10352" i="10"/>
  <c r="D10352" i="10"/>
  <c r="C10352" i="10"/>
  <c r="B10352" i="10"/>
  <c r="A10352" i="10"/>
  <c r="E10351" i="10"/>
  <c r="D10351" i="10"/>
  <c r="C10351" i="10"/>
  <c r="B10351" i="10"/>
  <c r="A10351" i="10"/>
  <c r="E10350" i="10"/>
  <c r="D10350" i="10"/>
  <c r="C10350" i="10"/>
  <c r="B10350" i="10"/>
  <c r="A10350" i="10"/>
  <c r="E10349" i="10"/>
  <c r="D10349" i="10"/>
  <c r="C10349" i="10"/>
  <c r="B10349" i="10"/>
  <c r="A10349" i="10"/>
  <c r="E10348" i="10"/>
  <c r="D10348" i="10"/>
  <c r="C10348" i="10"/>
  <c r="B10348" i="10"/>
  <c r="A10348" i="10"/>
  <c r="E10347" i="10"/>
  <c r="D10347" i="10"/>
  <c r="C10347" i="10"/>
  <c r="B10347" i="10"/>
  <c r="A10347" i="10"/>
  <c r="E10346" i="10"/>
  <c r="D10346" i="10"/>
  <c r="C10346" i="10"/>
  <c r="B10346" i="10"/>
  <c r="A10346" i="10"/>
  <c r="E10345" i="10"/>
  <c r="D10345" i="10"/>
  <c r="C10345" i="10"/>
  <c r="B10345" i="10"/>
  <c r="A10345" i="10"/>
  <c r="E10344" i="10"/>
  <c r="D10344" i="10"/>
  <c r="C10344" i="10"/>
  <c r="B10344" i="10"/>
  <c r="A10344" i="10"/>
  <c r="E10343" i="10"/>
  <c r="D10343" i="10"/>
  <c r="C10343" i="10"/>
  <c r="B10343" i="10"/>
  <c r="A10343" i="10"/>
  <c r="E10342" i="10"/>
  <c r="D10342" i="10"/>
  <c r="C10342" i="10"/>
  <c r="B10342" i="10"/>
  <c r="A10342" i="10"/>
  <c r="E10341" i="10"/>
  <c r="D10341" i="10"/>
  <c r="C10341" i="10"/>
  <c r="B10341" i="10"/>
  <c r="A10341" i="10"/>
  <c r="E10340" i="10"/>
  <c r="D10340" i="10"/>
  <c r="C10340" i="10"/>
  <c r="B10340" i="10"/>
  <c r="A10340" i="10"/>
  <c r="E10339" i="10"/>
  <c r="D10339" i="10"/>
  <c r="C10339" i="10"/>
  <c r="B10339" i="10"/>
  <c r="A10339" i="10"/>
  <c r="E10338" i="10"/>
  <c r="D10338" i="10"/>
  <c r="C10338" i="10"/>
  <c r="B10338" i="10"/>
  <c r="A10338" i="10"/>
  <c r="E10337" i="10"/>
  <c r="D10337" i="10"/>
  <c r="C10337" i="10"/>
  <c r="B10337" i="10"/>
  <c r="A10337" i="10"/>
  <c r="E10336" i="10"/>
  <c r="D10336" i="10"/>
  <c r="C10336" i="10"/>
  <c r="B10336" i="10"/>
  <c r="A10336" i="10"/>
  <c r="E10335" i="10"/>
  <c r="D10335" i="10"/>
  <c r="C10335" i="10"/>
  <c r="B10335" i="10"/>
  <c r="A10335" i="10"/>
  <c r="E10334" i="10"/>
  <c r="D10334" i="10"/>
  <c r="C10334" i="10"/>
  <c r="B10334" i="10"/>
  <c r="A10334" i="10"/>
  <c r="E10333" i="10"/>
  <c r="D10333" i="10"/>
  <c r="C10333" i="10"/>
  <c r="B10333" i="10"/>
  <c r="A10333" i="10"/>
  <c r="E10332" i="10"/>
  <c r="D10332" i="10"/>
  <c r="C10332" i="10"/>
  <c r="B10332" i="10"/>
  <c r="A10332" i="10"/>
  <c r="E10331" i="10"/>
  <c r="D10331" i="10"/>
  <c r="C10331" i="10"/>
  <c r="B10331" i="10"/>
  <c r="A10331" i="10"/>
  <c r="E10330" i="10"/>
  <c r="D10330" i="10"/>
  <c r="C10330" i="10"/>
  <c r="B10330" i="10"/>
  <c r="A10330" i="10"/>
  <c r="E10329" i="10"/>
  <c r="D10329" i="10"/>
  <c r="C10329" i="10"/>
  <c r="B10329" i="10"/>
  <c r="A10329" i="10"/>
  <c r="E10328" i="10"/>
  <c r="D10328" i="10"/>
  <c r="C10328" i="10"/>
  <c r="B10328" i="10"/>
  <c r="A10328" i="10"/>
  <c r="E10327" i="10"/>
  <c r="D10327" i="10"/>
  <c r="C10327" i="10"/>
  <c r="B10327" i="10"/>
  <c r="A10327" i="10"/>
  <c r="E10326" i="10"/>
  <c r="D10326" i="10"/>
  <c r="C10326" i="10"/>
  <c r="B10326" i="10"/>
  <c r="A10326" i="10"/>
  <c r="E10325" i="10"/>
  <c r="D10325" i="10"/>
  <c r="C10325" i="10"/>
  <c r="B10325" i="10"/>
  <c r="A10325" i="10"/>
  <c r="E10324" i="10"/>
  <c r="D10324" i="10"/>
  <c r="C10324" i="10"/>
  <c r="B10324" i="10"/>
  <c r="A10324" i="10"/>
  <c r="E10323" i="10"/>
  <c r="D10323" i="10"/>
  <c r="C10323" i="10"/>
  <c r="B10323" i="10"/>
  <c r="A10323" i="10"/>
  <c r="E10322" i="10"/>
  <c r="D10322" i="10"/>
  <c r="C10322" i="10"/>
  <c r="B10322" i="10"/>
  <c r="A10322" i="10"/>
  <c r="E10321" i="10"/>
  <c r="D10321" i="10"/>
  <c r="C10321" i="10"/>
  <c r="B10321" i="10"/>
  <c r="A10321" i="10"/>
  <c r="E10320" i="10"/>
  <c r="D10320" i="10"/>
  <c r="C10320" i="10"/>
  <c r="B10320" i="10"/>
  <c r="A10320" i="10"/>
  <c r="E10319" i="10"/>
  <c r="D10319" i="10"/>
  <c r="C10319" i="10"/>
  <c r="B10319" i="10"/>
  <c r="A10319" i="10"/>
  <c r="E10318" i="10"/>
  <c r="D10318" i="10"/>
  <c r="C10318" i="10"/>
  <c r="B10318" i="10"/>
  <c r="A10318" i="10"/>
  <c r="E10317" i="10"/>
  <c r="D10317" i="10"/>
  <c r="C10317" i="10"/>
  <c r="B10317" i="10"/>
  <c r="A10317" i="10"/>
  <c r="E10316" i="10"/>
  <c r="D10316" i="10"/>
  <c r="C10316" i="10"/>
  <c r="B10316" i="10"/>
  <c r="A10316" i="10"/>
  <c r="E10315" i="10"/>
  <c r="D10315" i="10"/>
  <c r="C10315" i="10"/>
  <c r="B10315" i="10"/>
  <c r="A10315" i="10"/>
  <c r="E10314" i="10"/>
  <c r="D10314" i="10"/>
  <c r="C10314" i="10"/>
  <c r="B10314" i="10"/>
  <c r="A10314" i="10"/>
  <c r="E10313" i="10"/>
  <c r="D10313" i="10"/>
  <c r="C10313" i="10"/>
  <c r="B10313" i="10"/>
  <c r="A10313" i="10"/>
  <c r="E10312" i="10"/>
  <c r="D10312" i="10"/>
  <c r="C10312" i="10"/>
  <c r="B10312" i="10"/>
  <c r="A10312" i="10"/>
  <c r="E10311" i="10"/>
  <c r="D10311" i="10"/>
  <c r="C10311" i="10"/>
  <c r="B10311" i="10"/>
  <c r="A10311" i="10"/>
  <c r="E10310" i="10"/>
  <c r="D10310" i="10"/>
  <c r="C10310" i="10"/>
  <c r="B10310" i="10"/>
  <c r="A10310" i="10"/>
  <c r="E10309" i="10"/>
  <c r="D10309" i="10"/>
  <c r="C10309" i="10"/>
  <c r="B10309" i="10"/>
  <c r="A10309" i="10"/>
  <c r="E10308" i="10"/>
  <c r="D10308" i="10"/>
  <c r="C10308" i="10"/>
  <c r="B10308" i="10"/>
  <c r="A10308" i="10"/>
  <c r="E10307" i="10"/>
  <c r="D10307" i="10"/>
  <c r="C10307" i="10"/>
  <c r="B10307" i="10"/>
  <c r="A10307" i="10"/>
  <c r="E10306" i="10"/>
  <c r="D10306" i="10"/>
  <c r="C10306" i="10"/>
  <c r="B10306" i="10"/>
  <c r="A10306" i="10"/>
  <c r="E10305" i="10"/>
  <c r="D10305" i="10"/>
  <c r="C10305" i="10"/>
  <c r="B10305" i="10"/>
  <c r="A10305" i="10"/>
  <c r="E10304" i="10"/>
  <c r="D10304" i="10"/>
  <c r="C10304" i="10"/>
  <c r="B10304" i="10"/>
  <c r="A10304" i="10"/>
  <c r="E10303" i="10"/>
  <c r="D10303" i="10"/>
  <c r="C10303" i="10"/>
  <c r="B10303" i="10"/>
  <c r="A10303" i="10"/>
  <c r="E10302" i="10"/>
  <c r="D10302" i="10"/>
  <c r="C10302" i="10"/>
  <c r="B10302" i="10"/>
  <c r="A10302" i="10"/>
  <c r="E10301" i="10"/>
  <c r="D10301" i="10"/>
  <c r="C10301" i="10"/>
  <c r="B10301" i="10"/>
  <c r="A10301" i="10"/>
  <c r="E10300" i="10"/>
  <c r="D10300" i="10"/>
  <c r="C10300" i="10"/>
  <c r="B10300" i="10"/>
  <c r="A10300" i="10"/>
  <c r="E10299" i="10"/>
  <c r="D10299" i="10"/>
  <c r="C10299" i="10"/>
  <c r="B10299" i="10"/>
  <c r="A10299" i="10"/>
  <c r="E10298" i="10"/>
  <c r="D10298" i="10"/>
  <c r="C10298" i="10"/>
  <c r="B10298" i="10"/>
  <c r="A10298" i="10"/>
  <c r="E10297" i="10"/>
  <c r="D10297" i="10"/>
  <c r="C10297" i="10"/>
  <c r="B10297" i="10"/>
  <c r="A10297" i="10"/>
  <c r="E10296" i="10"/>
  <c r="D10296" i="10"/>
  <c r="C10296" i="10"/>
  <c r="B10296" i="10"/>
  <c r="A10296" i="10"/>
  <c r="E10295" i="10"/>
  <c r="D10295" i="10"/>
  <c r="C10295" i="10"/>
  <c r="B10295" i="10"/>
  <c r="A10295" i="10"/>
  <c r="E10294" i="10"/>
  <c r="D10294" i="10"/>
  <c r="C10294" i="10"/>
  <c r="B10294" i="10"/>
  <c r="A10294" i="10"/>
  <c r="E10293" i="10"/>
  <c r="D10293" i="10"/>
  <c r="C10293" i="10"/>
  <c r="B10293" i="10"/>
  <c r="A10293" i="10"/>
  <c r="E10292" i="10"/>
  <c r="D10292" i="10"/>
  <c r="C10292" i="10"/>
  <c r="B10292" i="10"/>
  <c r="A10292" i="10"/>
  <c r="E10291" i="10"/>
  <c r="D10291" i="10"/>
  <c r="C10291" i="10"/>
  <c r="B10291" i="10"/>
  <c r="A10291" i="10"/>
  <c r="E10290" i="10"/>
  <c r="D10290" i="10"/>
  <c r="C10290" i="10"/>
  <c r="B10290" i="10"/>
  <c r="A10290" i="10"/>
  <c r="E10289" i="10"/>
  <c r="D10289" i="10"/>
  <c r="C10289" i="10"/>
  <c r="B10289" i="10"/>
  <c r="A10289" i="10"/>
  <c r="E10288" i="10"/>
  <c r="D10288" i="10"/>
  <c r="C10288" i="10"/>
  <c r="B10288" i="10"/>
  <c r="A10288" i="10"/>
  <c r="E10287" i="10"/>
  <c r="D10287" i="10"/>
  <c r="C10287" i="10"/>
  <c r="B10287" i="10"/>
  <c r="A10287" i="10"/>
  <c r="E10286" i="10"/>
  <c r="D10286" i="10"/>
  <c r="C10286" i="10"/>
  <c r="B10286" i="10"/>
  <c r="A10286" i="10"/>
  <c r="E10285" i="10"/>
  <c r="D10285" i="10"/>
  <c r="C10285" i="10"/>
  <c r="B10285" i="10"/>
  <c r="A10285" i="10"/>
  <c r="E10284" i="10"/>
  <c r="D10284" i="10"/>
  <c r="C10284" i="10"/>
  <c r="B10284" i="10"/>
  <c r="A10284" i="10"/>
  <c r="E10283" i="10"/>
  <c r="D10283" i="10"/>
  <c r="C10283" i="10"/>
  <c r="B10283" i="10"/>
  <c r="A10283" i="10"/>
  <c r="E10282" i="10"/>
  <c r="D10282" i="10"/>
  <c r="C10282" i="10"/>
  <c r="B10282" i="10"/>
  <c r="A10282" i="10"/>
  <c r="E10281" i="10"/>
  <c r="D10281" i="10"/>
  <c r="C10281" i="10"/>
  <c r="B10281" i="10"/>
  <c r="A10281" i="10"/>
  <c r="E10280" i="10"/>
  <c r="D10280" i="10"/>
  <c r="C10280" i="10"/>
  <c r="B10280" i="10"/>
  <c r="A10280" i="10"/>
  <c r="E10279" i="10"/>
  <c r="D10279" i="10"/>
  <c r="C10279" i="10"/>
  <c r="B10279" i="10"/>
  <c r="A10279" i="10"/>
  <c r="E10278" i="10"/>
  <c r="D10278" i="10"/>
  <c r="C10278" i="10"/>
  <c r="B10278" i="10"/>
  <c r="A10278" i="10"/>
  <c r="E10277" i="10"/>
  <c r="D10277" i="10"/>
  <c r="C10277" i="10"/>
  <c r="B10277" i="10"/>
  <c r="A10277" i="10"/>
  <c r="E10276" i="10"/>
  <c r="D10276" i="10"/>
  <c r="C10276" i="10"/>
  <c r="B10276" i="10"/>
  <c r="A10276" i="10"/>
  <c r="E10275" i="10"/>
  <c r="D10275" i="10"/>
  <c r="C10275" i="10"/>
  <c r="B10275" i="10"/>
  <c r="A10275" i="10"/>
  <c r="E10274" i="10"/>
  <c r="D10274" i="10"/>
  <c r="C10274" i="10"/>
  <c r="B10274" i="10"/>
  <c r="A10274" i="10"/>
  <c r="E10273" i="10"/>
  <c r="D10273" i="10"/>
  <c r="C10273" i="10"/>
  <c r="B10273" i="10"/>
  <c r="A10273" i="10"/>
  <c r="E10272" i="10"/>
  <c r="D10272" i="10"/>
  <c r="C10272" i="10"/>
  <c r="B10272" i="10"/>
  <c r="A10272" i="10"/>
  <c r="E10271" i="10"/>
  <c r="D10271" i="10"/>
  <c r="C10271" i="10"/>
  <c r="B10271" i="10"/>
  <c r="A10271" i="10"/>
  <c r="E10270" i="10"/>
  <c r="D10270" i="10"/>
  <c r="C10270" i="10"/>
  <c r="B10270" i="10"/>
  <c r="A10270" i="10"/>
  <c r="E10269" i="10"/>
  <c r="D10269" i="10"/>
  <c r="C10269" i="10"/>
  <c r="B10269" i="10"/>
  <c r="A10269" i="10"/>
  <c r="E10268" i="10"/>
  <c r="D10268" i="10"/>
  <c r="C10268" i="10"/>
  <c r="B10268" i="10"/>
  <c r="A10268" i="10"/>
  <c r="E10267" i="10"/>
  <c r="D10267" i="10"/>
  <c r="C10267" i="10"/>
  <c r="B10267" i="10"/>
  <c r="A10267" i="10"/>
  <c r="E10266" i="10"/>
  <c r="D10266" i="10"/>
  <c r="C10266" i="10"/>
  <c r="B10266" i="10"/>
  <c r="A10266" i="10"/>
  <c r="E10265" i="10"/>
  <c r="D10265" i="10"/>
  <c r="C10265" i="10"/>
  <c r="B10265" i="10"/>
  <c r="A10265" i="10"/>
  <c r="E10264" i="10"/>
  <c r="D10264" i="10"/>
  <c r="C10264" i="10"/>
  <c r="B10264" i="10"/>
  <c r="A10264" i="10"/>
  <c r="E10263" i="10"/>
  <c r="D10263" i="10"/>
  <c r="C10263" i="10"/>
  <c r="B10263" i="10"/>
  <c r="A10263" i="10"/>
  <c r="E10262" i="10"/>
  <c r="D10262" i="10"/>
  <c r="C10262" i="10"/>
  <c r="B10262" i="10"/>
  <c r="A10262" i="10"/>
  <c r="E10261" i="10"/>
  <c r="D10261" i="10"/>
  <c r="C10261" i="10"/>
  <c r="B10261" i="10"/>
  <c r="A10261" i="10"/>
  <c r="E10260" i="10"/>
  <c r="D10260" i="10"/>
  <c r="C10260" i="10"/>
  <c r="B10260" i="10"/>
  <c r="A10260" i="10"/>
  <c r="E10259" i="10"/>
  <c r="D10259" i="10"/>
  <c r="C10259" i="10"/>
  <c r="B10259" i="10"/>
  <c r="A10259" i="10"/>
  <c r="E10258" i="10"/>
  <c r="D10258" i="10"/>
  <c r="C10258" i="10"/>
  <c r="B10258" i="10"/>
  <c r="A10258" i="10"/>
  <c r="E10257" i="10"/>
  <c r="D10257" i="10"/>
  <c r="C10257" i="10"/>
  <c r="B10257" i="10"/>
  <c r="A10257" i="10"/>
  <c r="E10256" i="10"/>
  <c r="D10256" i="10"/>
  <c r="C10256" i="10"/>
  <c r="B10256" i="10"/>
  <c r="A10256" i="10"/>
  <c r="E10255" i="10"/>
  <c r="D10255" i="10"/>
  <c r="C10255" i="10"/>
  <c r="B10255" i="10"/>
  <c r="A10255" i="10"/>
  <c r="E10254" i="10"/>
  <c r="D10254" i="10"/>
  <c r="C10254" i="10"/>
  <c r="B10254" i="10"/>
  <c r="A10254" i="10"/>
  <c r="E10253" i="10"/>
  <c r="D10253" i="10"/>
  <c r="C10253" i="10"/>
  <c r="B10253" i="10"/>
  <c r="A10253" i="10"/>
  <c r="E10252" i="10"/>
  <c r="D10252" i="10"/>
  <c r="C10252" i="10"/>
  <c r="B10252" i="10"/>
  <c r="A10252" i="10"/>
  <c r="E10251" i="10"/>
  <c r="D10251" i="10"/>
  <c r="C10251" i="10"/>
  <c r="B10251" i="10"/>
  <c r="A10251" i="10"/>
  <c r="E10250" i="10"/>
  <c r="D10250" i="10"/>
  <c r="C10250" i="10"/>
  <c r="B10250" i="10"/>
  <c r="A10250" i="10"/>
  <c r="E10249" i="10"/>
  <c r="D10249" i="10"/>
  <c r="C10249" i="10"/>
  <c r="B10249" i="10"/>
  <c r="A10249" i="10"/>
  <c r="E10248" i="10"/>
  <c r="D10248" i="10"/>
  <c r="C10248" i="10"/>
  <c r="B10248" i="10"/>
  <c r="A10248" i="10"/>
  <c r="E10247" i="10"/>
  <c r="D10247" i="10"/>
  <c r="C10247" i="10"/>
  <c r="B10247" i="10"/>
  <c r="A10247" i="10"/>
  <c r="E10246" i="10"/>
  <c r="D10246" i="10"/>
  <c r="C10246" i="10"/>
  <c r="B10246" i="10"/>
  <c r="A10246" i="10"/>
  <c r="E10245" i="10"/>
  <c r="D10245" i="10"/>
  <c r="C10245" i="10"/>
  <c r="B10245" i="10"/>
  <c r="A10245" i="10"/>
  <c r="E10244" i="10"/>
  <c r="D10244" i="10"/>
  <c r="C10244" i="10"/>
  <c r="B10244" i="10"/>
  <c r="A10244" i="10"/>
  <c r="E10243" i="10"/>
  <c r="D10243" i="10"/>
  <c r="C10243" i="10"/>
  <c r="B10243" i="10"/>
  <c r="A10243" i="10"/>
  <c r="E10242" i="10"/>
  <c r="D10242" i="10"/>
  <c r="C10242" i="10"/>
  <c r="B10242" i="10"/>
  <c r="A10242" i="10"/>
  <c r="E10241" i="10"/>
  <c r="D10241" i="10"/>
  <c r="C10241" i="10"/>
  <c r="B10241" i="10"/>
  <c r="A10241" i="10"/>
  <c r="E10240" i="10"/>
  <c r="D10240" i="10"/>
  <c r="C10240" i="10"/>
  <c r="B10240" i="10"/>
  <c r="A10240" i="10"/>
  <c r="E10239" i="10"/>
  <c r="D10239" i="10"/>
  <c r="C10239" i="10"/>
  <c r="B10239" i="10"/>
  <c r="A10239" i="10"/>
  <c r="E10238" i="10"/>
  <c r="D10238" i="10"/>
  <c r="C10238" i="10"/>
  <c r="B10238" i="10"/>
  <c r="A10238" i="10"/>
  <c r="E10237" i="10"/>
  <c r="D10237" i="10"/>
  <c r="C10237" i="10"/>
  <c r="B10237" i="10"/>
  <c r="A10237" i="10"/>
  <c r="E10236" i="10"/>
  <c r="D10236" i="10"/>
  <c r="C10236" i="10"/>
  <c r="B10236" i="10"/>
  <c r="A10236" i="10"/>
  <c r="E10235" i="10"/>
  <c r="D10235" i="10"/>
  <c r="C10235" i="10"/>
  <c r="B10235" i="10"/>
  <c r="A10235" i="10"/>
  <c r="E10234" i="10"/>
  <c r="D10234" i="10"/>
  <c r="C10234" i="10"/>
  <c r="B10234" i="10"/>
  <c r="A10234" i="10"/>
  <c r="E10233" i="10"/>
  <c r="D10233" i="10"/>
  <c r="C10233" i="10"/>
  <c r="B10233" i="10"/>
  <c r="A10233" i="10"/>
  <c r="E10232" i="10"/>
  <c r="D10232" i="10"/>
  <c r="C10232" i="10"/>
  <c r="B10232" i="10"/>
  <c r="A10232" i="10"/>
  <c r="E10231" i="10"/>
  <c r="D10231" i="10"/>
  <c r="C10231" i="10"/>
  <c r="B10231" i="10"/>
  <c r="A10231" i="10"/>
  <c r="E10230" i="10"/>
  <c r="D10230" i="10"/>
  <c r="C10230" i="10"/>
  <c r="B10230" i="10"/>
  <c r="A10230" i="10"/>
  <c r="E10229" i="10"/>
  <c r="D10229" i="10"/>
  <c r="C10229" i="10"/>
  <c r="B10229" i="10"/>
  <c r="A10229" i="10"/>
  <c r="E10228" i="10"/>
  <c r="D10228" i="10"/>
  <c r="C10228" i="10"/>
  <c r="B10228" i="10"/>
  <c r="A10228" i="10"/>
  <c r="E10227" i="10"/>
  <c r="D10227" i="10"/>
  <c r="C10227" i="10"/>
  <c r="B10227" i="10"/>
  <c r="A10227" i="10"/>
  <c r="E10226" i="10"/>
  <c r="D10226" i="10"/>
  <c r="C10226" i="10"/>
  <c r="B10226" i="10"/>
  <c r="A10226" i="10"/>
  <c r="E10225" i="10"/>
  <c r="D10225" i="10"/>
  <c r="C10225" i="10"/>
  <c r="B10225" i="10"/>
  <c r="A10225" i="10"/>
  <c r="E10224" i="10"/>
  <c r="D10224" i="10"/>
  <c r="C10224" i="10"/>
  <c r="B10224" i="10"/>
  <c r="A10224" i="10"/>
  <c r="E10223" i="10"/>
  <c r="D10223" i="10"/>
  <c r="C10223" i="10"/>
  <c r="B10223" i="10"/>
  <c r="A10223" i="10"/>
  <c r="E10222" i="10"/>
  <c r="D10222" i="10"/>
  <c r="C10222" i="10"/>
  <c r="B10222" i="10"/>
  <c r="A10222" i="10"/>
  <c r="E10221" i="10"/>
  <c r="D10221" i="10"/>
  <c r="C10221" i="10"/>
  <c r="B10221" i="10"/>
  <c r="A10221" i="10"/>
  <c r="E10220" i="10"/>
  <c r="D10220" i="10"/>
  <c r="C10220" i="10"/>
  <c r="B10220" i="10"/>
  <c r="A10220" i="10"/>
  <c r="E10219" i="10"/>
  <c r="D10219" i="10"/>
  <c r="C10219" i="10"/>
  <c r="B10219" i="10"/>
  <c r="A10219" i="10"/>
  <c r="E10218" i="10"/>
  <c r="D10218" i="10"/>
  <c r="C10218" i="10"/>
  <c r="B10218" i="10"/>
  <c r="A10218" i="10"/>
  <c r="E10217" i="10"/>
  <c r="D10217" i="10"/>
  <c r="C10217" i="10"/>
  <c r="B10217" i="10"/>
  <c r="A10217" i="10"/>
  <c r="E10216" i="10"/>
  <c r="D10216" i="10"/>
  <c r="C10216" i="10"/>
  <c r="B10216" i="10"/>
  <c r="A10216" i="10"/>
  <c r="E10215" i="10"/>
  <c r="D10215" i="10"/>
  <c r="C10215" i="10"/>
  <c r="B10215" i="10"/>
  <c r="A10215" i="10"/>
  <c r="E10214" i="10"/>
  <c r="D10214" i="10"/>
  <c r="C10214" i="10"/>
  <c r="B10214" i="10"/>
  <c r="A10214" i="10"/>
  <c r="E10213" i="10"/>
  <c r="D10213" i="10"/>
  <c r="C10213" i="10"/>
  <c r="B10213" i="10"/>
  <c r="A10213" i="10"/>
  <c r="E10212" i="10"/>
  <c r="D10212" i="10"/>
  <c r="C10212" i="10"/>
  <c r="B10212" i="10"/>
  <c r="A10212" i="10"/>
  <c r="E10211" i="10"/>
  <c r="D10211" i="10"/>
  <c r="C10211" i="10"/>
  <c r="B10211" i="10"/>
  <c r="A10211" i="10"/>
  <c r="E10210" i="10"/>
  <c r="D10210" i="10"/>
  <c r="C10210" i="10"/>
  <c r="B10210" i="10"/>
  <c r="A10210" i="10"/>
  <c r="E10209" i="10"/>
  <c r="D10209" i="10"/>
  <c r="C10209" i="10"/>
  <c r="B10209" i="10"/>
  <c r="A10209" i="10"/>
  <c r="E10208" i="10"/>
  <c r="D10208" i="10"/>
  <c r="C10208" i="10"/>
  <c r="B10208" i="10"/>
  <c r="A10208" i="10"/>
  <c r="E10207" i="10"/>
  <c r="D10207" i="10"/>
  <c r="C10207" i="10"/>
  <c r="B10207" i="10"/>
  <c r="A10207" i="10"/>
  <c r="E10206" i="10"/>
  <c r="D10206" i="10"/>
  <c r="C10206" i="10"/>
  <c r="B10206" i="10"/>
  <c r="A10206" i="10"/>
  <c r="E10205" i="10"/>
  <c r="D10205" i="10"/>
  <c r="C10205" i="10"/>
  <c r="B10205" i="10"/>
  <c r="A10205" i="10"/>
  <c r="E10204" i="10"/>
  <c r="D10204" i="10"/>
  <c r="C10204" i="10"/>
  <c r="B10204" i="10"/>
  <c r="A10204" i="10"/>
  <c r="E10203" i="10"/>
  <c r="D10203" i="10"/>
  <c r="C10203" i="10"/>
  <c r="B10203" i="10"/>
  <c r="A10203" i="10"/>
  <c r="E10202" i="10"/>
  <c r="D10202" i="10"/>
  <c r="C10202" i="10"/>
  <c r="B10202" i="10"/>
  <c r="A10202" i="10"/>
  <c r="E10201" i="10"/>
  <c r="D10201" i="10"/>
  <c r="C10201" i="10"/>
  <c r="B10201" i="10"/>
  <c r="A10201" i="10"/>
  <c r="E10200" i="10"/>
  <c r="D10200" i="10"/>
  <c r="C10200" i="10"/>
  <c r="B10200" i="10"/>
  <c r="A10200" i="10"/>
  <c r="E10199" i="10"/>
  <c r="D10199" i="10"/>
  <c r="C10199" i="10"/>
  <c r="B10199" i="10"/>
  <c r="A10199" i="10"/>
  <c r="E10198" i="10"/>
  <c r="D10198" i="10"/>
  <c r="C10198" i="10"/>
  <c r="B10198" i="10"/>
  <c r="A10198" i="10"/>
  <c r="E10197" i="10"/>
  <c r="D10197" i="10"/>
  <c r="C10197" i="10"/>
  <c r="B10197" i="10"/>
  <c r="A10197" i="10"/>
  <c r="E10196" i="10"/>
  <c r="D10196" i="10"/>
  <c r="C10196" i="10"/>
  <c r="B10196" i="10"/>
  <c r="A10196" i="10"/>
  <c r="E10195" i="10"/>
  <c r="D10195" i="10"/>
  <c r="C10195" i="10"/>
  <c r="B10195" i="10"/>
  <c r="A10195" i="10"/>
  <c r="E10194" i="10"/>
  <c r="D10194" i="10"/>
  <c r="C10194" i="10"/>
  <c r="B10194" i="10"/>
  <c r="A10194" i="10"/>
  <c r="E10193" i="10"/>
  <c r="D10193" i="10"/>
  <c r="C10193" i="10"/>
  <c r="B10193" i="10"/>
  <c r="A10193" i="10"/>
  <c r="E10192" i="10"/>
  <c r="D10192" i="10"/>
  <c r="C10192" i="10"/>
  <c r="B10192" i="10"/>
  <c r="A10192" i="10"/>
  <c r="E10191" i="10"/>
  <c r="D10191" i="10"/>
  <c r="C10191" i="10"/>
  <c r="B10191" i="10"/>
  <c r="A10191" i="10"/>
  <c r="E10190" i="10"/>
  <c r="D10190" i="10"/>
  <c r="C10190" i="10"/>
  <c r="B10190" i="10"/>
  <c r="A10190" i="10"/>
  <c r="E10189" i="10"/>
  <c r="D10189" i="10"/>
  <c r="C10189" i="10"/>
  <c r="B10189" i="10"/>
  <c r="A10189" i="10"/>
  <c r="E10188" i="10"/>
  <c r="D10188" i="10"/>
  <c r="C10188" i="10"/>
  <c r="B10188" i="10"/>
  <c r="A10188" i="10"/>
  <c r="E10187" i="10"/>
  <c r="D10187" i="10"/>
  <c r="C10187" i="10"/>
  <c r="B10187" i="10"/>
  <c r="A10187" i="10"/>
  <c r="E10186" i="10"/>
  <c r="D10186" i="10"/>
  <c r="C10186" i="10"/>
  <c r="B10186" i="10"/>
  <c r="A10186" i="10"/>
  <c r="E10185" i="10"/>
  <c r="D10185" i="10"/>
  <c r="C10185" i="10"/>
  <c r="B10185" i="10"/>
  <c r="A10185" i="10"/>
  <c r="E10184" i="10"/>
  <c r="D10184" i="10"/>
  <c r="C10184" i="10"/>
  <c r="B10184" i="10"/>
  <c r="A10184" i="10"/>
  <c r="E10183" i="10"/>
  <c r="D10183" i="10"/>
  <c r="C10183" i="10"/>
  <c r="B10183" i="10"/>
  <c r="A10183" i="10"/>
  <c r="E10182" i="10"/>
  <c r="D10182" i="10"/>
  <c r="C10182" i="10"/>
  <c r="B10182" i="10"/>
  <c r="A10182" i="10"/>
  <c r="E10181" i="10"/>
  <c r="D10181" i="10"/>
  <c r="C10181" i="10"/>
  <c r="B10181" i="10"/>
  <c r="A10181" i="10"/>
  <c r="E10180" i="10"/>
  <c r="D10180" i="10"/>
  <c r="C10180" i="10"/>
  <c r="B10180" i="10"/>
  <c r="A10180" i="10"/>
  <c r="E10179" i="10"/>
  <c r="D10179" i="10"/>
  <c r="C10179" i="10"/>
  <c r="B10179" i="10"/>
  <c r="A10179" i="10"/>
  <c r="E10178" i="10"/>
  <c r="D10178" i="10"/>
  <c r="C10178" i="10"/>
  <c r="B10178" i="10"/>
  <c r="A10178" i="10"/>
  <c r="E10177" i="10"/>
  <c r="D10177" i="10"/>
  <c r="C10177" i="10"/>
  <c r="B10177" i="10"/>
  <c r="A10177" i="10"/>
  <c r="E10176" i="10"/>
  <c r="D10176" i="10"/>
  <c r="C10176" i="10"/>
  <c r="B10176" i="10"/>
  <c r="A10176" i="10"/>
  <c r="E10175" i="10"/>
  <c r="D10175" i="10"/>
  <c r="C10175" i="10"/>
  <c r="B10175" i="10"/>
  <c r="A10175" i="10"/>
  <c r="E10174" i="10"/>
  <c r="D10174" i="10"/>
  <c r="C10174" i="10"/>
  <c r="B10174" i="10"/>
  <c r="A10174" i="10"/>
  <c r="E10173" i="10"/>
  <c r="D10173" i="10"/>
  <c r="C10173" i="10"/>
  <c r="B10173" i="10"/>
  <c r="A10173" i="10"/>
  <c r="E10172" i="10"/>
  <c r="D10172" i="10"/>
  <c r="C10172" i="10"/>
  <c r="B10172" i="10"/>
  <c r="A10172" i="10"/>
  <c r="E10171" i="10"/>
  <c r="D10171" i="10"/>
  <c r="C10171" i="10"/>
  <c r="B10171" i="10"/>
  <c r="A10171" i="10"/>
  <c r="E10170" i="10"/>
  <c r="D10170" i="10"/>
  <c r="C10170" i="10"/>
  <c r="B10170" i="10"/>
  <c r="A10170" i="10"/>
  <c r="E10169" i="10"/>
  <c r="D10169" i="10"/>
  <c r="C10169" i="10"/>
  <c r="B10169" i="10"/>
  <c r="A10169" i="10"/>
  <c r="E10168" i="10"/>
  <c r="D10168" i="10"/>
  <c r="C10168" i="10"/>
  <c r="B10168" i="10"/>
  <c r="A10168" i="10"/>
  <c r="E10167" i="10"/>
  <c r="D10167" i="10"/>
  <c r="C10167" i="10"/>
  <c r="B10167" i="10"/>
  <c r="A10167" i="10"/>
  <c r="E10166" i="10"/>
  <c r="D10166" i="10"/>
  <c r="C10166" i="10"/>
  <c r="B10166" i="10"/>
  <c r="A10166" i="10"/>
  <c r="E10165" i="10"/>
  <c r="D10165" i="10"/>
  <c r="C10165" i="10"/>
  <c r="B10165" i="10"/>
  <c r="A10165" i="10"/>
  <c r="E10164" i="10"/>
  <c r="D10164" i="10"/>
  <c r="C10164" i="10"/>
  <c r="B10164" i="10"/>
  <c r="A10164" i="10"/>
  <c r="E10163" i="10"/>
  <c r="D10163" i="10"/>
  <c r="C10163" i="10"/>
  <c r="B10163" i="10"/>
  <c r="A10163" i="10"/>
  <c r="E10162" i="10"/>
  <c r="D10162" i="10"/>
  <c r="C10162" i="10"/>
  <c r="B10162" i="10"/>
  <c r="A10162" i="10"/>
  <c r="E10161" i="10"/>
  <c r="D10161" i="10"/>
  <c r="C10161" i="10"/>
  <c r="B10161" i="10"/>
  <c r="A10161" i="10"/>
  <c r="E10160" i="10"/>
  <c r="D10160" i="10"/>
  <c r="C10160" i="10"/>
  <c r="B10160" i="10"/>
  <c r="A10160" i="10"/>
  <c r="E10159" i="10"/>
  <c r="D10159" i="10"/>
  <c r="C10159" i="10"/>
  <c r="B10159" i="10"/>
  <c r="A10159" i="10"/>
  <c r="E10158" i="10"/>
  <c r="D10158" i="10"/>
  <c r="C10158" i="10"/>
  <c r="B10158" i="10"/>
  <c r="A10158" i="10"/>
  <c r="E10157" i="10"/>
  <c r="D10157" i="10"/>
  <c r="C10157" i="10"/>
  <c r="B10157" i="10"/>
  <c r="A10157" i="10"/>
  <c r="E10156" i="10"/>
  <c r="D10156" i="10"/>
  <c r="C10156" i="10"/>
  <c r="B10156" i="10"/>
  <c r="A10156" i="10"/>
  <c r="E10155" i="10"/>
  <c r="D10155" i="10"/>
  <c r="C10155" i="10"/>
  <c r="B10155" i="10"/>
  <c r="A10155" i="10"/>
  <c r="E10154" i="10"/>
  <c r="D10154" i="10"/>
  <c r="C10154" i="10"/>
  <c r="B10154" i="10"/>
  <c r="A10154" i="10"/>
  <c r="E10153" i="10"/>
  <c r="D10153" i="10"/>
  <c r="C10153" i="10"/>
  <c r="B10153" i="10"/>
  <c r="A10153" i="10"/>
  <c r="E10152" i="10"/>
  <c r="D10152" i="10"/>
  <c r="C10152" i="10"/>
  <c r="B10152" i="10"/>
  <c r="A10152" i="10"/>
  <c r="E10151" i="10"/>
  <c r="D10151" i="10"/>
  <c r="C10151" i="10"/>
  <c r="B10151" i="10"/>
  <c r="A10151" i="10"/>
  <c r="E10150" i="10"/>
  <c r="D10150" i="10"/>
  <c r="C10150" i="10"/>
  <c r="B10150" i="10"/>
  <c r="A10150" i="10"/>
  <c r="E10149" i="10"/>
  <c r="D10149" i="10"/>
  <c r="C10149" i="10"/>
  <c r="B10149" i="10"/>
  <c r="A10149" i="10"/>
  <c r="E10148" i="10"/>
  <c r="D10148" i="10"/>
  <c r="C10148" i="10"/>
  <c r="B10148" i="10"/>
  <c r="A10148" i="10"/>
  <c r="E10147" i="10"/>
  <c r="D10147" i="10"/>
  <c r="C10147" i="10"/>
  <c r="B10147" i="10"/>
  <c r="A10147" i="10"/>
  <c r="E10146" i="10"/>
  <c r="D10146" i="10"/>
  <c r="C10146" i="10"/>
  <c r="B10146" i="10"/>
  <c r="A10146" i="10"/>
  <c r="E10145" i="10"/>
  <c r="D10145" i="10"/>
  <c r="C10145" i="10"/>
  <c r="B10145" i="10"/>
  <c r="A10145" i="10"/>
  <c r="E10144" i="10"/>
  <c r="D10144" i="10"/>
  <c r="C10144" i="10"/>
  <c r="B10144" i="10"/>
  <c r="A10144" i="10"/>
  <c r="E10143" i="10"/>
  <c r="D10143" i="10"/>
  <c r="C10143" i="10"/>
  <c r="B10143" i="10"/>
  <c r="A10143" i="10"/>
  <c r="E10142" i="10"/>
  <c r="D10142" i="10"/>
  <c r="C10142" i="10"/>
  <c r="B10142" i="10"/>
  <c r="A10142" i="10"/>
  <c r="E10141" i="10"/>
  <c r="D10141" i="10"/>
  <c r="C10141" i="10"/>
  <c r="B10141" i="10"/>
  <c r="A10141" i="10"/>
  <c r="E10140" i="10"/>
  <c r="D10140" i="10"/>
  <c r="C10140" i="10"/>
  <c r="B10140" i="10"/>
  <c r="A10140" i="10"/>
  <c r="E10139" i="10"/>
  <c r="D10139" i="10"/>
  <c r="C10139" i="10"/>
  <c r="B10139" i="10"/>
  <c r="A10139" i="10"/>
  <c r="E10138" i="10"/>
  <c r="D10138" i="10"/>
  <c r="C10138" i="10"/>
  <c r="B10138" i="10"/>
  <c r="A10138" i="10"/>
  <c r="E10137" i="10"/>
  <c r="D10137" i="10"/>
  <c r="C10137" i="10"/>
  <c r="B10137" i="10"/>
  <c r="A10137" i="10"/>
  <c r="E10136" i="10"/>
  <c r="D10136" i="10"/>
  <c r="C10136" i="10"/>
  <c r="B10136" i="10"/>
  <c r="A10136" i="10"/>
  <c r="E10135" i="10"/>
  <c r="D10135" i="10"/>
  <c r="C10135" i="10"/>
  <c r="B10135" i="10"/>
  <c r="A10135" i="10"/>
  <c r="E10134" i="10"/>
  <c r="D10134" i="10"/>
  <c r="C10134" i="10"/>
  <c r="B10134" i="10"/>
  <c r="A10134" i="10"/>
  <c r="E10133" i="10"/>
  <c r="D10133" i="10"/>
  <c r="C10133" i="10"/>
  <c r="B10133" i="10"/>
  <c r="A10133" i="10"/>
  <c r="E10132" i="10"/>
  <c r="D10132" i="10"/>
  <c r="C10132" i="10"/>
  <c r="B10132" i="10"/>
  <c r="A10132" i="10"/>
  <c r="E10131" i="10"/>
  <c r="D10131" i="10"/>
  <c r="C10131" i="10"/>
  <c r="B10131" i="10"/>
  <c r="A10131" i="10"/>
  <c r="E10130" i="10"/>
  <c r="D10130" i="10"/>
  <c r="C10130" i="10"/>
  <c r="B10130" i="10"/>
  <c r="A10130" i="10"/>
  <c r="E10129" i="10"/>
  <c r="D10129" i="10"/>
  <c r="C10129" i="10"/>
  <c r="B10129" i="10"/>
  <c r="A10129" i="10"/>
  <c r="E10128" i="10"/>
  <c r="D10128" i="10"/>
  <c r="C10128" i="10"/>
  <c r="B10128" i="10"/>
  <c r="A10128" i="10"/>
  <c r="E10127" i="10"/>
  <c r="D10127" i="10"/>
  <c r="C10127" i="10"/>
  <c r="B10127" i="10"/>
  <c r="A10127" i="10"/>
  <c r="E10126" i="10"/>
  <c r="D10126" i="10"/>
  <c r="C10126" i="10"/>
  <c r="B10126" i="10"/>
  <c r="A10126" i="10"/>
  <c r="E10125" i="10"/>
  <c r="D10125" i="10"/>
  <c r="C10125" i="10"/>
  <c r="B10125" i="10"/>
  <c r="A10125" i="10"/>
  <c r="E10124" i="10"/>
  <c r="D10124" i="10"/>
  <c r="C10124" i="10"/>
  <c r="B10124" i="10"/>
  <c r="A10124" i="10"/>
  <c r="E10123" i="10"/>
  <c r="D10123" i="10"/>
  <c r="C10123" i="10"/>
  <c r="B10123" i="10"/>
  <c r="A10123" i="10"/>
  <c r="E10122" i="10"/>
  <c r="D10122" i="10"/>
  <c r="C10122" i="10"/>
  <c r="B10122" i="10"/>
  <c r="A10122" i="10"/>
  <c r="E10121" i="10"/>
  <c r="D10121" i="10"/>
  <c r="C10121" i="10"/>
  <c r="B10121" i="10"/>
  <c r="A10121" i="10"/>
  <c r="E10120" i="10"/>
  <c r="D10120" i="10"/>
  <c r="C10120" i="10"/>
  <c r="B10120" i="10"/>
  <c r="A10120" i="10"/>
  <c r="E10119" i="10"/>
  <c r="D10119" i="10"/>
  <c r="C10119" i="10"/>
  <c r="B10119" i="10"/>
  <c r="A10119" i="10"/>
  <c r="E10118" i="10"/>
  <c r="D10118" i="10"/>
  <c r="C10118" i="10"/>
  <c r="B10118" i="10"/>
  <c r="A10118" i="10"/>
  <c r="E10117" i="10"/>
  <c r="D10117" i="10"/>
  <c r="C10117" i="10"/>
  <c r="B10117" i="10"/>
  <c r="A10117" i="10"/>
  <c r="E10116" i="10"/>
  <c r="D10116" i="10"/>
  <c r="C10116" i="10"/>
  <c r="B10116" i="10"/>
  <c r="A10116" i="10"/>
  <c r="E10115" i="10"/>
  <c r="D10115" i="10"/>
  <c r="C10115" i="10"/>
  <c r="B10115" i="10"/>
  <c r="A10115" i="10"/>
  <c r="E10114" i="10"/>
  <c r="D10114" i="10"/>
  <c r="C10114" i="10"/>
  <c r="B10114" i="10"/>
  <c r="A10114" i="10"/>
  <c r="E10113" i="10"/>
  <c r="D10113" i="10"/>
  <c r="C10113" i="10"/>
  <c r="B10113" i="10"/>
  <c r="A10113" i="10"/>
  <c r="E10112" i="10"/>
  <c r="D10112" i="10"/>
  <c r="C10112" i="10"/>
  <c r="B10112" i="10"/>
  <c r="A10112" i="10"/>
  <c r="E10111" i="10"/>
  <c r="D10111" i="10"/>
  <c r="C10111" i="10"/>
  <c r="B10111" i="10"/>
  <c r="A10111" i="10"/>
  <c r="E10110" i="10"/>
  <c r="D10110" i="10"/>
  <c r="C10110" i="10"/>
  <c r="B10110" i="10"/>
  <c r="A10110" i="10"/>
  <c r="E10109" i="10"/>
  <c r="D10109" i="10"/>
  <c r="C10109" i="10"/>
  <c r="B10109" i="10"/>
  <c r="A10109" i="10"/>
  <c r="E10108" i="10"/>
  <c r="D10108" i="10"/>
  <c r="C10108" i="10"/>
  <c r="B10108" i="10"/>
  <c r="A10108" i="10"/>
  <c r="E10107" i="10"/>
  <c r="D10107" i="10"/>
  <c r="C10107" i="10"/>
  <c r="B10107" i="10"/>
  <c r="A10107" i="10"/>
  <c r="E10106" i="10"/>
  <c r="D10106" i="10"/>
  <c r="C10106" i="10"/>
  <c r="B10106" i="10"/>
  <c r="A10106" i="10"/>
  <c r="E10105" i="10"/>
  <c r="D10105" i="10"/>
  <c r="C10105" i="10"/>
  <c r="B10105" i="10"/>
  <c r="A10105" i="10"/>
  <c r="E10104" i="10"/>
  <c r="D10104" i="10"/>
  <c r="C10104" i="10"/>
  <c r="B10104" i="10"/>
  <c r="A10104" i="10"/>
  <c r="E10103" i="10"/>
  <c r="D10103" i="10"/>
  <c r="C10103" i="10"/>
  <c r="B10103" i="10"/>
  <c r="A10103" i="10"/>
  <c r="E10102" i="10"/>
  <c r="D10102" i="10"/>
  <c r="C10102" i="10"/>
  <c r="B10102" i="10"/>
  <c r="A10102" i="10"/>
  <c r="E10101" i="10"/>
  <c r="D10101" i="10"/>
  <c r="C10101" i="10"/>
  <c r="B10101" i="10"/>
  <c r="A10101" i="10"/>
  <c r="E10100" i="10"/>
  <c r="D10100" i="10"/>
  <c r="C10100" i="10"/>
  <c r="B10100" i="10"/>
  <c r="A10100" i="10"/>
  <c r="E10099" i="10"/>
  <c r="D10099" i="10"/>
  <c r="C10099" i="10"/>
  <c r="B10099" i="10"/>
  <c r="A10099" i="10"/>
  <c r="E10098" i="10"/>
  <c r="D10098" i="10"/>
  <c r="C10098" i="10"/>
  <c r="B10098" i="10"/>
  <c r="A10098" i="10"/>
  <c r="E10097" i="10"/>
  <c r="D10097" i="10"/>
  <c r="C10097" i="10"/>
  <c r="B10097" i="10"/>
  <c r="A10097" i="10"/>
  <c r="E10096" i="10"/>
  <c r="D10096" i="10"/>
  <c r="C10096" i="10"/>
  <c r="B10096" i="10"/>
  <c r="A10096" i="10"/>
  <c r="E10095" i="10"/>
  <c r="D10095" i="10"/>
  <c r="C10095" i="10"/>
  <c r="B10095" i="10"/>
  <c r="A10095" i="10"/>
  <c r="E10094" i="10"/>
  <c r="D10094" i="10"/>
  <c r="C10094" i="10"/>
  <c r="B10094" i="10"/>
  <c r="A10094" i="10"/>
  <c r="E10093" i="10"/>
  <c r="D10093" i="10"/>
  <c r="C10093" i="10"/>
  <c r="B10093" i="10"/>
  <c r="A10093" i="10"/>
  <c r="E10092" i="10"/>
  <c r="D10092" i="10"/>
  <c r="C10092" i="10"/>
  <c r="B10092" i="10"/>
  <c r="A10092" i="10"/>
  <c r="E10091" i="10"/>
  <c r="D10091" i="10"/>
  <c r="C10091" i="10"/>
  <c r="B10091" i="10"/>
  <c r="A10091" i="10"/>
  <c r="E10090" i="10"/>
  <c r="D10090" i="10"/>
  <c r="C10090" i="10"/>
  <c r="B10090" i="10"/>
  <c r="A10090" i="10"/>
  <c r="E10089" i="10"/>
  <c r="D10089" i="10"/>
  <c r="C10089" i="10"/>
  <c r="B10089" i="10"/>
  <c r="A10089" i="10"/>
  <c r="E10088" i="10"/>
  <c r="D10088" i="10"/>
  <c r="C10088" i="10"/>
  <c r="B10088" i="10"/>
  <c r="A10088" i="10"/>
  <c r="E10087" i="10"/>
  <c r="D10087" i="10"/>
  <c r="C10087" i="10"/>
  <c r="B10087" i="10"/>
  <c r="A10087" i="10"/>
  <c r="E10086" i="10"/>
  <c r="D10086" i="10"/>
  <c r="C10086" i="10"/>
  <c r="B10086" i="10"/>
  <c r="A10086" i="10"/>
  <c r="E10085" i="10"/>
  <c r="D10085" i="10"/>
  <c r="C10085" i="10"/>
  <c r="B10085" i="10"/>
  <c r="A10085" i="10"/>
  <c r="E10084" i="10"/>
  <c r="D10084" i="10"/>
  <c r="C10084" i="10"/>
  <c r="B10084" i="10"/>
  <c r="A10084" i="10"/>
  <c r="E10083" i="10"/>
  <c r="D10083" i="10"/>
  <c r="C10083" i="10"/>
  <c r="B10083" i="10"/>
  <c r="A10083" i="10"/>
  <c r="E10082" i="10"/>
  <c r="D10082" i="10"/>
  <c r="C10082" i="10"/>
  <c r="B10082" i="10"/>
  <c r="A10082" i="10"/>
  <c r="E10081" i="10"/>
  <c r="D10081" i="10"/>
  <c r="C10081" i="10"/>
  <c r="B10081" i="10"/>
  <c r="A10081" i="10"/>
  <c r="E10080" i="10"/>
  <c r="D10080" i="10"/>
  <c r="C10080" i="10"/>
  <c r="B10080" i="10"/>
  <c r="A10080" i="10"/>
  <c r="E10079" i="10"/>
  <c r="D10079" i="10"/>
  <c r="C10079" i="10"/>
  <c r="B10079" i="10"/>
  <c r="A10079" i="10"/>
  <c r="E10078" i="10"/>
  <c r="D10078" i="10"/>
  <c r="C10078" i="10"/>
  <c r="B10078" i="10"/>
  <c r="A10078" i="10"/>
  <c r="E10077" i="10"/>
  <c r="D10077" i="10"/>
  <c r="C10077" i="10"/>
  <c r="B10077" i="10"/>
  <c r="A10077" i="10"/>
  <c r="E10076" i="10"/>
  <c r="D10076" i="10"/>
  <c r="C10076" i="10"/>
  <c r="B10076" i="10"/>
  <c r="A10076" i="10"/>
  <c r="E10075" i="10"/>
  <c r="D10075" i="10"/>
  <c r="C10075" i="10"/>
  <c r="B10075" i="10"/>
  <c r="A10075" i="10"/>
  <c r="E10074" i="10"/>
  <c r="D10074" i="10"/>
  <c r="C10074" i="10"/>
  <c r="B10074" i="10"/>
  <c r="A10074" i="10"/>
  <c r="E10073" i="10"/>
  <c r="D10073" i="10"/>
  <c r="C10073" i="10"/>
  <c r="B10073" i="10"/>
  <c r="A10073" i="10"/>
  <c r="E10072" i="10"/>
  <c r="D10072" i="10"/>
  <c r="C10072" i="10"/>
  <c r="B10072" i="10"/>
  <c r="A10072" i="10"/>
  <c r="E10071" i="10"/>
  <c r="D10071" i="10"/>
  <c r="C10071" i="10"/>
  <c r="B10071" i="10"/>
  <c r="A10071" i="10"/>
  <c r="E10070" i="10"/>
  <c r="D10070" i="10"/>
  <c r="C10070" i="10"/>
  <c r="B10070" i="10"/>
  <c r="A10070" i="10"/>
  <c r="E10069" i="10"/>
  <c r="D10069" i="10"/>
  <c r="C10069" i="10"/>
  <c r="B10069" i="10"/>
  <c r="A10069" i="10"/>
  <c r="E10068" i="10"/>
  <c r="D10068" i="10"/>
  <c r="C10068" i="10"/>
  <c r="B10068" i="10"/>
  <c r="A10068" i="10"/>
  <c r="E10067" i="10"/>
  <c r="D10067" i="10"/>
  <c r="C10067" i="10"/>
  <c r="B10067" i="10"/>
  <c r="A10067" i="10"/>
  <c r="E10066" i="10"/>
  <c r="D10066" i="10"/>
  <c r="C10066" i="10"/>
  <c r="B10066" i="10"/>
  <c r="A10066" i="10"/>
  <c r="E10065" i="10"/>
  <c r="D10065" i="10"/>
  <c r="C10065" i="10"/>
  <c r="B10065" i="10"/>
  <c r="A10065" i="10"/>
  <c r="E10064" i="10"/>
  <c r="D10064" i="10"/>
  <c r="C10064" i="10"/>
  <c r="B10064" i="10"/>
  <c r="A10064" i="10"/>
  <c r="E10063" i="10"/>
  <c r="D10063" i="10"/>
  <c r="C10063" i="10"/>
  <c r="B10063" i="10"/>
  <c r="A10063" i="10"/>
  <c r="E10062" i="10"/>
  <c r="D10062" i="10"/>
  <c r="C10062" i="10"/>
  <c r="B10062" i="10"/>
  <c r="A10062" i="10"/>
  <c r="E10061" i="10"/>
  <c r="D10061" i="10"/>
  <c r="C10061" i="10"/>
  <c r="B10061" i="10"/>
  <c r="A10061" i="10"/>
  <c r="E10060" i="10"/>
  <c r="D10060" i="10"/>
  <c r="C10060" i="10"/>
  <c r="B10060" i="10"/>
  <c r="A10060" i="10"/>
  <c r="E10059" i="10"/>
  <c r="D10059" i="10"/>
  <c r="C10059" i="10"/>
  <c r="B10059" i="10"/>
  <c r="A10059" i="10"/>
  <c r="E10058" i="10"/>
  <c r="D10058" i="10"/>
  <c r="C10058" i="10"/>
  <c r="B10058" i="10"/>
  <c r="A10058" i="10"/>
  <c r="E10057" i="10"/>
  <c r="D10057" i="10"/>
  <c r="C10057" i="10"/>
  <c r="B10057" i="10"/>
  <c r="A10057" i="10"/>
  <c r="E10056" i="10"/>
  <c r="D10056" i="10"/>
  <c r="C10056" i="10"/>
  <c r="B10056" i="10"/>
  <c r="A10056" i="10"/>
  <c r="E10055" i="10"/>
  <c r="D10055" i="10"/>
  <c r="C10055" i="10"/>
  <c r="B10055" i="10"/>
  <c r="A10055" i="10"/>
  <c r="E10054" i="10"/>
  <c r="D10054" i="10"/>
  <c r="C10054" i="10"/>
  <c r="B10054" i="10"/>
  <c r="A10054" i="10"/>
  <c r="E10053" i="10"/>
  <c r="D10053" i="10"/>
  <c r="C10053" i="10"/>
  <c r="B10053" i="10"/>
  <c r="A10053" i="10"/>
  <c r="E10052" i="10"/>
  <c r="D10052" i="10"/>
  <c r="C10052" i="10"/>
  <c r="B10052" i="10"/>
  <c r="A10052" i="10"/>
  <c r="E10051" i="10"/>
  <c r="D10051" i="10"/>
  <c r="C10051" i="10"/>
  <c r="B10051" i="10"/>
  <c r="A10051" i="10"/>
  <c r="E10050" i="10"/>
  <c r="D10050" i="10"/>
  <c r="C10050" i="10"/>
  <c r="B10050" i="10"/>
  <c r="A10050" i="10"/>
  <c r="E10049" i="10"/>
  <c r="D10049" i="10"/>
  <c r="C10049" i="10"/>
  <c r="B10049" i="10"/>
  <c r="A10049" i="10"/>
  <c r="E10048" i="10"/>
  <c r="D10048" i="10"/>
  <c r="C10048" i="10"/>
  <c r="B10048" i="10"/>
  <c r="A10048" i="10"/>
  <c r="E10047" i="10"/>
  <c r="D10047" i="10"/>
  <c r="C10047" i="10"/>
  <c r="B10047" i="10"/>
  <c r="A10047" i="10"/>
  <c r="E10046" i="10"/>
  <c r="D10046" i="10"/>
  <c r="C10046" i="10"/>
  <c r="B10046" i="10"/>
  <c r="A10046" i="10"/>
  <c r="E10045" i="10"/>
  <c r="D10045" i="10"/>
  <c r="C10045" i="10"/>
  <c r="B10045" i="10"/>
  <c r="A10045" i="10"/>
  <c r="E10044" i="10"/>
  <c r="D10044" i="10"/>
  <c r="C10044" i="10"/>
  <c r="B10044" i="10"/>
  <c r="A10044" i="10"/>
  <c r="E10043" i="10"/>
  <c r="D10043" i="10"/>
  <c r="C10043" i="10"/>
  <c r="B10043" i="10"/>
  <c r="A10043" i="10"/>
  <c r="E10042" i="10"/>
  <c r="D10042" i="10"/>
  <c r="C10042" i="10"/>
  <c r="B10042" i="10"/>
  <c r="A10042" i="10"/>
  <c r="E10041" i="10"/>
  <c r="D10041" i="10"/>
  <c r="C10041" i="10"/>
  <c r="B10041" i="10"/>
  <c r="A10041" i="10"/>
  <c r="E10040" i="10"/>
  <c r="D10040" i="10"/>
  <c r="C10040" i="10"/>
  <c r="B10040" i="10"/>
  <c r="A10040" i="10"/>
  <c r="E10039" i="10"/>
  <c r="D10039" i="10"/>
  <c r="C10039" i="10"/>
  <c r="B10039" i="10"/>
  <c r="A10039" i="10"/>
  <c r="E10038" i="10"/>
  <c r="D10038" i="10"/>
  <c r="C10038" i="10"/>
  <c r="B10038" i="10"/>
  <c r="A10038" i="10"/>
  <c r="E10037" i="10"/>
  <c r="D10037" i="10"/>
  <c r="C10037" i="10"/>
  <c r="B10037" i="10"/>
  <c r="A10037" i="10"/>
  <c r="E10036" i="10"/>
  <c r="D10036" i="10"/>
  <c r="C10036" i="10"/>
  <c r="B10036" i="10"/>
  <c r="A10036" i="10"/>
  <c r="E10035" i="10"/>
  <c r="D10035" i="10"/>
  <c r="C10035" i="10"/>
  <c r="B10035" i="10"/>
  <c r="A10035" i="10"/>
  <c r="E10034" i="10"/>
  <c r="D10034" i="10"/>
  <c r="C10034" i="10"/>
  <c r="B10034" i="10"/>
  <c r="A10034" i="10"/>
  <c r="E10033" i="10"/>
  <c r="D10033" i="10"/>
  <c r="C10033" i="10"/>
  <c r="B10033" i="10"/>
  <c r="A10033" i="10"/>
  <c r="E10032" i="10"/>
  <c r="D10032" i="10"/>
  <c r="C10032" i="10"/>
  <c r="B10032" i="10"/>
  <c r="A10032" i="10"/>
  <c r="E10031" i="10"/>
  <c r="D10031" i="10"/>
  <c r="C10031" i="10"/>
  <c r="B10031" i="10"/>
  <c r="A10031" i="10"/>
  <c r="E10030" i="10"/>
  <c r="D10030" i="10"/>
  <c r="C10030" i="10"/>
  <c r="B10030" i="10"/>
  <c r="A10030" i="10"/>
  <c r="E10029" i="10"/>
  <c r="D10029" i="10"/>
  <c r="C10029" i="10"/>
  <c r="B10029" i="10"/>
  <c r="A10029" i="10"/>
  <c r="E10028" i="10"/>
  <c r="D10028" i="10"/>
  <c r="C10028" i="10"/>
  <c r="B10028" i="10"/>
  <c r="A10028" i="10"/>
  <c r="E10027" i="10"/>
  <c r="D10027" i="10"/>
  <c r="C10027" i="10"/>
  <c r="B10027" i="10"/>
  <c r="A10027" i="10"/>
  <c r="E10026" i="10"/>
  <c r="D10026" i="10"/>
  <c r="C10026" i="10"/>
  <c r="B10026" i="10"/>
  <c r="A10026" i="10"/>
  <c r="E10025" i="10"/>
  <c r="D10025" i="10"/>
  <c r="C10025" i="10"/>
  <c r="B10025" i="10"/>
  <c r="A10025" i="10"/>
  <c r="E10024" i="10"/>
  <c r="D10024" i="10"/>
  <c r="C10024" i="10"/>
  <c r="B10024" i="10"/>
  <c r="A10024" i="10"/>
  <c r="E10023" i="10"/>
  <c r="D10023" i="10"/>
  <c r="C10023" i="10"/>
  <c r="B10023" i="10"/>
  <c r="A10023" i="10"/>
  <c r="E10022" i="10"/>
  <c r="D10022" i="10"/>
  <c r="C10022" i="10"/>
  <c r="B10022" i="10"/>
  <c r="A10022" i="10"/>
  <c r="E10021" i="10"/>
  <c r="D10021" i="10"/>
  <c r="C10021" i="10"/>
  <c r="B10021" i="10"/>
  <c r="A10021" i="10"/>
  <c r="E10020" i="10"/>
  <c r="D10020" i="10"/>
  <c r="C10020" i="10"/>
  <c r="B10020" i="10"/>
  <c r="A10020" i="10"/>
  <c r="E10019" i="10"/>
  <c r="D10019" i="10"/>
  <c r="C10019" i="10"/>
  <c r="B10019" i="10"/>
  <c r="A10019" i="10"/>
  <c r="E10018" i="10"/>
  <c r="D10018" i="10"/>
  <c r="C10018" i="10"/>
  <c r="B10018" i="10"/>
  <c r="A10018" i="10"/>
  <c r="E10017" i="10"/>
  <c r="D10017" i="10"/>
  <c r="C10017" i="10"/>
  <c r="B10017" i="10"/>
  <c r="A10017" i="10"/>
  <c r="E10016" i="10"/>
  <c r="D10016" i="10"/>
  <c r="C10016" i="10"/>
  <c r="B10016" i="10"/>
  <c r="A10016" i="10"/>
  <c r="E10015" i="10"/>
  <c r="D10015" i="10"/>
  <c r="C10015" i="10"/>
  <c r="B10015" i="10"/>
  <c r="A10015" i="10"/>
  <c r="E10014" i="10"/>
  <c r="D10014" i="10"/>
  <c r="C10014" i="10"/>
  <c r="B10014" i="10"/>
  <c r="A10014" i="10"/>
  <c r="E10013" i="10"/>
  <c r="D10013" i="10"/>
  <c r="C10013" i="10"/>
  <c r="B10013" i="10"/>
  <c r="A10013" i="10"/>
  <c r="E10012" i="10"/>
  <c r="D10012" i="10"/>
  <c r="C10012" i="10"/>
  <c r="B10012" i="10"/>
  <c r="A10012" i="10"/>
  <c r="E10011" i="10"/>
  <c r="D10011" i="10"/>
  <c r="C10011" i="10"/>
  <c r="B10011" i="10"/>
  <c r="A10011" i="10"/>
  <c r="E10010" i="10"/>
  <c r="D10010" i="10"/>
  <c r="C10010" i="10"/>
  <c r="B10010" i="10"/>
  <c r="A10010" i="10"/>
  <c r="E10009" i="10"/>
  <c r="D10009" i="10"/>
  <c r="C10009" i="10"/>
  <c r="B10009" i="10"/>
  <c r="A10009" i="10"/>
  <c r="E10008" i="10"/>
  <c r="D10008" i="10"/>
  <c r="C10008" i="10"/>
  <c r="B10008" i="10"/>
  <c r="A10008" i="10"/>
  <c r="E10007" i="10"/>
  <c r="D10007" i="10"/>
  <c r="C10007" i="10"/>
  <c r="B10007" i="10"/>
  <c r="A10007" i="10"/>
  <c r="E10006" i="10"/>
  <c r="D10006" i="10"/>
  <c r="C10006" i="10"/>
  <c r="B10006" i="10"/>
  <c r="A10006" i="10"/>
  <c r="E10005" i="10"/>
  <c r="D10005" i="10"/>
  <c r="C10005" i="10"/>
  <c r="B10005" i="10"/>
  <c r="A10005" i="10"/>
  <c r="E10004" i="10"/>
  <c r="D10004" i="10"/>
  <c r="C10004" i="10"/>
  <c r="B10004" i="10"/>
  <c r="A10004" i="10"/>
  <c r="E10003" i="10"/>
  <c r="D10003" i="10"/>
  <c r="C10003" i="10"/>
  <c r="B10003" i="10"/>
  <c r="A10003" i="10"/>
  <c r="E10002" i="10"/>
  <c r="D10002" i="10"/>
  <c r="C10002" i="10"/>
  <c r="B10002" i="10"/>
  <c r="A10002" i="10"/>
  <c r="E10001" i="10"/>
  <c r="D10001" i="10"/>
  <c r="C10001" i="10"/>
  <c r="B10001" i="10"/>
  <c r="A10001" i="10"/>
  <c r="E10000" i="10"/>
  <c r="D10000" i="10"/>
  <c r="C10000" i="10"/>
  <c r="B10000" i="10"/>
  <c r="A10000" i="10"/>
  <c r="E9999" i="10"/>
  <c r="D9999" i="10"/>
  <c r="C9999" i="10"/>
  <c r="B9999" i="10"/>
  <c r="A9999" i="10"/>
  <c r="E9998" i="10"/>
  <c r="D9998" i="10"/>
  <c r="C9998" i="10"/>
  <c r="B9998" i="10"/>
  <c r="A9998" i="10"/>
  <c r="E9997" i="10"/>
  <c r="D9997" i="10"/>
  <c r="C9997" i="10"/>
  <c r="B9997" i="10"/>
  <c r="A9997" i="10"/>
  <c r="E9996" i="10"/>
  <c r="D9996" i="10"/>
  <c r="C9996" i="10"/>
  <c r="B9996" i="10"/>
  <c r="A9996" i="10"/>
  <c r="E9995" i="10"/>
  <c r="D9995" i="10"/>
  <c r="C9995" i="10"/>
  <c r="B9995" i="10"/>
  <c r="A9995" i="10"/>
  <c r="E9994" i="10"/>
  <c r="D9994" i="10"/>
  <c r="C9994" i="10"/>
  <c r="B9994" i="10"/>
  <c r="A9994" i="10"/>
  <c r="E9993" i="10"/>
  <c r="D9993" i="10"/>
  <c r="C9993" i="10"/>
  <c r="B9993" i="10"/>
  <c r="A9993" i="10"/>
  <c r="E9992" i="10"/>
  <c r="D9992" i="10"/>
  <c r="C9992" i="10"/>
  <c r="B9992" i="10"/>
  <c r="A9992" i="10"/>
  <c r="E9991" i="10"/>
  <c r="D9991" i="10"/>
  <c r="C9991" i="10"/>
  <c r="B9991" i="10"/>
  <c r="A9991" i="10"/>
  <c r="E9990" i="10"/>
  <c r="D9990" i="10"/>
  <c r="C9990" i="10"/>
  <c r="B9990" i="10"/>
  <c r="A9990" i="10"/>
  <c r="E9989" i="10"/>
  <c r="D9989" i="10"/>
  <c r="C9989" i="10"/>
  <c r="B9989" i="10"/>
  <c r="A9989" i="10"/>
  <c r="E9988" i="10"/>
  <c r="D9988" i="10"/>
  <c r="C9988" i="10"/>
  <c r="B9988" i="10"/>
  <c r="A9988" i="10"/>
  <c r="E9987" i="10"/>
  <c r="D9987" i="10"/>
  <c r="C9987" i="10"/>
  <c r="B9987" i="10"/>
  <c r="A9987" i="10"/>
  <c r="E9986" i="10"/>
  <c r="D9986" i="10"/>
  <c r="C9986" i="10"/>
  <c r="B9986" i="10"/>
  <c r="A9986" i="10"/>
  <c r="E9985" i="10"/>
  <c r="D9985" i="10"/>
  <c r="C9985" i="10"/>
  <c r="B9985" i="10"/>
  <c r="A9985" i="10"/>
  <c r="E9984" i="10"/>
  <c r="D9984" i="10"/>
  <c r="C9984" i="10"/>
  <c r="B9984" i="10"/>
  <c r="A9984" i="10"/>
  <c r="E9983" i="10"/>
  <c r="D9983" i="10"/>
  <c r="C9983" i="10"/>
  <c r="B9983" i="10"/>
  <c r="A9983" i="10"/>
  <c r="E9982" i="10"/>
  <c r="D9982" i="10"/>
  <c r="C9982" i="10"/>
  <c r="B9982" i="10"/>
  <c r="A9982" i="10"/>
  <c r="E9981" i="10"/>
  <c r="D9981" i="10"/>
  <c r="C9981" i="10"/>
  <c r="B9981" i="10"/>
  <c r="A9981" i="10"/>
  <c r="E9980" i="10"/>
  <c r="D9980" i="10"/>
  <c r="C9980" i="10"/>
  <c r="B9980" i="10"/>
  <c r="A9980" i="10"/>
  <c r="E9979" i="10"/>
  <c r="D9979" i="10"/>
  <c r="C9979" i="10"/>
  <c r="B9979" i="10"/>
  <c r="A9979" i="10"/>
  <c r="E9978" i="10"/>
  <c r="D9978" i="10"/>
  <c r="C9978" i="10"/>
  <c r="B9978" i="10"/>
  <c r="A9978" i="10"/>
  <c r="E9977" i="10"/>
  <c r="D9977" i="10"/>
  <c r="C9977" i="10"/>
  <c r="B9977" i="10"/>
  <c r="A9977" i="10"/>
  <c r="E9976" i="10"/>
  <c r="D9976" i="10"/>
  <c r="C9976" i="10"/>
  <c r="B9976" i="10"/>
  <c r="A9976" i="10"/>
  <c r="E9975" i="10"/>
  <c r="D9975" i="10"/>
  <c r="C9975" i="10"/>
  <c r="B9975" i="10"/>
  <c r="A9975" i="10"/>
  <c r="E9974" i="10"/>
  <c r="D9974" i="10"/>
  <c r="C9974" i="10"/>
  <c r="B9974" i="10"/>
  <c r="A9974" i="10"/>
  <c r="E9973" i="10"/>
  <c r="D9973" i="10"/>
  <c r="C9973" i="10"/>
  <c r="B9973" i="10"/>
  <c r="A9973" i="10"/>
  <c r="E9972" i="10"/>
  <c r="D9972" i="10"/>
  <c r="C9972" i="10"/>
  <c r="B9972" i="10"/>
  <c r="A9972" i="10"/>
  <c r="E9971" i="10"/>
  <c r="D9971" i="10"/>
  <c r="C9971" i="10"/>
  <c r="B9971" i="10"/>
  <c r="A9971" i="10"/>
  <c r="E9970" i="10"/>
  <c r="D9970" i="10"/>
  <c r="C9970" i="10"/>
  <c r="B9970" i="10"/>
  <c r="A9970" i="10"/>
  <c r="E9969" i="10"/>
  <c r="D9969" i="10"/>
  <c r="C9969" i="10"/>
  <c r="B9969" i="10"/>
  <c r="A9969" i="10"/>
  <c r="E9968" i="10"/>
  <c r="D9968" i="10"/>
  <c r="C9968" i="10"/>
  <c r="B9968" i="10"/>
  <c r="A9968" i="10"/>
  <c r="E9967" i="10"/>
  <c r="D9967" i="10"/>
  <c r="C9967" i="10"/>
  <c r="B9967" i="10"/>
  <c r="A9967" i="10"/>
  <c r="E9966" i="10"/>
  <c r="D9966" i="10"/>
  <c r="C9966" i="10"/>
  <c r="B9966" i="10"/>
  <c r="A9966" i="10"/>
  <c r="E9965" i="10"/>
  <c r="D9965" i="10"/>
  <c r="C9965" i="10"/>
  <c r="B9965" i="10"/>
  <c r="A9965" i="10"/>
  <c r="E9964" i="10"/>
  <c r="D9964" i="10"/>
  <c r="C9964" i="10"/>
  <c r="B9964" i="10"/>
  <c r="A9964" i="10"/>
  <c r="E9963" i="10"/>
  <c r="D9963" i="10"/>
  <c r="C9963" i="10"/>
  <c r="B9963" i="10"/>
  <c r="A9963" i="10"/>
  <c r="E9962" i="10"/>
  <c r="D9962" i="10"/>
  <c r="C9962" i="10"/>
  <c r="B9962" i="10"/>
  <c r="A9962" i="10"/>
  <c r="E9961" i="10"/>
  <c r="D9961" i="10"/>
  <c r="C9961" i="10"/>
  <c r="B9961" i="10"/>
  <c r="A9961" i="10"/>
  <c r="E9960" i="10"/>
  <c r="D9960" i="10"/>
  <c r="C9960" i="10"/>
  <c r="B9960" i="10"/>
  <c r="A9960" i="10"/>
  <c r="E9959" i="10"/>
  <c r="D9959" i="10"/>
  <c r="C9959" i="10"/>
  <c r="B9959" i="10"/>
  <c r="A9959" i="10"/>
  <c r="E9958" i="10"/>
  <c r="D9958" i="10"/>
  <c r="C9958" i="10"/>
  <c r="B9958" i="10"/>
  <c r="A9958" i="10"/>
  <c r="E9957" i="10"/>
  <c r="D9957" i="10"/>
  <c r="C9957" i="10"/>
  <c r="B9957" i="10"/>
  <c r="A9957" i="10"/>
  <c r="E9956" i="10"/>
  <c r="D9956" i="10"/>
  <c r="C9956" i="10"/>
  <c r="B9956" i="10"/>
  <c r="A9956" i="10"/>
  <c r="E9955" i="10"/>
  <c r="D9955" i="10"/>
  <c r="C9955" i="10"/>
  <c r="B9955" i="10"/>
  <c r="A9955" i="10"/>
  <c r="E9954" i="10"/>
  <c r="D9954" i="10"/>
  <c r="C9954" i="10"/>
  <c r="B9954" i="10"/>
  <c r="A9954" i="10"/>
  <c r="E9953" i="10"/>
  <c r="D9953" i="10"/>
  <c r="C9953" i="10"/>
  <c r="B9953" i="10"/>
  <c r="A9953" i="10"/>
  <c r="E9952" i="10"/>
  <c r="D9952" i="10"/>
  <c r="C9952" i="10"/>
  <c r="B9952" i="10"/>
  <c r="A9952" i="10"/>
  <c r="E9951" i="10"/>
  <c r="D9951" i="10"/>
  <c r="C9951" i="10"/>
  <c r="B9951" i="10"/>
  <c r="A9951" i="10"/>
  <c r="E9950" i="10"/>
  <c r="D9950" i="10"/>
  <c r="C9950" i="10"/>
  <c r="B9950" i="10"/>
  <c r="A9950" i="10"/>
  <c r="E9949" i="10"/>
  <c r="D9949" i="10"/>
  <c r="C9949" i="10"/>
  <c r="B9949" i="10"/>
  <c r="A9949" i="10"/>
  <c r="E9948" i="10"/>
  <c r="D9948" i="10"/>
  <c r="C9948" i="10"/>
  <c r="B9948" i="10"/>
  <c r="A9948" i="10"/>
  <c r="E9947" i="10"/>
  <c r="D9947" i="10"/>
  <c r="C9947" i="10"/>
  <c r="B9947" i="10"/>
  <c r="A9947" i="10"/>
  <c r="E9946" i="10"/>
  <c r="D9946" i="10"/>
  <c r="C9946" i="10"/>
  <c r="B9946" i="10"/>
  <c r="A9946" i="10"/>
  <c r="E9945" i="10"/>
  <c r="D9945" i="10"/>
  <c r="C9945" i="10"/>
  <c r="B9945" i="10"/>
  <c r="A9945" i="10"/>
  <c r="E9944" i="10"/>
  <c r="D9944" i="10"/>
  <c r="C9944" i="10"/>
  <c r="B9944" i="10"/>
  <c r="A9944" i="10"/>
  <c r="E9943" i="10"/>
  <c r="D9943" i="10"/>
  <c r="C9943" i="10"/>
  <c r="B9943" i="10"/>
  <c r="A9943" i="10"/>
  <c r="E9942" i="10"/>
  <c r="D9942" i="10"/>
  <c r="C9942" i="10"/>
  <c r="B9942" i="10"/>
  <c r="A9942" i="10"/>
  <c r="E9941" i="10"/>
  <c r="D9941" i="10"/>
  <c r="C9941" i="10"/>
  <c r="B9941" i="10"/>
  <c r="A9941" i="10"/>
  <c r="E9940" i="10"/>
  <c r="D9940" i="10"/>
  <c r="C9940" i="10"/>
  <c r="B9940" i="10"/>
  <c r="A9940" i="10"/>
  <c r="E9939" i="10"/>
  <c r="D9939" i="10"/>
  <c r="C9939" i="10"/>
  <c r="B9939" i="10"/>
  <c r="A9939" i="10"/>
  <c r="E9938" i="10"/>
  <c r="D9938" i="10"/>
  <c r="C9938" i="10"/>
  <c r="B9938" i="10"/>
  <c r="A9938" i="10"/>
  <c r="E9937" i="10"/>
  <c r="D9937" i="10"/>
  <c r="C9937" i="10"/>
  <c r="B9937" i="10"/>
  <c r="A9937" i="10"/>
  <c r="E9936" i="10"/>
  <c r="D9936" i="10"/>
  <c r="C9936" i="10"/>
  <c r="B9936" i="10"/>
  <c r="A9936" i="10"/>
  <c r="E9935" i="10"/>
  <c r="D9935" i="10"/>
  <c r="C9935" i="10"/>
  <c r="B9935" i="10"/>
  <c r="A9935" i="10"/>
  <c r="E9934" i="10"/>
  <c r="D9934" i="10"/>
  <c r="C9934" i="10"/>
  <c r="B9934" i="10"/>
  <c r="A9934" i="10"/>
  <c r="E9933" i="10"/>
  <c r="D9933" i="10"/>
  <c r="C9933" i="10"/>
  <c r="B9933" i="10"/>
  <c r="A9933" i="10"/>
  <c r="E9932" i="10"/>
  <c r="D9932" i="10"/>
  <c r="C9932" i="10"/>
  <c r="B9932" i="10"/>
  <c r="A9932" i="10"/>
  <c r="E9931" i="10"/>
  <c r="D9931" i="10"/>
  <c r="C9931" i="10"/>
  <c r="B9931" i="10"/>
  <c r="A9931" i="10"/>
  <c r="E9930" i="10"/>
  <c r="D9930" i="10"/>
  <c r="C9930" i="10"/>
  <c r="B9930" i="10"/>
  <c r="A9930" i="10"/>
  <c r="E9929" i="10"/>
  <c r="D9929" i="10"/>
  <c r="C9929" i="10"/>
  <c r="B9929" i="10"/>
  <c r="A9929" i="10"/>
  <c r="E9928" i="10"/>
  <c r="D9928" i="10"/>
  <c r="C9928" i="10"/>
  <c r="B9928" i="10"/>
  <c r="A9928" i="10"/>
  <c r="E9927" i="10"/>
  <c r="D9927" i="10"/>
  <c r="C9927" i="10"/>
  <c r="B9927" i="10"/>
  <c r="A9927" i="10"/>
  <c r="E9926" i="10"/>
  <c r="D9926" i="10"/>
  <c r="C9926" i="10"/>
  <c r="B9926" i="10"/>
  <c r="A9926" i="10"/>
  <c r="E9925" i="10"/>
  <c r="D9925" i="10"/>
  <c r="C9925" i="10"/>
  <c r="B9925" i="10"/>
  <c r="A9925" i="10"/>
  <c r="E9924" i="10"/>
  <c r="D9924" i="10"/>
  <c r="C9924" i="10"/>
  <c r="B9924" i="10"/>
  <c r="A9924" i="10"/>
  <c r="E9923" i="10"/>
  <c r="D9923" i="10"/>
  <c r="C9923" i="10"/>
  <c r="B9923" i="10"/>
  <c r="A9923" i="10"/>
  <c r="E9922" i="10"/>
  <c r="D9922" i="10"/>
  <c r="C9922" i="10"/>
  <c r="B9922" i="10"/>
  <c r="A9922" i="10"/>
  <c r="E9921" i="10"/>
  <c r="D9921" i="10"/>
  <c r="C9921" i="10"/>
  <c r="B9921" i="10"/>
  <c r="A9921" i="10"/>
  <c r="E9920" i="10"/>
  <c r="D9920" i="10"/>
  <c r="C9920" i="10"/>
  <c r="B9920" i="10"/>
  <c r="A9920" i="10"/>
  <c r="E9919" i="10"/>
  <c r="D9919" i="10"/>
  <c r="C9919" i="10"/>
  <c r="B9919" i="10"/>
  <c r="A9919" i="10"/>
  <c r="E9918" i="10"/>
  <c r="D9918" i="10"/>
  <c r="C9918" i="10"/>
  <c r="B9918" i="10"/>
  <c r="A9918" i="10"/>
  <c r="E9917" i="10"/>
  <c r="D9917" i="10"/>
  <c r="C9917" i="10"/>
  <c r="B9917" i="10"/>
  <c r="A9917" i="10"/>
  <c r="E9916" i="10"/>
  <c r="D9916" i="10"/>
  <c r="C9916" i="10"/>
  <c r="B9916" i="10"/>
  <c r="A9916" i="10"/>
  <c r="E9915" i="10"/>
  <c r="D9915" i="10"/>
  <c r="C9915" i="10"/>
  <c r="B9915" i="10"/>
  <c r="A9915" i="10"/>
  <c r="E9914" i="10"/>
  <c r="D9914" i="10"/>
  <c r="C9914" i="10"/>
  <c r="B9914" i="10"/>
  <c r="A9914" i="10"/>
  <c r="E9913" i="10"/>
  <c r="D9913" i="10"/>
  <c r="C9913" i="10"/>
  <c r="B9913" i="10"/>
  <c r="A9913" i="10"/>
  <c r="E9912" i="10"/>
  <c r="D9912" i="10"/>
  <c r="C9912" i="10"/>
  <c r="B9912" i="10"/>
  <c r="A9912" i="10"/>
  <c r="E9911" i="10"/>
  <c r="D9911" i="10"/>
  <c r="C9911" i="10"/>
  <c r="B9911" i="10"/>
  <c r="A9911" i="10"/>
  <c r="E9910" i="10"/>
  <c r="D9910" i="10"/>
  <c r="C9910" i="10"/>
  <c r="B9910" i="10"/>
  <c r="A9910" i="10"/>
  <c r="E9909" i="10"/>
  <c r="D9909" i="10"/>
  <c r="C9909" i="10"/>
  <c r="B9909" i="10"/>
  <c r="A9909" i="10"/>
  <c r="E9908" i="10"/>
  <c r="D9908" i="10"/>
  <c r="C9908" i="10"/>
  <c r="B9908" i="10"/>
  <c r="A9908" i="10"/>
  <c r="E9907" i="10"/>
  <c r="D9907" i="10"/>
  <c r="C9907" i="10"/>
  <c r="B9907" i="10"/>
  <c r="A9907" i="10"/>
  <c r="E9906" i="10"/>
  <c r="D9906" i="10"/>
  <c r="C9906" i="10"/>
  <c r="B9906" i="10"/>
  <c r="A9906" i="10"/>
  <c r="E9905" i="10"/>
  <c r="D9905" i="10"/>
  <c r="C9905" i="10"/>
  <c r="B9905" i="10"/>
  <c r="A9905" i="10"/>
  <c r="E9904" i="10"/>
  <c r="D9904" i="10"/>
  <c r="C9904" i="10"/>
  <c r="B9904" i="10"/>
  <c r="A9904" i="10"/>
  <c r="E9903" i="10"/>
  <c r="D9903" i="10"/>
  <c r="C9903" i="10"/>
  <c r="B9903" i="10"/>
  <c r="A9903" i="10"/>
  <c r="E9902" i="10"/>
  <c r="D9902" i="10"/>
  <c r="C9902" i="10"/>
  <c r="B9902" i="10"/>
  <c r="A9902" i="10"/>
  <c r="E9901" i="10"/>
  <c r="D9901" i="10"/>
  <c r="C9901" i="10"/>
  <c r="B9901" i="10"/>
  <c r="A9901" i="10"/>
  <c r="E9900" i="10"/>
  <c r="D9900" i="10"/>
  <c r="C9900" i="10"/>
  <c r="B9900" i="10"/>
  <c r="A9900" i="10"/>
  <c r="E9899" i="10"/>
  <c r="D9899" i="10"/>
  <c r="C9899" i="10"/>
  <c r="B9899" i="10"/>
  <c r="A9899" i="10"/>
  <c r="E9898" i="10"/>
  <c r="D9898" i="10"/>
  <c r="C9898" i="10"/>
  <c r="B9898" i="10"/>
  <c r="A9898" i="10"/>
  <c r="E9897" i="10"/>
  <c r="D9897" i="10"/>
  <c r="C9897" i="10"/>
  <c r="B9897" i="10"/>
  <c r="A9897" i="10"/>
  <c r="E9896" i="10"/>
  <c r="D9896" i="10"/>
  <c r="C9896" i="10"/>
  <c r="B9896" i="10"/>
  <c r="A9896" i="10"/>
  <c r="E9895" i="10"/>
  <c r="D9895" i="10"/>
  <c r="C9895" i="10"/>
  <c r="B9895" i="10"/>
  <c r="A9895" i="10"/>
  <c r="E9894" i="10"/>
  <c r="D9894" i="10"/>
  <c r="C9894" i="10"/>
  <c r="B9894" i="10"/>
  <c r="A9894" i="10"/>
  <c r="E9893" i="10"/>
  <c r="D9893" i="10"/>
  <c r="C9893" i="10"/>
  <c r="B9893" i="10"/>
  <c r="A9893" i="10"/>
  <c r="E9892" i="10"/>
  <c r="D9892" i="10"/>
  <c r="C9892" i="10"/>
  <c r="B9892" i="10"/>
  <c r="A9892" i="10"/>
  <c r="E9891" i="10"/>
  <c r="D9891" i="10"/>
  <c r="C9891" i="10"/>
  <c r="B9891" i="10"/>
  <c r="A9891" i="10"/>
  <c r="E9890" i="10"/>
  <c r="D9890" i="10"/>
  <c r="C9890" i="10"/>
  <c r="B9890" i="10"/>
  <c r="A9890" i="10"/>
  <c r="E9889" i="10"/>
  <c r="D9889" i="10"/>
  <c r="C9889" i="10"/>
  <c r="B9889" i="10"/>
  <c r="A9889" i="10"/>
  <c r="E9888" i="10"/>
  <c r="D9888" i="10"/>
  <c r="C9888" i="10"/>
  <c r="B9888" i="10"/>
  <c r="A9888" i="10"/>
  <c r="E9887" i="10"/>
  <c r="D9887" i="10"/>
  <c r="C9887" i="10"/>
  <c r="B9887" i="10"/>
  <c r="A9887" i="10"/>
  <c r="E9886" i="10"/>
  <c r="D9886" i="10"/>
  <c r="C9886" i="10"/>
  <c r="B9886" i="10"/>
  <c r="A9886" i="10"/>
  <c r="E9885" i="10"/>
  <c r="D9885" i="10"/>
  <c r="C9885" i="10"/>
  <c r="B9885" i="10"/>
  <c r="A9885" i="10"/>
  <c r="E9884" i="10"/>
  <c r="D9884" i="10"/>
  <c r="C9884" i="10"/>
  <c r="B9884" i="10"/>
  <c r="A9884" i="10"/>
  <c r="E9883" i="10"/>
  <c r="D9883" i="10"/>
  <c r="C9883" i="10"/>
  <c r="B9883" i="10"/>
  <c r="A9883" i="10"/>
  <c r="E9882" i="10"/>
  <c r="D9882" i="10"/>
  <c r="C9882" i="10"/>
  <c r="B9882" i="10"/>
  <c r="A9882" i="10"/>
  <c r="E9881" i="10"/>
  <c r="D9881" i="10"/>
  <c r="C9881" i="10"/>
  <c r="B9881" i="10"/>
  <c r="A9881" i="10"/>
  <c r="E9880" i="10"/>
  <c r="D9880" i="10"/>
  <c r="C9880" i="10"/>
  <c r="B9880" i="10"/>
  <c r="A9880" i="10"/>
  <c r="E9879" i="10"/>
  <c r="D9879" i="10"/>
  <c r="C9879" i="10"/>
  <c r="B9879" i="10"/>
  <c r="A9879" i="10"/>
  <c r="E9878" i="10"/>
  <c r="D9878" i="10"/>
  <c r="C9878" i="10"/>
  <c r="B9878" i="10"/>
  <c r="A9878" i="10"/>
  <c r="E9877" i="10"/>
  <c r="D9877" i="10"/>
  <c r="C9877" i="10"/>
  <c r="B9877" i="10"/>
  <c r="A9877" i="10"/>
  <c r="E9876" i="10"/>
  <c r="D9876" i="10"/>
  <c r="C9876" i="10"/>
  <c r="B9876" i="10"/>
  <c r="A9876" i="10"/>
  <c r="E9875" i="10"/>
  <c r="D9875" i="10"/>
  <c r="C9875" i="10"/>
  <c r="B9875" i="10"/>
  <c r="A9875" i="10"/>
  <c r="E9874" i="10"/>
  <c r="D9874" i="10"/>
  <c r="C9874" i="10"/>
  <c r="B9874" i="10"/>
  <c r="A9874" i="10"/>
  <c r="E9873" i="10"/>
  <c r="D9873" i="10"/>
  <c r="C9873" i="10"/>
  <c r="B9873" i="10"/>
  <c r="A9873" i="10"/>
  <c r="E9872" i="10"/>
  <c r="D9872" i="10"/>
  <c r="C9872" i="10"/>
  <c r="B9872" i="10"/>
  <c r="A9872" i="10"/>
  <c r="E9871" i="10"/>
  <c r="D9871" i="10"/>
  <c r="C9871" i="10"/>
  <c r="B9871" i="10"/>
  <c r="A9871" i="10"/>
  <c r="E9870" i="10"/>
  <c r="D9870" i="10"/>
  <c r="C9870" i="10"/>
  <c r="B9870" i="10"/>
  <c r="A9870" i="10"/>
  <c r="E9869" i="10"/>
  <c r="D9869" i="10"/>
  <c r="C9869" i="10"/>
  <c r="B9869" i="10"/>
  <c r="A9869" i="10"/>
  <c r="E9868" i="10"/>
  <c r="D9868" i="10"/>
  <c r="C9868" i="10"/>
  <c r="B9868" i="10"/>
  <c r="A9868" i="10"/>
  <c r="E9867" i="10"/>
  <c r="D9867" i="10"/>
  <c r="C9867" i="10"/>
  <c r="B9867" i="10"/>
  <c r="A9867" i="10"/>
  <c r="E9866" i="10"/>
  <c r="D9866" i="10"/>
  <c r="C9866" i="10"/>
  <c r="B9866" i="10"/>
  <c r="A9866" i="10"/>
  <c r="E9865" i="10"/>
  <c r="D9865" i="10"/>
  <c r="C9865" i="10"/>
  <c r="B9865" i="10"/>
  <c r="A9865" i="10"/>
  <c r="E9864" i="10"/>
  <c r="D9864" i="10"/>
  <c r="C9864" i="10"/>
  <c r="B9864" i="10"/>
  <c r="A9864" i="10"/>
  <c r="E9863" i="10"/>
  <c r="D9863" i="10"/>
  <c r="C9863" i="10"/>
  <c r="B9863" i="10"/>
  <c r="A9863" i="10"/>
  <c r="E9862" i="10"/>
  <c r="D9862" i="10"/>
  <c r="C9862" i="10"/>
  <c r="B9862" i="10"/>
  <c r="A9862" i="10"/>
  <c r="E9861" i="10"/>
  <c r="D9861" i="10"/>
  <c r="C9861" i="10"/>
  <c r="B9861" i="10"/>
  <c r="A9861" i="10"/>
  <c r="E9860" i="10"/>
  <c r="D9860" i="10"/>
  <c r="C9860" i="10"/>
  <c r="B9860" i="10"/>
  <c r="A9860" i="10"/>
  <c r="E9859" i="10"/>
  <c r="D9859" i="10"/>
  <c r="C9859" i="10"/>
  <c r="B9859" i="10"/>
  <c r="A9859" i="10"/>
  <c r="E9858" i="10"/>
  <c r="D9858" i="10"/>
  <c r="C9858" i="10"/>
  <c r="B9858" i="10"/>
  <c r="A9858" i="10"/>
  <c r="E9857" i="10"/>
  <c r="D9857" i="10"/>
  <c r="C9857" i="10"/>
  <c r="B9857" i="10"/>
  <c r="A9857" i="10"/>
  <c r="E9856" i="10"/>
  <c r="D9856" i="10"/>
  <c r="C9856" i="10"/>
  <c r="B9856" i="10"/>
  <c r="A9856" i="10"/>
  <c r="E9855" i="10"/>
  <c r="D9855" i="10"/>
  <c r="C9855" i="10"/>
  <c r="B9855" i="10"/>
  <c r="A9855" i="10"/>
  <c r="E9854" i="10"/>
  <c r="D9854" i="10"/>
  <c r="C9854" i="10"/>
  <c r="B9854" i="10"/>
  <c r="A9854" i="10"/>
  <c r="E9853" i="10"/>
  <c r="D9853" i="10"/>
  <c r="C9853" i="10"/>
  <c r="B9853" i="10"/>
  <c r="A9853" i="10"/>
  <c r="E9852" i="10"/>
  <c r="D9852" i="10"/>
  <c r="C9852" i="10"/>
  <c r="B9852" i="10"/>
  <c r="A9852" i="10"/>
  <c r="E9851" i="10"/>
  <c r="D9851" i="10"/>
  <c r="C9851" i="10"/>
  <c r="B9851" i="10"/>
  <c r="A9851" i="10"/>
  <c r="E9850" i="10"/>
  <c r="D9850" i="10"/>
  <c r="C9850" i="10"/>
  <c r="B9850" i="10"/>
  <c r="A9850" i="10"/>
  <c r="E9849" i="10"/>
  <c r="D9849" i="10"/>
  <c r="C9849" i="10"/>
  <c r="B9849" i="10"/>
  <c r="A9849" i="10"/>
  <c r="E9848" i="10"/>
  <c r="D9848" i="10"/>
  <c r="C9848" i="10"/>
  <c r="B9848" i="10"/>
  <c r="A9848" i="10"/>
  <c r="E9847" i="10"/>
  <c r="D9847" i="10"/>
  <c r="C9847" i="10"/>
  <c r="B9847" i="10"/>
  <c r="A9847" i="10"/>
  <c r="E9846" i="10"/>
  <c r="D9846" i="10"/>
  <c r="C9846" i="10"/>
  <c r="B9846" i="10"/>
  <c r="A9846" i="10"/>
  <c r="E9845" i="10"/>
  <c r="D9845" i="10"/>
  <c r="C9845" i="10"/>
  <c r="B9845" i="10"/>
  <c r="A9845" i="10"/>
  <c r="E9844" i="10"/>
  <c r="D9844" i="10"/>
  <c r="C9844" i="10"/>
  <c r="B9844" i="10"/>
  <c r="A9844" i="10"/>
  <c r="E9843" i="10"/>
  <c r="D9843" i="10"/>
  <c r="C9843" i="10"/>
  <c r="B9843" i="10"/>
  <c r="A9843" i="10"/>
  <c r="E9842" i="10"/>
  <c r="D9842" i="10"/>
  <c r="C9842" i="10"/>
  <c r="B9842" i="10"/>
  <c r="A9842" i="10"/>
  <c r="E9841" i="10"/>
  <c r="D9841" i="10"/>
  <c r="C9841" i="10"/>
  <c r="B9841" i="10"/>
  <c r="A9841" i="10"/>
  <c r="E9840" i="10"/>
  <c r="D9840" i="10"/>
  <c r="C9840" i="10"/>
  <c r="B9840" i="10"/>
  <c r="A9840" i="10"/>
  <c r="E9839" i="10"/>
  <c r="D9839" i="10"/>
  <c r="C9839" i="10"/>
  <c r="B9839" i="10"/>
  <c r="A9839" i="10"/>
  <c r="E9838" i="10"/>
  <c r="D9838" i="10"/>
  <c r="C9838" i="10"/>
  <c r="B9838" i="10"/>
  <c r="A9838" i="10"/>
  <c r="E9837" i="10"/>
  <c r="D9837" i="10"/>
  <c r="C9837" i="10"/>
  <c r="B9837" i="10"/>
  <c r="A9837" i="10"/>
  <c r="E9836" i="10"/>
  <c r="D9836" i="10"/>
  <c r="C9836" i="10"/>
  <c r="B9836" i="10"/>
  <c r="A9836" i="10"/>
  <c r="E9835" i="10"/>
  <c r="D9835" i="10"/>
  <c r="C9835" i="10"/>
  <c r="B9835" i="10"/>
  <c r="A9835" i="10"/>
  <c r="E9834" i="10"/>
  <c r="D9834" i="10"/>
  <c r="C9834" i="10"/>
  <c r="B9834" i="10"/>
  <c r="A9834" i="10"/>
  <c r="E9833" i="10"/>
  <c r="D9833" i="10"/>
  <c r="C9833" i="10"/>
  <c r="B9833" i="10"/>
  <c r="A9833" i="10"/>
  <c r="E9832" i="10"/>
  <c r="D9832" i="10"/>
  <c r="C9832" i="10"/>
  <c r="B9832" i="10"/>
  <c r="A9832" i="10"/>
  <c r="E9831" i="10"/>
  <c r="D9831" i="10"/>
  <c r="C9831" i="10"/>
  <c r="B9831" i="10"/>
  <c r="A9831" i="10"/>
  <c r="E9830" i="10"/>
  <c r="D9830" i="10"/>
  <c r="C9830" i="10"/>
  <c r="B9830" i="10"/>
  <c r="A9830" i="10"/>
  <c r="E9829" i="10"/>
  <c r="D9829" i="10"/>
  <c r="C9829" i="10"/>
  <c r="B9829" i="10"/>
  <c r="A9829" i="10"/>
  <c r="E9828" i="10"/>
  <c r="D9828" i="10"/>
  <c r="C9828" i="10"/>
  <c r="B9828" i="10"/>
  <c r="A9828" i="10"/>
  <c r="E9827" i="10"/>
  <c r="D9827" i="10"/>
  <c r="C9827" i="10"/>
  <c r="B9827" i="10"/>
  <c r="A9827" i="10"/>
  <c r="E9826" i="10"/>
  <c r="D9826" i="10"/>
  <c r="C9826" i="10"/>
  <c r="B9826" i="10"/>
  <c r="A9826" i="10"/>
  <c r="E9825" i="10"/>
  <c r="D9825" i="10"/>
  <c r="C9825" i="10"/>
  <c r="B9825" i="10"/>
  <c r="A9825" i="10"/>
  <c r="E9824" i="10"/>
  <c r="D9824" i="10"/>
  <c r="C9824" i="10"/>
  <c r="B9824" i="10"/>
  <c r="A9824" i="10"/>
  <c r="E9823" i="10"/>
  <c r="D9823" i="10"/>
  <c r="C9823" i="10"/>
  <c r="B9823" i="10"/>
  <c r="A9823" i="10"/>
  <c r="E9822" i="10"/>
  <c r="D9822" i="10"/>
  <c r="C9822" i="10"/>
  <c r="B9822" i="10"/>
  <c r="A9822" i="10"/>
  <c r="E9821" i="10"/>
  <c r="D9821" i="10"/>
  <c r="C9821" i="10"/>
  <c r="B9821" i="10"/>
  <c r="A9821" i="10"/>
  <c r="E9820" i="10"/>
  <c r="D9820" i="10"/>
  <c r="C9820" i="10"/>
  <c r="B9820" i="10"/>
  <c r="A9820" i="10"/>
  <c r="E9819" i="10"/>
  <c r="D9819" i="10"/>
  <c r="C9819" i="10"/>
  <c r="B9819" i="10"/>
  <c r="A9819" i="10"/>
  <c r="E9818" i="10"/>
  <c r="D9818" i="10"/>
  <c r="C9818" i="10"/>
  <c r="B9818" i="10"/>
  <c r="A9818" i="10"/>
  <c r="E9817" i="10"/>
  <c r="D9817" i="10"/>
  <c r="C9817" i="10"/>
  <c r="B9817" i="10"/>
  <c r="A9817" i="10"/>
  <c r="E9816" i="10"/>
  <c r="D9816" i="10"/>
  <c r="C9816" i="10"/>
  <c r="B9816" i="10"/>
  <c r="A9816" i="10"/>
  <c r="E9815" i="10"/>
  <c r="D9815" i="10"/>
  <c r="C9815" i="10"/>
  <c r="B9815" i="10"/>
  <c r="A9815" i="10"/>
  <c r="E9814" i="10"/>
  <c r="D9814" i="10"/>
  <c r="C9814" i="10"/>
  <c r="B9814" i="10"/>
  <c r="A9814" i="10"/>
  <c r="E9813" i="10"/>
  <c r="D9813" i="10"/>
  <c r="C9813" i="10"/>
  <c r="B9813" i="10"/>
  <c r="A9813" i="10"/>
  <c r="E9812" i="10"/>
  <c r="D9812" i="10"/>
  <c r="C9812" i="10"/>
  <c r="B9812" i="10"/>
  <c r="A9812" i="10"/>
  <c r="E9811" i="10"/>
  <c r="D9811" i="10"/>
  <c r="C9811" i="10"/>
  <c r="B9811" i="10"/>
  <c r="A9811" i="10"/>
  <c r="E9810" i="10"/>
  <c r="D9810" i="10"/>
  <c r="C9810" i="10"/>
  <c r="B9810" i="10"/>
  <c r="A9810" i="10"/>
  <c r="E9809" i="10"/>
  <c r="D9809" i="10"/>
  <c r="C9809" i="10"/>
  <c r="B9809" i="10"/>
  <c r="A9809" i="10"/>
  <c r="E9808" i="10"/>
  <c r="D9808" i="10"/>
  <c r="C9808" i="10"/>
  <c r="B9808" i="10"/>
  <c r="A9808" i="10"/>
  <c r="E9807" i="10"/>
  <c r="D9807" i="10"/>
  <c r="C9807" i="10"/>
  <c r="B9807" i="10"/>
  <c r="A9807" i="10"/>
  <c r="E9806" i="10"/>
  <c r="D9806" i="10"/>
  <c r="C9806" i="10"/>
  <c r="B9806" i="10"/>
  <c r="A9806" i="10"/>
  <c r="E9805" i="10"/>
  <c r="D9805" i="10"/>
  <c r="C9805" i="10"/>
  <c r="B9805" i="10"/>
  <c r="A9805" i="10"/>
  <c r="E9804" i="10"/>
  <c r="D9804" i="10"/>
  <c r="C9804" i="10"/>
  <c r="B9804" i="10"/>
  <c r="A9804" i="10"/>
  <c r="E9803" i="10"/>
  <c r="D9803" i="10"/>
  <c r="C9803" i="10"/>
  <c r="B9803" i="10"/>
  <c r="A9803" i="10"/>
  <c r="E9802" i="10"/>
  <c r="D9802" i="10"/>
  <c r="C9802" i="10"/>
  <c r="B9802" i="10"/>
  <c r="A9802" i="10"/>
  <c r="E9801" i="10"/>
  <c r="D9801" i="10"/>
  <c r="C9801" i="10"/>
  <c r="B9801" i="10"/>
  <c r="A9801" i="10"/>
  <c r="E9800" i="10"/>
  <c r="D9800" i="10"/>
  <c r="C9800" i="10"/>
  <c r="B9800" i="10"/>
  <c r="A9800" i="10"/>
  <c r="E9799" i="10"/>
  <c r="D9799" i="10"/>
  <c r="C9799" i="10"/>
  <c r="B9799" i="10"/>
  <c r="A9799" i="10"/>
  <c r="E9798" i="10"/>
  <c r="D9798" i="10"/>
  <c r="C9798" i="10"/>
  <c r="B9798" i="10"/>
  <c r="A9798" i="10"/>
  <c r="E9797" i="10"/>
  <c r="D9797" i="10"/>
  <c r="C9797" i="10"/>
  <c r="B9797" i="10"/>
  <c r="A9797" i="10"/>
  <c r="E9796" i="10"/>
  <c r="D9796" i="10"/>
  <c r="C9796" i="10"/>
  <c r="B9796" i="10"/>
  <c r="A9796" i="10"/>
  <c r="E9795" i="10"/>
  <c r="D9795" i="10"/>
  <c r="C9795" i="10"/>
  <c r="B9795" i="10"/>
  <c r="A9795" i="10"/>
  <c r="E9794" i="10"/>
  <c r="D9794" i="10"/>
  <c r="C9794" i="10"/>
  <c r="B9794" i="10"/>
  <c r="A9794" i="10"/>
  <c r="E9793" i="10"/>
  <c r="D9793" i="10"/>
  <c r="C9793" i="10"/>
  <c r="B9793" i="10"/>
  <c r="A9793" i="10"/>
  <c r="E9792" i="10"/>
  <c r="D9792" i="10"/>
  <c r="C9792" i="10"/>
  <c r="B9792" i="10"/>
  <c r="A9792" i="10"/>
  <c r="E9791" i="10"/>
  <c r="D9791" i="10"/>
  <c r="C9791" i="10"/>
  <c r="B9791" i="10"/>
  <c r="A9791" i="10"/>
  <c r="E9790" i="10"/>
  <c r="D9790" i="10"/>
  <c r="C9790" i="10"/>
  <c r="B9790" i="10"/>
  <c r="A9790" i="10"/>
  <c r="E9789" i="10"/>
  <c r="D9789" i="10"/>
  <c r="C9789" i="10"/>
  <c r="B9789" i="10"/>
  <c r="A9789" i="10"/>
  <c r="E9788" i="10"/>
  <c r="D9788" i="10"/>
  <c r="C9788" i="10"/>
  <c r="B9788" i="10"/>
  <c r="A9788" i="10"/>
  <c r="E9787" i="10"/>
  <c r="D9787" i="10"/>
  <c r="C9787" i="10"/>
  <c r="B9787" i="10"/>
  <c r="A9787" i="10"/>
  <c r="E9786" i="10"/>
  <c r="D9786" i="10"/>
  <c r="C9786" i="10"/>
  <c r="B9786" i="10"/>
  <c r="A9786" i="10"/>
  <c r="E9785" i="10"/>
  <c r="D9785" i="10"/>
  <c r="C9785" i="10"/>
  <c r="B9785" i="10"/>
  <c r="A9785" i="10"/>
  <c r="E9784" i="10"/>
  <c r="D9784" i="10"/>
  <c r="C9784" i="10"/>
  <c r="B9784" i="10"/>
  <c r="A9784" i="10"/>
  <c r="E9783" i="10"/>
  <c r="D9783" i="10"/>
  <c r="C9783" i="10"/>
  <c r="B9783" i="10"/>
  <c r="A9783" i="10"/>
  <c r="E9782" i="10"/>
  <c r="D9782" i="10"/>
  <c r="C9782" i="10"/>
  <c r="B9782" i="10"/>
  <c r="A9782" i="10"/>
  <c r="E9781" i="10"/>
  <c r="D9781" i="10"/>
  <c r="C9781" i="10"/>
  <c r="B9781" i="10"/>
  <c r="A9781" i="10"/>
  <c r="E9780" i="10"/>
  <c r="D9780" i="10"/>
  <c r="C9780" i="10"/>
  <c r="B9780" i="10"/>
  <c r="A9780" i="10"/>
  <c r="E9779" i="10"/>
  <c r="D9779" i="10"/>
  <c r="C9779" i="10"/>
  <c r="B9779" i="10"/>
  <c r="A9779" i="10"/>
  <c r="E9778" i="10"/>
  <c r="D9778" i="10"/>
  <c r="C9778" i="10"/>
  <c r="B9778" i="10"/>
  <c r="A9778" i="10"/>
  <c r="E9777" i="10"/>
  <c r="D9777" i="10"/>
  <c r="C9777" i="10"/>
  <c r="B9777" i="10"/>
  <c r="A9777" i="10"/>
  <c r="E9776" i="10"/>
  <c r="D9776" i="10"/>
  <c r="C9776" i="10"/>
  <c r="B9776" i="10"/>
  <c r="A9776" i="10"/>
  <c r="E9775" i="10"/>
  <c r="D9775" i="10"/>
  <c r="C9775" i="10"/>
  <c r="B9775" i="10"/>
  <c r="A9775" i="10"/>
  <c r="E9774" i="10"/>
  <c r="D9774" i="10"/>
  <c r="C9774" i="10"/>
  <c r="B9774" i="10"/>
  <c r="A9774" i="10"/>
  <c r="E9773" i="10"/>
  <c r="D9773" i="10"/>
  <c r="C9773" i="10"/>
  <c r="B9773" i="10"/>
  <c r="A9773" i="10"/>
  <c r="E9772" i="10"/>
  <c r="D9772" i="10"/>
  <c r="C9772" i="10"/>
  <c r="B9772" i="10"/>
  <c r="A9772" i="10"/>
  <c r="E9771" i="10"/>
  <c r="D9771" i="10"/>
  <c r="C9771" i="10"/>
  <c r="B9771" i="10"/>
  <c r="A9771" i="10"/>
  <c r="E9770" i="10"/>
  <c r="D9770" i="10"/>
  <c r="C9770" i="10"/>
  <c r="B9770" i="10"/>
  <c r="A9770" i="10"/>
  <c r="E9769" i="10"/>
  <c r="D9769" i="10"/>
  <c r="C9769" i="10"/>
  <c r="B9769" i="10"/>
  <c r="A9769" i="10"/>
  <c r="E9768" i="10"/>
  <c r="D9768" i="10"/>
  <c r="C9768" i="10"/>
  <c r="B9768" i="10"/>
  <c r="A9768" i="10"/>
  <c r="E9767" i="10"/>
  <c r="D9767" i="10"/>
  <c r="C9767" i="10"/>
  <c r="B9767" i="10"/>
  <c r="A9767" i="10"/>
  <c r="E9766" i="10"/>
  <c r="D9766" i="10"/>
  <c r="C9766" i="10"/>
  <c r="B9766" i="10"/>
  <c r="A9766" i="10"/>
  <c r="E9765" i="10"/>
  <c r="D9765" i="10"/>
  <c r="C9765" i="10"/>
  <c r="B9765" i="10"/>
  <c r="A9765" i="10"/>
  <c r="E9764" i="10"/>
  <c r="D9764" i="10"/>
  <c r="C9764" i="10"/>
  <c r="B9764" i="10"/>
  <c r="A9764" i="10"/>
  <c r="E9763" i="10"/>
  <c r="D9763" i="10"/>
  <c r="C9763" i="10"/>
  <c r="B9763" i="10"/>
  <c r="A9763" i="10"/>
  <c r="E9762" i="10"/>
  <c r="D9762" i="10"/>
  <c r="C9762" i="10"/>
  <c r="B9762" i="10"/>
  <c r="A9762" i="10"/>
  <c r="E9761" i="10"/>
  <c r="D9761" i="10"/>
  <c r="C9761" i="10"/>
  <c r="B9761" i="10"/>
  <c r="A9761" i="10"/>
  <c r="E9760" i="10"/>
  <c r="D9760" i="10"/>
  <c r="C9760" i="10"/>
  <c r="B9760" i="10"/>
  <c r="A9760" i="10"/>
  <c r="E9759" i="10"/>
  <c r="D9759" i="10"/>
  <c r="C9759" i="10"/>
  <c r="B9759" i="10"/>
  <c r="A9759" i="10"/>
  <c r="E9758" i="10"/>
  <c r="D9758" i="10"/>
  <c r="C9758" i="10"/>
  <c r="B9758" i="10"/>
  <c r="A9758" i="10"/>
  <c r="E9757" i="10"/>
  <c r="D9757" i="10"/>
  <c r="C9757" i="10"/>
  <c r="B9757" i="10"/>
  <c r="A9757" i="10"/>
  <c r="E9756" i="10"/>
  <c r="D9756" i="10"/>
  <c r="C9756" i="10"/>
  <c r="B9756" i="10"/>
  <c r="A9756" i="10"/>
  <c r="E9755" i="10"/>
  <c r="D9755" i="10"/>
  <c r="C9755" i="10"/>
  <c r="B9755" i="10"/>
  <c r="A9755" i="10"/>
  <c r="E9754" i="10"/>
  <c r="D9754" i="10"/>
  <c r="C9754" i="10"/>
  <c r="B9754" i="10"/>
  <c r="A9754" i="10"/>
  <c r="E9753" i="10"/>
  <c r="D9753" i="10"/>
  <c r="C9753" i="10"/>
  <c r="B9753" i="10"/>
  <c r="A9753" i="10"/>
  <c r="E9752" i="10"/>
  <c r="D9752" i="10"/>
  <c r="C9752" i="10"/>
  <c r="B9752" i="10"/>
  <c r="A9752" i="10"/>
  <c r="E9751" i="10"/>
  <c r="D9751" i="10"/>
  <c r="C9751" i="10"/>
  <c r="B9751" i="10"/>
  <c r="A9751" i="10"/>
  <c r="E9750" i="10"/>
  <c r="D9750" i="10"/>
  <c r="C9750" i="10"/>
  <c r="B9750" i="10"/>
  <c r="A9750" i="10"/>
  <c r="E9749" i="10"/>
  <c r="D9749" i="10"/>
  <c r="C9749" i="10"/>
  <c r="B9749" i="10"/>
  <c r="A9749" i="10"/>
  <c r="E9748" i="10"/>
  <c r="D9748" i="10"/>
  <c r="C9748" i="10"/>
  <c r="B9748" i="10"/>
  <c r="A9748" i="10"/>
  <c r="E9747" i="10"/>
  <c r="D9747" i="10"/>
  <c r="C9747" i="10"/>
  <c r="B9747" i="10"/>
  <c r="A9747" i="10"/>
  <c r="E9746" i="10"/>
  <c r="D9746" i="10"/>
  <c r="C9746" i="10"/>
  <c r="B9746" i="10"/>
  <c r="A9746" i="10"/>
  <c r="E9745" i="10"/>
  <c r="D9745" i="10"/>
  <c r="C9745" i="10"/>
  <c r="B9745" i="10"/>
  <c r="A9745" i="10"/>
  <c r="E9744" i="10"/>
  <c r="D9744" i="10"/>
  <c r="C9744" i="10"/>
  <c r="B9744" i="10"/>
  <c r="A9744" i="10"/>
  <c r="E9743" i="10"/>
  <c r="D9743" i="10"/>
  <c r="C9743" i="10"/>
  <c r="B9743" i="10"/>
  <c r="A9743" i="10"/>
  <c r="E9742" i="10"/>
  <c r="D9742" i="10"/>
  <c r="C9742" i="10"/>
  <c r="B9742" i="10"/>
  <c r="A9742" i="10"/>
  <c r="E9741" i="10"/>
  <c r="D9741" i="10"/>
  <c r="C9741" i="10"/>
  <c r="B9741" i="10"/>
  <c r="A9741" i="10"/>
  <c r="E9740" i="10"/>
  <c r="D9740" i="10"/>
  <c r="C9740" i="10"/>
  <c r="B9740" i="10"/>
  <c r="A9740" i="10"/>
  <c r="E9739" i="10"/>
  <c r="D9739" i="10"/>
  <c r="C9739" i="10"/>
  <c r="B9739" i="10"/>
  <c r="A9739" i="10"/>
  <c r="E9738" i="10"/>
  <c r="D9738" i="10"/>
  <c r="C9738" i="10"/>
  <c r="B9738" i="10"/>
  <c r="A9738" i="10"/>
  <c r="E9737" i="10"/>
  <c r="D9737" i="10"/>
  <c r="C9737" i="10"/>
  <c r="B9737" i="10"/>
  <c r="A9737" i="10"/>
  <c r="E9736" i="10"/>
  <c r="D9736" i="10"/>
  <c r="C9736" i="10"/>
  <c r="B9736" i="10"/>
  <c r="A9736" i="10"/>
  <c r="E9735" i="10"/>
  <c r="D9735" i="10"/>
  <c r="C9735" i="10"/>
  <c r="B9735" i="10"/>
  <c r="A9735" i="10"/>
  <c r="E9734" i="10"/>
  <c r="D9734" i="10"/>
  <c r="C9734" i="10"/>
  <c r="B9734" i="10"/>
  <c r="A9734" i="10"/>
  <c r="E9733" i="10"/>
  <c r="D9733" i="10"/>
  <c r="C9733" i="10"/>
  <c r="B9733" i="10"/>
  <c r="A9733" i="10"/>
  <c r="E9732" i="10"/>
  <c r="D9732" i="10"/>
  <c r="C9732" i="10"/>
  <c r="B9732" i="10"/>
  <c r="A9732" i="10"/>
  <c r="E9731" i="10"/>
  <c r="D9731" i="10"/>
  <c r="C9731" i="10"/>
  <c r="B9731" i="10"/>
  <c r="A9731" i="10"/>
  <c r="E9730" i="10"/>
  <c r="D9730" i="10"/>
  <c r="C9730" i="10"/>
  <c r="B9730" i="10"/>
  <c r="A9730" i="10"/>
  <c r="E9729" i="10"/>
  <c r="D9729" i="10"/>
  <c r="C9729" i="10"/>
  <c r="B9729" i="10"/>
  <c r="A9729" i="10"/>
  <c r="E9728" i="10"/>
  <c r="D9728" i="10"/>
  <c r="C9728" i="10"/>
  <c r="B9728" i="10"/>
  <c r="A9728" i="10"/>
  <c r="E9727" i="10"/>
  <c r="D9727" i="10"/>
  <c r="C9727" i="10"/>
  <c r="B9727" i="10"/>
  <c r="A9727" i="10"/>
  <c r="E9726" i="10"/>
  <c r="D9726" i="10"/>
  <c r="C9726" i="10"/>
  <c r="B9726" i="10"/>
  <c r="A9726" i="10"/>
  <c r="E9725" i="10"/>
  <c r="D9725" i="10"/>
  <c r="C9725" i="10"/>
  <c r="B9725" i="10"/>
  <c r="A9725" i="10"/>
  <c r="E9724" i="10"/>
  <c r="D9724" i="10"/>
  <c r="C9724" i="10"/>
  <c r="B9724" i="10"/>
  <c r="A9724" i="10"/>
  <c r="E9723" i="10"/>
  <c r="D9723" i="10"/>
  <c r="C9723" i="10"/>
  <c r="B9723" i="10"/>
  <c r="A9723" i="10"/>
  <c r="E9722" i="10"/>
  <c r="D9722" i="10"/>
  <c r="C9722" i="10"/>
  <c r="B9722" i="10"/>
  <c r="A9722" i="10"/>
  <c r="E9721" i="10"/>
  <c r="D9721" i="10"/>
  <c r="C9721" i="10"/>
  <c r="B9721" i="10"/>
  <c r="A9721" i="10"/>
  <c r="E9720" i="10"/>
  <c r="D9720" i="10"/>
  <c r="C9720" i="10"/>
  <c r="B9720" i="10"/>
  <c r="A9720" i="10"/>
  <c r="E9719" i="10"/>
  <c r="D9719" i="10"/>
  <c r="C9719" i="10"/>
  <c r="B9719" i="10"/>
  <c r="A9719" i="10"/>
  <c r="E9718" i="10"/>
  <c r="D9718" i="10"/>
  <c r="C9718" i="10"/>
  <c r="B9718" i="10"/>
  <c r="A9718" i="10"/>
  <c r="E9717" i="10"/>
  <c r="D9717" i="10"/>
  <c r="C9717" i="10"/>
  <c r="B9717" i="10"/>
  <c r="A9717" i="10"/>
  <c r="E9716" i="10"/>
  <c r="D9716" i="10"/>
  <c r="C9716" i="10"/>
  <c r="B9716" i="10"/>
  <c r="A9716" i="10"/>
  <c r="E9715" i="10"/>
  <c r="D9715" i="10"/>
  <c r="C9715" i="10"/>
  <c r="B9715" i="10"/>
  <c r="A9715" i="10"/>
  <c r="E9714" i="10"/>
  <c r="D9714" i="10"/>
  <c r="C9714" i="10"/>
  <c r="B9714" i="10"/>
  <c r="A9714" i="10"/>
  <c r="E9713" i="10"/>
  <c r="D9713" i="10"/>
  <c r="C9713" i="10"/>
  <c r="B9713" i="10"/>
  <c r="A9713" i="10"/>
  <c r="E9712" i="10"/>
  <c r="D9712" i="10"/>
  <c r="C9712" i="10"/>
  <c r="B9712" i="10"/>
  <c r="A9712" i="10"/>
  <c r="E9711" i="10"/>
  <c r="D9711" i="10"/>
  <c r="C9711" i="10"/>
  <c r="B9711" i="10"/>
  <c r="A9711" i="10"/>
  <c r="E9710" i="10"/>
  <c r="D9710" i="10"/>
  <c r="C9710" i="10"/>
  <c r="B9710" i="10"/>
  <c r="A9710" i="10"/>
  <c r="E9709" i="10"/>
  <c r="D9709" i="10"/>
  <c r="C9709" i="10"/>
  <c r="B9709" i="10"/>
  <c r="A9709" i="10"/>
  <c r="E9708" i="10"/>
  <c r="D9708" i="10"/>
  <c r="C9708" i="10"/>
  <c r="B9708" i="10"/>
  <c r="A9708" i="10"/>
  <c r="E9707" i="10"/>
  <c r="D9707" i="10"/>
  <c r="C9707" i="10"/>
  <c r="B9707" i="10"/>
  <c r="A9707" i="10"/>
  <c r="E9706" i="10"/>
  <c r="D9706" i="10"/>
  <c r="C9706" i="10"/>
  <c r="B9706" i="10"/>
  <c r="A9706" i="10"/>
  <c r="E9705" i="10"/>
  <c r="D9705" i="10"/>
  <c r="C9705" i="10"/>
  <c r="B9705" i="10"/>
  <c r="A9705" i="10"/>
  <c r="E9704" i="10"/>
  <c r="D9704" i="10"/>
  <c r="C9704" i="10"/>
  <c r="B9704" i="10"/>
  <c r="A9704" i="10"/>
  <c r="E9703" i="10"/>
  <c r="D9703" i="10"/>
  <c r="C9703" i="10"/>
  <c r="B9703" i="10"/>
  <c r="A9703" i="10"/>
  <c r="E9702" i="10"/>
  <c r="D9702" i="10"/>
  <c r="C9702" i="10"/>
  <c r="B9702" i="10"/>
  <c r="A9702" i="10"/>
  <c r="E9701" i="10"/>
  <c r="D9701" i="10"/>
  <c r="C9701" i="10"/>
  <c r="B9701" i="10"/>
  <c r="A9701" i="10"/>
  <c r="E9700" i="10"/>
  <c r="D9700" i="10"/>
  <c r="C9700" i="10"/>
  <c r="B9700" i="10"/>
  <c r="A9700" i="10"/>
  <c r="E9699" i="10"/>
  <c r="D9699" i="10"/>
  <c r="C9699" i="10"/>
  <c r="B9699" i="10"/>
  <c r="A9699" i="10"/>
  <c r="E9698" i="10"/>
  <c r="D9698" i="10"/>
  <c r="C9698" i="10"/>
  <c r="B9698" i="10"/>
  <c r="A9698" i="10"/>
  <c r="E9697" i="10"/>
  <c r="D9697" i="10"/>
  <c r="C9697" i="10"/>
  <c r="B9697" i="10"/>
  <c r="A9697" i="10"/>
  <c r="E9696" i="10"/>
  <c r="D9696" i="10"/>
  <c r="C9696" i="10"/>
  <c r="B9696" i="10"/>
  <c r="A9696" i="10"/>
  <c r="E9695" i="10"/>
  <c r="D9695" i="10"/>
  <c r="C9695" i="10"/>
  <c r="B9695" i="10"/>
  <c r="A9695" i="10"/>
  <c r="E9694" i="10"/>
  <c r="D9694" i="10"/>
  <c r="C9694" i="10"/>
  <c r="B9694" i="10"/>
  <c r="A9694" i="10"/>
  <c r="E9693" i="10"/>
  <c r="D9693" i="10"/>
  <c r="C9693" i="10"/>
  <c r="B9693" i="10"/>
  <c r="A9693" i="10"/>
  <c r="E9692" i="10"/>
  <c r="D9692" i="10"/>
  <c r="C9692" i="10"/>
  <c r="B9692" i="10"/>
  <c r="A9692" i="10"/>
  <c r="E9691" i="10"/>
  <c r="D9691" i="10"/>
  <c r="C9691" i="10"/>
  <c r="B9691" i="10"/>
  <c r="A9691" i="10"/>
  <c r="E9690" i="10"/>
  <c r="D9690" i="10"/>
  <c r="C9690" i="10"/>
  <c r="B9690" i="10"/>
  <c r="A9690" i="10"/>
  <c r="E9689" i="10"/>
  <c r="D9689" i="10"/>
  <c r="C9689" i="10"/>
  <c r="B9689" i="10"/>
  <c r="A9689" i="10"/>
  <c r="E9688" i="10"/>
  <c r="D9688" i="10"/>
  <c r="C9688" i="10"/>
  <c r="B9688" i="10"/>
  <c r="A9688" i="10"/>
  <c r="E9687" i="10"/>
  <c r="D9687" i="10"/>
  <c r="C9687" i="10"/>
  <c r="B9687" i="10"/>
  <c r="A9687" i="10"/>
  <c r="E9686" i="10"/>
  <c r="D9686" i="10"/>
  <c r="C9686" i="10"/>
  <c r="B9686" i="10"/>
  <c r="A9686" i="10"/>
  <c r="E9685" i="10"/>
  <c r="D9685" i="10"/>
  <c r="C9685" i="10"/>
  <c r="B9685" i="10"/>
  <c r="A9685" i="10"/>
  <c r="E9684" i="10"/>
  <c r="D9684" i="10"/>
  <c r="C9684" i="10"/>
  <c r="B9684" i="10"/>
  <c r="A9684" i="10"/>
  <c r="E9683" i="10"/>
  <c r="D9683" i="10"/>
  <c r="C9683" i="10"/>
  <c r="B9683" i="10"/>
  <c r="A9683" i="10"/>
  <c r="E9682" i="10"/>
  <c r="D9682" i="10"/>
  <c r="C9682" i="10"/>
  <c r="B9682" i="10"/>
  <c r="A9682" i="10"/>
  <c r="E9681" i="10"/>
  <c r="D9681" i="10"/>
  <c r="C9681" i="10"/>
  <c r="B9681" i="10"/>
  <c r="A9681" i="10"/>
  <c r="E9680" i="10"/>
  <c r="D9680" i="10"/>
  <c r="C9680" i="10"/>
  <c r="B9680" i="10"/>
  <c r="A9680" i="10"/>
  <c r="E9679" i="10"/>
  <c r="D9679" i="10"/>
  <c r="C9679" i="10"/>
  <c r="B9679" i="10"/>
  <c r="A9679" i="10"/>
  <c r="E9678" i="10"/>
  <c r="D9678" i="10"/>
  <c r="C9678" i="10"/>
  <c r="B9678" i="10"/>
  <c r="A9678" i="10"/>
  <c r="E9677" i="10"/>
  <c r="D9677" i="10"/>
  <c r="C9677" i="10"/>
  <c r="B9677" i="10"/>
  <c r="A9677" i="10"/>
  <c r="E9676" i="10"/>
  <c r="D9676" i="10"/>
  <c r="C9676" i="10"/>
  <c r="B9676" i="10"/>
  <c r="A9676" i="10"/>
  <c r="E9675" i="10"/>
  <c r="D9675" i="10"/>
  <c r="C9675" i="10"/>
  <c r="B9675" i="10"/>
  <c r="A9675" i="10"/>
  <c r="E9674" i="10"/>
  <c r="D9674" i="10"/>
  <c r="C9674" i="10"/>
  <c r="B9674" i="10"/>
  <c r="A9674" i="10"/>
  <c r="E9673" i="10"/>
  <c r="D9673" i="10"/>
  <c r="C9673" i="10"/>
  <c r="B9673" i="10"/>
  <c r="A9673" i="10"/>
  <c r="E9672" i="10"/>
  <c r="D9672" i="10"/>
  <c r="C9672" i="10"/>
  <c r="B9672" i="10"/>
  <c r="A9672" i="10"/>
  <c r="E9671" i="10"/>
  <c r="D9671" i="10"/>
  <c r="C9671" i="10"/>
  <c r="B9671" i="10"/>
  <c r="A9671" i="10"/>
  <c r="E9670" i="10"/>
  <c r="D9670" i="10"/>
  <c r="C9670" i="10"/>
  <c r="B9670" i="10"/>
  <c r="A9670" i="10"/>
  <c r="E9669" i="10"/>
  <c r="D9669" i="10"/>
  <c r="C9669" i="10"/>
  <c r="B9669" i="10"/>
  <c r="A9669" i="10"/>
  <c r="E9668" i="10"/>
  <c r="D9668" i="10"/>
  <c r="C9668" i="10"/>
  <c r="B9668" i="10"/>
  <c r="A9668" i="10"/>
  <c r="E9667" i="10"/>
  <c r="D9667" i="10"/>
  <c r="C9667" i="10"/>
  <c r="B9667" i="10"/>
  <c r="A9667" i="10"/>
  <c r="E9666" i="10"/>
  <c r="D9666" i="10"/>
  <c r="C9666" i="10"/>
  <c r="B9666" i="10"/>
  <c r="A9666" i="10"/>
  <c r="E9665" i="10"/>
  <c r="D9665" i="10"/>
  <c r="C9665" i="10"/>
  <c r="B9665" i="10"/>
  <c r="A9665" i="10"/>
  <c r="E9664" i="10"/>
  <c r="D9664" i="10"/>
  <c r="C9664" i="10"/>
  <c r="B9664" i="10"/>
  <c r="A9664" i="10"/>
  <c r="E9663" i="10"/>
  <c r="D9663" i="10"/>
  <c r="C9663" i="10"/>
  <c r="B9663" i="10"/>
  <c r="A9663" i="10"/>
  <c r="E9662" i="10"/>
  <c r="D9662" i="10"/>
  <c r="C9662" i="10"/>
  <c r="B9662" i="10"/>
  <c r="A9662" i="10"/>
  <c r="E9661" i="10"/>
  <c r="D9661" i="10"/>
  <c r="C9661" i="10"/>
  <c r="B9661" i="10"/>
  <c r="A9661" i="10"/>
  <c r="E9660" i="10"/>
  <c r="D9660" i="10"/>
  <c r="C9660" i="10"/>
  <c r="B9660" i="10"/>
  <c r="A9660" i="10"/>
  <c r="E9659" i="10"/>
  <c r="D9659" i="10"/>
  <c r="C9659" i="10"/>
  <c r="B9659" i="10"/>
  <c r="A9659" i="10"/>
  <c r="E9658" i="10"/>
  <c r="D9658" i="10"/>
  <c r="C9658" i="10"/>
  <c r="B9658" i="10"/>
  <c r="A9658" i="10"/>
  <c r="E9657" i="10"/>
  <c r="D9657" i="10"/>
  <c r="C9657" i="10"/>
  <c r="B9657" i="10"/>
  <c r="A9657" i="10"/>
  <c r="E9656" i="10"/>
  <c r="D9656" i="10"/>
  <c r="C9656" i="10"/>
  <c r="B9656" i="10"/>
  <c r="A9656" i="10"/>
  <c r="E9655" i="10"/>
  <c r="D9655" i="10"/>
  <c r="C9655" i="10"/>
  <c r="B9655" i="10"/>
  <c r="A9655" i="10"/>
  <c r="E9654" i="10"/>
  <c r="D9654" i="10"/>
  <c r="C9654" i="10"/>
  <c r="B9654" i="10"/>
  <c r="A9654" i="10"/>
  <c r="E9653" i="10"/>
  <c r="D9653" i="10"/>
  <c r="C9653" i="10"/>
  <c r="B9653" i="10"/>
  <c r="A9653" i="10"/>
  <c r="E9652" i="10"/>
  <c r="D9652" i="10"/>
  <c r="C9652" i="10"/>
  <c r="B9652" i="10"/>
  <c r="A9652" i="10"/>
  <c r="E9651" i="10"/>
  <c r="D9651" i="10"/>
  <c r="C9651" i="10"/>
  <c r="B9651" i="10"/>
  <c r="A9651" i="10"/>
  <c r="E9650" i="10"/>
  <c r="D9650" i="10"/>
  <c r="C9650" i="10"/>
  <c r="B9650" i="10"/>
  <c r="A9650" i="10"/>
  <c r="E9649" i="10"/>
  <c r="D9649" i="10"/>
  <c r="C9649" i="10"/>
  <c r="B9649" i="10"/>
  <c r="A9649" i="10"/>
  <c r="E9648" i="10"/>
  <c r="D9648" i="10"/>
  <c r="C9648" i="10"/>
  <c r="B9648" i="10"/>
  <c r="A9648" i="10"/>
  <c r="E9647" i="10"/>
  <c r="D9647" i="10"/>
  <c r="C9647" i="10"/>
  <c r="B9647" i="10"/>
  <c r="A9647" i="10"/>
  <c r="E9646" i="10"/>
  <c r="D9646" i="10"/>
  <c r="C9646" i="10"/>
  <c r="B9646" i="10"/>
  <c r="A9646" i="10"/>
  <c r="E9645" i="10"/>
  <c r="D9645" i="10"/>
  <c r="C9645" i="10"/>
  <c r="B9645" i="10"/>
  <c r="A9645" i="10"/>
  <c r="E9644" i="10"/>
  <c r="D9644" i="10"/>
  <c r="C9644" i="10"/>
  <c r="B9644" i="10"/>
  <c r="A9644" i="10"/>
  <c r="E9643" i="10"/>
  <c r="D9643" i="10"/>
  <c r="C9643" i="10"/>
  <c r="B9643" i="10"/>
  <c r="A9643" i="10"/>
  <c r="E9642" i="10"/>
  <c r="D9642" i="10"/>
  <c r="C9642" i="10"/>
  <c r="B9642" i="10"/>
  <c r="A9642" i="10"/>
  <c r="E9641" i="10"/>
  <c r="D9641" i="10"/>
  <c r="C9641" i="10"/>
  <c r="B9641" i="10"/>
  <c r="A9641" i="10"/>
  <c r="E9640" i="10"/>
  <c r="D9640" i="10"/>
  <c r="C9640" i="10"/>
  <c r="B9640" i="10"/>
  <c r="A9640" i="10"/>
  <c r="E9639" i="10"/>
  <c r="D9639" i="10"/>
  <c r="C9639" i="10"/>
  <c r="B9639" i="10"/>
  <c r="A9639" i="10"/>
  <c r="E9638" i="10"/>
  <c r="D9638" i="10"/>
  <c r="C9638" i="10"/>
  <c r="B9638" i="10"/>
  <c r="A9638" i="10"/>
  <c r="E9637" i="10"/>
  <c r="D9637" i="10"/>
  <c r="C9637" i="10"/>
  <c r="B9637" i="10"/>
  <c r="A9637" i="10"/>
  <c r="E9636" i="10"/>
  <c r="D9636" i="10"/>
  <c r="C9636" i="10"/>
  <c r="B9636" i="10"/>
  <c r="A9636" i="10"/>
  <c r="E9635" i="10"/>
  <c r="D9635" i="10"/>
  <c r="C9635" i="10"/>
  <c r="B9635" i="10"/>
  <c r="A9635" i="10"/>
  <c r="E9634" i="10"/>
  <c r="D9634" i="10"/>
  <c r="C9634" i="10"/>
  <c r="B9634" i="10"/>
  <c r="A9634" i="10"/>
  <c r="E9633" i="10"/>
  <c r="D9633" i="10"/>
  <c r="C9633" i="10"/>
  <c r="B9633" i="10"/>
  <c r="A9633" i="10"/>
  <c r="E9632" i="10"/>
  <c r="D9632" i="10"/>
  <c r="C9632" i="10"/>
  <c r="B9632" i="10"/>
  <c r="A9632" i="10"/>
  <c r="E9631" i="10"/>
  <c r="D9631" i="10"/>
  <c r="C9631" i="10"/>
  <c r="B9631" i="10"/>
  <c r="A9631" i="10"/>
  <c r="E9630" i="10"/>
  <c r="D9630" i="10"/>
  <c r="C9630" i="10"/>
  <c r="B9630" i="10"/>
  <c r="A9630" i="10"/>
  <c r="E9629" i="10"/>
  <c r="D9629" i="10"/>
  <c r="C9629" i="10"/>
  <c r="B9629" i="10"/>
  <c r="A9629" i="10"/>
  <c r="E9628" i="10"/>
  <c r="D9628" i="10"/>
  <c r="C9628" i="10"/>
  <c r="B9628" i="10"/>
  <c r="A9628" i="10"/>
  <c r="E9627" i="10"/>
  <c r="D9627" i="10"/>
  <c r="C9627" i="10"/>
  <c r="B9627" i="10"/>
  <c r="A9627" i="10"/>
  <c r="E9626" i="10"/>
  <c r="D9626" i="10"/>
  <c r="C9626" i="10"/>
  <c r="B9626" i="10"/>
  <c r="A9626" i="10"/>
  <c r="E9625" i="10"/>
  <c r="D9625" i="10"/>
  <c r="C9625" i="10"/>
  <c r="B9625" i="10"/>
  <c r="A9625" i="10"/>
  <c r="E9624" i="10"/>
  <c r="D9624" i="10"/>
  <c r="C9624" i="10"/>
  <c r="B9624" i="10"/>
  <c r="A9624" i="10"/>
  <c r="E9623" i="10"/>
  <c r="D9623" i="10"/>
  <c r="C9623" i="10"/>
  <c r="B9623" i="10"/>
  <c r="A9623" i="10"/>
  <c r="E9622" i="10"/>
  <c r="D9622" i="10"/>
  <c r="C9622" i="10"/>
  <c r="B9622" i="10"/>
  <c r="A9622" i="10"/>
  <c r="E9621" i="10"/>
  <c r="D9621" i="10"/>
  <c r="C9621" i="10"/>
  <c r="B9621" i="10"/>
  <c r="A9621" i="10"/>
  <c r="E9620" i="10"/>
  <c r="D9620" i="10"/>
  <c r="C9620" i="10"/>
  <c r="B9620" i="10"/>
  <c r="A9620" i="10"/>
  <c r="E9619" i="10"/>
  <c r="D9619" i="10"/>
  <c r="C9619" i="10"/>
  <c r="B9619" i="10"/>
  <c r="A9619" i="10"/>
  <c r="E9618" i="10"/>
  <c r="D9618" i="10"/>
  <c r="C9618" i="10"/>
  <c r="B9618" i="10"/>
  <c r="A9618" i="10"/>
  <c r="E9617" i="10"/>
  <c r="D9617" i="10"/>
  <c r="C9617" i="10"/>
  <c r="B9617" i="10"/>
  <c r="A9617" i="10"/>
  <c r="E9616" i="10"/>
  <c r="D9616" i="10"/>
  <c r="C9616" i="10"/>
  <c r="B9616" i="10"/>
  <c r="A9616" i="10"/>
  <c r="E9615" i="10"/>
  <c r="D9615" i="10"/>
  <c r="C9615" i="10"/>
  <c r="B9615" i="10"/>
  <c r="A9615" i="10"/>
  <c r="E9614" i="10"/>
  <c r="D9614" i="10"/>
  <c r="C9614" i="10"/>
  <c r="B9614" i="10"/>
  <c r="A9614" i="10"/>
  <c r="E9613" i="10"/>
  <c r="D9613" i="10"/>
  <c r="C9613" i="10"/>
  <c r="B9613" i="10"/>
  <c r="A9613" i="10"/>
  <c r="E9612" i="10"/>
  <c r="D9612" i="10"/>
  <c r="C9612" i="10"/>
  <c r="B9612" i="10"/>
  <c r="A9612" i="10"/>
  <c r="E9611" i="10"/>
  <c r="D9611" i="10"/>
  <c r="C9611" i="10"/>
  <c r="B9611" i="10"/>
  <c r="A9611" i="10"/>
  <c r="E9610" i="10"/>
  <c r="D9610" i="10"/>
  <c r="C9610" i="10"/>
  <c r="B9610" i="10"/>
  <c r="A9610" i="10"/>
  <c r="E9609" i="10"/>
  <c r="D9609" i="10"/>
  <c r="C9609" i="10"/>
  <c r="B9609" i="10"/>
  <c r="A9609" i="10"/>
  <c r="E9608" i="10"/>
  <c r="D9608" i="10"/>
  <c r="C9608" i="10"/>
  <c r="B9608" i="10"/>
  <c r="A9608" i="10"/>
  <c r="E9607" i="10"/>
  <c r="D9607" i="10"/>
  <c r="C9607" i="10"/>
  <c r="B9607" i="10"/>
  <c r="A9607" i="10"/>
  <c r="E9606" i="10"/>
  <c r="D9606" i="10"/>
  <c r="C9606" i="10"/>
  <c r="B9606" i="10"/>
  <c r="A9606" i="10"/>
  <c r="E9605" i="10"/>
  <c r="D9605" i="10"/>
  <c r="C9605" i="10"/>
  <c r="B9605" i="10"/>
  <c r="A9605" i="10"/>
  <c r="E9604" i="10"/>
  <c r="D9604" i="10"/>
  <c r="C9604" i="10"/>
  <c r="B9604" i="10"/>
  <c r="A9604" i="10"/>
  <c r="E9603" i="10"/>
  <c r="D9603" i="10"/>
  <c r="C9603" i="10"/>
  <c r="B9603" i="10"/>
  <c r="A9603" i="10"/>
  <c r="E9602" i="10"/>
  <c r="D9602" i="10"/>
  <c r="C9602" i="10"/>
  <c r="B9602" i="10"/>
  <c r="A9602" i="10"/>
  <c r="E9601" i="10"/>
  <c r="D9601" i="10"/>
  <c r="C9601" i="10"/>
  <c r="B9601" i="10"/>
  <c r="A9601" i="10"/>
  <c r="E9600" i="10"/>
  <c r="D9600" i="10"/>
  <c r="C9600" i="10"/>
  <c r="B9600" i="10"/>
  <c r="A9600" i="10"/>
  <c r="E9599" i="10"/>
  <c r="D9599" i="10"/>
  <c r="C9599" i="10"/>
  <c r="B9599" i="10"/>
  <c r="A9599" i="10"/>
  <c r="E9598" i="10"/>
  <c r="D9598" i="10"/>
  <c r="C9598" i="10"/>
  <c r="B9598" i="10"/>
  <c r="A9598" i="10"/>
  <c r="E9597" i="10"/>
  <c r="D9597" i="10"/>
  <c r="C9597" i="10"/>
  <c r="B9597" i="10"/>
  <c r="A9597" i="10"/>
  <c r="E9596" i="10"/>
  <c r="D9596" i="10"/>
  <c r="C9596" i="10"/>
  <c r="B9596" i="10"/>
  <c r="A9596" i="10"/>
  <c r="E9595" i="10"/>
  <c r="D9595" i="10"/>
  <c r="C9595" i="10"/>
  <c r="B9595" i="10"/>
  <c r="A9595" i="10"/>
  <c r="E9594" i="10"/>
  <c r="D9594" i="10"/>
  <c r="C9594" i="10"/>
  <c r="B9594" i="10"/>
  <c r="A9594" i="10"/>
  <c r="E9593" i="10"/>
  <c r="D9593" i="10"/>
  <c r="C9593" i="10"/>
  <c r="B9593" i="10"/>
  <c r="A9593" i="10"/>
  <c r="E9592" i="10"/>
  <c r="D9592" i="10"/>
  <c r="C9592" i="10"/>
  <c r="B9592" i="10"/>
  <c r="A9592" i="10"/>
  <c r="E9591" i="10"/>
  <c r="D9591" i="10"/>
  <c r="C9591" i="10"/>
  <c r="B9591" i="10"/>
  <c r="A9591" i="10"/>
  <c r="E9590" i="10"/>
  <c r="D9590" i="10"/>
  <c r="C9590" i="10"/>
  <c r="B9590" i="10"/>
  <c r="A9590" i="10"/>
  <c r="E9589" i="10"/>
  <c r="D9589" i="10"/>
  <c r="C9589" i="10"/>
  <c r="B9589" i="10"/>
  <c r="A9589" i="10"/>
  <c r="E9588" i="10"/>
  <c r="D9588" i="10"/>
  <c r="C9588" i="10"/>
  <c r="B9588" i="10"/>
  <c r="A9588" i="10"/>
  <c r="E9587" i="10"/>
  <c r="D9587" i="10"/>
  <c r="C9587" i="10"/>
  <c r="B9587" i="10"/>
  <c r="A9587" i="10"/>
  <c r="E9586" i="10"/>
  <c r="D9586" i="10"/>
  <c r="C9586" i="10"/>
  <c r="B9586" i="10"/>
  <c r="A9586" i="10"/>
  <c r="E9585" i="10"/>
  <c r="D9585" i="10"/>
  <c r="C9585" i="10"/>
  <c r="B9585" i="10"/>
  <c r="A9585" i="10"/>
  <c r="E9584" i="10"/>
  <c r="D9584" i="10"/>
  <c r="C9584" i="10"/>
  <c r="B9584" i="10"/>
  <c r="A9584" i="10"/>
  <c r="E9583" i="10"/>
  <c r="D9583" i="10"/>
  <c r="C9583" i="10"/>
  <c r="B9583" i="10"/>
  <c r="A9583" i="10"/>
  <c r="E9582" i="10"/>
  <c r="D9582" i="10"/>
  <c r="C9582" i="10"/>
  <c r="B9582" i="10"/>
  <c r="A9582" i="10"/>
  <c r="E9581" i="10"/>
  <c r="D9581" i="10"/>
  <c r="C9581" i="10"/>
  <c r="B9581" i="10"/>
  <c r="A9581" i="10"/>
  <c r="E9580" i="10"/>
  <c r="D9580" i="10"/>
  <c r="C9580" i="10"/>
  <c r="B9580" i="10"/>
  <c r="A9580" i="10"/>
  <c r="E9579" i="10"/>
  <c r="D9579" i="10"/>
  <c r="C9579" i="10"/>
  <c r="B9579" i="10"/>
  <c r="A9579" i="10"/>
  <c r="E9578" i="10"/>
  <c r="D9578" i="10"/>
  <c r="C9578" i="10"/>
  <c r="B9578" i="10"/>
  <c r="A9578" i="10"/>
  <c r="E9577" i="10"/>
  <c r="D9577" i="10"/>
  <c r="C9577" i="10"/>
  <c r="B9577" i="10"/>
  <c r="A9577" i="10"/>
  <c r="E9576" i="10"/>
  <c r="D9576" i="10"/>
  <c r="C9576" i="10"/>
  <c r="B9576" i="10"/>
  <c r="A9576" i="10"/>
  <c r="E9575" i="10"/>
  <c r="D9575" i="10"/>
  <c r="C9575" i="10"/>
  <c r="B9575" i="10"/>
  <c r="A9575" i="10"/>
  <c r="E9574" i="10"/>
  <c r="D9574" i="10"/>
  <c r="C9574" i="10"/>
  <c r="B9574" i="10"/>
  <c r="A9574" i="10"/>
  <c r="E9573" i="10"/>
  <c r="D9573" i="10"/>
  <c r="C9573" i="10"/>
  <c r="B9573" i="10"/>
  <c r="A9573" i="10"/>
  <c r="E9572" i="10"/>
  <c r="D9572" i="10"/>
  <c r="C9572" i="10"/>
  <c r="B9572" i="10"/>
  <c r="A9572" i="10"/>
  <c r="E9571" i="10"/>
  <c r="D9571" i="10"/>
  <c r="C9571" i="10"/>
  <c r="B9571" i="10"/>
  <c r="A9571" i="10"/>
  <c r="E9570" i="10"/>
  <c r="D9570" i="10"/>
  <c r="C9570" i="10"/>
  <c r="B9570" i="10"/>
  <c r="A9570" i="10"/>
  <c r="E9569" i="10"/>
  <c r="D9569" i="10"/>
  <c r="C9569" i="10"/>
  <c r="B9569" i="10"/>
  <c r="A9569" i="10"/>
  <c r="E9568" i="10"/>
  <c r="D9568" i="10"/>
  <c r="C9568" i="10"/>
  <c r="B9568" i="10"/>
  <c r="A9568" i="10"/>
  <c r="E9567" i="10"/>
  <c r="D9567" i="10"/>
  <c r="C9567" i="10"/>
  <c r="B9567" i="10"/>
  <c r="A9567" i="10"/>
  <c r="E9566" i="10"/>
  <c r="D9566" i="10"/>
  <c r="C9566" i="10"/>
  <c r="B9566" i="10"/>
  <c r="A9566" i="10"/>
  <c r="E9565" i="10"/>
  <c r="D9565" i="10"/>
  <c r="C9565" i="10"/>
  <c r="B9565" i="10"/>
  <c r="A9565" i="10"/>
  <c r="E9564" i="10"/>
  <c r="D9564" i="10"/>
  <c r="C9564" i="10"/>
  <c r="B9564" i="10"/>
  <c r="A9564" i="10"/>
  <c r="E9563" i="10"/>
  <c r="D9563" i="10"/>
  <c r="C9563" i="10"/>
  <c r="B9563" i="10"/>
  <c r="A9563" i="10"/>
  <c r="E9562" i="10"/>
  <c r="D9562" i="10"/>
  <c r="C9562" i="10"/>
  <c r="B9562" i="10"/>
  <c r="A9562" i="10"/>
  <c r="E9561" i="10"/>
  <c r="D9561" i="10"/>
  <c r="C9561" i="10"/>
  <c r="B9561" i="10"/>
  <c r="A9561" i="10"/>
  <c r="E9560" i="10"/>
  <c r="D9560" i="10"/>
  <c r="C9560" i="10"/>
  <c r="B9560" i="10"/>
  <c r="A9560" i="10"/>
  <c r="E9559" i="10"/>
  <c r="D9559" i="10"/>
  <c r="C9559" i="10"/>
  <c r="B9559" i="10"/>
  <c r="A9559" i="10"/>
  <c r="E9558" i="10"/>
  <c r="D9558" i="10"/>
  <c r="C9558" i="10"/>
  <c r="B9558" i="10"/>
  <c r="A9558" i="10"/>
  <c r="E9557" i="10"/>
  <c r="D9557" i="10"/>
  <c r="C9557" i="10"/>
  <c r="B9557" i="10"/>
  <c r="A9557" i="10"/>
  <c r="E9556" i="10"/>
  <c r="D9556" i="10"/>
  <c r="C9556" i="10"/>
  <c r="B9556" i="10"/>
  <c r="A9556" i="10"/>
  <c r="E9555" i="10"/>
  <c r="D9555" i="10"/>
  <c r="C9555" i="10"/>
  <c r="B9555" i="10"/>
  <c r="A9555" i="10"/>
  <c r="E9554" i="10"/>
  <c r="D9554" i="10"/>
  <c r="C9554" i="10"/>
  <c r="B9554" i="10"/>
  <c r="A9554" i="10"/>
  <c r="E9553" i="10"/>
  <c r="D9553" i="10"/>
  <c r="C9553" i="10"/>
  <c r="B9553" i="10"/>
  <c r="A9553" i="10"/>
  <c r="E9552" i="10"/>
  <c r="D9552" i="10"/>
  <c r="C9552" i="10"/>
  <c r="B9552" i="10"/>
  <c r="A9552" i="10"/>
  <c r="E9551" i="10"/>
  <c r="D9551" i="10"/>
  <c r="C9551" i="10"/>
  <c r="B9551" i="10"/>
  <c r="A9551" i="10"/>
  <c r="E9550" i="10"/>
  <c r="D9550" i="10"/>
  <c r="C9550" i="10"/>
  <c r="B9550" i="10"/>
  <c r="A9550" i="10"/>
  <c r="E9549" i="10"/>
  <c r="D9549" i="10"/>
  <c r="C9549" i="10"/>
  <c r="B9549" i="10"/>
  <c r="A9549" i="10"/>
  <c r="E9548" i="10"/>
  <c r="D9548" i="10"/>
  <c r="C9548" i="10"/>
  <c r="B9548" i="10"/>
  <c r="A9548" i="10"/>
  <c r="E9547" i="10"/>
  <c r="D9547" i="10"/>
  <c r="C9547" i="10"/>
  <c r="B9547" i="10"/>
  <c r="A9547" i="10"/>
  <c r="E9546" i="10"/>
  <c r="D9546" i="10"/>
  <c r="C9546" i="10"/>
  <c r="B9546" i="10"/>
  <c r="A9546" i="10"/>
  <c r="E9545" i="10"/>
  <c r="D9545" i="10"/>
  <c r="C9545" i="10"/>
  <c r="B9545" i="10"/>
  <c r="A9545" i="10"/>
  <c r="E9544" i="10"/>
  <c r="D9544" i="10"/>
  <c r="C9544" i="10"/>
  <c r="B9544" i="10"/>
  <c r="A9544" i="10"/>
  <c r="E9543" i="10"/>
  <c r="D9543" i="10"/>
  <c r="C9543" i="10"/>
  <c r="B9543" i="10"/>
  <c r="A9543" i="10"/>
  <c r="E9542" i="10"/>
  <c r="D9542" i="10"/>
  <c r="C9542" i="10"/>
  <c r="B9542" i="10"/>
  <c r="A9542" i="10"/>
  <c r="E9541" i="10"/>
  <c r="D9541" i="10"/>
  <c r="C9541" i="10"/>
  <c r="B9541" i="10"/>
  <c r="A9541" i="10"/>
  <c r="E9540" i="10"/>
  <c r="D9540" i="10"/>
  <c r="C9540" i="10"/>
  <c r="B9540" i="10"/>
  <c r="A9540" i="10"/>
  <c r="E9539" i="10"/>
  <c r="D9539" i="10"/>
  <c r="C9539" i="10"/>
  <c r="B9539" i="10"/>
  <c r="A9539" i="10"/>
  <c r="E9538" i="10"/>
  <c r="D9538" i="10"/>
  <c r="C9538" i="10"/>
  <c r="B9538" i="10"/>
  <c r="A9538" i="10"/>
  <c r="E9537" i="10"/>
  <c r="D9537" i="10"/>
  <c r="C9537" i="10"/>
  <c r="B9537" i="10"/>
  <c r="A9537" i="10"/>
  <c r="E9536" i="10"/>
  <c r="D9536" i="10"/>
  <c r="C9536" i="10"/>
  <c r="B9536" i="10"/>
  <c r="A9536" i="10"/>
  <c r="E9535" i="10"/>
  <c r="D9535" i="10"/>
  <c r="C9535" i="10"/>
  <c r="B9535" i="10"/>
  <c r="A9535" i="10"/>
  <c r="E9534" i="10"/>
  <c r="D9534" i="10"/>
  <c r="C9534" i="10"/>
  <c r="B9534" i="10"/>
  <c r="A9534" i="10"/>
  <c r="E9533" i="10"/>
  <c r="D9533" i="10"/>
  <c r="C9533" i="10"/>
  <c r="B9533" i="10"/>
  <c r="A9533" i="10"/>
  <c r="E9532" i="10"/>
  <c r="D9532" i="10"/>
  <c r="C9532" i="10"/>
  <c r="B9532" i="10"/>
  <c r="A9532" i="10"/>
  <c r="E9531" i="10"/>
  <c r="D9531" i="10"/>
  <c r="C9531" i="10"/>
  <c r="B9531" i="10"/>
  <c r="A9531" i="10"/>
  <c r="E9530" i="10"/>
  <c r="D9530" i="10"/>
  <c r="C9530" i="10"/>
  <c r="B9530" i="10"/>
  <c r="A9530" i="10"/>
  <c r="E9529" i="10"/>
  <c r="D9529" i="10"/>
  <c r="C9529" i="10"/>
  <c r="B9529" i="10"/>
  <c r="A9529" i="10"/>
  <c r="E9528" i="10"/>
  <c r="D9528" i="10"/>
  <c r="C9528" i="10"/>
  <c r="B9528" i="10"/>
  <c r="A9528" i="10"/>
  <c r="E9527" i="10"/>
  <c r="D9527" i="10"/>
  <c r="C9527" i="10"/>
  <c r="B9527" i="10"/>
  <c r="A9527" i="10"/>
  <c r="E9526" i="10"/>
  <c r="D9526" i="10"/>
  <c r="C9526" i="10"/>
  <c r="B9526" i="10"/>
  <c r="A9526" i="10"/>
  <c r="E9525" i="10"/>
  <c r="D9525" i="10"/>
  <c r="C9525" i="10"/>
  <c r="B9525" i="10"/>
  <c r="A9525" i="10"/>
  <c r="E9524" i="10"/>
  <c r="D9524" i="10"/>
  <c r="C9524" i="10"/>
  <c r="B9524" i="10"/>
  <c r="A9524" i="10"/>
  <c r="E9523" i="10"/>
  <c r="D9523" i="10"/>
  <c r="C9523" i="10"/>
  <c r="B9523" i="10"/>
  <c r="A9523" i="10"/>
  <c r="E9522" i="10"/>
  <c r="D9522" i="10"/>
  <c r="C9522" i="10"/>
  <c r="B9522" i="10"/>
  <c r="A9522" i="10"/>
  <c r="E9521" i="10"/>
  <c r="D9521" i="10"/>
  <c r="C9521" i="10"/>
  <c r="B9521" i="10"/>
  <c r="A9521" i="10"/>
  <c r="E9520" i="10"/>
  <c r="D9520" i="10"/>
  <c r="C9520" i="10"/>
  <c r="B9520" i="10"/>
  <c r="A9520" i="10"/>
  <c r="E9519" i="10"/>
  <c r="D9519" i="10"/>
  <c r="C9519" i="10"/>
  <c r="B9519" i="10"/>
  <c r="A9519" i="10"/>
  <c r="E9518" i="10"/>
  <c r="D9518" i="10"/>
  <c r="C9518" i="10"/>
  <c r="B9518" i="10"/>
  <c r="A9518" i="10"/>
  <c r="E9517" i="10"/>
  <c r="D9517" i="10"/>
  <c r="C9517" i="10"/>
  <c r="B9517" i="10"/>
  <c r="A9517" i="10"/>
  <c r="E9516" i="10"/>
  <c r="D9516" i="10"/>
  <c r="C9516" i="10"/>
  <c r="B9516" i="10"/>
  <c r="A9516" i="10"/>
  <c r="E9515" i="10"/>
  <c r="D9515" i="10"/>
  <c r="C9515" i="10"/>
  <c r="B9515" i="10"/>
  <c r="A9515" i="10"/>
  <c r="E9514" i="10"/>
  <c r="D9514" i="10"/>
  <c r="C9514" i="10"/>
  <c r="B9514" i="10"/>
  <c r="A9514" i="10"/>
  <c r="E9513" i="10"/>
  <c r="D9513" i="10"/>
  <c r="C9513" i="10"/>
  <c r="B9513" i="10"/>
  <c r="A9513" i="10"/>
  <c r="E9512" i="10"/>
  <c r="D9512" i="10"/>
  <c r="C9512" i="10"/>
  <c r="B9512" i="10"/>
  <c r="A9512" i="10"/>
  <c r="E9511" i="10"/>
  <c r="D9511" i="10"/>
  <c r="C9511" i="10"/>
  <c r="B9511" i="10"/>
  <c r="A9511" i="10"/>
  <c r="E9510" i="10"/>
  <c r="D9510" i="10"/>
  <c r="C9510" i="10"/>
  <c r="B9510" i="10"/>
  <c r="A9510" i="10"/>
  <c r="E9509" i="10"/>
  <c r="D9509" i="10"/>
  <c r="C9509" i="10"/>
  <c r="B9509" i="10"/>
  <c r="A9509" i="10"/>
  <c r="E9508" i="10"/>
  <c r="D9508" i="10"/>
  <c r="C9508" i="10"/>
  <c r="B9508" i="10"/>
  <c r="A9508" i="10"/>
  <c r="E9507" i="10"/>
  <c r="D9507" i="10"/>
  <c r="C9507" i="10"/>
  <c r="B9507" i="10"/>
  <c r="A9507" i="10"/>
  <c r="E9506" i="10"/>
  <c r="D9506" i="10"/>
  <c r="C9506" i="10"/>
  <c r="B9506" i="10"/>
  <c r="A9506" i="10"/>
  <c r="E9505" i="10"/>
  <c r="D9505" i="10"/>
  <c r="C9505" i="10"/>
  <c r="B9505" i="10"/>
  <c r="A9505" i="10"/>
  <c r="E9504" i="10"/>
  <c r="D9504" i="10"/>
  <c r="C9504" i="10"/>
  <c r="B9504" i="10"/>
  <c r="A9504" i="10"/>
  <c r="E9503" i="10"/>
  <c r="D9503" i="10"/>
  <c r="C9503" i="10"/>
  <c r="B9503" i="10"/>
  <c r="A9503" i="10"/>
  <c r="E9502" i="10"/>
  <c r="D9502" i="10"/>
  <c r="C9502" i="10"/>
  <c r="B9502" i="10"/>
  <c r="A9502" i="10"/>
  <c r="E9501" i="10"/>
  <c r="D9501" i="10"/>
  <c r="C9501" i="10"/>
  <c r="B9501" i="10"/>
  <c r="A9501" i="10"/>
  <c r="E9500" i="10"/>
  <c r="D9500" i="10"/>
  <c r="C9500" i="10"/>
  <c r="B9500" i="10"/>
  <c r="A9500" i="10"/>
  <c r="E9499" i="10"/>
  <c r="D9499" i="10"/>
  <c r="C9499" i="10"/>
  <c r="B9499" i="10"/>
  <c r="A9499" i="10"/>
  <c r="E9498" i="10"/>
  <c r="D9498" i="10"/>
  <c r="C9498" i="10"/>
  <c r="B9498" i="10"/>
  <c r="A9498" i="10"/>
  <c r="E9497" i="10"/>
  <c r="D9497" i="10"/>
  <c r="C9497" i="10"/>
  <c r="B9497" i="10"/>
  <c r="A9497" i="10"/>
  <c r="E9496" i="10"/>
  <c r="D9496" i="10"/>
  <c r="C9496" i="10"/>
  <c r="B9496" i="10"/>
  <c r="A9496" i="10"/>
  <c r="E9495" i="10"/>
  <c r="D9495" i="10"/>
  <c r="C9495" i="10"/>
  <c r="B9495" i="10"/>
  <c r="A9495" i="10"/>
  <c r="E9494" i="10"/>
  <c r="D9494" i="10"/>
  <c r="C9494" i="10"/>
  <c r="B9494" i="10"/>
  <c r="A9494" i="10"/>
  <c r="E9493" i="10"/>
  <c r="D9493" i="10"/>
  <c r="C9493" i="10"/>
  <c r="B9493" i="10"/>
  <c r="A9493" i="10"/>
  <c r="E9492" i="10"/>
  <c r="D9492" i="10"/>
  <c r="C9492" i="10"/>
  <c r="B9492" i="10"/>
  <c r="A9492" i="10"/>
  <c r="E9491" i="10"/>
  <c r="D9491" i="10"/>
  <c r="C9491" i="10"/>
  <c r="B9491" i="10"/>
  <c r="A9491" i="10"/>
  <c r="E9490" i="10"/>
  <c r="D9490" i="10"/>
  <c r="C9490" i="10"/>
  <c r="B9490" i="10"/>
  <c r="A9490" i="10"/>
  <c r="E9489" i="10"/>
  <c r="D9489" i="10"/>
  <c r="C9489" i="10"/>
  <c r="B9489" i="10"/>
  <c r="A9489" i="10"/>
  <c r="E9488" i="10"/>
  <c r="D9488" i="10"/>
  <c r="C9488" i="10"/>
  <c r="B9488" i="10"/>
  <c r="A9488" i="10"/>
  <c r="E9487" i="10"/>
  <c r="D9487" i="10"/>
  <c r="C9487" i="10"/>
  <c r="B9487" i="10"/>
  <c r="A9487" i="10"/>
  <c r="E9486" i="10"/>
  <c r="D9486" i="10"/>
  <c r="C9486" i="10"/>
  <c r="B9486" i="10"/>
  <c r="A9486" i="10"/>
  <c r="E9485" i="10"/>
  <c r="D9485" i="10"/>
  <c r="C9485" i="10"/>
  <c r="B9485" i="10"/>
  <c r="A9485" i="10"/>
  <c r="E9484" i="10"/>
  <c r="D9484" i="10"/>
  <c r="C9484" i="10"/>
  <c r="B9484" i="10"/>
  <c r="A9484" i="10"/>
  <c r="E9483" i="10"/>
  <c r="D9483" i="10"/>
  <c r="C9483" i="10"/>
  <c r="B9483" i="10"/>
  <c r="A9483" i="10"/>
  <c r="E9482" i="10"/>
  <c r="D9482" i="10"/>
  <c r="C9482" i="10"/>
  <c r="B9482" i="10"/>
  <c r="A9482" i="10"/>
  <c r="E9481" i="10"/>
  <c r="D9481" i="10"/>
  <c r="C9481" i="10"/>
  <c r="B9481" i="10"/>
  <c r="A9481" i="10"/>
  <c r="E9480" i="10"/>
  <c r="D9480" i="10"/>
  <c r="C9480" i="10"/>
  <c r="B9480" i="10"/>
  <c r="A9480" i="10"/>
  <c r="E9479" i="10"/>
  <c r="D9479" i="10"/>
  <c r="C9479" i="10"/>
  <c r="B9479" i="10"/>
  <c r="A9479" i="10"/>
  <c r="E9478" i="10"/>
  <c r="D9478" i="10"/>
  <c r="C9478" i="10"/>
  <c r="B9478" i="10"/>
  <c r="A9478" i="10"/>
  <c r="E9477" i="10"/>
  <c r="D9477" i="10"/>
  <c r="C9477" i="10"/>
  <c r="B9477" i="10"/>
  <c r="A9477" i="10"/>
  <c r="E9476" i="10"/>
  <c r="D9476" i="10"/>
  <c r="C9476" i="10"/>
  <c r="B9476" i="10"/>
  <c r="A9476" i="10"/>
  <c r="E9475" i="10"/>
  <c r="D9475" i="10"/>
  <c r="C9475" i="10"/>
  <c r="B9475" i="10"/>
  <c r="A9475" i="10"/>
  <c r="E9474" i="10"/>
  <c r="D9474" i="10"/>
  <c r="C9474" i="10"/>
  <c r="B9474" i="10"/>
  <c r="A9474" i="10"/>
  <c r="E9473" i="10"/>
  <c r="D9473" i="10"/>
  <c r="C9473" i="10"/>
  <c r="B9473" i="10"/>
  <c r="A9473" i="10"/>
  <c r="E9472" i="10"/>
  <c r="D9472" i="10"/>
  <c r="C9472" i="10"/>
  <c r="B9472" i="10"/>
  <c r="A9472" i="10"/>
  <c r="E9471" i="10"/>
  <c r="D9471" i="10"/>
  <c r="C9471" i="10"/>
  <c r="B9471" i="10"/>
  <c r="A9471" i="10"/>
  <c r="E9470" i="10"/>
  <c r="D9470" i="10"/>
  <c r="C9470" i="10"/>
  <c r="B9470" i="10"/>
  <c r="A9470" i="10"/>
  <c r="E9469" i="10"/>
  <c r="D9469" i="10"/>
  <c r="C9469" i="10"/>
  <c r="B9469" i="10"/>
  <c r="A9469" i="10"/>
  <c r="E9468" i="10"/>
  <c r="D9468" i="10"/>
  <c r="C9468" i="10"/>
  <c r="B9468" i="10"/>
  <c r="A9468" i="10"/>
  <c r="E9467" i="10"/>
  <c r="D9467" i="10"/>
  <c r="C9467" i="10"/>
  <c r="B9467" i="10"/>
  <c r="A9467" i="10"/>
  <c r="E9466" i="10"/>
  <c r="D9466" i="10"/>
  <c r="C9466" i="10"/>
  <c r="B9466" i="10"/>
  <c r="A9466" i="10"/>
  <c r="E9465" i="10"/>
  <c r="D9465" i="10"/>
  <c r="C9465" i="10"/>
  <c r="B9465" i="10"/>
  <c r="A9465" i="10"/>
  <c r="E9464" i="10"/>
  <c r="D9464" i="10"/>
  <c r="C9464" i="10"/>
  <c r="B9464" i="10"/>
  <c r="A9464" i="10"/>
  <c r="E9463" i="10"/>
  <c r="D9463" i="10"/>
  <c r="C9463" i="10"/>
  <c r="B9463" i="10"/>
  <c r="A9463" i="10"/>
  <c r="E9462" i="10"/>
  <c r="D9462" i="10"/>
  <c r="C9462" i="10"/>
  <c r="B9462" i="10"/>
  <c r="A9462" i="10"/>
  <c r="E9461" i="10"/>
  <c r="D9461" i="10"/>
  <c r="C9461" i="10"/>
  <c r="B9461" i="10"/>
  <c r="A9461" i="10"/>
  <c r="E9460" i="10"/>
  <c r="D9460" i="10"/>
  <c r="C9460" i="10"/>
  <c r="B9460" i="10"/>
  <c r="A9460" i="10"/>
  <c r="E9459" i="10"/>
  <c r="D9459" i="10"/>
  <c r="C9459" i="10"/>
  <c r="B9459" i="10"/>
  <c r="A9459" i="10"/>
  <c r="E9458" i="10"/>
  <c r="D9458" i="10"/>
  <c r="C9458" i="10"/>
  <c r="B9458" i="10"/>
  <c r="A9458" i="10"/>
  <c r="E9457" i="10"/>
  <c r="D9457" i="10"/>
  <c r="C9457" i="10"/>
  <c r="B9457" i="10"/>
  <c r="A9457" i="10"/>
  <c r="E9456" i="10"/>
  <c r="D9456" i="10"/>
  <c r="C9456" i="10"/>
  <c r="B9456" i="10"/>
  <c r="A9456" i="10"/>
  <c r="E9455" i="10"/>
  <c r="D9455" i="10"/>
  <c r="C9455" i="10"/>
  <c r="B9455" i="10"/>
  <c r="A9455" i="10"/>
  <c r="E9454" i="10"/>
  <c r="D9454" i="10"/>
  <c r="C9454" i="10"/>
  <c r="B9454" i="10"/>
  <c r="A9454" i="10"/>
  <c r="E9453" i="10"/>
  <c r="D9453" i="10"/>
  <c r="C9453" i="10"/>
  <c r="B9453" i="10"/>
  <c r="A9453" i="10"/>
  <c r="E9452" i="10"/>
  <c r="D9452" i="10"/>
  <c r="C9452" i="10"/>
  <c r="B9452" i="10"/>
  <c r="A9452" i="10"/>
  <c r="E9451" i="10"/>
  <c r="D9451" i="10"/>
  <c r="C9451" i="10"/>
  <c r="B9451" i="10"/>
  <c r="A9451" i="10"/>
  <c r="E9450" i="10"/>
  <c r="D9450" i="10"/>
  <c r="C9450" i="10"/>
  <c r="B9450" i="10"/>
  <c r="A9450" i="10"/>
  <c r="E9449" i="10"/>
  <c r="D9449" i="10"/>
  <c r="C9449" i="10"/>
  <c r="B9449" i="10"/>
  <c r="A9449" i="10"/>
  <c r="E9448" i="10"/>
  <c r="D9448" i="10"/>
  <c r="C9448" i="10"/>
  <c r="B9448" i="10"/>
  <c r="A9448" i="10"/>
  <c r="E9447" i="10"/>
  <c r="D9447" i="10"/>
  <c r="C9447" i="10"/>
  <c r="B9447" i="10"/>
  <c r="A9447" i="10"/>
  <c r="E9446" i="10"/>
  <c r="D9446" i="10"/>
  <c r="C9446" i="10"/>
  <c r="B9446" i="10"/>
  <c r="A9446" i="10"/>
  <c r="E9445" i="10"/>
  <c r="D9445" i="10"/>
  <c r="C9445" i="10"/>
  <c r="B9445" i="10"/>
  <c r="A9445" i="10"/>
  <c r="E9444" i="10"/>
  <c r="D9444" i="10"/>
  <c r="C9444" i="10"/>
  <c r="B9444" i="10"/>
  <c r="A9444" i="10"/>
  <c r="E9443" i="10"/>
  <c r="D9443" i="10"/>
  <c r="C9443" i="10"/>
  <c r="B9443" i="10"/>
  <c r="A9443" i="10"/>
  <c r="E9442" i="10"/>
  <c r="D9442" i="10"/>
  <c r="C9442" i="10"/>
  <c r="B9442" i="10"/>
  <c r="A9442" i="10"/>
  <c r="E9441" i="10"/>
  <c r="D9441" i="10"/>
  <c r="C9441" i="10"/>
  <c r="B9441" i="10"/>
  <c r="A9441" i="10"/>
  <c r="E9440" i="10"/>
  <c r="D9440" i="10"/>
  <c r="C9440" i="10"/>
  <c r="B9440" i="10"/>
  <c r="A9440" i="10"/>
  <c r="E9439" i="10"/>
  <c r="D9439" i="10"/>
  <c r="C9439" i="10"/>
  <c r="B9439" i="10"/>
  <c r="A9439" i="10"/>
  <c r="E9438" i="10"/>
  <c r="D9438" i="10"/>
  <c r="C9438" i="10"/>
  <c r="B9438" i="10"/>
  <c r="A9438" i="10"/>
  <c r="E9437" i="10"/>
  <c r="D9437" i="10"/>
  <c r="C9437" i="10"/>
  <c r="B9437" i="10"/>
  <c r="A9437" i="10"/>
  <c r="E9436" i="10"/>
  <c r="D9436" i="10"/>
  <c r="C9436" i="10"/>
  <c r="B9436" i="10"/>
  <c r="A9436" i="10"/>
  <c r="E9435" i="10"/>
  <c r="D9435" i="10"/>
  <c r="C9435" i="10"/>
  <c r="B9435" i="10"/>
  <c r="A9435" i="10"/>
  <c r="E9434" i="10"/>
  <c r="D9434" i="10"/>
  <c r="C9434" i="10"/>
  <c r="B9434" i="10"/>
  <c r="A9434" i="10"/>
  <c r="E9433" i="10"/>
  <c r="D9433" i="10"/>
  <c r="C9433" i="10"/>
  <c r="B9433" i="10"/>
  <c r="A9433" i="10"/>
  <c r="E9432" i="10"/>
  <c r="D9432" i="10"/>
  <c r="C9432" i="10"/>
  <c r="B9432" i="10"/>
  <c r="A9432" i="10"/>
  <c r="E9431" i="10"/>
  <c r="D9431" i="10"/>
  <c r="C9431" i="10"/>
  <c r="B9431" i="10"/>
  <c r="A9431" i="10"/>
  <c r="E9430" i="10"/>
  <c r="D9430" i="10"/>
  <c r="C9430" i="10"/>
  <c r="B9430" i="10"/>
  <c r="A9430" i="10"/>
  <c r="E9429" i="10"/>
  <c r="D9429" i="10"/>
  <c r="C9429" i="10"/>
  <c r="B9429" i="10"/>
  <c r="A9429" i="10"/>
  <c r="E9428" i="10"/>
  <c r="D9428" i="10"/>
  <c r="C9428" i="10"/>
  <c r="B9428" i="10"/>
  <c r="A9428" i="10"/>
  <c r="E9427" i="10"/>
  <c r="D9427" i="10"/>
  <c r="C9427" i="10"/>
  <c r="B9427" i="10"/>
  <c r="A9427" i="10"/>
  <c r="E9426" i="10"/>
  <c r="D9426" i="10"/>
  <c r="C9426" i="10"/>
  <c r="B9426" i="10"/>
  <c r="A9426" i="10"/>
  <c r="E9425" i="10"/>
  <c r="D9425" i="10"/>
  <c r="C9425" i="10"/>
  <c r="B9425" i="10"/>
  <c r="A9425" i="10"/>
  <c r="E9424" i="10"/>
  <c r="D9424" i="10"/>
  <c r="C9424" i="10"/>
  <c r="B9424" i="10"/>
  <c r="A9424" i="10"/>
  <c r="E9423" i="10"/>
  <c r="D9423" i="10"/>
  <c r="C9423" i="10"/>
  <c r="B9423" i="10"/>
  <c r="A9423" i="10"/>
  <c r="E9422" i="10"/>
  <c r="D9422" i="10"/>
  <c r="C9422" i="10"/>
  <c r="B9422" i="10"/>
  <c r="A9422" i="10"/>
  <c r="E9421" i="10"/>
  <c r="D9421" i="10"/>
  <c r="C9421" i="10"/>
  <c r="B9421" i="10"/>
  <c r="A9421" i="10"/>
  <c r="E9420" i="10"/>
  <c r="D9420" i="10"/>
  <c r="C9420" i="10"/>
  <c r="B9420" i="10"/>
  <c r="A9420" i="10"/>
  <c r="E9419" i="10"/>
  <c r="D9419" i="10"/>
  <c r="C9419" i="10"/>
  <c r="B9419" i="10"/>
  <c r="A9419" i="10"/>
  <c r="E9418" i="10"/>
  <c r="D9418" i="10"/>
  <c r="C9418" i="10"/>
  <c r="B9418" i="10"/>
  <c r="A9418" i="10"/>
  <c r="E9417" i="10"/>
  <c r="D9417" i="10"/>
  <c r="C9417" i="10"/>
  <c r="B9417" i="10"/>
  <c r="A9417" i="10"/>
  <c r="E9416" i="10"/>
  <c r="D9416" i="10"/>
  <c r="C9416" i="10"/>
  <c r="B9416" i="10"/>
  <c r="A9416" i="10"/>
  <c r="E9415" i="10"/>
  <c r="D9415" i="10"/>
  <c r="C9415" i="10"/>
  <c r="B9415" i="10"/>
  <c r="A9415" i="10"/>
  <c r="E9414" i="10"/>
  <c r="D9414" i="10"/>
  <c r="C9414" i="10"/>
  <c r="B9414" i="10"/>
  <c r="A9414" i="10"/>
  <c r="E9413" i="10"/>
  <c r="D9413" i="10"/>
  <c r="C9413" i="10"/>
  <c r="B9413" i="10"/>
  <c r="A9413" i="10"/>
  <c r="E9412" i="10"/>
  <c r="D9412" i="10"/>
  <c r="C9412" i="10"/>
  <c r="B9412" i="10"/>
  <c r="A9412" i="10"/>
  <c r="E9411" i="10"/>
  <c r="D9411" i="10"/>
  <c r="C9411" i="10"/>
  <c r="B9411" i="10"/>
  <c r="A9411" i="10"/>
  <c r="E9410" i="10"/>
  <c r="D9410" i="10"/>
  <c r="C9410" i="10"/>
  <c r="B9410" i="10"/>
  <c r="A9410" i="10"/>
  <c r="E9409" i="10"/>
  <c r="D9409" i="10"/>
  <c r="C9409" i="10"/>
  <c r="B9409" i="10"/>
  <c r="A9409" i="10"/>
  <c r="E9408" i="10"/>
  <c r="D9408" i="10"/>
  <c r="C9408" i="10"/>
  <c r="B9408" i="10"/>
  <c r="A9408" i="10"/>
  <c r="E9407" i="10"/>
  <c r="D9407" i="10"/>
  <c r="C9407" i="10"/>
  <c r="B9407" i="10"/>
  <c r="A9407" i="10"/>
  <c r="E9406" i="10"/>
  <c r="D9406" i="10"/>
  <c r="C9406" i="10"/>
  <c r="B9406" i="10"/>
  <c r="A9406" i="10"/>
  <c r="E9405" i="10"/>
  <c r="D9405" i="10"/>
  <c r="C9405" i="10"/>
  <c r="B9405" i="10"/>
  <c r="A9405" i="10"/>
  <c r="E9404" i="10"/>
  <c r="D9404" i="10"/>
  <c r="C9404" i="10"/>
  <c r="B9404" i="10"/>
  <c r="A9404" i="10"/>
  <c r="E9403" i="10"/>
  <c r="D9403" i="10"/>
  <c r="C9403" i="10"/>
  <c r="B9403" i="10"/>
  <c r="A9403" i="10"/>
  <c r="E9402" i="10"/>
  <c r="D9402" i="10"/>
  <c r="C9402" i="10"/>
  <c r="B9402" i="10"/>
  <c r="A9402" i="10"/>
  <c r="E9401" i="10"/>
  <c r="D9401" i="10"/>
  <c r="C9401" i="10"/>
  <c r="B9401" i="10"/>
  <c r="A9401" i="10"/>
  <c r="E9400" i="10"/>
  <c r="D9400" i="10"/>
  <c r="C9400" i="10"/>
  <c r="B9400" i="10"/>
  <c r="A9400" i="10"/>
  <c r="E9399" i="10"/>
  <c r="D9399" i="10"/>
  <c r="C9399" i="10"/>
  <c r="B9399" i="10"/>
  <c r="A9399" i="10"/>
  <c r="E9398" i="10"/>
  <c r="D9398" i="10"/>
  <c r="C9398" i="10"/>
  <c r="B9398" i="10"/>
  <c r="A9398" i="10"/>
  <c r="E9397" i="10"/>
  <c r="D9397" i="10"/>
  <c r="C9397" i="10"/>
  <c r="B9397" i="10"/>
  <c r="A9397" i="10"/>
  <c r="E9396" i="10"/>
  <c r="D9396" i="10"/>
  <c r="C9396" i="10"/>
  <c r="B9396" i="10"/>
  <c r="A9396" i="10"/>
  <c r="E9395" i="10"/>
  <c r="D9395" i="10"/>
  <c r="C9395" i="10"/>
  <c r="B9395" i="10"/>
  <c r="A9395" i="10"/>
  <c r="E9394" i="10"/>
  <c r="D9394" i="10"/>
  <c r="C9394" i="10"/>
  <c r="B9394" i="10"/>
  <c r="A9394" i="10"/>
  <c r="E9393" i="10"/>
  <c r="D9393" i="10"/>
  <c r="C9393" i="10"/>
  <c r="B9393" i="10"/>
  <c r="A9393" i="10"/>
  <c r="E9392" i="10"/>
  <c r="D9392" i="10"/>
  <c r="C9392" i="10"/>
  <c r="B9392" i="10"/>
  <c r="A9392" i="10"/>
  <c r="E9391" i="10"/>
  <c r="D9391" i="10"/>
  <c r="C9391" i="10"/>
  <c r="B9391" i="10"/>
  <c r="A9391" i="10"/>
  <c r="E9390" i="10"/>
  <c r="D9390" i="10"/>
  <c r="C9390" i="10"/>
  <c r="B9390" i="10"/>
  <c r="A9390" i="10"/>
  <c r="E9389" i="10"/>
  <c r="D9389" i="10"/>
  <c r="C9389" i="10"/>
  <c r="B9389" i="10"/>
  <c r="A9389" i="10"/>
  <c r="E9388" i="10"/>
  <c r="D9388" i="10"/>
  <c r="C9388" i="10"/>
  <c r="B9388" i="10"/>
  <c r="A9388" i="10"/>
  <c r="E9387" i="10"/>
  <c r="D9387" i="10"/>
  <c r="C9387" i="10"/>
  <c r="B9387" i="10"/>
  <c r="A9387" i="10"/>
  <c r="E9386" i="10"/>
  <c r="D9386" i="10"/>
  <c r="C9386" i="10"/>
  <c r="B9386" i="10"/>
  <c r="A9386" i="10"/>
  <c r="E9385" i="10"/>
  <c r="D9385" i="10"/>
  <c r="C9385" i="10"/>
  <c r="B9385" i="10"/>
  <c r="A9385" i="10"/>
  <c r="E9384" i="10"/>
  <c r="D9384" i="10"/>
  <c r="C9384" i="10"/>
  <c r="B9384" i="10"/>
  <c r="A9384" i="10"/>
  <c r="E9383" i="10"/>
  <c r="D9383" i="10"/>
  <c r="C9383" i="10"/>
  <c r="B9383" i="10"/>
  <c r="A9383" i="10"/>
  <c r="E9382" i="10"/>
  <c r="D9382" i="10"/>
  <c r="C9382" i="10"/>
  <c r="B9382" i="10"/>
  <c r="A9382" i="10"/>
  <c r="E9381" i="10"/>
  <c r="D9381" i="10"/>
  <c r="C9381" i="10"/>
  <c r="B9381" i="10"/>
  <c r="A9381" i="10"/>
  <c r="E9380" i="10"/>
  <c r="D9380" i="10"/>
  <c r="C9380" i="10"/>
  <c r="B9380" i="10"/>
  <c r="A9380" i="10"/>
  <c r="E9379" i="10"/>
  <c r="D9379" i="10"/>
  <c r="C9379" i="10"/>
  <c r="B9379" i="10"/>
  <c r="A9379" i="10"/>
  <c r="E9378" i="10"/>
  <c r="D9378" i="10"/>
  <c r="C9378" i="10"/>
  <c r="B9378" i="10"/>
  <c r="A9378" i="10"/>
  <c r="E9377" i="10"/>
  <c r="D9377" i="10"/>
  <c r="C9377" i="10"/>
  <c r="B9377" i="10"/>
  <c r="A9377" i="10"/>
  <c r="E9376" i="10"/>
  <c r="D9376" i="10"/>
  <c r="C9376" i="10"/>
  <c r="B9376" i="10"/>
  <c r="A9376" i="10"/>
  <c r="E9375" i="10"/>
  <c r="D9375" i="10"/>
  <c r="C9375" i="10"/>
  <c r="B9375" i="10"/>
  <c r="A9375" i="10"/>
  <c r="E9374" i="10"/>
  <c r="D9374" i="10"/>
  <c r="C9374" i="10"/>
  <c r="B9374" i="10"/>
  <c r="A9374" i="10"/>
  <c r="E9373" i="10"/>
  <c r="D9373" i="10"/>
  <c r="C9373" i="10"/>
  <c r="B9373" i="10"/>
  <c r="A9373" i="10"/>
  <c r="E9372" i="10"/>
  <c r="D9372" i="10"/>
  <c r="C9372" i="10"/>
  <c r="B9372" i="10"/>
  <c r="A9372" i="10"/>
  <c r="E9371" i="10"/>
  <c r="D9371" i="10"/>
  <c r="C9371" i="10"/>
  <c r="B9371" i="10"/>
  <c r="A9371" i="10"/>
  <c r="E9370" i="10"/>
  <c r="D9370" i="10"/>
  <c r="C9370" i="10"/>
  <c r="B9370" i="10"/>
  <c r="A9370" i="10"/>
  <c r="E9369" i="10"/>
  <c r="D9369" i="10"/>
  <c r="C9369" i="10"/>
  <c r="B9369" i="10"/>
  <c r="A9369" i="10"/>
  <c r="E9368" i="10"/>
  <c r="D9368" i="10"/>
  <c r="C9368" i="10"/>
  <c r="B9368" i="10"/>
  <c r="A9368" i="10"/>
  <c r="E9367" i="10"/>
  <c r="D9367" i="10"/>
  <c r="C9367" i="10"/>
  <c r="B9367" i="10"/>
  <c r="A9367" i="10"/>
  <c r="E9366" i="10"/>
  <c r="D9366" i="10"/>
  <c r="C9366" i="10"/>
  <c r="B9366" i="10"/>
  <c r="A9366" i="10"/>
  <c r="E9365" i="10"/>
  <c r="D9365" i="10"/>
  <c r="C9365" i="10"/>
  <c r="B9365" i="10"/>
  <c r="A9365" i="10"/>
  <c r="E9364" i="10"/>
  <c r="D9364" i="10"/>
  <c r="C9364" i="10"/>
  <c r="B9364" i="10"/>
  <c r="A9364" i="10"/>
  <c r="E9363" i="10"/>
  <c r="D9363" i="10"/>
  <c r="C9363" i="10"/>
  <c r="B9363" i="10"/>
  <c r="A9363" i="10"/>
  <c r="E9362" i="10"/>
  <c r="D9362" i="10"/>
  <c r="C9362" i="10"/>
  <c r="B9362" i="10"/>
  <c r="A9362" i="10"/>
  <c r="E9361" i="10"/>
  <c r="D9361" i="10"/>
  <c r="C9361" i="10"/>
  <c r="B9361" i="10"/>
  <c r="A9361" i="10"/>
  <c r="E9360" i="10"/>
  <c r="D9360" i="10"/>
  <c r="C9360" i="10"/>
  <c r="B9360" i="10"/>
  <c r="A9360" i="10"/>
  <c r="E9359" i="10"/>
  <c r="D9359" i="10"/>
  <c r="C9359" i="10"/>
  <c r="B9359" i="10"/>
  <c r="A9359" i="10"/>
  <c r="E9358" i="10"/>
  <c r="D9358" i="10"/>
  <c r="C9358" i="10"/>
  <c r="B9358" i="10"/>
  <c r="A9358" i="10"/>
  <c r="E9357" i="10"/>
  <c r="D9357" i="10"/>
  <c r="C9357" i="10"/>
  <c r="B9357" i="10"/>
  <c r="A9357" i="10"/>
  <c r="E9356" i="10"/>
  <c r="D9356" i="10"/>
  <c r="C9356" i="10"/>
  <c r="B9356" i="10"/>
  <c r="A9356" i="10"/>
  <c r="E9355" i="10"/>
  <c r="D9355" i="10"/>
  <c r="C9355" i="10"/>
  <c r="B9355" i="10"/>
  <c r="A9355" i="10"/>
  <c r="E9354" i="10"/>
  <c r="D9354" i="10"/>
  <c r="C9354" i="10"/>
  <c r="B9354" i="10"/>
  <c r="A9354" i="10"/>
  <c r="E9353" i="10"/>
  <c r="D9353" i="10"/>
  <c r="C9353" i="10"/>
  <c r="B9353" i="10"/>
  <c r="A9353" i="10"/>
  <c r="E9352" i="10"/>
  <c r="D9352" i="10"/>
  <c r="C9352" i="10"/>
  <c r="B9352" i="10"/>
  <c r="A9352" i="10"/>
  <c r="E9351" i="10"/>
  <c r="D9351" i="10"/>
  <c r="C9351" i="10"/>
  <c r="B9351" i="10"/>
  <c r="A9351" i="10"/>
  <c r="E9350" i="10"/>
  <c r="D9350" i="10"/>
  <c r="C9350" i="10"/>
  <c r="B9350" i="10"/>
  <c r="A9350" i="10"/>
  <c r="E9349" i="10"/>
  <c r="D9349" i="10"/>
  <c r="C9349" i="10"/>
  <c r="B9349" i="10"/>
  <c r="A9349" i="10"/>
  <c r="E9348" i="10"/>
  <c r="D9348" i="10"/>
  <c r="C9348" i="10"/>
  <c r="B9348" i="10"/>
  <c r="A9348" i="10"/>
  <c r="E9347" i="10"/>
  <c r="D9347" i="10"/>
  <c r="C9347" i="10"/>
  <c r="B9347" i="10"/>
  <c r="A9347" i="10"/>
  <c r="E9346" i="10"/>
  <c r="D9346" i="10"/>
  <c r="C9346" i="10"/>
  <c r="B9346" i="10"/>
  <c r="A9346" i="10"/>
  <c r="E9345" i="10"/>
  <c r="D9345" i="10"/>
  <c r="C9345" i="10"/>
  <c r="B9345" i="10"/>
  <c r="A9345" i="10"/>
  <c r="E9344" i="10"/>
  <c r="D9344" i="10"/>
  <c r="C9344" i="10"/>
  <c r="B9344" i="10"/>
  <c r="A9344" i="10"/>
  <c r="E9343" i="10"/>
  <c r="D9343" i="10"/>
  <c r="C9343" i="10"/>
  <c r="B9343" i="10"/>
  <c r="A9343" i="10"/>
  <c r="E9342" i="10"/>
  <c r="D9342" i="10"/>
  <c r="C9342" i="10"/>
  <c r="B9342" i="10"/>
  <c r="A9342" i="10"/>
  <c r="E9341" i="10"/>
  <c r="D9341" i="10"/>
  <c r="C9341" i="10"/>
  <c r="B9341" i="10"/>
  <c r="A9341" i="10"/>
  <c r="E9340" i="10"/>
  <c r="D9340" i="10"/>
  <c r="C9340" i="10"/>
  <c r="B9340" i="10"/>
  <c r="A9340" i="10"/>
  <c r="E9339" i="10"/>
  <c r="D9339" i="10"/>
  <c r="C9339" i="10"/>
  <c r="B9339" i="10"/>
  <c r="A9339" i="10"/>
  <c r="E9338" i="10"/>
  <c r="D9338" i="10"/>
  <c r="C9338" i="10"/>
  <c r="B9338" i="10"/>
  <c r="A9338" i="10"/>
  <c r="E9337" i="10"/>
  <c r="D9337" i="10"/>
  <c r="C9337" i="10"/>
  <c r="B9337" i="10"/>
  <c r="A9337" i="10"/>
  <c r="E9336" i="10"/>
  <c r="D9336" i="10"/>
  <c r="C9336" i="10"/>
  <c r="B9336" i="10"/>
  <c r="A9336" i="10"/>
  <c r="E9335" i="10"/>
  <c r="D9335" i="10"/>
  <c r="C9335" i="10"/>
  <c r="B9335" i="10"/>
  <c r="A9335" i="10"/>
  <c r="E9334" i="10"/>
  <c r="D9334" i="10"/>
  <c r="C9334" i="10"/>
  <c r="B9334" i="10"/>
  <c r="A9334" i="10"/>
  <c r="E9333" i="10"/>
  <c r="D9333" i="10"/>
  <c r="C9333" i="10"/>
  <c r="B9333" i="10"/>
  <c r="A9333" i="10"/>
  <c r="E9332" i="10"/>
  <c r="D9332" i="10"/>
  <c r="C9332" i="10"/>
  <c r="B9332" i="10"/>
  <c r="A9332" i="10"/>
  <c r="E9331" i="10"/>
  <c r="D9331" i="10"/>
  <c r="C9331" i="10"/>
  <c r="B9331" i="10"/>
  <c r="A9331" i="10"/>
  <c r="E9330" i="10"/>
  <c r="D9330" i="10"/>
  <c r="C9330" i="10"/>
  <c r="B9330" i="10"/>
  <c r="A9330" i="10"/>
  <c r="E9329" i="10"/>
  <c r="D9329" i="10"/>
  <c r="C9329" i="10"/>
  <c r="B9329" i="10"/>
  <c r="A9329" i="10"/>
  <c r="E9328" i="10"/>
  <c r="D9328" i="10"/>
  <c r="C9328" i="10"/>
  <c r="B9328" i="10"/>
  <c r="A9328" i="10"/>
  <c r="E9327" i="10"/>
  <c r="D9327" i="10"/>
  <c r="C9327" i="10"/>
  <c r="B9327" i="10"/>
  <c r="A9327" i="10"/>
  <c r="E9326" i="10"/>
  <c r="D9326" i="10"/>
  <c r="C9326" i="10"/>
  <c r="B9326" i="10"/>
  <c r="A9326" i="10"/>
  <c r="E9325" i="10"/>
  <c r="D9325" i="10"/>
  <c r="C9325" i="10"/>
  <c r="B9325" i="10"/>
  <c r="A9325" i="10"/>
  <c r="E9324" i="10"/>
  <c r="D9324" i="10"/>
  <c r="C9324" i="10"/>
  <c r="B9324" i="10"/>
  <c r="A9324" i="10"/>
  <c r="E9323" i="10"/>
  <c r="D9323" i="10"/>
  <c r="C9323" i="10"/>
  <c r="B9323" i="10"/>
  <c r="A9323" i="10"/>
  <c r="E9322" i="10"/>
  <c r="D9322" i="10"/>
  <c r="C9322" i="10"/>
  <c r="B9322" i="10"/>
  <c r="A9322" i="10"/>
  <c r="E9321" i="10"/>
  <c r="D9321" i="10"/>
  <c r="C9321" i="10"/>
  <c r="B9321" i="10"/>
  <c r="A9321" i="10"/>
  <c r="E9320" i="10"/>
  <c r="D9320" i="10"/>
  <c r="C9320" i="10"/>
  <c r="B9320" i="10"/>
  <c r="A9320" i="10"/>
  <c r="E9319" i="10"/>
  <c r="D9319" i="10"/>
  <c r="C9319" i="10"/>
  <c r="B9319" i="10"/>
  <c r="A9319" i="10"/>
  <c r="E9318" i="10"/>
  <c r="D9318" i="10"/>
  <c r="C9318" i="10"/>
  <c r="B9318" i="10"/>
  <c r="A9318" i="10"/>
  <c r="E9317" i="10"/>
  <c r="D9317" i="10"/>
  <c r="C9317" i="10"/>
  <c r="B9317" i="10"/>
  <c r="A9317" i="10"/>
  <c r="E9316" i="10"/>
  <c r="D9316" i="10"/>
  <c r="C9316" i="10"/>
  <c r="B9316" i="10"/>
  <c r="A9316" i="10"/>
  <c r="E9315" i="10"/>
  <c r="D9315" i="10"/>
  <c r="C9315" i="10"/>
  <c r="B9315" i="10"/>
  <c r="A9315" i="10"/>
  <c r="E9314" i="10"/>
  <c r="D9314" i="10"/>
  <c r="C9314" i="10"/>
  <c r="B9314" i="10"/>
  <c r="A9314" i="10"/>
  <c r="E9313" i="10"/>
  <c r="D9313" i="10"/>
  <c r="C9313" i="10"/>
  <c r="B9313" i="10"/>
  <c r="A9313" i="10"/>
  <c r="E9312" i="10"/>
  <c r="D9312" i="10"/>
  <c r="C9312" i="10"/>
  <c r="B9312" i="10"/>
  <c r="A9312" i="10"/>
  <c r="E9311" i="10"/>
  <c r="D9311" i="10"/>
  <c r="C9311" i="10"/>
  <c r="B9311" i="10"/>
  <c r="A9311" i="10"/>
  <c r="E9310" i="10"/>
  <c r="D9310" i="10"/>
  <c r="C9310" i="10"/>
  <c r="B9310" i="10"/>
  <c r="A9310" i="10"/>
  <c r="E9309" i="10"/>
  <c r="D9309" i="10"/>
  <c r="C9309" i="10"/>
  <c r="B9309" i="10"/>
  <c r="A9309" i="10"/>
  <c r="E9308" i="10"/>
  <c r="D9308" i="10"/>
  <c r="C9308" i="10"/>
  <c r="B9308" i="10"/>
  <c r="A9308" i="10"/>
  <c r="E9307" i="10"/>
  <c r="D9307" i="10"/>
  <c r="C9307" i="10"/>
  <c r="B9307" i="10"/>
  <c r="A9307" i="10"/>
  <c r="E9306" i="10"/>
  <c r="D9306" i="10"/>
  <c r="C9306" i="10"/>
  <c r="B9306" i="10"/>
  <c r="A9306" i="10"/>
  <c r="E9305" i="10"/>
  <c r="D9305" i="10"/>
  <c r="C9305" i="10"/>
  <c r="B9305" i="10"/>
  <c r="A9305" i="10"/>
  <c r="E9304" i="10"/>
  <c r="D9304" i="10"/>
  <c r="C9304" i="10"/>
  <c r="B9304" i="10"/>
  <c r="A9304" i="10"/>
  <c r="E9303" i="10"/>
  <c r="D9303" i="10"/>
  <c r="C9303" i="10"/>
  <c r="B9303" i="10"/>
  <c r="A9303" i="10"/>
  <c r="E9302" i="10"/>
  <c r="D9302" i="10"/>
  <c r="C9302" i="10"/>
  <c r="B9302" i="10"/>
  <c r="A9302" i="10"/>
  <c r="E9301" i="10"/>
  <c r="D9301" i="10"/>
  <c r="C9301" i="10"/>
  <c r="B9301" i="10"/>
  <c r="A9301" i="10"/>
  <c r="E9300" i="10"/>
  <c r="D9300" i="10"/>
  <c r="C9300" i="10"/>
  <c r="B9300" i="10"/>
  <c r="A9300" i="10"/>
  <c r="E9299" i="10"/>
  <c r="D9299" i="10"/>
  <c r="C9299" i="10"/>
  <c r="B9299" i="10"/>
  <c r="A9299" i="10"/>
  <c r="E9298" i="10"/>
  <c r="D9298" i="10"/>
  <c r="C9298" i="10"/>
  <c r="B9298" i="10"/>
  <c r="A9298" i="10"/>
  <c r="E9297" i="10"/>
  <c r="D9297" i="10"/>
  <c r="C9297" i="10"/>
  <c r="B9297" i="10"/>
  <c r="A9297" i="10"/>
  <c r="E9296" i="10"/>
  <c r="D9296" i="10"/>
  <c r="C9296" i="10"/>
  <c r="B9296" i="10"/>
  <c r="A9296" i="10"/>
  <c r="E9295" i="10"/>
  <c r="D9295" i="10"/>
  <c r="C9295" i="10"/>
  <c r="B9295" i="10"/>
  <c r="A9295" i="10"/>
  <c r="E9294" i="10"/>
  <c r="D9294" i="10"/>
  <c r="C9294" i="10"/>
  <c r="B9294" i="10"/>
  <c r="A9294" i="10"/>
  <c r="E9293" i="10"/>
  <c r="D9293" i="10"/>
  <c r="C9293" i="10"/>
  <c r="B9293" i="10"/>
  <c r="A9293" i="10"/>
  <c r="E9292" i="10"/>
  <c r="D9292" i="10"/>
  <c r="C9292" i="10"/>
  <c r="B9292" i="10"/>
  <c r="A9292" i="10"/>
  <c r="E9291" i="10"/>
  <c r="D9291" i="10"/>
  <c r="C9291" i="10"/>
  <c r="B9291" i="10"/>
  <c r="A9291" i="10"/>
  <c r="E9290" i="10"/>
  <c r="D9290" i="10"/>
  <c r="C9290" i="10"/>
  <c r="B9290" i="10"/>
  <c r="A9290" i="10"/>
  <c r="E9289" i="10"/>
  <c r="D9289" i="10"/>
  <c r="C9289" i="10"/>
  <c r="B9289" i="10"/>
  <c r="A9289" i="10"/>
  <c r="E9288" i="10"/>
  <c r="D9288" i="10"/>
  <c r="C9288" i="10"/>
  <c r="B9288" i="10"/>
  <c r="A9288" i="10"/>
  <c r="E9287" i="10"/>
  <c r="D9287" i="10"/>
  <c r="C9287" i="10"/>
  <c r="B9287" i="10"/>
  <c r="A9287" i="10"/>
  <c r="E9286" i="10"/>
  <c r="D9286" i="10"/>
  <c r="C9286" i="10"/>
  <c r="B9286" i="10"/>
  <c r="A9286" i="10"/>
  <c r="E9285" i="10"/>
  <c r="D9285" i="10"/>
  <c r="C9285" i="10"/>
  <c r="B9285" i="10"/>
  <c r="A9285" i="10"/>
  <c r="E9284" i="10"/>
  <c r="D9284" i="10"/>
  <c r="C9284" i="10"/>
  <c r="B9284" i="10"/>
  <c r="A9284" i="10"/>
  <c r="E9283" i="10"/>
  <c r="D9283" i="10"/>
  <c r="C9283" i="10"/>
  <c r="B9283" i="10"/>
  <c r="A9283" i="10"/>
  <c r="E9282" i="10"/>
  <c r="D9282" i="10"/>
  <c r="C9282" i="10"/>
  <c r="B9282" i="10"/>
  <c r="A9282" i="10"/>
  <c r="E9281" i="10"/>
  <c r="D9281" i="10"/>
  <c r="C9281" i="10"/>
  <c r="B9281" i="10"/>
  <c r="A9281" i="10"/>
  <c r="E9280" i="10"/>
  <c r="D9280" i="10"/>
  <c r="C9280" i="10"/>
  <c r="B9280" i="10"/>
  <c r="A9280" i="10"/>
  <c r="E9279" i="10"/>
  <c r="D9279" i="10"/>
  <c r="C9279" i="10"/>
  <c r="B9279" i="10"/>
  <c r="A9279" i="10"/>
  <c r="E9278" i="10"/>
  <c r="D9278" i="10"/>
  <c r="C9278" i="10"/>
  <c r="B9278" i="10"/>
  <c r="A9278" i="10"/>
  <c r="E9277" i="10"/>
  <c r="D9277" i="10"/>
  <c r="C9277" i="10"/>
  <c r="B9277" i="10"/>
  <c r="A9277" i="10"/>
  <c r="E9276" i="10"/>
  <c r="D9276" i="10"/>
  <c r="C9276" i="10"/>
  <c r="B9276" i="10"/>
  <c r="A9276" i="10"/>
  <c r="E9275" i="10"/>
  <c r="D9275" i="10"/>
  <c r="C9275" i="10"/>
  <c r="B9275" i="10"/>
  <c r="A9275" i="10"/>
  <c r="E9274" i="10"/>
  <c r="D9274" i="10"/>
  <c r="C9274" i="10"/>
  <c r="B9274" i="10"/>
  <c r="A9274" i="10"/>
  <c r="E9273" i="10"/>
  <c r="D9273" i="10"/>
  <c r="C9273" i="10"/>
  <c r="B9273" i="10"/>
  <c r="A9273" i="10"/>
  <c r="E9272" i="10"/>
  <c r="D9272" i="10"/>
  <c r="C9272" i="10"/>
  <c r="B9272" i="10"/>
  <c r="A9272" i="10"/>
  <c r="E9271" i="10"/>
  <c r="D9271" i="10"/>
  <c r="C9271" i="10"/>
  <c r="B9271" i="10"/>
  <c r="A9271" i="10"/>
  <c r="E9270" i="10"/>
  <c r="D9270" i="10"/>
  <c r="C9270" i="10"/>
  <c r="B9270" i="10"/>
  <c r="A9270" i="10"/>
  <c r="E9269" i="10"/>
  <c r="D9269" i="10"/>
  <c r="C9269" i="10"/>
  <c r="B9269" i="10"/>
  <c r="A9269" i="10"/>
  <c r="E9268" i="10"/>
  <c r="D9268" i="10"/>
  <c r="C9268" i="10"/>
  <c r="B9268" i="10"/>
  <c r="A9268" i="10"/>
  <c r="E9267" i="10"/>
  <c r="D9267" i="10"/>
  <c r="C9267" i="10"/>
  <c r="B9267" i="10"/>
  <c r="A9267" i="10"/>
  <c r="E9266" i="10"/>
  <c r="D9266" i="10"/>
  <c r="C9266" i="10"/>
  <c r="B9266" i="10"/>
  <c r="A9266" i="10"/>
  <c r="E9265" i="10"/>
  <c r="D9265" i="10"/>
  <c r="C9265" i="10"/>
  <c r="B9265" i="10"/>
  <c r="A9265" i="10"/>
  <c r="E9264" i="10"/>
  <c r="D9264" i="10"/>
  <c r="C9264" i="10"/>
  <c r="B9264" i="10"/>
  <c r="A9264" i="10"/>
  <c r="E9263" i="10"/>
  <c r="D9263" i="10"/>
  <c r="C9263" i="10"/>
  <c r="B9263" i="10"/>
  <c r="A9263" i="10"/>
  <c r="E9262" i="10"/>
  <c r="D9262" i="10"/>
  <c r="C9262" i="10"/>
  <c r="B9262" i="10"/>
  <c r="A9262" i="10"/>
  <c r="E9261" i="10"/>
  <c r="D9261" i="10"/>
  <c r="C9261" i="10"/>
  <c r="B9261" i="10"/>
  <c r="A9261" i="10"/>
  <c r="E9260" i="10"/>
  <c r="D9260" i="10"/>
  <c r="C9260" i="10"/>
  <c r="B9260" i="10"/>
  <c r="A9260" i="10"/>
  <c r="E9259" i="10"/>
  <c r="D9259" i="10"/>
  <c r="C9259" i="10"/>
  <c r="B9259" i="10"/>
  <c r="A9259" i="10"/>
  <c r="E9258" i="10"/>
  <c r="D9258" i="10"/>
  <c r="C9258" i="10"/>
  <c r="B9258" i="10"/>
  <c r="A9258" i="10"/>
  <c r="E9257" i="10"/>
  <c r="D9257" i="10"/>
  <c r="C9257" i="10"/>
  <c r="B9257" i="10"/>
  <c r="A9257" i="10"/>
  <c r="E9256" i="10"/>
  <c r="D9256" i="10"/>
  <c r="C9256" i="10"/>
  <c r="B9256" i="10"/>
  <c r="A9256" i="10"/>
  <c r="E9255" i="10"/>
  <c r="D9255" i="10"/>
  <c r="C9255" i="10"/>
  <c r="B9255" i="10"/>
  <c r="A9255" i="10"/>
  <c r="E9254" i="10"/>
  <c r="D9254" i="10"/>
  <c r="C9254" i="10"/>
  <c r="B9254" i="10"/>
  <c r="A9254" i="10"/>
  <c r="E9253" i="10"/>
  <c r="D9253" i="10"/>
  <c r="C9253" i="10"/>
  <c r="B9253" i="10"/>
  <c r="A9253" i="10"/>
  <c r="E9252" i="10"/>
  <c r="D9252" i="10"/>
  <c r="C9252" i="10"/>
  <c r="B9252" i="10"/>
  <c r="A9252" i="10"/>
  <c r="E9251" i="10"/>
  <c r="D9251" i="10"/>
  <c r="C9251" i="10"/>
  <c r="B9251" i="10"/>
  <c r="A9251" i="10"/>
  <c r="E9250" i="10"/>
  <c r="D9250" i="10"/>
  <c r="C9250" i="10"/>
  <c r="B9250" i="10"/>
  <c r="A9250" i="10"/>
  <c r="E9249" i="10"/>
  <c r="D9249" i="10"/>
  <c r="C9249" i="10"/>
  <c r="B9249" i="10"/>
  <c r="A9249" i="10"/>
  <c r="E9248" i="10"/>
  <c r="D9248" i="10"/>
  <c r="C9248" i="10"/>
  <c r="B9248" i="10"/>
  <c r="A9248" i="10"/>
  <c r="E9247" i="10"/>
  <c r="D9247" i="10"/>
  <c r="C9247" i="10"/>
  <c r="B9247" i="10"/>
  <c r="A9247" i="10"/>
  <c r="E9246" i="10"/>
  <c r="D9246" i="10"/>
  <c r="C9246" i="10"/>
  <c r="B9246" i="10"/>
  <c r="A9246" i="10"/>
  <c r="E9245" i="10"/>
  <c r="D9245" i="10"/>
  <c r="C9245" i="10"/>
  <c r="B9245" i="10"/>
  <c r="A9245" i="10"/>
  <c r="E9244" i="10"/>
  <c r="D9244" i="10"/>
  <c r="C9244" i="10"/>
  <c r="B9244" i="10"/>
  <c r="A9244" i="10"/>
  <c r="E9243" i="10"/>
  <c r="D9243" i="10"/>
  <c r="C9243" i="10"/>
  <c r="B9243" i="10"/>
  <c r="A9243" i="10"/>
  <c r="E9242" i="10"/>
  <c r="D9242" i="10"/>
  <c r="C9242" i="10"/>
  <c r="B9242" i="10"/>
  <c r="A9242" i="10"/>
  <c r="E9241" i="10"/>
  <c r="D9241" i="10"/>
  <c r="C9241" i="10"/>
  <c r="B9241" i="10"/>
  <c r="A9241" i="10"/>
  <c r="E9240" i="10"/>
  <c r="D9240" i="10"/>
  <c r="C9240" i="10"/>
  <c r="B9240" i="10"/>
  <c r="A9240" i="10"/>
  <c r="E9239" i="10"/>
  <c r="D9239" i="10"/>
  <c r="C9239" i="10"/>
  <c r="B9239" i="10"/>
  <c r="A9239" i="10"/>
  <c r="E9238" i="10"/>
  <c r="D9238" i="10"/>
  <c r="C9238" i="10"/>
  <c r="B9238" i="10"/>
  <c r="A9238" i="10"/>
  <c r="E9237" i="10"/>
  <c r="D9237" i="10"/>
  <c r="C9237" i="10"/>
  <c r="B9237" i="10"/>
  <c r="A9237" i="10"/>
  <c r="E9236" i="10"/>
  <c r="D9236" i="10"/>
  <c r="C9236" i="10"/>
  <c r="B9236" i="10"/>
  <c r="A9236" i="10"/>
  <c r="E9235" i="10"/>
  <c r="D9235" i="10"/>
  <c r="C9235" i="10"/>
  <c r="B9235" i="10"/>
  <c r="A9235" i="10"/>
  <c r="E9234" i="10"/>
  <c r="D9234" i="10"/>
  <c r="C9234" i="10"/>
  <c r="B9234" i="10"/>
  <c r="A9234" i="10"/>
  <c r="E9233" i="10"/>
  <c r="D9233" i="10"/>
  <c r="C9233" i="10"/>
  <c r="B9233" i="10"/>
  <c r="A9233" i="10"/>
  <c r="E9232" i="10"/>
  <c r="D9232" i="10"/>
  <c r="C9232" i="10"/>
  <c r="B9232" i="10"/>
  <c r="A9232" i="10"/>
  <c r="E9231" i="10"/>
  <c r="D9231" i="10"/>
  <c r="C9231" i="10"/>
  <c r="B9231" i="10"/>
  <c r="A9231" i="10"/>
  <c r="E9230" i="10"/>
  <c r="D9230" i="10"/>
  <c r="C9230" i="10"/>
  <c r="B9230" i="10"/>
  <c r="A9230" i="10"/>
  <c r="E9229" i="10"/>
  <c r="D9229" i="10"/>
  <c r="C9229" i="10"/>
  <c r="B9229" i="10"/>
  <c r="A9229" i="10"/>
  <c r="E9228" i="10"/>
  <c r="D9228" i="10"/>
  <c r="C9228" i="10"/>
  <c r="B9228" i="10"/>
  <c r="A9228" i="10"/>
  <c r="E9227" i="10"/>
  <c r="D9227" i="10"/>
  <c r="C9227" i="10"/>
  <c r="B9227" i="10"/>
  <c r="A9227" i="10"/>
  <c r="E9226" i="10"/>
  <c r="D9226" i="10"/>
  <c r="C9226" i="10"/>
  <c r="B9226" i="10"/>
  <c r="A9226" i="10"/>
  <c r="E9225" i="10"/>
  <c r="D9225" i="10"/>
  <c r="C9225" i="10"/>
  <c r="B9225" i="10"/>
  <c r="A9225" i="10"/>
  <c r="E9224" i="10"/>
  <c r="D9224" i="10"/>
  <c r="C9224" i="10"/>
  <c r="B9224" i="10"/>
  <c r="A9224" i="10"/>
  <c r="E9223" i="10"/>
  <c r="D9223" i="10"/>
  <c r="C9223" i="10"/>
  <c r="B9223" i="10"/>
  <c r="A9223" i="10"/>
  <c r="E9222" i="10"/>
  <c r="D9222" i="10"/>
  <c r="C9222" i="10"/>
  <c r="B9222" i="10"/>
  <c r="A9222" i="10"/>
  <c r="E9221" i="10"/>
  <c r="D9221" i="10"/>
  <c r="C9221" i="10"/>
  <c r="B9221" i="10"/>
  <c r="A9221" i="10"/>
  <c r="E9220" i="10"/>
  <c r="D9220" i="10"/>
  <c r="C9220" i="10"/>
  <c r="B9220" i="10"/>
  <c r="A9220" i="10"/>
  <c r="E9219" i="10"/>
  <c r="D9219" i="10"/>
  <c r="C9219" i="10"/>
  <c r="B9219" i="10"/>
  <c r="A9219" i="10"/>
  <c r="E9218" i="10"/>
  <c r="D9218" i="10"/>
  <c r="C9218" i="10"/>
  <c r="B9218" i="10"/>
  <c r="A9218" i="10"/>
  <c r="E9217" i="10"/>
  <c r="D9217" i="10"/>
  <c r="C9217" i="10"/>
  <c r="B9217" i="10"/>
  <c r="A9217" i="10"/>
  <c r="E9216" i="10"/>
  <c r="D9216" i="10"/>
  <c r="C9216" i="10"/>
  <c r="B9216" i="10"/>
  <c r="A9216" i="10"/>
  <c r="E9215" i="10"/>
  <c r="D9215" i="10"/>
  <c r="C9215" i="10"/>
  <c r="B9215" i="10"/>
  <c r="A9215" i="10"/>
  <c r="E9214" i="10"/>
  <c r="D9214" i="10"/>
  <c r="C9214" i="10"/>
  <c r="B9214" i="10"/>
  <c r="A9214" i="10"/>
  <c r="E9213" i="10"/>
  <c r="D9213" i="10"/>
  <c r="C9213" i="10"/>
  <c r="B9213" i="10"/>
  <c r="A9213" i="10"/>
  <c r="E9212" i="10"/>
  <c r="D9212" i="10"/>
  <c r="C9212" i="10"/>
  <c r="B9212" i="10"/>
  <c r="A9212" i="10"/>
  <c r="E9211" i="10"/>
  <c r="D9211" i="10"/>
  <c r="C9211" i="10"/>
  <c r="B9211" i="10"/>
  <c r="A9211" i="10"/>
  <c r="E9210" i="10"/>
  <c r="D9210" i="10"/>
  <c r="C9210" i="10"/>
  <c r="B9210" i="10"/>
  <c r="A9210" i="10"/>
  <c r="E9209" i="10"/>
  <c r="D9209" i="10"/>
  <c r="C9209" i="10"/>
  <c r="B9209" i="10"/>
  <c r="A9209" i="10"/>
  <c r="E9208" i="10"/>
  <c r="D9208" i="10"/>
  <c r="C9208" i="10"/>
  <c r="B9208" i="10"/>
  <c r="A9208" i="10"/>
  <c r="E9207" i="10"/>
  <c r="D9207" i="10"/>
  <c r="C9207" i="10"/>
  <c r="B9207" i="10"/>
  <c r="A9207" i="10"/>
  <c r="E9206" i="10"/>
  <c r="D9206" i="10"/>
  <c r="C9206" i="10"/>
  <c r="B9206" i="10"/>
  <c r="A9206" i="10"/>
  <c r="E9205" i="10"/>
  <c r="D9205" i="10"/>
  <c r="C9205" i="10"/>
  <c r="B9205" i="10"/>
  <c r="A9205" i="10"/>
  <c r="E9204" i="10"/>
  <c r="D9204" i="10"/>
  <c r="C9204" i="10"/>
  <c r="B9204" i="10"/>
  <c r="A9204" i="10"/>
  <c r="E9203" i="10"/>
  <c r="D9203" i="10"/>
  <c r="C9203" i="10"/>
  <c r="B9203" i="10"/>
  <c r="A9203" i="10"/>
  <c r="E9202" i="10"/>
  <c r="D9202" i="10"/>
  <c r="C9202" i="10"/>
  <c r="B9202" i="10"/>
  <c r="A9202" i="10"/>
  <c r="E9201" i="10"/>
  <c r="D9201" i="10"/>
  <c r="C9201" i="10"/>
  <c r="B9201" i="10"/>
  <c r="A9201" i="10"/>
  <c r="E9200" i="10"/>
  <c r="D9200" i="10"/>
  <c r="C9200" i="10"/>
  <c r="B9200" i="10"/>
  <c r="A9200" i="10"/>
  <c r="E9199" i="10"/>
  <c r="D9199" i="10"/>
  <c r="C9199" i="10"/>
  <c r="B9199" i="10"/>
  <c r="A9199" i="10"/>
  <c r="E9198" i="10"/>
  <c r="D9198" i="10"/>
  <c r="C9198" i="10"/>
  <c r="B9198" i="10"/>
  <c r="A9198" i="10"/>
  <c r="E9197" i="10"/>
  <c r="D9197" i="10"/>
  <c r="C9197" i="10"/>
  <c r="B9197" i="10"/>
  <c r="A9197" i="10"/>
  <c r="E9196" i="10"/>
  <c r="D9196" i="10"/>
  <c r="C9196" i="10"/>
  <c r="B9196" i="10"/>
  <c r="A9196" i="10"/>
  <c r="E9195" i="10"/>
  <c r="D9195" i="10"/>
  <c r="C9195" i="10"/>
  <c r="B9195" i="10"/>
  <c r="A9195" i="10"/>
  <c r="E9194" i="10"/>
  <c r="D9194" i="10"/>
  <c r="C9194" i="10"/>
  <c r="B9194" i="10"/>
  <c r="A9194" i="10"/>
  <c r="E9193" i="10"/>
  <c r="D9193" i="10"/>
  <c r="C9193" i="10"/>
  <c r="B9193" i="10"/>
  <c r="A9193" i="10"/>
  <c r="E9192" i="10"/>
  <c r="D9192" i="10"/>
  <c r="C9192" i="10"/>
  <c r="B9192" i="10"/>
  <c r="A9192" i="10"/>
  <c r="E9191" i="10"/>
  <c r="D9191" i="10"/>
  <c r="C9191" i="10"/>
  <c r="B9191" i="10"/>
  <c r="A9191" i="10"/>
  <c r="E9190" i="10"/>
  <c r="D9190" i="10"/>
  <c r="C9190" i="10"/>
  <c r="B9190" i="10"/>
  <c r="A9190" i="10"/>
  <c r="E9189" i="10"/>
  <c r="D9189" i="10"/>
  <c r="C9189" i="10"/>
  <c r="B9189" i="10"/>
  <c r="A9189" i="10"/>
  <c r="E9188" i="10"/>
  <c r="D9188" i="10"/>
  <c r="C9188" i="10"/>
  <c r="B9188" i="10"/>
  <c r="A9188" i="10"/>
  <c r="E9187" i="10"/>
  <c r="D9187" i="10"/>
  <c r="C9187" i="10"/>
  <c r="B9187" i="10"/>
  <c r="A9187" i="10"/>
  <c r="E9186" i="10"/>
  <c r="D9186" i="10"/>
  <c r="C9186" i="10"/>
  <c r="B9186" i="10"/>
  <c r="A9186" i="10"/>
  <c r="E9185" i="10"/>
  <c r="D9185" i="10"/>
  <c r="C9185" i="10"/>
  <c r="B9185" i="10"/>
  <c r="A9185" i="10"/>
  <c r="E9184" i="10"/>
  <c r="D9184" i="10"/>
  <c r="C9184" i="10"/>
  <c r="B9184" i="10"/>
  <c r="A9184" i="10"/>
  <c r="E9183" i="10"/>
  <c r="D9183" i="10"/>
  <c r="C9183" i="10"/>
  <c r="B9183" i="10"/>
  <c r="A9183" i="10"/>
  <c r="E9182" i="10"/>
  <c r="D9182" i="10"/>
  <c r="C9182" i="10"/>
  <c r="B9182" i="10"/>
  <c r="A9182" i="10"/>
  <c r="E9181" i="10"/>
  <c r="D9181" i="10"/>
  <c r="C9181" i="10"/>
  <c r="B9181" i="10"/>
  <c r="A9181" i="10"/>
  <c r="E9180" i="10"/>
  <c r="D9180" i="10"/>
  <c r="C9180" i="10"/>
  <c r="B9180" i="10"/>
  <c r="A9180" i="10"/>
  <c r="E9179" i="10"/>
  <c r="D9179" i="10"/>
  <c r="C9179" i="10"/>
  <c r="B9179" i="10"/>
  <c r="A9179" i="10"/>
  <c r="E9178" i="10"/>
  <c r="D9178" i="10"/>
  <c r="C9178" i="10"/>
  <c r="B9178" i="10"/>
  <c r="A9178" i="10"/>
  <c r="E9177" i="10"/>
  <c r="D9177" i="10"/>
  <c r="C9177" i="10"/>
  <c r="B9177" i="10"/>
  <c r="A9177" i="10"/>
  <c r="E9176" i="10"/>
  <c r="D9176" i="10"/>
  <c r="C9176" i="10"/>
  <c r="B9176" i="10"/>
  <c r="A9176" i="10"/>
  <c r="E9175" i="10"/>
  <c r="D9175" i="10"/>
  <c r="C9175" i="10"/>
  <c r="B9175" i="10"/>
  <c r="A9175" i="10"/>
  <c r="E9174" i="10"/>
  <c r="D9174" i="10"/>
  <c r="C9174" i="10"/>
  <c r="B9174" i="10"/>
  <c r="A9174" i="10"/>
  <c r="E9173" i="10"/>
  <c r="D9173" i="10"/>
  <c r="C9173" i="10"/>
  <c r="B9173" i="10"/>
  <c r="A9173" i="10"/>
  <c r="E9172" i="10"/>
  <c r="D9172" i="10"/>
  <c r="C9172" i="10"/>
  <c r="B9172" i="10"/>
  <c r="A9172" i="10"/>
  <c r="E9171" i="10"/>
  <c r="D9171" i="10"/>
  <c r="C9171" i="10"/>
  <c r="B9171" i="10"/>
  <c r="A9171" i="10"/>
  <c r="E9170" i="10"/>
  <c r="D9170" i="10"/>
  <c r="C9170" i="10"/>
  <c r="B9170" i="10"/>
  <c r="A9170" i="10"/>
  <c r="E9169" i="10"/>
  <c r="D9169" i="10"/>
  <c r="C9169" i="10"/>
  <c r="B9169" i="10"/>
  <c r="A9169" i="10"/>
  <c r="E9168" i="10"/>
  <c r="D9168" i="10"/>
  <c r="C9168" i="10"/>
  <c r="B9168" i="10"/>
  <c r="A9168" i="10"/>
  <c r="E9167" i="10"/>
  <c r="D9167" i="10"/>
  <c r="C9167" i="10"/>
  <c r="B9167" i="10"/>
  <c r="A9167" i="10"/>
  <c r="E9166" i="10"/>
  <c r="D9166" i="10"/>
  <c r="C9166" i="10"/>
  <c r="B9166" i="10"/>
  <c r="A9166" i="10"/>
  <c r="E9165" i="10"/>
  <c r="D9165" i="10"/>
  <c r="C9165" i="10"/>
  <c r="B9165" i="10"/>
  <c r="A9165" i="10"/>
  <c r="E9164" i="10"/>
  <c r="D9164" i="10"/>
  <c r="C9164" i="10"/>
  <c r="B9164" i="10"/>
  <c r="A9164" i="10"/>
  <c r="E9163" i="10"/>
  <c r="D9163" i="10"/>
  <c r="C9163" i="10"/>
  <c r="B9163" i="10"/>
  <c r="A9163" i="10"/>
  <c r="E9162" i="10"/>
  <c r="D9162" i="10"/>
  <c r="C9162" i="10"/>
  <c r="B9162" i="10"/>
  <c r="A9162" i="10"/>
  <c r="E9161" i="10"/>
  <c r="D9161" i="10"/>
  <c r="C9161" i="10"/>
  <c r="B9161" i="10"/>
  <c r="A9161" i="10"/>
  <c r="E9160" i="10"/>
  <c r="D9160" i="10"/>
  <c r="C9160" i="10"/>
  <c r="B9160" i="10"/>
  <c r="A9160" i="10"/>
  <c r="E9159" i="10"/>
  <c r="D9159" i="10"/>
  <c r="C9159" i="10"/>
  <c r="B9159" i="10"/>
  <c r="A9159" i="10"/>
  <c r="E9158" i="10"/>
  <c r="D9158" i="10"/>
  <c r="C9158" i="10"/>
  <c r="B9158" i="10"/>
  <c r="A9158" i="10"/>
  <c r="E9157" i="10"/>
  <c r="D9157" i="10"/>
  <c r="C9157" i="10"/>
  <c r="B9157" i="10"/>
  <c r="A9157" i="10"/>
  <c r="E9156" i="10"/>
  <c r="D9156" i="10"/>
  <c r="C9156" i="10"/>
  <c r="B9156" i="10"/>
  <c r="A9156" i="10"/>
  <c r="E9155" i="10"/>
  <c r="D9155" i="10"/>
  <c r="C9155" i="10"/>
  <c r="B9155" i="10"/>
  <c r="A9155" i="10"/>
  <c r="E9154" i="10"/>
  <c r="D9154" i="10"/>
  <c r="C9154" i="10"/>
  <c r="B9154" i="10"/>
  <c r="A9154" i="10"/>
  <c r="E9153" i="10"/>
  <c r="D9153" i="10"/>
  <c r="C9153" i="10"/>
  <c r="B9153" i="10"/>
  <c r="A9153" i="10"/>
  <c r="E9152" i="10"/>
  <c r="D9152" i="10"/>
  <c r="C9152" i="10"/>
  <c r="B9152" i="10"/>
  <c r="A9152" i="10"/>
  <c r="E9151" i="10"/>
  <c r="D9151" i="10"/>
  <c r="C9151" i="10"/>
  <c r="B9151" i="10"/>
  <c r="A9151" i="10"/>
  <c r="E9150" i="10"/>
  <c r="D9150" i="10"/>
  <c r="C9150" i="10"/>
  <c r="B9150" i="10"/>
  <c r="A9150" i="10"/>
  <c r="E9149" i="10"/>
  <c r="D9149" i="10"/>
  <c r="C9149" i="10"/>
  <c r="B9149" i="10"/>
  <c r="A9149" i="10"/>
  <c r="E9148" i="10"/>
  <c r="D9148" i="10"/>
  <c r="C9148" i="10"/>
  <c r="B9148" i="10"/>
  <c r="A9148" i="10"/>
  <c r="E9147" i="10"/>
  <c r="D9147" i="10"/>
  <c r="C9147" i="10"/>
  <c r="B9147" i="10"/>
  <c r="A9147" i="10"/>
  <c r="E9146" i="10"/>
  <c r="D9146" i="10"/>
  <c r="C9146" i="10"/>
  <c r="B9146" i="10"/>
  <c r="A9146" i="10"/>
  <c r="E9145" i="10"/>
  <c r="D9145" i="10"/>
  <c r="C9145" i="10"/>
  <c r="B9145" i="10"/>
  <c r="A9145" i="10"/>
  <c r="E9144" i="10"/>
  <c r="D9144" i="10"/>
  <c r="C9144" i="10"/>
  <c r="B9144" i="10"/>
  <c r="A9144" i="10"/>
  <c r="E9143" i="10"/>
  <c r="D9143" i="10"/>
  <c r="C9143" i="10"/>
  <c r="B9143" i="10"/>
  <c r="A9143" i="10"/>
  <c r="E9142" i="10"/>
  <c r="D9142" i="10"/>
  <c r="C9142" i="10"/>
  <c r="B9142" i="10"/>
  <c r="A9142" i="10"/>
  <c r="E9141" i="10"/>
  <c r="D9141" i="10"/>
  <c r="C9141" i="10"/>
  <c r="B9141" i="10"/>
  <c r="A9141" i="10"/>
  <c r="E9140" i="10"/>
  <c r="D9140" i="10"/>
  <c r="C9140" i="10"/>
  <c r="B9140" i="10"/>
  <c r="A9140" i="10"/>
  <c r="E9139" i="10"/>
  <c r="D9139" i="10"/>
  <c r="C9139" i="10"/>
  <c r="B9139" i="10"/>
  <c r="A9139" i="10"/>
  <c r="E9138" i="10"/>
  <c r="D9138" i="10"/>
  <c r="C9138" i="10"/>
  <c r="B9138" i="10"/>
  <c r="A9138" i="10"/>
  <c r="E9137" i="10"/>
  <c r="D9137" i="10"/>
  <c r="C9137" i="10"/>
  <c r="B9137" i="10"/>
  <c r="A9137" i="10"/>
  <c r="E9136" i="10"/>
  <c r="D9136" i="10"/>
  <c r="C9136" i="10"/>
  <c r="B9136" i="10"/>
  <c r="A9136" i="10"/>
  <c r="E9135" i="10"/>
  <c r="D9135" i="10"/>
  <c r="C9135" i="10"/>
  <c r="B9135" i="10"/>
  <c r="A9135" i="10"/>
  <c r="E9134" i="10"/>
  <c r="D9134" i="10"/>
  <c r="C9134" i="10"/>
  <c r="B9134" i="10"/>
  <c r="A9134" i="10"/>
  <c r="E9133" i="10"/>
  <c r="D9133" i="10"/>
  <c r="C9133" i="10"/>
  <c r="B9133" i="10"/>
  <c r="A9133" i="10"/>
  <c r="E9132" i="10"/>
  <c r="D9132" i="10"/>
  <c r="C9132" i="10"/>
  <c r="B9132" i="10"/>
  <c r="A9132" i="10"/>
  <c r="E9131" i="10"/>
  <c r="D9131" i="10"/>
  <c r="C9131" i="10"/>
  <c r="B9131" i="10"/>
  <c r="A9131" i="10"/>
  <c r="E9130" i="10"/>
  <c r="D9130" i="10"/>
  <c r="C9130" i="10"/>
  <c r="B9130" i="10"/>
  <c r="A9130" i="10"/>
  <c r="E9129" i="10"/>
  <c r="D9129" i="10"/>
  <c r="C9129" i="10"/>
  <c r="B9129" i="10"/>
  <c r="A9129" i="10"/>
  <c r="E9128" i="10"/>
  <c r="D9128" i="10"/>
  <c r="C9128" i="10"/>
  <c r="B9128" i="10"/>
  <c r="A9128" i="10"/>
  <c r="E9127" i="10"/>
  <c r="D9127" i="10"/>
  <c r="C9127" i="10"/>
  <c r="B9127" i="10"/>
  <c r="A9127" i="10"/>
  <c r="E9126" i="10"/>
  <c r="D9126" i="10"/>
  <c r="C9126" i="10"/>
  <c r="B9126" i="10"/>
  <c r="A9126" i="10"/>
  <c r="E9125" i="10"/>
  <c r="D9125" i="10"/>
  <c r="C9125" i="10"/>
  <c r="B9125" i="10"/>
  <c r="A9125" i="10"/>
  <c r="E9124" i="10"/>
  <c r="D9124" i="10"/>
  <c r="C9124" i="10"/>
  <c r="B9124" i="10"/>
  <c r="A9124" i="10"/>
  <c r="E9123" i="10"/>
  <c r="D9123" i="10"/>
  <c r="C9123" i="10"/>
  <c r="B9123" i="10"/>
  <c r="A9123" i="10"/>
  <c r="E9122" i="10"/>
  <c r="D9122" i="10"/>
  <c r="C9122" i="10"/>
  <c r="B9122" i="10"/>
  <c r="A9122" i="10"/>
  <c r="E9121" i="10"/>
  <c r="D9121" i="10"/>
  <c r="C9121" i="10"/>
  <c r="B9121" i="10"/>
  <c r="A9121" i="10"/>
  <c r="E9120" i="10"/>
  <c r="D9120" i="10"/>
  <c r="C9120" i="10"/>
  <c r="B9120" i="10"/>
  <c r="A9120" i="10"/>
  <c r="E9119" i="10"/>
  <c r="D9119" i="10"/>
  <c r="C9119" i="10"/>
  <c r="B9119" i="10"/>
  <c r="A9119" i="10"/>
  <c r="E9118" i="10"/>
  <c r="D9118" i="10"/>
  <c r="C9118" i="10"/>
  <c r="B9118" i="10"/>
  <c r="A9118" i="10"/>
  <c r="E9117" i="10"/>
  <c r="D9117" i="10"/>
  <c r="C9117" i="10"/>
  <c r="B9117" i="10"/>
  <c r="A9117" i="10"/>
  <c r="E9116" i="10"/>
  <c r="D9116" i="10"/>
  <c r="C9116" i="10"/>
  <c r="B9116" i="10"/>
  <c r="A9116" i="10"/>
  <c r="E9115" i="10"/>
  <c r="D9115" i="10"/>
  <c r="C9115" i="10"/>
  <c r="B9115" i="10"/>
  <c r="A9115" i="10"/>
  <c r="E9114" i="10"/>
  <c r="D9114" i="10"/>
  <c r="C9114" i="10"/>
  <c r="B9114" i="10"/>
  <c r="A9114" i="10"/>
  <c r="E9113" i="10"/>
  <c r="D9113" i="10"/>
  <c r="C9113" i="10"/>
  <c r="B9113" i="10"/>
  <c r="A9113" i="10"/>
  <c r="E9112" i="10"/>
  <c r="D9112" i="10"/>
  <c r="C9112" i="10"/>
  <c r="B9112" i="10"/>
  <c r="A9112" i="10"/>
  <c r="E9111" i="10"/>
  <c r="D9111" i="10"/>
  <c r="C9111" i="10"/>
  <c r="B9111" i="10"/>
  <c r="A9111" i="10"/>
  <c r="E9110" i="10"/>
  <c r="D9110" i="10"/>
  <c r="C9110" i="10"/>
  <c r="B9110" i="10"/>
  <c r="A9110" i="10"/>
  <c r="E9109" i="10"/>
  <c r="D9109" i="10"/>
  <c r="C9109" i="10"/>
  <c r="B9109" i="10"/>
  <c r="A9109" i="10"/>
  <c r="E9108" i="10"/>
  <c r="D9108" i="10"/>
  <c r="C9108" i="10"/>
  <c r="B9108" i="10"/>
  <c r="A9108" i="10"/>
  <c r="E9107" i="10"/>
  <c r="D9107" i="10"/>
  <c r="C9107" i="10"/>
  <c r="B9107" i="10"/>
  <c r="A9107" i="10"/>
  <c r="E9106" i="10"/>
  <c r="D9106" i="10"/>
  <c r="C9106" i="10"/>
  <c r="B9106" i="10"/>
  <c r="A9106" i="10"/>
  <c r="E9105" i="10"/>
  <c r="D9105" i="10"/>
  <c r="C9105" i="10"/>
  <c r="B9105" i="10"/>
  <c r="A9105" i="10"/>
  <c r="E9104" i="10"/>
  <c r="D9104" i="10"/>
  <c r="C9104" i="10"/>
  <c r="B9104" i="10"/>
  <c r="A9104" i="10"/>
  <c r="E9103" i="10"/>
  <c r="D9103" i="10"/>
  <c r="C9103" i="10"/>
  <c r="B9103" i="10"/>
  <c r="A9103" i="10"/>
  <c r="E9102" i="10"/>
  <c r="D9102" i="10"/>
  <c r="C9102" i="10"/>
  <c r="B9102" i="10"/>
  <c r="A9102" i="10"/>
  <c r="E9101" i="10"/>
  <c r="D9101" i="10"/>
  <c r="C9101" i="10"/>
  <c r="B9101" i="10"/>
  <c r="A9101" i="10"/>
  <c r="E9100" i="10"/>
  <c r="D9100" i="10"/>
  <c r="C9100" i="10"/>
  <c r="B9100" i="10"/>
  <c r="A9100" i="10"/>
  <c r="E9099" i="10"/>
  <c r="D9099" i="10"/>
  <c r="C9099" i="10"/>
  <c r="B9099" i="10"/>
  <c r="A9099" i="10"/>
  <c r="E9098" i="10"/>
  <c r="D9098" i="10"/>
  <c r="C9098" i="10"/>
  <c r="B9098" i="10"/>
  <c r="A9098" i="10"/>
  <c r="E9097" i="10"/>
  <c r="D9097" i="10"/>
  <c r="C9097" i="10"/>
  <c r="B9097" i="10"/>
  <c r="A9097" i="10"/>
  <c r="E9096" i="10"/>
  <c r="D9096" i="10"/>
  <c r="C9096" i="10"/>
  <c r="B9096" i="10"/>
  <c r="A9096" i="10"/>
  <c r="E9095" i="10"/>
  <c r="D9095" i="10"/>
  <c r="C9095" i="10"/>
  <c r="B9095" i="10"/>
  <c r="A9095" i="10"/>
  <c r="E9094" i="10"/>
  <c r="D9094" i="10"/>
  <c r="C9094" i="10"/>
  <c r="B9094" i="10"/>
  <c r="A9094" i="10"/>
  <c r="E9093" i="10"/>
  <c r="D9093" i="10"/>
  <c r="C9093" i="10"/>
  <c r="B9093" i="10"/>
  <c r="A9093" i="10"/>
  <c r="E9092" i="10"/>
  <c r="D9092" i="10"/>
  <c r="C9092" i="10"/>
  <c r="B9092" i="10"/>
  <c r="A9092" i="10"/>
  <c r="E9091" i="10"/>
  <c r="D9091" i="10"/>
  <c r="C9091" i="10"/>
  <c r="B9091" i="10"/>
  <c r="A9091" i="10"/>
  <c r="E9090" i="10"/>
  <c r="D9090" i="10"/>
  <c r="C9090" i="10"/>
  <c r="B9090" i="10"/>
  <c r="A9090" i="10"/>
  <c r="E9089" i="10"/>
  <c r="D9089" i="10"/>
  <c r="C9089" i="10"/>
  <c r="B9089" i="10"/>
  <c r="A9089" i="10"/>
  <c r="E9088" i="10"/>
  <c r="D9088" i="10"/>
  <c r="C9088" i="10"/>
  <c r="B9088" i="10"/>
  <c r="A9088" i="10"/>
  <c r="E9087" i="10"/>
  <c r="D9087" i="10"/>
  <c r="C9087" i="10"/>
  <c r="B9087" i="10"/>
  <c r="A9087" i="10"/>
  <c r="E9086" i="10"/>
  <c r="D9086" i="10"/>
  <c r="C9086" i="10"/>
  <c r="B9086" i="10"/>
  <c r="A9086" i="10"/>
  <c r="E9085" i="10"/>
  <c r="D9085" i="10"/>
  <c r="C9085" i="10"/>
  <c r="B9085" i="10"/>
  <c r="A9085" i="10"/>
  <c r="E9084" i="10"/>
  <c r="D9084" i="10"/>
  <c r="C9084" i="10"/>
  <c r="B9084" i="10"/>
  <c r="A9084" i="10"/>
  <c r="E9083" i="10"/>
  <c r="D9083" i="10"/>
  <c r="C9083" i="10"/>
  <c r="B9083" i="10"/>
  <c r="A9083" i="10"/>
  <c r="E9082" i="10"/>
  <c r="D9082" i="10"/>
  <c r="C9082" i="10"/>
  <c r="B9082" i="10"/>
  <c r="A9082" i="10"/>
  <c r="E9081" i="10"/>
  <c r="D9081" i="10"/>
  <c r="C9081" i="10"/>
  <c r="B9081" i="10"/>
  <c r="A9081" i="10"/>
  <c r="E9080" i="10"/>
  <c r="D9080" i="10"/>
  <c r="C9080" i="10"/>
  <c r="B9080" i="10"/>
  <c r="A9080" i="10"/>
  <c r="E9079" i="10"/>
  <c r="D9079" i="10"/>
  <c r="C9079" i="10"/>
  <c r="B9079" i="10"/>
  <c r="A9079" i="10"/>
  <c r="E9078" i="10"/>
  <c r="D9078" i="10"/>
  <c r="C9078" i="10"/>
  <c r="B9078" i="10"/>
  <c r="A9078" i="10"/>
  <c r="E9077" i="10"/>
  <c r="D9077" i="10"/>
  <c r="C9077" i="10"/>
  <c r="B9077" i="10"/>
  <c r="A9077" i="10"/>
  <c r="E9076" i="10"/>
  <c r="D9076" i="10"/>
  <c r="C9076" i="10"/>
  <c r="B9076" i="10"/>
  <c r="A9076" i="10"/>
  <c r="E9075" i="10"/>
  <c r="D9075" i="10"/>
  <c r="C9075" i="10"/>
  <c r="B9075" i="10"/>
  <c r="A9075" i="10"/>
  <c r="E9074" i="10"/>
  <c r="D9074" i="10"/>
  <c r="C9074" i="10"/>
  <c r="B9074" i="10"/>
  <c r="A9074" i="10"/>
  <c r="E9073" i="10"/>
  <c r="D9073" i="10"/>
  <c r="C9073" i="10"/>
  <c r="B9073" i="10"/>
  <c r="A9073" i="10"/>
  <c r="E9072" i="10"/>
  <c r="D9072" i="10"/>
  <c r="C9072" i="10"/>
  <c r="B9072" i="10"/>
  <c r="A9072" i="10"/>
  <c r="E9071" i="10"/>
  <c r="D9071" i="10"/>
  <c r="C9071" i="10"/>
  <c r="B9071" i="10"/>
  <c r="A9071" i="10"/>
  <c r="E9070" i="10"/>
  <c r="D9070" i="10"/>
  <c r="C9070" i="10"/>
  <c r="B9070" i="10"/>
  <c r="A9070" i="10"/>
  <c r="E9069" i="10"/>
  <c r="D9069" i="10"/>
  <c r="C9069" i="10"/>
  <c r="B9069" i="10"/>
  <c r="A9069" i="10"/>
  <c r="E9068" i="10"/>
  <c r="D9068" i="10"/>
  <c r="C9068" i="10"/>
  <c r="B9068" i="10"/>
  <c r="A9068" i="10"/>
  <c r="E9067" i="10"/>
  <c r="D9067" i="10"/>
  <c r="C9067" i="10"/>
  <c r="B9067" i="10"/>
  <c r="A9067" i="10"/>
  <c r="E9066" i="10"/>
  <c r="D9066" i="10"/>
  <c r="C9066" i="10"/>
  <c r="B9066" i="10"/>
  <c r="A9066" i="10"/>
  <c r="E9065" i="10"/>
  <c r="D9065" i="10"/>
  <c r="C9065" i="10"/>
  <c r="B9065" i="10"/>
  <c r="A9065" i="10"/>
  <c r="E9064" i="10"/>
  <c r="D9064" i="10"/>
  <c r="C9064" i="10"/>
  <c r="B9064" i="10"/>
  <c r="A9064" i="10"/>
  <c r="E9063" i="10"/>
  <c r="D9063" i="10"/>
  <c r="C9063" i="10"/>
  <c r="B9063" i="10"/>
  <c r="A9063" i="10"/>
  <c r="E9062" i="10"/>
  <c r="D9062" i="10"/>
  <c r="C9062" i="10"/>
  <c r="B9062" i="10"/>
  <c r="A9062" i="10"/>
  <c r="E9061" i="10"/>
  <c r="D9061" i="10"/>
  <c r="C9061" i="10"/>
  <c r="B9061" i="10"/>
  <c r="A9061" i="10"/>
  <c r="E9060" i="10"/>
  <c r="D9060" i="10"/>
  <c r="C9060" i="10"/>
  <c r="B9060" i="10"/>
  <c r="A9060" i="10"/>
  <c r="E9059" i="10"/>
  <c r="D9059" i="10"/>
  <c r="C9059" i="10"/>
  <c r="B9059" i="10"/>
  <c r="A9059" i="10"/>
  <c r="E9058" i="10"/>
  <c r="D9058" i="10"/>
  <c r="C9058" i="10"/>
  <c r="B9058" i="10"/>
  <c r="A9058" i="10"/>
  <c r="E9057" i="10"/>
  <c r="D9057" i="10"/>
  <c r="C9057" i="10"/>
  <c r="B9057" i="10"/>
  <c r="A9057" i="10"/>
  <c r="E9056" i="10"/>
  <c r="D9056" i="10"/>
  <c r="C9056" i="10"/>
  <c r="B9056" i="10"/>
  <c r="A9056" i="10"/>
  <c r="E9055" i="10"/>
  <c r="D9055" i="10"/>
  <c r="C9055" i="10"/>
  <c r="B9055" i="10"/>
  <c r="A9055" i="10"/>
  <c r="E9054" i="10"/>
  <c r="D9054" i="10"/>
  <c r="C9054" i="10"/>
  <c r="B9054" i="10"/>
  <c r="A9054" i="10"/>
  <c r="E9053" i="10"/>
  <c r="D9053" i="10"/>
  <c r="C9053" i="10"/>
  <c r="B9053" i="10"/>
  <c r="A9053" i="10"/>
  <c r="E9052" i="10"/>
  <c r="D9052" i="10"/>
  <c r="C9052" i="10"/>
  <c r="B9052" i="10"/>
  <c r="A9052" i="10"/>
  <c r="E9051" i="10"/>
  <c r="D9051" i="10"/>
  <c r="C9051" i="10"/>
  <c r="B9051" i="10"/>
  <c r="A9051" i="10"/>
  <c r="E9050" i="10"/>
  <c r="D9050" i="10"/>
  <c r="C9050" i="10"/>
  <c r="B9050" i="10"/>
  <c r="A9050" i="10"/>
  <c r="E9049" i="10"/>
  <c r="D9049" i="10"/>
  <c r="C9049" i="10"/>
  <c r="B9049" i="10"/>
  <c r="A9049" i="10"/>
  <c r="E9048" i="10"/>
  <c r="D9048" i="10"/>
  <c r="C9048" i="10"/>
  <c r="B9048" i="10"/>
  <c r="A9048" i="10"/>
  <c r="E9047" i="10"/>
  <c r="D9047" i="10"/>
  <c r="C9047" i="10"/>
  <c r="B9047" i="10"/>
  <c r="A9047" i="10"/>
  <c r="E9046" i="10"/>
  <c r="D9046" i="10"/>
  <c r="C9046" i="10"/>
  <c r="B9046" i="10"/>
  <c r="A9046" i="10"/>
  <c r="E9045" i="10"/>
  <c r="D9045" i="10"/>
  <c r="C9045" i="10"/>
  <c r="B9045" i="10"/>
  <c r="A9045" i="10"/>
  <c r="E9044" i="10"/>
  <c r="D9044" i="10"/>
  <c r="C9044" i="10"/>
  <c r="B9044" i="10"/>
  <c r="A9044" i="10"/>
  <c r="E9043" i="10"/>
  <c r="D9043" i="10"/>
  <c r="C9043" i="10"/>
  <c r="B9043" i="10"/>
  <c r="A9043" i="10"/>
  <c r="E9042" i="10"/>
  <c r="D9042" i="10"/>
  <c r="C9042" i="10"/>
  <c r="B9042" i="10"/>
  <c r="A9042" i="10"/>
  <c r="E9041" i="10"/>
  <c r="D9041" i="10"/>
  <c r="C9041" i="10"/>
  <c r="B9041" i="10"/>
  <c r="A9041" i="10"/>
  <c r="E9040" i="10"/>
  <c r="D9040" i="10"/>
  <c r="C9040" i="10"/>
  <c r="B9040" i="10"/>
  <c r="A9040" i="10"/>
  <c r="E9039" i="10"/>
  <c r="D9039" i="10"/>
  <c r="C9039" i="10"/>
  <c r="B9039" i="10"/>
  <c r="A9039" i="10"/>
  <c r="E9038" i="10"/>
  <c r="D9038" i="10"/>
  <c r="C9038" i="10"/>
  <c r="B9038" i="10"/>
  <c r="A9038" i="10"/>
  <c r="E9037" i="10"/>
  <c r="D9037" i="10"/>
  <c r="C9037" i="10"/>
  <c r="B9037" i="10"/>
  <c r="A9037" i="10"/>
  <c r="E9036" i="10"/>
  <c r="D9036" i="10"/>
  <c r="C9036" i="10"/>
  <c r="B9036" i="10"/>
  <c r="A9036" i="10"/>
  <c r="E9035" i="10"/>
  <c r="D9035" i="10"/>
  <c r="C9035" i="10"/>
  <c r="B9035" i="10"/>
  <c r="A9035" i="10"/>
  <c r="E9034" i="10"/>
  <c r="D9034" i="10"/>
  <c r="C9034" i="10"/>
  <c r="B9034" i="10"/>
  <c r="A9034" i="10"/>
  <c r="E9033" i="10"/>
  <c r="D9033" i="10"/>
  <c r="C9033" i="10"/>
  <c r="B9033" i="10"/>
  <c r="A9033" i="10"/>
  <c r="E9032" i="10"/>
  <c r="D9032" i="10"/>
  <c r="C9032" i="10"/>
  <c r="B9032" i="10"/>
  <c r="A9032" i="10"/>
  <c r="E9031" i="10"/>
  <c r="D9031" i="10"/>
  <c r="C9031" i="10"/>
  <c r="B9031" i="10"/>
  <c r="A9031" i="10"/>
  <c r="E9030" i="10"/>
  <c r="D9030" i="10"/>
  <c r="C9030" i="10"/>
  <c r="B9030" i="10"/>
  <c r="A9030" i="10"/>
  <c r="E9029" i="10"/>
  <c r="D9029" i="10"/>
  <c r="C9029" i="10"/>
  <c r="B9029" i="10"/>
  <c r="A9029" i="10"/>
  <c r="E9028" i="10"/>
  <c r="D9028" i="10"/>
  <c r="C9028" i="10"/>
  <c r="B9028" i="10"/>
  <c r="A9028" i="10"/>
  <c r="E9027" i="10"/>
  <c r="D9027" i="10"/>
  <c r="C9027" i="10"/>
  <c r="B9027" i="10"/>
  <c r="A9027" i="10"/>
  <c r="E9026" i="10"/>
  <c r="D9026" i="10"/>
  <c r="C9026" i="10"/>
  <c r="B9026" i="10"/>
  <c r="A9026" i="10"/>
  <c r="E9025" i="10"/>
  <c r="D9025" i="10"/>
  <c r="C9025" i="10"/>
  <c r="B9025" i="10"/>
  <c r="A9025" i="10"/>
  <c r="E9024" i="10"/>
  <c r="D9024" i="10"/>
  <c r="C9024" i="10"/>
  <c r="B9024" i="10"/>
  <c r="A9024" i="10"/>
  <c r="E9023" i="10"/>
  <c r="D9023" i="10"/>
  <c r="C9023" i="10"/>
  <c r="B9023" i="10"/>
  <c r="A9023" i="10"/>
  <c r="E9022" i="10"/>
  <c r="D9022" i="10"/>
  <c r="C9022" i="10"/>
  <c r="B9022" i="10"/>
  <c r="A9022" i="10"/>
  <c r="E9021" i="10"/>
  <c r="D9021" i="10"/>
  <c r="C9021" i="10"/>
  <c r="B9021" i="10"/>
  <c r="A9021" i="10"/>
  <c r="E9020" i="10"/>
  <c r="D9020" i="10"/>
  <c r="C9020" i="10"/>
  <c r="B9020" i="10"/>
  <c r="A9020" i="10"/>
  <c r="E9019" i="10"/>
  <c r="D9019" i="10"/>
  <c r="C9019" i="10"/>
  <c r="B9019" i="10"/>
  <c r="A9019" i="10"/>
  <c r="E9018" i="10"/>
  <c r="D9018" i="10"/>
  <c r="C9018" i="10"/>
  <c r="B9018" i="10"/>
  <c r="A9018" i="10"/>
  <c r="E9017" i="10"/>
  <c r="D9017" i="10"/>
  <c r="C9017" i="10"/>
  <c r="B9017" i="10"/>
  <c r="A9017" i="10"/>
  <c r="E9016" i="10"/>
  <c r="D9016" i="10"/>
  <c r="C9016" i="10"/>
  <c r="B9016" i="10"/>
  <c r="A9016" i="10"/>
  <c r="E9015" i="10"/>
  <c r="D9015" i="10"/>
  <c r="C9015" i="10"/>
  <c r="B9015" i="10"/>
  <c r="A9015" i="10"/>
  <c r="E9014" i="10"/>
  <c r="D9014" i="10"/>
  <c r="C9014" i="10"/>
  <c r="B9014" i="10"/>
  <c r="A9014" i="10"/>
  <c r="E9013" i="10"/>
  <c r="D9013" i="10"/>
  <c r="C9013" i="10"/>
  <c r="B9013" i="10"/>
  <c r="A9013" i="10"/>
  <c r="E9012" i="10"/>
  <c r="D9012" i="10"/>
  <c r="C9012" i="10"/>
  <c r="B9012" i="10"/>
  <c r="A9012" i="10"/>
  <c r="E9011" i="10"/>
  <c r="D9011" i="10"/>
  <c r="C9011" i="10"/>
  <c r="B9011" i="10"/>
  <c r="A9011" i="10"/>
  <c r="E9010" i="10"/>
  <c r="D9010" i="10"/>
  <c r="C9010" i="10"/>
  <c r="B9010" i="10"/>
  <c r="A9010" i="10"/>
  <c r="E9009" i="10"/>
  <c r="D9009" i="10"/>
  <c r="C9009" i="10"/>
  <c r="B9009" i="10"/>
  <c r="A9009" i="10"/>
  <c r="E9008" i="10"/>
  <c r="D9008" i="10"/>
  <c r="C9008" i="10"/>
  <c r="B9008" i="10"/>
  <c r="A9008" i="10"/>
  <c r="E9007" i="10"/>
  <c r="D9007" i="10"/>
  <c r="C9007" i="10"/>
  <c r="B9007" i="10"/>
  <c r="A9007" i="10"/>
  <c r="E9006" i="10"/>
  <c r="D9006" i="10"/>
  <c r="C9006" i="10"/>
  <c r="B9006" i="10"/>
  <c r="A9006" i="10"/>
  <c r="E9005" i="10"/>
  <c r="D9005" i="10"/>
  <c r="C9005" i="10"/>
  <c r="B9005" i="10"/>
  <c r="A9005" i="10"/>
  <c r="E9004" i="10"/>
  <c r="D9004" i="10"/>
  <c r="C9004" i="10"/>
  <c r="B9004" i="10"/>
  <c r="A9004" i="10"/>
  <c r="E9003" i="10"/>
  <c r="D9003" i="10"/>
  <c r="C9003" i="10"/>
  <c r="B9003" i="10"/>
  <c r="A9003" i="10"/>
  <c r="E9002" i="10"/>
  <c r="D9002" i="10"/>
  <c r="C9002" i="10"/>
  <c r="B9002" i="10"/>
  <c r="A9002" i="10"/>
  <c r="E9001" i="10"/>
  <c r="D9001" i="10"/>
  <c r="C9001" i="10"/>
  <c r="B9001" i="10"/>
  <c r="A9001" i="10"/>
  <c r="E9000" i="10"/>
  <c r="D9000" i="10"/>
  <c r="C9000" i="10"/>
  <c r="B9000" i="10"/>
  <c r="A9000" i="10"/>
  <c r="E8999" i="10"/>
  <c r="D8999" i="10"/>
  <c r="C8999" i="10"/>
  <c r="B8999" i="10"/>
  <c r="A8999" i="10"/>
  <c r="E8998" i="10"/>
  <c r="D8998" i="10"/>
  <c r="C8998" i="10"/>
  <c r="B8998" i="10"/>
  <c r="A8998" i="10"/>
  <c r="E8997" i="10"/>
  <c r="D8997" i="10"/>
  <c r="C8997" i="10"/>
  <c r="B8997" i="10"/>
  <c r="A8997" i="10"/>
  <c r="E8996" i="10"/>
  <c r="D8996" i="10"/>
  <c r="C8996" i="10"/>
  <c r="B8996" i="10"/>
  <c r="A8996" i="10"/>
  <c r="E8995" i="10"/>
  <c r="D8995" i="10"/>
  <c r="C8995" i="10"/>
  <c r="B8995" i="10"/>
  <c r="A8995" i="10"/>
  <c r="E8994" i="10"/>
  <c r="D8994" i="10"/>
  <c r="C8994" i="10"/>
  <c r="B8994" i="10"/>
  <c r="A8994" i="10"/>
  <c r="E8993" i="10"/>
  <c r="D8993" i="10"/>
  <c r="C8993" i="10"/>
  <c r="B8993" i="10"/>
  <c r="A8993" i="10"/>
  <c r="E8992" i="10"/>
  <c r="D8992" i="10"/>
  <c r="C8992" i="10"/>
  <c r="B8992" i="10"/>
  <c r="A8992" i="10"/>
  <c r="E8991" i="10"/>
  <c r="D8991" i="10"/>
  <c r="C8991" i="10"/>
  <c r="B8991" i="10"/>
  <c r="A8991" i="10"/>
  <c r="E8990" i="10"/>
  <c r="D8990" i="10"/>
  <c r="C8990" i="10"/>
  <c r="B8990" i="10"/>
  <c r="A8990" i="10"/>
  <c r="E8989" i="10"/>
  <c r="D8989" i="10"/>
  <c r="C8989" i="10"/>
  <c r="B8989" i="10"/>
  <c r="A8989" i="10"/>
  <c r="E8988" i="10"/>
  <c r="D8988" i="10"/>
  <c r="C8988" i="10"/>
  <c r="B8988" i="10"/>
  <c r="A8988" i="10"/>
  <c r="E8987" i="10"/>
  <c r="D8987" i="10"/>
  <c r="C8987" i="10"/>
  <c r="B8987" i="10"/>
  <c r="A8987" i="10"/>
  <c r="E8986" i="10"/>
  <c r="D8986" i="10"/>
  <c r="C8986" i="10"/>
  <c r="B8986" i="10"/>
  <c r="A8986" i="10"/>
  <c r="E8985" i="10"/>
  <c r="D8985" i="10"/>
  <c r="C8985" i="10"/>
  <c r="B8985" i="10"/>
  <c r="A8985" i="10"/>
  <c r="E8984" i="10"/>
  <c r="D8984" i="10"/>
  <c r="C8984" i="10"/>
  <c r="B8984" i="10"/>
  <c r="A8984" i="10"/>
  <c r="E8983" i="10"/>
  <c r="D8983" i="10"/>
  <c r="C8983" i="10"/>
  <c r="B8983" i="10"/>
  <c r="A8983" i="10"/>
  <c r="E8982" i="10"/>
  <c r="D8982" i="10"/>
  <c r="C8982" i="10"/>
  <c r="B8982" i="10"/>
  <c r="A8982" i="10"/>
  <c r="E8981" i="10"/>
  <c r="D8981" i="10"/>
  <c r="C8981" i="10"/>
  <c r="B8981" i="10"/>
  <c r="A8981" i="10"/>
  <c r="E8980" i="10"/>
  <c r="D8980" i="10"/>
  <c r="C8980" i="10"/>
  <c r="B8980" i="10"/>
  <c r="A8980" i="10"/>
  <c r="E8979" i="10"/>
  <c r="D8979" i="10"/>
  <c r="C8979" i="10"/>
  <c r="B8979" i="10"/>
  <c r="A8979" i="10"/>
  <c r="E8978" i="10"/>
  <c r="D8978" i="10"/>
  <c r="C8978" i="10"/>
  <c r="B8978" i="10"/>
  <c r="A8978" i="10"/>
  <c r="E8977" i="10"/>
  <c r="D8977" i="10"/>
  <c r="C8977" i="10"/>
  <c r="B8977" i="10"/>
  <c r="A8977" i="10"/>
  <c r="E8976" i="10"/>
  <c r="D8976" i="10"/>
  <c r="C8976" i="10"/>
  <c r="B8976" i="10"/>
  <c r="A8976" i="10"/>
  <c r="E8975" i="10"/>
  <c r="D8975" i="10"/>
  <c r="C8975" i="10"/>
  <c r="B8975" i="10"/>
  <c r="A8975" i="10"/>
  <c r="E8974" i="10"/>
  <c r="D8974" i="10"/>
  <c r="C8974" i="10"/>
  <c r="B8974" i="10"/>
  <c r="A8974" i="10"/>
  <c r="E8973" i="10"/>
  <c r="D8973" i="10"/>
  <c r="C8973" i="10"/>
  <c r="B8973" i="10"/>
  <c r="A8973" i="10"/>
  <c r="E8972" i="10"/>
  <c r="D8972" i="10"/>
  <c r="C8972" i="10"/>
  <c r="B8972" i="10"/>
  <c r="A8972" i="10"/>
  <c r="E8971" i="10"/>
  <c r="D8971" i="10"/>
  <c r="C8971" i="10"/>
  <c r="B8971" i="10"/>
  <c r="A8971" i="10"/>
  <c r="E8970" i="10"/>
  <c r="D8970" i="10"/>
  <c r="C8970" i="10"/>
  <c r="B8970" i="10"/>
  <c r="A8970" i="10"/>
  <c r="E8969" i="10"/>
  <c r="D8969" i="10"/>
  <c r="C8969" i="10"/>
  <c r="B8969" i="10"/>
  <c r="A8969" i="10"/>
  <c r="E8968" i="10"/>
  <c r="D8968" i="10"/>
  <c r="C8968" i="10"/>
  <c r="B8968" i="10"/>
  <c r="A8968" i="10"/>
  <c r="E8967" i="10"/>
  <c r="D8967" i="10"/>
  <c r="C8967" i="10"/>
  <c r="B8967" i="10"/>
  <c r="A8967" i="10"/>
  <c r="E8966" i="10"/>
  <c r="D8966" i="10"/>
  <c r="C8966" i="10"/>
  <c r="B8966" i="10"/>
  <c r="A8966" i="10"/>
  <c r="E8965" i="10"/>
  <c r="D8965" i="10"/>
  <c r="C8965" i="10"/>
  <c r="B8965" i="10"/>
  <c r="A8965" i="10"/>
  <c r="E8964" i="10"/>
  <c r="D8964" i="10"/>
  <c r="C8964" i="10"/>
  <c r="B8964" i="10"/>
  <c r="A8964" i="10"/>
  <c r="E8963" i="10"/>
  <c r="D8963" i="10"/>
  <c r="C8963" i="10"/>
  <c r="B8963" i="10"/>
  <c r="A8963" i="10"/>
  <c r="E8962" i="10"/>
  <c r="D8962" i="10"/>
  <c r="C8962" i="10"/>
  <c r="B8962" i="10"/>
  <c r="A8962" i="10"/>
  <c r="E8961" i="10"/>
  <c r="D8961" i="10"/>
  <c r="C8961" i="10"/>
  <c r="B8961" i="10"/>
  <c r="A8961" i="10"/>
  <c r="E8960" i="10"/>
  <c r="D8960" i="10"/>
  <c r="C8960" i="10"/>
  <c r="B8960" i="10"/>
  <c r="A8960" i="10"/>
  <c r="E8959" i="10"/>
  <c r="D8959" i="10"/>
  <c r="C8959" i="10"/>
  <c r="B8959" i="10"/>
  <c r="A8959" i="10"/>
  <c r="E8958" i="10"/>
  <c r="D8958" i="10"/>
  <c r="C8958" i="10"/>
  <c r="B8958" i="10"/>
  <c r="A8958" i="10"/>
  <c r="E8957" i="10"/>
  <c r="D8957" i="10"/>
  <c r="C8957" i="10"/>
  <c r="B8957" i="10"/>
  <c r="A8957" i="10"/>
  <c r="E8956" i="10"/>
  <c r="D8956" i="10"/>
  <c r="C8956" i="10"/>
  <c r="B8956" i="10"/>
  <c r="A8956" i="10"/>
  <c r="E8955" i="10"/>
  <c r="D8955" i="10"/>
  <c r="C8955" i="10"/>
  <c r="B8955" i="10"/>
  <c r="A8955" i="10"/>
  <c r="E8954" i="10"/>
  <c r="D8954" i="10"/>
  <c r="C8954" i="10"/>
  <c r="B8954" i="10"/>
  <c r="A8954" i="10"/>
  <c r="E8953" i="10"/>
  <c r="D8953" i="10"/>
  <c r="C8953" i="10"/>
  <c r="B8953" i="10"/>
  <c r="A8953" i="10"/>
  <c r="E8952" i="10"/>
  <c r="D8952" i="10"/>
  <c r="C8952" i="10"/>
  <c r="B8952" i="10"/>
  <c r="A8952" i="10"/>
  <c r="E8951" i="10"/>
  <c r="D8951" i="10"/>
  <c r="C8951" i="10"/>
  <c r="B8951" i="10"/>
  <c r="A8951" i="10"/>
  <c r="E8950" i="10"/>
  <c r="D8950" i="10"/>
  <c r="C8950" i="10"/>
  <c r="B8950" i="10"/>
  <c r="A8950" i="10"/>
  <c r="E8949" i="10"/>
  <c r="D8949" i="10"/>
  <c r="C8949" i="10"/>
  <c r="B8949" i="10"/>
  <c r="A8949" i="10"/>
  <c r="E8948" i="10"/>
  <c r="D8948" i="10"/>
  <c r="C8948" i="10"/>
  <c r="B8948" i="10"/>
  <c r="A8948" i="10"/>
  <c r="E8947" i="10"/>
  <c r="D8947" i="10"/>
  <c r="C8947" i="10"/>
  <c r="B8947" i="10"/>
  <c r="A8947" i="10"/>
  <c r="E8946" i="10"/>
  <c r="D8946" i="10"/>
  <c r="C8946" i="10"/>
  <c r="B8946" i="10"/>
  <c r="A8946" i="10"/>
  <c r="E8945" i="10"/>
  <c r="D8945" i="10"/>
  <c r="C8945" i="10"/>
  <c r="B8945" i="10"/>
  <c r="A8945" i="10"/>
  <c r="E8944" i="10"/>
  <c r="D8944" i="10"/>
  <c r="C8944" i="10"/>
  <c r="B8944" i="10"/>
  <c r="A8944" i="10"/>
  <c r="E8943" i="10"/>
  <c r="D8943" i="10"/>
  <c r="C8943" i="10"/>
  <c r="B8943" i="10"/>
  <c r="A8943" i="10"/>
  <c r="E8942" i="10"/>
  <c r="D8942" i="10"/>
  <c r="C8942" i="10"/>
  <c r="B8942" i="10"/>
  <c r="A8942" i="10"/>
  <c r="E8941" i="10"/>
  <c r="D8941" i="10"/>
  <c r="C8941" i="10"/>
  <c r="B8941" i="10"/>
  <c r="A8941" i="10"/>
  <c r="E8940" i="10"/>
  <c r="D8940" i="10"/>
  <c r="C8940" i="10"/>
  <c r="B8940" i="10"/>
  <c r="A8940" i="10"/>
  <c r="E8939" i="10"/>
  <c r="D8939" i="10"/>
  <c r="C8939" i="10"/>
  <c r="B8939" i="10"/>
  <c r="A8939" i="10"/>
  <c r="E8938" i="10"/>
  <c r="D8938" i="10"/>
  <c r="C8938" i="10"/>
  <c r="B8938" i="10"/>
  <c r="A8938" i="10"/>
  <c r="E8937" i="10"/>
  <c r="D8937" i="10"/>
  <c r="C8937" i="10"/>
  <c r="B8937" i="10"/>
  <c r="A8937" i="10"/>
  <c r="E8936" i="10"/>
  <c r="D8936" i="10"/>
  <c r="C8936" i="10"/>
  <c r="B8936" i="10"/>
  <c r="A8936" i="10"/>
  <c r="E8935" i="10"/>
  <c r="D8935" i="10"/>
  <c r="C8935" i="10"/>
  <c r="B8935" i="10"/>
  <c r="A8935" i="10"/>
  <c r="E8934" i="10"/>
  <c r="D8934" i="10"/>
  <c r="C8934" i="10"/>
  <c r="B8934" i="10"/>
  <c r="A8934" i="10"/>
  <c r="E8933" i="10"/>
  <c r="D8933" i="10"/>
  <c r="C8933" i="10"/>
  <c r="B8933" i="10"/>
  <c r="A8933" i="10"/>
  <c r="E8932" i="10"/>
  <c r="D8932" i="10"/>
  <c r="C8932" i="10"/>
  <c r="B8932" i="10"/>
  <c r="A8932" i="10"/>
  <c r="E8931" i="10"/>
  <c r="D8931" i="10"/>
  <c r="C8931" i="10"/>
  <c r="B8931" i="10"/>
  <c r="A8931" i="10"/>
  <c r="E8930" i="10"/>
  <c r="D8930" i="10"/>
  <c r="C8930" i="10"/>
  <c r="B8930" i="10"/>
  <c r="A8930" i="10"/>
  <c r="E8929" i="10"/>
  <c r="D8929" i="10"/>
  <c r="C8929" i="10"/>
  <c r="B8929" i="10"/>
  <c r="A8929" i="10"/>
  <c r="E8928" i="10"/>
  <c r="D8928" i="10"/>
  <c r="C8928" i="10"/>
  <c r="B8928" i="10"/>
  <c r="A8928" i="10"/>
  <c r="E8927" i="10"/>
  <c r="D8927" i="10"/>
  <c r="C8927" i="10"/>
  <c r="B8927" i="10"/>
  <c r="A8927" i="10"/>
  <c r="E8926" i="10"/>
  <c r="D8926" i="10"/>
  <c r="C8926" i="10"/>
  <c r="B8926" i="10"/>
  <c r="A8926" i="10"/>
  <c r="E8925" i="10"/>
  <c r="D8925" i="10"/>
  <c r="C8925" i="10"/>
  <c r="B8925" i="10"/>
  <c r="A8925" i="10"/>
  <c r="E8924" i="10"/>
  <c r="D8924" i="10"/>
  <c r="C8924" i="10"/>
  <c r="B8924" i="10"/>
  <c r="A8924" i="10"/>
  <c r="E8923" i="10"/>
  <c r="D8923" i="10"/>
  <c r="C8923" i="10"/>
  <c r="B8923" i="10"/>
  <c r="A8923" i="10"/>
  <c r="E8922" i="10"/>
  <c r="D8922" i="10"/>
  <c r="C8922" i="10"/>
  <c r="B8922" i="10"/>
  <c r="A8922" i="10"/>
  <c r="E8921" i="10"/>
  <c r="D8921" i="10"/>
  <c r="C8921" i="10"/>
  <c r="B8921" i="10"/>
  <c r="A8921" i="10"/>
  <c r="E8920" i="10"/>
  <c r="D8920" i="10"/>
  <c r="C8920" i="10"/>
  <c r="B8920" i="10"/>
  <c r="A8920" i="10"/>
  <c r="E8919" i="10"/>
  <c r="D8919" i="10"/>
  <c r="C8919" i="10"/>
  <c r="B8919" i="10"/>
  <c r="A8919" i="10"/>
  <c r="E8918" i="10"/>
  <c r="D8918" i="10"/>
  <c r="C8918" i="10"/>
  <c r="B8918" i="10"/>
  <c r="A8918" i="10"/>
  <c r="E8917" i="10"/>
  <c r="D8917" i="10"/>
  <c r="C8917" i="10"/>
  <c r="B8917" i="10"/>
  <c r="A8917" i="10"/>
  <c r="E8916" i="10"/>
  <c r="D8916" i="10"/>
  <c r="C8916" i="10"/>
  <c r="B8916" i="10"/>
  <c r="A8916" i="10"/>
  <c r="E8915" i="10"/>
  <c r="D8915" i="10"/>
  <c r="C8915" i="10"/>
  <c r="B8915" i="10"/>
  <c r="A8915" i="10"/>
  <c r="E8914" i="10"/>
  <c r="D8914" i="10"/>
  <c r="C8914" i="10"/>
  <c r="B8914" i="10"/>
  <c r="A8914" i="10"/>
  <c r="E8913" i="10"/>
  <c r="D8913" i="10"/>
  <c r="C8913" i="10"/>
  <c r="B8913" i="10"/>
  <c r="A8913" i="10"/>
  <c r="E8912" i="10"/>
  <c r="D8912" i="10"/>
  <c r="C8912" i="10"/>
  <c r="B8912" i="10"/>
  <c r="A8912" i="10"/>
  <c r="E8911" i="10"/>
  <c r="D8911" i="10"/>
  <c r="C8911" i="10"/>
  <c r="B8911" i="10"/>
  <c r="A8911" i="10"/>
  <c r="E8910" i="10"/>
  <c r="D8910" i="10"/>
  <c r="C8910" i="10"/>
  <c r="B8910" i="10"/>
  <c r="A8910" i="10"/>
  <c r="E8909" i="10"/>
  <c r="D8909" i="10"/>
  <c r="C8909" i="10"/>
  <c r="B8909" i="10"/>
  <c r="A8909" i="10"/>
  <c r="E8908" i="10"/>
  <c r="D8908" i="10"/>
  <c r="C8908" i="10"/>
  <c r="B8908" i="10"/>
  <c r="A8908" i="10"/>
  <c r="E8907" i="10"/>
  <c r="D8907" i="10"/>
  <c r="C8907" i="10"/>
  <c r="B8907" i="10"/>
  <c r="A8907" i="10"/>
  <c r="E8906" i="10"/>
  <c r="D8906" i="10"/>
  <c r="C8906" i="10"/>
  <c r="B8906" i="10"/>
  <c r="A8906" i="10"/>
  <c r="E8905" i="10"/>
  <c r="D8905" i="10"/>
  <c r="C8905" i="10"/>
  <c r="B8905" i="10"/>
  <c r="A8905" i="10"/>
  <c r="E8904" i="10"/>
  <c r="D8904" i="10"/>
  <c r="C8904" i="10"/>
  <c r="B8904" i="10"/>
  <c r="A8904" i="10"/>
  <c r="E8903" i="10"/>
  <c r="D8903" i="10"/>
  <c r="C8903" i="10"/>
  <c r="B8903" i="10"/>
  <c r="A8903" i="10"/>
  <c r="E8902" i="10"/>
  <c r="D8902" i="10"/>
  <c r="C8902" i="10"/>
  <c r="B8902" i="10"/>
  <c r="A8902" i="10"/>
  <c r="E8901" i="10"/>
  <c r="D8901" i="10"/>
  <c r="C8901" i="10"/>
  <c r="B8901" i="10"/>
  <c r="A8901" i="10"/>
  <c r="E8900" i="10"/>
  <c r="D8900" i="10"/>
  <c r="C8900" i="10"/>
  <c r="B8900" i="10"/>
  <c r="A8900" i="10"/>
  <c r="E8899" i="10"/>
  <c r="D8899" i="10"/>
  <c r="C8899" i="10"/>
  <c r="B8899" i="10"/>
  <c r="A8899" i="10"/>
  <c r="E8898" i="10"/>
  <c r="D8898" i="10"/>
  <c r="C8898" i="10"/>
  <c r="B8898" i="10"/>
  <c r="A8898" i="10"/>
  <c r="E8897" i="10"/>
  <c r="D8897" i="10"/>
  <c r="C8897" i="10"/>
  <c r="B8897" i="10"/>
  <c r="A8897" i="10"/>
  <c r="E8896" i="10"/>
  <c r="D8896" i="10"/>
  <c r="C8896" i="10"/>
  <c r="B8896" i="10"/>
  <c r="A8896" i="10"/>
  <c r="E8895" i="10"/>
  <c r="D8895" i="10"/>
  <c r="C8895" i="10"/>
  <c r="B8895" i="10"/>
  <c r="A8895" i="10"/>
  <c r="E8894" i="10"/>
  <c r="D8894" i="10"/>
  <c r="C8894" i="10"/>
  <c r="B8894" i="10"/>
  <c r="A8894" i="10"/>
  <c r="E8893" i="10"/>
  <c r="D8893" i="10"/>
  <c r="C8893" i="10"/>
  <c r="B8893" i="10"/>
  <c r="A8893" i="10"/>
  <c r="E8892" i="10"/>
  <c r="D8892" i="10"/>
  <c r="C8892" i="10"/>
  <c r="B8892" i="10"/>
  <c r="A8892" i="10"/>
  <c r="E8891" i="10"/>
  <c r="D8891" i="10"/>
  <c r="C8891" i="10"/>
  <c r="B8891" i="10"/>
  <c r="A8891" i="10"/>
  <c r="E8890" i="10"/>
  <c r="D8890" i="10"/>
  <c r="C8890" i="10"/>
  <c r="B8890" i="10"/>
  <c r="A8890" i="10"/>
  <c r="E8889" i="10"/>
  <c r="D8889" i="10"/>
  <c r="C8889" i="10"/>
  <c r="B8889" i="10"/>
  <c r="A8889" i="10"/>
  <c r="E8888" i="10"/>
  <c r="D8888" i="10"/>
  <c r="C8888" i="10"/>
  <c r="B8888" i="10"/>
  <c r="A8888" i="10"/>
  <c r="E8887" i="10"/>
  <c r="D8887" i="10"/>
  <c r="C8887" i="10"/>
  <c r="B8887" i="10"/>
  <c r="A8887" i="10"/>
  <c r="E8886" i="10"/>
  <c r="D8886" i="10"/>
  <c r="C8886" i="10"/>
  <c r="B8886" i="10"/>
  <c r="A8886" i="10"/>
  <c r="E8885" i="10"/>
  <c r="D8885" i="10"/>
  <c r="C8885" i="10"/>
  <c r="B8885" i="10"/>
  <c r="A8885" i="10"/>
  <c r="E8884" i="10"/>
  <c r="D8884" i="10"/>
  <c r="C8884" i="10"/>
  <c r="B8884" i="10"/>
  <c r="A8884" i="10"/>
  <c r="E8883" i="10"/>
  <c r="D8883" i="10"/>
  <c r="C8883" i="10"/>
  <c r="B8883" i="10"/>
  <c r="A8883" i="10"/>
  <c r="E8882" i="10"/>
  <c r="D8882" i="10"/>
  <c r="C8882" i="10"/>
  <c r="B8882" i="10"/>
  <c r="A8882" i="10"/>
  <c r="E8881" i="10"/>
  <c r="D8881" i="10"/>
  <c r="C8881" i="10"/>
  <c r="B8881" i="10"/>
  <c r="A8881" i="10"/>
  <c r="E8880" i="10"/>
  <c r="D8880" i="10"/>
  <c r="C8880" i="10"/>
  <c r="B8880" i="10"/>
  <c r="A8880" i="10"/>
  <c r="E8879" i="10"/>
  <c r="D8879" i="10"/>
  <c r="C8879" i="10"/>
  <c r="B8879" i="10"/>
  <c r="A8879" i="10"/>
  <c r="E8878" i="10"/>
  <c r="D8878" i="10"/>
  <c r="C8878" i="10"/>
  <c r="B8878" i="10"/>
  <c r="A8878" i="10"/>
  <c r="E8877" i="10"/>
  <c r="D8877" i="10"/>
  <c r="C8877" i="10"/>
  <c r="B8877" i="10"/>
  <c r="A8877" i="10"/>
  <c r="E8876" i="10"/>
  <c r="D8876" i="10"/>
  <c r="C8876" i="10"/>
  <c r="B8876" i="10"/>
  <c r="A8876" i="10"/>
  <c r="E8875" i="10"/>
  <c r="D8875" i="10"/>
  <c r="C8875" i="10"/>
  <c r="B8875" i="10"/>
  <c r="A8875" i="10"/>
  <c r="E8874" i="10"/>
  <c r="D8874" i="10"/>
  <c r="C8874" i="10"/>
  <c r="B8874" i="10"/>
  <c r="A8874" i="10"/>
  <c r="E8873" i="10"/>
  <c r="D8873" i="10"/>
  <c r="C8873" i="10"/>
  <c r="B8873" i="10"/>
  <c r="A8873" i="10"/>
  <c r="E8872" i="10"/>
  <c r="D8872" i="10"/>
  <c r="C8872" i="10"/>
  <c r="B8872" i="10"/>
  <c r="A8872" i="10"/>
  <c r="E8871" i="10"/>
  <c r="D8871" i="10"/>
  <c r="C8871" i="10"/>
  <c r="B8871" i="10"/>
  <c r="A8871" i="10"/>
  <c r="E8870" i="10"/>
  <c r="D8870" i="10"/>
  <c r="C8870" i="10"/>
  <c r="B8870" i="10"/>
  <c r="A8870" i="10"/>
  <c r="E8869" i="10"/>
  <c r="D8869" i="10"/>
  <c r="C8869" i="10"/>
  <c r="B8869" i="10"/>
  <c r="A8869" i="10"/>
  <c r="E8868" i="10"/>
  <c r="D8868" i="10"/>
  <c r="C8868" i="10"/>
  <c r="B8868" i="10"/>
  <c r="A8868" i="10"/>
  <c r="E8867" i="10"/>
  <c r="D8867" i="10"/>
  <c r="C8867" i="10"/>
  <c r="B8867" i="10"/>
  <c r="A8867" i="10"/>
  <c r="E8866" i="10"/>
  <c r="D8866" i="10"/>
  <c r="C8866" i="10"/>
  <c r="B8866" i="10"/>
  <c r="A8866" i="10"/>
  <c r="E8865" i="10"/>
  <c r="D8865" i="10"/>
  <c r="C8865" i="10"/>
  <c r="B8865" i="10"/>
  <c r="A8865" i="10"/>
  <c r="E8864" i="10"/>
  <c r="D8864" i="10"/>
  <c r="C8864" i="10"/>
  <c r="B8864" i="10"/>
  <c r="A8864" i="10"/>
  <c r="E8863" i="10"/>
  <c r="D8863" i="10"/>
  <c r="C8863" i="10"/>
  <c r="B8863" i="10"/>
  <c r="A8863" i="10"/>
  <c r="E8862" i="10"/>
  <c r="D8862" i="10"/>
  <c r="C8862" i="10"/>
  <c r="B8862" i="10"/>
  <c r="A8862" i="10"/>
  <c r="E8861" i="10"/>
  <c r="D8861" i="10"/>
  <c r="C8861" i="10"/>
  <c r="B8861" i="10"/>
  <c r="A8861" i="10"/>
  <c r="E8860" i="10"/>
  <c r="D8860" i="10"/>
  <c r="C8860" i="10"/>
  <c r="B8860" i="10"/>
  <c r="A8860" i="10"/>
  <c r="E8859" i="10"/>
  <c r="D8859" i="10"/>
  <c r="C8859" i="10"/>
  <c r="B8859" i="10"/>
  <c r="A8859" i="10"/>
  <c r="E8858" i="10"/>
  <c r="D8858" i="10"/>
  <c r="C8858" i="10"/>
  <c r="B8858" i="10"/>
  <c r="A8858" i="10"/>
  <c r="E8857" i="10"/>
  <c r="D8857" i="10"/>
  <c r="C8857" i="10"/>
  <c r="B8857" i="10"/>
  <c r="A8857" i="10"/>
  <c r="E8856" i="10"/>
  <c r="D8856" i="10"/>
  <c r="C8856" i="10"/>
  <c r="B8856" i="10"/>
  <c r="A8856" i="10"/>
  <c r="E8855" i="10"/>
  <c r="D8855" i="10"/>
  <c r="C8855" i="10"/>
  <c r="B8855" i="10"/>
  <c r="A8855" i="10"/>
  <c r="E8854" i="10"/>
  <c r="D8854" i="10"/>
  <c r="C8854" i="10"/>
  <c r="B8854" i="10"/>
  <c r="A8854" i="10"/>
  <c r="E8853" i="10"/>
  <c r="D8853" i="10"/>
  <c r="C8853" i="10"/>
  <c r="B8853" i="10"/>
  <c r="A8853" i="10"/>
  <c r="E8852" i="10"/>
  <c r="D8852" i="10"/>
  <c r="C8852" i="10"/>
  <c r="B8852" i="10"/>
  <c r="A8852" i="10"/>
  <c r="E8851" i="10"/>
  <c r="D8851" i="10"/>
  <c r="C8851" i="10"/>
  <c r="B8851" i="10"/>
  <c r="A8851" i="10"/>
  <c r="E8850" i="10"/>
  <c r="D8850" i="10"/>
  <c r="C8850" i="10"/>
  <c r="B8850" i="10"/>
  <c r="A8850" i="10"/>
  <c r="E8849" i="10"/>
  <c r="D8849" i="10"/>
  <c r="C8849" i="10"/>
  <c r="B8849" i="10"/>
  <c r="A8849" i="10"/>
  <c r="E8848" i="10"/>
  <c r="D8848" i="10"/>
  <c r="C8848" i="10"/>
  <c r="B8848" i="10"/>
  <c r="A8848" i="10"/>
  <c r="E8847" i="10"/>
  <c r="D8847" i="10"/>
  <c r="C8847" i="10"/>
  <c r="B8847" i="10"/>
  <c r="A8847" i="10"/>
  <c r="E8846" i="10"/>
  <c r="D8846" i="10"/>
  <c r="C8846" i="10"/>
  <c r="B8846" i="10"/>
  <c r="A8846" i="10"/>
  <c r="E8845" i="10"/>
  <c r="D8845" i="10"/>
  <c r="C8845" i="10"/>
  <c r="B8845" i="10"/>
  <c r="A8845" i="10"/>
  <c r="E8844" i="10"/>
  <c r="D8844" i="10"/>
  <c r="C8844" i="10"/>
  <c r="B8844" i="10"/>
  <c r="A8844" i="10"/>
  <c r="E8843" i="10"/>
  <c r="D8843" i="10"/>
  <c r="C8843" i="10"/>
  <c r="B8843" i="10"/>
  <c r="A8843" i="10"/>
  <c r="E8842" i="10"/>
  <c r="D8842" i="10"/>
  <c r="C8842" i="10"/>
  <c r="B8842" i="10"/>
  <c r="A8842" i="10"/>
  <c r="E8841" i="10"/>
  <c r="D8841" i="10"/>
  <c r="C8841" i="10"/>
  <c r="B8841" i="10"/>
  <c r="A8841" i="10"/>
  <c r="E8840" i="10"/>
  <c r="D8840" i="10"/>
  <c r="C8840" i="10"/>
  <c r="B8840" i="10"/>
  <c r="A8840" i="10"/>
  <c r="E8839" i="10"/>
  <c r="D8839" i="10"/>
  <c r="C8839" i="10"/>
  <c r="B8839" i="10"/>
  <c r="A8839" i="10"/>
  <c r="E8838" i="10"/>
  <c r="D8838" i="10"/>
  <c r="C8838" i="10"/>
  <c r="B8838" i="10"/>
  <c r="A8838" i="10"/>
  <c r="E8837" i="10"/>
  <c r="D8837" i="10"/>
  <c r="C8837" i="10"/>
  <c r="B8837" i="10"/>
  <c r="A8837" i="10"/>
  <c r="E8836" i="10"/>
  <c r="D8836" i="10"/>
  <c r="C8836" i="10"/>
  <c r="B8836" i="10"/>
  <c r="A8836" i="10"/>
  <c r="E8835" i="10"/>
  <c r="D8835" i="10"/>
  <c r="C8835" i="10"/>
  <c r="B8835" i="10"/>
  <c r="A8835" i="10"/>
  <c r="E8834" i="10"/>
  <c r="D8834" i="10"/>
  <c r="C8834" i="10"/>
  <c r="B8834" i="10"/>
  <c r="A8834" i="10"/>
  <c r="E8833" i="10"/>
  <c r="D8833" i="10"/>
  <c r="C8833" i="10"/>
  <c r="B8833" i="10"/>
  <c r="A8833" i="10"/>
  <c r="E8832" i="10"/>
  <c r="D8832" i="10"/>
  <c r="C8832" i="10"/>
  <c r="B8832" i="10"/>
  <c r="A8832" i="10"/>
  <c r="E8831" i="10"/>
  <c r="D8831" i="10"/>
  <c r="C8831" i="10"/>
  <c r="B8831" i="10"/>
  <c r="A8831" i="10"/>
  <c r="E8830" i="10"/>
  <c r="D8830" i="10"/>
  <c r="C8830" i="10"/>
  <c r="B8830" i="10"/>
  <c r="A8830" i="10"/>
  <c r="E8829" i="10"/>
  <c r="D8829" i="10"/>
  <c r="C8829" i="10"/>
  <c r="B8829" i="10"/>
  <c r="A8829" i="10"/>
  <c r="E8828" i="10"/>
  <c r="D8828" i="10"/>
  <c r="C8828" i="10"/>
  <c r="B8828" i="10"/>
  <c r="A8828" i="10"/>
  <c r="E8827" i="10"/>
  <c r="D8827" i="10"/>
  <c r="C8827" i="10"/>
  <c r="B8827" i="10"/>
  <c r="A8827" i="10"/>
  <c r="E8826" i="10"/>
  <c r="D8826" i="10"/>
  <c r="C8826" i="10"/>
  <c r="B8826" i="10"/>
  <c r="A8826" i="10"/>
  <c r="E8825" i="10"/>
  <c r="D8825" i="10"/>
  <c r="C8825" i="10"/>
  <c r="B8825" i="10"/>
  <c r="A8825" i="10"/>
  <c r="E8824" i="10"/>
  <c r="D8824" i="10"/>
  <c r="C8824" i="10"/>
  <c r="B8824" i="10"/>
  <c r="A8824" i="10"/>
  <c r="E8823" i="10"/>
  <c r="D8823" i="10"/>
  <c r="C8823" i="10"/>
  <c r="B8823" i="10"/>
  <c r="A8823" i="10"/>
  <c r="E8822" i="10"/>
  <c r="D8822" i="10"/>
  <c r="C8822" i="10"/>
  <c r="B8822" i="10"/>
  <c r="A8822" i="10"/>
  <c r="E8821" i="10"/>
  <c r="D8821" i="10"/>
  <c r="C8821" i="10"/>
  <c r="B8821" i="10"/>
  <c r="A8821" i="10"/>
  <c r="E8820" i="10"/>
  <c r="D8820" i="10"/>
  <c r="C8820" i="10"/>
  <c r="B8820" i="10"/>
  <c r="A8820" i="10"/>
  <c r="E8819" i="10"/>
  <c r="D8819" i="10"/>
  <c r="C8819" i="10"/>
  <c r="B8819" i="10"/>
  <c r="A8819" i="10"/>
  <c r="E8818" i="10"/>
  <c r="D8818" i="10"/>
  <c r="C8818" i="10"/>
  <c r="B8818" i="10"/>
  <c r="A8818" i="10"/>
  <c r="E8817" i="10"/>
  <c r="D8817" i="10"/>
  <c r="C8817" i="10"/>
  <c r="B8817" i="10"/>
  <c r="A8817" i="10"/>
  <c r="E8816" i="10"/>
  <c r="D8816" i="10"/>
  <c r="C8816" i="10"/>
  <c r="B8816" i="10"/>
  <c r="A8816" i="10"/>
  <c r="E8815" i="10"/>
  <c r="D8815" i="10"/>
  <c r="C8815" i="10"/>
  <c r="B8815" i="10"/>
  <c r="A8815" i="10"/>
  <c r="E8814" i="10"/>
  <c r="D8814" i="10"/>
  <c r="C8814" i="10"/>
  <c r="B8814" i="10"/>
  <c r="A8814" i="10"/>
  <c r="E8813" i="10"/>
  <c r="D8813" i="10"/>
  <c r="C8813" i="10"/>
  <c r="B8813" i="10"/>
  <c r="A8813" i="10"/>
  <c r="E8812" i="10"/>
  <c r="D8812" i="10"/>
  <c r="C8812" i="10"/>
  <c r="B8812" i="10"/>
  <c r="A8812" i="10"/>
  <c r="E8811" i="10"/>
  <c r="D8811" i="10"/>
  <c r="C8811" i="10"/>
  <c r="B8811" i="10"/>
  <c r="A8811" i="10"/>
  <c r="E8810" i="10"/>
  <c r="D8810" i="10"/>
  <c r="C8810" i="10"/>
  <c r="B8810" i="10"/>
  <c r="A8810" i="10"/>
  <c r="E8809" i="10"/>
  <c r="D8809" i="10"/>
  <c r="C8809" i="10"/>
  <c r="B8809" i="10"/>
  <c r="A8809" i="10"/>
  <c r="E8808" i="10"/>
  <c r="D8808" i="10"/>
  <c r="C8808" i="10"/>
  <c r="B8808" i="10"/>
  <c r="A8808" i="10"/>
  <c r="E8807" i="10"/>
  <c r="D8807" i="10"/>
  <c r="C8807" i="10"/>
  <c r="B8807" i="10"/>
  <c r="A8807" i="10"/>
  <c r="E8806" i="10"/>
  <c r="D8806" i="10"/>
  <c r="C8806" i="10"/>
  <c r="B8806" i="10"/>
  <c r="A8806" i="10"/>
  <c r="E8805" i="10"/>
  <c r="D8805" i="10"/>
  <c r="C8805" i="10"/>
  <c r="B8805" i="10"/>
  <c r="A8805" i="10"/>
  <c r="E8804" i="10"/>
  <c r="D8804" i="10"/>
  <c r="C8804" i="10"/>
  <c r="B8804" i="10"/>
  <c r="A8804" i="10"/>
  <c r="E8803" i="10"/>
  <c r="D8803" i="10"/>
  <c r="C8803" i="10"/>
  <c r="B8803" i="10"/>
  <c r="A8803" i="10"/>
  <c r="E8802" i="10"/>
  <c r="D8802" i="10"/>
  <c r="C8802" i="10"/>
  <c r="B8802" i="10"/>
  <c r="A8802" i="10"/>
  <c r="E8801" i="10"/>
  <c r="D8801" i="10"/>
  <c r="C8801" i="10"/>
  <c r="B8801" i="10"/>
  <c r="A8801" i="10"/>
  <c r="E8800" i="10"/>
  <c r="D8800" i="10"/>
  <c r="C8800" i="10"/>
  <c r="B8800" i="10"/>
  <c r="A8800" i="10"/>
  <c r="E8799" i="10"/>
  <c r="D8799" i="10"/>
  <c r="C8799" i="10"/>
  <c r="B8799" i="10"/>
  <c r="A8799" i="10"/>
  <c r="E8798" i="10"/>
  <c r="D8798" i="10"/>
  <c r="C8798" i="10"/>
  <c r="B8798" i="10"/>
  <c r="A8798" i="10"/>
  <c r="E8797" i="10"/>
  <c r="D8797" i="10"/>
  <c r="C8797" i="10"/>
  <c r="B8797" i="10"/>
  <c r="A8797" i="10"/>
  <c r="E8796" i="10"/>
  <c r="D8796" i="10"/>
  <c r="C8796" i="10"/>
  <c r="B8796" i="10"/>
  <c r="A8796" i="10"/>
  <c r="E8795" i="10"/>
  <c r="D8795" i="10"/>
  <c r="C8795" i="10"/>
  <c r="B8795" i="10"/>
  <c r="A8795" i="10"/>
  <c r="E8794" i="10"/>
  <c r="D8794" i="10"/>
  <c r="C8794" i="10"/>
  <c r="B8794" i="10"/>
  <c r="A8794" i="10"/>
  <c r="E8793" i="10"/>
  <c r="D8793" i="10"/>
  <c r="C8793" i="10"/>
  <c r="B8793" i="10"/>
  <c r="A8793" i="10"/>
  <c r="E8792" i="10"/>
  <c r="D8792" i="10"/>
  <c r="C8792" i="10"/>
  <c r="B8792" i="10"/>
  <c r="A8792" i="10"/>
  <c r="E8791" i="10"/>
  <c r="D8791" i="10"/>
  <c r="C8791" i="10"/>
  <c r="B8791" i="10"/>
  <c r="A8791" i="10"/>
  <c r="E8790" i="10"/>
  <c r="D8790" i="10"/>
  <c r="C8790" i="10"/>
  <c r="B8790" i="10"/>
  <c r="A8790" i="10"/>
  <c r="E8789" i="10"/>
  <c r="D8789" i="10"/>
  <c r="C8789" i="10"/>
  <c r="B8789" i="10"/>
  <c r="A8789" i="10"/>
  <c r="E8788" i="10"/>
  <c r="D8788" i="10"/>
  <c r="C8788" i="10"/>
  <c r="B8788" i="10"/>
  <c r="A8788" i="10"/>
  <c r="E8787" i="10"/>
  <c r="D8787" i="10"/>
  <c r="C8787" i="10"/>
  <c r="B8787" i="10"/>
  <c r="A8787" i="10"/>
  <c r="E8786" i="10"/>
  <c r="D8786" i="10"/>
  <c r="C8786" i="10"/>
  <c r="B8786" i="10"/>
  <c r="A8786" i="10"/>
  <c r="E8785" i="10"/>
  <c r="D8785" i="10"/>
  <c r="C8785" i="10"/>
  <c r="B8785" i="10"/>
  <c r="A8785" i="10"/>
  <c r="E8784" i="10"/>
  <c r="D8784" i="10"/>
  <c r="C8784" i="10"/>
  <c r="B8784" i="10"/>
  <c r="A8784" i="10"/>
  <c r="E8783" i="10"/>
  <c r="D8783" i="10"/>
  <c r="C8783" i="10"/>
  <c r="B8783" i="10"/>
  <c r="A8783" i="10"/>
  <c r="E8782" i="10"/>
  <c r="D8782" i="10"/>
  <c r="C8782" i="10"/>
  <c r="B8782" i="10"/>
  <c r="A8782" i="10"/>
  <c r="E8781" i="10"/>
  <c r="D8781" i="10"/>
  <c r="C8781" i="10"/>
  <c r="B8781" i="10"/>
  <c r="A8781" i="10"/>
  <c r="E8780" i="10"/>
  <c r="D8780" i="10"/>
  <c r="C8780" i="10"/>
  <c r="B8780" i="10"/>
  <c r="A8780" i="10"/>
  <c r="E8779" i="10"/>
  <c r="D8779" i="10"/>
  <c r="C8779" i="10"/>
  <c r="B8779" i="10"/>
  <c r="A8779" i="10"/>
  <c r="E8778" i="10"/>
  <c r="D8778" i="10"/>
  <c r="C8778" i="10"/>
  <c r="B8778" i="10"/>
  <c r="A8778" i="10"/>
  <c r="E8777" i="10"/>
  <c r="D8777" i="10"/>
  <c r="C8777" i="10"/>
  <c r="B8777" i="10"/>
  <c r="A8777" i="10"/>
  <c r="E8776" i="10"/>
  <c r="D8776" i="10"/>
  <c r="C8776" i="10"/>
  <c r="B8776" i="10"/>
  <c r="A8776" i="10"/>
  <c r="E8775" i="10"/>
  <c r="D8775" i="10"/>
  <c r="C8775" i="10"/>
  <c r="B8775" i="10"/>
  <c r="A8775" i="10"/>
  <c r="E8774" i="10"/>
  <c r="D8774" i="10"/>
  <c r="C8774" i="10"/>
  <c r="B8774" i="10"/>
  <c r="A8774" i="10"/>
  <c r="E8773" i="10"/>
  <c r="D8773" i="10"/>
  <c r="C8773" i="10"/>
  <c r="B8773" i="10"/>
  <c r="A8773" i="10"/>
  <c r="E8772" i="10"/>
  <c r="D8772" i="10"/>
  <c r="C8772" i="10"/>
  <c r="B8772" i="10"/>
  <c r="A8772" i="10"/>
  <c r="E8771" i="10"/>
  <c r="D8771" i="10"/>
  <c r="C8771" i="10"/>
  <c r="B8771" i="10"/>
  <c r="A8771" i="10"/>
  <c r="E8770" i="10"/>
  <c r="D8770" i="10"/>
  <c r="C8770" i="10"/>
  <c r="B8770" i="10"/>
  <c r="A8770" i="10"/>
  <c r="E8769" i="10"/>
  <c r="D8769" i="10"/>
  <c r="C8769" i="10"/>
  <c r="B8769" i="10"/>
  <c r="A8769" i="10"/>
  <c r="E8768" i="10"/>
  <c r="D8768" i="10"/>
  <c r="C8768" i="10"/>
  <c r="B8768" i="10"/>
  <c r="A8768" i="10"/>
  <c r="E8767" i="10"/>
  <c r="D8767" i="10"/>
  <c r="C8767" i="10"/>
  <c r="B8767" i="10"/>
  <c r="A8767" i="10"/>
  <c r="E8766" i="10"/>
  <c r="D8766" i="10"/>
  <c r="C8766" i="10"/>
  <c r="B8766" i="10"/>
  <c r="A8766" i="10"/>
  <c r="E8765" i="10"/>
  <c r="D8765" i="10"/>
  <c r="C8765" i="10"/>
  <c r="B8765" i="10"/>
  <c r="A8765" i="10"/>
  <c r="E8764" i="10"/>
  <c r="D8764" i="10"/>
  <c r="C8764" i="10"/>
  <c r="B8764" i="10"/>
  <c r="A8764" i="10"/>
  <c r="E8763" i="10"/>
  <c r="D8763" i="10"/>
  <c r="C8763" i="10"/>
  <c r="B8763" i="10"/>
  <c r="A8763" i="10"/>
  <c r="E8762" i="10"/>
  <c r="D8762" i="10"/>
  <c r="C8762" i="10"/>
  <c r="B8762" i="10"/>
  <c r="A8762" i="10"/>
  <c r="E8761" i="10"/>
  <c r="D8761" i="10"/>
  <c r="C8761" i="10"/>
  <c r="B8761" i="10"/>
  <c r="A8761" i="10"/>
  <c r="E8760" i="10"/>
  <c r="D8760" i="10"/>
  <c r="C8760" i="10"/>
  <c r="B8760" i="10"/>
  <c r="A8760" i="10"/>
  <c r="E8759" i="10"/>
  <c r="D8759" i="10"/>
  <c r="C8759" i="10"/>
  <c r="B8759" i="10"/>
  <c r="A8759" i="10"/>
  <c r="E8758" i="10"/>
  <c r="D8758" i="10"/>
  <c r="C8758" i="10"/>
  <c r="B8758" i="10"/>
  <c r="A8758" i="10"/>
  <c r="E8757" i="10"/>
  <c r="D8757" i="10"/>
  <c r="C8757" i="10"/>
  <c r="B8757" i="10"/>
  <c r="A8757" i="10"/>
  <c r="E8756" i="10"/>
  <c r="D8756" i="10"/>
  <c r="C8756" i="10"/>
  <c r="B8756" i="10"/>
  <c r="A8756" i="10"/>
  <c r="E8755" i="10"/>
  <c r="D8755" i="10"/>
  <c r="C8755" i="10"/>
  <c r="B8755" i="10"/>
  <c r="A8755" i="10"/>
  <c r="E8754" i="10"/>
  <c r="D8754" i="10"/>
  <c r="C8754" i="10"/>
  <c r="B8754" i="10"/>
  <c r="A8754" i="10"/>
  <c r="E8753" i="10"/>
  <c r="D8753" i="10"/>
  <c r="C8753" i="10"/>
  <c r="B8753" i="10"/>
  <c r="A8753" i="10"/>
  <c r="E8752" i="10"/>
  <c r="D8752" i="10"/>
  <c r="C8752" i="10"/>
  <c r="B8752" i="10"/>
  <c r="A8752" i="10"/>
  <c r="E8751" i="10"/>
  <c r="D8751" i="10"/>
  <c r="C8751" i="10"/>
  <c r="B8751" i="10"/>
  <c r="A8751" i="10"/>
  <c r="E8750" i="10"/>
  <c r="D8750" i="10"/>
  <c r="C8750" i="10"/>
  <c r="B8750" i="10"/>
  <c r="A8750" i="10"/>
  <c r="E8749" i="10"/>
  <c r="D8749" i="10"/>
  <c r="C8749" i="10"/>
  <c r="B8749" i="10"/>
  <c r="A8749" i="10"/>
  <c r="E8748" i="10"/>
  <c r="D8748" i="10"/>
  <c r="C8748" i="10"/>
  <c r="B8748" i="10"/>
  <c r="A8748" i="10"/>
  <c r="E8747" i="10"/>
  <c r="D8747" i="10"/>
  <c r="C8747" i="10"/>
  <c r="B8747" i="10"/>
  <c r="A8747" i="10"/>
  <c r="E8746" i="10"/>
  <c r="D8746" i="10"/>
  <c r="C8746" i="10"/>
  <c r="B8746" i="10"/>
  <c r="A8746" i="10"/>
  <c r="E8745" i="10"/>
  <c r="D8745" i="10"/>
  <c r="C8745" i="10"/>
  <c r="B8745" i="10"/>
  <c r="A8745" i="10"/>
  <c r="E8744" i="10"/>
  <c r="D8744" i="10"/>
  <c r="C8744" i="10"/>
  <c r="B8744" i="10"/>
  <c r="A8744" i="10"/>
  <c r="E8743" i="10"/>
  <c r="D8743" i="10"/>
  <c r="C8743" i="10"/>
  <c r="B8743" i="10"/>
  <c r="A8743" i="10"/>
  <c r="E8742" i="10"/>
  <c r="D8742" i="10"/>
  <c r="C8742" i="10"/>
  <c r="B8742" i="10"/>
  <c r="A8742" i="10"/>
  <c r="E8741" i="10"/>
  <c r="D8741" i="10"/>
  <c r="C8741" i="10"/>
  <c r="B8741" i="10"/>
  <c r="A8741" i="10"/>
  <c r="E8740" i="10"/>
  <c r="D8740" i="10"/>
  <c r="C8740" i="10"/>
  <c r="B8740" i="10"/>
  <c r="A8740" i="10"/>
  <c r="E8739" i="10"/>
  <c r="D8739" i="10"/>
  <c r="C8739" i="10"/>
  <c r="B8739" i="10"/>
  <c r="A8739" i="10"/>
  <c r="E8738" i="10"/>
  <c r="D8738" i="10"/>
  <c r="C8738" i="10"/>
  <c r="B8738" i="10"/>
  <c r="A8738" i="10"/>
  <c r="E8737" i="10"/>
  <c r="D8737" i="10"/>
  <c r="C8737" i="10"/>
  <c r="B8737" i="10"/>
  <c r="A8737" i="10"/>
  <c r="E8736" i="10"/>
  <c r="D8736" i="10"/>
  <c r="C8736" i="10"/>
  <c r="B8736" i="10"/>
  <c r="A8736" i="10"/>
  <c r="E8735" i="10"/>
  <c r="D8735" i="10"/>
  <c r="C8735" i="10"/>
  <c r="B8735" i="10"/>
  <c r="A8735" i="10"/>
  <c r="E8734" i="10"/>
  <c r="D8734" i="10"/>
  <c r="C8734" i="10"/>
  <c r="B8734" i="10"/>
  <c r="A8734" i="10"/>
  <c r="E8733" i="10"/>
  <c r="D8733" i="10"/>
  <c r="C8733" i="10"/>
  <c r="B8733" i="10"/>
  <c r="A8733" i="10"/>
  <c r="E8732" i="10"/>
  <c r="D8732" i="10"/>
  <c r="C8732" i="10"/>
  <c r="B8732" i="10"/>
  <c r="A8732" i="10"/>
  <c r="E8731" i="10"/>
  <c r="D8731" i="10"/>
  <c r="C8731" i="10"/>
  <c r="B8731" i="10"/>
  <c r="A8731" i="10"/>
  <c r="E8730" i="10"/>
  <c r="D8730" i="10"/>
  <c r="C8730" i="10"/>
  <c r="B8730" i="10"/>
  <c r="A8730" i="10"/>
  <c r="E8729" i="10"/>
  <c r="D8729" i="10"/>
  <c r="C8729" i="10"/>
  <c r="B8729" i="10"/>
  <c r="A8729" i="10"/>
  <c r="E8728" i="10"/>
  <c r="D8728" i="10"/>
  <c r="C8728" i="10"/>
  <c r="B8728" i="10"/>
  <c r="A8728" i="10"/>
  <c r="E8727" i="10"/>
  <c r="D8727" i="10"/>
  <c r="C8727" i="10"/>
  <c r="B8727" i="10"/>
  <c r="A8727" i="10"/>
  <c r="E8726" i="10"/>
  <c r="D8726" i="10"/>
  <c r="C8726" i="10"/>
  <c r="B8726" i="10"/>
  <c r="A8726" i="10"/>
  <c r="E8725" i="10"/>
  <c r="D8725" i="10"/>
  <c r="C8725" i="10"/>
  <c r="B8725" i="10"/>
  <c r="A8725" i="10"/>
  <c r="E8724" i="10"/>
  <c r="D8724" i="10"/>
  <c r="C8724" i="10"/>
  <c r="B8724" i="10"/>
  <c r="A8724" i="10"/>
  <c r="E8723" i="10"/>
  <c r="D8723" i="10"/>
  <c r="C8723" i="10"/>
  <c r="B8723" i="10"/>
  <c r="A8723" i="10"/>
  <c r="E8722" i="10"/>
  <c r="D8722" i="10"/>
  <c r="C8722" i="10"/>
  <c r="B8722" i="10"/>
  <c r="A8722" i="10"/>
  <c r="E8721" i="10"/>
  <c r="D8721" i="10"/>
  <c r="C8721" i="10"/>
  <c r="B8721" i="10"/>
  <c r="A8721" i="10"/>
  <c r="E8720" i="10"/>
  <c r="D8720" i="10"/>
  <c r="C8720" i="10"/>
  <c r="B8720" i="10"/>
  <c r="A8720" i="10"/>
  <c r="E8719" i="10"/>
  <c r="D8719" i="10"/>
  <c r="C8719" i="10"/>
  <c r="B8719" i="10"/>
  <c r="A8719" i="10"/>
  <c r="E8718" i="10"/>
  <c r="D8718" i="10"/>
  <c r="C8718" i="10"/>
  <c r="B8718" i="10"/>
  <c r="A8718" i="10"/>
  <c r="E8717" i="10"/>
  <c r="D8717" i="10"/>
  <c r="C8717" i="10"/>
  <c r="B8717" i="10"/>
  <c r="A8717" i="10"/>
  <c r="E8716" i="10"/>
  <c r="D8716" i="10"/>
  <c r="C8716" i="10"/>
  <c r="B8716" i="10"/>
  <c r="A8716" i="10"/>
  <c r="E8715" i="10"/>
  <c r="D8715" i="10"/>
  <c r="C8715" i="10"/>
  <c r="B8715" i="10"/>
  <c r="A8715" i="10"/>
  <c r="E8714" i="10"/>
  <c r="D8714" i="10"/>
  <c r="C8714" i="10"/>
  <c r="B8714" i="10"/>
  <c r="A8714" i="10"/>
  <c r="E8713" i="10"/>
  <c r="D8713" i="10"/>
  <c r="C8713" i="10"/>
  <c r="B8713" i="10"/>
  <c r="A8713" i="10"/>
  <c r="E8712" i="10"/>
  <c r="D8712" i="10"/>
  <c r="C8712" i="10"/>
  <c r="B8712" i="10"/>
  <c r="A8712" i="10"/>
  <c r="E8711" i="10"/>
  <c r="D8711" i="10"/>
  <c r="C8711" i="10"/>
  <c r="B8711" i="10"/>
  <c r="A8711" i="10"/>
  <c r="E8710" i="10"/>
  <c r="D8710" i="10"/>
  <c r="C8710" i="10"/>
  <c r="B8710" i="10"/>
  <c r="A8710" i="10"/>
  <c r="E8709" i="10"/>
  <c r="D8709" i="10"/>
  <c r="C8709" i="10"/>
  <c r="B8709" i="10"/>
  <c r="A8709" i="10"/>
  <c r="E8708" i="10"/>
  <c r="D8708" i="10"/>
  <c r="C8708" i="10"/>
  <c r="B8708" i="10"/>
  <c r="A8708" i="10"/>
  <c r="E8707" i="10"/>
  <c r="D8707" i="10"/>
  <c r="C8707" i="10"/>
  <c r="B8707" i="10"/>
  <c r="A8707" i="10"/>
  <c r="E8706" i="10"/>
  <c r="D8706" i="10"/>
  <c r="C8706" i="10"/>
  <c r="B8706" i="10"/>
  <c r="A8706" i="10"/>
  <c r="E8705" i="10"/>
  <c r="D8705" i="10"/>
  <c r="C8705" i="10"/>
  <c r="B8705" i="10"/>
  <c r="A8705" i="10"/>
  <c r="E8704" i="10"/>
  <c r="D8704" i="10"/>
  <c r="C8704" i="10"/>
  <c r="B8704" i="10"/>
  <c r="A8704" i="10"/>
  <c r="E8703" i="10"/>
  <c r="D8703" i="10"/>
  <c r="C8703" i="10"/>
  <c r="B8703" i="10"/>
  <c r="A8703" i="10"/>
  <c r="E8702" i="10"/>
  <c r="D8702" i="10"/>
  <c r="C8702" i="10"/>
  <c r="B8702" i="10"/>
  <c r="A8702" i="10"/>
  <c r="E8701" i="10"/>
  <c r="D8701" i="10"/>
  <c r="C8701" i="10"/>
  <c r="B8701" i="10"/>
  <c r="A8701" i="10"/>
  <c r="E8700" i="10"/>
  <c r="D8700" i="10"/>
  <c r="C8700" i="10"/>
  <c r="B8700" i="10"/>
  <c r="A8700" i="10"/>
  <c r="E8699" i="10"/>
  <c r="D8699" i="10"/>
  <c r="C8699" i="10"/>
  <c r="B8699" i="10"/>
  <c r="A8699" i="10"/>
  <c r="E8698" i="10"/>
  <c r="D8698" i="10"/>
  <c r="C8698" i="10"/>
  <c r="B8698" i="10"/>
  <c r="A8698" i="10"/>
  <c r="E8697" i="10"/>
  <c r="D8697" i="10"/>
  <c r="C8697" i="10"/>
  <c r="B8697" i="10"/>
  <c r="A8697" i="10"/>
  <c r="E8696" i="10"/>
  <c r="D8696" i="10"/>
  <c r="C8696" i="10"/>
  <c r="B8696" i="10"/>
  <c r="A8696" i="10"/>
  <c r="E8695" i="10"/>
  <c r="D8695" i="10"/>
  <c r="C8695" i="10"/>
  <c r="B8695" i="10"/>
  <c r="A8695" i="10"/>
  <c r="E8694" i="10"/>
  <c r="D8694" i="10"/>
  <c r="C8694" i="10"/>
  <c r="B8694" i="10"/>
  <c r="A8694" i="10"/>
  <c r="E8693" i="10"/>
  <c r="D8693" i="10"/>
  <c r="C8693" i="10"/>
  <c r="B8693" i="10"/>
  <c r="A8693" i="10"/>
  <c r="D8692" i="10"/>
  <c r="C8692" i="10"/>
  <c r="B8692" i="10"/>
  <c r="A8692" i="10"/>
  <c r="E8691" i="10"/>
  <c r="D8691" i="10"/>
  <c r="C8691" i="10"/>
  <c r="B8691" i="10"/>
  <c r="A8691" i="10"/>
  <c r="E8690" i="10"/>
  <c r="D8690" i="10"/>
  <c r="C8690" i="10"/>
  <c r="B8690" i="10"/>
  <c r="A8690" i="10"/>
  <c r="E8689" i="10"/>
  <c r="D8689" i="10"/>
  <c r="C8689" i="10"/>
  <c r="B8689" i="10"/>
  <c r="A8689" i="10"/>
  <c r="E8688" i="10"/>
  <c r="D8688" i="10"/>
  <c r="C8688" i="10"/>
  <c r="B8688" i="10"/>
  <c r="A8688" i="10"/>
  <c r="E8687" i="10"/>
  <c r="D8687" i="10"/>
  <c r="C8687" i="10"/>
  <c r="B8687" i="10"/>
  <c r="A8687" i="10"/>
  <c r="E8686" i="10"/>
  <c r="D8686" i="10"/>
  <c r="C8686" i="10"/>
  <c r="B8686" i="10"/>
  <c r="A8686" i="10"/>
  <c r="E8685" i="10"/>
  <c r="D8685" i="10"/>
  <c r="C8685" i="10"/>
  <c r="B8685" i="10"/>
  <c r="A8685" i="10"/>
  <c r="E8684" i="10"/>
  <c r="D8684" i="10"/>
  <c r="C8684" i="10"/>
  <c r="B8684" i="10"/>
  <c r="A8684" i="10"/>
  <c r="E8683" i="10"/>
  <c r="D8683" i="10"/>
  <c r="C8683" i="10"/>
  <c r="B8683" i="10"/>
  <c r="A8683" i="10"/>
  <c r="E8682" i="10"/>
  <c r="D8682" i="10"/>
  <c r="C8682" i="10"/>
  <c r="B8682" i="10"/>
  <c r="A8682" i="10"/>
  <c r="E8681" i="10"/>
  <c r="D8681" i="10"/>
  <c r="C8681" i="10"/>
  <c r="B8681" i="10"/>
  <c r="A8681" i="10"/>
  <c r="E8680" i="10"/>
  <c r="D8680" i="10"/>
  <c r="C8680" i="10"/>
  <c r="B8680" i="10"/>
  <c r="A8680" i="10"/>
  <c r="E8679" i="10"/>
  <c r="D8679" i="10"/>
  <c r="C8679" i="10"/>
  <c r="B8679" i="10"/>
  <c r="A8679" i="10"/>
  <c r="E8678" i="10"/>
  <c r="D8678" i="10"/>
  <c r="C8678" i="10"/>
  <c r="B8678" i="10"/>
  <c r="A8678" i="10"/>
  <c r="E8677" i="10"/>
  <c r="D8677" i="10"/>
  <c r="C8677" i="10"/>
  <c r="B8677" i="10"/>
  <c r="A8677" i="10"/>
  <c r="E8676" i="10"/>
  <c r="D8676" i="10"/>
  <c r="C8676" i="10"/>
  <c r="B8676" i="10"/>
  <c r="A8676" i="10"/>
  <c r="E8675" i="10"/>
  <c r="D8675" i="10"/>
  <c r="C8675" i="10"/>
  <c r="B8675" i="10"/>
  <c r="A8675" i="10"/>
  <c r="E8674" i="10"/>
  <c r="D8674" i="10"/>
  <c r="C8674" i="10"/>
  <c r="B8674" i="10"/>
  <c r="A8674" i="10"/>
  <c r="E8673" i="10"/>
  <c r="D8673" i="10"/>
  <c r="C8673" i="10"/>
  <c r="B8673" i="10"/>
  <c r="A8673" i="10"/>
  <c r="E8672" i="10"/>
  <c r="D8672" i="10"/>
  <c r="C8672" i="10"/>
  <c r="B8672" i="10"/>
  <c r="A8672" i="10"/>
  <c r="E8671" i="10"/>
  <c r="D8671" i="10"/>
  <c r="C8671" i="10"/>
  <c r="B8671" i="10"/>
  <c r="A8671" i="10"/>
  <c r="E8670" i="10"/>
  <c r="D8670" i="10"/>
  <c r="C8670" i="10"/>
  <c r="B8670" i="10"/>
  <c r="A8670" i="10"/>
  <c r="E8669" i="10"/>
  <c r="D8669" i="10"/>
  <c r="C8669" i="10"/>
  <c r="B8669" i="10"/>
  <c r="A8669" i="10"/>
  <c r="E8668" i="10"/>
  <c r="D8668" i="10"/>
  <c r="C8668" i="10"/>
  <c r="B8668" i="10"/>
  <c r="A8668" i="10"/>
  <c r="E8667" i="10"/>
  <c r="D8667" i="10"/>
  <c r="C8667" i="10"/>
  <c r="B8667" i="10"/>
  <c r="A8667" i="10"/>
  <c r="E8666" i="10"/>
  <c r="D8666" i="10"/>
  <c r="C8666" i="10"/>
  <c r="B8666" i="10"/>
  <c r="A8666" i="10"/>
  <c r="E8665" i="10"/>
  <c r="D8665" i="10"/>
  <c r="C8665" i="10"/>
  <c r="B8665" i="10"/>
  <c r="A8665" i="10"/>
  <c r="E8664" i="10"/>
  <c r="D8664" i="10"/>
  <c r="C8664" i="10"/>
  <c r="B8664" i="10"/>
  <c r="A8664" i="10"/>
  <c r="E8663" i="10"/>
  <c r="D8663" i="10"/>
  <c r="C8663" i="10"/>
  <c r="B8663" i="10"/>
  <c r="A8663" i="10"/>
  <c r="E8662" i="10"/>
  <c r="D8662" i="10"/>
  <c r="C8662" i="10"/>
  <c r="B8662" i="10"/>
  <c r="A8662" i="10"/>
  <c r="E8661" i="10"/>
  <c r="D8661" i="10"/>
  <c r="C8661" i="10"/>
  <c r="B8661" i="10"/>
  <c r="A8661" i="10"/>
  <c r="E8660" i="10"/>
  <c r="D8660" i="10"/>
  <c r="C8660" i="10"/>
  <c r="B8660" i="10"/>
  <c r="A8660" i="10"/>
  <c r="E8659" i="10"/>
  <c r="D8659" i="10"/>
  <c r="C8659" i="10"/>
  <c r="B8659" i="10"/>
  <c r="A8659" i="10"/>
  <c r="E8658" i="10"/>
  <c r="D8658" i="10"/>
  <c r="C8658" i="10"/>
  <c r="B8658" i="10"/>
  <c r="A8658" i="10"/>
  <c r="E8657" i="10"/>
  <c r="D8657" i="10"/>
  <c r="C8657" i="10"/>
  <c r="B8657" i="10"/>
  <c r="A8657" i="10"/>
  <c r="E8656" i="10"/>
  <c r="D8656" i="10"/>
  <c r="C8656" i="10"/>
  <c r="B8656" i="10"/>
  <c r="A8656" i="10"/>
  <c r="E8655" i="10"/>
  <c r="D8655" i="10"/>
  <c r="C8655" i="10"/>
  <c r="B8655" i="10"/>
  <c r="A8655" i="10"/>
  <c r="E8654" i="10"/>
  <c r="D8654" i="10"/>
  <c r="C8654" i="10"/>
  <c r="B8654" i="10"/>
  <c r="A8654" i="10"/>
  <c r="E8653" i="10"/>
  <c r="D8653" i="10"/>
  <c r="C8653" i="10"/>
  <c r="B8653" i="10"/>
  <c r="A8653" i="10"/>
  <c r="E8652" i="10"/>
  <c r="D8652" i="10"/>
  <c r="C8652" i="10"/>
  <c r="B8652" i="10"/>
  <c r="A8652" i="10"/>
  <c r="E8651" i="10"/>
  <c r="D8651" i="10"/>
  <c r="C8651" i="10"/>
  <c r="B8651" i="10"/>
  <c r="A8651" i="10"/>
  <c r="E8650" i="10"/>
  <c r="D8650" i="10"/>
  <c r="C8650" i="10"/>
  <c r="B8650" i="10"/>
  <c r="A8650" i="10"/>
  <c r="E8649" i="10"/>
  <c r="D8649" i="10"/>
  <c r="C8649" i="10"/>
  <c r="B8649" i="10"/>
  <c r="A8649" i="10"/>
  <c r="E8648" i="10"/>
  <c r="D8648" i="10"/>
  <c r="C8648" i="10"/>
  <c r="B8648" i="10"/>
  <c r="A8648" i="10"/>
  <c r="E8647" i="10"/>
  <c r="D8647" i="10"/>
  <c r="C8647" i="10"/>
  <c r="B8647" i="10"/>
  <c r="A8647" i="10"/>
  <c r="E8646" i="10"/>
  <c r="D8646" i="10"/>
  <c r="C8646" i="10"/>
  <c r="B8646" i="10"/>
  <c r="A8646" i="10"/>
  <c r="E8645" i="10"/>
  <c r="D8645" i="10"/>
  <c r="C8645" i="10"/>
  <c r="B8645" i="10"/>
  <c r="A8645" i="10"/>
  <c r="E8644" i="10"/>
  <c r="D8644" i="10"/>
  <c r="C8644" i="10"/>
  <c r="B8644" i="10"/>
  <c r="A8644" i="10"/>
  <c r="E8643" i="10"/>
  <c r="D8643" i="10"/>
  <c r="C8643" i="10"/>
  <c r="B8643" i="10"/>
  <c r="A8643" i="10"/>
  <c r="E8642" i="10"/>
  <c r="D8642" i="10"/>
  <c r="C8642" i="10"/>
  <c r="B8642" i="10"/>
  <c r="A8642" i="10"/>
  <c r="E8641" i="10"/>
  <c r="D8641" i="10"/>
  <c r="C8641" i="10"/>
  <c r="B8641" i="10"/>
  <c r="A8641" i="10"/>
  <c r="E8640" i="10"/>
  <c r="D8640" i="10"/>
  <c r="C8640" i="10"/>
  <c r="B8640" i="10"/>
  <c r="A8640" i="10"/>
  <c r="E8639" i="10"/>
  <c r="D8639" i="10"/>
  <c r="C8639" i="10"/>
  <c r="B8639" i="10"/>
  <c r="A8639" i="10"/>
  <c r="E8638" i="10"/>
  <c r="D8638" i="10"/>
  <c r="C8638" i="10"/>
  <c r="B8638" i="10"/>
  <c r="A8638" i="10"/>
  <c r="E8637" i="10"/>
  <c r="D8637" i="10"/>
  <c r="C8637" i="10"/>
  <c r="B8637" i="10"/>
  <c r="A8637" i="10"/>
  <c r="E8636" i="10"/>
  <c r="D8636" i="10"/>
  <c r="C8636" i="10"/>
  <c r="B8636" i="10"/>
  <c r="A8636" i="10"/>
  <c r="E8635" i="10"/>
  <c r="D8635" i="10"/>
  <c r="C8635" i="10"/>
  <c r="B8635" i="10"/>
  <c r="A8635" i="10"/>
  <c r="E8634" i="10"/>
  <c r="D8634" i="10"/>
  <c r="C8634" i="10"/>
  <c r="B8634" i="10"/>
  <c r="A8634" i="10"/>
  <c r="E8633" i="10"/>
  <c r="D8633" i="10"/>
  <c r="C8633" i="10"/>
  <c r="B8633" i="10"/>
  <c r="A8633" i="10"/>
  <c r="E8632" i="10"/>
  <c r="D8632" i="10"/>
  <c r="C8632" i="10"/>
  <c r="B8632" i="10"/>
  <c r="A8632" i="10"/>
  <c r="E8631" i="10"/>
  <c r="D8631" i="10"/>
  <c r="C8631" i="10"/>
  <c r="B8631" i="10"/>
  <c r="A8631" i="10"/>
  <c r="E8630" i="10"/>
  <c r="D8630" i="10"/>
  <c r="C8630" i="10"/>
  <c r="B8630" i="10"/>
  <c r="A8630" i="10"/>
  <c r="E8629" i="10"/>
  <c r="D8629" i="10"/>
  <c r="C8629" i="10"/>
  <c r="B8629" i="10"/>
  <c r="A8629" i="10"/>
  <c r="E8628" i="10"/>
  <c r="D8628" i="10"/>
  <c r="C8628" i="10"/>
  <c r="B8628" i="10"/>
  <c r="A8628" i="10"/>
  <c r="E8627" i="10"/>
  <c r="D8627" i="10"/>
  <c r="C8627" i="10"/>
  <c r="B8627" i="10"/>
  <c r="A8627" i="10"/>
  <c r="E8626" i="10"/>
  <c r="D8626" i="10"/>
  <c r="C8626" i="10"/>
  <c r="B8626" i="10"/>
  <c r="A8626" i="10"/>
  <c r="E8625" i="10"/>
  <c r="D8625" i="10"/>
  <c r="C8625" i="10"/>
  <c r="B8625" i="10"/>
  <c r="A8625" i="10"/>
  <c r="E8624" i="10"/>
  <c r="D8624" i="10"/>
  <c r="C8624" i="10"/>
  <c r="B8624" i="10"/>
  <c r="A8624" i="10"/>
  <c r="E8623" i="10"/>
  <c r="D8623" i="10"/>
  <c r="C8623" i="10"/>
  <c r="B8623" i="10"/>
  <c r="A8623" i="10"/>
  <c r="E8622" i="10"/>
  <c r="D8622" i="10"/>
  <c r="C8622" i="10"/>
  <c r="B8622" i="10"/>
  <c r="A8622" i="10"/>
  <c r="E8621" i="10"/>
  <c r="D8621" i="10"/>
  <c r="C8621" i="10"/>
  <c r="B8621" i="10"/>
  <c r="A8621" i="10"/>
  <c r="E8620" i="10"/>
  <c r="D8620" i="10"/>
  <c r="C8620" i="10"/>
  <c r="B8620" i="10"/>
  <c r="A8620" i="10"/>
  <c r="E8619" i="10"/>
  <c r="D8619" i="10"/>
  <c r="C8619" i="10"/>
  <c r="B8619" i="10"/>
  <c r="A8619" i="10"/>
  <c r="E8618" i="10"/>
  <c r="D8618" i="10"/>
  <c r="C8618" i="10"/>
  <c r="B8618" i="10"/>
  <c r="A8618" i="10"/>
  <c r="E8617" i="10"/>
  <c r="D8617" i="10"/>
  <c r="C8617" i="10"/>
  <c r="B8617" i="10"/>
  <c r="A8617" i="10"/>
  <c r="E8616" i="10"/>
  <c r="D8616" i="10"/>
  <c r="C8616" i="10"/>
  <c r="B8616" i="10"/>
  <c r="A8616" i="10"/>
  <c r="E8615" i="10"/>
  <c r="D8615" i="10"/>
  <c r="C8615" i="10"/>
  <c r="B8615" i="10"/>
  <c r="A8615" i="10"/>
  <c r="E8614" i="10"/>
  <c r="D8614" i="10"/>
  <c r="C8614" i="10"/>
  <c r="B8614" i="10"/>
  <c r="A8614" i="10"/>
  <c r="E8613" i="10"/>
  <c r="D8613" i="10"/>
  <c r="C8613" i="10"/>
  <c r="B8613" i="10"/>
  <c r="A8613" i="10"/>
  <c r="E8612" i="10"/>
  <c r="D8612" i="10"/>
  <c r="C8612" i="10"/>
  <c r="B8612" i="10"/>
  <c r="A8612" i="10"/>
  <c r="E8611" i="10"/>
  <c r="D8611" i="10"/>
  <c r="C8611" i="10"/>
  <c r="B8611" i="10"/>
  <c r="A8611" i="10"/>
  <c r="E8610" i="10"/>
  <c r="D8610" i="10"/>
  <c r="C8610" i="10"/>
  <c r="B8610" i="10"/>
  <c r="A8610" i="10"/>
  <c r="E8609" i="10"/>
  <c r="D8609" i="10"/>
  <c r="C8609" i="10"/>
  <c r="B8609" i="10"/>
  <c r="A8609" i="10"/>
  <c r="E8608" i="10"/>
  <c r="D8608" i="10"/>
  <c r="C8608" i="10"/>
  <c r="B8608" i="10"/>
  <c r="A8608" i="10"/>
  <c r="E8607" i="10"/>
  <c r="D8607" i="10"/>
  <c r="C8607" i="10"/>
  <c r="B8607" i="10"/>
  <c r="A8607" i="10"/>
  <c r="E8606" i="10"/>
  <c r="D8606" i="10"/>
  <c r="C8606" i="10"/>
  <c r="B8606" i="10"/>
  <c r="A8606" i="10"/>
  <c r="E8605" i="10"/>
  <c r="D8605" i="10"/>
  <c r="C8605" i="10"/>
  <c r="B8605" i="10"/>
  <c r="A8605" i="10"/>
  <c r="E8604" i="10"/>
  <c r="D8604" i="10"/>
  <c r="C8604" i="10"/>
  <c r="B8604" i="10"/>
  <c r="A8604" i="10"/>
  <c r="E8603" i="10"/>
  <c r="D8603" i="10"/>
  <c r="C8603" i="10"/>
  <c r="B8603" i="10"/>
  <c r="A8603" i="10"/>
  <c r="E8602" i="10"/>
  <c r="D8602" i="10"/>
  <c r="C8602" i="10"/>
  <c r="B8602" i="10"/>
  <c r="A8602" i="10"/>
  <c r="E8601" i="10"/>
  <c r="D8601" i="10"/>
  <c r="C8601" i="10"/>
  <c r="B8601" i="10"/>
  <c r="A8601" i="10"/>
  <c r="E8600" i="10"/>
  <c r="D8600" i="10"/>
  <c r="C8600" i="10"/>
  <c r="B8600" i="10"/>
  <c r="A8600" i="10"/>
  <c r="E8599" i="10"/>
  <c r="D8599" i="10"/>
  <c r="C8599" i="10"/>
  <c r="B8599" i="10"/>
  <c r="A8599" i="10"/>
  <c r="E8598" i="10"/>
  <c r="D8598" i="10"/>
  <c r="C8598" i="10"/>
  <c r="B8598" i="10"/>
  <c r="A8598" i="10"/>
  <c r="E8597" i="10"/>
  <c r="D8597" i="10"/>
  <c r="C8597" i="10"/>
  <c r="B8597" i="10"/>
  <c r="A8597" i="10"/>
  <c r="E8596" i="10"/>
  <c r="D8596" i="10"/>
  <c r="C8596" i="10"/>
  <c r="B8596" i="10"/>
  <c r="A8596" i="10"/>
  <c r="E8595" i="10"/>
  <c r="D8595" i="10"/>
  <c r="C8595" i="10"/>
  <c r="B8595" i="10"/>
  <c r="A8595" i="10"/>
  <c r="E8594" i="10"/>
  <c r="D8594" i="10"/>
  <c r="C8594" i="10"/>
  <c r="B8594" i="10"/>
  <c r="A8594" i="10"/>
  <c r="E8593" i="10"/>
  <c r="D8593" i="10"/>
  <c r="C8593" i="10"/>
  <c r="B8593" i="10"/>
  <c r="A8593" i="10"/>
  <c r="E8592" i="10"/>
  <c r="D8592" i="10"/>
  <c r="C8592" i="10"/>
  <c r="B8592" i="10"/>
  <c r="A8592" i="10"/>
  <c r="E8591" i="10"/>
  <c r="D8591" i="10"/>
  <c r="C8591" i="10"/>
  <c r="B8591" i="10"/>
  <c r="A8591" i="10"/>
  <c r="E8590" i="10"/>
  <c r="D8590" i="10"/>
  <c r="C8590" i="10"/>
  <c r="B8590" i="10"/>
  <c r="A8590" i="10"/>
  <c r="E8589" i="10"/>
  <c r="D8589" i="10"/>
  <c r="C8589" i="10"/>
  <c r="B8589" i="10"/>
  <c r="A8589" i="10"/>
  <c r="E8588" i="10"/>
  <c r="D8588" i="10"/>
  <c r="C8588" i="10"/>
  <c r="B8588" i="10"/>
  <c r="A8588" i="10"/>
  <c r="E8587" i="10"/>
  <c r="D8587" i="10"/>
  <c r="C8587" i="10"/>
  <c r="B8587" i="10"/>
  <c r="A8587" i="10"/>
  <c r="E8586" i="10"/>
  <c r="D8586" i="10"/>
  <c r="C8586" i="10"/>
  <c r="B8586" i="10"/>
  <c r="A8586" i="10"/>
  <c r="E8585" i="10"/>
  <c r="D8585" i="10"/>
  <c r="C8585" i="10"/>
  <c r="B8585" i="10"/>
  <c r="A8585" i="10"/>
  <c r="E8584" i="10"/>
  <c r="D8584" i="10"/>
  <c r="C8584" i="10"/>
  <c r="B8584" i="10"/>
  <c r="A8584" i="10"/>
  <c r="E8583" i="10"/>
  <c r="D8583" i="10"/>
  <c r="C8583" i="10"/>
  <c r="B8583" i="10"/>
  <c r="A8583" i="10"/>
  <c r="E8582" i="10"/>
  <c r="D8582" i="10"/>
  <c r="C8582" i="10"/>
  <c r="B8582" i="10"/>
  <c r="A8582" i="10"/>
  <c r="E8581" i="10"/>
  <c r="D8581" i="10"/>
  <c r="C8581" i="10"/>
  <c r="B8581" i="10"/>
  <c r="A8581" i="10"/>
  <c r="E8580" i="10"/>
  <c r="D8580" i="10"/>
  <c r="C8580" i="10"/>
  <c r="B8580" i="10"/>
  <c r="A8580" i="10"/>
  <c r="E8579" i="10"/>
  <c r="D8579" i="10"/>
  <c r="C8579" i="10"/>
  <c r="B8579" i="10"/>
  <c r="A8579" i="10"/>
  <c r="E8578" i="10"/>
  <c r="D8578" i="10"/>
  <c r="C8578" i="10"/>
  <c r="B8578" i="10"/>
  <c r="A8578" i="10"/>
  <c r="E8577" i="10"/>
  <c r="D8577" i="10"/>
  <c r="C8577" i="10"/>
  <c r="B8577" i="10"/>
  <c r="A8577" i="10"/>
  <c r="E8576" i="10"/>
  <c r="D8576" i="10"/>
  <c r="C8576" i="10"/>
  <c r="B8576" i="10"/>
  <c r="A8576" i="10"/>
  <c r="E8575" i="10"/>
  <c r="D8575" i="10"/>
  <c r="C8575" i="10"/>
  <c r="B8575" i="10"/>
  <c r="A8575" i="10"/>
  <c r="E8574" i="10"/>
  <c r="D8574" i="10"/>
  <c r="C8574" i="10"/>
  <c r="B8574" i="10"/>
  <c r="A8574" i="10"/>
  <c r="E8573" i="10"/>
  <c r="D8573" i="10"/>
  <c r="C8573" i="10"/>
  <c r="B8573" i="10"/>
  <c r="A8573" i="10"/>
  <c r="E8572" i="10"/>
  <c r="D8572" i="10"/>
  <c r="C8572" i="10"/>
  <c r="B8572" i="10"/>
  <c r="A8572" i="10"/>
  <c r="E8571" i="10"/>
  <c r="D8571" i="10"/>
  <c r="C8571" i="10"/>
  <c r="B8571" i="10"/>
  <c r="A8571" i="10"/>
  <c r="E8570" i="10"/>
  <c r="D8570" i="10"/>
  <c r="C8570" i="10"/>
  <c r="B8570" i="10"/>
  <c r="A8570" i="10"/>
  <c r="E8569" i="10"/>
  <c r="D8569" i="10"/>
  <c r="C8569" i="10"/>
  <c r="B8569" i="10"/>
  <c r="A8569" i="10"/>
  <c r="E8568" i="10"/>
  <c r="D8568" i="10"/>
  <c r="C8568" i="10"/>
  <c r="B8568" i="10"/>
  <c r="A8568" i="10"/>
  <c r="E8567" i="10"/>
  <c r="D8567" i="10"/>
  <c r="C8567" i="10"/>
  <c r="B8567" i="10"/>
  <c r="A8567" i="10"/>
  <c r="E8566" i="10"/>
  <c r="D8566" i="10"/>
  <c r="C8566" i="10"/>
  <c r="B8566" i="10"/>
  <c r="A8566" i="10"/>
  <c r="E8565" i="10"/>
  <c r="D8565" i="10"/>
  <c r="C8565" i="10"/>
  <c r="B8565" i="10"/>
  <c r="A8565" i="10"/>
  <c r="E8564" i="10"/>
  <c r="D8564" i="10"/>
  <c r="C8564" i="10"/>
  <c r="B8564" i="10"/>
  <c r="A8564" i="10"/>
  <c r="E8563" i="10"/>
  <c r="D8563" i="10"/>
  <c r="C8563" i="10"/>
  <c r="B8563" i="10"/>
  <c r="A8563" i="10"/>
  <c r="E8562" i="10"/>
  <c r="D8562" i="10"/>
  <c r="C8562" i="10"/>
  <c r="B8562" i="10"/>
  <c r="A8562" i="10"/>
  <c r="E8561" i="10"/>
  <c r="D8561" i="10"/>
  <c r="C8561" i="10"/>
  <c r="B8561" i="10"/>
  <c r="A8561" i="10"/>
  <c r="E8560" i="10"/>
  <c r="D8560" i="10"/>
  <c r="C8560" i="10"/>
  <c r="B8560" i="10"/>
  <c r="A8560" i="10"/>
  <c r="E8559" i="10"/>
  <c r="D8559" i="10"/>
  <c r="C8559" i="10"/>
  <c r="B8559" i="10"/>
  <c r="A8559" i="10"/>
  <c r="E8558" i="10"/>
  <c r="D8558" i="10"/>
  <c r="C8558" i="10"/>
  <c r="B8558" i="10"/>
  <c r="A8558" i="10"/>
  <c r="E8557" i="10"/>
  <c r="D8557" i="10"/>
  <c r="C8557" i="10"/>
  <c r="B8557" i="10"/>
  <c r="A8557" i="10"/>
  <c r="E8556" i="10"/>
  <c r="D8556" i="10"/>
  <c r="C8556" i="10"/>
  <c r="B8556" i="10"/>
  <c r="A8556" i="10"/>
  <c r="E8555" i="10"/>
  <c r="D8555" i="10"/>
  <c r="C8555" i="10"/>
  <c r="B8555" i="10"/>
  <c r="A8555" i="10"/>
  <c r="E8554" i="10"/>
  <c r="D8554" i="10"/>
  <c r="C8554" i="10"/>
  <c r="B8554" i="10"/>
  <c r="A8554" i="10"/>
  <c r="E8553" i="10"/>
  <c r="D8553" i="10"/>
  <c r="C8553" i="10"/>
  <c r="B8553" i="10"/>
  <c r="A8553" i="10"/>
  <c r="E8552" i="10"/>
  <c r="D8552" i="10"/>
  <c r="C8552" i="10"/>
  <c r="B8552" i="10"/>
  <c r="A8552" i="10"/>
  <c r="E8551" i="10"/>
  <c r="D8551" i="10"/>
  <c r="C8551" i="10"/>
  <c r="B8551" i="10"/>
  <c r="A8551" i="10"/>
  <c r="E8550" i="10"/>
  <c r="D8550" i="10"/>
  <c r="C8550" i="10"/>
  <c r="B8550" i="10"/>
  <c r="A8550" i="10"/>
  <c r="E8549" i="10"/>
  <c r="D8549" i="10"/>
  <c r="C8549" i="10"/>
  <c r="B8549" i="10"/>
  <c r="A8549" i="10"/>
  <c r="E8548" i="10"/>
  <c r="D8548" i="10"/>
  <c r="C8548" i="10"/>
  <c r="B8548" i="10"/>
  <c r="A8548" i="10"/>
  <c r="E8547" i="10"/>
  <c r="D8547" i="10"/>
  <c r="C8547" i="10"/>
  <c r="B8547" i="10"/>
  <c r="A8547" i="10"/>
  <c r="E8546" i="10"/>
  <c r="D8546" i="10"/>
  <c r="C8546" i="10"/>
  <c r="B8546" i="10"/>
  <c r="A8546" i="10"/>
  <c r="E8545" i="10"/>
  <c r="D8545" i="10"/>
  <c r="C8545" i="10"/>
  <c r="B8545" i="10"/>
  <c r="A8545" i="10"/>
  <c r="E8544" i="10"/>
  <c r="D8544" i="10"/>
  <c r="C8544" i="10"/>
  <c r="B8544" i="10"/>
  <c r="A8544" i="10"/>
  <c r="E8543" i="10"/>
  <c r="D8543" i="10"/>
  <c r="C8543" i="10"/>
  <c r="B8543" i="10"/>
  <c r="A8543" i="10"/>
  <c r="E8542" i="10"/>
  <c r="D8542" i="10"/>
  <c r="C8542" i="10"/>
  <c r="B8542" i="10"/>
  <c r="A8542" i="10"/>
  <c r="E8541" i="10"/>
  <c r="D8541" i="10"/>
  <c r="C8541" i="10"/>
  <c r="B8541" i="10"/>
  <c r="A8541" i="10"/>
  <c r="E8540" i="10"/>
  <c r="D8540" i="10"/>
  <c r="C8540" i="10"/>
  <c r="B8540" i="10"/>
  <c r="A8540" i="10"/>
  <c r="E8539" i="10"/>
  <c r="D8539" i="10"/>
  <c r="C8539" i="10"/>
  <c r="B8539" i="10"/>
  <c r="A8539" i="10"/>
  <c r="E8538" i="10"/>
  <c r="D8538" i="10"/>
  <c r="C8538" i="10"/>
  <c r="B8538" i="10"/>
  <c r="A8538" i="10"/>
  <c r="E8537" i="10"/>
  <c r="D8537" i="10"/>
  <c r="C8537" i="10"/>
  <c r="B8537" i="10"/>
  <c r="A8537" i="10"/>
  <c r="E8536" i="10"/>
  <c r="D8536" i="10"/>
  <c r="C8536" i="10"/>
  <c r="B8536" i="10"/>
  <c r="A8536" i="10"/>
  <c r="E8535" i="10"/>
  <c r="D8535" i="10"/>
  <c r="C8535" i="10"/>
  <c r="B8535" i="10"/>
  <c r="A8535" i="10"/>
  <c r="E8534" i="10"/>
  <c r="D8534" i="10"/>
  <c r="C8534" i="10"/>
  <c r="B8534" i="10"/>
  <c r="A8534" i="10"/>
  <c r="E8533" i="10"/>
  <c r="D8533" i="10"/>
  <c r="C8533" i="10"/>
  <c r="B8533" i="10"/>
  <c r="A8533" i="10"/>
  <c r="E8532" i="10"/>
  <c r="D8532" i="10"/>
  <c r="C8532" i="10"/>
  <c r="B8532" i="10"/>
  <c r="A8532" i="10"/>
  <c r="E8531" i="10"/>
  <c r="D8531" i="10"/>
  <c r="C8531" i="10"/>
  <c r="B8531" i="10"/>
  <c r="A8531" i="10"/>
  <c r="E8530" i="10"/>
  <c r="D8530" i="10"/>
  <c r="C8530" i="10"/>
  <c r="B8530" i="10"/>
  <c r="A8530" i="10"/>
  <c r="E8529" i="10"/>
  <c r="D8529" i="10"/>
  <c r="C8529" i="10"/>
  <c r="B8529" i="10"/>
  <c r="A8529" i="10"/>
  <c r="E8528" i="10"/>
  <c r="D8528" i="10"/>
  <c r="C8528" i="10"/>
  <c r="B8528" i="10"/>
  <c r="A8528" i="10"/>
  <c r="E8527" i="10"/>
  <c r="D8527" i="10"/>
  <c r="C8527" i="10"/>
  <c r="B8527" i="10"/>
  <c r="A8527" i="10"/>
  <c r="E8526" i="10"/>
  <c r="D8526" i="10"/>
  <c r="C8526" i="10"/>
  <c r="B8526" i="10"/>
  <c r="A8526" i="10"/>
  <c r="E8525" i="10"/>
  <c r="D8525" i="10"/>
  <c r="C8525" i="10"/>
  <c r="B8525" i="10"/>
  <c r="A8525" i="10"/>
  <c r="E8524" i="10"/>
  <c r="D8524" i="10"/>
  <c r="C8524" i="10"/>
  <c r="B8524" i="10"/>
  <c r="A8524" i="10"/>
  <c r="E8523" i="10"/>
  <c r="D8523" i="10"/>
  <c r="C8523" i="10"/>
  <c r="B8523" i="10"/>
  <c r="A8523" i="10"/>
  <c r="E8522" i="10"/>
  <c r="D8522" i="10"/>
  <c r="C8522" i="10"/>
  <c r="B8522" i="10"/>
  <c r="A8522" i="10"/>
  <c r="E8521" i="10"/>
  <c r="D8521" i="10"/>
  <c r="C8521" i="10"/>
  <c r="B8521" i="10"/>
  <c r="A8521" i="10"/>
  <c r="E8520" i="10"/>
  <c r="D8520" i="10"/>
  <c r="C8520" i="10"/>
  <c r="B8520" i="10"/>
  <c r="A8520" i="10"/>
  <c r="E8519" i="10"/>
  <c r="D8519" i="10"/>
  <c r="C8519" i="10"/>
  <c r="B8519" i="10"/>
  <c r="A8519" i="10"/>
  <c r="E8518" i="10"/>
  <c r="D8518" i="10"/>
  <c r="C8518" i="10"/>
  <c r="B8518" i="10"/>
  <c r="A8518" i="10"/>
  <c r="E8517" i="10"/>
  <c r="D8517" i="10"/>
  <c r="C8517" i="10"/>
  <c r="B8517" i="10"/>
  <c r="A8517" i="10"/>
  <c r="E8516" i="10"/>
  <c r="D8516" i="10"/>
  <c r="C8516" i="10"/>
  <c r="B8516" i="10"/>
  <c r="A8516" i="10"/>
  <c r="E8515" i="10"/>
  <c r="D8515" i="10"/>
  <c r="C8515" i="10"/>
  <c r="B8515" i="10"/>
  <c r="A8515" i="10"/>
  <c r="E8514" i="10"/>
  <c r="D8514" i="10"/>
  <c r="C8514" i="10"/>
  <c r="B8514" i="10"/>
  <c r="A8514" i="10"/>
  <c r="E8513" i="10"/>
  <c r="D8513" i="10"/>
  <c r="C8513" i="10"/>
  <c r="B8513" i="10"/>
  <c r="A8513" i="10"/>
  <c r="E8512" i="10"/>
  <c r="D8512" i="10"/>
  <c r="C8512" i="10"/>
  <c r="B8512" i="10"/>
  <c r="A8512" i="10"/>
  <c r="E8511" i="10"/>
  <c r="D8511" i="10"/>
  <c r="C8511" i="10"/>
  <c r="B8511" i="10"/>
  <c r="A8511" i="10"/>
  <c r="E8510" i="10"/>
  <c r="D8510" i="10"/>
  <c r="C8510" i="10"/>
  <c r="B8510" i="10"/>
  <c r="A8510" i="10"/>
  <c r="E8509" i="10"/>
  <c r="D8509" i="10"/>
  <c r="C8509" i="10"/>
  <c r="B8509" i="10"/>
  <c r="A8509" i="10"/>
  <c r="E8508" i="10"/>
  <c r="D8508" i="10"/>
  <c r="C8508" i="10"/>
  <c r="B8508" i="10"/>
  <c r="A8508" i="10"/>
  <c r="E8507" i="10"/>
  <c r="D8507" i="10"/>
  <c r="C8507" i="10"/>
  <c r="B8507" i="10"/>
  <c r="A8507" i="10"/>
  <c r="E8506" i="10"/>
  <c r="D8506" i="10"/>
  <c r="C8506" i="10"/>
  <c r="B8506" i="10"/>
  <c r="A8506" i="10"/>
  <c r="E8505" i="10"/>
  <c r="D8505" i="10"/>
  <c r="C8505" i="10"/>
  <c r="B8505" i="10"/>
  <c r="A8505" i="10"/>
  <c r="E8504" i="10"/>
  <c r="D8504" i="10"/>
  <c r="C8504" i="10"/>
  <c r="B8504" i="10"/>
  <c r="A8504" i="10"/>
  <c r="E8503" i="10"/>
  <c r="D8503" i="10"/>
  <c r="C8503" i="10"/>
  <c r="B8503" i="10"/>
  <c r="A8503" i="10"/>
  <c r="E8502" i="10"/>
  <c r="D8502" i="10"/>
  <c r="C8502" i="10"/>
  <c r="B8502" i="10"/>
  <c r="A8502" i="10"/>
  <c r="E8501" i="10"/>
  <c r="D8501" i="10"/>
  <c r="C8501" i="10"/>
  <c r="B8501" i="10"/>
  <c r="A8501" i="10"/>
  <c r="E8500" i="10"/>
  <c r="D8500" i="10"/>
  <c r="C8500" i="10"/>
  <c r="B8500" i="10"/>
  <c r="A8500" i="10"/>
  <c r="E8499" i="10"/>
  <c r="D8499" i="10"/>
  <c r="C8499" i="10"/>
  <c r="B8499" i="10"/>
  <c r="A8499" i="10"/>
  <c r="E8498" i="10"/>
  <c r="D8498" i="10"/>
  <c r="C8498" i="10"/>
  <c r="B8498" i="10"/>
  <c r="A8498" i="10"/>
  <c r="E8497" i="10"/>
  <c r="D8497" i="10"/>
  <c r="C8497" i="10"/>
  <c r="B8497" i="10"/>
  <c r="A8497" i="10"/>
  <c r="E8496" i="10"/>
  <c r="D8496" i="10"/>
  <c r="C8496" i="10"/>
  <c r="B8496" i="10"/>
  <c r="A8496" i="10"/>
  <c r="E8495" i="10"/>
  <c r="D8495" i="10"/>
  <c r="C8495" i="10"/>
  <c r="B8495" i="10"/>
  <c r="A8495" i="10"/>
  <c r="E8494" i="10"/>
  <c r="D8494" i="10"/>
  <c r="C8494" i="10"/>
  <c r="B8494" i="10"/>
  <c r="A8494" i="10"/>
  <c r="E8493" i="10"/>
  <c r="D8493" i="10"/>
  <c r="C8493" i="10"/>
  <c r="B8493" i="10"/>
  <c r="A8493" i="10"/>
  <c r="E8492" i="10"/>
  <c r="D8492" i="10"/>
  <c r="C8492" i="10"/>
  <c r="B8492" i="10"/>
  <c r="A8492" i="10"/>
  <c r="E8491" i="10"/>
  <c r="D8491" i="10"/>
  <c r="C8491" i="10"/>
  <c r="B8491" i="10"/>
  <c r="A8491" i="10"/>
  <c r="E8490" i="10"/>
  <c r="D8490" i="10"/>
  <c r="C8490" i="10"/>
  <c r="B8490" i="10"/>
  <c r="A8490" i="10"/>
  <c r="E8489" i="10"/>
  <c r="D8489" i="10"/>
  <c r="C8489" i="10"/>
  <c r="B8489" i="10"/>
  <c r="A8489" i="10"/>
  <c r="E8488" i="10"/>
  <c r="D8488" i="10"/>
  <c r="C8488" i="10"/>
  <c r="B8488" i="10"/>
  <c r="A8488" i="10"/>
  <c r="E8487" i="10"/>
  <c r="D8487" i="10"/>
  <c r="C8487" i="10"/>
  <c r="B8487" i="10"/>
  <c r="A8487" i="10"/>
  <c r="E8486" i="10"/>
  <c r="D8486" i="10"/>
  <c r="C8486" i="10"/>
  <c r="B8486" i="10"/>
  <c r="A8486" i="10"/>
  <c r="E8485" i="10"/>
  <c r="D8485" i="10"/>
  <c r="C8485" i="10"/>
  <c r="B8485" i="10"/>
  <c r="A8485" i="10"/>
  <c r="E8484" i="10"/>
  <c r="D8484" i="10"/>
  <c r="C8484" i="10"/>
  <c r="B8484" i="10"/>
  <c r="A8484" i="10"/>
  <c r="E8483" i="10"/>
  <c r="D8483" i="10"/>
  <c r="C8483" i="10"/>
  <c r="B8483" i="10"/>
  <c r="A8483" i="10"/>
  <c r="E8482" i="10"/>
  <c r="D8482" i="10"/>
  <c r="C8482" i="10"/>
  <c r="B8482" i="10"/>
  <c r="A8482" i="10"/>
  <c r="E8481" i="10"/>
  <c r="D8481" i="10"/>
  <c r="C8481" i="10"/>
  <c r="B8481" i="10"/>
  <c r="A8481" i="10"/>
  <c r="E8480" i="10"/>
  <c r="D8480" i="10"/>
  <c r="C8480" i="10"/>
  <c r="B8480" i="10"/>
  <c r="A8480" i="10"/>
  <c r="E8479" i="10"/>
  <c r="D8479" i="10"/>
  <c r="C8479" i="10"/>
  <c r="B8479" i="10"/>
  <c r="A8479" i="10"/>
  <c r="E8478" i="10"/>
  <c r="D8478" i="10"/>
  <c r="C8478" i="10"/>
  <c r="B8478" i="10"/>
  <c r="A8478" i="10"/>
  <c r="E8477" i="10"/>
  <c r="D8477" i="10"/>
  <c r="C8477" i="10"/>
  <c r="B8477" i="10"/>
  <c r="A8477" i="10"/>
  <c r="E8476" i="10"/>
  <c r="D8476" i="10"/>
  <c r="C8476" i="10"/>
  <c r="B8476" i="10"/>
  <c r="A8476" i="10"/>
  <c r="E8475" i="10"/>
  <c r="D8475" i="10"/>
  <c r="C8475" i="10"/>
  <c r="B8475" i="10"/>
  <c r="A8475" i="10"/>
  <c r="E8474" i="10"/>
  <c r="D8474" i="10"/>
  <c r="C8474" i="10"/>
  <c r="B8474" i="10"/>
  <c r="A8474" i="10"/>
  <c r="E8473" i="10"/>
  <c r="D8473" i="10"/>
  <c r="C8473" i="10"/>
  <c r="B8473" i="10"/>
  <c r="A8473" i="10"/>
  <c r="E8472" i="10"/>
  <c r="D8472" i="10"/>
  <c r="C8472" i="10"/>
  <c r="B8472" i="10"/>
  <c r="A8472" i="10"/>
  <c r="E8471" i="10"/>
  <c r="D8471" i="10"/>
  <c r="C8471" i="10"/>
  <c r="B8471" i="10"/>
  <c r="A8471" i="10"/>
  <c r="E8470" i="10"/>
  <c r="D8470" i="10"/>
  <c r="C8470" i="10"/>
  <c r="B8470" i="10"/>
  <c r="A8470" i="10"/>
  <c r="E8469" i="10"/>
  <c r="D8469" i="10"/>
  <c r="C8469" i="10"/>
  <c r="B8469" i="10"/>
  <c r="A8469" i="10"/>
  <c r="E8468" i="10"/>
  <c r="D8468" i="10"/>
  <c r="C8468" i="10"/>
  <c r="B8468" i="10"/>
  <c r="A8468" i="10"/>
  <c r="E8467" i="10"/>
  <c r="D8467" i="10"/>
  <c r="C8467" i="10"/>
  <c r="B8467" i="10"/>
  <c r="A8467" i="10"/>
  <c r="E8466" i="10"/>
  <c r="D8466" i="10"/>
  <c r="C8466" i="10"/>
  <c r="B8466" i="10"/>
  <c r="A8466" i="10"/>
  <c r="E8465" i="10"/>
  <c r="D8465" i="10"/>
  <c r="C8465" i="10"/>
  <c r="B8465" i="10"/>
  <c r="A8465" i="10"/>
  <c r="E8464" i="10"/>
  <c r="D8464" i="10"/>
  <c r="C8464" i="10"/>
  <c r="B8464" i="10"/>
  <c r="A8464" i="10"/>
  <c r="E8463" i="10"/>
  <c r="D8463" i="10"/>
  <c r="C8463" i="10"/>
  <c r="B8463" i="10"/>
  <c r="A8463" i="10"/>
  <c r="E8462" i="10"/>
  <c r="D8462" i="10"/>
  <c r="C8462" i="10"/>
  <c r="B8462" i="10"/>
  <c r="A8462" i="10"/>
  <c r="E8461" i="10"/>
  <c r="D8461" i="10"/>
  <c r="C8461" i="10"/>
  <c r="B8461" i="10"/>
  <c r="A8461" i="10"/>
  <c r="E8460" i="10"/>
  <c r="D8460" i="10"/>
  <c r="C8460" i="10"/>
  <c r="B8460" i="10"/>
  <c r="A8460" i="10"/>
  <c r="E8459" i="10"/>
  <c r="D8459" i="10"/>
  <c r="C8459" i="10"/>
  <c r="B8459" i="10"/>
  <c r="A8459" i="10"/>
  <c r="E8458" i="10"/>
  <c r="D8458" i="10"/>
  <c r="C8458" i="10"/>
  <c r="B8458" i="10"/>
  <c r="A8458" i="10"/>
  <c r="E8457" i="10"/>
  <c r="D8457" i="10"/>
  <c r="C8457" i="10"/>
  <c r="B8457" i="10"/>
  <c r="A8457" i="10"/>
  <c r="E8456" i="10"/>
  <c r="D8456" i="10"/>
  <c r="C8456" i="10"/>
  <c r="B8456" i="10"/>
  <c r="A8456" i="10"/>
  <c r="E8455" i="10"/>
  <c r="D8455" i="10"/>
  <c r="C8455" i="10"/>
  <c r="B8455" i="10"/>
  <c r="A8455" i="10"/>
  <c r="E8454" i="10"/>
  <c r="D8454" i="10"/>
  <c r="C8454" i="10"/>
  <c r="B8454" i="10"/>
  <c r="A8454" i="10"/>
  <c r="E8453" i="10"/>
  <c r="D8453" i="10"/>
  <c r="C8453" i="10"/>
  <c r="B8453" i="10"/>
  <c r="A8453" i="10"/>
  <c r="E8452" i="10"/>
  <c r="D8452" i="10"/>
  <c r="C8452" i="10"/>
  <c r="B8452" i="10"/>
  <c r="A8452" i="10"/>
  <c r="E8451" i="10"/>
  <c r="D8451" i="10"/>
  <c r="C8451" i="10"/>
  <c r="B8451" i="10"/>
  <c r="A8451" i="10"/>
  <c r="E8450" i="10"/>
  <c r="D8450" i="10"/>
  <c r="C8450" i="10"/>
  <c r="B8450" i="10"/>
  <c r="A8450" i="10"/>
  <c r="E8449" i="10"/>
  <c r="D8449" i="10"/>
  <c r="C8449" i="10"/>
  <c r="B8449" i="10"/>
  <c r="A8449" i="10"/>
  <c r="E8448" i="10"/>
  <c r="D8448" i="10"/>
  <c r="C8448" i="10"/>
  <c r="B8448" i="10"/>
  <c r="A8448" i="10"/>
  <c r="E8447" i="10"/>
  <c r="D8447" i="10"/>
  <c r="C8447" i="10"/>
  <c r="B8447" i="10"/>
  <c r="A8447" i="10"/>
  <c r="E8446" i="10"/>
  <c r="D8446" i="10"/>
  <c r="C8446" i="10"/>
  <c r="B8446" i="10"/>
  <c r="A8446" i="10"/>
  <c r="E8445" i="10"/>
  <c r="D8445" i="10"/>
  <c r="C8445" i="10"/>
  <c r="B8445" i="10"/>
  <c r="A8445" i="10"/>
  <c r="E8444" i="10"/>
  <c r="D8444" i="10"/>
  <c r="C8444" i="10"/>
  <c r="B8444" i="10"/>
  <c r="A8444" i="10"/>
  <c r="E8443" i="10"/>
  <c r="D8443" i="10"/>
  <c r="C8443" i="10"/>
  <c r="B8443" i="10"/>
  <c r="A8443" i="10"/>
  <c r="E8442" i="10"/>
  <c r="D8442" i="10"/>
  <c r="C8442" i="10"/>
  <c r="B8442" i="10"/>
  <c r="A8442" i="10"/>
  <c r="E8441" i="10"/>
  <c r="D8441" i="10"/>
  <c r="C8441" i="10"/>
  <c r="B8441" i="10"/>
  <c r="A8441" i="10"/>
  <c r="E8440" i="10"/>
  <c r="D8440" i="10"/>
  <c r="C8440" i="10"/>
  <c r="B8440" i="10"/>
  <c r="A8440" i="10"/>
  <c r="E8439" i="10"/>
  <c r="D8439" i="10"/>
  <c r="C8439" i="10"/>
  <c r="B8439" i="10"/>
  <c r="A8439" i="10"/>
  <c r="E8438" i="10"/>
  <c r="D8438" i="10"/>
  <c r="C8438" i="10"/>
  <c r="B8438" i="10"/>
  <c r="A8438" i="10"/>
  <c r="E8437" i="10"/>
  <c r="D8437" i="10"/>
  <c r="C8437" i="10"/>
  <c r="B8437" i="10"/>
  <c r="A8437" i="10"/>
  <c r="E8436" i="10"/>
  <c r="D8436" i="10"/>
  <c r="C8436" i="10"/>
  <c r="B8436" i="10"/>
  <c r="A8436" i="10"/>
  <c r="E8435" i="10"/>
  <c r="D8435" i="10"/>
  <c r="C8435" i="10"/>
  <c r="B8435" i="10"/>
  <c r="A8435" i="10"/>
  <c r="E8434" i="10"/>
  <c r="D8434" i="10"/>
  <c r="C8434" i="10"/>
  <c r="B8434" i="10"/>
  <c r="A8434" i="10"/>
  <c r="E8433" i="10"/>
  <c r="D8433" i="10"/>
  <c r="C8433" i="10"/>
  <c r="B8433" i="10"/>
  <c r="A8433" i="10"/>
  <c r="E8432" i="10"/>
  <c r="D8432" i="10"/>
  <c r="C8432" i="10"/>
  <c r="B8432" i="10"/>
  <c r="A8432" i="10"/>
  <c r="E8431" i="10"/>
  <c r="D8431" i="10"/>
  <c r="C8431" i="10"/>
  <c r="B8431" i="10"/>
  <c r="A8431" i="10"/>
  <c r="E8430" i="10"/>
  <c r="D8430" i="10"/>
  <c r="C8430" i="10"/>
  <c r="B8430" i="10"/>
  <c r="A8430" i="10"/>
  <c r="E8429" i="10"/>
  <c r="D8429" i="10"/>
  <c r="C8429" i="10"/>
  <c r="B8429" i="10"/>
  <c r="A8429" i="10"/>
  <c r="E8428" i="10"/>
  <c r="D8428" i="10"/>
  <c r="C8428" i="10"/>
  <c r="B8428" i="10"/>
  <c r="A8428" i="10"/>
  <c r="E8427" i="10"/>
  <c r="D8427" i="10"/>
  <c r="C8427" i="10"/>
  <c r="B8427" i="10"/>
  <c r="A8427" i="10"/>
  <c r="E8426" i="10"/>
  <c r="D8426" i="10"/>
  <c r="C8426" i="10"/>
  <c r="B8426" i="10"/>
  <c r="A8426" i="10"/>
  <c r="E8425" i="10"/>
  <c r="D8425" i="10"/>
  <c r="C8425" i="10"/>
  <c r="B8425" i="10"/>
  <c r="A8425" i="10"/>
  <c r="E8424" i="10"/>
  <c r="D8424" i="10"/>
  <c r="C8424" i="10"/>
  <c r="B8424" i="10"/>
  <c r="A8424" i="10"/>
  <c r="E8423" i="10"/>
  <c r="D8423" i="10"/>
  <c r="C8423" i="10"/>
  <c r="B8423" i="10"/>
  <c r="A8423" i="10"/>
  <c r="E8422" i="10"/>
  <c r="D8422" i="10"/>
  <c r="C8422" i="10"/>
  <c r="B8422" i="10"/>
  <c r="A8422" i="10"/>
  <c r="E8421" i="10"/>
  <c r="D8421" i="10"/>
  <c r="C8421" i="10"/>
  <c r="B8421" i="10"/>
  <c r="A8421" i="10"/>
  <c r="E8420" i="10"/>
  <c r="D8420" i="10"/>
  <c r="C8420" i="10"/>
  <c r="B8420" i="10"/>
  <c r="A8420" i="10"/>
  <c r="E8419" i="10"/>
  <c r="D8419" i="10"/>
  <c r="C8419" i="10"/>
  <c r="B8419" i="10"/>
  <c r="A8419" i="10"/>
  <c r="E8418" i="10"/>
  <c r="D8418" i="10"/>
  <c r="C8418" i="10"/>
  <c r="B8418" i="10"/>
  <c r="A8418" i="10"/>
  <c r="E8417" i="10"/>
  <c r="D8417" i="10"/>
  <c r="C8417" i="10"/>
  <c r="B8417" i="10"/>
  <c r="A8417" i="10"/>
  <c r="E8416" i="10"/>
  <c r="D8416" i="10"/>
  <c r="C8416" i="10"/>
  <c r="B8416" i="10"/>
  <c r="A8416" i="10"/>
  <c r="E8415" i="10"/>
  <c r="D8415" i="10"/>
  <c r="C8415" i="10"/>
  <c r="B8415" i="10"/>
  <c r="A8415" i="10"/>
  <c r="E8414" i="10"/>
  <c r="D8414" i="10"/>
  <c r="C8414" i="10"/>
  <c r="B8414" i="10"/>
  <c r="A8414" i="10"/>
  <c r="E8413" i="10"/>
  <c r="D8413" i="10"/>
  <c r="C8413" i="10"/>
  <c r="B8413" i="10"/>
  <c r="A8413" i="10"/>
  <c r="E8412" i="10"/>
  <c r="D8412" i="10"/>
  <c r="C8412" i="10"/>
  <c r="B8412" i="10"/>
  <c r="A8412" i="10"/>
  <c r="E8411" i="10"/>
  <c r="D8411" i="10"/>
  <c r="C8411" i="10"/>
  <c r="B8411" i="10"/>
  <c r="A8411" i="10"/>
  <c r="E8410" i="10"/>
  <c r="D8410" i="10"/>
  <c r="C8410" i="10"/>
  <c r="B8410" i="10"/>
  <c r="A8410" i="10"/>
  <c r="E8409" i="10"/>
  <c r="D8409" i="10"/>
  <c r="C8409" i="10"/>
  <c r="B8409" i="10"/>
  <c r="A8409" i="10"/>
  <c r="E8408" i="10"/>
  <c r="D8408" i="10"/>
  <c r="C8408" i="10"/>
  <c r="B8408" i="10"/>
  <c r="A8408" i="10"/>
  <c r="E8407" i="10"/>
  <c r="D8407" i="10"/>
  <c r="C8407" i="10"/>
  <c r="B8407" i="10"/>
  <c r="A8407" i="10"/>
  <c r="E8406" i="10"/>
  <c r="D8406" i="10"/>
  <c r="C8406" i="10"/>
  <c r="B8406" i="10"/>
  <c r="A8406" i="10"/>
  <c r="E8405" i="10"/>
  <c r="D8405" i="10"/>
  <c r="C8405" i="10"/>
  <c r="B8405" i="10"/>
  <c r="A8405" i="10"/>
  <c r="E8404" i="10"/>
  <c r="D8404" i="10"/>
  <c r="C8404" i="10"/>
  <c r="B8404" i="10"/>
  <c r="A8404" i="10"/>
  <c r="E8403" i="10"/>
  <c r="D8403" i="10"/>
  <c r="C8403" i="10"/>
  <c r="B8403" i="10"/>
  <c r="A8403" i="10"/>
  <c r="E8402" i="10"/>
  <c r="D8402" i="10"/>
  <c r="C8402" i="10"/>
  <c r="B8402" i="10"/>
  <c r="A8402" i="10"/>
  <c r="E8401" i="10"/>
  <c r="D8401" i="10"/>
  <c r="C8401" i="10"/>
  <c r="B8401" i="10"/>
  <c r="A8401" i="10"/>
  <c r="E8400" i="10"/>
  <c r="D8400" i="10"/>
  <c r="C8400" i="10"/>
  <c r="B8400" i="10"/>
  <c r="A8400" i="10"/>
  <c r="E8399" i="10"/>
  <c r="D8399" i="10"/>
  <c r="C8399" i="10"/>
  <c r="B8399" i="10"/>
  <c r="A8399" i="10"/>
  <c r="E8398" i="10"/>
  <c r="D8398" i="10"/>
  <c r="C8398" i="10"/>
  <c r="B8398" i="10"/>
  <c r="A8398" i="10"/>
  <c r="E8397" i="10"/>
  <c r="D8397" i="10"/>
  <c r="C8397" i="10"/>
  <c r="B8397" i="10"/>
  <c r="A8397" i="10"/>
  <c r="E8396" i="10"/>
  <c r="D8396" i="10"/>
  <c r="C8396" i="10"/>
  <c r="B8396" i="10"/>
  <c r="A8396" i="10"/>
  <c r="E8395" i="10"/>
  <c r="D8395" i="10"/>
  <c r="C8395" i="10"/>
  <c r="B8395" i="10"/>
  <c r="A8395" i="10"/>
  <c r="E8394" i="10"/>
  <c r="D8394" i="10"/>
  <c r="C8394" i="10"/>
  <c r="B8394" i="10"/>
  <c r="A8394" i="10"/>
  <c r="E8393" i="10"/>
  <c r="D8393" i="10"/>
  <c r="C8393" i="10"/>
  <c r="B8393" i="10"/>
  <c r="A8393" i="10"/>
  <c r="E8392" i="10"/>
  <c r="D8392" i="10"/>
  <c r="C8392" i="10"/>
  <c r="B8392" i="10"/>
  <c r="A8392" i="10"/>
  <c r="E8391" i="10"/>
  <c r="D8391" i="10"/>
  <c r="C8391" i="10"/>
  <c r="B8391" i="10"/>
  <c r="A8391" i="10"/>
  <c r="E8390" i="10"/>
  <c r="D8390" i="10"/>
  <c r="C8390" i="10"/>
  <c r="B8390" i="10"/>
  <c r="A8390" i="10"/>
  <c r="E8389" i="10"/>
  <c r="D8389" i="10"/>
  <c r="C8389" i="10"/>
  <c r="B8389" i="10"/>
  <c r="A8389" i="10"/>
  <c r="E8388" i="10"/>
  <c r="D8388" i="10"/>
  <c r="C8388" i="10"/>
  <c r="B8388" i="10"/>
  <c r="A8388" i="10"/>
  <c r="E8387" i="10"/>
  <c r="D8387" i="10"/>
  <c r="C8387" i="10"/>
  <c r="B8387" i="10"/>
  <c r="A8387" i="10"/>
  <c r="E8386" i="10"/>
  <c r="D8386" i="10"/>
  <c r="C8386" i="10"/>
  <c r="B8386" i="10"/>
  <c r="A8386" i="10"/>
  <c r="E8385" i="10"/>
  <c r="D8385" i="10"/>
  <c r="C8385" i="10"/>
  <c r="B8385" i="10"/>
  <c r="A8385" i="10"/>
  <c r="E8384" i="10"/>
  <c r="D8384" i="10"/>
  <c r="C8384" i="10"/>
  <c r="B8384" i="10"/>
  <c r="A8384" i="10"/>
  <c r="E8383" i="10"/>
  <c r="D8383" i="10"/>
  <c r="C8383" i="10"/>
  <c r="B8383" i="10"/>
  <c r="A8383" i="10"/>
  <c r="E8382" i="10"/>
  <c r="D8382" i="10"/>
  <c r="C8382" i="10"/>
  <c r="B8382" i="10"/>
  <c r="A8382" i="10"/>
  <c r="E8381" i="10"/>
  <c r="D8381" i="10"/>
  <c r="C8381" i="10"/>
  <c r="B8381" i="10"/>
  <c r="A8381" i="10"/>
  <c r="E8380" i="10"/>
  <c r="D8380" i="10"/>
  <c r="C8380" i="10"/>
  <c r="B8380" i="10"/>
  <c r="A8380" i="10"/>
  <c r="E8379" i="10"/>
  <c r="D8379" i="10"/>
  <c r="C8379" i="10"/>
  <c r="B8379" i="10"/>
  <c r="A8379" i="10"/>
  <c r="E8378" i="10"/>
  <c r="D8378" i="10"/>
  <c r="C8378" i="10"/>
  <c r="B8378" i="10"/>
  <c r="A8378" i="10"/>
  <c r="E8377" i="10"/>
  <c r="D8377" i="10"/>
  <c r="C8377" i="10"/>
  <c r="B8377" i="10"/>
  <c r="A8377" i="10"/>
  <c r="E8376" i="10"/>
  <c r="D8376" i="10"/>
  <c r="C8376" i="10"/>
  <c r="B8376" i="10"/>
  <c r="A8376" i="10"/>
  <c r="E8375" i="10"/>
  <c r="D8375" i="10"/>
  <c r="C8375" i="10"/>
  <c r="B8375" i="10"/>
  <c r="A8375" i="10"/>
  <c r="E8374" i="10"/>
  <c r="D8374" i="10"/>
  <c r="C8374" i="10"/>
  <c r="B8374" i="10"/>
  <c r="A8374" i="10"/>
  <c r="E8373" i="10"/>
  <c r="D8373" i="10"/>
  <c r="C8373" i="10"/>
  <c r="B8373" i="10"/>
  <c r="A8373" i="10"/>
  <c r="E8372" i="10"/>
  <c r="D8372" i="10"/>
  <c r="C8372" i="10"/>
  <c r="B8372" i="10"/>
  <c r="A8372" i="10"/>
  <c r="E8371" i="10"/>
  <c r="D8371" i="10"/>
  <c r="C8371" i="10"/>
  <c r="B8371" i="10"/>
  <c r="A8371" i="10"/>
  <c r="E8370" i="10"/>
  <c r="D8370" i="10"/>
  <c r="C8370" i="10"/>
  <c r="B8370" i="10"/>
  <c r="A8370" i="10"/>
  <c r="E8369" i="10"/>
  <c r="D8369" i="10"/>
  <c r="C8369" i="10"/>
  <c r="B8369" i="10"/>
  <c r="A8369" i="10"/>
  <c r="E8368" i="10"/>
  <c r="D8368" i="10"/>
  <c r="C8368" i="10"/>
  <c r="B8368" i="10"/>
  <c r="A8368" i="10"/>
  <c r="E8367" i="10"/>
  <c r="D8367" i="10"/>
  <c r="C8367" i="10"/>
  <c r="B8367" i="10"/>
  <c r="A8367" i="10"/>
  <c r="E8366" i="10"/>
  <c r="D8366" i="10"/>
  <c r="C8366" i="10"/>
  <c r="B8366" i="10"/>
  <c r="A8366" i="10"/>
  <c r="E8365" i="10"/>
  <c r="D8365" i="10"/>
  <c r="C8365" i="10"/>
  <c r="B8365" i="10"/>
  <c r="A8365" i="10"/>
  <c r="E8364" i="10"/>
  <c r="D8364" i="10"/>
  <c r="C8364" i="10"/>
  <c r="B8364" i="10"/>
  <c r="A8364" i="10"/>
  <c r="E8363" i="10"/>
  <c r="D8363" i="10"/>
  <c r="C8363" i="10"/>
  <c r="B8363" i="10"/>
  <c r="A8363" i="10"/>
  <c r="E8362" i="10"/>
  <c r="D8362" i="10"/>
  <c r="C8362" i="10"/>
  <c r="B8362" i="10"/>
  <c r="A8362" i="10"/>
  <c r="E8361" i="10"/>
  <c r="D8361" i="10"/>
  <c r="C8361" i="10"/>
  <c r="B8361" i="10"/>
  <c r="A8361" i="10"/>
  <c r="E8360" i="10"/>
  <c r="D8360" i="10"/>
  <c r="C8360" i="10"/>
  <c r="B8360" i="10"/>
  <c r="A8360" i="10"/>
  <c r="E8359" i="10"/>
  <c r="D8359" i="10"/>
  <c r="C8359" i="10"/>
  <c r="B8359" i="10"/>
  <c r="A8359" i="10"/>
  <c r="E8358" i="10"/>
  <c r="D8358" i="10"/>
  <c r="C8358" i="10"/>
  <c r="B8358" i="10"/>
  <c r="A8358" i="10"/>
  <c r="E8357" i="10"/>
  <c r="D8357" i="10"/>
  <c r="C8357" i="10"/>
  <c r="B8357" i="10"/>
  <c r="A8357" i="10"/>
  <c r="E8356" i="10"/>
  <c r="D8356" i="10"/>
  <c r="C8356" i="10"/>
  <c r="B8356" i="10"/>
  <c r="A8356" i="10"/>
  <c r="E8355" i="10"/>
  <c r="D8355" i="10"/>
  <c r="C8355" i="10"/>
  <c r="B8355" i="10"/>
  <c r="A8355" i="10"/>
  <c r="E8354" i="10"/>
  <c r="D8354" i="10"/>
  <c r="C8354" i="10"/>
  <c r="B8354" i="10"/>
  <c r="A8354" i="10"/>
  <c r="D8353" i="10"/>
  <c r="C8353" i="10"/>
  <c r="B8353" i="10"/>
  <c r="A8353" i="10"/>
  <c r="E8352" i="10"/>
  <c r="D8352" i="10"/>
  <c r="C8352" i="10"/>
  <c r="B8352" i="10"/>
  <c r="A8352" i="10"/>
  <c r="E8351" i="10"/>
  <c r="D8351" i="10"/>
  <c r="C8351" i="10"/>
  <c r="B8351" i="10"/>
  <c r="A8351" i="10"/>
  <c r="E8350" i="10"/>
  <c r="D8350" i="10"/>
  <c r="C8350" i="10"/>
  <c r="B8350" i="10"/>
  <c r="A8350" i="10"/>
  <c r="E8349" i="10"/>
  <c r="D8349" i="10"/>
  <c r="C8349" i="10"/>
  <c r="B8349" i="10"/>
  <c r="A8349" i="10"/>
  <c r="E8348" i="10"/>
  <c r="D8348" i="10"/>
  <c r="C8348" i="10"/>
  <c r="B8348" i="10"/>
  <c r="A8348" i="10"/>
  <c r="E8347" i="10"/>
  <c r="D8347" i="10"/>
  <c r="C8347" i="10"/>
  <c r="B8347" i="10"/>
  <c r="A8347" i="10"/>
  <c r="E8346" i="10"/>
  <c r="D8346" i="10"/>
  <c r="C8346" i="10"/>
  <c r="B8346" i="10"/>
  <c r="A8346" i="10"/>
  <c r="E8345" i="10"/>
  <c r="D8345" i="10"/>
  <c r="C8345" i="10"/>
  <c r="B8345" i="10"/>
  <c r="A8345" i="10"/>
  <c r="E8344" i="10"/>
  <c r="D8344" i="10"/>
  <c r="C8344" i="10"/>
  <c r="B8344" i="10"/>
  <c r="A8344" i="10"/>
  <c r="E8343" i="10"/>
  <c r="D8343" i="10"/>
  <c r="C8343" i="10"/>
  <c r="B8343" i="10"/>
  <c r="A8343" i="10"/>
  <c r="E8342" i="10"/>
  <c r="D8342" i="10"/>
  <c r="C8342" i="10"/>
  <c r="B8342" i="10"/>
  <c r="A8342" i="10"/>
  <c r="E8341" i="10"/>
  <c r="D8341" i="10"/>
  <c r="C8341" i="10"/>
  <c r="B8341" i="10"/>
  <c r="A8341" i="10"/>
  <c r="E8340" i="10"/>
  <c r="D8340" i="10"/>
  <c r="C8340" i="10"/>
  <c r="B8340" i="10"/>
  <c r="A8340" i="10"/>
  <c r="E8339" i="10"/>
  <c r="D8339" i="10"/>
  <c r="C8339" i="10"/>
  <c r="B8339" i="10"/>
  <c r="A8339" i="10"/>
  <c r="E8338" i="10"/>
  <c r="D8338" i="10"/>
  <c r="C8338" i="10"/>
  <c r="B8338" i="10"/>
  <c r="A8338" i="10"/>
  <c r="E8337" i="10"/>
  <c r="D8337" i="10"/>
  <c r="C8337" i="10"/>
  <c r="B8337" i="10"/>
  <c r="A8337" i="10"/>
  <c r="E8336" i="10"/>
  <c r="D8336" i="10"/>
  <c r="C8336" i="10"/>
  <c r="B8336" i="10"/>
  <c r="A8336" i="10"/>
  <c r="E8335" i="10"/>
  <c r="D8335" i="10"/>
  <c r="C8335" i="10"/>
  <c r="B8335" i="10"/>
  <c r="A8335" i="10"/>
  <c r="E8334" i="10"/>
  <c r="D8334" i="10"/>
  <c r="C8334" i="10"/>
  <c r="B8334" i="10"/>
  <c r="A8334" i="10"/>
  <c r="E8333" i="10"/>
  <c r="D8333" i="10"/>
  <c r="C8333" i="10"/>
  <c r="B8333" i="10"/>
  <c r="A8333" i="10"/>
  <c r="E8332" i="10"/>
  <c r="D8332" i="10"/>
  <c r="C8332" i="10"/>
  <c r="B8332" i="10"/>
  <c r="A8332" i="10"/>
  <c r="E8331" i="10"/>
  <c r="D8331" i="10"/>
  <c r="C8331" i="10"/>
  <c r="B8331" i="10"/>
  <c r="A8331" i="10"/>
  <c r="E8330" i="10"/>
  <c r="D8330" i="10"/>
  <c r="C8330" i="10"/>
  <c r="B8330" i="10"/>
  <c r="A8330" i="10"/>
  <c r="E8329" i="10"/>
  <c r="D8329" i="10"/>
  <c r="C8329" i="10"/>
  <c r="B8329" i="10"/>
  <c r="A8329" i="10"/>
  <c r="E8328" i="10"/>
  <c r="D8328" i="10"/>
  <c r="C8328" i="10"/>
  <c r="B8328" i="10"/>
  <c r="A8328" i="10"/>
  <c r="E8327" i="10"/>
  <c r="D8327" i="10"/>
  <c r="C8327" i="10"/>
  <c r="B8327" i="10"/>
  <c r="A8327" i="10"/>
  <c r="E8326" i="10"/>
  <c r="D8326" i="10"/>
  <c r="C8326" i="10"/>
  <c r="B8326" i="10"/>
  <c r="A8326" i="10"/>
  <c r="E8325" i="10"/>
  <c r="D8325" i="10"/>
  <c r="C8325" i="10"/>
  <c r="B8325" i="10"/>
  <c r="A8325" i="10"/>
  <c r="E8324" i="10"/>
  <c r="D8324" i="10"/>
  <c r="C8324" i="10"/>
  <c r="B8324" i="10"/>
  <c r="A8324" i="10"/>
  <c r="E8323" i="10"/>
  <c r="D8323" i="10"/>
  <c r="C8323" i="10"/>
  <c r="B8323" i="10"/>
  <c r="A8323" i="10"/>
  <c r="E8322" i="10"/>
  <c r="D8322" i="10"/>
  <c r="C8322" i="10"/>
  <c r="B8322" i="10"/>
  <c r="A8322" i="10"/>
  <c r="E8321" i="10"/>
  <c r="D8321" i="10"/>
  <c r="C8321" i="10"/>
  <c r="B8321" i="10"/>
  <c r="A8321" i="10"/>
  <c r="E8320" i="10"/>
  <c r="D8320" i="10"/>
  <c r="C8320" i="10"/>
  <c r="B8320" i="10"/>
  <c r="A8320" i="10"/>
  <c r="E8319" i="10"/>
  <c r="D8319" i="10"/>
  <c r="C8319" i="10"/>
  <c r="B8319" i="10"/>
  <c r="A8319" i="10"/>
  <c r="E8318" i="10"/>
  <c r="D8318" i="10"/>
  <c r="C8318" i="10"/>
  <c r="B8318" i="10"/>
  <c r="A8318" i="10"/>
  <c r="E8317" i="10"/>
  <c r="D8317" i="10"/>
  <c r="C8317" i="10"/>
  <c r="B8317" i="10"/>
  <c r="A8317" i="10"/>
  <c r="E8316" i="10"/>
  <c r="D8316" i="10"/>
  <c r="C8316" i="10"/>
  <c r="B8316" i="10"/>
  <c r="A8316" i="10"/>
  <c r="E8315" i="10"/>
  <c r="D8315" i="10"/>
  <c r="C8315" i="10"/>
  <c r="B8315" i="10"/>
  <c r="A8315" i="10"/>
  <c r="E8314" i="10"/>
  <c r="D8314" i="10"/>
  <c r="C8314" i="10"/>
  <c r="B8314" i="10"/>
  <c r="A8314" i="10"/>
  <c r="E8313" i="10"/>
  <c r="D8313" i="10"/>
  <c r="C8313" i="10"/>
  <c r="B8313" i="10"/>
  <c r="A8313" i="10"/>
  <c r="E8312" i="10"/>
  <c r="D8312" i="10"/>
  <c r="C8312" i="10"/>
  <c r="B8312" i="10"/>
  <c r="A8312" i="10"/>
  <c r="E8311" i="10"/>
  <c r="D8311" i="10"/>
  <c r="C8311" i="10"/>
  <c r="B8311" i="10"/>
  <c r="A8311" i="10"/>
  <c r="E8310" i="10"/>
  <c r="D8310" i="10"/>
  <c r="C8310" i="10"/>
  <c r="B8310" i="10"/>
  <c r="A8310" i="10"/>
  <c r="E8309" i="10"/>
  <c r="D8309" i="10"/>
  <c r="C8309" i="10"/>
  <c r="B8309" i="10"/>
  <c r="A8309" i="10"/>
  <c r="E8308" i="10"/>
  <c r="D8308" i="10"/>
  <c r="C8308" i="10"/>
  <c r="B8308" i="10"/>
  <c r="A8308" i="10"/>
  <c r="E8307" i="10"/>
  <c r="D8307" i="10"/>
  <c r="C8307" i="10"/>
  <c r="B8307" i="10"/>
  <c r="A8307" i="10"/>
  <c r="E8306" i="10"/>
  <c r="D8306" i="10"/>
  <c r="C8306" i="10"/>
  <c r="B8306" i="10"/>
  <c r="A8306" i="10"/>
  <c r="E8305" i="10"/>
  <c r="D8305" i="10"/>
  <c r="C8305" i="10"/>
  <c r="B8305" i="10"/>
  <c r="A8305" i="10"/>
  <c r="E8304" i="10"/>
  <c r="D8304" i="10"/>
  <c r="C8304" i="10"/>
  <c r="B8304" i="10"/>
  <c r="A8304" i="10"/>
  <c r="E8303" i="10"/>
  <c r="D8303" i="10"/>
  <c r="C8303" i="10"/>
  <c r="B8303" i="10"/>
  <c r="A8303" i="10"/>
  <c r="E8302" i="10"/>
  <c r="D8302" i="10"/>
  <c r="C8302" i="10"/>
  <c r="B8302" i="10"/>
  <c r="A8302" i="10"/>
  <c r="E8301" i="10"/>
  <c r="D8301" i="10"/>
  <c r="C8301" i="10"/>
  <c r="B8301" i="10"/>
  <c r="A8301" i="10"/>
  <c r="E8300" i="10"/>
  <c r="D8300" i="10"/>
  <c r="C8300" i="10"/>
  <c r="B8300" i="10"/>
  <c r="A8300" i="10"/>
  <c r="E8299" i="10"/>
  <c r="D8299" i="10"/>
  <c r="C8299" i="10"/>
  <c r="B8299" i="10"/>
  <c r="A8299" i="10"/>
  <c r="E8298" i="10"/>
  <c r="D8298" i="10"/>
  <c r="C8298" i="10"/>
  <c r="B8298" i="10"/>
  <c r="A8298" i="10"/>
  <c r="E8297" i="10"/>
  <c r="D8297" i="10"/>
  <c r="C8297" i="10"/>
  <c r="B8297" i="10"/>
  <c r="A8297" i="10"/>
  <c r="E8296" i="10"/>
  <c r="D8296" i="10"/>
  <c r="C8296" i="10"/>
  <c r="B8296" i="10"/>
  <c r="A8296" i="10"/>
  <c r="E8295" i="10"/>
  <c r="D8295" i="10"/>
  <c r="C8295" i="10"/>
  <c r="B8295" i="10"/>
  <c r="A8295" i="10"/>
  <c r="E8294" i="10"/>
  <c r="D8294" i="10"/>
  <c r="C8294" i="10"/>
  <c r="B8294" i="10"/>
  <c r="A8294" i="10"/>
  <c r="E8293" i="10"/>
  <c r="D8293" i="10"/>
  <c r="C8293" i="10"/>
  <c r="B8293" i="10"/>
  <c r="A8293" i="10"/>
  <c r="E8292" i="10"/>
  <c r="D8292" i="10"/>
  <c r="C8292" i="10"/>
  <c r="B8292" i="10"/>
  <c r="A8292" i="10"/>
  <c r="E8291" i="10"/>
  <c r="D8291" i="10"/>
  <c r="C8291" i="10"/>
  <c r="B8291" i="10"/>
  <c r="A8291" i="10"/>
  <c r="E8290" i="10"/>
  <c r="D8290" i="10"/>
  <c r="C8290" i="10"/>
  <c r="B8290" i="10"/>
  <c r="A8290" i="10"/>
  <c r="E8289" i="10"/>
  <c r="D8289" i="10"/>
  <c r="C8289" i="10"/>
  <c r="B8289" i="10"/>
  <c r="A8289" i="10"/>
  <c r="E8288" i="10"/>
  <c r="D8288" i="10"/>
  <c r="C8288" i="10"/>
  <c r="B8288" i="10"/>
  <c r="A8288" i="10"/>
  <c r="E8287" i="10"/>
  <c r="D8287" i="10"/>
  <c r="C8287" i="10"/>
  <c r="B8287" i="10"/>
  <c r="A8287" i="10"/>
  <c r="E8286" i="10"/>
  <c r="D8286" i="10"/>
  <c r="C8286" i="10"/>
  <c r="B8286" i="10"/>
  <c r="A8286" i="10"/>
  <c r="E8285" i="10"/>
  <c r="D8285" i="10"/>
  <c r="C8285" i="10"/>
  <c r="B8285" i="10"/>
  <c r="A8285" i="10"/>
  <c r="E8284" i="10"/>
  <c r="D8284" i="10"/>
  <c r="C8284" i="10"/>
  <c r="B8284" i="10"/>
  <c r="A8284" i="10"/>
  <c r="E8283" i="10"/>
  <c r="D8283" i="10"/>
  <c r="C8283" i="10"/>
  <c r="B8283" i="10"/>
  <c r="A8283" i="10"/>
  <c r="E8282" i="10"/>
  <c r="D8282" i="10"/>
  <c r="C8282" i="10"/>
  <c r="B8282" i="10"/>
  <c r="A8282" i="10"/>
  <c r="E8281" i="10"/>
  <c r="D8281" i="10"/>
  <c r="C8281" i="10"/>
  <c r="B8281" i="10"/>
  <c r="A8281" i="10"/>
  <c r="E8280" i="10"/>
  <c r="D8280" i="10"/>
  <c r="C8280" i="10"/>
  <c r="B8280" i="10"/>
  <c r="A8280" i="10"/>
  <c r="E8279" i="10"/>
  <c r="D8279" i="10"/>
  <c r="C8279" i="10"/>
  <c r="B8279" i="10"/>
  <c r="A8279" i="10"/>
  <c r="E8278" i="10"/>
  <c r="D8278" i="10"/>
  <c r="C8278" i="10"/>
  <c r="B8278" i="10"/>
  <c r="A8278" i="10"/>
  <c r="E8277" i="10"/>
  <c r="D8277" i="10"/>
  <c r="C8277" i="10"/>
  <c r="B8277" i="10"/>
  <c r="A8277" i="10"/>
  <c r="E8276" i="10"/>
  <c r="D8276" i="10"/>
  <c r="C8276" i="10"/>
  <c r="B8276" i="10"/>
  <c r="A8276" i="10"/>
  <c r="E8275" i="10"/>
  <c r="D8275" i="10"/>
  <c r="C8275" i="10"/>
  <c r="B8275" i="10"/>
  <c r="A8275" i="10"/>
  <c r="E8274" i="10"/>
  <c r="D8274" i="10"/>
  <c r="C8274" i="10"/>
  <c r="B8274" i="10"/>
  <c r="A8274" i="10"/>
  <c r="E8273" i="10"/>
  <c r="D8273" i="10"/>
  <c r="C8273" i="10"/>
  <c r="B8273" i="10"/>
  <c r="A8273" i="10"/>
  <c r="E8272" i="10"/>
  <c r="D8272" i="10"/>
  <c r="C8272" i="10"/>
  <c r="B8272" i="10"/>
  <c r="A8272" i="10"/>
  <c r="E8271" i="10"/>
  <c r="D8271" i="10"/>
  <c r="C8271" i="10"/>
  <c r="B8271" i="10"/>
  <c r="A8271" i="10"/>
  <c r="E8270" i="10"/>
  <c r="D8270" i="10"/>
  <c r="C8270" i="10"/>
  <c r="B8270" i="10"/>
  <c r="A8270" i="10"/>
  <c r="E8269" i="10"/>
  <c r="D8269" i="10"/>
  <c r="C8269" i="10"/>
  <c r="B8269" i="10"/>
  <c r="A8269" i="10"/>
  <c r="E8268" i="10"/>
  <c r="D8268" i="10"/>
  <c r="C8268" i="10"/>
  <c r="B8268" i="10"/>
  <c r="A8268" i="10"/>
  <c r="E8267" i="10"/>
  <c r="D8267" i="10"/>
  <c r="C8267" i="10"/>
  <c r="B8267" i="10"/>
  <c r="A8267" i="10"/>
  <c r="E8266" i="10"/>
  <c r="D8266" i="10"/>
  <c r="C8266" i="10"/>
  <c r="B8266" i="10"/>
  <c r="A8266" i="10"/>
  <c r="E8265" i="10"/>
  <c r="D8265" i="10"/>
  <c r="C8265" i="10"/>
  <c r="B8265" i="10"/>
  <c r="A8265" i="10"/>
  <c r="E8264" i="10"/>
  <c r="D8264" i="10"/>
  <c r="C8264" i="10"/>
  <c r="B8264" i="10"/>
  <c r="A8264" i="10"/>
  <c r="E8263" i="10"/>
  <c r="D8263" i="10"/>
  <c r="C8263" i="10"/>
  <c r="B8263" i="10"/>
  <c r="A8263" i="10"/>
  <c r="E8262" i="10"/>
  <c r="D8262" i="10"/>
  <c r="C8262" i="10"/>
  <c r="B8262" i="10"/>
  <c r="A8262" i="10"/>
  <c r="E8261" i="10"/>
  <c r="D8261" i="10"/>
  <c r="C8261" i="10"/>
  <c r="B8261" i="10"/>
  <c r="A8261" i="10"/>
  <c r="E8260" i="10"/>
  <c r="D8260" i="10"/>
  <c r="C8260" i="10"/>
  <c r="B8260" i="10"/>
  <c r="A8260" i="10"/>
  <c r="E8259" i="10"/>
  <c r="D8259" i="10"/>
  <c r="C8259" i="10"/>
  <c r="B8259" i="10"/>
  <c r="A8259" i="10"/>
  <c r="E8258" i="10"/>
  <c r="D8258" i="10"/>
  <c r="C8258" i="10"/>
  <c r="B8258" i="10"/>
  <c r="A8258" i="10"/>
  <c r="E8257" i="10"/>
  <c r="D8257" i="10"/>
  <c r="C8257" i="10"/>
  <c r="B8257" i="10"/>
  <c r="A8257" i="10"/>
  <c r="E8256" i="10"/>
  <c r="D8256" i="10"/>
  <c r="C8256" i="10"/>
  <c r="B8256" i="10"/>
  <c r="A8256" i="10"/>
  <c r="E8255" i="10"/>
  <c r="D8255" i="10"/>
  <c r="C8255" i="10"/>
  <c r="B8255" i="10"/>
  <c r="A8255" i="10"/>
  <c r="E8254" i="10"/>
  <c r="D8254" i="10"/>
  <c r="C8254" i="10"/>
  <c r="B8254" i="10"/>
  <c r="A8254" i="10"/>
  <c r="E8253" i="10"/>
  <c r="D8253" i="10"/>
  <c r="C8253" i="10"/>
  <c r="B8253" i="10"/>
  <c r="A8253" i="10"/>
  <c r="E8252" i="10"/>
  <c r="D8252" i="10"/>
  <c r="C8252" i="10"/>
  <c r="B8252" i="10"/>
  <c r="A8252" i="10"/>
  <c r="E8251" i="10"/>
  <c r="D8251" i="10"/>
  <c r="C8251" i="10"/>
  <c r="B8251" i="10"/>
  <c r="A8251" i="10"/>
  <c r="E8250" i="10"/>
  <c r="D8250" i="10"/>
  <c r="C8250" i="10"/>
  <c r="B8250" i="10"/>
  <c r="A8250" i="10"/>
  <c r="E8249" i="10"/>
  <c r="D8249" i="10"/>
  <c r="C8249" i="10"/>
  <c r="B8249" i="10"/>
  <c r="A8249" i="10"/>
  <c r="E8248" i="10"/>
  <c r="D8248" i="10"/>
  <c r="C8248" i="10"/>
  <c r="B8248" i="10"/>
  <c r="A8248" i="10"/>
  <c r="E8247" i="10"/>
  <c r="D8247" i="10"/>
  <c r="C8247" i="10"/>
  <c r="B8247" i="10"/>
  <c r="A8247" i="10"/>
  <c r="E8246" i="10"/>
  <c r="D8246" i="10"/>
  <c r="C8246" i="10"/>
  <c r="B8246" i="10"/>
  <c r="A8246" i="10"/>
  <c r="E8245" i="10"/>
  <c r="D8245" i="10"/>
  <c r="C8245" i="10"/>
  <c r="B8245" i="10"/>
  <c r="A8245" i="10"/>
  <c r="E8244" i="10"/>
  <c r="D8244" i="10"/>
  <c r="C8244" i="10"/>
  <c r="B8244" i="10"/>
  <c r="A8244" i="10"/>
  <c r="E8243" i="10"/>
  <c r="D8243" i="10"/>
  <c r="C8243" i="10"/>
  <c r="B8243" i="10"/>
  <c r="A8243" i="10"/>
  <c r="E8242" i="10"/>
  <c r="D8242" i="10"/>
  <c r="C8242" i="10"/>
  <c r="B8242" i="10"/>
  <c r="A8242" i="10"/>
  <c r="E8241" i="10"/>
  <c r="D8241" i="10"/>
  <c r="C8241" i="10"/>
  <c r="B8241" i="10"/>
  <c r="A8241" i="10"/>
  <c r="E8240" i="10"/>
  <c r="D8240" i="10"/>
  <c r="C8240" i="10"/>
  <c r="B8240" i="10"/>
  <c r="A8240" i="10"/>
  <c r="E8239" i="10"/>
  <c r="D8239" i="10"/>
  <c r="C8239" i="10"/>
  <c r="B8239" i="10"/>
  <c r="A8239" i="10"/>
  <c r="E8238" i="10"/>
  <c r="D8238" i="10"/>
  <c r="C8238" i="10"/>
  <c r="B8238" i="10"/>
  <c r="A8238" i="10"/>
  <c r="E8237" i="10"/>
  <c r="D8237" i="10"/>
  <c r="C8237" i="10"/>
  <c r="B8237" i="10"/>
  <c r="A8237" i="10"/>
  <c r="E8236" i="10"/>
  <c r="D8236" i="10"/>
  <c r="C8236" i="10"/>
  <c r="B8236" i="10"/>
  <c r="A8236" i="10"/>
  <c r="E8235" i="10"/>
  <c r="D8235" i="10"/>
  <c r="C8235" i="10"/>
  <c r="B8235" i="10"/>
  <c r="A8235" i="10"/>
  <c r="E8234" i="10"/>
  <c r="D8234" i="10"/>
  <c r="C8234" i="10"/>
  <c r="B8234" i="10"/>
  <c r="A8234" i="10"/>
  <c r="E8233" i="10"/>
  <c r="D8233" i="10"/>
  <c r="C8233" i="10"/>
  <c r="B8233" i="10"/>
  <c r="A8233" i="10"/>
  <c r="E8232" i="10"/>
  <c r="D8232" i="10"/>
  <c r="C8232" i="10"/>
  <c r="B8232" i="10"/>
  <c r="A8232" i="10"/>
  <c r="E8231" i="10"/>
  <c r="D8231" i="10"/>
  <c r="C8231" i="10"/>
  <c r="B8231" i="10"/>
  <c r="A8231" i="10"/>
  <c r="E8230" i="10"/>
  <c r="D8230" i="10"/>
  <c r="C8230" i="10"/>
  <c r="B8230" i="10"/>
  <c r="A8230" i="10"/>
  <c r="E8229" i="10"/>
  <c r="D8229" i="10"/>
  <c r="C8229" i="10"/>
  <c r="B8229" i="10"/>
  <c r="A8229" i="10"/>
  <c r="E8228" i="10"/>
  <c r="D8228" i="10"/>
  <c r="C8228" i="10"/>
  <c r="B8228" i="10"/>
  <c r="A8228" i="10"/>
  <c r="E8227" i="10"/>
  <c r="D8227" i="10"/>
  <c r="C8227" i="10"/>
  <c r="B8227" i="10"/>
  <c r="A8227" i="10"/>
  <c r="E8226" i="10"/>
  <c r="D8226" i="10"/>
  <c r="C8226" i="10"/>
  <c r="B8226" i="10"/>
  <c r="A8226" i="10"/>
  <c r="E8225" i="10"/>
  <c r="D8225" i="10"/>
  <c r="C8225" i="10"/>
  <c r="B8225" i="10"/>
  <c r="A8225" i="10"/>
  <c r="E8224" i="10"/>
  <c r="D8224" i="10"/>
  <c r="C8224" i="10"/>
  <c r="B8224" i="10"/>
  <c r="A8224" i="10"/>
  <c r="E8223" i="10"/>
  <c r="D8223" i="10"/>
  <c r="C8223" i="10"/>
  <c r="B8223" i="10"/>
  <c r="A8223" i="10"/>
  <c r="E8222" i="10"/>
  <c r="D8222" i="10"/>
  <c r="C8222" i="10"/>
  <c r="B8222" i="10"/>
  <c r="A8222" i="10"/>
  <c r="E8221" i="10"/>
  <c r="D8221" i="10"/>
  <c r="C8221" i="10"/>
  <c r="B8221" i="10"/>
  <c r="A8221" i="10"/>
  <c r="E8220" i="10"/>
  <c r="D8220" i="10"/>
  <c r="C8220" i="10"/>
  <c r="B8220" i="10"/>
  <c r="A8220" i="10"/>
  <c r="E8219" i="10"/>
  <c r="D8219" i="10"/>
  <c r="C8219" i="10"/>
  <c r="B8219" i="10"/>
  <c r="A8219" i="10"/>
  <c r="E8218" i="10"/>
  <c r="D8218" i="10"/>
  <c r="C8218" i="10"/>
  <c r="B8218" i="10"/>
  <c r="A8218" i="10"/>
  <c r="E8217" i="10"/>
  <c r="D8217" i="10"/>
  <c r="C8217" i="10"/>
  <c r="B8217" i="10"/>
  <c r="A8217" i="10"/>
  <c r="E8216" i="10"/>
  <c r="D8216" i="10"/>
  <c r="C8216" i="10"/>
  <c r="B8216" i="10"/>
  <c r="A8216" i="10"/>
  <c r="E8215" i="10"/>
  <c r="D8215" i="10"/>
  <c r="C8215" i="10"/>
  <c r="B8215" i="10"/>
  <c r="A8215" i="10"/>
  <c r="E8214" i="10"/>
  <c r="D8214" i="10"/>
  <c r="C8214" i="10"/>
  <c r="B8214" i="10"/>
  <c r="A8214" i="10"/>
  <c r="E8213" i="10"/>
  <c r="D8213" i="10"/>
  <c r="C8213" i="10"/>
  <c r="B8213" i="10"/>
  <c r="A8213" i="10"/>
  <c r="E8212" i="10"/>
  <c r="D8212" i="10"/>
  <c r="C8212" i="10"/>
  <c r="B8212" i="10"/>
  <c r="A8212" i="10"/>
  <c r="E8211" i="10"/>
  <c r="D8211" i="10"/>
  <c r="C8211" i="10"/>
  <c r="B8211" i="10"/>
  <c r="A8211" i="10"/>
  <c r="E8210" i="10"/>
  <c r="D8210" i="10"/>
  <c r="C8210" i="10"/>
  <c r="B8210" i="10"/>
  <c r="A8210" i="10"/>
  <c r="E8209" i="10"/>
  <c r="D8209" i="10"/>
  <c r="C8209" i="10"/>
  <c r="B8209" i="10"/>
  <c r="A8209" i="10"/>
  <c r="E8208" i="10"/>
  <c r="D8208" i="10"/>
  <c r="C8208" i="10"/>
  <c r="B8208" i="10"/>
  <c r="A8208" i="10"/>
  <c r="E8207" i="10"/>
  <c r="D8207" i="10"/>
  <c r="C8207" i="10"/>
  <c r="B8207" i="10"/>
  <c r="A8207" i="10"/>
  <c r="E8206" i="10"/>
  <c r="D8206" i="10"/>
  <c r="C8206" i="10"/>
  <c r="B8206" i="10"/>
  <c r="A8206" i="10"/>
  <c r="E8205" i="10"/>
  <c r="D8205" i="10"/>
  <c r="C8205" i="10"/>
  <c r="B8205" i="10"/>
  <c r="A8205" i="10"/>
  <c r="E8204" i="10"/>
  <c r="D8204" i="10"/>
  <c r="C8204" i="10"/>
  <c r="B8204" i="10"/>
  <c r="A8204" i="10"/>
  <c r="E8203" i="10"/>
  <c r="D8203" i="10"/>
  <c r="C8203" i="10"/>
  <c r="B8203" i="10"/>
  <c r="A8203" i="10"/>
  <c r="E8202" i="10"/>
  <c r="D8202" i="10"/>
  <c r="C8202" i="10"/>
  <c r="B8202" i="10"/>
  <c r="A8202" i="10"/>
  <c r="E8201" i="10"/>
  <c r="D8201" i="10"/>
  <c r="C8201" i="10"/>
  <c r="B8201" i="10"/>
  <c r="A8201" i="10"/>
  <c r="E8200" i="10"/>
  <c r="D8200" i="10"/>
  <c r="C8200" i="10"/>
  <c r="B8200" i="10"/>
  <c r="A8200" i="10"/>
  <c r="E8199" i="10"/>
  <c r="D8199" i="10"/>
  <c r="C8199" i="10"/>
  <c r="B8199" i="10"/>
  <c r="A8199" i="10"/>
  <c r="E8198" i="10"/>
  <c r="D8198" i="10"/>
  <c r="C8198" i="10"/>
  <c r="B8198" i="10"/>
  <c r="A8198" i="10"/>
  <c r="E8197" i="10"/>
  <c r="D8197" i="10"/>
  <c r="C8197" i="10"/>
  <c r="B8197" i="10"/>
  <c r="A8197" i="10"/>
  <c r="E8196" i="10"/>
  <c r="D8196" i="10"/>
  <c r="C8196" i="10"/>
  <c r="B8196" i="10"/>
  <c r="A8196" i="10"/>
  <c r="E8195" i="10"/>
  <c r="D8195" i="10"/>
  <c r="C8195" i="10"/>
  <c r="B8195" i="10"/>
  <c r="A8195" i="10"/>
  <c r="E8194" i="10"/>
  <c r="D8194" i="10"/>
  <c r="C8194" i="10"/>
  <c r="B8194" i="10"/>
  <c r="A8194" i="10"/>
  <c r="E8193" i="10"/>
  <c r="D8193" i="10"/>
  <c r="C8193" i="10"/>
  <c r="B8193" i="10"/>
  <c r="A8193" i="10"/>
  <c r="E8192" i="10"/>
  <c r="D8192" i="10"/>
  <c r="C8192" i="10"/>
  <c r="B8192" i="10"/>
  <c r="A8192" i="10"/>
  <c r="E8191" i="10"/>
  <c r="D8191" i="10"/>
  <c r="C8191" i="10"/>
  <c r="B8191" i="10"/>
  <c r="A8191" i="10"/>
  <c r="E8190" i="10"/>
  <c r="D8190" i="10"/>
  <c r="C8190" i="10"/>
  <c r="B8190" i="10"/>
  <c r="A8190" i="10"/>
  <c r="E8189" i="10"/>
  <c r="D8189" i="10"/>
  <c r="C8189" i="10"/>
  <c r="B8189" i="10"/>
  <c r="A8189" i="10"/>
  <c r="E8188" i="10"/>
  <c r="D8188" i="10"/>
  <c r="C8188" i="10"/>
  <c r="B8188" i="10"/>
  <c r="A8188" i="10"/>
  <c r="E8187" i="10"/>
  <c r="D8187" i="10"/>
  <c r="C8187" i="10"/>
  <c r="B8187" i="10"/>
  <c r="A8187" i="10"/>
  <c r="E8186" i="10"/>
  <c r="D8186" i="10"/>
  <c r="C8186" i="10"/>
  <c r="B8186" i="10"/>
  <c r="A8186" i="10"/>
  <c r="E8185" i="10"/>
  <c r="D8185" i="10"/>
  <c r="C8185" i="10"/>
  <c r="B8185" i="10"/>
  <c r="A8185" i="10"/>
  <c r="E8184" i="10"/>
  <c r="D8184" i="10"/>
  <c r="C8184" i="10"/>
  <c r="B8184" i="10"/>
  <c r="A8184" i="10"/>
  <c r="E8183" i="10"/>
  <c r="D8183" i="10"/>
  <c r="C8183" i="10"/>
  <c r="B8183" i="10"/>
  <c r="A8183" i="10"/>
  <c r="E8182" i="10"/>
  <c r="D8182" i="10"/>
  <c r="C8182" i="10"/>
  <c r="B8182" i="10"/>
  <c r="A8182" i="10"/>
  <c r="E8181" i="10"/>
  <c r="D8181" i="10"/>
  <c r="C8181" i="10"/>
  <c r="B8181" i="10"/>
  <c r="A8181" i="10"/>
  <c r="E8180" i="10"/>
  <c r="D8180" i="10"/>
  <c r="C8180" i="10"/>
  <c r="B8180" i="10"/>
  <c r="A8180" i="10"/>
  <c r="E8179" i="10"/>
  <c r="D8179" i="10"/>
  <c r="C8179" i="10"/>
  <c r="B8179" i="10"/>
  <c r="A8179" i="10"/>
  <c r="E8178" i="10"/>
  <c r="D8178" i="10"/>
  <c r="C8178" i="10"/>
  <c r="B8178" i="10"/>
  <c r="A8178" i="10"/>
  <c r="E8177" i="10"/>
  <c r="D8177" i="10"/>
  <c r="C8177" i="10"/>
  <c r="B8177" i="10"/>
  <c r="A8177" i="10"/>
  <c r="E8176" i="10"/>
  <c r="D8176" i="10"/>
  <c r="C8176" i="10"/>
  <c r="B8176" i="10"/>
  <c r="A8176" i="10"/>
  <c r="E8175" i="10"/>
  <c r="D8175" i="10"/>
  <c r="C8175" i="10"/>
  <c r="B8175" i="10"/>
  <c r="A8175" i="10"/>
  <c r="E8174" i="10"/>
  <c r="D8174" i="10"/>
  <c r="C8174" i="10"/>
  <c r="B8174" i="10"/>
  <c r="A8174" i="10"/>
  <c r="E8173" i="10"/>
  <c r="D8173" i="10"/>
  <c r="C8173" i="10"/>
  <c r="B8173" i="10"/>
  <c r="A8173" i="10"/>
  <c r="E8172" i="10"/>
  <c r="D8172" i="10"/>
  <c r="C8172" i="10"/>
  <c r="B8172" i="10"/>
  <c r="A8172" i="10"/>
  <c r="E8171" i="10"/>
  <c r="D8171" i="10"/>
  <c r="C8171" i="10"/>
  <c r="B8171" i="10"/>
  <c r="A8171" i="10"/>
  <c r="E8170" i="10"/>
  <c r="D8170" i="10"/>
  <c r="C8170" i="10"/>
  <c r="B8170" i="10"/>
  <c r="A8170" i="10"/>
  <c r="E8169" i="10"/>
  <c r="D8169" i="10"/>
  <c r="C8169" i="10"/>
  <c r="B8169" i="10"/>
  <c r="A8169" i="10"/>
  <c r="E8168" i="10"/>
  <c r="D8168" i="10"/>
  <c r="C8168" i="10"/>
  <c r="B8168" i="10"/>
  <c r="A8168" i="10"/>
  <c r="E8167" i="10"/>
  <c r="D8167" i="10"/>
  <c r="C8167" i="10"/>
  <c r="B8167" i="10"/>
  <c r="A8167" i="10"/>
  <c r="E8166" i="10"/>
  <c r="D8166" i="10"/>
  <c r="C8166" i="10"/>
  <c r="B8166" i="10"/>
  <c r="A8166" i="10"/>
  <c r="E8165" i="10"/>
  <c r="D8165" i="10"/>
  <c r="C8165" i="10"/>
  <c r="B8165" i="10"/>
  <c r="A8165" i="10"/>
  <c r="E8164" i="10"/>
  <c r="D8164" i="10"/>
  <c r="C8164" i="10"/>
  <c r="B8164" i="10"/>
  <c r="A8164" i="10"/>
  <c r="E8163" i="10"/>
  <c r="D8163" i="10"/>
  <c r="C8163" i="10"/>
  <c r="B8163" i="10"/>
  <c r="A8163" i="10"/>
  <c r="E8162" i="10"/>
  <c r="D8162" i="10"/>
  <c r="C8162" i="10"/>
  <c r="B8162" i="10"/>
  <c r="A8162" i="10"/>
  <c r="E8161" i="10"/>
  <c r="D8161" i="10"/>
  <c r="C8161" i="10"/>
  <c r="B8161" i="10"/>
  <c r="A8161" i="10"/>
  <c r="E8160" i="10"/>
  <c r="D8160" i="10"/>
  <c r="C8160" i="10"/>
  <c r="B8160" i="10"/>
  <c r="A8160" i="10"/>
  <c r="E8159" i="10"/>
  <c r="D8159" i="10"/>
  <c r="C8159" i="10"/>
  <c r="B8159" i="10"/>
  <c r="A8159" i="10"/>
  <c r="E8158" i="10"/>
  <c r="D8158" i="10"/>
  <c r="C8158" i="10"/>
  <c r="B8158" i="10"/>
  <c r="A8158" i="10"/>
  <c r="E8157" i="10"/>
  <c r="D8157" i="10"/>
  <c r="C8157" i="10"/>
  <c r="B8157" i="10"/>
  <c r="A8157" i="10"/>
  <c r="E8156" i="10"/>
  <c r="D8156" i="10"/>
  <c r="C8156" i="10"/>
  <c r="B8156" i="10"/>
  <c r="A8156" i="10"/>
  <c r="E8155" i="10"/>
  <c r="D8155" i="10"/>
  <c r="C8155" i="10"/>
  <c r="B8155" i="10"/>
  <c r="A8155" i="10"/>
  <c r="E8154" i="10"/>
  <c r="D8154" i="10"/>
  <c r="C8154" i="10"/>
  <c r="B8154" i="10"/>
  <c r="A8154" i="10"/>
  <c r="E8153" i="10"/>
  <c r="D8153" i="10"/>
  <c r="C8153" i="10"/>
  <c r="B8153" i="10"/>
  <c r="A8153" i="10"/>
  <c r="E8152" i="10"/>
  <c r="D8152" i="10"/>
  <c r="C8152" i="10"/>
  <c r="B8152" i="10"/>
  <c r="A8152" i="10"/>
  <c r="E8151" i="10"/>
  <c r="D8151" i="10"/>
  <c r="C8151" i="10"/>
  <c r="B8151" i="10"/>
  <c r="A8151" i="10"/>
  <c r="E8150" i="10"/>
  <c r="D8150" i="10"/>
  <c r="C8150" i="10"/>
  <c r="B8150" i="10"/>
  <c r="A8150" i="10"/>
  <c r="E8149" i="10"/>
  <c r="D8149" i="10"/>
  <c r="C8149" i="10"/>
  <c r="B8149" i="10"/>
  <c r="A8149" i="10"/>
  <c r="E8148" i="10"/>
  <c r="D8148" i="10"/>
  <c r="C8148" i="10"/>
  <c r="B8148" i="10"/>
  <c r="A8148" i="10"/>
  <c r="E8147" i="10"/>
  <c r="D8147" i="10"/>
  <c r="C8147" i="10"/>
  <c r="B8147" i="10"/>
  <c r="A8147" i="10"/>
  <c r="E8146" i="10"/>
  <c r="D8146" i="10"/>
  <c r="C8146" i="10"/>
  <c r="B8146" i="10"/>
  <c r="A8146" i="10"/>
  <c r="E8145" i="10"/>
  <c r="D8145" i="10"/>
  <c r="C8145" i="10"/>
  <c r="B8145" i="10"/>
  <c r="A8145" i="10"/>
  <c r="E8144" i="10"/>
  <c r="D8144" i="10"/>
  <c r="C8144" i="10"/>
  <c r="B8144" i="10"/>
  <c r="A8144" i="10"/>
  <c r="E8143" i="10"/>
  <c r="D8143" i="10"/>
  <c r="C8143" i="10"/>
  <c r="B8143" i="10"/>
  <c r="A8143" i="10"/>
  <c r="E8142" i="10"/>
  <c r="D8142" i="10"/>
  <c r="C8142" i="10"/>
  <c r="B8142" i="10"/>
  <c r="A8142" i="10"/>
  <c r="E8141" i="10"/>
  <c r="D8141" i="10"/>
  <c r="C8141" i="10"/>
  <c r="B8141" i="10"/>
  <c r="A8141" i="10"/>
  <c r="E8140" i="10"/>
  <c r="D8140" i="10"/>
  <c r="C8140" i="10"/>
  <c r="B8140" i="10"/>
  <c r="A8140" i="10"/>
  <c r="E8139" i="10"/>
  <c r="D8139" i="10"/>
  <c r="C8139" i="10"/>
  <c r="B8139" i="10"/>
  <c r="A8139" i="10"/>
  <c r="E8138" i="10"/>
  <c r="D8138" i="10"/>
  <c r="C8138" i="10"/>
  <c r="B8138" i="10"/>
  <c r="A8138" i="10"/>
  <c r="E8137" i="10"/>
  <c r="D8137" i="10"/>
  <c r="C8137" i="10"/>
  <c r="B8137" i="10"/>
  <c r="A8137" i="10"/>
  <c r="E8136" i="10"/>
  <c r="D8136" i="10"/>
  <c r="C8136" i="10"/>
  <c r="B8136" i="10"/>
  <c r="A8136" i="10"/>
  <c r="E8135" i="10"/>
  <c r="D8135" i="10"/>
  <c r="C8135" i="10"/>
  <c r="B8135" i="10"/>
  <c r="A8135" i="10"/>
  <c r="E8134" i="10"/>
  <c r="D8134" i="10"/>
  <c r="C8134" i="10"/>
  <c r="B8134" i="10"/>
  <c r="A8134" i="10"/>
  <c r="E8133" i="10"/>
  <c r="D8133" i="10"/>
  <c r="C8133" i="10"/>
  <c r="B8133" i="10"/>
  <c r="A8133" i="10"/>
  <c r="E8132" i="10"/>
  <c r="D8132" i="10"/>
  <c r="C8132" i="10"/>
  <c r="B8132" i="10"/>
  <c r="A8132" i="10"/>
  <c r="E8131" i="10"/>
  <c r="D8131" i="10"/>
  <c r="C8131" i="10"/>
  <c r="B8131" i="10"/>
  <c r="A8131" i="10"/>
  <c r="E8130" i="10"/>
  <c r="D8130" i="10"/>
  <c r="C8130" i="10"/>
  <c r="B8130" i="10"/>
  <c r="A8130" i="10"/>
  <c r="E8129" i="10"/>
  <c r="D8129" i="10"/>
  <c r="C8129" i="10"/>
  <c r="B8129" i="10"/>
  <c r="A8129" i="10"/>
  <c r="E8128" i="10"/>
  <c r="D8128" i="10"/>
  <c r="C8128" i="10"/>
  <c r="B8128" i="10"/>
  <c r="A8128" i="10"/>
  <c r="E8127" i="10"/>
  <c r="D8127" i="10"/>
  <c r="C8127" i="10"/>
  <c r="B8127" i="10"/>
  <c r="A8127" i="10"/>
  <c r="E8126" i="10"/>
  <c r="D8126" i="10"/>
  <c r="C8126" i="10"/>
  <c r="B8126" i="10"/>
  <c r="A8126" i="10"/>
  <c r="E8125" i="10"/>
  <c r="D8125" i="10"/>
  <c r="C8125" i="10"/>
  <c r="B8125" i="10"/>
  <c r="A8125" i="10"/>
  <c r="E8124" i="10"/>
  <c r="D8124" i="10"/>
  <c r="C8124" i="10"/>
  <c r="B8124" i="10"/>
  <c r="A8124" i="10"/>
  <c r="E8123" i="10"/>
  <c r="D8123" i="10"/>
  <c r="C8123" i="10"/>
  <c r="B8123" i="10"/>
  <c r="A8123" i="10"/>
  <c r="E8122" i="10"/>
  <c r="D8122" i="10"/>
  <c r="C8122" i="10"/>
  <c r="B8122" i="10"/>
  <c r="A8122" i="10"/>
  <c r="E8121" i="10"/>
  <c r="D8121" i="10"/>
  <c r="C8121" i="10"/>
  <c r="B8121" i="10"/>
  <c r="A8121" i="10"/>
  <c r="E8120" i="10"/>
  <c r="D8120" i="10"/>
  <c r="C8120" i="10"/>
  <c r="B8120" i="10"/>
  <c r="A8120" i="10"/>
  <c r="E8119" i="10"/>
  <c r="D8119" i="10"/>
  <c r="C8119" i="10"/>
  <c r="B8119" i="10"/>
  <c r="A8119" i="10"/>
  <c r="E8118" i="10"/>
  <c r="D8118" i="10"/>
  <c r="C8118" i="10"/>
  <c r="B8118" i="10"/>
  <c r="A8118" i="10"/>
  <c r="E8117" i="10"/>
  <c r="D8117" i="10"/>
  <c r="C8117" i="10"/>
  <c r="B8117" i="10"/>
  <c r="A8117" i="10"/>
  <c r="E8116" i="10"/>
  <c r="D8116" i="10"/>
  <c r="C8116" i="10"/>
  <c r="B8116" i="10"/>
  <c r="A8116" i="10"/>
  <c r="E8115" i="10"/>
  <c r="D8115" i="10"/>
  <c r="C8115" i="10"/>
  <c r="B8115" i="10"/>
  <c r="A8115" i="10"/>
  <c r="E8114" i="10"/>
  <c r="D8114" i="10"/>
  <c r="C8114" i="10"/>
  <c r="B8114" i="10"/>
  <c r="A8114" i="10"/>
  <c r="E8113" i="10"/>
  <c r="D8113" i="10"/>
  <c r="C8113" i="10"/>
  <c r="B8113" i="10"/>
  <c r="A8113" i="10"/>
  <c r="E8112" i="10"/>
  <c r="D8112" i="10"/>
  <c r="C8112" i="10"/>
  <c r="B8112" i="10"/>
  <c r="A8112" i="10"/>
  <c r="E8111" i="10"/>
  <c r="D8111" i="10"/>
  <c r="C8111" i="10"/>
  <c r="B8111" i="10"/>
  <c r="A8111" i="10"/>
  <c r="E8110" i="10"/>
  <c r="D8110" i="10"/>
  <c r="C8110" i="10"/>
  <c r="B8110" i="10"/>
  <c r="A8110" i="10"/>
  <c r="E8109" i="10"/>
  <c r="D8109" i="10"/>
  <c r="C8109" i="10"/>
  <c r="B8109" i="10"/>
  <c r="A8109" i="10"/>
  <c r="E8108" i="10"/>
  <c r="D8108" i="10"/>
  <c r="C8108" i="10"/>
  <c r="B8108" i="10"/>
  <c r="A8108" i="10"/>
  <c r="E8107" i="10"/>
  <c r="D8107" i="10"/>
  <c r="C8107" i="10"/>
  <c r="B8107" i="10"/>
  <c r="A8107" i="10"/>
  <c r="E8106" i="10"/>
  <c r="D8106" i="10"/>
  <c r="C8106" i="10"/>
  <c r="B8106" i="10"/>
  <c r="A8106" i="10"/>
  <c r="E8105" i="10"/>
  <c r="D8105" i="10"/>
  <c r="C8105" i="10"/>
  <c r="B8105" i="10"/>
  <c r="A8105" i="10"/>
  <c r="E8104" i="10"/>
  <c r="D8104" i="10"/>
  <c r="C8104" i="10"/>
  <c r="B8104" i="10"/>
  <c r="A8104" i="10"/>
  <c r="E8103" i="10"/>
  <c r="D8103" i="10"/>
  <c r="C8103" i="10"/>
  <c r="B8103" i="10"/>
  <c r="A8103" i="10"/>
  <c r="E8102" i="10"/>
  <c r="D8102" i="10"/>
  <c r="C8102" i="10"/>
  <c r="B8102" i="10"/>
  <c r="A8102" i="10"/>
  <c r="E8101" i="10"/>
  <c r="D8101" i="10"/>
  <c r="C8101" i="10"/>
  <c r="B8101" i="10"/>
  <c r="A8101" i="10"/>
  <c r="E8100" i="10"/>
  <c r="D8100" i="10"/>
  <c r="C8100" i="10"/>
  <c r="B8100" i="10"/>
  <c r="A8100" i="10"/>
  <c r="E8099" i="10"/>
  <c r="D8099" i="10"/>
  <c r="C8099" i="10"/>
  <c r="B8099" i="10"/>
  <c r="A8099" i="10"/>
  <c r="E8098" i="10"/>
  <c r="D8098" i="10"/>
  <c r="C8098" i="10"/>
  <c r="B8098" i="10"/>
  <c r="A8098" i="10"/>
  <c r="E8097" i="10"/>
  <c r="D8097" i="10"/>
  <c r="C8097" i="10"/>
  <c r="B8097" i="10"/>
  <c r="A8097" i="10"/>
  <c r="E8096" i="10"/>
  <c r="D8096" i="10"/>
  <c r="C8096" i="10"/>
  <c r="B8096" i="10"/>
  <c r="A8096" i="10"/>
  <c r="E8095" i="10"/>
  <c r="D8095" i="10"/>
  <c r="C8095" i="10"/>
  <c r="B8095" i="10"/>
  <c r="A8095" i="10"/>
  <c r="E8094" i="10"/>
  <c r="D8094" i="10"/>
  <c r="C8094" i="10"/>
  <c r="B8094" i="10"/>
  <c r="A8094" i="10"/>
  <c r="E8093" i="10"/>
  <c r="D8093" i="10"/>
  <c r="C8093" i="10"/>
  <c r="B8093" i="10"/>
  <c r="A8093" i="10"/>
  <c r="E8092" i="10"/>
  <c r="D8092" i="10"/>
  <c r="C8092" i="10"/>
  <c r="B8092" i="10"/>
  <c r="A8092" i="10"/>
  <c r="E8091" i="10"/>
  <c r="D8091" i="10"/>
  <c r="C8091" i="10"/>
  <c r="B8091" i="10"/>
  <c r="A8091" i="10"/>
  <c r="E8090" i="10"/>
  <c r="D8090" i="10"/>
  <c r="C8090" i="10"/>
  <c r="B8090" i="10"/>
  <c r="A8090" i="10"/>
  <c r="E8089" i="10"/>
  <c r="D8089" i="10"/>
  <c r="C8089" i="10"/>
  <c r="B8089" i="10"/>
  <c r="A8089" i="10"/>
  <c r="E8088" i="10"/>
  <c r="D8088" i="10"/>
  <c r="C8088" i="10"/>
  <c r="B8088" i="10"/>
  <c r="A8088" i="10"/>
  <c r="E8087" i="10"/>
  <c r="D8087" i="10"/>
  <c r="C8087" i="10"/>
  <c r="B8087" i="10"/>
  <c r="A8087" i="10"/>
  <c r="E8086" i="10"/>
  <c r="D8086" i="10"/>
  <c r="C8086" i="10"/>
  <c r="B8086" i="10"/>
  <c r="A8086" i="10"/>
  <c r="E8085" i="10"/>
  <c r="D8085" i="10"/>
  <c r="C8085" i="10"/>
  <c r="B8085" i="10"/>
  <c r="A8085" i="10"/>
  <c r="E8084" i="10"/>
  <c r="D8084" i="10"/>
  <c r="C8084" i="10"/>
  <c r="B8084" i="10"/>
  <c r="A8084" i="10"/>
  <c r="E8083" i="10"/>
  <c r="D8083" i="10"/>
  <c r="C8083" i="10"/>
  <c r="B8083" i="10"/>
  <c r="A8083" i="10"/>
  <c r="E8082" i="10"/>
  <c r="D8082" i="10"/>
  <c r="C8082" i="10"/>
  <c r="B8082" i="10"/>
  <c r="A8082" i="10"/>
  <c r="E8081" i="10"/>
  <c r="D8081" i="10"/>
  <c r="C8081" i="10"/>
  <c r="B8081" i="10"/>
  <c r="A8081" i="10"/>
  <c r="E8080" i="10"/>
  <c r="D8080" i="10"/>
  <c r="C8080" i="10"/>
  <c r="B8080" i="10"/>
  <c r="A8080" i="10"/>
  <c r="E8079" i="10"/>
  <c r="D8079" i="10"/>
  <c r="C8079" i="10"/>
  <c r="B8079" i="10"/>
  <c r="A8079" i="10"/>
  <c r="E8078" i="10"/>
  <c r="D8078" i="10"/>
  <c r="C8078" i="10"/>
  <c r="B8078" i="10"/>
  <c r="A8078" i="10"/>
  <c r="E8077" i="10"/>
  <c r="D8077" i="10"/>
  <c r="C8077" i="10"/>
  <c r="B8077" i="10"/>
  <c r="A8077" i="10"/>
  <c r="E8076" i="10"/>
  <c r="D8076" i="10"/>
  <c r="C8076" i="10"/>
  <c r="B8076" i="10"/>
  <c r="A8076" i="10"/>
  <c r="E8075" i="10"/>
  <c r="D8075" i="10"/>
  <c r="C8075" i="10"/>
  <c r="B8075" i="10"/>
  <c r="A8075" i="10"/>
  <c r="E8074" i="10"/>
  <c r="D8074" i="10"/>
  <c r="C8074" i="10"/>
  <c r="B8074" i="10"/>
  <c r="A8074" i="10"/>
  <c r="E8073" i="10"/>
  <c r="D8073" i="10"/>
  <c r="C8073" i="10"/>
  <c r="B8073" i="10"/>
  <c r="A8073" i="10"/>
  <c r="E8072" i="10"/>
  <c r="D8072" i="10"/>
  <c r="C8072" i="10"/>
  <c r="B8072" i="10"/>
  <c r="A8072" i="10"/>
  <c r="E8071" i="10"/>
  <c r="D8071" i="10"/>
  <c r="C8071" i="10"/>
  <c r="B8071" i="10"/>
  <c r="A8071" i="10"/>
  <c r="E8070" i="10"/>
  <c r="D8070" i="10"/>
  <c r="C8070" i="10"/>
  <c r="B8070" i="10"/>
  <c r="A8070" i="10"/>
  <c r="E8069" i="10"/>
  <c r="D8069" i="10"/>
  <c r="C8069" i="10"/>
  <c r="B8069" i="10"/>
  <c r="A8069" i="10"/>
  <c r="E8068" i="10"/>
  <c r="D8068" i="10"/>
  <c r="C8068" i="10"/>
  <c r="B8068" i="10"/>
  <c r="A8068" i="10"/>
  <c r="E8067" i="10"/>
  <c r="D8067" i="10"/>
  <c r="C8067" i="10"/>
  <c r="B8067" i="10"/>
  <c r="A8067" i="10"/>
  <c r="E8066" i="10"/>
  <c r="D8066" i="10"/>
  <c r="C8066" i="10"/>
  <c r="B8066" i="10"/>
  <c r="A8066" i="10"/>
  <c r="E8065" i="10"/>
  <c r="D8065" i="10"/>
  <c r="C8065" i="10"/>
  <c r="B8065" i="10"/>
  <c r="A8065" i="10"/>
  <c r="E8064" i="10"/>
  <c r="D8064" i="10"/>
  <c r="C8064" i="10"/>
  <c r="B8064" i="10"/>
  <c r="A8064" i="10"/>
  <c r="E8063" i="10"/>
  <c r="D8063" i="10"/>
  <c r="C8063" i="10"/>
  <c r="B8063" i="10"/>
  <c r="A8063" i="10"/>
  <c r="E8062" i="10"/>
  <c r="D8062" i="10"/>
  <c r="C8062" i="10"/>
  <c r="B8062" i="10"/>
  <c r="A8062" i="10"/>
  <c r="E8061" i="10"/>
  <c r="D8061" i="10"/>
  <c r="C8061" i="10"/>
  <c r="B8061" i="10"/>
  <c r="A8061" i="10"/>
  <c r="E8060" i="10"/>
  <c r="D8060" i="10"/>
  <c r="C8060" i="10"/>
  <c r="B8060" i="10"/>
  <c r="A8060" i="10"/>
  <c r="E8059" i="10"/>
  <c r="D8059" i="10"/>
  <c r="C8059" i="10"/>
  <c r="B8059" i="10"/>
  <c r="A8059" i="10"/>
  <c r="E8058" i="10"/>
  <c r="D8058" i="10"/>
  <c r="C8058" i="10"/>
  <c r="B8058" i="10"/>
  <c r="A8058" i="10"/>
  <c r="E8057" i="10"/>
  <c r="D8057" i="10"/>
  <c r="C8057" i="10"/>
  <c r="B8057" i="10"/>
  <c r="A8057" i="10"/>
  <c r="E8056" i="10"/>
  <c r="D8056" i="10"/>
  <c r="C8056" i="10"/>
  <c r="B8056" i="10"/>
  <c r="A8056" i="10"/>
  <c r="E8055" i="10"/>
  <c r="D8055" i="10"/>
  <c r="C8055" i="10"/>
  <c r="B8055" i="10"/>
  <c r="A8055" i="10"/>
  <c r="E8054" i="10"/>
  <c r="D8054" i="10"/>
  <c r="C8054" i="10"/>
  <c r="B8054" i="10"/>
  <c r="A8054" i="10"/>
  <c r="E8053" i="10"/>
  <c r="D8053" i="10"/>
  <c r="C8053" i="10"/>
  <c r="B8053" i="10"/>
  <c r="A8053" i="10"/>
  <c r="E8052" i="10"/>
  <c r="D8052" i="10"/>
  <c r="C8052" i="10"/>
  <c r="B8052" i="10"/>
  <c r="A8052" i="10"/>
  <c r="E8051" i="10"/>
  <c r="D8051" i="10"/>
  <c r="C8051" i="10"/>
  <c r="B8051" i="10"/>
  <c r="A8051" i="10"/>
  <c r="E8050" i="10"/>
  <c r="D8050" i="10"/>
  <c r="C8050" i="10"/>
  <c r="B8050" i="10"/>
  <c r="A8050" i="10"/>
  <c r="E8049" i="10"/>
  <c r="D8049" i="10"/>
  <c r="C8049" i="10"/>
  <c r="B8049" i="10"/>
  <c r="A8049" i="10"/>
  <c r="E8048" i="10"/>
  <c r="D8048" i="10"/>
  <c r="C8048" i="10"/>
  <c r="B8048" i="10"/>
  <c r="A8048" i="10"/>
  <c r="E8047" i="10"/>
  <c r="D8047" i="10"/>
  <c r="C8047" i="10"/>
  <c r="B8047" i="10"/>
  <c r="A8047" i="10"/>
  <c r="E8046" i="10"/>
  <c r="D8046" i="10"/>
  <c r="C8046" i="10"/>
  <c r="B8046" i="10"/>
  <c r="A8046" i="10"/>
  <c r="E8045" i="10"/>
  <c r="D8045" i="10"/>
  <c r="C8045" i="10"/>
  <c r="B8045" i="10"/>
  <c r="A8045" i="10"/>
  <c r="E8044" i="10"/>
  <c r="D8044" i="10"/>
  <c r="C8044" i="10"/>
  <c r="B8044" i="10"/>
  <c r="A8044" i="10"/>
  <c r="E8043" i="10"/>
  <c r="D8043" i="10"/>
  <c r="C8043" i="10"/>
  <c r="B8043" i="10"/>
  <c r="A8043" i="10"/>
  <c r="E8042" i="10"/>
  <c r="D8042" i="10"/>
  <c r="C8042" i="10"/>
  <c r="B8042" i="10"/>
  <c r="A8042" i="10"/>
  <c r="E8041" i="10"/>
  <c r="D8041" i="10"/>
  <c r="C8041" i="10"/>
  <c r="B8041" i="10"/>
  <c r="A8041" i="10"/>
  <c r="E8040" i="10"/>
  <c r="D8040" i="10"/>
  <c r="C8040" i="10"/>
  <c r="B8040" i="10"/>
  <c r="A8040" i="10"/>
  <c r="E8039" i="10"/>
  <c r="D8039" i="10"/>
  <c r="C8039" i="10"/>
  <c r="B8039" i="10"/>
  <c r="A8039" i="10"/>
  <c r="E8038" i="10"/>
  <c r="D8038" i="10"/>
  <c r="C8038" i="10"/>
  <c r="B8038" i="10"/>
  <c r="A8038" i="10"/>
  <c r="E8037" i="10"/>
  <c r="D8037" i="10"/>
  <c r="C8037" i="10"/>
  <c r="B8037" i="10"/>
  <c r="A8037" i="10"/>
  <c r="E8036" i="10"/>
  <c r="D8036" i="10"/>
  <c r="C8036" i="10"/>
  <c r="B8036" i="10"/>
  <c r="A8036" i="10"/>
  <c r="E8035" i="10"/>
  <c r="D8035" i="10"/>
  <c r="C8035" i="10"/>
  <c r="B8035" i="10"/>
  <c r="A8035" i="10"/>
  <c r="E8034" i="10"/>
  <c r="D8034" i="10"/>
  <c r="C8034" i="10"/>
  <c r="B8034" i="10"/>
  <c r="A8034" i="10"/>
  <c r="E8033" i="10"/>
  <c r="D8033" i="10"/>
  <c r="C8033" i="10"/>
  <c r="B8033" i="10"/>
  <c r="A8033" i="10"/>
  <c r="E8032" i="10"/>
  <c r="D8032" i="10"/>
  <c r="C8032" i="10"/>
  <c r="B8032" i="10"/>
  <c r="A8032" i="10"/>
  <c r="E8031" i="10"/>
  <c r="D8031" i="10"/>
  <c r="C8031" i="10"/>
  <c r="B8031" i="10"/>
  <c r="A8031" i="10"/>
  <c r="E8030" i="10"/>
  <c r="D8030" i="10"/>
  <c r="C8030" i="10"/>
  <c r="B8030" i="10"/>
  <c r="A8030" i="10"/>
  <c r="E8029" i="10"/>
  <c r="D8029" i="10"/>
  <c r="C8029" i="10"/>
  <c r="B8029" i="10"/>
  <c r="A8029" i="10"/>
  <c r="E8028" i="10"/>
  <c r="D8028" i="10"/>
  <c r="C8028" i="10"/>
  <c r="B8028" i="10"/>
  <c r="A8028" i="10"/>
  <c r="E8027" i="10"/>
  <c r="D8027" i="10"/>
  <c r="C8027" i="10"/>
  <c r="B8027" i="10"/>
  <c r="A8027" i="10"/>
  <c r="E8026" i="10"/>
  <c r="D8026" i="10"/>
  <c r="C8026" i="10"/>
  <c r="B8026" i="10"/>
  <c r="A8026" i="10"/>
  <c r="E8025" i="10"/>
  <c r="D8025" i="10"/>
  <c r="C8025" i="10"/>
  <c r="B8025" i="10"/>
  <c r="A8025" i="10"/>
  <c r="E8024" i="10"/>
  <c r="D8024" i="10"/>
  <c r="C8024" i="10"/>
  <c r="B8024" i="10"/>
  <c r="A8024" i="10"/>
  <c r="E8023" i="10"/>
  <c r="D8023" i="10"/>
  <c r="C8023" i="10"/>
  <c r="B8023" i="10"/>
  <c r="A8023" i="10"/>
  <c r="E8022" i="10"/>
  <c r="D8022" i="10"/>
  <c r="C8022" i="10"/>
  <c r="B8022" i="10"/>
  <c r="A8022" i="10"/>
  <c r="E8021" i="10"/>
  <c r="D8021" i="10"/>
  <c r="C8021" i="10"/>
  <c r="B8021" i="10"/>
  <c r="A8021" i="10"/>
  <c r="E8020" i="10"/>
  <c r="D8020" i="10"/>
  <c r="C8020" i="10"/>
  <c r="B8020" i="10"/>
  <c r="A8020" i="10"/>
  <c r="E8019" i="10"/>
  <c r="D8019" i="10"/>
  <c r="C8019" i="10"/>
  <c r="B8019" i="10"/>
  <c r="A8019" i="10"/>
  <c r="E8018" i="10"/>
  <c r="D8018" i="10"/>
  <c r="C8018" i="10"/>
  <c r="B8018" i="10"/>
  <c r="A8018" i="10"/>
  <c r="E8017" i="10"/>
  <c r="D8017" i="10"/>
  <c r="C8017" i="10"/>
  <c r="B8017" i="10"/>
  <c r="A8017" i="10"/>
  <c r="E8016" i="10"/>
  <c r="D8016" i="10"/>
  <c r="C8016" i="10"/>
  <c r="B8016" i="10"/>
  <c r="A8016" i="10"/>
  <c r="E8015" i="10"/>
  <c r="D8015" i="10"/>
  <c r="C8015" i="10"/>
  <c r="B8015" i="10"/>
  <c r="A8015" i="10"/>
  <c r="E8014" i="10"/>
  <c r="D8014" i="10"/>
  <c r="C8014" i="10"/>
  <c r="B8014" i="10"/>
  <c r="A8014" i="10"/>
  <c r="E8013" i="10"/>
  <c r="D8013" i="10"/>
  <c r="C8013" i="10"/>
  <c r="B8013" i="10"/>
  <c r="A8013" i="10"/>
  <c r="E8012" i="10"/>
  <c r="D8012" i="10"/>
  <c r="C8012" i="10"/>
  <c r="B8012" i="10"/>
  <c r="A8012" i="10"/>
  <c r="E8011" i="10"/>
  <c r="D8011" i="10"/>
  <c r="C8011" i="10"/>
  <c r="B8011" i="10"/>
  <c r="A8011" i="10"/>
  <c r="E8010" i="10"/>
  <c r="D8010" i="10"/>
  <c r="C8010" i="10"/>
  <c r="B8010" i="10"/>
  <c r="A8010" i="10"/>
  <c r="E8009" i="10"/>
  <c r="D8009" i="10"/>
  <c r="C8009" i="10"/>
  <c r="B8009" i="10"/>
  <c r="A8009" i="10"/>
  <c r="E8008" i="10"/>
  <c r="D8008" i="10"/>
  <c r="C8008" i="10"/>
  <c r="B8008" i="10"/>
  <c r="A8008" i="10"/>
  <c r="E8007" i="10"/>
  <c r="D8007" i="10"/>
  <c r="C8007" i="10"/>
  <c r="B8007" i="10"/>
  <c r="A8007" i="10"/>
  <c r="E8006" i="10"/>
  <c r="D8006" i="10"/>
  <c r="C8006" i="10"/>
  <c r="B8006" i="10"/>
  <c r="A8006" i="10"/>
  <c r="E8005" i="10"/>
  <c r="D8005" i="10"/>
  <c r="C8005" i="10"/>
  <c r="B8005" i="10"/>
  <c r="A8005" i="10"/>
  <c r="E8004" i="10"/>
  <c r="D8004" i="10"/>
  <c r="C8004" i="10"/>
  <c r="B8004" i="10"/>
  <c r="A8004" i="10"/>
  <c r="E8003" i="10"/>
  <c r="D8003" i="10"/>
  <c r="C8003" i="10"/>
  <c r="B8003" i="10"/>
  <c r="A8003" i="10"/>
  <c r="E8002" i="10"/>
  <c r="D8002" i="10"/>
  <c r="C8002" i="10"/>
  <c r="B8002" i="10"/>
  <c r="A8002" i="10"/>
  <c r="E8001" i="10"/>
  <c r="D8001" i="10"/>
  <c r="C8001" i="10"/>
  <c r="B8001" i="10"/>
  <c r="A8001" i="10"/>
  <c r="E8000" i="10"/>
  <c r="D8000" i="10"/>
  <c r="C8000" i="10"/>
  <c r="B8000" i="10"/>
  <c r="A8000" i="10"/>
  <c r="E7999" i="10"/>
  <c r="D7999" i="10"/>
  <c r="C7999" i="10"/>
  <c r="B7999" i="10"/>
  <c r="A7999" i="10"/>
  <c r="E7998" i="10"/>
  <c r="D7998" i="10"/>
  <c r="C7998" i="10"/>
  <c r="B7998" i="10"/>
  <c r="A7998" i="10"/>
  <c r="E7997" i="10"/>
  <c r="D7997" i="10"/>
  <c r="C7997" i="10"/>
  <c r="B7997" i="10"/>
  <c r="A7997" i="10"/>
  <c r="E7996" i="10"/>
  <c r="D7996" i="10"/>
  <c r="C7996" i="10"/>
  <c r="B7996" i="10"/>
  <c r="A7996" i="10"/>
  <c r="E7995" i="10"/>
  <c r="D7995" i="10"/>
  <c r="C7995" i="10"/>
  <c r="B7995" i="10"/>
  <c r="A7995" i="10"/>
  <c r="E7994" i="10"/>
  <c r="D7994" i="10"/>
  <c r="C7994" i="10"/>
  <c r="B7994" i="10"/>
  <c r="A7994" i="10"/>
  <c r="E7993" i="10"/>
  <c r="D7993" i="10"/>
  <c r="C7993" i="10"/>
  <c r="B7993" i="10"/>
  <c r="A7993" i="10"/>
  <c r="E7992" i="10"/>
  <c r="D7992" i="10"/>
  <c r="C7992" i="10"/>
  <c r="B7992" i="10"/>
  <c r="A7992" i="10"/>
  <c r="E7991" i="10"/>
  <c r="D7991" i="10"/>
  <c r="C7991" i="10"/>
  <c r="B7991" i="10"/>
  <c r="A7991" i="10"/>
  <c r="E7990" i="10"/>
  <c r="D7990" i="10"/>
  <c r="C7990" i="10"/>
  <c r="B7990" i="10"/>
  <c r="A7990" i="10"/>
  <c r="E7989" i="10"/>
  <c r="D7989" i="10"/>
  <c r="C7989" i="10"/>
  <c r="B7989" i="10"/>
  <c r="A7989" i="10"/>
  <c r="E7988" i="10"/>
  <c r="D7988" i="10"/>
  <c r="C7988" i="10"/>
  <c r="B7988" i="10"/>
  <c r="A7988" i="10"/>
  <c r="E7987" i="10"/>
  <c r="D7987" i="10"/>
  <c r="C7987" i="10"/>
  <c r="B7987" i="10"/>
  <c r="A7987" i="10"/>
  <c r="E7986" i="10"/>
  <c r="D7986" i="10"/>
  <c r="C7986" i="10"/>
  <c r="B7986" i="10"/>
  <c r="A7986" i="10"/>
  <c r="E7985" i="10"/>
  <c r="D7985" i="10"/>
  <c r="C7985" i="10"/>
  <c r="B7985" i="10"/>
  <c r="A7985" i="10"/>
  <c r="E7984" i="10"/>
  <c r="D7984" i="10"/>
  <c r="C7984" i="10"/>
  <c r="B7984" i="10"/>
  <c r="A7984" i="10"/>
  <c r="E7983" i="10"/>
  <c r="D7983" i="10"/>
  <c r="C7983" i="10"/>
  <c r="B7983" i="10"/>
  <c r="A7983" i="10"/>
  <c r="E7982" i="10"/>
  <c r="D7982" i="10"/>
  <c r="C7982" i="10"/>
  <c r="B7982" i="10"/>
  <c r="A7982" i="10"/>
  <c r="E7981" i="10"/>
  <c r="D7981" i="10"/>
  <c r="C7981" i="10"/>
  <c r="B7981" i="10"/>
  <c r="A7981" i="10"/>
  <c r="E7980" i="10"/>
  <c r="D7980" i="10"/>
  <c r="C7980" i="10"/>
  <c r="B7980" i="10"/>
  <c r="A7980" i="10"/>
  <c r="E7979" i="10"/>
  <c r="D7979" i="10"/>
  <c r="C7979" i="10"/>
  <c r="B7979" i="10"/>
  <c r="A7979" i="10"/>
  <c r="E7978" i="10"/>
  <c r="D7978" i="10"/>
  <c r="C7978" i="10"/>
  <c r="B7978" i="10"/>
  <c r="A7978" i="10"/>
  <c r="E7977" i="10"/>
  <c r="D7977" i="10"/>
  <c r="C7977" i="10"/>
  <c r="B7977" i="10"/>
  <c r="A7977" i="10"/>
  <c r="E7976" i="10"/>
  <c r="D7976" i="10"/>
  <c r="C7976" i="10"/>
  <c r="B7976" i="10"/>
  <c r="A7976" i="10"/>
  <c r="E7975" i="10"/>
  <c r="D7975" i="10"/>
  <c r="C7975" i="10"/>
  <c r="B7975" i="10"/>
  <c r="A7975" i="10"/>
  <c r="E7974" i="10"/>
  <c r="D7974" i="10"/>
  <c r="C7974" i="10"/>
  <c r="B7974" i="10"/>
  <c r="A7974" i="10"/>
  <c r="E7973" i="10"/>
  <c r="D7973" i="10"/>
  <c r="C7973" i="10"/>
  <c r="B7973" i="10"/>
  <c r="A7973" i="10"/>
  <c r="E7972" i="10"/>
  <c r="D7972" i="10"/>
  <c r="C7972" i="10"/>
  <c r="B7972" i="10"/>
  <c r="A7972" i="10"/>
  <c r="E7971" i="10"/>
  <c r="D7971" i="10"/>
  <c r="C7971" i="10"/>
  <c r="B7971" i="10"/>
  <c r="A7971" i="10"/>
  <c r="E7970" i="10"/>
  <c r="D7970" i="10"/>
  <c r="C7970" i="10"/>
  <c r="B7970" i="10"/>
  <c r="A7970" i="10"/>
  <c r="E7969" i="10"/>
  <c r="D7969" i="10"/>
  <c r="C7969" i="10"/>
  <c r="B7969" i="10"/>
  <c r="A7969" i="10"/>
  <c r="E7968" i="10"/>
  <c r="D7968" i="10"/>
  <c r="C7968" i="10"/>
  <c r="B7968" i="10"/>
  <c r="A7968" i="10"/>
  <c r="E7967" i="10"/>
  <c r="D7967" i="10"/>
  <c r="C7967" i="10"/>
  <c r="B7967" i="10"/>
  <c r="A7967" i="10"/>
  <c r="E7966" i="10"/>
  <c r="D7966" i="10"/>
  <c r="C7966" i="10"/>
  <c r="B7966" i="10"/>
  <c r="A7966" i="10"/>
  <c r="E7965" i="10"/>
  <c r="D7965" i="10"/>
  <c r="C7965" i="10"/>
  <c r="B7965" i="10"/>
  <c r="A7965" i="10"/>
  <c r="E7964" i="10"/>
  <c r="D7964" i="10"/>
  <c r="C7964" i="10"/>
  <c r="B7964" i="10"/>
  <c r="A7964" i="10"/>
  <c r="E7963" i="10"/>
  <c r="D7963" i="10"/>
  <c r="C7963" i="10"/>
  <c r="B7963" i="10"/>
  <c r="A7963" i="10"/>
  <c r="E7962" i="10"/>
  <c r="D7962" i="10"/>
  <c r="C7962" i="10"/>
  <c r="B7962" i="10"/>
  <c r="A7962" i="10"/>
  <c r="E7961" i="10"/>
  <c r="D7961" i="10"/>
  <c r="C7961" i="10"/>
  <c r="B7961" i="10"/>
  <c r="A7961" i="10"/>
  <c r="E7960" i="10"/>
  <c r="D7960" i="10"/>
  <c r="C7960" i="10"/>
  <c r="B7960" i="10"/>
  <c r="A7960" i="10"/>
  <c r="E7959" i="10"/>
  <c r="D7959" i="10"/>
  <c r="C7959" i="10"/>
  <c r="B7959" i="10"/>
  <c r="A7959" i="10"/>
  <c r="E7958" i="10"/>
  <c r="D7958" i="10"/>
  <c r="C7958" i="10"/>
  <c r="B7958" i="10"/>
  <c r="A7958" i="10"/>
  <c r="E7957" i="10"/>
  <c r="D7957" i="10"/>
  <c r="C7957" i="10"/>
  <c r="B7957" i="10"/>
  <c r="A7957" i="10"/>
  <c r="E7956" i="10"/>
  <c r="D7956" i="10"/>
  <c r="C7956" i="10"/>
  <c r="B7956" i="10"/>
  <c r="A7956" i="10"/>
  <c r="E7955" i="10"/>
  <c r="D7955" i="10"/>
  <c r="C7955" i="10"/>
  <c r="B7955" i="10"/>
  <c r="A7955" i="10"/>
  <c r="E7954" i="10"/>
  <c r="D7954" i="10"/>
  <c r="C7954" i="10"/>
  <c r="B7954" i="10"/>
  <c r="A7954" i="10"/>
  <c r="E7953" i="10"/>
  <c r="D7953" i="10"/>
  <c r="C7953" i="10"/>
  <c r="B7953" i="10"/>
  <c r="A7953" i="10"/>
  <c r="E7952" i="10"/>
  <c r="D7952" i="10"/>
  <c r="C7952" i="10"/>
  <c r="B7952" i="10"/>
  <c r="A7952" i="10"/>
  <c r="E7951" i="10"/>
  <c r="D7951" i="10"/>
  <c r="C7951" i="10"/>
  <c r="B7951" i="10"/>
  <c r="A7951" i="10"/>
  <c r="E7950" i="10"/>
  <c r="D7950" i="10"/>
  <c r="C7950" i="10"/>
  <c r="B7950" i="10"/>
  <c r="A7950" i="10"/>
  <c r="E7949" i="10"/>
  <c r="D7949" i="10"/>
  <c r="C7949" i="10"/>
  <c r="B7949" i="10"/>
  <c r="A7949" i="10"/>
  <c r="E7948" i="10"/>
  <c r="D7948" i="10"/>
  <c r="C7948" i="10"/>
  <c r="B7948" i="10"/>
  <c r="A7948" i="10"/>
  <c r="E7947" i="10"/>
  <c r="D7947" i="10"/>
  <c r="C7947" i="10"/>
  <c r="B7947" i="10"/>
  <c r="A7947" i="10"/>
  <c r="E7946" i="10"/>
  <c r="D7946" i="10"/>
  <c r="C7946" i="10"/>
  <c r="B7946" i="10"/>
  <c r="A7946" i="10"/>
  <c r="E7945" i="10"/>
  <c r="D7945" i="10"/>
  <c r="C7945" i="10"/>
  <c r="B7945" i="10"/>
  <c r="A7945" i="10"/>
  <c r="E7944" i="10"/>
  <c r="D7944" i="10"/>
  <c r="C7944" i="10"/>
  <c r="B7944" i="10"/>
  <c r="A7944" i="10"/>
  <c r="E7943" i="10"/>
  <c r="D7943" i="10"/>
  <c r="C7943" i="10"/>
  <c r="B7943" i="10"/>
  <c r="A7943" i="10"/>
  <c r="E7942" i="10"/>
  <c r="D7942" i="10"/>
  <c r="C7942" i="10"/>
  <c r="B7942" i="10"/>
  <c r="A7942" i="10"/>
  <c r="E7941" i="10"/>
  <c r="D7941" i="10"/>
  <c r="C7941" i="10"/>
  <c r="B7941" i="10"/>
  <c r="A7941" i="10"/>
  <c r="E7940" i="10"/>
  <c r="D7940" i="10"/>
  <c r="C7940" i="10"/>
  <c r="B7940" i="10"/>
  <c r="A7940" i="10"/>
  <c r="E7939" i="10"/>
  <c r="D7939" i="10"/>
  <c r="C7939" i="10"/>
  <c r="B7939" i="10"/>
  <c r="A7939" i="10"/>
  <c r="E7938" i="10"/>
  <c r="D7938" i="10"/>
  <c r="C7938" i="10"/>
  <c r="B7938" i="10"/>
  <c r="A7938" i="10"/>
  <c r="E7937" i="10"/>
  <c r="D7937" i="10"/>
  <c r="C7937" i="10"/>
  <c r="B7937" i="10"/>
  <c r="A7937" i="10"/>
  <c r="E7936" i="10"/>
  <c r="D7936" i="10"/>
  <c r="C7936" i="10"/>
  <c r="B7936" i="10"/>
  <c r="A7936" i="10"/>
  <c r="E7935" i="10"/>
  <c r="D7935" i="10"/>
  <c r="C7935" i="10"/>
  <c r="B7935" i="10"/>
  <c r="A7935" i="10"/>
  <c r="E7934" i="10"/>
  <c r="D7934" i="10"/>
  <c r="C7934" i="10"/>
  <c r="B7934" i="10"/>
  <c r="A7934" i="10"/>
  <c r="E7933" i="10"/>
  <c r="D7933" i="10"/>
  <c r="C7933" i="10"/>
  <c r="B7933" i="10"/>
  <c r="A7933" i="10"/>
  <c r="E7932" i="10"/>
  <c r="D7932" i="10"/>
  <c r="C7932" i="10"/>
  <c r="B7932" i="10"/>
  <c r="A7932" i="10"/>
  <c r="E7931" i="10"/>
  <c r="D7931" i="10"/>
  <c r="C7931" i="10"/>
  <c r="B7931" i="10"/>
  <c r="A7931" i="10"/>
  <c r="E7930" i="10"/>
  <c r="D7930" i="10"/>
  <c r="C7930" i="10"/>
  <c r="B7930" i="10"/>
  <c r="A7930" i="10"/>
  <c r="E7929" i="10"/>
  <c r="D7929" i="10"/>
  <c r="C7929" i="10"/>
  <c r="B7929" i="10"/>
  <c r="A7929" i="10"/>
  <c r="E7928" i="10"/>
  <c r="D7928" i="10"/>
  <c r="C7928" i="10"/>
  <c r="B7928" i="10"/>
  <c r="A7928" i="10"/>
  <c r="E7927" i="10"/>
  <c r="D7927" i="10"/>
  <c r="C7927" i="10"/>
  <c r="B7927" i="10"/>
  <c r="A7927" i="10"/>
  <c r="E7926" i="10"/>
  <c r="D7926" i="10"/>
  <c r="C7926" i="10"/>
  <c r="B7926" i="10"/>
  <c r="A7926" i="10"/>
  <c r="E7925" i="10"/>
  <c r="D7925" i="10"/>
  <c r="C7925" i="10"/>
  <c r="B7925" i="10"/>
  <c r="A7925" i="10"/>
  <c r="E7924" i="10"/>
  <c r="D7924" i="10"/>
  <c r="C7924" i="10"/>
  <c r="B7924" i="10"/>
  <c r="A7924" i="10"/>
  <c r="E7923" i="10"/>
  <c r="D7923" i="10"/>
  <c r="C7923" i="10"/>
  <c r="B7923" i="10"/>
  <c r="A7923" i="10"/>
  <c r="E7922" i="10"/>
  <c r="D7922" i="10"/>
  <c r="C7922" i="10"/>
  <c r="B7922" i="10"/>
  <c r="A7922" i="10"/>
  <c r="E7921" i="10"/>
  <c r="D7921" i="10"/>
  <c r="C7921" i="10"/>
  <c r="B7921" i="10"/>
  <c r="A7921" i="10"/>
  <c r="E7920" i="10"/>
  <c r="D7920" i="10"/>
  <c r="C7920" i="10"/>
  <c r="B7920" i="10"/>
  <c r="A7920" i="10"/>
  <c r="E7919" i="10"/>
  <c r="D7919" i="10"/>
  <c r="C7919" i="10"/>
  <c r="B7919" i="10"/>
  <c r="A7919" i="10"/>
  <c r="E7918" i="10"/>
  <c r="D7918" i="10"/>
  <c r="C7918" i="10"/>
  <c r="B7918" i="10"/>
  <c r="A7918" i="10"/>
  <c r="E7917" i="10"/>
  <c r="D7917" i="10"/>
  <c r="C7917" i="10"/>
  <c r="B7917" i="10"/>
  <c r="A7917" i="10"/>
  <c r="E7916" i="10"/>
  <c r="D7916" i="10"/>
  <c r="C7916" i="10"/>
  <c r="B7916" i="10"/>
  <c r="A7916" i="10"/>
  <c r="E7915" i="10"/>
  <c r="D7915" i="10"/>
  <c r="C7915" i="10"/>
  <c r="B7915" i="10"/>
  <c r="A7915" i="10"/>
  <c r="E7914" i="10"/>
  <c r="D7914" i="10"/>
  <c r="C7914" i="10"/>
  <c r="B7914" i="10"/>
  <c r="A7914" i="10"/>
  <c r="E7913" i="10"/>
  <c r="D7913" i="10"/>
  <c r="C7913" i="10"/>
  <c r="B7913" i="10"/>
  <c r="A7913" i="10"/>
  <c r="E7912" i="10"/>
  <c r="D7912" i="10"/>
  <c r="C7912" i="10"/>
  <c r="B7912" i="10"/>
  <c r="A7912" i="10"/>
  <c r="E7911" i="10"/>
  <c r="D7911" i="10"/>
  <c r="C7911" i="10"/>
  <c r="B7911" i="10"/>
  <c r="A7911" i="10"/>
  <c r="E7910" i="10"/>
  <c r="D7910" i="10"/>
  <c r="C7910" i="10"/>
  <c r="B7910" i="10"/>
  <c r="A7910" i="10"/>
  <c r="E7909" i="10"/>
  <c r="D7909" i="10"/>
  <c r="C7909" i="10"/>
  <c r="B7909" i="10"/>
  <c r="A7909" i="10"/>
  <c r="E7908" i="10"/>
  <c r="D7908" i="10"/>
  <c r="C7908" i="10"/>
  <c r="B7908" i="10"/>
  <c r="A7908" i="10"/>
  <c r="E7907" i="10"/>
  <c r="D7907" i="10"/>
  <c r="C7907" i="10"/>
  <c r="B7907" i="10"/>
  <c r="A7907" i="10"/>
  <c r="E7906" i="10"/>
  <c r="D7906" i="10"/>
  <c r="C7906" i="10"/>
  <c r="B7906" i="10"/>
  <c r="A7906" i="10"/>
  <c r="E7905" i="10"/>
  <c r="D7905" i="10"/>
  <c r="C7905" i="10"/>
  <c r="B7905" i="10"/>
  <c r="A7905" i="10"/>
  <c r="E7904" i="10"/>
  <c r="D7904" i="10"/>
  <c r="C7904" i="10"/>
  <c r="B7904" i="10"/>
  <c r="A7904" i="10"/>
  <c r="E7903" i="10"/>
  <c r="D7903" i="10"/>
  <c r="C7903" i="10"/>
  <c r="B7903" i="10"/>
  <c r="A7903" i="10"/>
  <c r="E7902" i="10"/>
  <c r="D7902" i="10"/>
  <c r="C7902" i="10"/>
  <c r="B7902" i="10"/>
  <c r="A7902" i="10"/>
  <c r="E7901" i="10"/>
  <c r="D7901" i="10"/>
  <c r="C7901" i="10"/>
  <c r="B7901" i="10"/>
  <c r="A7901" i="10"/>
  <c r="E7900" i="10"/>
  <c r="D7900" i="10"/>
  <c r="C7900" i="10"/>
  <c r="B7900" i="10"/>
  <c r="A7900" i="10"/>
  <c r="E7899" i="10"/>
  <c r="D7899" i="10"/>
  <c r="C7899" i="10"/>
  <c r="B7899" i="10"/>
  <c r="A7899" i="10"/>
  <c r="E7898" i="10"/>
  <c r="D7898" i="10"/>
  <c r="C7898" i="10"/>
  <c r="B7898" i="10"/>
  <c r="A7898" i="10"/>
  <c r="E7897" i="10"/>
  <c r="D7897" i="10"/>
  <c r="C7897" i="10"/>
  <c r="B7897" i="10"/>
  <c r="A7897" i="10"/>
  <c r="E7896" i="10"/>
  <c r="D7896" i="10"/>
  <c r="C7896" i="10"/>
  <c r="B7896" i="10"/>
  <c r="A7896" i="10"/>
  <c r="E7895" i="10"/>
  <c r="D7895" i="10"/>
  <c r="C7895" i="10"/>
  <c r="B7895" i="10"/>
  <c r="A7895" i="10"/>
  <c r="E7894" i="10"/>
  <c r="D7894" i="10"/>
  <c r="C7894" i="10"/>
  <c r="B7894" i="10"/>
  <c r="A7894" i="10"/>
  <c r="E7893" i="10"/>
  <c r="D7893" i="10"/>
  <c r="C7893" i="10"/>
  <c r="B7893" i="10"/>
  <c r="A7893" i="10"/>
  <c r="E7892" i="10"/>
  <c r="D7892" i="10"/>
  <c r="C7892" i="10"/>
  <c r="B7892" i="10"/>
  <c r="A7892" i="10"/>
  <c r="E7891" i="10"/>
  <c r="D7891" i="10"/>
  <c r="C7891" i="10"/>
  <c r="B7891" i="10"/>
  <c r="A7891" i="10"/>
  <c r="E7890" i="10"/>
  <c r="D7890" i="10"/>
  <c r="C7890" i="10"/>
  <c r="B7890" i="10"/>
  <c r="A7890" i="10"/>
  <c r="E7889" i="10"/>
  <c r="D7889" i="10"/>
  <c r="C7889" i="10"/>
  <c r="B7889" i="10"/>
  <c r="A7889" i="10"/>
  <c r="E7888" i="10"/>
  <c r="D7888" i="10"/>
  <c r="C7888" i="10"/>
  <c r="B7888" i="10"/>
  <c r="A7888" i="10"/>
  <c r="E7887" i="10"/>
  <c r="D7887" i="10"/>
  <c r="C7887" i="10"/>
  <c r="B7887" i="10"/>
  <c r="A7887" i="10"/>
  <c r="E7886" i="10"/>
  <c r="D7886" i="10"/>
  <c r="C7886" i="10"/>
  <c r="B7886" i="10"/>
  <c r="A7886" i="10"/>
  <c r="E7885" i="10"/>
  <c r="D7885" i="10"/>
  <c r="C7885" i="10"/>
  <c r="B7885" i="10"/>
  <c r="A7885" i="10"/>
  <c r="E7884" i="10"/>
  <c r="D7884" i="10"/>
  <c r="C7884" i="10"/>
  <c r="B7884" i="10"/>
  <c r="A7884" i="10"/>
  <c r="E7883" i="10"/>
  <c r="D7883" i="10"/>
  <c r="C7883" i="10"/>
  <c r="B7883" i="10"/>
  <c r="A7883" i="10"/>
  <c r="E7882" i="10"/>
  <c r="D7882" i="10"/>
  <c r="C7882" i="10"/>
  <c r="B7882" i="10"/>
  <c r="A7882" i="10"/>
  <c r="E7881" i="10"/>
  <c r="D7881" i="10"/>
  <c r="C7881" i="10"/>
  <c r="B7881" i="10"/>
  <c r="A7881" i="10"/>
  <c r="E7880" i="10"/>
  <c r="D7880" i="10"/>
  <c r="C7880" i="10"/>
  <c r="B7880" i="10"/>
  <c r="A7880" i="10"/>
  <c r="E7879" i="10"/>
  <c r="D7879" i="10"/>
  <c r="C7879" i="10"/>
  <c r="B7879" i="10"/>
  <c r="A7879" i="10"/>
  <c r="E7878" i="10"/>
  <c r="D7878" i="10"/>
  <c r="C7878" i="10"/>
  <c r="B7878" i="10"/>
  <c r="A7878" i="10"/>
  <c r="E7877" i="10"/>
  <c r="D7877" i="10"/>
  <c r="C7877" i="10"/>
  <c r="B7877" i="10"/>
  <c r="A7877" i="10"/>
  <c r="E7876" i="10"/>
  <c r="D7876" i="10"/>
  <c r="C7876" i="10"/>
  <c r="B7876" i="10"/>
  <c r="A7876" i="10"/>
  <c r="E7875" i="10"/>
  <c r="D7875" i="10"/>
  <c r="C7875" i="10"/>
  <c r="B7875" i="10"/>
  <c r="A7875" i="10"/>
  <c r="E7874" i="10"/>
  <c r="D7874" i="10"/>
  <c r="C7874" i="10"/>
  <c r="B7874" i="10"/>
  <c r="A7874" i="10"/>
  <c r="E7873" i="10"/>
  <c r="D7873" i="10"/>
  <c r="C7873" i="10"/>
  <c r="B7873" i="10"/>
  <c r="A7873" i="10"/>
  <c r="E7872" i="10"/>
  <c r="D7872" i="10"/>
  <c r="C7872" i="10"/>
  <c r="B7872" i="10"/>
  <c r="A7872" i="10"/>
  <c r="E7871" i="10"/>
  <c r="D7871" i="10"/>
  <c r="C7871" i="10"/>
  <c r="B7871" i="10"/>
  <c r="A7871" i="10"/>
  <c r="E7870" i="10"/>
  <c r="D7870" i="10"/>
  <c r="C7870" i="10"/>
  <c r="B7870" i="10"/>
  <c r="A7870" i="10"/>
  <c r="E7869" i="10"/>
  <c r="D7869" i="10"/>
  <c r="C7869" i="10"/>
  <c r="B7869" i="10"/>
  <c r="A7869" i="10"/>
  <c r="E7868" i="10"/>
  <c r="D7868" i="10"/>
  <c r="C7868" i="10"/>
  <c r="B7868" i="10"/>
  <c r="A7868" i="10"/>
  <c r="E7867" i="10"/>
  <c r="D7867" i="10"/>
  <c r="C7867" i="10"/>
  <c r="B7867" i="10"/>
  <c r="A7867" i="10"/>
  <c r="E7866" i="10"/>
  <c r="D7866" i="10"/>
  <c r="C7866" i="10"/>
  <c r="B7866" i="10"/>
  <c r="A7866" i="10"/>
  <c r="E7865" i="10"/>
  <c r="D7865" i="10"/>
  <c r="C7865" i="10"/>
  <c r="B7865" i="10"/>
  <c r="A7865" i="10"/>
  <c r="E7864" i="10"/>
  <c r="D7864" i="10"/>
  <c r="C7864" i="10"/>
  <c r="B7864" i="10"/>
  <c r="A7864" i="10"/>
  <c r="E7863" i="10"/>
  <c r="D7863" i="10"/>
  <c r="C7863" i="10"/>
  <c r="B7863" i="10"/>
  <c r="A7863" i="10"/>
  <c r="E7862" i="10"/>
  <c r="D7862" i="10"/>
  <c r="C7862" i="10"/>
  <c r="B7862" i="10"/>
  <c r="A7862" i="10"/>
  <c r="E7861" i="10"/>
  <c r="D7861" i="10"/>
  <c r="C7861" i="10"/>
  <c r="B7861" i="10"/>
  <c r="A7861" i="10"/>
  <c r="E7860" i="10"/>
  <c r="D7860" i="10"/>
  <c r="C7860" i="10"/>
  <c r="B7860" i="10"/>
  <c r="A7860" i="10"/>
  <c r="E7859" i="10"/>
  <c r="D7859" i="10"/>
  <c r="C7859" i="10"/>
  <c r="B7859" i="10"/>
  <c r="A7859" i="10"/>
  <c r="E7858" i="10"/>
  <c r="D7858" i="10"/>
  <c r="C7858" i="10"/>
  <c r="B7858" i="10"/>
  <c r="A7858" i="10"/>
  <c r="E7857" i="10"/>
  <c r="D7857" i="10"/>
  <c r="C7857" i="10"/>
  <c r="B7857" i="10"/>
  <c r="A7857" i="10"/>
  <c r="E7856" i="10"/>
  <c r="D7856" i="10"/>
  <c r="C7856" i="10"/>
  <c r="B7856" i="10"/>
  <c r="A7856" i="10"/>
  <c r="E7855" i="10"/>
  <c r="D7855" i="10"/>
  <c r="C7855" i="10"/>
  <c r="B7855" i="10"/>
  <c r="A7855" i="10"/>
  <c r="E7854" i="10"/>
  <c r="D7854" i="10"/>
  <c r="C7854" i="10"/>
  <c r="B7854" i="10"/>
  <c r="A7854" i="10"/>
  <c r="E7853" i="10"/>
  <c r="D7853" i="10"/>
  <c r="C7853" i="10"/>
  <c r="B7853" i="10"/>
  <c r="A7853" i="10"/>
  <c r="E7852" i="10"/>
  <c r="D7852" i="10"/>
  <c r="C7852" i="10"/>
  <c r="B7852" i="10"/>
  <c r="A7852" i="10"/>
  <c r="E7851" i="10"/>
  <c r="D7851" i="10"/>
  <c r="C7851" i="10"/>
  <c r="B7851" i="10"/>
  <c r="A7851" i="10"/>
  <c r="E7850" i="10"/>
  <c r="D7850" i="10"/>
  <c r="C7850" i="10"/>
  <c r="B7850" i="10"/>
  <c r="A7850" i="10"/>
  <c r="E7849" i="10"/>
  <c r="D7849" i="10"/>
  <c r="C7849" i="10"/>
  <c r="B7849" i="10"/>
  <c r="A7849" i="10"/>
  <c r="E7848" i="10"/>
  <c r="D7848" i="10"/>
  <c r="C7848" i="10"/>
  <c r="B7848" i="10"/>
  <c r="A7848" i="10"/>
  <c r="E7847" i="10"/>
  <c r="D7847" i="10"/>
  <c r="C7847" i="10"/>
  <c r="B7847" i="10"/>
  <c r="A7847" i="10"/>
  <c r="E7846" i="10"/>
  <c r="D7846" i="10"/>
  <c r="C7846" i="10"/>
  <c r="B7846" i="10"/>
  <c r="A7846" i="10"/>
  <c r="E7845" i="10"/>
  <c r="D7845" i="10"/>
  <c r="C7845" i="10"/>
  <c r="B7845" i="10"/>
  <c r="A7845" i="10"/>
  <c r="E7844" i="10"/>
  <c r="D7844" i="10"/>
  <c r="C7844" i="10"/>
  <c r="B7844" i="10"/>
  <c r="A7844" i="10"/>
  <c r="E7843" i="10"/>
  <c r="D7843" i="10"/>
  <c r="C7843" i="10"/>
  <c r="B7843" i="10"/>
  <c r="A7843" i="10"/>
  <c r="E7842" i="10"/>
  <c r="D7842" i="10"/>
  <c r="C7842" i="10"/>
  <c r="B7842" i="10"/>
  <c r="A7842" i="10"/>
  <c r="E7841" i="10"/>
  <c r="D7841" i="10"/>
  <c r="C7841" i="10"/>
  <c r="B7841" i="10"/>
  <c r="A7841" i="10"/>
  <c r="E7840" i="10"/>
  <c r="D7840" i="10"/>
  <c r="C7840" i="10"/>
  <c r="B7840" i="10"/>
  <c r="A7840" i="10"/>
  <c r="E7839" i="10"/>
  <c r="D7839" i="10"/>
  <c r="C7839" i="10"/>
  <c r="B7839" i="10"/>
  <c r="A7839" i="10"/>
  <c r="E7838" i="10"/>
  <c r="D7838" i="10"/>
  <c r="C7838" i="10"/>
  <c r="B7838" i="10"/>
  <c r="A7838" i="10"/>
  <c r="E7837" i="10"/>
  <c r="D7837" i="10"/>
  <c r="C7837" i="10"/>
  <c r="B7837" i="10"/>
  <c r="A7837" i="10"/>
  <c r="E7836" i="10"/>
  <c r="D7836" i="10"/>
  <c r="C7836" i="10"/>
  <c r="B7836" i="10"/>
  <c r="A7836" i="10"/>
  <c r="E7835" i="10"/>
  <c r="D7835" i="10"/>
  <c r="C7835" i="10"/>
  <c r="B7835" i="10"/>
  <c r="A7835" i="10"/>
  <c r="E7834" i="10"/>
  <c r="D7834" i="10"/>
  <c r="C7834" i="10"/>
  <c r="B7834" i="10"/>
  <c r="A7834" i="10"/>
  <c r="E7833" i="10"/>
  <c r="D7833" i="10"/>
  <c r="C7833" i="10"/>
  <c r="B7833" i="10"/>
  <c r="A7833" i="10"/>
  <c r="E7832" i="10"/>
  <c r="D7832" i="10"/>
  <c r="C7832" i="10"/>
  <c r="B7832" i="10"/>
  <c r="A7832" i="10"/>
  <c r="E7831" i="10"/>
  <c r="D7831" i="10"/>
  <c r="C7831" i="10"/>
  <c r="B7831" i="10"/>
  <c r="A7831" i="10"/>
  <c r="E7830" i="10"/>
  <c r="D7830" i="10"/>
  <c r="C7830" i="10"/>
  <c r="B7830" i="10"/>
  <c r="A7830" i="10"/>
  <c r="E7829" i="10"/>
  <c r="D7829" i="10"/>
  <c r="C7829" i="10"/>
  <c r="B7829" i="10"/>
  <c r="A7829" i="10"/>
  <c r="E7828" i="10"/>
  <c r="D7828" i="10"/>
  <c r="C7828" i="10"/>
  <c r="B7828" i="10"/>
  <c r="A7828" i="10"/>
  <c r="E7827" i="10"/>
  <c r="D7827" i="10"/>
  <c r="C7827" i="10"/>
  <c r="B7827" i="10"/>
  <c r="A7827" i="10"/>
  <c r="E7826" i="10"/>
  <c r="D7826" i="10"/>
  <c r="C7826" i="10"/>
  <c r="B7826" i="10"/>
  <c r="A7826" i="10"/>
  <c r="E7825" i="10"/>
  <c r="D7825" i="10"/>
  <c r="C7825" i="10"/>
  <c r="B7825" i="10"/>
  <c r="A7825" i="10"/>
  <c r="E7824" i="10"/>
  <c r="D7824" i="10"/>
  <c r="C7824" i="10"/>
  <c r="B7824" i="10"/>
  <c r="A7824" i="10"/>
  <c r="E7823" i="10"/>
  <c r="D7823" i="10"/>
  <c r="C7823" i="10"/>
  <c r="B7823" i="10"/>
  <c r="A7823" i="10"/>
  <c r="E7822" i="10"/>
  <c r="D7822" i="10"/>
  <c r="C7822" i="10"/>
  <c r="B7822" i="10"/>
  <c r="A7822" i="10"/>
  <c r="E7821" i="10"/>
  <c r="D7821" i="10"/>
  <c r="C7821" i="10"/>
  <c r="B7821" i="10"/>
  <c r="A7821" i="10"/>
  <c r="E7820" i="10"/>
  <c r="D7820" i="10"/>
  <c r="C7820" i="10"/>
  <c r="B7820" i="10"/>
  <c r="A7820" i="10"/>
  <c r="E7819" i="10"/>
  <c r="D7819" i="10"/>
  <c r="C7819" i="10"/>
  <c r="B7819" i="10"/>
  <c r="A7819" i="10"/>
  <c r="E7818" i="10"/>
  <c r="D7818" i="10"/>
  <c r="C7818" i="10"/>
  <c r="B7818" i="10"/>
  <c r="A7818" i="10"/>
  <c r="E7817" i="10"/>
  <c r="D7817" i="10"/>
  <c r="C7817" i="10"/>
  <c r="B7817" i="10"/>
  <c r="A7817" i="10"/>
  <c r="E7816" i="10"/>
  <c r="D7816" i="10"/>
  <c r="C7816" i="10"/>
  <c r="B7816" i="10"/>
  <c r="A7816" i="10"/>
  <c r="E7815" i="10"/>
  <c r="D7815" i="10"/>
  <c r="C7815" i="10"/>
  <c r="B7815" i="10"/>
  <c r="A7815" i="10"/>
  <c r="E7814" i="10"/>
  <c r="D7814" i="10"/>
  <c r="C7814" i="10"/>
  <c r="B7814" i="10"/>
  <c r="A7814" i="10"/>
  <c r="E7813" i="10"/>
  <c r="D7813" i="10"/>
  <c r="C7813" i="10"/>
  <c r="B7813" i="10"/>
  <c r="A7813" i="10"/>
  <c r="E7812" i="10"/>
  <c r="D7812" i="10"/>
  <c r="C7812" i="10"/>
  <c r="B7812" i="10"/>
  <c r="A7812" i="10"/>
  <c r="E7811" i="10"/>
  <c r="D7811" i="10"/>
  <c r="C7811" i="10"/>
  <c r="B7811" i="10"/>
  <c r="A7811" i="10"/>
  <c r="E7810" i="10"/>
  <c r="D7810" i="10"/>
  <c r="C7810" i="10"/>
  <c r="B7810" i="10"/>
  <c r="A7810" i="10"/>
  <c r="E7809" i="10"/>
  <c r="D7809" i="10"/>
  <c r="C7809" i="10"/>
  <c r="B7809" i="10"/>
  <c r="A7809" i="10"/>
  <c r="E7808" i="10"/>
  <c r="D7808" i="10"/>
  <c r="C7808" i="10"/>
  <c r="B7808" i="10"/>
  <c r="A7808" i="10"/>
  <c r="E7807" i="10"/>
  <c r="D7807" i="10"/>
  <c r="C7807" i="10"/>
  <c r="B7807" i="10"/>
  <c r="A7807" i="10"/>
  <c r="E7806" i="10"/>
  <c r="D7806" i="10"/>
  <c r="C7806" i="10"/>
  <c r="B7806" i="10"/>
  <c r="A7806" i="10"/>
  <c r="E7805" i="10"/>
  <c r="D7805" i="10"/>
  <c r="C7805" i="10"/>
  <c r="B7805" i="10"/>
  <c r="A7805" i="10"/>
  <c r="E7804" i="10"/>
  <c r="D7804" i="10"/>
  <c r="C7804" i="10"/>
  <c r="B7804" i="10"/>
  <c r="A7804" i="10"/>
  <c r="E7803" i="10"/>
  <c r="D7803" i="10"/>
  <c r="C7803" i="10"/>
  <c r="B7803" i="10"/>
  <c r="A7803" i="10"/>
  <c r="E7802" i="10"/>
  <c r="D7802" i="10"/>
  <c r="C7802" i="10"/>
  <c r="B7802" i="10"/>
  <c r="A7802" i="10"/>
  <c r="E7801" i="10"/>
  <c r="D7801" i="10"/>
  <c r="C7801" i="10"/>
  <c r="B7801" i="10"/>
  <c r="A7801" i="10"/>
  <c r="E7800" i="10"/>
  <c r="D7800" i="10"/>
  <c r="C7800" i="10"/>
  <c r="B7800" i="10"/>
  <c r="A7800" i="10"/>
  <c r="E7799" i="10"/>
  <c r="D7799" i="10"/>
  <c r="C7799" i="10"/>
  <c r="B7799" i="10"/>
  <c r="A7799" i="10"/>
  <c r="E7798" i="10"/>
  <c r="D7798" i="10"/>
  <c r="C7798" i="10"/>
  <c r="B7798" i="10"/>
  <c r="A7798" i="10"/>
  <c r="E7797" i="10"/>
  <c r="D7797" i="10"/>
  <c r="C7797" i="10"/>
  <c r="B7797" i="10"/>
  <c r="A7797" i="10"/>
  <c r="E7796" i="10"/>
  <c r="D7796" i="10"/>
  <c r="C7796" i="10"/>
  <c r="B7796" i="10"/>
  <c r="A7796" i="10"/>
  <c r="E7795" i="10"/>
  <c r="D7795" i="10"/>
  <c r="C7795" i="10"/>
  <c r="B7795" i="10"/>
  <c r="A7795" i="10"/>
  <c r="E7794" i="10"/>
  <c r="D7794" i="10"/>
  <c r="C7794" i="10"/>
  <c r="B7794" i="10"/>
  <c r="A7794" i="10"/>
  <c r="E7793" i="10"/>
  <c r="D7793" i="10"/>
  <c r="C7793" i="10"/>
  <c r="B7793" i="10"/>
  <c r="A7793" i="10"/>
  <c r="E7792" i="10"/>
  <c r="D7792" i="10"/>
  <c r="C7792" i="10"/>
  <c r="B7792" i="10"/>
  <c r="A7792" i="10"/>
  <c r="E7791" i="10"/>
  <c r="D7791" i="10"/>
  <c r="C7791" i="10"/>
  <c r="B7791" i="10"/>
  <c r="A7791" i="10"/>
  <c r="E7790" i="10"/>
  <c r="D7790" i="10"/>
  <c r="C7790" i="10"/>
  <c r="B7790" i="10"/>
  <c r="A7790" i="10"/>
  <c r="E7789" i="10"/>
  <c r="D7789" i="10"/>
  <c r="C7789" i="10"/>
  <c r="B7789" i="10"/>
  <c r="A7789" i="10"/>
  <c r="E7788" i="10"/>
  <c r="D7788" i="10"/>
  <c r="C7788" i="10"/>
  <c r="B7788" i="10"/>
  <c r="A7788" i="10"/>
  <c r="E7787" i="10"/>
  <c r="D7787" i="10"/>
  <c r="C7787" i="10"/>
  <c r="B7787" i="10"/>
  <c r="A7787" i="10"/>
  <c r="E7786" i="10"/>
  <c r="D7786" i="10"/>
  <c r="C7786" i="10"/>
  <c r="B7786" i="10"/>
  <c r="A7786" i="10"/>
  <c r="E7785" i="10"/>
  <c r="D7785" i="10"/>
  <c r="C7785" i="10"/>
  <c r="B7785" i="10"/>
  <c r="A7785" i="10"/>
  <c r="E7784" i="10"/>
  <c r="D7784" i="10"/>
  <c r="C7784" i="10"/>
  <c r="B7784" i="10"/>
  <c r="A7784" i="10"/>
  <c r="E7783" i="10"/>
  <c r="D7783" i="10"/>
  <c r="C7783" i="10"/>
  <c r="B7783" i="10"/>
  <c r="A7783" i="10"/>
  <c r="E7782" i="10"/>
  <c r="D7782" i="10"/>
  <c r="C7782" i="10"/>
  <c r="B7782" i="10"/>
  <c r="A7782" i="10"/>
  <c r="E7781" i="10"/>
  <c r="D7781" i="10"/>
  <c r="C7781" i="10"/>
  <c r="B7781" i="10"/>
  <c r="A7781" i="10"/>
  <c r="E7780" i="10"/>
  <c r="D7780" i="10"/>
  <c r="C7780" i="10"/>
  <c r="B7780" i="10"/>
  <c r="A7780" i="10"/>
  <c r="E7779" i="10"/>
  <c r="D7779" i="10"/>
  <c r="C7779" i="10"/>
  <c r="B7779" i="10"/>
  <c r="A7779" i="10"/>
  <c r="E7778" i="10"/>
  <c r="D7778" i="10"/>
  <c r="C7778" i="10"/>
  <c r="B7778" i="10"/>
  <c r="A7778" i="10"/>
  <c r="E7777" i="10"/>
  <c r="D7777" i="10"/>
  <c r="C7777" i="10"/>
  <c r="B7777" i="10"/>
  <c r="A7777" i="10"/>
  <c r="E7776" i="10"/>
  <c r="D7776" i="10"/>
  <c r="C7776" i="10"/>
  <c r="B7776" i="10"/>
  <c r="A7776" i="10"/>
  <c r="E7775" i="10"/>
  <c r="D7775" i="10"/>
  <c r="C7775" i="10"/>
  <c r="B7775" i="10"/>
  <c r="A7775" i="10"/>
  <c r="E7774" i="10"/>
  <c r="D7774" i="10"/>
  <c r="C7774" i="10"/>
  <c r="B7774" i="10"/>
  <c r="A7774" i="10"/>
  <c r="E7773" i="10"/>
  <c r="D7773" i="10"/>
  <c r="C7773" i="10"/>
  <c r="B7773" i="10"/>
  <c r="A7773" i="10"/>
  <c r="E7772" i="10"/>
  <c r="D7772" i="10"/>
  <c r="C7772" i="10"/>
  <c r="B7772" i="10"/>
  <c r="A7772" i="10"/>
  <c r="E7771" i="10"/>
  <c r="D7771" i="10"/>
  <c r="C7771" i="10"/>
  <c r="B7771" i="10"/>
  <c r="A7771" i="10"/>
  <c r="E7770" i="10"/>
  <c r="D7770" i="10"/>
  <c r="C7770" i="10"/>
  <c r="B7770" i="10"/>
  <c r="A7770" i="10"/>
  <c r="E7769" i="10"/>
  <c r="D7769" i="10"/>
  <c r="C7769" i="10"/>
  <c r="B7769" i="10"/>
  <c r="A7769" i="10"/>
  <c r="E7768" i="10"/>
  <c r="D7768" i="10"/>
  <c r="C7768" i="10"/>
  <c r="B7768" i="10"/>
  <c r="A7768" i="10"/>
  <c r="E7767" i="10"/>
  <c r="D7767" i="10"/>
  <c r="C7767" i="10"/>
  <c r="B7767" i="10"/>
  <c r="A7767" i="10"/>
  <c r="E7766" i="10"/>
  <c r="D7766" i="10"/>
  <c r="C7766" i="10"/>
  <c r="B7766" i="10"/>
  <c r="A7766" i="10"/>
  <c r="E7765" i="10"/>
  <c r="D7765" i="10"/>
  <c r="C7765" i="10"/>
  <c r="B7765" i="10"/>
  <c r="A7765" i="10"/>
  <c r="E7764" i="10"/>
  <c r="D7764" i="10"/>
  <c r="C7764" i="10"/>
  <c r="B7764" i="10"/>
  <c r="A7764" i="10"/>
  <c r="E7763" i="10"/>
  <c r="D7763" i="10"/>
  <c r="C7763" i="10"/>
  <c r="B7763" i="10"/>
  <c r="A7763" i="10"/>
  <c r="E7762" i="10"/>
  <c r="D7762" i="10"/>
  <c r="C7762" i="10"/>
  <c r="B7762" i="10"/>
  <c r="A7762" i="10"/>
  <c r="E7761" i="10"/>
  <c r="D7761" i="10"/>
  <c r="C7761" i="10"/>
  <c r="B7761" i="10"/>
  <c r="A7761" i="10"/>
  <c r="E7760" i="10"/>
  <c r="D7760" i="10"/>
  <c r="C7760" i="10"/>
  <c r="B7760" i="10"/>
  <c r="A7760" i="10"/>
  <c r="E7759" i="10"/>
  <c r="D7759" i="10"/>
  <c r="C7759" i="10"/>
  <c r="B7759" i="10"/>
  <c r="A7759" i="10"/>
  <c r="E7758" i="10"/>
  <c r="D7758" i="10"/>
  <c r="C7758" i="10"/>
  <c r="B7758" i="10"/>
  <c r="A7758" i="10"/>
  <c r="E7757" i="10"/>
  <c r="D7757" i="10"/>
  <c r="C7757" i="10"/>
  <c r="B7757" i="10"/>
  <c r="A7757" i="10"/>
  <c r="E7756" i="10"/>
  <c r="D7756" i="10"/>
  <c r="C7756" i="10"/>
  <c r="B7756" i="10"/>
  <c r="A7756" i="10"/>
  <c r="E7755" i="10"/>
  <c r="D7755" i="10"/>
  <c r="C7755" i="10"/>
  <c r="B7755" i="10"/>
  <c r="A7755" i="10"/>
  <c r="E7754" i="10"/>
  <c r="D7754" i="10"/>
  <c r="C7754" i="10"/>
  <c r="B7754" i="10"/>
  <c r="A7754" i="10"/>
  <c r="E7753" i="10"/>
  <c r="D7753" i="10"/>
  <c r="C7753" i="10"/>
  <c r="B7753" i="10"/>
  <c r="A7753" i="10"/>
  <c r="E7752" i="10"/>
  <c r="D7752" i="10"/>
  <c r="C7752" i="10"/>
  <c r="B7752" i="10"/>
  <c r="A7752" i="10"/>
  <c r="E7751" i="10"/>
  <c r="D7751" i="10"/>
  <c r="C7751" i="10"/>
  <c r="B7751" i="10"/>
  <c r="A7751" i="10"/>
  <c r="E7750" i="10"/>
  <c r="D7750" i="10"/>
  <c r="C7750" i="10"/>
  <c r="B7750" i="10"/>
  <c r="A7750" i="10"/>
  <c r="E7749" i="10"/>
  <c r="D7749" i="10"/>
  <c r="C7749" i="10"/>
  <c r="B7749" i="10"/>
  <c r="A7749" i="10"/>
  <c r="E7748" i="10"/>
  <c r="D7748" i="10"/>
  <c r="C7748" i="10"/>
  <c r="B7748" i="10"/>
  <c r="A7748" i="10"/>
  <c r="E7747" i="10"/>
  <c r="D7747" i="10"/>
  <c r="C7747" i="10"/>
  <c r="B7747" i="10"/>
  <c r="A7747" i="10"/>
  <c r="E7746" i="10"/>
  <c r="D7746" i="10"/>
  <c r="C7746" i="10"/>
  <c r="B7746" i="10"/>
  <c r="A7746" i="10"/>
  <c r="E7745" i="10"/>
  <c r="D7745" i="10"/>
  <c r="C7745" i="10"/>
  <c r="B7745" i="10"/>
  <c r="A7745" i="10"/>
  <c r="E7744" i="10"/>
  <c r="D7744" i="10"/>
  <c r="C7744" i="10"/>
  <c r="B7744" i="10"/>
  <c r="A7744" i="10"/>
  <c r="E7743" i="10"/>
  <c r="D7743" i="10"/>
  <c r="C7743" i="10"/>
  <c r="B7743" i="10"/>
  <c r="A7743" i="10"/>
  <c r="E7742" i="10"/>
  <c r="D7742" i="10"/>
  <c r="C7742" i="10"/>
  <c r="B7742" i="10"/>
  <c r="A7742" i="10"/>
  <c r="E7741" i="10"/>
  <c r="D7741" i="10"/>
  <c r="C7741" i="10"/>
  <c r="B7741" i="10"/>
  <c r="A7741" i="10"/>
  <c r="E7740" i="10"/>
  <c r="D7740" i="10"/>
  <c r="C7740" i="10"/>
  <c r="B7740" i="10"/>
  <c r="A7740" i="10"/>
  <c r="E7739" i="10"/>
  <c r="D7739" i="10"/>
  <c r="C7739" i="10"/>
  <c r="B7739" i="10"/>
  <c r="A7739" i="10"/>
  <c r="E7738" i="10"/>
  <c r="D7738" i="10"/>
  <c r="C7738" i="10"/>
  <c r="B7738" i="10"/>
  <c r="A7738" i="10"/>
  <c r="E7737" i="10"/>
  <c r="D7737" i="10"/>
  <c r="C7737" i="10"/>
  <c r="B7737" i="10"/>
  <c r="A7737" i="10"/>
  <c r="E7736" i="10"/>
  <c r="D7736" i="10"/>
  <c r="C7736" i="10"/>
  <c r="B7736" i="10"/>
  <c r="A7736" i="10"/>
  <c r="E7735" i="10"/>
  <c r="D7735" i="10"/>
  <c r="C7735" i="10"/>
  <c r="B7735" i="10"/>
  <c r="A7735" i="10"/>
  <c r="E7734" i="10"/>
  <c r="D7734" i="10"/>
  <c r="C7734" i="10"/>
  <c r="B7734" i="10"/>
  <c r="A7734" i="10"/>
  <c r="E7733" i="10"/>
  <c r="D7733" i="10"/>
  <c r="C7733" i="10"/>
  <c r="B7733" i="10"/>
  <c r="A7733" i="10"/>
  <c r="E7732" i="10"/>
  <c r="D7732" i="10"/>
  <c r="C7732" i="10"/>
  <c r="B7732" i="10"/>
  <c r="A7732" i="10"/>
  <c r="E7731" i="10"/>
  <c r="D7731" i="10"/>
  <c r="C7731" i="10"/>
  <c r="B7731" i="10"/>
  <c r="A7731" i="10"/>
  <c r="E7730" i="10"/>
  <c r="D7730" i="10"/>
  <c r="C7730" i="10"/>
  <c r="B7730" i="10"/>
  <c r="A7730" i="10"/>
  <c r="E7729" i="10"/>
  <c r="D7729" i="10"/>
  <c r="C7729" i="10"/>
  <c r="B7729" i="10"/>
  <c r="A7729" i="10"/>
  <c r="E7728" i="10"/>
  <c r="D7728" i="10"/>
  <c r="C7728" i="10"/>
  <c r="B7728" i="10"/>
  <c r="A7728" i="10"/>
  <c r="E7727" i="10"/>
  <c r="D7727" i="10"/>
  <c r="C7727" i="10"/>
  <c r="B7727" i="10"/>
  <c r="A7727" i="10"/>
  <c r="E7726" i="10"/>
  <c r="D7726" i="10"/>
  <c r="C7726" i="10"/>
  <c r="B7726" i="10"/>
  <c r="A7726" i="10"/>
  <c r="E7725" i="10"/>
  <c r="D7725" i="10"/>
  <c r="C7725" i="10"/>
  <c r="B7725" i="10"/>
  <c r="A7725" i="10"/>
  <c r="E7724" i="10"/>
  <c r="D7724" i="10"/>
  <c r="C7724" i="10"/>
  <c r="B7724" i="10"/>
  <c r="A7724" i="10"/>
  <c r="E7723" i="10"/>
  <c r="D7723" i="10"/>
  <c r="C7723" i="10"/>
  <c r="B7723" i="10"/>
  <c r="A7723" i="10"/>
  <c r="E7722" i="10"/>
  <c r="D7722" i="10"/>
  <c r="C7722" i="10"/>
  <c r="B7722" i="10"/>
  <c r="A7722" i="10"/>
  <c r="E7721" i="10"/>
  <c r="D7721" i="10"/>
  <c r="C7721" i="10"/>
  <c r="B7721" i="10"/>
  <c r="A7721" i="10"/>
  <c r="E7720" i="10"/>
  <c r="D7720" i="10"/>
  <c r="C7720" i="10"/>
  <c r="B7720" i="10"/>
  <c r="A7720" i="10"/>
  <c r="E7719" i="10"/>
  <c r="D7719" i="10"/>
  <c r="C7719" i="10"/>
  <c r="B7719" i="10"/>
  <c r="A7719" i="10"/>
  <c r="E7718" i="10"/>
  <c r="D7718" i="10"/>
  <c r="C7718" i="10"/>
  <c r="B7718" i="10"/>
  <c r="A7718" i="10"/>
  <c r="E7717" i="10"/>
  <c r="D7717" i="10"/>
  <c r="C7717" i="10"/>
  <c r="B7717" i="10"/>
  <c r="A7717" i="10"/>
  <c r="E7716" i="10"/>
  <c r="D7716" i="10"/>
  <c r="C7716" i="10"/>
  <c r="B7716" i="10"/>
  <c r="A7716" i="10"/>
  <c r="E7715" i="10"/>
  <c r="D7715" i="10"/>
  <c r="C7715" i="10"/>
  <c r="B7715" i="10"/>
  <c r="A7715" i="10"/>
  <c r="E7714" i="10"/>
  <c r="D7714" i="10"/>
  <c r="C7714" i="10"/>
  <c r="B7714" i="10"/>
  <c r="A7714" i="10"/>
  <c r="E7713" i="10"/>
  <c r="D7713" i="10"/>
  <c r="C7713" i="10"/>
  <c r="B7713" i="10"/>
  <c r="A7713" i="10"/>
  <c r="E7712" i="10"/>
  <c r="D7712" i="10"/>
  <c r="C7712" i="10"/>
  <c r="B7712" i="10"/>
  <c r="A7712" i="10"/>
  <c r="E7711" i="10"/>
  <c r="D7711" i="10"/>
  <c r="C7711" i="10"/>
  <c r="B7711" i="10"/>
  <c r="A7711" i="10"/>
  <c r="E7710" i="10"/>
  <c r="D7710" i="10"/>
  <c r="C7710" i="10"/>
  <c r="B7710" i="10"/>
  <c r="A7710" i="10"/>
  <c r="E7709" i="10"/>
  <c r="D7709" i="10"/>
  <c r="C7709" i="10"/>
  <c r="B7709" i="10"/>
  <c r="A7709" i="10"/>
  <c r="E7708" i="10"/>
  <c r="D7708" i="10"/>
  <c r="C7708" i="10"/>
  <c r="B7708" i="10"/>
  <c r="A7708" i="10"/>
  <c r="E7707" i="10"/>
  <c r="D7707" i="10"/>
  <c r="C7707" i="10"/>
  <c r="B7707" i="10"/>
  <c r="A7707" i="10"/>
  <c r="E7706" i="10"/>
  <c r="D7706" i="10"/>
  <c r="C7706" i="10"/>
  <c r="B7706" i="10"/>
  <c r="A7706" i="10"/>
  <c r="E7705" i="10"/>
  <c r="D7705" i="10"/>
  <c r="C7705" i="10"/>
  <c r="B7705" i="10"/>
  <c r="A7705" i="10"/>
  <c r="E7704" i="10"/>
  <c r="D7704" i="10"/>
  <c r="C7704" i="10"/>
  <c r="B7704" i="10"/>
  <c r="A7704" i="10"/>
  <c r="E7703" i="10"/>
  <c r="D7703" i="10"/>
  <c r="C7703" i="10"/>
  <c r="B7703" i="10"/>
  <c r="A7703" i="10"/>
  <c r="E7702" i="10"/>
  <c r="D7702" i="10"/>
  <c r="C7702" i="10"/>
  <c r="B7702" i="10"/>
  <c r="A7702" i="10"/>
  <c r="E7701" i="10"/>
  <c r="D7701" i="10"/>
  <c r="C7701" i="10"/>
  <c r="B7701" i="10"/>
  <c r="A7701" i="10"/>
  <c r="E7700" i="10"/>
  <c r="D7700" i="10"/>
  <c r="C7700" i="10"/>
  <c r="B7700" i="10"/>
  <c r="A7700" i="10"/>
  <c r="E7699" i="10"/>
  <c r="D7699" i="10"/>
  <c r="C7699" i="10"/>
  <c r="B7699" i="10"/>
  <c r="A7699" i="10"/>
  <c r="E7698" i="10"/>
  <c r="D7698" i="10"/>
  <c r="C7698" i="10"/>
  <c r="B7698" i="10"/>
  <c r="A7698" i="10"/>
  <c r="E7697" i="10"/>
  <c r="D7697" i="10"/>
  <c r="C7697" i="10"/>
  <c r="B7697" i="10"/>
  <c r="A7697" i="10"/>
  <c r="E7696" i="10"/>
  <c r="D7696" i="10"/>
  <c r="C7696" i="10"/>
  <c r="B7696" i="10"/>
  <c r="A7696" i="10"/>
  <c r="E7695" i="10"/>
  <c r="D7695" i="10"/>
  <c r="C7695" i="10"/>
  <c r="B7695" i="10"/>
  <c r="A7695" i="10"/>
  <c r="E7694" i="10"/>
  <c r="D7694" i="10"/>
  <c r="C7694" i="10"/>
  <c r="B7694" i="10"/>
  <c r="A7694" i="10"/>
  <c r="E7693" i="10"/>
  <c r="D7693" i="10"/>
  <c r="C7693" i="10"/>
  <c r="B7693" i="10"/>
  <c r="A7693" i="10"/>
  <c r="E7692" i="10"/>
  <c r="D7692" i="10"/>
  <c r="C7692" i="10"/>
  <c r="B7692" i="10"/>
  <c r="A7692" i="10"/>
  <c r="E7691" i="10"/>
  <c r="D7691" i="10"/>
  <c r="C7691" i="10"/>
  <c r="B7691" i="10"/>
  <c r="A7691" i="10"/>
  <c r="E7690" i="10"/>
  <c r="D7690" i="10"/>
  <c r="C7690" i="10"/>
  <c r="B7690" i="10"/>
  <c r="A7690" i="10"/>
  <c r="E7689" i="10"/>
  <c r="D7689" i="10"/>
  <c r="C7689" i="10"/>
  <c r="B7689" i="10"/>
  <c r="A7689" i="10"/>
  <c r="E7688" i="10"/>
  <c r="D7688" i="10"/>
  <c r="C7688" i="10"/>
  <c r="B7688" i="10"/>
  <c r="A7688" i="10"/>
  <c r="E7687" i="10"/>
  <c r="D7687" i="10"/>
  <c r="C7687" i="10"/>
  <c r="B7687" i="10"/>
  <c r="A7687" i="10"/>
  <c r="E7686" i="10"/>
  <c r="D7686" i="10"/>
  <c r="C7686" i="10"/>
  <c r="B7686" i="10"/>
  <c r="A7686" i="10"/>
  <c r="E7685" i="10"/>
  <c r="D7685" i="10"/>
  <c r="C7685" i="10"/>
  <c r="B7685" i="10"/>
  <c r="A7685" i="10"/>
  <c r="E7684" i="10"/>
  <c r="D7684" i="10"/>
  <c r="C7684" i="10"/>
  <c r="B7684" i="10"/>
  <c r="A7684" i="10"/>
  <c r="E7683" i="10"/>
  <c r="D7683" i="10"/>
  <c r="C7683" i="10"/>
  <c r="B7683" i="10"/>
  <c r="A7683" i="10"/>
  <c r="E7682" i="10"/>
  <c r="D7682" i="10"/>
  <c r="C7682" i="10"/>
  <c r="B7682" i="10"/>
  <c r="A7682" i="10"/>
  <c r="E7681" i="10"/>
  <c r="D7681" i="10"/>
  <c r="C7681" i="10"/>
  <c r="B7681" i="10"/>
  <c r="A7681" i="10"/>
  <c r="E7680" i="10"/>
  <c r="D7680" i="10"/>
  <c r="C7680" i="10"/>
  <c r="B7680" i="10"/>
  <c r="A7680" i="10"/>
  <c r="E7679" i="10"/>
  <c r="D7679" i="10"/>
  <c r="C7679" i="10"/>
  <c r="B7679" i="10"/>
  <c r="A7679" i="10"/>
  <c r="E7678" i="10"/>
  <c r="D7678" i="10"/>
  <c r="C7678" i="10"/>
  <c r="B7678" i="10"/>
  <c r="A7678" i="10"/>
  <c r="E7677" i="10"/>
  <c r="D7677" i="10"/>
  <c r="C7677" i="10"/>
  <c r="B7677" i="10"/>
  <c r="A7677" i="10"/>
  <c r="E7676" i="10"/>
  <c r="D7676" i="10"/>
  <c r="C7676" i="10"/>
  <c r="B7676" i="10"/>
  <c r="A7676" i="10"/>
  <c r="E7675" i="10"/>
  <c r="D7675" i="10"/>
  <c r="C7675" i="10"/>
  <c r="B7675" i="10"/>
  <c r="A7675" i="10"/>
  <c r="E7674" i="10"/>
  <c r="D7674" i="10"/>
  <c r="C7674" i="10"/>
  <c r="B7674" i="10"/>
  <c r="A7674" i="10"/>
  <c r="E7673" i="10"/>
  <c r="D7673" i="10"/>
  <c r="C7673" i="10"/>
  <c r="B7673" i="10"/>
  <c r="A7673" i="10"/>
  <c r="E7672" i="10"/>
  <c r="D7672" i="10"/>
  <c r="C7672" i="10"/>
  <c r="B7672" i="10"/>
  <c r="A7672" i="10"/>
  <c r="E7671" i="10"/>
  <c r="D7671" i="10"/>
  <c r="C7671" i="10"/>
  <c r="B7671" i="10"/>
  <c r="A7671" i="10"/>
  <c r="E7670" i="10"/>
  <c r="D7670" i="10"/>
  <c r="C7670" i="10"/>
  <c r="B7670" i="10"/>
  <c r="A7670" i="10"/>
  <c r="E7669" i="10"/>
  <c r="D7669" i="10"/>
  <c r="C7669" i="10"/>
  <c r="B7669" i="10"/>
  <c r="A7669" i="10"/>
  <c r="E7668" i="10"/>
  <c r="D7668" i="10"/>
  <c r="C7668" i="10"/>
  <c r="B7668" i="10"/>
  <c r="A7668" i="10"/>
  <c r="E7667" i="10"/>
  <c r="D7667" i="10"/>
  <c r="C7667" i="10"/>
  <c r="B7667" i="10"/>
  <c r="A7667" i="10"/>
  <c r="E7666" i="10"/>
  <c r="D7666" i="10"/>
  <c r="C7666" i="10"/>
  <c r="B7666" i="10"/>
  <c r="A7666" i="10"/>
  <c r="E7665" i="10"/>
  <c r="D7665" i="10"/>
  <c r="C7665" i="10"/>
  <c r="B7665" i="10"/>
  <c r="A7665" i="10"/>
  <c r="E7664" i="10"/>
  <c r="D7664" i="10"/>
  <c r="C7664" i="10"/>
  <c r="B7664" i="10"/>
  <c r="A7664" i="10"/>
  <c r="E7663" i="10"/>
  <c r="D7663" i="10"/>
  <c r="C7663" i="10"/>
  <c r="B7663" i="10"/>
  <c r="A7663" i="10"/>
  <c r="E7662" i="10"/>
  <c r="D7662" i="10"/>
  <c r="C7662" i="10"/>
  <c r="B7662" i="10"/>
  <c r="A7662" i="10"/>
  <c r="E7661" i="10"/>
  <c r="D7661" i="10"/>
  <c r="C7661" i="10"/>
  <c r="B7661" i="10"/>
  <c r="A7661" i="10"/>
  <c r="E7660" i="10"/>
  <c r="D7660" i="10"/>
  <c r="C7660" i="10"/>
  <c r="B7660" i="10"/>
  <c r="A7660" i="10"/>
  <c r="E7659" i="10"/>
  <c r="D7659" i="10"/>
  <c r="C7659" i="10"/>
  <c r="B7659" i="10"/>
  <c r="A7659" i="10"/>
  <c r="E7658" i="10"/>
  <c r="D7658" i="10"/>
  <c r="C7658" i="10"/>
  <c r="B7658" i="10"/>
  <c r="A7658" i="10"/>
  <c r="E7657" i="10"/>
  <c r="D7657" i="10"/>
  <c r="C7657" i="10"/>
  <c r="B7657" i="10"/>
  <c r="A7657" i="10"/>
  <c r="E7656" i="10"/>
  <c r="D7656" i="10"/>
  <c r="C7656" i="10"/>
  <c r="B7656" i="10"/>
  <c r="A7656" i="10"/>
  <c r="E7655" i="10"/>
  <c r="D7655" i="10"/>
  <c r="C7655" i="10"/>
  <c r="B7655" i="10"/>
  <c r="A7655" i="10"/>
  <c r="E7654" i="10"/>
  <c r="D7654" i="10"/>
  <c r="C7654" i="10"/>
  <c r="B7654" i="10"/>
  <c r="A7654" i="10"/>
  <c r="E7653" i="10"/>
  <c r="D7653" i="10"/>
  <c r="C7653" i="10"/>
  <c r="B7653" i="10"/>
  <c r="A7653" i="10"/>
  <c r="E7652" i="10"/>
  <c r="D7652" i="10"/>
  <c r="C7652" i="10"/>
  <c r="B7652" i="10"/>
  <c r="A7652" i="10"/>
  <c r="E7651" i="10"/>
  <c r="D7651" i="10"/>
  <c r="C7651" i="10"/>
  <c r="B7651" i="10"/>
  <c r="A7651" i="10"/>
  <c r="E7650" i="10"/>
  <c r="D7650" i="10"/>
  <c r="C7650" i="10"/>
  <c r="B7650" i="10"/>
  <c r="A7650" i="10"/>
  <c r="E7649" i="10"/>
  <c r="D7649" i="10"/>
  <c r="C7649" i="10"/>
  <c r="B7649" i="10"/>
  <c r="A7649" i="10"/>
  <c r="E7648" i="10"/>
  <c r="D7648" i="10"/>
  <c r="C7648" i="10"/>
  <c r="B7648" i="10"/>
  <c r="A7648" i="10"/>
  <c r="E7647" i="10"/>
  <c r="D7647" i="10"/>
  <c r="C7647" i="10"/>
  <c r="B7647" i="10"/>
  <c r="A7647" i="10"/>
  <c r="E7646" i="10"/>
  <c r="D7646" i="10"/>
  <c r="C7646" i="10"/>
  <c r="B7646" i="10"/>
  <c r="A7646" i="10"/>
  <c r="E7645" i="10"/>
  <c r="D7645" i="10"/>
  <c r="C7645" i="10"/>
  <c r="B7645" i="10"/>
  <c r="A7645" i="10"/>
  <c r="E7644" i="10"/>
  <c r="D7644" i="10"/>
  <c r="C7644" i="10"/>
  <c r="B7644" i="10"/>
  <c r="A7644" i="10"/>
  <c r="E7643" i="10"/>
  <c r="D7643" i="10"/>
  <c r="C7643" i="10"/>
  <c r="B7643" i="10"/>
  <c r="A7643" i="10"/>
  <c r="E7642" i="10"/>
  <c r="D7642" i="10"/>
  <c r="C7642" i="10"/>
  <c r="B7642" i="10"/>
  <c r="A7642" i="10"/>
  <c r="E7641" i="10"/>
  <c r="D7641" i="10"/>
  <c r="C7641" i="10"/>
  <c r="B7641" i="10"/>
  <c r="A7641" i="10"/>
  <c r="E7640" i="10"/>
  <c r="D7640" i="10"/>
  <c r="C7640" i="10"/>
  <c r="B7640" i="10"/>
  <c r="A7640" i="10"/>
  <c r="E7639" i="10"/>
  <c r="D7639" i="10"/>
  <c r="C7639" i="10"/>
  <c r="B7639" i="10"/>
  <c r="A7639" i="10"/>
  <c r="E7638" i="10"/>
  <c r="D7638" i="10"/>
  <c r="C7638" i="10"/>
  <c r="B7638" i="10"/>
  <c r="A7638" i="10"/>
  <c r="E7637" i="10"/>
  <c r="D7637" i="10"/>
  <c r="C7637" i="10"/>
  <c r="B7637" i="10"/>
  <c r="A7637" i="10"/>
  <c r="E7636" i="10"/>
  <c r="D7636" i="10"/>
  <c r="C7636" i="10"/>
  <c r="B7636" i="10"/>
  <c r="A7636" i="10"/>
  <c r="E7635" i="10"/>
  <c r="D7635" i="10"/>
  <c r="C7635" i="10"/>
  <c r="B7635" i="10"/>
  <c r="A7635" i="10"/>
  <c r="E7634" i="10"/>
  <c r="D7634" i="10"/>
  <c r="C7634" i="10"/>
  <c r="B7634" i="10"/>
  <c r="A7634" i="10"/>
  <c r="E7633" i="10"/>
  <c r="D7633" i="10"/>
  <c r="C7633" i="10"/>
  <c r="B7633" i="10"/>
  <c r="A7633" i="10"/>
  <c r="E7632" i="10"/>
  <c r="D7632" i="10"/>
  <c r="C7632" i="10"/>
  <c r="B7632" i="10"/>
  <c r="A7632" i="10"/>
  <c r="E7631" i="10"/>
  <c r="D7631" i="10"/>
  <c r="C7631" i="10"/>
  <c r="B7631" i="10"/>
  <c r="A7631" i="10"/>
  <c r="E7630" i="10"/>
  <c r="D7630" i="10"/>
  <c r="C7630" i="10"/>
  <c r="B7630" i="10"/>
  <c r="A7630" i="10"/>
  <c r="E7629" i="10"/>
  <c r="D7629" i="10"/>
  <c r="C7629" i="10"/>
  <c r="B7629" i="10"/>
  <c r="A7629" i="10"/>
  <c r="E7628" i="10"/>
  <c r="D7628" i="10"/>
  <c r="C7628" i="10"/>
  <c r="B7628" i="10"/>
  <c r="A7628" i="10"/>
  <c r="E7627" i="10"/>
  <c r="D7627" i="10"/>
  <c r="C7627" i="10"/>
  <c r="B7627" i="10"/>
  <c r="A7627" i="10"/>
  <c r="E7626" i="10"/>
  <c r="D7626" i="10"/>
  <c r="C7626" i="10"/>
  <c r="B7626" i="10"/>
  <c r="A7626" i="10"/>
  <c r="E7625" i="10"/>
  <c r="D7625" i="10"/>
  <c r="C7625" i="10"/>
  <c r="B7625" i="10"/>
  <c r="A7625" i="10"/>
  <c r="E7624" i="10"/>
  <c r="D7624" i="10"/>
  <c r="C7624" i="10"/>
  <c r="B7624" i="10"/>
  <c r="A7624" i="10"/>
  <c r="E7623" i="10"/>
  <c r="D7623" i="10"/>
  <c r="C7623" i="10"/>
  <c r="B7623" i="10"/>
  <c r="A7623" i="10"/>
  <c r="E7622" i="10"/>
  <c r="D7622" i="10"/>
  <c r="C7622" i="10"/>
  <c r="B7622" i="10"/>
  <c r="A7622" i="10"/>
  <c r="E7621" i="10"/>
  <c r="D7621" i="10"/>
  <c r="C7621" i="10"/>
  <c r="B7621" i="10"/>
  <c r="A7621" i="10"/>
  <c r="E7620" i="10"/>
  <c r="D7620" i="10"/>
  <c r="C7620" i="10"/>
  <c r="B7620" i="10"/>
  <c r="A7620" i="10"/>
  <c r="E7619" i="10"/>
  <c r="D7619" i="10"/>
  <c r="C7619" i="10"/>
  <c r="B7619" i="10"/>
  <c r="A7619" i="10"/>
  <c r="E7618" i="10"/>
  <c r="D7618" i="10"/>
  <c r="C7618" i="10"/>
  <c r="B7618" i="10"/>
  <c r="A7618" i="10"/>
  <c r="E7617" i="10"/>
  <c r="D7617" i="10"/>
  <c r="C7617" i="10"/>
  <c r="B7617" i="10"/>
  <c r="A7617" i="10"/>
  <c r="E7616" i="10"/>
  <c r="D7616" i="10"/>
  <c r="C7616" i="10"/>
  <c r="B7616" i="10"/>
  <c r="A7616" i="10"/>
  <c r="E7615" i="10"/>
  <c r="D7615" i="10"/>
  <c r="C7615" i="10"/>
  <c r="B7615" i="10"/>
  <c r="A7615" i="10"/>
  <c r="E7614" i="10"/>
  <c r="D7614" i="10"/>
  <c r="C7614" i="10"/>
  <c r="B7614" i="10"/>
  <c r="A7614" i="10"/>
  <c r="E7613" i="10"/>
  <c r="D7613" i="10"/>
  <c r="C7613" i="10"/>
  <c r="B7613" i="10"/>
  <c r="A7613" i="10"/>
  <c r="E7612" i="10"/>
  <c r="D7612" i="10"/>
  <c r="C7612" i="10"/>
  <c r="B7612" i="10"/>
  <c r="A7612" i="10"/>
  <c r="E7611" i="10"/>
  <c r="D7611" i="10"/>
  <c r="C7611" i="10"/>
  <c r="B7611" i="10"/>
  <c r="A7611" i="10"/>
  <c r="E7610" i="10"/>
  <c r="D7610" i="10"/>
  <c r="C7610" i="10"/>
  <c r="B7610" i="10"/>
  <c r="A7610" i="10"/>
  <c r="E7609" i="10"/>
  <c r="D7609" i="10"/>
  <c r="C7609" i="10"/>
  <c r="B7609" i="10"/>
  <c r="A7609" i="10"/>
  <c r="E7608" i="10"/>
  <c r="D7608" i="10"/>
  <c r="C7608" i="10"/>
  <c r="B7608" i="10"/>
  <c r="A7608" i="10"/>
  <c r="E7607" i="10"/>
  <c r="D7607" i="10"/>
  <c r="C7607" i="10"/>
  <c r="B7607" i="10"/>
  <c r="A7607" i="10"/>
  <c r="E7606" i="10"/>
  <c r="D7606" i="10"/>
  <c r="C7606" i="10"/>
  <c r="B7606" i="10"/>
  <c r="A7606" i="10"/>
  <c r="E7605" i="10"/>
  <c r="D7605" i="10"/>
  <c r="C7605" i="10"/>
  <c r="B7605" i="10"/>
  <c r="A7605" i="10"/>
  <c r="E7604" i="10"/>
  <c r="D7604" i="10"/>
  <c r="C7604" i="10"/>
  <c r="B7604" i="10"/>
  <c r="A7604" i="10"/>
  <c r="E7603" i="10"/>
  <c r="D7603" i="10"/>
  <c r="C7603" i="10"/>
  <c r="B7603" i="10"/>
  <c r="A7603" i="10"/>
  <c r="E7602" i="10"/>
  <c r="D7602" i="10"/>
  <c r="C7602" i="10"/>
  <c r="B7602" i="10"/>
  <c r="A7602" i="10"/>
  <c r="E7601" i="10"/>
  <c r="D7601" i="10"/>
  <c r="C7601" i="10"/>
  <c r="B7601" i="10"/>
  <c r="A7601" i="10"/>
  <c r="E7600" i="10"/>
  <c r="D7600" i="10"/>
  <c r="C7600" i="10"/>
  <c r="B7600" i="10"/>
  <c r="A7600" i="10"/>
  <c r="E7599" i="10"/>
  <c r="D7599" i="10"/>
  <c r="C7599" i="10"/>
  <c r="B7599" i="10"/>
  <c r="A7599" i="10"/>
  <c r="E7598" i="10"/>
  <c r="D7598" i="10"/>
  <c r="C7598" i="10"/>
  <c r="B7598" i="10"/>
  <c r="A7598" i="10"/>
  <c r="E7597" i="10"/>
  <c r="D7597" i="10"/>
  <c r="C7597" i="10"/>
  <c r="B7597" i="10"/>
  <c r="A7597" i="10"/>
  <c r="E7596" i="10"/>
  <c r="D7596" i="10"/>
  <c r="C7596" i="10"/>
  <c r="B7596" i="10"/>
  <c r="A7596" i="10"/>
  <c r="E7595" i="10"/>
  <c r="D7595" i="10"/>
  <c r="C7595" i="10"/>
  <c r="B7595" i="10"/>
  <c r="A7595" i="10"/>
  <c r="E7594" i="10"/>
  <c r="D7594" i="10"/>
  <c r="C7594" i="10"/>
  <c r="B7594" i="10"/>
  <c r="A7594" i="10"/>
  <c r="E7593" i="10"/>
  <c r="D7593" i="10"/>
  <c r="C7593" i="10"/>
  <c r="B7593" i="10"/>
  <c r="A7593" i="10"/>
  <c r="E7592" i="10"/>
  <c r="D7592" i="10"/>
  <c r="C7592" i="10"/>
  <c r="B7592" i="10"/>
  <c r="A7592" i="10"/>
  <c r="E7591" i="10"/>
  <c r="D7591" i="10"/>
  <c r="C7591" i="10"/>
  <c r="B7591" i="10"/>
  <c r="A7591" i="10"/>
  <c r="E7590" i="10"/>
  <c r="D7590" i="10"/>
  <c r="C7590" i="10"/>
  <c r="B7590" i="10"/>
  <c r="A7590" i="10"/>
  <c r="E7589" i="10"/>
  <c r="D7589" i="10"/>
  <c r="C7589" i="10"/>
  <c r="B7589" i="10"/>
  <c r="A7589" i="10"/>
  <c r="E7588" i="10"/>
  <c r="D7588" i="10"/>
  <c r="C7588" i="10"/>
  <c r="B7588" i="10"/>
  <c r="A7588" i="10"/>
  <c r="E7587" i="10"/>
  <c r="D7587" i="10"/>
  <c r="C7587" i="10"/>
  <c r="B7587" i="10"/>
  <c r="A7587" i="10"/>
  <c r="E7586" i="10"/>
  <c r="D7586" i="10"/>
  <c r="C7586" i="10"/>
  <c r="B7586" i="10"/>
  <c r="A7586" i="10"/>
  <c r="E7585" i="10"/>
  <c r="D7585" i="10"/>
  <c r="C7585" i="10"/>
  <c r="B7585" i="10"/>
  <c r="A7585" i="10"/>
  <c r="E7584" i="10"/>
  <c r="D7584" i="10"/>
  <c r="C7584" i="10"/>
  <c r="B7584" i="10"/>
  <c r="A7584" i="10"/>
  <c r="E7583" i="10"/>
  <c r="D7583" i="10"/>
  <c r="C7583" i="10"/>
  <c r="B7583" i="10"/>
  <c r="A7583" i="10"/>
  <c r="E7582" i="10"/>
  <c r="D7582" i="10"/>
  <c r="C7582" i="10"/>
  <c r="B7582" i="10"/>
  <c r="A7582" i="10"/>
  <c r="E7581" i="10"/>
  <c r="D7581" i="10"/>
  <c r="C7581" i="10"/>
  <c r="B7581" i="10"/>
  <c r="A7581" i="10"/>
  <c r="E7580" i="10"/>
  <c r="D7580" i="10"/>
  <c r="C7580" i="10"/>
  <c r="B7580" i="10"/>
  <c r="A7580" i="10"/>
  <c r="E7579" i="10"/>
  <c r="D7579" i="10"/>
  <c r="C7579" i="10"/>
  <c r="B7579" i="10"/>
  <c r="A7579" i="10"/>
  <c r="E7578" i="10"/>
  <c r="D7578" i="10"/>
  <c r="C7578" i="10"/>
  <c r="B7578" i="10"/>
  <c r="A7578" i="10"/>
  <c r="E7577" i="10"/>
  <c r="D7577" i="10"/>
  <c r="C7577" i="10"/>
  <c r="B7577" i="10"/>
  <c r="A7577" i="10"/>
  <c r="E7576" i="10"/>
  <c r="D7576" i="10"/>
  <c r="C7576" i="10"/>
  <c r="B7576" i="10"/>
  <c r="A7576" i="10"/>
  <c r="E7575" i="10"/>
  <c r="D7575" i="10"/>
  <c r="C7575" i="10"/>
  <c r="B7575" i="10"/>
  <c r="A7575" i="10"/>
  <c r="E7574" i="10"/>
  <c r="D7574" i="10"/>
  <c r="C7574" i="10"/>
  <c r="B7574" i="10"/>
  <c r="A7574" i="10"/>
  <c r="E7573" i="10"/>
  <c r="D7573" i="10"/>
  <c r="C7573" i="10"/>
  <c r="B7573" i="10"/>
  <c r="A7573" i="10"/>
  <c r="E7572" i="10"/>
  <c r="D7572" i="10"/>
  <c r="C7572" i="10"/>
  <c r="B7572" i="10"/>
  <c r="A7572" i="10"/>
  <c r="E7571" i="10"/>
  <c r="D7571" i="10"/>
  <c r="C7571" i="10"/>
  <c r="B7571" i="10"/>
  <c r="A7571" i="10"/>
  <c r="E7570" i="10"/>
  <c r="D7570" i="10"/>
  <c r="C7570" i="10"/>
  <c r="B7570" i="10"/>
  <c r="A7570" i="10"/>
  <c r="E7569" i="10"/>
  <c r="D7569" i="10"/>
  <c r="C7569" i="10"/>
  <c r="B7569" i="10"/>
  <c r="A7569" i="10"/>
  <c r="E7568" i="10"/>
  <c r="D7568" i="10"/>
  <c r="C7568" i="10"/>
  <c r="B7568" i="10"/>
  <c r="A7568" i="10"/>
  <c r="E7567" i="10"/>
  <c r="D7567" i="10"/>
  <c r="C7567" i="10"/>
  <c r="B7567" i="10"/>
  <c r="A7567" i="10"/>
  <c r="E7566" i="10"/>
  <c r="D7566" i="10"/>
  <c r="C7566" i="10"/>
  <c r="B7566" i="10"/>
  <c r="A7566" i="10"/>
  <c r="E7565" i="10"/>
  <c r="D7565" i="10"/>
  <c r="C7565" i="10"/>
  <c r="B7565" i="10"/>
  <c r="A7565" i="10"/>
  <c r="E7564" i="10"/>
  <c r="D7564" i="10"/>
  <c r="C7564" i="10"/>
  <c r="B7564" i="10"/>
  <c r="A7564" i="10"/>
  <c r="E7563" i="10"/>
  <c r="D7563" i="10"/>
  <c r="C7563" i="10"/>
  <c r="B7563" i="10"/>
  <c r="A7563" i="10"/>
  <c r="E7562" i="10"/>
  <c r="D7562" i="10"/>
  <c r="C7562" i="10"/>
  <c r="B7562" i="10"/>
  <c r="A7562" i="10"/>
  <c r="E7561" i="10"/>
  <c r="D7561" i="10"/>
  <c r="C7561" i="10"/>
  <c r="B7561" i="10"/>
  <c r="A7561" i="10"/>
  <c r="E7560" i="10"/>
  <c r="D7560" i="10"/>
  <c r="C7560" i="10"/>
  <c r="B7560" i="10"/>
  <c r="A7560" i="10"/>
  <c r="E7559" i="10"/>
  <c r="D7559" i="10"/>
  <c r="C7559" i="10"/>
  <c r="B7559" i="10"/>
  <c r="A7559" i="10"/>
  <c r="E7558" i="10"/>
  <c r="D7558" i="10"/>
  <c r="C7558" i="10"/>
  <c r="B7558" i="10"/>
  <c r="A7558" i="10"/>
  <c r="E7557" i="10"/>
  <c r="D7557" i="10"/>
  <c r="C7557" i="10"/>
  <c r="B7557" i="10"/>
  <c r="A7557" i="10"/>
  <c r="E7556" i="10"/>
  <c r="D7556" i="10"/>
  <c r="C7556" i="10"/>
  <c r="B7556" i="10"/>
  <c r="A7556" i="10"/>
  <c r="E7555" i="10"/>
  <c r="D7555" i="10"/>
  <c r="C7555" i="10"/>
  <c r="B7555" i="10"/>
  <c r="A7555" i="10"/>
  <c r="E7554" i="10"/>
  <c r="D7554" i="10"/>
  <c r="C7554" i="10"/>
  <c r="B7554" i="10"/>
  <c r="A7554" i="10"/>
  <c r="E7553" i="10"/>
  <c r="D7553" i="10"/>
  <c r="C7553" i="10"/>
  <c r="B7553" i="10"/>
  <c r="A7553" i="10"/>
  <c r="E7552" i="10"/>
  <c r="D7552" i="10"/>
  <c r="C7552" i="10"/>
  <c r="B7552" i="10"/>
  <c r="A7552" i="10"/>
  <c r="E7551" i="10"/>
  <c r="D7551" i="10"/>
  <c r="C7551" i="10"/>
  <c r="B7551" i="10"/>
  <c r="A7551" i="10"/>
  <c r="E7550" i="10"/>
  <c r="D7550" i="10"/>
  <c r="C7550" i="10"/>
  <c r="B7550" i="10"/>
  <c r="A7550" i="10"/>
  <c r="E7549" i="10"/>
  <c r="D7549" i="10"/>
  <c r="C7549" i="10"/>
  <c r="B7549" i="10"/>
  <c r="A7549" i="10"/>
  <c r="E7548" i="10"/>
  <c r="D7548" i="10"/>
  <c r="C7548" i="10"/>
  <c r="B7548" i="10"/>
  <c r="A7548" i="10"/>
  <c r="E7547" i="10"/>
  <c r="D7547" i="10"/>
  <c r="C7547" i="10"/>
  <c r="B7547" i="10"/>
  <c r="A7547" i="10"/>
  <c r="E7546" i="10"/>
  <c r="D7546" i="10"/>
  <c r="C7546" i="10"/>
  <c r="B7546" i="10"/>
  <c r="A7546" i="10"/>
  <c r="E7545" i="10"/>
  <c r="D7545" i="10"/>
  <c r="C7545" i="10"/>
  <c r="B7545" i="10"/>
  <c r="A7545" i="10"/>
  <c r="E7544" i="10"/>
  <c r="D7544" i="10"/>
  <c r="C7544" i="10"/>
  <c r="B7544" i="10"/>
  <c r="A7544" i="10"/>
  <c r="E7543" i="10"/>
  <c r="D7543" i="10"/>
  <c r="C7543" i="10"/>
  <c r="B7543" i="10"/>
  <c r="A7543" i="10"/>
  <c r="E7542" i="10"/>
  <c r="D7542" i="10"/>
  <c r="C7542" i="10"/>
  <c r="B7542" i="10"/>
  <c r="A7542" i="10"/>
  <c r="E7541" i="10"/>
  <c r="D7541" i="10"/>
  <c r="C7541" i="10"/>
  <c r="B7541" i="10"/>
  <c r="A7541" i="10"/>
  <c r="E7540" i="10"/>
  <c r="D7540" i="10"/>
  <c r="C7540" i="10"/>
  <c r="B7540" i="10"/>
  <c r="A7540" i="10"/>
  <c r="E7539" i="10"/>
  <c r="D7539" i="10"/>
  <c r="C7539" i="10"/>
  <c r="B7539" i="10"/>
  <c r="A7539" i="10"/>
  <c r="E7538" i="10"/>
  <c r="D7538" i="10"/>
  <c r="C7538" i="10"/>
  <c r="B7538" i="10"/>
  <c r="A7538" i="10"/>
  <c r="E7537" i="10"/>
  <c r="D7537" i="10"/>
  <c r="C7537" i="10"/>
  <c r="B7537" i="10"/>
  <c r="A7537" i="10"/>
  <c r="E7536" i="10"/>
  <c r="D7536" i="10"/>
  <c r="C7536" i="10"/>
  <c r="B7536" i="10"/>
  <c r="A7536" i="10"/>
  <c r="E7535" i="10"/>
  <c r="D7535" i="10"/>
  <c r="C7535" i="10"/>
  <c r="B7535" i="10"/>
  <c r="A7535" i="10"/>
  <c r="E7534" i="10"/>
  <c r="D7534" i="10"/>
  <c r="C7534" i="10"/>
  <c r="B7534" i="10"/>
  <c r="A7534" i="10"/>
  <c r="E7533" i="10"/>
  <c r="D7533" i="10"/>
  <c r="C7533" i="10"/>
  <c r="B7533" i="10"/>
  <c r="A7533" i="10"/>
  <c r="E7532" i="10"/>
  <c r="D7532" i="10"/>
  <c r="C7532" i="10"/>
  <c r="B7532" i="10"/>
  <c r="A7532" i="10"/>
  <c r="E7531" i="10"/>
  <c r="D7531" i="10"/>
  <c r="C7531" i="10"/>
  <c r="B7531" i="10"/>
  <c r="A7531" i="10"/>
  <c r="E7530" i="10"/>
  <c r="D7530" i="10"/>
  <c r="C7530" i="10"/>
  <c r="B7530" i="10"/>
  <c r="A7530" i="10"/>
  <c r="E7529" i="10"/>
  <c r="D7529" i="10"/>
  <c r="C7529" i="10"/>
  <c r="B7529" i="10"/>
  <c r="A7529" i="10"/>
  <c r="E7528" i="10"/>
  <c r="D7528" i="10"/>
  <c r="C7528" i="10"/>
  <c r="B7528" i="10"/>
  <c r="A7528" i="10"/>
  <c r="E7527" i="10"/>
  <c r="D7527" i="10"/>
  <c r="C7527" i="10"/>
  <c r="B7527" i="10"/>
  <c r="A7527" i="10"/>
  <c r="E7526" i="10"/>
  <c r="D7526" i="10"/>
  <c r="C7526" i="10"/>
  <c r="B7526" i="10"/>
  <c r="A7526" i="10"/>
  <c r="E7525" i="10"/>
  <c r="D7525" i="10"/>
  <c r="C7525" i="10"/>
  <c r="B7525" i="10"/>
  <c r="A7525" i="10"/>
  <c r="E7524" i="10"/>
  <c r="D7524" i="10"/>
  <c r="C7524" i="10"/>
  <c r="B7524" i="10"/>
  <c r="A7524" i="10"/>
  <c r="E7523" i="10"/>
  <c r="D7523" i="10"/>
  <c r="C7523" i="10"/>
  <c r="B7523" i="10"/>
  <c r="A7523" i="10"/>
  <c r="E7522" i="10"/>
  <c r="D7522" i="10"/>
  <c r="C7522" i="10"/>
  <c r="B7522" i="10"/>
  <c r="A7522" i="10"/>
  <c r="E7521" i="10"/>
  <c r="D7521" i="10"/>
  <c r="C7521" i="10"/>
  <c r="B7521" i="10"/>
  <c r="A7521" i="10"/>
  <c r="E7520" i="10"/>
  <c r="D7520" i="10"/>
  <c r="C7520" i="10"/>
  <c r="B7520" i="10"/>
  <c r="A7520" i="10"/>
  <c r="E7519" i="10"/>
  <c r="D7519" i="10"/>
  <c r="C7519" i="10"/>
  <c r="B7519" i="10"/>
  <c r="A7519" i="10"/>
  <c r="E7518" i="10"/>
  <c r="D7518" i="10"/>
  <c r="C7518" i="10"/>
  <c r="B7518" i="10"/>
  <c r="A7518" i="10"/>
  <c r="E7517" i="10"/>
  <c r="D7517" i="10"/>
  <c r="C7517" i="10"/>
  <c r="B7517" i="10"/>
  <c r="A7517" i="10"/>
  <c r="E7516" i="10"/>
  <c r="D7516" i="10"/>
  <c r="C7516" i="10"/>
  <c r="B7516" i="10"/>
  <c r="A7516" i="10"/>
  <c r="E7515" i="10"/>
  <c r="D7515" i="10"/>
  <c r="C7515" i="10"/>
  <c r="B7515" i="10"/>
  <c r="A7515" i="10"/>
  <c r="E7514" i="10"/>
  <c r="D7514" i="10"/>
  <c r="C7514" i="10"/>
  <c r="B7514" i="10"/>
  <c r="A7514" i="10"/>
  <c r="E7513" i="10"/>
  <c r="D7513" i="10"/>
  <c r="C7513" i="10"/>
  <c r="B7513" i="10"/>
  <c r="A7513" i="10"/>
  <c r="E7512" i="10"/>
  <c r="D7512" i="10"/>
  <c r="C7512" i="10"/>
  <c r="B7512" i="10"/>
  <c r="A7512" i="10"/>
  <c r="E7511" i="10"/>
  <c r="D7511" i="10"/>
  <c r="C7511" i="10"/>
  <c r="B7511" i="10"/>
  <c r="A7511" i="10"/>
  <c r="E7510" i="10"/>
  <c r="D7510" i="10"/>
  <c r="C7510" i="10"/>
  <c r="B7510" i="10"/>
  <c r="A7510" i="10"/>
  <c r="E7509" i="10"/>
  <c r="D7509" i="10"/>
  <c r="C7509" i="10"/>
  <c r="B7509" i="10"/>
  <c r="A7509" i="10"/>
  <c r="E7508" i="10"/>
  <c r="D7508" i="10"/>
  <c r="C7508" i="10"/>
  <c r="B7508" i="10"/>
  <c r="A7508" i="10"/>
  <c r="E7507" i="10"/>
  <c r="D7507" i="10"/>
  <c r="C7507" i="10"/>
  <c r="B7507" i="10"/>
  <c r="A7507" i="10"/>
  <c r="E7506" i="10"/>
  <c r="D7506" i="10"/>
  <c r="C7506" i="10"/>
  <c r="B7506" i="10"/>
  <c r="A7506" i="10"/>
  <c r="E7505" i="10"/>
  <c r="D7505" i="10"/>
  <c r="C7505" i="10"/>
  <c r="B7505" i="10"/>
  <c r="A7505" i="10"/>
  <c r="E7504" i="10"/>
  <c r="D7504" i="10"/>
  <c r="C7504" i="10"/>
  <c r="B7504" i="10"/>
  <c r="A7504" i="10"/>
  <c r="E7503" i="10"/>
  <c r="D7503" i="10"/>
  <c r="C7503" i="10"/>
  <c r="B7503" i="10"/>
  <c r="A7503" i="10"/>
  <c r="E7502" i="10"/>
  <c r="D7502" i="10"/>
  <c r="C7502" i="10"/>
  <c r="B7502" i="10"/>
  <c r="A7502" i="10"/>
  <c r="E7501" i="10"/>
  <c r="D7501" i="10"/>
  <c r="C7501" i="10"/>
  <c r="B7501" i="10"/>
  <c r="A7501" i="10"/>
  <c r="E7500" i="10"/>
  <c r="D7500" i="10"/>
  <c r="C7500" i="10"/>
  <c r="B7500" i="10"/>
  <c r="A7500" i="10"/>
  <c r="E7499" i="10"/>
  <c r="D7499" i="10"/>
  <c r="C7499" i="10"/>
  <c r="B7499" i="10"/>
  <c r="A7499" i="10"/>
  <c r="E7498" i="10"/>
  <c r="D7498" i="10"/>
  <c r="C7498" i="10"/>
  <c r="B7498" i="10"/>
  <c r="A7498" i="10"/>
  <c r="E7497" i="10"/>
  <c r="D7497" i="10"/>
  <c r="C7497" i="10"/>
  <c r="B7497" i="10"/>
  <c r="A7497" i="10"/>
  <c r="E7496" i="10"/>
  <c r="D7496" i="10"/>
  <c r="C7496" i="10"/>
  <c r="B7496" i="10"/>
  <c r="A7496" i="10"/>
  <c r="E7495" i="10"/>
  <c r="D7495" i="10"/>
  <c r="C7495" i="10"/>
  <c r="B7495" i="10"/>
  <c r="A7495" i="10"/>
  <c r="E7494" i="10"/>
  <c r="D7494" i="10"/>
  <c r="C7494" i="10"/>
  <c r="B7494" i="10"/>
  <c r="A7494" i="10"/>
  <c r="E7493" i="10"/>
  <c r="D7493" i="10"/>
  <c r="C7493" i="10"/>
  <c r="B7493" i="10"/>
  <c r="A7493" i="10"/>
  <c r="E7492" i="10"/>
  <c r="D7492" i="10"/>
  <c r="C7492" i="10"/>
  <c r="B7492" i="10"/>
  <c r="A7492" i="10"/>
  <c r="E7491" i="10"/>
  <c r="D7491" i="10"/>
  <c r="C7491" i="10"/>
  <c r="B7491" i="10"/>
  <c r="A7491" i="10"/>
  <c r="E7490" i="10"/>
  <c r="D7490" i="10"/>
  <c r="C7490" i="10"/>
  <c r="B7490" i="10"/>
  <c r="A7490" i="10"/>
  <c r="E7489" i="10"/>
  <c r="D7489" i="10"/>
  <c r="C7489" i="10"/>
  <c r="B7489" i="10"/>
  <c r="A7489" i="10"/>
  <c r="E7488" i="10"/>
  <c r="D7488" i="10"/>
  <c r="C7488" i="10"/>
  <c r="B7488" i="10"/>
  <c r="A7488" i="10"/>
  <c r="E7487" i="10"/>
  <c r="D7487" i="10"/>
  <c r="C7487" i="10"/>
  <c r="B7487" i="10"/>
  <c r="A7487" i="10"/>
  <c r="E7486" i="10"/>
  <c r="D7486" i="10"/>
  <c r="C7486" i="10"/>
  <c r="B7486" i="10"/>
  <c r="A7486" i="10"/>
  <c r="E7485" i="10"/>
  <c r="D7485" i="10"/>
  <c r="C7485" i="10"/>
  <c r="B7485" i="10"/>
  <c r="A7485" i="10"/>
  <c r="E7484" i="10"/>
  <c r="D7484" i="10"/>
  <c r="C7484" i="10"/>
  <c r="B7484" i="10"/>
  <c r="A7484" i="10"/>
  <c r="E7483" i="10"/>
  <c r="D7483" i="10"/>
  <c r="C7483" i="10"/>
  <c r="B7483" i="10"/>
  <c r="A7483" i="10"/>
  <c r="E7482" i="10"/>
  <c r="D7482" i="10"/>
  <c r="C7482" i="10"/>
  <c r="B7482" i="10"/>
  <c r="A7482" i="10"/>
  <c r="E7481" i="10"/>
  <c r="D7481" i="10"/>
  <c r="C7481" i="10"/>
  <c r="B7481" i="10"/>
  <c r="A7481" i="10"/>
  <c r="E7480" i="10"/>
  <c r="D7480" i="10"/>
  <c r="C7480" i="10"/>
  <c r="B7480" i="10"/>
  <c r="A7480" i="10"/>
  <c r="E7479" i="10"/>
  <c r="D7479" i="10"/>
  <c r="C7479" i="10"/>
  <c r="B7479" i="10"/>
  <c r="A7479" i="10"/>
  <c r="E7478" i="10"/>
  <c r="D7478" i="10"/>
  <c r="C7478" i="10"/>
  <c r="B7478" i="10"/>
  <c r="A7478" i="10"/>
  <c r="E7477" i="10"/>
  <c r="D7477" i="10"/>
  <c r="C7477" i="10"/>
  <c r="B7477" i="10"/>
  <c r="A7477" i="10"/>
  <c r="E7476" i="10"/>
  <c r="D7476" i="10"/>
  <c r="C7476" i="10"/>
  <c r="B7476" i="10"/>
  <c r="A7476" i="10"/>
  <c r="E7475" i="10"/>
  <c r="D7475" i="10"/>
  <c r="C7475" i="10"/>
  <c r="B7475" i="10"/>
  <c r="A7475" i="10"/>
  <c r="E7474" i="10"/>
  <c r="D7474" i="10"/>
  <c r="C7474" i="10"/>
  <c r="B7474" i="10"/>
  <c r="A7474" i="10"/>
  <c r="E7473" i="10"/>
  <c r="D7473" i="10"/>
  <c r="C7473" i="10"/>
  <c r="B7473" i="10"/>
  <c r="A7473" i="10"/>
  <c r="E7472" i="10"/>
  <c r="D7472" i="10"/>
  <c r="C7472" i="10"/>
  <c r="B7472" i="10"/>
  <c r="A7472" i="10"/>
  <c r="E7471" i="10"/>
  <c r="D7471" i="10"/>
  <c r="C7471" i="10"/>
  <c r="B7471" i="10"/>
  <c r="A7471" i="10"/>
  <c r="E7470" i="10"/>
  <c r="D7470" i="10"/>
  <c r="C7470" i="10"/>
  <c r="B7470" i="10"/>
  <c r="A7470" i="10"/>
  <c r="E7469" i="10"/>
  <c r="D7469" i="10"/>
  <c r="C7469" i="10"/>
  <c r="B7469" i="10"/>
  <c r="A7469" i="10"/>
  <c r="E7468" i="10"/>
  <c r="D7468" i="10"/>
  <c r="C7468" i="10"/>
  <c r="B7468" i="10"/>
  <c r="A7468" i="10"/>
  <c r="E7467" i="10"/>
  <c r="D7467" i="10"/>
  <c r="C7467" i="10"/>
  <c r="B7467" i="10"/>
  <c r="A7467" i="10"/>
  <c r="E7466" i="10"/>
  <c r="D7466" i="10"/>
  <c r="C7466" i="10"/>
  <c r="B7466" i="10"/>
  <c r="A7466" i="10"/>
  <c r="E7465" i="10"/>
  <c r="D7465" i="10"/>
  <c r="C7465" i="10"/>
  <c r="B7465" i="10"/>
  <c r="A7465" i="10"/>
  <c r="E7464" i="10"/>
  <c r="D7464" i="10"/>
  <c r="C7464" i="10"/>
  <c r="B7464" i="10"/>
  <c r="A7464" i="10"/>
  <c r="E7463" i="10"/>
  <c r="D7463" i="10"/>
  <c r="C7463" i="10"/>
  <c r="B7463" i="10"/>
  <c r="A7463" i="10"/>
  <c r="E7462" i="10"/>
  <c r="D7462" i="10"/>
  <c r="C7462" i="10"/>
  <c r="B7462" i="10"/>
  <c r="A7462" i="10"/>
  <c r="E7461" i="10"/>
  <c r="D7461" i="10"/>
  <c r="C7461" i="10"/>
  <c r="B7461" i="10"/>
  <c r="A7461" i="10"/>
  <c r="E7460" i="10"/>
  <c r="D7460" i="10"/>
  <c r="C7460" i="10"/>
  <c r="B7460" i="10"/>
  <c r="A7460" i="10"/>
  <c r="E7459" i="10"/>
  <c r="D7459" i="10"/>
  <c r="C7459" i="10"/>
  <c r="B7459" i="10"/>
  <c r="A7459" i="10"/>
  <c r="E7458" i="10"/>
  <c r="D7458" i="10"/>
  <c r="C7458" i="10"/>
  <c r="B7458" i="10"/>
  <c r="A7458" i="10"/>
  <c r="E7457" i="10"/>
  <c r="D7457" i="10"/>
  <c r="C7457" i="10"/>
  <c r="B7457" i="10"/>
  <c r="A7457" i="10"/>
  <c r="E7456" i="10"/>
  <c r="D7456" i="10"/>
  <c r="C7456" i="10"/>
  <c r="B7456" i="10"/>
  <c r="A7456" i="10"/>
  <c r="E7455" i="10"/>
  <c r="D7455" i="10"/>
  <c r="C7455" i="10"/>
  <c r="B7455" i="10"/>
  <c r="A7455" i="10"/>
  <c r="E7454" i="10"/>
  <c r="D7454" i="10"/>
  <c r="C7454" i="10"/>
  <c r="B7454" i="10"/>
  <c r="A7454" i="10"/>
  <c r="E7453" i="10"/>
  <c r="D7453" i="10"/>
  <c r="C7453" i="10"/>
  <c r="B7453" i="10"/>
  <c r="A7453" i="10"/>
  <c r="E7452" i="10"/>
  <c r="D7452" i="10"/>
  <c r="C7452" i="10"/>
  <c r="B7452" i="10"/>
  <c r="A7452" i="10"/>
  <c r="E7451" i="10"/>
  <c r="D7451" i="10"/>
  <c r="C7451" i="10"/>
  <c r="B7451" i="10"/>
  <c r="A7451" i="10"/>
  <c r="E7450" i="10"/>
  <c r="D7450" i="10"/>
  <c r="C7450" i="10"/>
  <c r="B7450" i="10"/>
  <c r="A7450" i="10"/>
  <c r="E7449" i="10"/>
  <c r="D7449" i="10"/>
  <c r="C7449" i="10"/>
  <c r="B7449" i="10"/>
  <c r="A7449" i="10"/>
  <c r="E7448" i="10"/>
  <c r="D7448" i="10"/>
  <c r="C7448" i="10"/>
  <c r="B7448" i="10"/>
  <c r="A7448" i="10"/>
  <c r="E7447" i="10"/>
  <c r="D7447" i="10"/>
  <c r="C7447" i="10"/>
  <c r="B7447" i="10"/>
  <c r="A7447" i="10"/>
  <c r="E7446" i="10"/>
  <c r="D7446" i="10"/>
  <c r="C7446" i="10"/>
  <c r="B7446" i="10"/>
  <c r="A7446" i="10"/>
  <c r="E7445" i="10"/>
  <c r="D7445" i="10"/>
  <c r="C7445" i="10"/>
  <c r="B7445" i="10"/>
  <c r="A7445" i="10"/>
  <c r="E7444" i="10"/>
  <c r="D7444" i="10"/>
  <c r="C7444" i="10"/>
  <c r="B7444" i="10"/>
  <c r="A7444" i="10"/>
  <c r="E7443" i="10"/>
  <c r="D7443" i="10"/>
  <c r="C7443" i="10"/>
  <c r="B7443" i="10"/>
  <c r="A7443" i="10"/>
  <c r="E7442" i="10"/>
  <c r="D7442" i="10"/>
  <c r="C7442" i="10"/>
  <c r="B7442" i="10"/>
  <c r="A7442" i="10"/>
  <c r="E7441" i="10"/>
  <c r="D7441" i="10"/>
  <c r="C7441" i="10"/>
  <c r="B7441" i="10"/>
  <c r="A7441" i="10"/>
  <c r="E7440" i="10"/>
  <c r="D7440" i="10"/>
  <c r="C7440" i="10"/>
  <c r="B7440" i="10"/>
  <c r="A7440" i="10"/>
  <c r="E7439" i="10"/>
  <c r="D7439" i="10"/>
  <c r="C7439" i="10"/>
  <c r="B7439" i="10"/>
  <c r="A7439" i="10"/>
  <c r="E7438" i="10"/>
  <c r="D7438" i="10"/>
  <c r="C7438" i="10"/>
  <c r="B7438" i="10"/>
  <c r="A7438" i="10"/>
  <c r="E7437" i="10"/>
  <c r="D7437" i="10"/>
  <c r="C7437" i="10"/>
  <c r="B7437" i="10"/>
  <c r="A7437" i="10"/>
  <c r="E7436" i="10"/>
  <c r="D7436" i="10"/>
  <c r="C7436" i="10"/>
  <c r="B7436" i="10"/>
  <c r="A7436" i="10"/>
  <c r="E7435" i="10"/>
  <c r="D7435" i="10"/>
  <c r="C7435" i="10"/>
  <c r="B7435" i="10"/>
  <c r="A7435" i="10"/>
  <c r="E7434" i="10"/>
  <c r="D7434" i="10"/>
  <c r="C7434" i="10"/>
  <c r="B7434" i="10"/>
  <c r="A7434" i="10"/>
  <c r="E7433" i="10"/>
  <c r="D7433" i="10"/>
  <c r="C7433" i="10"/>
  <c r="B7433" i="10"/>
  <c r="A7433" i="10"/>
  <c r="E7432" i="10"/>
  <c r="D7432" i="10"/>
  <c r="C7432" i="10"/>
  <c r="B7432" i="10"/>
  <c r="A7432" i="10"/>
  <c r="E7431" i="10"/>
  <c r="D7431" i="10"/>
  <c r="C7431" i="10"/>
  <c r="B7431" i="10"/>
  <c r="A7431" i="10"/>
  <c r="E7430" i="10"/>
  <c r="D7430" i="10"/>
  <c r="C7430" i="10"/>
  <c r="B7430" i="10"/>
  <c r="A7430" i="10"/>
  <c r="E7429" i="10"/>
  <c r="D7429" i="10"/>
  <c r="C7429" i="10"/>
  <c r="B7429" i="10"/>
  <c r="A7429" i="10"/>
  <c r="E7428" i="10"/>
  <c r="D7428" i="10"/>
  <c r="C7428" i="10"/>
  <c r="B7428" i="10"/>
  <c r="A7428" i="10"/>
  <c r="E7427" i="10"/>
  <c r="D7427" i="10"/>
  <c r="C7427" i="10"/>
  <c r="B7427" i="10"/>
  <c r="A7427" i="10"/>
  <c r="E7426" i="10"/>
  <c r="D7426" i="10"/>
  <c r="C7426" i="10"/>
  <c r="B7426" i="10"/>
  <c r="A7426" i="10"/>
  <c r="E7425" i="10"/>
  <c r="D7425" i="10"/>
  <c r="C7425" i="10"/>
  <c r="B7425" i="10"/>
  <c r="A7425" i="10"/>
  <c r="E7424" i="10"/>
  <c r="D7424" i="10"/>
  <c r="C7424" i="10"/>
  <c r="B7424" i="10"/>
  <c r="A7424" i="10"/>
  <c r="E7423" i="10"/>
  <c r="D7423" i="10"/>
  <c r="C7423" i="10"/>
  <c r="B7423" i="10"/>
  <c r="A7423" i="10"/>
  <c r="E7422" i="10"/>
  <c r="D7422" i="10"/>
  <c r="C7422" i="10"/>
  <c r="B7422" i="10"/>
  <c r="A7422" i="10"/>
  <c r="E7421" i="10"/>
  <c r="D7421" i="10"/>
  <c r="C7421" i="10"/>
  <c r="B7421" i="10"/>
  <c r="A7421" i="10"/>
  <c r="E7420" i="10"/>
  <c r="D7420" i="10"/>
  <c r="C7420" i="10"/>
  <c r="B7420" i="10"/>
  <c r="A7420" i="10"/>
  <c r="E7419" i="10"/>
  <c r="D7419" i="10"/>
  <c r="C7419" i="10"/>
  <c r="B7419" i="10"/>
  <c r="A7419" i="10"/>
  <c r="E7418" i="10"/>
  <c r="D7418" i="10"/>
  <c r="C7418" i="10"/>
  <c r="B7418" i="10"/>
  <c r="A7418" i="10"/>
  <c r="E7417" i="10"/>
  <c r="D7417" i="10"/>
  <c r="C7417" i="10"/>
  <c r="B7417" i="10"/>
  <c r="A7417" i="10"/>
  <c r="E7416" i="10"/>
  <c r="D7416" i="10"/>
  <c r="C7416" i="10"/>
  <c r="B7416" i="10"/>
  <c r="A7416" i="10"/>
  <c r="E7415" i="10"/>
  <c r="D7415" i="10"/>
  <c r="C7415" i="10"/>
  <c r="B7415" i="10"/>
  <c r="A7415" i="10"/>
  <c r="E7414" i="10"/>
  <c r="D7414" i="10"/>
  <c r="C7414" i="10"/>
  <c r="B7414" i="10"/>
  <c r="A7414" i="10"/>
  <c r="E7413" i="10"/>
  <c r="D7413" i="10"/>
  <c r="C7413" i="10"/>
  <c r="B7413" i="10"/>
  <c r="A7413" i="10"/>
  <c r="E7412" i="10"/>
  <c r="D7412" i="10"/>
  <c r="C7412" i="10"/>
  <c r="B7412" i="10"/>
  <c r="A7412" i="10"/>
  <c r="E7411" i="10"/>
  <c r="D7411" i="10"/>
  <c r="C7411" i="10"/>
  <c r="B7411" i="10"/>
  <c r="A7411" i="10"/>
  <c r="E7410" i="10"/>
  <c r="D7410" i="10"/>
  <c r="C7410" i="10"/>
  <c r="B7410" i="10"/>
  <c r="A7410" i="10"/>
  <c r="E7409" i="10"/>
  <c r="D7409" i="10"/>
  <c r="C7409" i="10"/>
  <c r="B7409" i="10"/>
  <c r="A7409" i="10"/>
  <c r="E7408" i="10"/>
  <c r="D7408" i="10"/>
  <c r="C7408" i="10"/>
  <c r="B7408" i="10"/>
  <c r="A7408" i="10"/>
  <c r="E7407" i="10"/>
  <c r="D7407" i="10"/>
  <c r="C7407" i="10"/>
  <c r="B7407" i="10"/>
  <c r="A7407" i="10"/>
  <c r="E7406" i="10"/>
  <c r="D7406" i="10"/>
  <c r="C7406" i="10"/>
  <c r="B7406" i="10"/>
  <c r="A7406" i="10"/>
  <c r="E7405" i="10"/>
  <c r="D7405" i="10"/>
  <c r="C7405" i="10"/>
  <c r="B7405" i="10"/>
  <c r="A7405" i="10"/>
  <c r="E7404" i="10"/>
  <c r="D7404" i="10"/>
  <c r="C7404" i="10"/>
  <c r="B7404" i="10"/>
  <c r="A7404" i="10"/>
  <c r="E7403" i="10"/>
  <c r="D7403" i="10"/>
  <c r="C7403" i="10"/>
  <c r="B7403" i="10"/>
  <c r="A7403" i="10"/>
  <c r="E7402" i="10"/>
  <c r="D7402" i="10"/>
  <c r="C7402" i="10"/>
  <c r="B7402" i="10"/>
  <c r="A7402" i="10"/>
  <c r="E7401" i="10"/>
  <c r="D7401" i="10"/>
  <c r="C7401" i="10"/>
  <c r="B7401" i="10"/>
  <c r="A7401" i="10"/>
  <c r="E7400" i="10"/>
  <c r="D7400" i="10"/>
  <c r="C7400" i="10"/>
  <c r="B7400" i="10"/>
  <c r="A7400" i="10"/>
  <c r="E7399" i="10"/>
  <c r="D7399" i="10"/>
  <c r="C7399" i="10"/>
  <c r="B7399" i="10"/>
  <c r="A7399" i="10"/>
  <c r="E7398" i="10"/>
  <c r="D7398" i="10"/>
  <c r="C7398" i="10"/>
  <c r="B7398" i="10"/>
  <c r="A7398" i="10"/>
  <c r="E7397" i="10"/>
  <c r="D7397" i="10"/>
  <c r="C7397" i="10"/>
  <c r="B7397" i="10"/>
  <c r="A7397" i="10"/>
  <c r="E7396" i="10"/>
  <c r="D7396" i="10"/>
  <c r="C7396" i="10"/>
  <c r="B7396" i="10"/>
  <c r="A7396" i="10"/>
  <c r="E7395" i="10"/>
  <c r="D7395" i="10"/>
  <c r="C7395" i="10"/>
  <c r="B7395" i="10"/>
  <c r="A7395" i="10"/>
  <c r="E7394" i="10"/>
  <c r="D7394" i="10"/>
  <c r="C7394" i="10"/>
  <c r="B7394" i="10"/>
  <c r="A7394" i="10"/>
  <c r="E7393" i="10"/>
  <c r="D7393" i="10"/>
  <c r="C7393" i="10"/>
  <c r="B7393" i="10"/>
  <c r="A7393" i="10"/>
  <c r="E7392" i="10"/>
  <c r="D7392" i="10"/>
  <c r="C7392" i="10"/>
  <c r="B7392" i="10"/>
  <c r="A7392" i="10"/>
  <c r="E7391" i="10"/>
  <c r="D7391" i="10"/>
  <c r="C7391" i="10"/>
  <c r="B7391" i="10"/>
  <c r="A7391" i="10"/>
  <c r="E7390" i="10"/>
  <c r="D7390" i="10"/>
  <c r="C7390" i="10"/>
  <c r="B7390" i="10"/>
  <c r="A7390" i="10"/>
  <c r="E7389" i="10"/>
  <c r="D7389" i="10"/>
  <c r="C7389" i="10"/>
  <c r="B7389" i="10"/>
  <c r="A7389" i="10"/>
  <c r="E7388" i="10"/>
  <c r="D7388" i="10"/>
  <c r="C7388" i="10"/>
  <c r="B7388" i="10"/>
  <c r="A7388" i="10"/>
  <c r="E7387" i="10"/>
  <c r="D7387" i="10"/>
  <c r="C7387" i="10"/>
  <c r="B7387" i="10"/>
  <c r="A7387" i="10"/>
  <c r="E7386" i="10"/>
  <c r="D7386" i="10"/>
  <c r="C7386" i="10"/>
  <c r="B7386" i="10"/>
  <c r="A7386" i="10"/>
  <c r="E7385" i="10"/>
  <c r="D7385" i="10"/>
  <c r="C7385" i="10"/>
  <c r="B7385" i="10"/>
  <c r="A7385" i="10"/>
  <c r="E7384" i="10"/>
  <c r="D7384" i="10"/>
  <c r="C7384" i="10"/>
  <c r="B7384" i="10"/>
  <c r="A7384" i="10"/>
  <c r="E7383" i="10"/>
  <c r="D7383" i="10"/>
  <c r="C7383" i="10"/>
  <c r="B7383" i="10"/>
  <c r="A7383" i="10"/>
  <c r="E7382" i="10"/>
  <c r="D7382" i="10"/>
  <c r="C7382" i="10"/>
  <c r="B7382" i="10"/>
  <c r="A7382" i="10"/>
  <c r="E7381" i="10"/>
  <c r="D7381" i="10"/>
  <c r="C7381" i="10"/>
  <c r="B7381" i="10"/>
  <c r="A7381" i="10"/>
  <c r="E7380" i="10"/>
  <c r="D7380" i="10"/>
  <c r="C7380" i="10"/>
  <c r="B7380" i="10"/>
  <c r="A7380" i="10"/>
  <c r="E7379" i="10"/>
  <c r="D7379" i="10"/>
  <c r="C7379" i="10"/>
  <c r="B7379" i="10"/>
  <c r="A7379" i="10"/>
  <c r="E7378" i="10"/>
  <c r="D7378" i="10"/>
  <c r="C7378" i="10"/>
  <c r="B7378" i="10"/>
  <c r="A7378" i="10"/>
  <c r="E7377" i="10"/>
  <c r="D7377" i="10"/>
  <c r="C7377" i="10"/>
  <c r="B7377" i="10"/>
  <c r="A7377" i="10"/>
  <c r="E7376" i="10"/>
  <c r="D7376" i="10"/>
  <c r="C7376" i="10"/>
  <c r="B7376" i="10"/>
  <c r="A7376" i="10"/>
  <c r="E7375" i="10"/>
  <c r="D7375" i="10"/>
  <c r="C7375" i="10"/>
  <c r="B7375" i="10"/>
  <c r="A7375" i="10"/>
  <c r="E7374" i="10"/>
  <c r="D7374" i="10"/>
  <c r="C7374" i="10"/>
  <c r="B7374" i="10"/>
  <c r="A7374" i="10"/>
  <c r="E7373" i="10"/>
  <c r="D7373" i="10"/>
  <c r="C7373" i="10"/>
  <c r="B7373" i="10"/>
  <c r="A7373" i="10"/>
  <c r="E7372" i="10"/>
  <c r="D7372" i="10"/>
  <c r="C7372" i="10"/>
  <c r="B7372" i="10"/>
  <c r="A7372" i="10"/>
  <c r="E7371" i="10"/>
  <c r="D7371" i="10"/>
  <c r="C7371" i="10"/>
  <c r="B7371" i="10"/>
  <c r="A7371" i="10"/>
  <c r="E7370" i="10"/>
  <c r="D7370" i="10"/>
  <c r="C7370" i="10"/>
  <c r="B7370" i="10"/>
  <c r="A7370" i="10"/>
  <c r="E7369" i="10"/>
  <c r="D7369" i="10"/>
  <c r="C7369" i="10"/>
  <c r="B7369" i="10"/>
  <c r="A7369" i="10"/>
  <c r="E7368" i="10"/>
  <c r="D7368" i="10"/>
  <c r="C7368" i="10"/>
  <c r="B7368" i="10"/>
  <c r="A7368" i="10"/>
  <c r="E7367" i="10"/>
  <c r="D7367" i="10"/>
  <c r="C7367" i="10"/>
  <c r="B7367" i="10"/>
  <c r="A7367" i="10"/>
  <c r="E7366" i="10"/>
  <c r="D7366" i="10"/>
  <c r="C7366" i="10"/>
  <c r="B7366" i="10"/>
  <c r="A7366" i="10"/>
  <c r="E7365" i="10"/>
  <c r="D7365" i="10"/>
  <c r="C7365" i="10"/>
  <c r="B7365" i="10"/>
  <c r="A7365" i="10"/>
  <c r="E7364" i="10"/>
  <c r="D7364" i="10"/>
  <c r="C7364" i="10"/>
  <c r="B7364" i="10"/>
  <c r="A7364" i="10"/>
  <c r="E7363" i="10"/>
  <c r="D7363" i="10"/>
  <c r="C7363" i="10"/>
  <c r="B7363" i="10"/>
  <c r="A7363" i="10"/>
  <c r="E7362" i="10"/>
  <c r="D7362" i="10"/>
  <c r="C7362" i="10"/>
  <c r="B7362" i="10"/>
  <c r="A7362" i="10"/>
  <c r="E7361" i="10"/>
  <c r="D7361" i="10"/>
  <c r="C7361" i="10"/>
  <c r="B7361" i="10"/>
  <c r="A7361" i="10"/>
  <c r="E7360" i="10"/>
  <c r="D7360" i="10"/>
  <c r="C7360" i="10"/>
  <c r="B7360" i="10"/>
  <c r="A7360" i="10"/>
  <c r="E7359" i="10"/>
  <c r="D7359" i="10"/>
  <c r="C7359" i="10"/>
  <c r="B7359" i="10"/>
  <c r="A7359" i="10"/>
  <c r="E7358" i="10"/>
  <c r="D7358" i="10"/>
  <c r="C7358" i="10"/>
  <c r="B7358" i="10"/>
  <c r="A7358" i="10"/>
  <c r="E7357" i="10"/>
  <c r="D7357" i="10"/>
  <c r="C7357" i="10"/>
  <c r="B7357" i="10"/>
  <c r="A7357" i="10"/>
  <c r="E7356" i="10"/>
  <c r="D7356" i="10"/>
  <c r="C7356" i="10"/>
  <c r="B7356" i="10"/>
  <c r="A7356" i="10"/>
  <c r="E7355" i="10"/>
  <c r="D7355" i="10"/>
  <c r="C7355" i="10"/>
  <c r="B7355" i="10"/>
  <c r="A7355" i="10"/>
  <c r="E7354" i="10"/>
  <c r="D7354" i="10"/>
  <c r="C7354" i="10"/>
  <c r="B7354" i="10"/>
  <c r="A7354" i="10"/>
  <c r="E7353" i="10"/>
  <c r="D7353" i="10"/>
  <c r="C7353" i="10"/>
  <c r="B7353" i="10"/>
  <c r="A7353" i="10"/>
  <c r="E7352" i="10"/>
  <c r="D7352" i="10"/>
  <c r="C7352" i="10"/>
  <c r="B7352" i="10"/>
  <c r="A7352" i="10"/>
  <c r="E7351" i="10"/>
  <c r="D7351" i="10"/>
  <c r="C7351" i="10"/>
  <c r="B7351" i="10"/>
  <c r="A7351" i="10"/>
  <c r="E7350" i="10"/>
  <c r="D7350" i="10"/>
  <c r="C7350" i="10"/>
  <c r="B7350" i="10"/>
  <c r="A7350" i="10"/>
  <c r="E7349" i="10"/>
  <c r="D7349" i="10"/>
  <c r="C7349" i="10"/>
  <c r="B7349" i="10"/>
  <c r="A7349" i="10"/>
  <c r="E7348" i="10"/>
  <c r="D7348" i="10"/>
  <c r="C7348" i="10"/>
  <c r="B7348" i="10"/>
  <c r="A7348" i="10"/>
  <c r="E7347" i="10"/>
  <c r="D7347" i="10"/>
  <c r="C7347" i="10"/>
  <c r="B7347" i="10"/>
  <c r="A7347" i="10"/>
  <c r="E7346" i="10"/>
  <c r="D7346" i="10"/>
  <c r="C7346" i="10"/>
  <c r="B7346" i="10"/>
  <c r="A7346" i="10"/>
  <c r="E7345" i="10"/>
  <c r="D7345" i="10"/>
  <c r="C7345" i="10"/>
  <c r="B7345" i="10"/>
  <c r="A7345" i="10"/>
  <c r="E7344" i="10"/>
  <c r="D7344" i="10"/>
  <c r="C7344" i="10"/>
  <c r="B7344" i="10"/>
  <c r="A7344" i="10"/>
  <c r="E7343" i="10"/>
  <c r="D7343" i="10"/>
  <c r="C7343" i="10"/>
  <c r="B7343" i="10"/>
  <c r="A7343" i="10"/>
  <c r="E7342" i="10"/>
  <c r="D7342" i="10"/>
  <c r="C7342" i="10"/>
  <c r="B7342" i="10"/>
  <c r="A7342" i="10"/>
  <c r="E7341" i="10"/>
  <c r="D7341" i="10"/>
  <c r="C7341" i="10"/>
  <c r="B7341" i="10"/>
  <c r="A7341" i="10"/>
  <c r="E7340" i="10"/>
  <c r="D7340" i="10"/>
  <c r="C7340" i="10"/>
  <c r="B7340" i="10"/>
  <c r="A7340" i="10"/>
  <c r="E7339" i="10"/>
  <c r="D7339" i="10"/>
  <c r="C7339" i="10"/>
  <c r="B7339" i="10"/>
  <c r="A7339" i="10"/>
  <c r="E7338" i="10"/>
  <c r="D7338" i="10"/>
  <c r="C7338" i="10"/>
  <c r="B7338" i="10"/>
  <c r="A7338" i="10"/>
  <c r="E7337" i="10"/>
  <c r="D7337" i="10"/>
  <c r="C7337" i="10"/>
  <c r="B7337" i="10"/>
  <c r="A7337" i="10"/>
  <c r="E7336" i="10"/>
  <c r="D7336" i="10"/>
  <c r="C7336" i="10"/>
  <c r="B7336" i="10"/>
  <c r="A7336" i="10"/>
  <c r="E7335" i="10"/>
  <c r="D7335" i="10"/>
  <c r="C7335" i="10"/>
  <c r="B7335" i="10"/>
  <c r="A7335" i="10"/>
  <c r="E7334" i="10"/>
  <c r="D7334" i="10"/>
  <c r="C7334" i="10"/>
  <c r="B7334" i="10"/>
  <c r="A7334" i="10"/>
  <c r="E7333" i="10"/>
  <c r="D7333" i="10"/>
  <c r="C7333" i="10"/>
  <c r="B7333" i="10"/>
  <c r="A7333" i="10"/>
  <c r="E7332" i="10"/>
  <c r="D7332" i="10"/>
  <c r="C7332" i="10"/>
  <c r="B7332" i="10"/>
  <c r="A7332" i="10"/>
  <c r="E7331" i="10"/>
  <c r="D7331" i="10"/>
  <c r="C7331" i="10"/>
  <c r="B7331" i="10"/>
  <c r="A7331" i="10"/>
  <c r="E7330" i="10"/>
  <c r="D7330" i="10"/>
  <c r="C7330" i="10"/>
  <c r="B7330" i="10"/>
  <c r="A7330" i="10"/>
  <c r="E7329" i="10"/>
  <c r="D7329" i="10"/>
  <c r="C7329" i="10"/>
  <c r="B7329" i="10"/>
  <c r="A7329" i="10"/>
  <c r="E7328" i="10"/>
  <c r="D7328" i="10"/>
  <c r="C7328" i="10"/>
  <c r="B7328" i="10"/>
  <c r="A7328" i="10"/>
  <c r="E7327" i="10"/>
  <c r="D7327" i="10"/>
  <c r="C7327" i="10"/>
  <c r="B7327" i="10"/>
  <c r="A7327" i="10"/>
  <c r="E7326" i="10"/>
  <c r="D7326" i="10"/>
  <c r="C7326" i="10"/>
  <c r="B7326" i="10"/>
  <c r="A7326" i="10"/>
  <c r="E7325" i="10"/>
  <c r="D7325" i="10"/>
  <c r="C7325" i="10"/>
  <c r="B7325" i="10"/>
  <c r="A7325" i="10"/>
  <c r="E7324" i="10"/>
  <c r="D7324" i="10"/>
  <c r="C7324" i="10"/>
  <c r="B7324" i="10"/>
  <c r="A7324" i="10"/>
  <c r="E7323" i="10"/>
  <c r="D7323" i="10"/>
  <c r="C7323" i="10"/>
  <c r="B7323" i="10"/>
  <c r="A7323" i="10"/>
  <c r="E7322" i="10"/>
  <c r="D7322" i="10"/>
  <c r="C7322" i="10"/>
  <c r="B7322" i="10"/>
  <c r="A7322" i="10"/>
  <c r="E7321" i="10"/>
  <c r="D7321" i="10"/>
  <c r="C7321" i="10"/>
  <c r="B7321" i="10"/>
  <c r="A7321" i="10"/>
  <c r="E7320" i="10"/>
  <c r="D7320" i="10"/>
  <c r="C7320" i="10"/>
  <c r="B7320" i="10"/>
  <c r="A7320" i="10"/>
  <c r="E7319" i="10"/>
  <c r="D7319" i="10"/>
  <c r="C7319" i="10"/>
  <c r="B7319" i="10"/>
  <c r="A7319" i="10"/>
  <c r="E7318" i="10"/>
  <c r="D7318" i="10"/>
  <c r="C7318" i="10"/>
  <c r="B7318" i="10"/>
  <c r="A7318" i="10"/>
  <c r="E7317" i="10"/>
  <c r="D7317" i="10"/>
  <c r="C7317" i="10"/>
  <c r="B7317" i="10"/>
  <c r="A7317" i="10"/>
  <c r="E7316" i="10"/>
  <c r="D7316" i="10"/>
  <c r="C7316" i="10"/>
  <c r="B7316" i="10"/>
  <c r="A7316" i="10"/>
  <c r="E7315" i="10"/>
  <c r="D7315" i="10"/>
  <c r="C7315" i="10"/>
  <c r="B7315" i="10"/>
  <c r="A7315" i="10"/>
  <c r="E7314" i="10"/>
  <c r="D7314" i="10"/>
  <c r="C7314" i="10"/>
  <c r="B7314" i="10"/>
  <c r="A7314" i="10"/>
  <c r="E7313" i="10"/>
  <c r="D7313" i="10"/>
  <c r="C7313" i="10"/>
  <c r="B7313" i="10"/>
  <c r="A7313" i="10"/>
  <c r="E7312" i="10"/>
  <c r="D7312" i="10"/>
  <c r="C7312" i="10"/>
  <c r="B7312" i="10"/>
  <c r="A7312" i="10"/>
  <c r="E7311" i="10"/>
  <c r="D7311" i="10"/>
  <c r="C7311" i="10"/>
  <c r="B7311" i="10"/>
  <c r="A7311" i="10"/>
  <c r="E7310" i="10"/>
  <c r="D7310" i="10"/>
  <c r="C7310" i="10"/>
  <c r="B7310" i="10"/>
  <c r="A7310" i="10"/>
  <c r="E7309" i="10"/>
  <c r="D7309" i="10"/>
  <c r="C7309" i="10"/>
  <c r="B7309" i="10"/>
  <c r="A7309" i="10"/>
  <c r="E7308" i="10"/>
  <c r="D7308" i="10"/>
  <c r="C7308" i="10"/>
  <c r="B7308" i="10"/>
  <c r="A7308" i="10"/>
  <c r="E7307" i="10"/>
  <c r="D7307" i="10"/>
  <c r="C7307" i="10"/>
  <c r="B7307" i="10"/>
  <c r="A7307" i="10"/>
  <c r="E7306" i="10"/>
  <c r="D7306" i="10"/>
  <c r="C7306" i="10"/>
  <c r="B7306" i="10"/>
  <c r="A7306" i="10"/>
  <c r="E7305" i="10"/>
  <c r="D7305" i="10"/>
  <c r="C7305" i="10"/>
  <c r="B7305" i="10"/>
  <c r="A7305" i="10"/>
  <c r="E7304" i="10"/>
  <c r="D7304" i="10"/>
  <c r="C7304" i="10"/>
  <c r="B7304" i="10"/>
  <c r="A7304" i="10"/>
  <c r="E7303" i="10"/>
  <c r="D7303" i="10"/>
  <c r="C7303" i="10"/>
  <c r="B7303" i="10"/>
  <c r="A7303" i="10"/>
  <c r="E7302" i="10"/>
  <c r="D7302" i="10"/>
  <c r="C7302" i="10"/>
  <c r="B7302" i="10"/>
  <c r="A7302" i="10"/>
  <c r="E7301" i="10"/>
  <c r="D7301" i="10"/>
  <c r="C7301" i="10"/>
  <c r="B7301" i="10"/>
  <c r="A7301" i="10"/>
  <c r="E7300" i="10"/>
  <c r="D7300" i="10"/>
  <c r="C7300" i="10"/>
  <c r="B7300" i="10"/>
  <c r="A7300" i="10"/>
  <c r="E7299" i="10"/>
  <c r="D7299" i="10"/>
  <c r="C7299" i="10"/>
  <c r="B7299" i="10"/>
  <c r="A7299" i="10"/>
  <c r="E7298" i="10"/>
  <c r="D7298" i="10"/>
  <c r="C7298" i="10"/>
  <c r="B7298" i="10"/>
  <c r="A7298" i="10"/>
  <c r="E7297" i="10"/>
  <c r="D7297" i="10"/>
  <c r="C7297" i="10"/>
  <c r="B7297" i="10"/>
  <c r="A7297" i="10"/>
  <c r="E7296" i="10"/>
  <c r="D7296" i="10"/>
  <c r="C7296" i="10"/>
  <c r="B7296" i="10"/>
  <c r="A7296" i="10"/>
  <c r="E7295" i="10"/>
  <c r="D7295" i="10"/>
  <c r="C7295" i="10"/>
  <c r="B7295" i="10"/>
  <c r="A7295" i="10"/>
  <c r="E7294" i="10"/>
  <c r="D7294" i="10"/>
  <c r="C7294" i="10"/>
  <c r="B7294" i="10"/>
  <c r="A7294" i="10"/>
  <c r="E7293" i="10"/>
  <c r="D7293" i="10"/>
  <c r="C7293" i="10"/>
  <c r="B7293" i="10"/>
  <c r="A7293" i="10"/>
  <c r="E7292" i="10"/>
  <c r="D7292" i="10"/>
  <c r="C7292" i="10"/>
  <c r="B7292" i="10"/>
  <c r="A7292" i="10"/>
  <c r="E7291" i="10"/>
  <c r="D7291" i="10"/>
  <c r="C7291" i="10"/>
  <c r="B7291" i="10"/>
  <c r="A7291" i="10"/>
  <c r="E7290" i="10"/>
  <c r="D7290" i="10"/>
  <c r="C7290" i="10"/>
  <c r="B7290" i="10"/>
  <c r="A7290" i="10"/>
  <c r="E7289" i="10"/>
  <c r="D7289" i="10"/>
  <c r="C7289" i="10"/>
  <c r="B7289" i="10"/>
  <c r="A7289" i="10"/>
  <c r="E7288" i="10"/>
  <c r="D7288" i="10"/>
  <c r="C7288" i="10"/>
  <c r="B7288" i="10"/>
  <c r="A7288" i="10"/>
  <c r="E7287" i="10"/>
  <c r="D7287" i="10"/>
  <c r="C7287" i="10"/>
  <c r="B7287" i="10"/>
  <c r="A7287" i="10"/>
  <c r="E7286" i="10"/>
  <c r="D7286" i="10"/>
  <c r="C7286" i="10"/>
  <c r="B7286" i="10"/>
  <c r="A7286" i="10"/>
  <c r="E7285" i="10"/>
  <c r="D7285" i="10"/>
  <c r="C7285" i="10"/>
  <c r="B7285" i="10"/>
  <c r="A7285" i="10"/>
  <c r="E7284" i="10"/>
  <c r="D7284" i="10"/>
  <c r="C7284" i="10"/>
  <c r="B7284" i="10"/>
  <c r="A7284" i="10"/>
  <c r="E7283" i="10"/>
  <c r="D7283" i="10"/>
  <c r="C7283" i="10"/>
  <c r="B7283" i="10"/>
  <c r="A7283" i="10"/>
  <c r="E7282" i="10"/>
  <c r="D7282" i="10"/>
  <c r="C7282" i="10"/>
  <c r="B7282" i="10"/>
  <c r="A7282" i="10"/>
  <c r="E7281" i="10"/>
  <c r="D7281" i="10"/>
  <c r="C7281" i="10"/>
  <c r="B7281" i="10"/>
  <c r="A7281" i="10"/>
  <c r="E7280" i="10"/>
  <c r="D7280" i="10"/>
  <c r="C7280" i="10"/>
  <c r="B7280" i="10"/>
  <c r="A7280" i="10"/>
  <c r="E7279" i="10"/>
  <c r="D7279" i="10"/>
  <c r="C7279" i="10"/>
  <c r="B7279" i="10"/>
  <c r="A7279" i="10"/>
  <c r="E7278" i="10"/>
  <c r="D7278" i="10"/>
  <c r="C7278" i="10"/>
  <c r="B7278" i="10"/>
  <c r="A7278" i="10"/>
  <c r="E7277" i="10"/>
  <c r="D7277" i="10"/>
  <c r="C7277" i="10"/>
  <c r="B7277" i="10"/>
  <c r="A7277" i="10"/>
  <c r="E7276" i="10"/>
  <c r="D7276" i="10"/>
  <c r="C7276" i="10"/>
  <c r="B7276" i="10"/>
  <c r="A7276" i="10"/>
  <c r="E7275" i="10"/>
  <c r="D7275" i="10"/>
  <c r="C7275" i="10"/>
  <c r="B7275" i="10"/>
  <c r="A7275" i="10"/>
  <c r="E7274" i="10"/>
  <c r="D7274" i="10"/>
  <c r="C7274" i="10"/>
  <c r="B7274" i="10"/>
  <c r="A7274" i="10"/>
  <c r="E7273" i="10"/>
  <c r="D7273" i="10"/>
  <c r="C7273" i="10"/>
  <c r="B7273" i="10"/>
  <c r="A7273" i="10"/>
  <c r="E7272" i="10"/>
  <c r="D7272" i="10"/>
  <c r="C7272" i="10"/>
  <c r="B7272" i="10"/>
  <c r="A7272" i="10"/>
  <c r="E7271" i="10"/>
  <c r="D7271" i="10"/>
  <c r="C7271" i="10"/>
  <c r="B7271" i="10"/>
  <c r="A7271" i="10"/>
  <c r="E7270" i="10"/>
  <c r="D7270" i="10"/>
  <c r="C7270" i="10"/>
  <c r="B7270" i="10"/>
  <c r="A7270" i="10"/>
  <c r="E7269" i="10"/>
  <c r="D7269" i="10"/>
  <c r="C7269" i="10"/>
  <c r="B7269" i="10"/>
  <c r="A7269" i="10"/>
  <c r="E7268" i="10"/>
  <c r="D7268" i="10"/>
  <c r="C7268" i="10"/>
  <c r="B7268" i="10"/>
  <c r="A7268" i="10"/>
  <c r="E7267" i="10"/>
  <c r="D7267" i="10"/>
  <c r="C7267" i="10"/>
  <c r="B7267" i="10"/>
  <c r="A7267" i="10"/>
  <c r="E7266" i="10"/>
  <c r="D7266" i="10"/>
  <c r="C7266" i="10"/>
  <c r="B7266" i="10"/>
  <c r="A7266" i="10"/>
  <c r="E7265" i="10"/>
  <c r="D7265" i="10"/>
  <c r="C7265" i="10"/>
  <c r="B7265" i="10"/>
  <c r="A7265" i="10"/>
  <c r="E7264" i="10"/>
  <c r="D7264" i="10"/>
  <c r="C7264" i="10"/>
  <c r="B7264" i="10"/>
  <c r="A7264" i="10"/>
  <c r="E7263" i="10"/>
  <c r="D7263" i="10"/>
  <c r="C7263" i="10"/>
  <c r="B7263" i="10"/>
  <c r="A7263" i="10"/>
  <c r="E7262" i="10"/>
  <c r="D7262" i="10"/>
  <c r="C7262" i="10"/>
  <c r="B7262" i="10"/>
  <c r="A7262" i="10"/>
  <c r="E7261" i="10"/>
  <c r="D7261" i="10"/>
  <c r="C7261" i="10"/>
  <c r="B7261" i="10"/>
  <c r="A7261" i="10"/>
  <c r="E7260" i="10"/>
  <c r="D7260" i="10"/>
  <c r="C7260" i="10"/>
  <c r="B7260" i="10"/>
  <c r="A7260" i="10"/>
  <c r="E7259" i="10"/>
  <c r="D7259" i="10"/>
  <c r="C7259" i="10"/>
  <c r="B7259" i="10"/>
  <c r="A7259" i="10"/>
  <c r="E7258" i="10"/>
  <c r="D7258" i="10"/>
  <c r="C7258" i="10"/>
  <c r="B7258" i="10"/>
  <c r="A7258" i="10"/>
  <c r="E7257" i="10"/>
  <c r="D7257" i="10"/>
  <c r="C7257" i="10"/>
  <c r="B7257" i="10"/>
  <c r="A7257" i="10"/>
  <c r="E7256" i="10"/>
  <c r="D7256" i="10"/>
  <c r="C7256" i="10"/>
  <c r="B7256" i="10"/>
  <c r="A7256" i="10"/>
  <c r="E7255" i="10"/>
  <c r="D7255" i="10"/>
  <c r="C7255" i="10"/>
  <c r="B7255" i="10"/>
  <c r="A7255" i="10"/>
  <c r="E7254" i="10"/>
  <c r="D7254" i="10"/>
  <c r="C7254" i="10"/>
  <c r="B7254" i="10"/>
  <c r="A7254" i="10"/>
  <c r="E7253" i="10"/>
  <c r="D7253" i="10"/>
  <c r="C7253" i="10"/>
  <c r="B7253" i="10"/>
  <c r="A7253" i="10"/>
  <c r="E7252" i="10"/>
  <c r="D7252" i="10"/>
  <c r="C7252" i="10"/>
  <c r="B7252" i="10"/>
  <c r="A7252" i="10"/>
  <c r="E7251" i="10"/>
  <c r="D7251" i="10"/>
  <c r="C7251" i="10"/>
  <c r="B7251" i="10"/>
  <c r="A7251" i="10"/>
  <c r="E7250" i="10"/>
  <c r="D7250" i="10"/>
  <c r="C7250" i="10"/>
  <c r="B7250" i="10"/>
  <c r="A7250" i="10"/>
  <c r="E7249" i="10"/>
  <c r="D7249" i="10"/>
  <c r="C7249" i="10"/>
  <c r="B7249" i="10"/>
  <c r="A7249" i="10"/>
  <c r="E7248" i="10"/>
  <c r="D7248" i="10"/>
  <c r="C7248" i="10"/>
  <c r="B7248" i="10"/>
  <c r="A7248" i="10"/>
  <c r="E7247" i="10"/>
  <c r="D7247" i="10"/>
  <c r="C7247" i="10"/>
  <c r="B7247" i="10"/>
  <c r="A7247" i="10"/>
  <c r="E7246" i="10"/>
  <c r="D7246" i="10"/>
  <c r="C7246" i="10"/>
  <c r="B7246" i="10"/>
  <c r="A7246" i="10"/>
  <c r="E7245" i="10"/>
  <c r="D7245" i="10"/>
  <c r="C7245" i="10"/>
  <c r="B7245" i="10"/>
  <c r="A7245" i="10"/>
  <c r="E7244" i="10"/>
  <c r="D7244" i="10"/>
  <c r="C7244" i="10"/>
  <c r="B7244" i="10"/>
  <c r="A7244" i="10"/>
  <c r="E7243" i="10"/>
  <c r="D7243" i="10"/>
  <c r="C7243" i="10"/>
  <c r="B7243" i="10"/>
  <c r="A7243" i="10"/>
  <c r="E7242" i="10"/>
  <c r="D7242" i="10"/>
  <c r="C7242" i="10"/>
  <c r="B7242" i="10"/>
  <c r="A7242" i="10"/>
  <c r="E7241" i="10"/>
  <c r="D7241" i="10"/>
  <c r="C7241" i="10"/>
  <c r="B7241" i="10"/>
  <c r="A7241" i="10"/>
  <c r="E7240" i="10"/>
  <c r="D7240" i="10"/>
  <c r="C7240" i="10"/>
  <c r="B7240" i="10"/>
  <c r="A7240" i="10"/>
  <c r="E7239" i="10"/>
  <c r="D7239" i="10"/>
  <c r="C7239" i="10"/>
  <c r="B7239" i="10"/>
  <c r="A7239" i="10"/>
  <c r="E7238" i="10"/>
  <c r="D7238" i="10"/>
  <c r="C7238" i="10"/>
  <c r="B7238" i="10"/>
  <c r="A7238" i="10"/>
  <c r="E7237" i="10"/>
  <c r="D7237" i="10"/>
  <c r="C7237" i="10"/>
  <c r="B7237" i="10"/>
  <c r="A7237" i="10"/>
  <c r="E7236" i="10"/>
  <c r="D7236" i="10"/>
  <c r="C7236" i="10"/>
  <c r="B7236" i="10"/>
  <c r="A7236" i="10"/>
  <c r="E7235" i="10"/>
  <c r="D7235" i="10"/>
  <c r="C7235" i="10"/>
  <c r="B7235" i="10"/>
  <c r="A7235" i="10"/>
  <c r="E7234" i="10"/>
  <c r="D7234" i="10"/>
  <c r="C7234" i="10"/>
  <c r="B7234" i="10"/>
  <c r="A7234" i="10"/>
  <c r="E7233" i="10"/>
  <c r="D7233" i="10"/>
  <c r="C7233" i="10"/>
  <c r="B7233" i="10"/>
  <c r="A7233" i="10"/>
  <c r="E7232" i="10"/>
  <c r="D7232" i="10"/>
  <c r="C7232" i="10"/>
  <c r="B7232" i="10"/>
  <c r="A7232" i="10"/>
  <c r="E7231" i="10"/>
  <c r="D7231" i="10"/>
  <c r="C7231" i="10"/>
  <c r="B7231" i="10"/>
  <c r="A7231" i="10"/>
  <c r="E7230" i="10"/>
  <c r="D7230" i="10"/>
  <c r="C7230" i="10"/>
  <c r="B7230" i="10"/>
  <c r="A7230" i="10"/>
  <c r="E7229" i="10"/>
  <c r="D7229" i="10"/>
  <c r="C7229" i="10"/>
  <c r="B7229" i="10"/>
  <c r="A7229" i="10"/>
  <c r="E7228" i="10"/>
  <c r="D7228" i="10"/>
  <c r="C7228" i="10"/>
  <c r="B7228" i="10"/>
  <c r="A7228" i="10"/>
  <c r="E7227" i="10"/>
  <c r="D7227" i="10"/>
  <c r="C7227" i="10"/>
  <c r="B7227" i="10"/>
  <c r="A7227" i="10"/>
  <c r="E7226" i="10"/>
  <c r="D7226" i="10"/>
  <c r="C7226" i="10"/>
  <c r="B7226" i="10"/>
  <c r="A7226" i="10"/>
  <c r="E7225" i="10"/>
  <c r="D7225" i="10"/>
  <c r="C7225" i="10"/>
  <c r="B7225" i="10"/>
  <c r="A7225" i="10"/>
  <c r="E7224" i="10"/>
  <c r="D7224" i="10"/>
  <c r="C7224" i="10"/>
  <c r="B7224" i="10"/>
  <c r="A7224" i="10"/>
  <c r="E7223" i="10"/>
  <c r="D7223" i="10"/>
  <c r="C7223" i="10"/>
  <c r="B7223" i="10"/>
  <c r="A7223" i="10"/>
  <c r="E7222" i="10"/>
  <c r="D7222" i="10"/>
  <c r="C7222" i="10"/>
  <c r="B7222" i="10"/>
  <c r="A7222" i="10"/>
  <c r="E7221" i="10"/>
  <c r="D7221" i="10"/>
  <c r="C7221" i="10"/>
  <c r="B7221" i="10"/>
  <c r="A7221" i="10"/>
  <c r="E7220" i="10"/>
  <c r="D7220" i="10"/>
  <c r="C7220" i="10"/>
  <c r="B7220" i="10"/>
  <c r="A7220" i="10"/>
  <c r="E7219" i="10"/>
  <c r="D7219" i="10"/>
  <c r="C7219" i="10"/>
  <c r="B7219" i="10"/>
  <c r="A7219" i="10"/>
  <c r="E7218" i="10"/>
  <c r="D7218" i="10"/>
  <c r="C7218" i="10"/>
  <c r="B7218" i="10"/>
  <c r="A7218" i="10"/>
  <c r="E7217" i="10"/>
  <c r="D7217" i="10"/>
  <c r="C7217" i="10"/>
  <c r="B7217" i="10"/>
  <c r="A7217" i="10"/>
  <c r="E7216" i="10"/>
  <c r="D7216" i="10"/>
  <c r="C7216" i="10"/>
  <c r="B7216" i="10"/>
  <c r="A7216" i="10"/>
  <c r="E7215" i="10"/>
  <c r="D7215" i="10"/>
  <c r="C7215" i="10"/>
  <c r="B7215" i="10"/>
  <c r="A7215" i="10"/>
  <c r="E7214" i="10"/>
  <c r="D7214" i="10"/>
  <c r="C7214" i="10"/>
  <c r="B7214" i="10"/>
  <c r="A7214" i="10"/>
  <c r="E7213" i="10"/>
  <c r="D7213" i="10"/>
  <c r="C7213" i="10"/>
  <c r="B7213" i="10"/>
  <c r="A7213" i="10"/>
  <c r="E7212" i="10"/>
  <c r="D7212" i="10"/>
  <c r="C7212" i="10"/>
  <c r="B7212" i="10"/>
  <c r="A7212" i="10"/>
  <c r="E7211" i="10"/>
  <c r="D7211" i="10"/>
  <c r="C7211" i="10"/>
  <c r="B7211" i="10"/>
  <c r="A7211" i="10"/>
  <c r="E7210" i="10"/>
  <c r="D7210" i="10"/>
  <c r="C7210" i="10"/>
  <c r="B7210" i="10"/>
  <c r="A7210" i="10"/>
  <c r="E7209" i="10"/>
  <c r="D7209" i="10"/>
  <c r="C7209" i="10"/>
  <c r="B7209" i="10"/>
  <c r="A7209" i="10"/>
  <c r="E7208" i="10"/>
  <c r="D7208" i="10"/>
  <c r="C7208" i="10"/>
  <c r="B7208" i="10"/>
  <c r="A7208" i="10"/>
  <c r="E7207" i="10"/>
  <c r="D7207" i="10"/>
  <c r="C7207" i="10"/>
  <c r="B7207" i="10"/>
  <c r="A7207" i="10"/>
  <c r="E7206" i="10"/>
  <c r="D7206" i="10"/>
  <c r="C7206" i="10"/>
  <c r="B7206" i="10"/>
  <c r="A7206" i="10"/>
  <c r="E7205" i="10"/>
  <c r="D7205" i="10"/>
  <c r="C7205" i="10"/>
  <c r="B7205" i="10"/>
  <c r="A7205" i="10"/>
  <c r="E7204" i="10"/>
  <c r="D7204" i="10"/>
  <c r="C7204" i="10"/>
  <c r="B7204" i="10"/>
  <c r="A7204" i="10"/>
  <c r="E7203" i="10"/>
  <c r="D7203" i="10"/>
  <c r="C7203" i="10"/>
  <c r="B7203" i="10"/>
  <c r="A7203" i="10"/>
  <c r="E7202" i="10"/>
  <c r="D7202" i="10"/>
  <c r="C7202" i="10"/>
  <c r="B7202" i="10"/>
  <c r="A7202" i="10"/>
  <c r="E7201" i="10"/>
  <c r="D7201" i="10"/>
  <c r="C7201" i="10"/>
  <c r="B7201" i="10"/>
  <c r="A7201" i="10"/>
  <c r="E7200" i="10"/>
  <c r="D7200" i="10"/>
  <c r="C7200" i="10"/>
  <c r="B7200" i="10"/>
  <c r="A7200" i="10"/>
  <c r="E7199" i="10"/>
  <c r="D7199" i="10"/>
  <c r="C7199" i="10"/>
  <c r="B7199" i="10"/>
  <c r="A7199" i="10"/>
  <c r="E7198" i="10"/>
  <c r="D7198" i="10"/>
  <c r="C7198" i="10"/>
  <c r="B7198" i="10"/>
  <c r="A7198" i="10"/>
  <c r="E7197" i="10"/>
  <c r="D7197" i="10"/>
  <c r="C7197" i="10"/>
  <c r="B7197" i="10"/>
  <c r="A7197" i="10"/>
  <c r="E7196" i="10"/>
  <c r="D7196" i="10"/>
  <c r="C7196" i="10"/>
  <c r="B7196" i="10"/>
  <c r="A7196" i="10"/>
  <c r="E7195" i="10"/>
  <c r="D7195" i="10"/>
  <c r="C7195" i="10"/>
  <c r="B7195" i="10"/>
  <c r="A7195" i="10"/>
  <c r="E7194" i="10"/>
  <c r="D7194" i="10"/>
  <c r="C7194" i="10"/>
  <c r="B7194" i="10"/>
  <c r="A7194" i="10"/>
  <c r="E7193" i="10"/>
  <c r="D7193" i="10"/>
  <c r="C7193" i="10"/>
  <c r="B7193" i="10"/>
  <c r="A7193" i="10"/>
  <c r="E7192" i="10"/>
  <c r="D7192" i="10"/>
  <c r="C7192" i="10"/>
  <c r="B7192" i="10"/>
  <c r="A7192" i="10"/>
  <c r="E7191" i="10"/>
  <c r="D7191" i="10"/>
  <c r="C7191" i="10"/>
  <c r="B7191" i="10"/>
  <c r="A7191" i="10"/>
  <c r="E7190" i="10"/>
  <c r="D7190" i="10"/>
  <c r="C7190" i="10"/>
  <c r="B7190" i="10"/>
  <c r="A7190" i="10"/>
  <c r="E7189" i="10"/>
  <c r="D7189" i="10"/>
  <c r="C7189" i="10"/>
  <c r="B7189" i="10"/>
  <c r="A7189" i="10"/>
  <c r="E7188" i="10"/>
  <c r="D7188" i="10"/>
  <c r="C7188" i="10"/>
  <c r="B7188" i="10"/>
  <c r="A7188" i="10"/>
  <c r="E7187" i="10"/>
  <c r="D7187" i="10"/>
  <c r="C7187" i="10"/>
  <c r="B7187" i="10"/>
  <c r="A7187" i="10"/>
  <c r="E7186" i="10"/>
  <c r="D7186" i="10"/>
  <c r="C7186" i="10"/>
  <c r="B7186" i="10"/>
  <c r="A7186" i="10"/>
  <c r="E7185" i="10"/>
  <c r="D7185" i="10"/>
  <c r="C7185" i="10"/>
  <c r="B7185" i="10"/>
  <c r="A7185" i="10"/>
  <c r="E7184" i="10"/>
  <c r="D7184" i="10"/>
  <c r="C7184" i="10"/>
  <c r="B7184" i="10"/>
  <c r="A7184" i="10"/>
  <c r="E7183" i="10"/>
  <c r="D7183" i="10"/>
  <c r="C7183" i="10"/>
  <c r="B7183" i="10"/>
  <c r="A7183" i="10"/>
  <c r="E7182" i="10"/>
  <c r="D7182" i="10"/>
  <c r="C7182" i="10"/>
  <c r="B7182" i="10"/>
  <c r="A7182" i="10"/>
  <c r="E7181" i="10"/>
  <c r="D7181" i="10"/>
  <c r="C7181" i="10"/>
  <c r="B7181" i="10"/>
  <c r="A7181" i="10"/>
  <c r="E7180" i="10"/>
  <c r="D7180" i="10"/>
  <c r="C7180" i="10"/>
  <c r="B7180" i="10"/>
  <c r="A7180" i="10"/>
  <c r="E7179" i="10"/>
  <c r="D7179" i="10"/>
  <c r="C7179" i="10"/>
  <c r="B7179" i="10"/>
  <c r="A7179" i="10"/>
  <c r="E7178" i="10"/>
  <c r="D7178" i="10"/>
  <c r="C7178" i="10"/>
  <c r="B7178" i="10"/>
  <c r="A7178" i="10"/>
  <c r="E7177" i="10"/>
  <c r="D7177" i="10"/>
  <c r="C7177" i="10"/>
  <c r="B7177" i="10"/>
  <c r="A7177" i="10"/>
  <c r="E7176" i="10"/>
  <c r="D7176" i="10"/>
  <c r="C7176" i="10"/>
  <c r="B7176" i="10"/>
  <c r="A7176" i="10"/>
  <c r="E7175" i="10"/>
  <c r="D7175" i="10"/>
  <c r="C7175" i="10"/>
  <c r="B7175" i="10"/>
  <c r="A7175" i="10"/>
  <c r="E7174" i="10"/>
  <c r="D7174" i="10"/>
  <c r="C7174" i="10"/>
  <c r="B7174" i="10"/>
  <c r="A7174" i="10"/>
  <c r="E7173" i="10"/>
  <c r="D7173" i="10"/>
  <c r="C7173" i="10"/>
  <c r="B7173" i="10"/>
  <c r="A7173" i="10"/>
  <c r="E7172" i="10"/>
  <c r="D7172" i="10"/>
  <c r="C7172" i="10"/>
  <c r="B7172" i="10"/>
  <c r="A7172" i="10"/>
  <c r="E7171" i="10"/>
  <c r="D7171" i="10"/>
  <c r="C7171" i="10"/>
  <c r="B7171" i="10"/>
  <c r="A7171" i="10"/>
  <c r="E7170" i="10"/>
  <c r="D7170" i="10"/>
  <c r="C7170" i="10"/>
  <c r="B7170" i="10"/>
  <c r="A7170" i="10"/>
  <c r="E7169" i="10"/>
  <c r="D7169" i="10"/>
  <c r="C7169" i="10"/>
  <c r="B7169" i="10"/>
  <c r="A7169" i="10"/>
  <c r="E7168" i="10"/>
  <c r="D7168" i="10"/>
  <c r="C7168" i="10"/>
  <c r="B7168" i="10"/>
  <c r="A7168" i="10"/>
  <c r="E7167" i="10"/>
  <c r="D7167" i="10"/>
  <c r="C7167" i="10"/>
  <c r="B7167" i="10"/>
  <c r="A7167" i="10"/>
  <c r="E7166" i="10"/>
  <c r="D7166" i="10"/>
  <c r="C7166" i="10"/>
  <c r="B7166" i="10"/>
  <c r="A7166" i="10"/>
  <c r="E7165" i="10"/>
  <c r="D7165" i="10"/>
  <c r="C7165" i="10"/>
  <c r="B7165" i="10"/>
  <c r="A7165" i="10"/>
  <c r="E7164" i="10"/>
  <c r="D7164" i="10"/>
  <c r="C7164" i="10"/>
  <c r="B7164" i="10"/>
  <c r="A7164" i="10"/>
  <c r="E7163" i="10"/>
  <c r="D7163" i="10"/>
  <c r="C7163" i="10"/>
  <c r="B7163" i="10"/>
  <c r="A7163" i="10"/>
  <c r="E7162" i="10"/>
  <c r="D7162" i="10"/>
  <c r="C7162" i="10"/>
  <c r="B7162" i="10"/>
  <c r="A7162" i="10"/>
  <c r="E7161" i="10"/>
  <c r="D7161" i="10"/>
  <c r="C7161" i="10"/>
  <c r="B7161" i="10"/>
  <c r="A7161" i="10"/>
  <c r="E7160" i="10"/>
  <c r="D7160" i="10"/>
  <c r="C7160" i="10"/>
  <c r="B7160" i="10"/>
  <c r="A7160" i="10"/>
  <c r="E7159" i="10"/>
  <c r="D7159" i="10"/>
  <c r="C7159" i="10"/>
  <c r="B7159" i="10"/>
  <c r="A7159" i="10"/>
  <c r="E7158" i="10"/>
  <c r="D7158" i="10"/>
  <c r="C7158" i="10"/>
  <c r="B7158" i="10"/>
  <c r="A7158" i="10"/>
  <c r="E7157" i="10"/>
  <c r="D7157" i="10"/>
  <c r="C7157" i="10"/>
  <c r="B7157" i="10"/>
  <c r="A7157" i="10"/>
  <c r="E7156" i="10"/>
  <c r="D7156" i="10"/>
  <c r="C7156" i="10"/>
  <c r="B7156" i="10"/>
  <c r="A7156" i="10"/>
  <c r="E7155" i="10"/>
  <c r="D7155" i="10"/>
  <c r="C7155" i="10"/>
  <c r="B7155" i="10"/>
  <c r="A7155" i="10"/>
  <c r="E7154" i="10"/>
  <c r="D7154" i="10"/>
  <c r="C7154" i="10"/>
  <c r="B7154" i="10"/>
  <c r="A7154" i="10"/>
  <c r="E7153" i="10"/>
  <c r="D7153" i="10"/>
  <c r="C7153" i="10"/>
  <c r="B7153" i="10"/>
  <c r="A7153" i="10"/>
  <c r="E7152" i="10"/>
  <c r="D7152" i="10"/>
  <c r="C7152" i="10"/>
  <c r="B7152" i="10"/>
  <c r="A7152" i="10"/>
  <c r="E7151" i="10"/>
  <c r="D7151" i="10"/>
  <c r="C7151" i="10"/>
  <c r="B7151" i="10"/>
  <c r="A7151" i="10"/>
  <c r="E7150" i="10"/>
  <c r="D7150" i="10"/>
  <c r="C7150" i="10"/>
  <c r="B7150" i="10"/>
  <c r="A7150" i="10"/>
  <c r="E7149" i="10"/>
  <c r="D7149" i="10"/>
  <c r="C7149" i="10"/>
  <c r="B7149" i="10"/>
  <c r="A7149" i="10"/>
  <c r="E7148" i="10"/>
  <c r="D7148" i="10"/>
  <c r="C7148" i="10"/>
  <c r="B7148" i="10"/>
  <c r="A7148" i="10"/>
  <c r="E7147" i="10"/>
  <c r="D7147" i="10"/>
  <c r="C7147" i="10"/>
  <c r="B7147" i="10"/>
  <c r="A7147" i="10"/>
  <c r="E7146" i="10"/>
  <c r="D7146" i="10"/>
  <c r="C7146" i="10"/>
  <c r="B7146" i="10"/>
  <c r="A7146" i="10"/>
  <c r="E7145" i="10"/>
  <c r="D7145" i="10"/>
  <c r="C7145" i="10"/>
  <c r="B7145" i="10"/>
  <c r="A7145" i="10"/>
  <c r="E7144" i="10"/>
  <c r="D7144" i="10"/>
  <c r="C7144" i="10"/>
  <c r="B7144" i="10"/>
  <c r="A7144" i="10"/>
  <c r="E7143" i="10"/>
  <c r="D7143" i="10"/>
  <c r="C7143" i="10"/>
  <c r="B7143" i="10"/>
  <c r="A7143" i="10"/>
  <c r="E7142" i="10"/>
  <c r="D7142" i="10"/>
  <c r="C7142" i="10"/>
  <c r="B7142" i="10"/>
  <c r="A7142" i="10"/>
  <c r="E7141" i="10"/>
  <c r="D7141" i="10"/>
  <c r="C7141" i="10"/>
  <c r="B7141" i="10"/>
  <c r="A7141" i="10"/>
  <c r="E7140" i="10"/>
  <c r="D7140" i="10"/>
  <c r="C7140" i="10"/>
  <c r="B7140" i="10"/>
  <c r="A7140" i="10"/>
  <c r="E7139" i="10"/>
  <c r="D7139" i="10"/>
  <c r="C7139" i="10"/>
  <c r="B7139" i="10"/>
  <c r="A7139" i="10"/>
  <c r="E7138" i="10"/>
  <c r="D7138" i="10"/>
  <c r="C7138" i="10"/>
  <c r="B7138" i="10"/>
  <c r="A7138" i="10"/>
  <c r="E7137" i="10"/>
  <c r="D7137" i="10"/>
  <c r="C7137" i="10"/>
  <c r="B7137" i="10"/>
  <c r="A7137" i="10"/>
  <c r="E7136" i="10"/>
  <c r="D7136" i="10"/>
  <c r="C7136" i="10"/>
  <c r="B7136" i="10"/>
  <c r="A7136" i="10"/>
  <c r="E7135" i="10"/>
  <c r="D7135" i="10"/>
  <c r="C7135" i="10"/>
  <c r="B7135" i="10"/>
  <c r="A7135" i="10"/>
  <c r="E7134" i="10"/>
  <c r="D7134" i="10"/>
  <c r="C7134" i="10"/>
  <c r="B7134" i="10"/>
  <c r="A7134" i="10"/>
  <c r="E7133" i="10"/>
  <c r="D7133" i="10"/>
  <c r="C7133" i="10"/>
  <c r="B7133" i="10"/>
  <c r="A7133" i="10"/>
  <c r="E7132" i="10"/>
  <c r="D7132" i="10"/>
  <c r="C7132" i="10"/>
  <c r="B7132" i="10"/>
  <c r="A7132" i="10"/>
  <c r="E7131" i="10"/>
  <c r="D7131" i="10"/>
  <c r="C7131" i="10"/>
  <c r="B7131" i="10"/>
  <c r="A7131" i="10"/>
  <c r="E7130" i="10"/>
  <c r="D7130" i="10"/>
  <c r="C7130" i="10"/>
  <c r="B7130" i="10"/>
  <c r="A7130" i="10"/>
  <c r="E7129" i="10"/>
  <c r="D7129" i="10"/>
  <c r="C7129" i="10"/>
  <c r="B7129" i="10"/>
  <c r="A7129" i="10"/>
  <c r="E7128" i="10"/>
  <c r="D7128" i="10"/>
  <c r="C7128" i="10"/>
  <c r="B7128" i="10"/>
  <c r="A7128" i="10"/>
  <c r="E7127" i="10"/>
  <c r="D7127" i="10"/>
  <c r="C7127" i="10"/>
  <c r="B7127" i="10"/>
  <c r="A7127" i="10"/>
  <c r="E7126" i="10"/>
  <c r="D7126" i="10"/>
  <c r="C7126" i="10"/>
  <c r="B7126" i="10"/>
  <c r="A7126" i="10"/>
  <c r="E7125" i="10"/>
  <c r="D7125" i="10"/>
  <c r="C7125" i="10"/>
  <c r="B7125" i="10"/>
  <c r="A7125" i="10"/>
  <c r="E7124" i="10"/>
  <c r="D7124" i="10"/>
  <c r="C7124" i="10"/>
  <c r="B7124" i="10"/>
  <c r="A7124" i="10"/>
  <c r="E7123" i="10"/>
  <c r="D7123" i="10"/>
  <c r="C7123" i="10"/>
  <c r="B7123" i="10"/>
  <c r="A7123" i="10"/>
  <c r="E7122" i="10"/>
  <c r="D7122" i="10"/>
  <c r="C7122" i="10"/>
  <c r="B7122" i="10"/>
  <c r="A7122" i="10"/>
  <c r="E7121" i="10"/>
  <c r="D7121" i="10"/>
  <c r="C7121" i="10"/>
  <c r="B7121" i="10"/>
  <c r="A7121" i="10"/>
  <c r="E7120" i="10"/>
  <c r="D7120" i="10"/>
  <c r="C7120" i="10"/>
  <c r="B7120" i="10"/>
  <c r="A7120" i="10"/>
  <c r="E7119" i="10"/>
  <c r="D7119" i="10"/>
  <c r="C7119" i="10"/>
  <c r="B7119" i="10"/>
  <c r="A7119" i="10"/>
  <c r="E7118" i="10"/>
  <c r="D7118" i="10"/>
  <c r="C7118" i="10"/>
  <c r="B7118" i="10"/>
  <c r="A7118" i="10"/>
  <c r="E7117" i="10"/>
  <c r="D7117" i="10"/>
  <c r="C7117" i="10"/>
  <c r="B7117" i="10"/>
  <c r="A7117" i="10"/>
  <c r="E7116" i="10"/>
  <c r="D7116" i="10"/>
  <c r="C7116" i="10"/>
  <c r="B7116" i="10"/>
  <c r="A7116" i="10"/>
  <c r="E7115" i="10"/>
  <c r="D7115" i="10"/>
  <c r="C7115" i="10"/>
  <c r="B7115" i="10"/>
  <c r="A7115" i="10"/>
  <c r="E7114" i="10"/>
  <c r="D7114" i="10"/>
  <c r="C7114" i="10"/>
  <c r="B7114" i="10"/>
  <c r="A7114" i="10"/>
  <c r="E7113" i="10"/>
  <c r="D7113" i="10"/>
  <c r="C7113" i="10"/>
  <c r="B7113" i="10"/>
  <c r="A7113" i="10"/>
  <c r="E7112" i="10"/>
  <c r="D7112" i="10"/>
  <c r="C7112" i="10"/>
  <c r="B7112" i="10"/>
  <c r="A7112" i="10"/>
  <c r="E7111" i="10"/>
  <c r="D7111" i="10"/>
  <c r="C7111" i="10"/>
  <c r="B7111" i="10"/>
  <c r="A7111" i="10"/>
  <c r="E7110" i="10"/>
  <c r="D7110" i="10"/>
  <c r="C7110" i="10"/>
  <c r="B7110" i="10"/>
  <c r="A7110" i="10"/>
  <c r="E7109" i="10"/>
  <c r="D7109" i="10"/>
  <c r="C7109" i="10"/>
  <c r="B7109" i="10"/>
  <c r="A7109" i="10"/>
  <c r="E7108" i="10"/>
  <c r="D7108" i="10"/>
  <c r="C7108" i="10"/>
  <c r="B7108" i="10"/>
  <c r="A7108" i="10"/>
  <c r="E7107" i="10"/>
  <c r="D7107" i="10"/>
  <c r="C7107" i="10"/>
  <c r="B7107" i="10"/>
  <c r="A7107" i="10"/>
  <c r="E7106" i="10"/>
  <c r="D7106" i="10"/>
  <c r="C7106" i="10"/>
  <c r="B7106" i="10"/>
  <c r="A7106" i="10"/>
  <c r="E7105" i="10"/>
  <c r="D7105" i="10"/>
  <c r="C7105" i="10"/>
  <c r="B7105" i="10"/>
  <c r="A7105" i="10"/>
  <c r="E7104" i="10"/>
  <c r="D7104" i="10"/>
  <c r="C7104" i="10"/>
  <c r="B7104" i="10"/>
  <c r="A7104" i="10"/>
  <c r="E7103" i="10"/>
  <c r="D7103" i="10"/>
  <c r="C7103" i="10"/>
  <c r="B7103" i="10"/>
  <c r="A7103" i="10"/>
  <c r="E7102" i="10"/>
  <c r="D7102" i="10"/>
  <c r="C7102" i="10"/>
  <c r="B7102" i="10"/>
  <c r="A7102" i="10"/>
  <c r="E7101" i="10"/>
  <c r="D7101" i="10"/>
  <c r="C7101" i="10"/>
  <c r="B7101" i="10"/>
  <c r="A7101" i="10"/>
  <c r="E7100" i="10"/>
  <c r="D7100" i="10"/>
  <c r="C7100" i="10"/>
  <c r="B7100" i="10"/>
  <c r="A7100" i="10"/>
  <c r="E7099" i="10"/>
  <c r="D7099" i="10"/>
  <c r="C7099" i="10"/>
  <c r="B7099" i="10"/>
  <c r="A7099" i="10"/>
  <c r="E7098" i="10"/>
  <c r="D7098" i="10"/>
  <c r="C7098" i="10"/>
  <c r="B7098" i="10"/>
  <c r="A7098" i="10"/>
  <c r="E7097" i="10"/>
  <c r="D7097" i="10"/>
  <c r="C7097" i="10"/>
  <c r="B7097" i="10"/>
  <c r="A7097" i="10"/>
  <c r="E7096" i="10"/>
  <c r="D7096" i="10"/>
  <c r="C7096" i="10"/>
  <c r="B7096" i="10"/>
  <c r="A7096" i="10"/>
  <c r="E7095" i="10"/>
  <c r="D7095" i="10"/>
  <c r="C7095" i="10"/>
  <c r="B7095" i="10"/>
  <c r="A7095" i="10"/>
  <c r="E7094" i="10"/>
  <c r="D7094" i="10"/>
  <c r="C7094" i="10"/>
  <c r="B7094" i="10"/>
  <c r="A7094" i="10"/>
  <c r="E7093" i="10"/>
  <c r="D7093" i="10"/>
  <c r="C7093" i="10"/>
  <c r="B7093" i="10"/>
  <c r="A7093" i="10"/>
  <c r="E7092" i="10"/>
  <c r="D7092" i="10"/>
  <c r="C7092" i="10"/>
  <c r="B7092" i="10"/>
  <c r="A7092" i="10"/>
  <c r="E7091" i="10"/>
  <c r="D7091" i="10"/>
  <c r="C7091" i="10"/>
  <c r="B7091" i="10"/>
  <c r="A7091" i="10"/>
  <c r="E7090" i="10"/>
  <c r="D7090" i="10"/>
  <c r="C7090" i="10"/>
  <c r="B7090" i="10"/>
  <c r="A7090" i="10"/>
  <c r="E7089" i="10"/>
  <c r="D7089" i="10"/>
  <c r="C7089" i="10"/>
  <c r="B7089" i="10"/>
  <c r="A7089" i="10"/>
  <c r="E7088" i="10"/>
  <c r="D7088" i="10"/>
  <c r="C7088" i="10"/>
  <c r="B7088" i="10"/>
  <c r="A7088" i="10"/>
  <c r="E7087" i="10"/>
  <c r="D7087" i="10"/>
  <c r="C7087" i="10"/>
  <c r="B7087" i="10"/>
  <c r="A7087" i="10"/>
  <c r="E7086" i="10"/>
  <c r="D7086" i="10"/>
  <c r="C7086" i="10"/>
  <c r="B7086" i="10"/>
  <c r="A7086" i="10"/>
  <c r="E7085" i="10"/>
  <c r="D7085" i="10"/>
  <c r="C7085" i="10"/>
  <c r="B7085" i="10"/>
  <c r="A7085" i="10"/>
  <c r="E7084" i="10"/>
  <c r="D7084" i="10"/>
  <c r="C7084" i="10"/>
  <c r="B7084" i="10"/>
  <c r="A7084" i="10"/>
  <c r="E7083" i="10"/>
  <c r="D7083" i="10"/>
  <c r="C7083" i="10"/>
  <c r="B7083" i="10"/>
  <c r="A7083" i="10"/>
  <c r="E7082" i="10"/>
  <c r="D7082" i="10"/>
  <c r="C7082" i="10"/>
  <c r="B7082" i="10"/>
  <c r="A7082" i="10"/>
  <c r="E7081" i="10"/>
  <c r="D7081" i="10"/>
  <c r="C7081" i="10"/>
  <c r="B7081" i="10"/>
  <c r="A7081" i="10"/>
  <c r="E7080" i="10"/>
  <c r="D7080" i="10"/>
  <c r="C7080" i="10"/>
  <c r="B7080" i="10"/>
  <c r="A7080" i="10"/>
  <c r="E7079" i="10"/>
  <c r="D7079" i="10"/>
  <c r="C7079" i="10"/>
  <c r="B7079" i="10"/>
  <c r="A7079" i="10"/>
  <c r="E7078" i="10"/>
  <c r="D7078" i="10"/>
  <c r="C7078" i="10"/>
  <c r="B7078" i="10"/>
  <c r="A7078" i="10"/>
  <c r="E7077" i="10"/>
  <c r="D7077" i="10"/>
  <c r="C7077" i="10"/>
  <c r="B7077" i="10"/>
  <c r="A7077" i="10"/>
  <c r="E7076" i="10"/>
  <c r="D7076" i="10"/>
  <c r="C7076" i="10"/>
  <c r="B7076" i="10"/>
  <c r="A7076" i="10"/>
  <c r="E7075" i="10"/>
  <c r="D7075" i="10"/>
  <c r="C7075" i="10"/>
  <c r="B7075" i="10"/>
  <c r="A7075" i="10"/>
  <c r="E7074" i="10"/>
  <c r="D7074" i="10"/>
  <c r="C7074" i="10"/>
  <c r="B7074" i="10"/>
  <c r="A7074" i="10"/>
  <c r="E7073" i="10"/>
  <c r="D7073" i="10"/>
  <c r="C7073" i="10"/>
  <c r="B7073" i="10"/>
  <c r="A7073" i="10"/>
  <c r="E7072" i="10"/>
  <c r="D7072" i="10"/>
  <c r="C7072" i="10"/>
  <c r="B7072" i="10"/>
  <c r="A7072" i="10"/>
  <c r="E7071" i="10"/>
  <c r="D7071" i="10"/>
  <c r="C7071" i="10"/>
  <c r="B7071" i="10"/>
  <c r="A7071" i="10"/>
  <c r="E7070" i="10"/>
  <c r="D7070" i="10"/>
  <c r="C7070" i="10"/>
  <c r="B7070" i="10"/>
  <c r="A7070" i="10"/>
  <c r="E7069" i="10"/>
  <c r="D7069" i="10"/>
  <c r="C7069" i="10"/>
  <c r="B7069" i="10"/>
  <c r="A7069" i="10"/>
  <c r="E7068" i="10"/>
  <c r="D7068" i="10"/>
  <c r="C7068" i="10"/>
  <c r="B7068" i="10"/>
  <c r="A7068" i="10"/>
  <c r="E7067" i="10"/>
  <c r="D7067" i="10"/>
  <c r="C7067" i="10"/>
  <c r="B7067" i="10"/>
  <c r="A7067" i="10"/>
  <c r="E7066" i="10"/>
  <c r="D7066" i="10"/>
  <c r="C7066" i="10"/>
  <c r="B7066" i="10"/>
  <c r="A7066" i="10"/>
  <c r="E7065" i="10"/>
  <c r="D7065" i="10"/>
  <c r="C7065" i="10"/>
  <c r="B7065" i="10"/>
  <c r="A7065" i="10"/>
  <c r="E7064" i="10"/>
  <c r="D7064" i="10"/>
  <c r="C7064" i="10"/>
  <c r="B7064" i="10"/>
  <c r="A7064" i="10"/>
  <c r="E7063" i="10"/>
  <c r="D7063" i="10"/>
  <c r="C7063" i="10"/>
  <c r="B7063" i="10"/>
  <c r="A7063" i="10"/>
  <c r="E7062" i="10"/>
  <c r="D7062" i="10"/>
  <c r="C7062" i="10"/>
  <c r="B7062" i="10"/>
  <c r="A7062" i="10"/>
  <c r="E7061" i="10"/>
  <c r="D7061" i="10"/>
  <c r="C7061" i="10"/>
  <c r="B7061" i="10"/>
  <c r="A7061" i="10"/>
  <c r="E7060" i="10"/>
  <c r="D7060" i="10"/>
  <c r="C7060" i="10"/>
  <c r="B7060" i="10"/>
  <c r="A7060" i="10"/>
  <c r="E7059" i="10"/>
  <c r="D7059" i="10"/>
  <c r="C7059" i="10"/>
  <c r="B7059" i="10"/>
  <c r="A7059" i="10"/>
  <c r="E7058" i="10"/>
  <c r="D7058" i="10"/>
  <c r="C7058" i="10"/>
  <c r="B7058" i="10"/>
  <c r="A7058" i="10"/>
  <c r="E7057" i="10"/>
  <c r="D7057" i="10"/>
  <c r="C7057" i="10"/>
  <c r="B7057" i="10"/>
  <c r="A7057" i="10"/>
  <c r="E7056" i="10"/>
  <c r="D7056" i="10"/>
  <c r="C7056" i="10"/>
  <c r="B7056" i="10"/>
  <c r="A7056" i="10"/>
  <c r="E7055" i="10"/>
  <c r="D7055" i="10"/>
  <c r="C7055" i="10"/>
  <c r="B7055" i="10"/>
  <c r="A7055" i="10"/>
  <c r="E7054" i="10"/>
  <c r="D7054" i="10"/>
  <c r="C7054" i="10"/>
  <c r="B7054" i="10"/>
  <c r="A7054" i="10"/>
  <c r="E7053" i="10"/>
  <c r="D7053" i="10"/>
  <c r="C7053" i="10"/>
  <c r="B7053" i="10"/>
  <c r="A7053" i="10"/>
  <c r="E7052" i="10"/>
  <c r="D7052" i="10"/>
  <c r="C7052" i="10"/>
  <c r="B7052" i="10"/>
  <c r="A7052" i="10"/>
  <c r="E7051" i="10"/>
  <c r="D7051" i="10"/>
  <c r="C7051" i="10"/>
  <c r="B7051" i="10"/>
  <c r="A7051" i="10"/>
  <c r="E7050" i="10"/>
  <c r="D7050" i="10"/>
  <c r="C7050" i="10"/>
  <c r="B7050" i="10"/>
  <c r="A7050" i="10"/>
  <c r="E7049" i="10"/>
  <c r="D7049" i="10"/>
  <c r="C7049" i="10"/>
  <c r="B7049" i="10"/>
  <c r="A7049" i="10"/>
  <c r="E7048" i="10"/>
  <c r="D7048" i="10"/>
  <c r="C7048" i="10"/>
  <c r="B7048" i="10"/>
  <c r="A7048" i="10"/>
  <c r="E7047" i="10"/>
  <c r="D7047" i="10"/>
  <c r="C7047" i="10"/>
  <c r="B7047" i="10"/>
  <c r="A7047" i="10"/>
  <c r="E7046" i="10"/>
  <c r="D7046" i="10"/>
  <c r="C7046" i="10"/>
  <c r="B7046" i="10"/>
  <c r="A7046" i="10"/>
  <c r="E7045" i="10"/>
  <c r="D7045" i="10"/>
  <c r="C7045" i="10"/>
  <c r="B7045" i="10"/>
  <c r="A7045" i="10"/>
  <c r="E7044" i="10"/>
  <c r="D7044" i="10"/>
  <c r="C7044" i="10"/>
  <c r="B7044" i="10"/>
  <c r="A7044" i="10"/>
  <c r="E7043" i="10"/>
  <c r="D7043" i="10"/>
  <c r="C7043" i="10"/>
  <c r="B7043" i="10"/>
  <c r="A7043" i="10"/>
  <c r="E7042" i="10"/>
  <c r="D7042" i="10"/>
  <c r="C7042" i="10"/>
  <c r="B7042" i="10"/>
  <c r="A7042" i="10"/>
  <c r="E7041" i="10"/>
  <c r="D7041" i="10"/>
  <c r="C7041" i="10"/>
  <c r="B7041" i="10"/>
  <c r="A7041" i="10"/>
  <c r="E7040" i="10"/>
  <c r="D7040" i="10"/>
  <c r="C7040" i="10"/>
  <c r="B7040" i="10"/>
  <c r="A7040" i="10"/>
  <c r="E7039" i="10"/>
  <c r="D7039" i="10"/>
  <c r="C7039" i="10"/>
  <c r="B7039" i="10"/>
  <c r="A7039" i="10"/>
  <c r="E7038" i="10"/>
  <c r="D7038" i="10"/>
  <c r="C7038" i="10"/>
  <c r="B7038" i="10"/>
  <c r="A7038" i="10"/>
  <c r="E7037" i="10"/>
  <c r="D7037" i="10"/>
  <c r="C7037" i="10"/>
  <c r="B7037" i="10"/>
  <c r="A7037" i="10"/>
  <c r="E7036" i="10"/>
  <c r="D7036" i="10"/>
  <c r="C7036" i="10"/>
  <c r="B7036" i="10"/>
  <c r="A7036" i="10"/>
  <c r="E7035" i="10"/>
  <c r="D7035" i="10"/>
  <c r="C7035" i="10"/>
  <c r="B7035" i="10"/>
  <c r="A7035" i="10"/>
  <c r="E7034" i="10"/>
  <c r="D7034" i="10"/>
  <c r="C7034" i="10"/>
  <c r="B7034" i="10"/>
  <c r="A7034" i="10"/>
  <c r="E7033" i="10"/>
  <c r="D7033" i="10"/>
  <c r="C7033" i="10"/>
  <c r="B7033" i="10"/>
  <c r="A7033" i="10"/>
  <c r="E7032" i="10"/>
  <c r="D7032" i="10"/>
  <c r="C7032" i="10"/>
  <c r="B7032" i="10"/>
  <c r="A7032" i="10"/>
  <c r="E7031" i="10"/>
  <c r="D7031" i="10"/>
  <c r="C7031" i="10"/>
  <c r="B7031" i="10"/>
  <c r="A7031" i="10"/>
  <c r="E7030" i="10"/>
  <c r="D7030" i="10"/>
  <c r="C7030" i="10"/>
  <c r="B7030" i="10"/>
  <c r="A7030" i="10"/>
  <c r="E7029" i="10"/>
  <c r="D7029" i="10"/>
  <c r="C7029" i="10"/>
  <c r="B7029" i="10"/>
  <c r="A7029" i="10"/>
  <c r="E7028" i="10"/>
  <c r="D7028" i="10"/>
  <c r="C7028" i="10"/>
  <c r="B7028" i="10"/>
  <c r="A7028" i="10"/>
  <c r="E7027" i="10"/>
  <c r="D7027" i="10"/>
  <c r="C7027" i="10"/>
  <c r="B7027" i="10"/>
  <c r="A7027" i="10"/>
  <c r="E7026" i="10"/>
  <c r="D7026" i="10"/>
  <c r="C7026" i="10"/>
  <c r="B7026" i="10"/>
  <c r="A7026" i="10"/>
  <c r="E7025" i="10"/>
  <c r="D7025" i="10"/>
  <c r="C7025" i="10"/>
  <c r="B7025" i="10"/>
  <c r="A7025" i="10"/>
  <c r="E7024" i="10"/>
  <c r="D7024" i="10"/>
  <c r="C7024" i="10"/>
  <c r="B7024" i="10"/>
  <c r="A7024" i="10"/>
  <c r="E7023" i="10"/>
  <c r="D7023" i="10"/>
  <c r="C7023" i="10"/>
  <c r="B7023" i="10"/>
  <c r="A7023" i="10"/>
  <c r="E7022" i="10"/>
  <c r="D7022" i="10"/>
  <c r="C7022" i="10"/>
  <c r="B7022" i="10"/>
  <c r="A7022" i="10"/>
  <c r="E7021" i="10"/>
  <c r="D7021" i="10"/>
  <c r="C7021" i="10"/>
  <c r="B7021" i="10"/>
  <c r="A7021" i="10"/>
  <c r="E7020" i="10"/>
  <c r="D7020" i="10"/>
  <c r="C7020" i="10"/>
  <c r="B7020" i="10"/>
  <c r="A7020" i="10"/>
  <c r="E7019" i="10"/>
  <c r="D7019" i="10"/>
  <c r="C7019" i="10"/>
  <c r="B7019" i="10"/>
  <c r="A7019" i="10"/>
  <c r="E7018" i="10"/>
  <c r="D7018" i="10"/>
  <c r="C7018" i="10"/>
  <c r="B7018" i="10"/>
  <c r="A7018" i="10"/>
  <c r="E7017" i="10"/>
  <c r="D7017" i="10"/>
  <c r="C7017" i="10"/>
  <c r="B7017" i="10"/>
  <c r="A7017" i="10"/>
  <c r="E7016" i="10"/>
  <c r="D7016" i="10"/>
  <c r="C7016" i="10"/>
  <c r="B7016" i="10"/>
  <c r="A7016" i="10"/>
  <c r="E7015" i="10"/>
  <c r="D7015" i="10"/>
  <c r="C7015" i="10"/>
  <c r="B7015" i="10"/>
  <c r="A7015" i="10"/>
  <c r="E7014" i="10"/>
  <c r="D7014" i="10"/>
  <c r="C7014" i="10"/>
  <c r="B7014" i="10"/>
  <c r="A7014" i="10"/>
  <c r="E7013" i="10"/>
  <c r="D7013" i="10"/>
  <c r="C7013" i="10"/>
  <c r="B7013" i="10"/>
  <c r="A7013" i="10"/>
  <c r="E7012" i="10"/>
  <c r="D7012" i="10"/>
  <c r="C7012" i="10"/>
  <c r="B7012" i="10"/>
  <c r="A7012" i="10"/>
  <c r="E7011" i="10"/>
  <c r="D7011" i="10"/>
  <c r="C7011" i="10"/>
  <c r="B7011" i="10"/>
  <c r="A7011" i="10"/>
  <c r="E7010" i="10"/>
  <c r="D7010" i="10"/>
  <c r="C7010" i="10"/>
  <c r="B7010" i="10"/>
  <c r="A7010" i="10"/>
  <c r="E7009" i="10"/>
  <c r="D7009" i="10"/>
  <c r="C7009" i="10"/>
  <c r="B7009" i="10"/>
  <c r="A7009" i="10"/>
  <c r="E7008" i="10"/>
  <c r="D7008" i="10"/>
  <c r="C7008" i="10"/>
  <c r="B7008" i="10"/>
  <c r="A7008" i="10"/>
  <c r="E7007" i="10"/>
  <c r="D7007" i="10"/>
  <c r="C7007" i="10"/>
  <c r="B7007" i="10"/>
  <c r="A7007" i="10"/>
  <c r="E7006" i="10"/>
  <c r="D7006" i="10"/>
  <c r="C7006" i="10"/>
  <c r="B7006" i="10"/>
  <c r="A7006" i="10"/>
  <c r="E7005" i="10"/>
  <c r="D7005" i="10"/>
  <c r="C7005" i="10"/>
  <c r="B7005" i="10"/>
  <c r="A7005" i="10"/>
  <c r="E7004" i="10"/>
  <c r="D7004" i="10"/>
  <c r="C7004" i="10"/>
  <c r="B7004" i="10"/>
  <c r="A7004" i="10"/>
  <c r="E7003" i="10"/>
  <c r="D7003" i="10"/>
  <c r="C7003" i="10"/>
  <c r="B7003" i="10"/>
  <c r="A7003" i="10"/>
  <c r="E7002" i="10"/>
  <c r="D7002" i="10"/>
  <c r="C7002" i="10"/>
  <c r="B7002" i="10"/>
  <c r="A7002" i="10"/>
  <c r="E7001" i="10"/>
  <c r="D7001" i="10"/>
  <c r="C7001" i="10"/>
  <c r="B7001" i="10"/>
  <c r="A7001" i="10"/>
  <c r="E7000" i="10"/>
  <c r="D7000" i="10"/>
  <c r="C7000" i="10"/>
  <c r="B7000" i="10"/>
  <c r="A7000" i="10"/>
  <c r="E6999" i="10"/>
  <c r="D6999" i="10"/>
  <c r="C6999" i="10"/>
  <c r="B6999" i="10"/>
  <c r="A6999" i="10"/>
  <c r="E6998" i="10"/>
  <c r="D6998" i="10"/>
  <c r="C6998" i="10"/>
  <c r="B6998" i="10"/>
  <c r="A6998" i="10"/>
  <c r="E6997" i="10"/>
  <c r="D6997" i="10"/>
  <c r="C6997" i="10"/>
  <c r="B6997" i="10"/>
  <c r="A6997" i="10"/>
  <c r="E6996" i="10"/>
  <c r="D6996" i="10"/>
  <c r="C6996" i="10"/>
  <c r="B6996" i="10"/>
  <c r="A6996" i="10"/>
  <c r="E6995" i="10"/>
  <c r="D6995" i="10"/>
  <c r="C6995" i="10"/>
  <c r="B6995" i="10"/>
  <c r="A6995" i="10"/>
  <c r="E6994" i="10"/>
  <c r="D6994" i="10"/>
  <c r="C6994" i="10"/>
  <c r="B6994" i="10"/>
  <c r="A6994" i="10"/>
  <c r="E6993" i="10"/>
  <c r="D6993" i="10"/>
  <c r="C6993" i="10"/>
  <c r="B6993" i="10"/>
  <c r="A6993" i="10"/>
  <c r="E6992" i="10"/>
  <c r="D6992" i="10"/>
  <c r="C6992" i="10"/>
  <c r="B6992" i="10"/>
  <c r="A6992" i="10"/>
  <c r="E6991" i="10"/>
  <c r="D6991" i="10"/>
  <c r="C6991" i="10"/>
  <c r="B6991" i="10"/>
  <c r="A6991" i="10"/>
  <c r="E6990" i="10"/>
  <c r="D6990" i="10"/>
  <c r="C6990" i="10"/>
  <c r="B6990" i="10"/>
  <c r="A6990" i="10"/>
  <c r="E6989" i="10"/>
  <c r="D6989" i="10"/>
  <c r="C6989" i="10"/>
  <c r="B6989" i="10"/>
  <c r="A6989" i="10"/>
  <c r="E6988" i="10"/>
  <c r="D6988" i="10"/>
  <c r="C6988" i="10"/>
  <c r="B6988" i="10"/>
  <c r="A6988" i="10"/>
  <c r="E6987" i="10"/>
  <c r="D6987" i="10"/>
  <c r="C6987" i="10"/>
  <c r="B6987" i="10"/>
  <c r="A6987" i="10"/>
  <c r="E6986" i="10"/>
  <c r="D6986" i="10"/>
  <c r="C6986" i="10"/>
  <c r="B6986" i="10"/>
  <c r="A6986" i="10"/>
  <c r="E6985" i="10"/>
  <c r="D6985" i="10"/>
  <c r="C6985" i="10"/>
  <c r="B6985" i="10"/>
  <c r="A6985" i="10"/>
  <c r="E6984" i="10"/>
  <c r="D6984" i="10"/>
  <c r="C6984" i="10"/>
  <c r="B6984" i="10"/>
  <c r="A6984" i="10"/>
  <c r="E6983" i="10"/>
  <c r="D6983" i="10"/>
  <c r="C6983" i="10"/>
  <c r="B6983" i="10"/>
  <c r="A6983" i="10"/>
  <c r="E6982" i="10"/>
  <c r="D6982" i="10"/>
  <c r="C6982" i="10"/>
  <c r="B6982" i="10"/>
  <c r="A6982" i="10"/>
  <c r="E6981" i="10"/>
  <c r="D6981" i="10"/>
  <c r="C6981" i="10"/>
  <c r="B6981" i="10"/>
  <c r="A6981" i="10"/>
  <c r="E6980" i="10"/>
  <c r="D6980" i="10"/>
  <c r="C6980" i="10"/>
  <c r="B6980" i="10"/>
  <c r="A6980" i="10"/>
  <c r="E6979" i="10"/>
  <c r="D6979" i="10"/>
  <c r="C6979" i="10"/>
  <c r="B6979" i="10"/>
  <c r="A6979" i="10"/>
  <c r="E6978" i="10"/>
  <c r="D6978" i="10"/>
  <c r="C6978" i="10"/>
  <c r="B6978" i="10"/>
  <c r="A6978" i="10"/>
  <c r="E6977" i="10"/>
  <c r="D6977" i="10"/>
  <c r="C6977" i="10"/>
  <c r="B6977" i="10"/>
  <c r="A6977" i="10"/>
  <c r="E6976" i="10"/>
  <c r="D6976" i="10"/>
  <c r="C6976" i="10"/>
  <c r="B6976" i="10"/>
  <c r="A6976" i="10"/>
  <c r="E6975" i="10"/>
  <c r="D6975" i="10"/>
  <c r="C6975" i="10"/>
  <c r="B6975" i="10"/>
  <c r="A6975" i="10"/>
  <c r="E6974" i="10"/>
  <c r="D6974" i="10"/>
  <c r="C6974" i="10"/>
  <c r="B6974" i="10"/>
  <c r="A6974" i="10"/>
  <c r="E6973" i="10"/>
  <c r="D6973" i="10"/>
  <c r="C6973" i="10"/>
  <c r="B6973" i="10"/>
  <c r="A6973" i="10"/>
  <c r="E6972" i="10"/>
  <c r="D6972" i="10"/>
  <c r="C6972" i="10"/>
  <c r="B6972" i="10"/>
  <c r="A6972" i="10"/>
  <c r="E6971" i="10"/>
  <c r="D6971" i="10"/>
  <c r="C6971" i="10"/>
  <c r="B6971" i="10"/>
  <c r="A6971" i="10"/>
  <c r="E6970" i="10"/>
  <c r="D6970" i="10"/>
  <c r="C6970" i="10"/>
  <c r="B6970" i="10"/>
  <c r="A6970" i="10"/>
  <c r="E6969" i="10"/>
  <c r="D6969" i="10"/>
  <c r="C6969" i="10"/>
  <c r="B6969" i="10"/>
  <c r="A6969" i="10"/>
  <c r="E6968" i="10"/>
  <c r="D6968" i="10"/>
  <c r="C6968" i="10"/>
  <c r="B6968" i="10"/>
  <c r="A6968" i="10"/>
  <c r="E6967" i="10"/>
  <c r="D6967" i="10"/>
  <c r="C6967" i="10"/>
  <c r="B6967" i="10"/>
  <c r="A6967" i="10"/>
  <c r="E6966" i="10"/>
  <c r="D6966" i="10"/>
  <c r="C6966" i="10"/>
  <c r="B6966" i="10"/>
  <c r="A6966" i="10"/>
  <c r="E6965" i="10"/>
  <c r="D6965" i="10"/>
  <c r="C6965" i="10"/>
  <c r="B6965" i="10"/>
  <c r="A6965" i="10"/>
  <c r="E6964" i="10"/>
  <c r="D6964" i="10"/>
  <c r="C6964" i="10"/>
  <c r="B6964" i="10"/>
  <c r="A6964" i="10"/>
  <c r="E6963" i="10"/>
  <c r="D6963" i="10"/>
  <c r="C6963" i="10"/>
  <c r="B6963" i="10"/>
  <c r="A6963" i="10"/>
  <c r="E6962" i="10"/>
  <c r="D6962" i="10"/>
  <c r="C6962" i="10"/>
  <c r="B6962" i="10"/>
  <c r="A6962" i="10"/>
  <c r="E6961" i="10"/>
  <c r="D6961" i="10"/>
  <c r="C6961" i="10"/>
  <c r="B6961" i="10"/>
  <c r="A6961" i="10"/>
  <c r="E6960" i="10"/>
  <c r="D6960" i="10"/>
  <c r="C6960" i="10"/>
  <c r="B6960" i="10"/>
  <c r="A6960" i="10"/>
  <c r="E6959" i="10"/>
  <c r="D6959" i="10"/>
  <c r="C6959" i="10"/>
  <c r="B6959" i="10"/>
  <c r="A6959" i="10"/>
  <c r="E6958" i="10"/>
  <c r="D6958" i="10"/>
  <c r="C6958" i="10"/>
  <c r="B6958" i="10"/>
  <c r="A6958" i="10"/>
  <c r="E6957" i="10"/>
  <c r="D6957" i="10"/>
  <c r="C6957" i="10"/>
  <c r="B6957" i="10"/>
  <c r="A6957" i="10"/>
  <c r="E6956" i="10"/>
  <c r="D6956" i="10"/>
  <c r="C6956" i="10"/>
  <c r="B6956" i="10"/>
  <c r="A6956" i="10"/>
  <c r="E6955" i="10"/>
  <c r="D6955" i="10"/>
  <c r="C6955" i="10"/>
  <c r="B6955" i="10"/>
  <c r="A6955" i="10"/>
  <c r="E6954" i="10"/>
  <c r="D6954" i="10"/>
  <c r="C6954" i="10"/>
  <c r="B6954" i="10"/>
  <c r="A6954" i="10"/>
  <c r="E6953" i="10"/>
  <c r="D6953" i="10"/>
  <c r="C6953" i="10"/>
  <c r="B6953" i="10"/>
  <c r="A6953" i="10"/>
  <c r="E6952" i="10"/>
  <c r="D6952" i="10"/>
  <c r="C6952" i="10"/>
  <c r="B6952" i="10"/>
  <c r="A6952" i="10"/>
  <c r="E6951" i="10"/>
  <c r="D6951" i="10"/>
  <c r="C6951" i="10"/>
  <c r="B6951" i="10"/>
  <c r="A6951" i="10"/>
  <c r="E6950" i="10"/>
  <c r="D6950" i="10"/>
  <c r="C6950" i="10"/>
  <c r="B6950" i="10"/>
  <c r="A6950" i="10"/>
  <c r="E6949" i="10"/>
  <c r="D6949" i="10"/>
  <c r="C6949" i="10"/>
  <c r="B6949" i="10"/>
  <c r="A6949" i="10"/>
  <c r="E6948" i="10"/>
  <c r="D6948" i="10"/>
  <c r="C6948" i="10"/>
  <c r="B6948" i="10"/>
  <c r="A6948" i="10"/>
  <c r="E6947" i="10"/>
  <c r="D6947" i="10"/>
  <c r="C6947" i="10"/>
  <c r="B6947" i="10"/>
  <c r="A6947" i="10"/>
  <c r="E6946" i="10"/>
  <c r="D6946" i="10"/>
  <c r="C6946" i="10"/>
  <c r="B6946" i="10"/>
  <c r="A6946" i="10"/>
  <c r="E6945" i="10"/>
  <c r="D6945" i="10"/>
  <c r="C6945" i="10"/>
  <c r="B6945" i="10"/>
  <c r="A6945" i="10"/>
  <c r="E6944" i="10"/>
  <c r="D6944" i="10"/>
  <c r="C6944" i="10"/>
  <c r="B6944" i="10"/>
  <c r="A6944" i="10"/>
  <c r="E6943" i="10"/>
  <c r="D6943" i="10"/>
  <c r="C6943" i="10"/>
  <c r="B6943" i="10"/>
  <c r="A6943" i="10"/>
  <c r="E6942" i="10"/>
  <c r="D6942" i="10"/>
  <c r="C6942" i="10"/>
  <c r="B6942" i="10"/>
  <c r="A6942" i="10"/>
  <c r="E6941" i="10"/>
  <c r="D6941" i="10"/>
  <c r="C6941" i="10"/>
  <c r="B6941" i="10"/>
  <c r="A6941" i="10"/>
  <c r="E6940" i="10"/>
  <c r="D6940" i="10"/>
  <c r="C6940" i="10"/>
  <c r="B6940" i="10"/>
  <c r="A6940" i="10"/>
  <c r="E6939" i="10"/>
  <c r="D6939" i="10"/>
  <c r="C6939" i="10"/>
  <c r="B6939" i="10"/>
  <c r="A6939" i="10"/>
  <c r="E6938" i="10"/>
  <c r="D6938" i="10"/>
  <c r="C6938" i="10"/>
  <c r="B6938" i="10"/>
  <c r="A6938" i="10"/>
  <c r="E6937" i="10"/>
  <c r="D6937" i="10"/>
  <c r="C6937" i="10"/>
  <c r="B6937" i="10"/>
  <c r="A6937" i="10"/>
  <c r="E6936" i="10"/>
  <c r="D6936" i="10"/>
  <c r="C6936" i="10"/>
  <c r="B6936" i="10"/>
  <c r="A6936" i="10"/>
  <c r="E6935" i="10"/>
  <c r="D6935" i="10"/>
  <c r="C6935" i="10"/>
  <c r="B6935" i="10"/>
  <c r="A6935" i="10"/>
  <c r="E6934" i="10"/>
  <c r="D6934" i="10"/>
  <c r="C6934" i="10"/>
  <c r="B6934" i="10"/>
  <c r="A6934" i="10"/>
  <c r="E6933" i="10"/>
  <c r="D6933" i="10"/>
  <c r="C6933" i="10"/>
  <c r="B6933" i="10"/>
  <c r="A6933" i="10"/>
  <c r="E6932" i="10"/>
  <c r="D6932" i="10"/>
  <c r="C6932" i="10"/>
  <c r="B6932" i="10"/>
  <c r="A6932" i="10"/>
  <c r="E6931" i="10"/>
  <c r="D6931" i="10"/>
  <c r="C6931" i="10"/>
  <c r="B6931" i="10"/>
  <c r="A6931" i="10"/>
  <c r="E6930" i="10"/>
  <c r="D6930" i="10"/>
  <c r="C6930" i="10"/>
  <c r="B6930" i="10"/>
  <c r="A6930" i="10"/>
  <c r="E6929" i="10"/>
  <c r="D6929" i="10"/>
  <c r="C6929" i="10"/>
  <c r="B6929" i="10"/>
  <c r="A6929" i="10"/>
  <c r="E6928" i="10"/>
  <c r="D6928" i="10"/>
  <c r="C6928" i="10"/>
  <c r="B6928" i="10"/>
  <c r="A6928" i="10"/>
  <c r="E6927" i="10"/>
  <c r="D6927" i="10"/>
  <c r="C6927" i="10"/>
  <c r="B6927" i="10"/>
  <c r="A6927" i="10"/>
  <c r="E6926" i="10"/>
  <c r="D6926" i="10"/>
  <c r="C6926" i="10"/>
  <c r="B6926" i="10"/>
  <c r="A6926" i="10"/>
  <c r="E6925" i="10"/>
  <c r="D6925" i="10"/>
  <c r="C6925" i="10"/>
  <c r="B6925" i="10"/>
  <c r="A6925" i="10"/>
  <c r="E6924" i="10"/>
  <c r="D6924" i="10"/>
  <c r="C6924" i="10"/>
  <c r="B6924" i="10"/>
  <c r="A6924" i="10"/>
  <c r="E6923" i="10"/>
  <c r="D6923" i="10"/>
  <c r="C6923" i="10"/>
  <c r="B6923" i="10"/>
  <c r="A6923" i="10"/>
  <c r="E6922" i="10"/>
  <c r="D6922" i="10"/>
  <c r="C6922" i="10"/>
  <c r="B6922" i="10"/>
  <c r="A6922" i="10"/>
  <c r="E6921" i="10"/>
  <c r="D6921" i="10"/>
  <c r="C6921" i="10"/>
  <c r="B6921" i="10"/>
  <c r="A6921" i="10"/>
  <c r="E6920" i="10"/>
  <c r="D6920" i="10"/>
  <c r="C6920" i="10"/>
  <c r="B6920" i="10"/>
  <c r="A6920" i="10"/>
  <c r="E6919" i="10"/>
  <c r="D6919" i="10"/>
  <c r="C6919" i="10"/>
  <c r="B6919" i="10"/>
  <c r="A6919" i="10"/>
  <c r="E6918" i="10"/>
  <c r="D6918" i="10"/>
  <c r="C6918" i="10"/>
  <c r="B6918" i="10"/>
  <c r="A6918" i="10"/>
  <c r="E6917" i="10"/>
  <c r="D6917" i="10"/>
  <c r="C6917" i="10"/>
  <c r="B6917" i="10"/>
  <c r="A6917" i="10"/>
  <c r="E6916" i="10"/>
  <c r="D6916" i="10"/>
  <c r="C6916" i="10"/>
  <c r="B6916" i="10"/>
  <c r="A6916" i="10"/>
  <c r="E6915" i="10"/>
  <c r="D6915" i="10"/>
  <c r="C6915" i="10"/>
  <c r="B6915" i="10"/>
  <c r="A6915" i="10"/>
  <c r="E6914" i="10"/>
  <c r="D6914" i="10"/>
  <c r="C6914" i="10"/>
  <c r="B6914" i="10"/>
  <c r="A6914" i="10"/>
  <c r="E6913" i="10"/>
  <c r="D6913" i="10"/>
  <c r="C6913" i="10"/>
  <c r="B6913" i="10"/>
  <c r="A6913" i="10"/>
  <c r="E6912" i="10"/>
  <c r="D6912" i="10"/>
  <c r="C6912" i="10"/>
  <c r="B6912" i="10"/>
  <c r="A6912" i="10"/>
  <c r="E6911" i="10"/>
  <c r="D6911" i="10"/>
  <c r="C6911" i="10"/>
  <c r="B6911" i="10"/>
  <c r="A6911" i="10"/>
  <c r="E6910" i="10"/>
  <c r="D6910" i="10"/>
  <c r="C6910" i="10"/>
  <c r="B6910" i="10"/>
  <c r="A6910" i="10"/>
  <c r="E6909" i="10"/>
  <c r="D6909" i="10"/>
  <c r="C6909" i="10"/>
  <c r="B6909" i="10"/>
  <c r="A6909" i="10"/>
  <c r="E6908" i="10"/>
  <c r="D6908" i="10"/>
  <c r="C6908" i="10"/>
  <c r="B6908" i="10"/>
  <c r="A6908" i="10"/>
  <c r="E6907" i="10"/>
  <c r="D6907" i="10"/>
  <c r="C6907" i="10"/>
  <c r="B6907" i="10"/>
  <c r="A6907" i="10"/>
  <c r="E6906" i="10"/>
  <c r="D6906" i="10"/>
  <c r="C6906" i="10"/>
  <c r="B6906" i="10"/>
  <c r="A6906" i="10"/>
  <c r="E6905" i="10"/>
  <c r="D6905" i="10"/>
  <c r="C6905" i="10"/>
  <c r="B6905" i="10"/>
  <c r="A6905" i="10"/>
  <c r="E6904" i="10"/>
  <c r="D6904" i="10"/>
  <c r="C6904" i="10"/>
  <c r="B6904" i="10"/>
  <c r="A6904" i="10"/>
  <c r="E6903" i="10"/>
  <c r="D6903" i="10"/>
  <c r="C6903" i="10"/>
  <c r="B6903" i="10"/>
  <c r="A6903" i="10"/>
  <c r="E6902" i="10"/>
  <c r="D6902" i="10"/>
  <c r="C6902" i="10"/>
  <c r="B6902" i="10"/>
  <c r="A6902" i="10"/>
  <c r="E6901" i="10"/>
  <c r="D6901" i="10"/>
  <c r="C6901" i="10"/>
  <c r="B6901" i="10"/>
  <c r="A6901" i="10"/>
  <c r="E6900" i="10"/>
  <c r="D6900" i="10"/>
  <c r="C6900" i="10"/>
  <c r="B6900" i="10"/>
  <c r="A6900" i="10"/>
  <c r="E6899" i="10"/>
  <c r="D6899" i="10"/>
  <c r="C6899" i="10"/>
  <c r="B6899" i="10"/>
  <c r="A6899" i="10"/>
  <c r="E6898" i="10"/>
  <c r="D6898" i="10"/>
  <c r="C6898" i="10"/>
  <c r="B6898" i="10"/>
  <c r="A6898" i="10"/>
  <c r="E6897" i="10"/>
  <c r="D6897" i="10"/>
  <c r="C6897" i="10"/>
  <c r="B6897" i="10"/>
  <c r="A6897" i="10"/>
  <c r="E6896" i="10"/>
  <c r="D6896" i="10"/>
  <c r="C6896" i="10"/>
  <c r="B6896" i="10"/>
  <c r="A6896" i="10"/>
  <c r="E6895" i="10"/>
  <c r="D6895" i="10"/>
  <c r="C6895" i="10"/>
  <c r="B6895" i="10"/>
  <c r="A6895" i="10"/>
  <c r="E6894" i="10"/>
  <c r="D6894" i="10"/>
  <c r="C6894" i="10"/>
  <c r="B6894" i="10"/>
  <c r="A6894" i="10"/>
  <c r="E6893" i="10"/>
  <c r="D6893" i="10"/>
  <c r="C6893" i="10"/>
  <c r="B6893" i="10"/>
  <c r="A6893" i="10"/>
  <c r="E6892" i="10"/>
  <c r="D6892" i="10"/>
  <c r="C6892" i="10"/>
  <c r="B6892" i="10"/>
  <c r="A6892" i="10"/>
  <c r="E6891" i="10"/>
  <c r="D6891" i="10"/>
  <c r="C6891" i="10"/>
  <c r="B6891" i="10"/>
  <c r="A6891" i="10"/>
  <c r="E6890" i="10"/>
  <c r="D6890" i="10"/>
  <c r="C6890" i="10"/>
  <c r="B6890" i="10"/>
  <c r="A6890" i="10"/>
  <c r="E6889" i="10"/>
  <c r="D6889" i="10"/>
  <c r="C6889" i="10"/>
  <c r="B6889" i="10"/>
  <c r="A6889" i="10"/>
  <c r="E6888" i="10"/>
  <c r="D6888" i="10"/>
  <c r="C6888" i="10"/>
  <c r="B6888" i="10"/>
  <c r="A6888" i="10"/>
  <c r="E6887" i="10"/>
  <c r="D6887" i="10"/>
  <c r="C6887" i="10"/>
  <c r="B6887" i="10"/>
  <c r="A6887" i="10"/>
  <c r="E6886" i="10"/>
  <c r="D6886" i="10"/>
  <c r="C6886" i="10"/>
  <c r="B6886" i="10"/>
  <c r="A6886" i="10"/>
  <c r="E6885" i="10"/>
  <c r="D6885" i="10"/>
  <c r="C6885" i="10"/>
  <c r="B6885" i="10"/>
  <c r="A6885" i="10"/>
  <c r="E6884" i="10"/>
  <c r="D6884" i="10"/>
  <c r="C6884" i="10"/>
  <c r="B6884" i="10"/>
  <c r="A6884" i="10"/>
  <c r="E6883" i="10"/>
  <c r="D6883" i="10"/>
  <c r="C6883" i="10"/>
  <c r="B6883" i="10"/>
  <c r="A6883" i="10"/>
  <c r="E6882" i="10"/>
  <c r="D6882" i="10"/>
  <c r="C6882" i="10"/>
  <c r="B6882" i="10"/>
  <c r="A6882" i="10"/>
  <c r="E6881" i="10"/>
  <c r="D6881" i="10"/>
  <c r="C6881" i="10"/>
  <c r="B6881" i="10"/>
  <c r="A6881" i="10"/>
  <c r="E6880" i="10"/>
  <c r="D6880" i="10"/>
  <c r="C6880" i="10"/>
  <c r="B6880" i="10"/>
  <c r="A6880" i="10"/>
  <c r="E6879" i="10"/>
  <c r="D6879" i="10"/>
  <c r="C6879" i="10"/>
  <c r="B6879" i="10"/>
  <c r="A6879" i="10"/>
  <c r="E6878" i="10"/>
  <c r="D6878" i="10"/>
  <c r="C6878" i="10"/>
  <c r="B6878" i="10"/>
  <c r="A6878" i="10"/>
  <c r="E6877" i="10"/>
  <c r="D6877" i="10"/>
  <c r="C6877" i="10"/>
  <c r="B6877" i="10"/>
  <c r="A6877" i="10"/>
  <c r="E6876" i="10"/>
  <c r="D6876" i="10"/>
  <c r="C6876" i="10"/>
  <c r="B6876" i="10"/>
  <c r="A6876" i="10"/>
  <c r="E6875" i="10"/>
  <c r="D6875" i="10"/>
  <c r="C6875" i="10"/>
  <c r="B6875" i="10"/>
  <c r="A6875" i="10"/>
  <c r="E6874" i="10"/>
  <c r="D6874" i="10"/>
  <c r="C6874" i="10"/>
  <c r="B6874" i="10"/>
  <c r="A6874" i="10"/>
  <c r="E6873" i="10"/>
  <c r="D6873" i="10"/>
  <c r="C6873" i="10"/>
  <c r="B6873" i="10"/>
  <c r="A6873" i="10"/>
  <c r="E6872" i="10"/>
  <c r="D6872" i="10"/>
  <c r="C6872" i="10"/>
  <c r="B6872" i="10"/>
  <c r="A6872" i="10"/>
  <c r="E6871" i="10"/>
  <c r="D6871" i="10"/>
  <c r="C6871" i="10"/>
  <c r="B6871" i="10"/>
  <c r="A6871" i="10"/>
  <c r="E6870" i="10"/>
  <c r="D6870" i="10"/>
  <c r="C6870" i="10"/>
  <c r="B6870" i="10"/>
  <c r="A6870" i="10"/>
  <c r="E6869" i="10"/>
  <c r="D6869" i="10"/>
  <c r="C6869" i="10"/>
  <c r="B6869" i="10"/>
  <c r="A6869" i="10"/>
  <c r="E6868" i="10"/>
  <c r="D6868" i="10"/>
  <c r="C6868" i="10"/>
  <c r="B6868" i="10"/>
  <c r="A6868" i="10"/>
  <c r="E6867" i="10"/>
  <c r="D6867" i="10"/>
  <c r="C6867" i="10"/>
  <c r="B6867" i="10"/>
  <c r="A6867" i="10"/>
  <c r="E6866" i="10"/>
  <c r="D6866" i="10"/>
  <c r="C6866" i="10"/>
  <c r="B6866" i="10"/>
  <c r="A6866" i="10"/>
  <c r="E6865" i="10"/>
  <c r="D6865" i="10"/>
  <c r="C6865" i="10"/>
  <c r="B6865" i="10"/>
  <c r="A6865" i="10"/>
  <c r="E6864" i="10"/>
  <c r="D6864" i="10"/>
  <c r="C6864" i="10"/>
  <c r="B6864" i="10"/>
  <c r="A6864" i="10"/>
  <c r="E6863" i="10"/>
  <c r="D6863" i="10"/>
  <c r="C6863" i="10"/>
  <c r="B6863" i="10"/>
  <c r="A6863" i="10"/>
  <c r="E6862" i="10"/>
  <c r="D6862" i="10"/>
  <c r="C6862" i="10"/>
  <c r="B6862" i="10"/>
  <c r="A6862" i="10"/>
  <c r="E6861" i="10"/>
  <c r="D6861" i="10"/>
  <c r="C6861" i="10"/>
  <c r="B6861" i="10"/>
  <c r="A6861" i="10"/>
  <c r="E6860" i="10"/>
  <c r="D6860" i="10"/>
  <c r="C6860" i="10"/>
  <c r="B6860" i="10"/>
  <c r="A6860" i="10"/>
  <c r="E6859" i="10"/>
  <c r="D6859" i="10"/>
  <c r="C6859" i="10"/>
  <c r="B6859" i="10"/>
  <c r="A6859" i="10"/>
  <c r="E6858" i="10"/>
  <c r="D6858" i="10"/>
  <c r="C6858" i="10"/>
  <c r="B6858" i="10"/>
  <c r="A6858" i="10"/>
  <c r="E6857" i="10"/>
  <c r="D6857" i="10"/>
  <c r="C6857" i="10"/>
  <c r="B6857" i="10"/>
  <c r="A6857" i="10"/>
  <c r="E6856" i="10"/>
  <c r="D6856" i="10"/>
  <c r="C6856" i="10"/>
  <c r="B6856" i="10"/>
  <c r="A6856" i="10"/>
  <c r="E6855" i="10"/>
  <c r="D6855" i="10"/>
  <c r="C6855" i="10"/>
  <c r="B6855" i="10"/>
  <c r="A6855" i="10"/>
  <c r="E6854" i="10"/>
  <c r="D6854" i="10"/>
  <c r="C6854" i="10"/>
  <c r="B6854" i="10"/>
  <c r="A6854" i="10"/>
  <c r="E6853" i="10"/>
  <c r="D6853" i="10"/>
  <c r="C6853" i="10"/>
  <c r="B6853" i="10"/>
  <c r="A6853" i="10"/>
  <c r="E6852" i="10"/>
  <c r="D6852" i="10"/>
  <c r="C6852" i="10"/>
  <c r="B6852" i="10"/>
  <c r="A6852" i="10"/>
  <c r="E6851" i="10"/>
  <c r="D6851" i="10"/>
  <c r="C6851" i="10"/>
  <c r="B6851" i="10"/>
  <c r="A6851" i="10"/>
  <c r="E6850" i="10"/>
  <c r="D6850" i="10"/>
  <c r="C6850" i="10"/>
  <c r="B6850" i="10"/>
  <c r="A6850" i="10"/>
  <c r="E6849" i="10"/>
  <c r="D6849" i="10"/>
  <c r="C6849" i="10"/>
  <c r="B6849" i="10"/>
  <c r="A6849" i="10"/>
  <c r="E6848" i="10"/>
  <c r="D6848" i="10"/>
  <c r="C6848" i="10"/>
  <c r="B6848" i="10"/>
  <c r="A6848" i="10"/>
  <c r="E6847" i="10"/>
  <c r="D6847" i="10"/>
  <c r="C6847" i="10"/>
  <c r="B6847" i="10"/>
  <c r="A6847" i="10"/>
  <c r="E6846" i="10"/>
  <c r="D6846" i="10"/>
  <c r="C6846" i="10"/>
  <c r="B6846" i="10"/>
  <c r="A6846" i="10"/>
  <c r="E6845" i="10"/>
  <c r="D6845" i="10"/>
  <c r="C6845" i="10"/>
  <c r="B6845" i="10"/>
  <c r="A6845" i="10"/>
  <c r="E6844" i="10"/>
  <c r="D6844" i="10"/>
  <c r="C6844" i="10"/>
  <c r="B6844" i="10"/>
  <c r="A6844" i="10"/>
  <c r="E6843" i="10"/>
  <c r="D6843" i="10"/>
  <c r="C6843" i="10"/>
  <c r="B6843" i="10"/>
  <c r="A6843" i="10"/>
  <c r="E6842" i="10"/>
  <c r="D6842" i="10"/>
  <c r="C6842" i="10"/>
  <c r="B6842" i="10"/>
  <c r="A6842" i="10"/>
  <c r="E6841" i="10"/>
  <c r="D6841" i="10"/>
  <c r="C6841" i="10"/>
  <c r="B6841" i="10"/>
  <c r="A6841" i="10"/>
  <c r="E6840" i="10"/>
  <c r="D6840" i="10"/>
  <c r="C6840" i="10"/>
  <c r="B6840" i="10"/>
  <c r="A6840" i="10"/>
  <c r="E6839" i="10"/>
  <c r="D6839" i="10"/>
  <c r="C6839" i="10"/>
  <c r="B6839" i="10"/>
  <c r="A6839" i="10"/>
  <c r="E6838" i="10"/>
  <c r="D6838" i="10"/>
  <c r="C6838" i="10"/>
  <c r="B6838" i="10"/>
  <c r="A6838" i="10"/>
  <c r="E6837" i="10"/>
  <c r="D6837" i="10"/>
  <c r="C6837" i="10"/>
  <c r="B6837" i="10"/>
  <c r="A6837" i="10"/>
  <c r="E6836" i="10"/>
  <c r="D6836" i="10"/>
  <c r="C6836" i="10"/>
  <c r="B6836" i="10"/>
  <c r="A6836" i="10"/>
  <c r="E6835" i="10"/>
  <c r="D6835" i="10"/>
  <c r="C6835" i="10"/>
  <c r="B6835" i="10"/>
  <c r="A6835" i="10"/>
  <c r="E6834" i="10"/>
  <c r="D6834" i="10"/>
  <c r="C6834" i="10"/>
  <c r="B6834" i="10"/>
  <c r="A6834" i="10"/>
  <c r="E6833" i="10"/>
  <c r="D6833" i="10"/>
  <c r="C6833" i="10"/>
  <c r="B6833" i="10"/>
  <c r="A6833" i="10"/>
  <c r="E6832" i="10"/>
  <c r="D6832" i="10"/>
  <c r="C6832" i="10"/>
  <c r="B6832" i="10"/>
  <c r="A6832" i="10"/>
  <c r="E6831" i="10"/>
  <c r="D6831" i="10"/>
  <c r="C6831" i="10"/>
  <c r="B6831" i="10"/>
  <c r="A6831" i="10"/>
  <c r="E6830" i="10"/>
  <c r="D6830" i="10"/>
  <c r="C6830" i="10"/>
  <c r="B6830" i="10"/>
  <c r="A6830" i="10"/>
  <c r="E6829" i="10"/>
  <c r="D6829" i="10"/>
  <c r="C6829" i="10"/>
  <c r="B6829" i="10"/>
  <c r="A6829" i="10"/>
  <c r="E6828" i="10"/>
  <c r="D6828" i="10"/>
  <c r="C6828" i="10"/>
  <c r="B6828" i="10"/>
  <c r="A6828" i="10"/>
  <c r="E6827" i="10"/>
  <c r="D6827" i="10"/>
  <c r="C6827" i="10"/>
  <c r="B6827" i="10"/>
  <c r="A6827" i="10"/>
  <c r="E6826" i="10"/>
  <c r="D6826" i="10"/>
  <c r="C6826" i="10"/>
  <c r="B6826" i="10"/>
  <c r="A6826" i="10"/>
  <c r="E6825" i="10"/>
  <c r="D6825" i="10"/>
  <c r="C6825" i="10"/>
  <c r="B6825" i="10"/>
  <c r="A6825" i="10"/>
  <c r="E6824" i="10"/>
  <c r="D6824" i="10"/>
  <c r="C6824" i="10"/>
  <c r="B6824" i="10"/>
  <c r="A6824" i="10"/>
  <c r="E6823" i="10"/>
  <c r="D6823" i="10"/>
  <c r="C6823" i="10"/>
  <c r="B6823" i="10"/>
  <c r="A6823" i="10"/>
  <c r="E6822" i="10"/>
  <c r="D6822" i="10"/>
  <c r="C6822" i="10"/>
  <c r="B6822" i="10"/>
  <c r="A6822" i="10"/>
  <c r="E6821" i="10"/>
  <c r="D6821" i="10"/>
  <c r="C6821" i="10"/>
  <c r="B6821" i="10"/>
  <c r="A6821" i="10"/>
  <c r="E6820" i="10"/>
  <c r="D6820" i="10"/>
  <c r="C6820" i="10"/>
  <c r="B6820" i="10"/>
  <c r="A6820" i="10"/>
  <c r="E6819" i="10"/>
  <c r="D6819" i="10"/>
  <c r="C6819" i="10"/>
  <c r="B6819" i="10"/>
  <c r="A6819" i="10"/>
  <c r="E6818" i="10"/>
  <c r="D6818" i="10"/>
  <c r="C6818" i="10"/>
  <c r="B6818" i="10"/>
  <c r="A6818" i="10"/>
  <c r="E6817" i="10"/>
  <c r="D6817" i="10"/>
  <c r="C6817" i="10"/>
  <c r="B6817" i="10"/>
  <c r="A6817" i="10"/>
  <c r="E6816" i="10"/>
  <c r="D6816" i="10"/>
  <c r="C6816" i="10"/>
  <c r="B6816" i="10"/>
  <c r="A6816" i="10"/>
  <c r="E6815" i="10"/>
  <c r="D6815" i="10"/>
  <c r="C6815" i="10"/>
  <c r="B6815" i="10"/>
  <c r="A6815" i="10"/>
  <c r="E6814" i="10"/>
  <c r="D6814" i="10"/>
  <c r="C6814" i="10"/>
  <c r="B6814" i="10"/>
  <c r="A6814" i="10"/>
  <c r="E6813" i="10"/>
  <c r="D6813" i="10"/>
  <c r="C6813" i="10"/>
  <c r="B6813" i="10"/>
  <c r="A6813" i="10"/>
  <c r="E6812" i="10"/>
  <c r="D6812" i="10"/>
  <c r="C6812" i="10"/>
  <c r="B6812" i="10"/>
  <c r="A6812" i="10"/>
  <c r="E6811" i="10"/>
  <c r="D6811" i="10"/>
  <c r="C6811" i="10"/>
  <c r="B6811" i="10"/>
  <c r="A6811" i="10"/>
  <c r="E6810" i="10"/>
  <c r="D6810" i="10"/>
  <c r="C6810" i="10"/>
  <c r="B6810" i="10"/>
  <c r="A6810" i="10"/>
  <c r="E6809" i="10"/>
  <c r="D6809" i="10"/>
  <c r="C6809" i="10"/>
  <c r="B6809" i="10"/>
  <c r="A6809" i="10"/>
  <c r="E6808" i="10"/>
  <c r="D6808" i="10"/>
  <c r="C6808" i="10"/>
  <c r="B6808" i="10"/>
  <c r="A6808" i="10"/>
  <c r="E6807" i="10"/>
  <c r="D6807" i="10"/>
  <c r="C6807" i="10"/>
  <c r="B6807" i="10"/>
  <c r="A6807" i="10"/>
  <c r="E6806" i="10"/>
  <c r="D6806" i="10"/>
  <c r="C6806" i="10"/>
  <c r="B6806" i="10"/>
  <c r="A6806" i="10"/>
  <c r="E6805" i="10"/>
  <c r="D6805" i="10"/>
  <c r="C6805" i="10"/>
  <c r="B6805" i="10"/>
  <c r="A6805" i="10"/>
  <c r="E6804" i="10"/>
  <c r="D6804" i="10"/>
  <c r="C6804" i="10"/>
  <c r="B6804" i="10"/>
  <c r="A6804" i="10"/>
  <c r="E6803" i="10"/>
  <c r="D6803" i="10"/>
  <c r="C6803" i="10"/>
  <c r="B6803" i="10"/>
  <c r="A6803" i="10"/>
  <c r="E6802" i="10"/>
  <c r="D6802" i="10"/>
  <c r="C6802" i="10"/>
  <c r="B6802" i="10"/>
  <c r="A6802" i="10"/>
  <c r="E6801" i="10"/>
  <c r="D6801" i="10"/>
  <c r="C6801" i="10"/>
  <c r="B6801" i="10"/>
  <c r="A6801" i="10"/>
  <c r="E6800" i="10"/>
  <c r="D6800" i="10"/>
  <c r="C6800" i="10"/>
  <c r="B6800" i="10"/>
  <c r="A6800" i="10"/>
  <c r="E6799" i="10"/>
  <c r="D6799" i="10"/>
  <c r="C6799" i="10"/>
  <c r="B6799" i="10"/>
  <c r="A6799" i="10"/>
  <c r="E6798" i="10"/>
  <c r="D6798" i="10"/>
  <c r="C6798" i="10"/>
  <c r="B6798" i="10"/>
  <c r="A6798" i="10"/>
  <c r="E6797" i="10"/>
  <c r="D6797" i="10"/>
  <c r="C6797" i="10"/>
  <c r="B6797" i="10"/>
  <c r="A6797" i="10"/>
  <c r="E6796" i="10"/>
  <c r="D6796" i="10"/>
  <c r="C6796" i="10"/>
  <c r="B6796" i="10"/>
  <c r="A6796" i="10"/>
  <c r="E6795" i="10"/>
  <c r="D6795" i="10"/>
  <c r="C6795" i="10"/>
  <c r="B6795" i="10"/>
  <c r="A6795" i="10"/>
  <c r="E6794" i="10"/>
  <c r="D6794" i="10"/>
  <c r="C6794" i="10"/>
  <c r="B6794" i="10"/>
  <c r="A6794" i="10"/>
  <c r="E6793" i="10"/>
  <c r="D6793" i="10"/>
  <c r="C6793" i="10"/>
  <c r="B6793" i="10"/>
  <c r="A6793" i="10"/>
  <c r="E6792" i="10"/>
  <c r="D6792" i="10"/>
  <c r="C6792" i="10"/>
  <c r="B6792" i="10"/>
  <c r="A6792" i="10"/>
  <c r="E6791" i="10"/>
  <c r="D6791" i="10"/>
  <c r="C6791" i="10"/>
  <c r="B6791" i="10"/>
  <c r="A6791" i="10"/>
  <c r="E6790" i="10"/>
  <c r="D6790" i="10"/>
  <c r="C6790" i="10"/>
  <c r="B6790" i="10"/>
  <c r="A6790" i="10"/>
  <c r="E6789" i="10"/>
  <c r="D6789" i="10"/>
  <c r="C6789" i="10"/>
  <c r="B6789" i="10"/>
  <c r="A6789" i="10"/>
  <c r="E6788" i="10"/>
  <c r="D6788" i="10"/>
  <c r="C6788" i="10"/>
  <c r="B6788" i="10"/>
  <c r="A6788" i="10"/>
  <c r="E6787" i="10"/>
  <c r="D6787" i="10"/>
  <c r="C6787" i="10"/>
  <c r="B6787" i="10"/>
  <c r="A6787" i="10"/>
  <c r="E6786" i="10"/>
  <c r="D6786" i="10"/>
  <c r="C6786" i="10"/>
  <c r="B6786" i="10"/>
  <c r="A6786" i="10"/>
  <c r="E6785" i="10"/>
  <c r="D6785" i="10"/>
  <c r="C6785" i="10"/>
  <c r="B6785" i="10"/>
  <c r="A6785" i="10"/>
  <c r="E6784" i="10"/>
  <c r="D6784" i="10"/>
  <c r="C6784" i="10"/>
  <c r="B6784" i="10"/>
  <c r="A6784" i="10"/>
  <c r="E6783" i="10"/>
  <c r="D6783" i="10"/>
  <c r="C6783" i="10"/>
  <c r="B6783" i="10"/>
  <c r="A6783" i="10"/>
  <c r="E6782" i="10"/>
  <c r="D6782" i="10"/>
  <c r="C6782" i="10"/>
  <c r="B6782" i="10"/>
  <c r="A6782" i="10"/>
  <c r="E6781" i="10"/>
  <c r="D6781" i="10"/>
  <c r="C6781" i="10"/>
  <c r="B6781" i="10"/>
  <c r="A6781" i="10"/>
  <c r="E6780" i="10"/>
  <c r="D6780" i="10"/>
  <c r="C6780" i="10"/>
  <c r="B6780" i="10"/>
  <c r="A6780" i="10"/>
  <c r="E6779" i="10"/>
  <c r="D6779" i="10"/>
  <c r="C6779" i="10"/>
  <c r="B6779" i="10"/>
  <c r="A6779" i="10"/>
  <c r="E6778" i="10"/>
  <c r="D6778" i="10"/>
  <c r="C6778" i="10"/>
  <c r="B6778" i="10"/>
  <c r="A6778" i="10"/>
  <c r="E6777" i="10"/>
  <c r="D6777" i="10"/>
  <c r="C6777" i="10"/>
  <c r="B6777" i="10"/>
  <c r="A6777" i="10"/>
  <c r="E6776" i="10"/>
  <c r="D6776" i="10"/>
  <c r="C6776" i="10"/>
  <c r="B6776" i="10"/>
  <c r="A6776" i="10"/>
  <c r="E6775" i="10"/>
  <c r="D6775" i="10"/>
  <c r="C6775" i="10"/>
  <c r="B6775" i="10"/>
  <c r="A6775" i="10"/>
  <c r="E6774" i="10"/>
  <c r="D6774" i="10"/>
  <c r="C6774" i="10"/>
  <c r="B6774" i="10"/>
  <c r="A6774" i="10"/>
  <c r="E6773" i="10"/>
  <c r="D6773" i="10"/>
  <c r="C6773" i="10"/>
  <c r="B6773" i="10"/>
  <c r="A6773" i="10"/>
  <c r="E6772" i="10"/>
  <c r="D6772" i="10"/>
  <c r="C6772" i="10"/>
  <c r="B6772" i="10"/>
  <c r="A6772" i="10"/>
  <c r="E6771" i="10"/>
  <c r="D6771" i="10"/>
  <c r="C6771" i="10"/>
  <c r="B6771" i="10"/>
  <c r="A6771" i="10"/>
  <c r="E6770" i="10"/>
  <c r="D6770" i="10"/>
  <c r="C6770" i="10"/>
  <c r="B6770" i="10"/>
  <c r="A6770" i="10"/>
  <c r="E6769" i="10"/>
  <c r="D6769" i="10"/>
  <c r="C6769" i="10"/>
  <c r="B6769" i="10"/>
  <c r="A6769" i="10"/>
  <c r="E6768" i="10"/>
  <c r="D6768" i="10"/>
  <c r="C6768" i="10"/>
  <c r="B6768" i="10"/>
  <c r="A6768" i="10"/>
  <c r="E6767" i="10"/>
  <c r="D6767" i="10"/>
  <c r="C6767" i="10"/>
  <c r="B6767" i="10"/>
  <c r="A6767" i="10"/>
  <c r="E6766" i="10"/>
  <c r="D6766" i="10"/>
  <c r="C6766" i="10"/>
  <c r="B6766" i="10"/>
  <c r="A6766" i="10"/>
  <c r="E6765" i="10"/>
  <c r="D6765" i="10"/>
  <c r="C6765" i="10"/>
  <c r="B6765" i="10"/>
  <c r="A6765" i="10"/>
  <c r="E6764" i="10"/>
  <c r="D6764" i="10"/>
  <c r="C6764" i="10"/>
  <c r="B6764" i="10"/>
  <c r="A6764" i="10"/>
  <c r="E6763" i="10"/>
  <c r="D6763" i="10"/>
  <c r="C6763" i="10"/>
  <c r="B6763" i="10"/>
  <c r="A6763" i="10"/>
  <c r="E6762" i="10"/>
  <c r="D6762" i="10"/>
  <c r="C6762" i="10"/>
  <c r="B6762" i="10"/>
  <c r="A6762" i="10"/>
  <c r="E6761" i="10"/>
  <c r="D6761" i="10"/>
  <c r="C6761" i="10"/>
  <c r="B6761" i="10"/>
  <c r="A6761" i="10"/>
  <c r="E6760" i="10"/>
  <c r="D6760" i="10"/>
  <c r="C6760" i="10"/>
  <c r="B6760" i="10"/>
  <c r="A6760" i="10"/>
  <c r="E6759" i="10"/>
  <c r="D6759" i="10"/>
  <c r="C6759" i="10"/>
  <c r="B6759" i="10"/>
  <c r="A6759" i="10"/>
  <c r="E6758" i="10"/>
  <c r="D6758" i="10"/>
  <c r="C6758" i="10"/>
  <c r="B6758" i="10"/>
  <c r="A6758" i="10"/>
  <c r="E6757" i="10"/>
  <c r="D6757" i="10"/>
  <c r="C6757" i="10"/>
  <c r="B6757" i="10"/>
  <c r="A6757" i="10"/>
  <c r="E6756" i="10"/>
  <c r="D6756" i="10"/>
  <c r="C6756" i="10"/>
  <c r="B6756" i="10"/>
  <c r="A6756" i="10"/>
  <c r="E6755" i="10"/>
  <c r="D6755" i="10"/>
  <c r="C6755" i="10"/>
  <c r="B6755" i="10"/>
  <c r="A6755" i="10"/>
  <c r="E6754" i="10"/>
  <c r="D6754" i="10"/>
  <c r="C6754" i="10"/>
  <c r="B6754" i="10"/>
  <c r="A6754" i="10"/>
  <c r="E6753" i="10"/>
  <c r="D6753" i="10"/>
  <c r="C6753" i="10"/>
  <c r="B6753" i="10"/>
  <c r="A6753" i="10"/>
  <c r="E6752" i="10"/>
  <c r="D6752" i="10"/>
  <c r="C6752" i="10"/>
  <c r="B6752" i="10"/>
  <c r="A6752" i="10"/>
  <c r="E6751" i="10"/>
  <c r="D6751" i="10"/>
  <c r="C6751" i="10"/>
  <c r="B6751" i="10"/>
  <c r="A6751" i="10"/>
  <c r="E6750" i="10"/>
  <c r="D6750" i="10"/>
  <c r="C6750" i="10"/>
  <c r="B6750" i="10"/>
  <c r="A6750" i="10"/>
  <c r="E6749" i="10"/>
  <c r="D6749" i="10"/>
  <c r="C6749" i="10"/>
  <c r="B6749" i="10"/>
  <c r="A6749" i="10"/>
  <c r="E6748" i="10"/>
  <c r="D6748" i="10"/>
  <c r="C6748" i="10"/>
  <c r="B6748" i="10"/>
  <c r="A6748" i="10"/>
  <c r="E6747" i="10"/>
  <c r="D6747" i="10"/>
  <c r="C6747" i="10"/>
  <c r="B6747" i="10"/>
  <c r="A6747" i="10"/>
  <c r="E6746" i="10"/>
  <c r="D6746" i="10"/>
  <c r="C6746" i="10"/>
  <c r="B6746" i="10"/>
  <c r="A6746" i="10"/>
  <c r="E6745" i="10"/>
  <c r="D6745" i="10"/>
  <c r="C6745" i="10"/>
  <c r="B6745" i="10"/>
  <c r="A6745" i="10"/>
  <c r="E6744" i="10"/>
  <c r="D6744" i="10"/>
  <c r="C6744" i="10"/>
  <c r="B6744" i="10"/>
  <c r="A6744" i="10"/>
  <c r="E6743" i="10"/>
  <c r="D6743" i="10"/>
  <c r="C6743" i="10"/>
  <c r="B6743" i="10"/>
  <c r="A6743" i="10"/>
  <c r="E6742" i="10"/>
  <c r="D6742" i="10"/>
  <c r="C6742" i="10"/>
  <c r="B6742" i="10"/>
  <c r="A6742" i="10"/>
  <c r="E6741" i="10"/>
  <c r="D6741" i="10"/>
  <c r="C6741" i="10"/>
  <c r="B6741" i="10"/>
  <c r="A6741" i="10"/>
  <c r="E6740" i="10"/>
  <c r="D6740" i="10"/>
  <c r="C6740" i="10"/>
  <c r="B6740" i="10"/>
  <c r="A6740" i="10"/>
  <c r="E6739" i="10"/>
  <c r="D6739" i="10"/>
  <c r="C6739" i="10"/>
  <c r="B6739" i="10"/>
  <c r="A6739" i="10"/>
  <c r="E6738" i="10"/>
  <c r="D6738" i="10"/>
  <c r="C6738" i="10"/>
  <c r="B6738" i="10"/>
  <c r="A6738" i="10"/>
  <c r="E6737" i="10"/>
  <c r="D6737" i="10"/>
  <c r="C6737" i="10"/>
  <c r="B6737" i="10"/>
  <c r="A6737" i="10"/>
  <c r="E6736" i="10"/>
  <c r="D6736" i="10"/>
  <c r="C6736" i="10"/>
  <c r="B6736" i="10"/>
  <c r="A6736" i="10"/>
  <c r="E6735" i="10"/>
  <c r="D6735" i="10"/>
  <c r="C6735" i="10"/>
  <c r="B6735" i="10"/>
  <c r="A6735" i="10"/>
  <c r="E6734" i="10"/>
  <c r="D6734" i="10"/>
  <c r="C6734" i="10"/>
  <c r="B6734" i="10"/>
  <c r="A6734" i="10"/>
  <c r="E6733" i="10"/>
  <c r="D6733" i="10"/>
  <c r="C6733" i="10"/>
  <c r="B6733" i="10"/>
  <c r="A6733" i="10"/>
  <c r="E6732" i="10"/>
  <c r="D6732" i="10"/>
  <c r="C6732" i="10"/>
  <c r="B6732" i="10"/>
  <c r="A6732" i="10"/>
  <c r="E6731" i="10"/>
  <c r="D6731" i="10"/>
  <c r="C6731" i="10"/>
  <c r="B6731" i="10"/>
  <c r="A6731" i="10"/>
  <c r="E6730" i="10"/>
  <c r="D6730" i="10"/>
  <c r="C6730" i="10"/>
  <c r="B6730" i="10"/>
  <c r="A6730" i="10"/>
  <c r="E6729" i="10"/>
  <c r="D6729" i="10"/>
  <c r="C6729" i="10"/>
  <c r="B6729" i="10"/>
  <c r="A6729" i="10"/>
  <c r="E6728" i="10"/>
  <c r="D6728" i="10"/>
  <c r="C6728" i="10"/>
  <c r="B6728" i="10"/>
  <c r="A6728" i="10"/>
  <c r="E6727" i="10"/>
  <c r="D6727" i="10"/>
  <c r="C6727" i="10"/>
  <c r="B6727" i="10"/>
  <c r="A6727" i="10"/>
  <c r="E6726" i="10"/>
  <c r="D6726" i="10"/>
  <c r="C6726" i="10"/>
  <c r="B6726" i="10"/>
  <c r="A6726" i="10"/>
  <c r="E6725" i="10"/>
  <c r="D6725" i="10"/>
  <c r="C6725" i="10"/>
  <c r="B6725" i="10"/>
  <c r="A6725" i="10"/>
  <c r="E6724" i="10"/>
  <c r="D6724" i="10"/>
  <c r="C6724" i="10"/>
  <c r="B6724" i="10"/>
  <c r="A6724" i="10"/>
  <c r="E6723" i="10"/>
  <c r="D6723" i="10"/>
  <c r="C6723" i="10"/>
  <c r="B6723" i="10"/>
  <c r="A6723" i="10"/>
  <c r="E6722" i="10"/>
  <c r="D6722" i="10"/>
  <c r="C6722" i="10"/>
  <c r="B6722" i="10"/>
  <c r="A6722" i="10"/>
  <c r="E6721" i="10"/>
  <c r="D6721" i="10"/>
  <c r="C6721" i="10"/>
  <c r="B6721" i="10"/>
  <c r="A6721" i="10"/>
  <c r="E6720" i="10"/>
  <c r="D6720" i="10"/>
  <c r="C6720" i="10"/>
  <c r="B6720" i="10"/>
  <c r="A6720" i="10"/>
  <c r="E6719" i="10"/>
  <c r="D6719" i="10"/>
  <c r="C6719" i="10"/>
  <c r="B6719" i="10"/>
  <c r="A6719" i="10"/>
  <c r="E6718" i="10"/>
  <c r="D6718" i="10"/>
  <c r="C6718" i="10"/>
  <c r="B6718" i="10"/>
  <c r="A6718" i="10"/>
  <c r="E6717" i="10"/>
  <c r="D6717" i="10"/>
  <c r="C6717" i="10"/>
  <c r="B6717" i="10"/>
  <c r="A6717" i="10"/>
  <c r="E6716" i="10"/>
  <c r="D6716" i="10"/>
  <c r="C6716" i="10"/>
  <c r="B6716" i="10"/>
  <c r="A6716" i="10"/>
  <c r="E6715" i="10"/>
  <c r="D6715" i="10"/>
  <c r="C6715" i="10"/>
  <c r="B6715" i="10"/>
  <c r="A6715" i="10"/>
  <c r="E6714" i="10"/>
  <c r="D6714" i="10"/>
  <c r="C6714" i="10"/>
  <c r="B6714" i="10"/>
  <c r="A6714" i="10"/>
  <c r="E6713" i="10"/>
  <c r="D6713" i="10"/>
  <c r="C6713" i="10"/>
  <c r="B6713" i="10"/>
  <c r="A6713" i="10"/>
  <c r="E6712" i="10"/>
  <c r="D6712" i="10"/>
  <c r="C6712" i="10"/>
  <c r="B6712" i="10"/>
  <c r="A6712" i="10"/>
  <c r="E6711" i="10"/>
  <c r="D6711" i="10"/>
  <c r="C6711" i="10"/>
  <c r="B6711" i="10"/>
  <c r="A6711" i="10"/>
  <c r="E6710" i="10"/>
  <c r="D6710" i="10"/>
  <c r="C6710" i="10"/>
  <c r="B6710" i="10"/>
  <c r="A6710" i="10"/>
  <c r="E6709" i="10"/>
  <c r="D6709" i="10"/>
  <c r="C6709" i="10"/>
  <c r="B6709" i="10"/>
  <c r="A6709" i="10"/>
  <c r="E6708" i="10"/>
  <c r="D6708" i="10"/>
  <c r="C6708" i="10"/>
  <c r="B6708" i="10"/>
  <c r="A6708" i="10"/>
  <c r="E6707" i="10"/>
  <c r="D6707" i="10"/>
  <c r="C6707" i="10"/>
  <c r="B6707" i="10"/>
  <c r="A6707" i="10"/>
  <c r="E6706" i="10"/>
  <c r="D6706" i="10"/>
  <c r="C6706" i="10"/>
  <c r="B6706" i="10"/>
  <c r="A6706" i="10"/>
  <c r="E6705" i="10"/>
  <c r="D6705" i="10"/>
  <c r="C6705" i="10"/>
  <c r="B6705" i="10"/>
  <c r="A6705" i="10"/>
  <c r="E6704" i="10"/>
  <c r="D6704" i="10"/>
  <c r="C6704" i="10"/>
  <c r="B6704" i="10"/>
  <c r="A6704" i="10"/>
  <c r="E6703" i="10"/>
  <c r="D6703" i="10"/>
  <c r="C6703" i="10"/>
  <c r="B6703" i="10"/>
  <c r="A6703" i="10"/>
  <c r="E6702" i="10"/>
  <c r="D6702" i="10"/>
  <c r="C6702" i="10"/>
  <c r="B6702" i="10"/>
  <c r="A6702" i="10"/>
  <c r="E6701" i="10"/>
  <c r="D6701" i="10"/>
  <c r="C6701" i="10"/>
  <c r="B6701" i="10"/>
  <c r="A6701" i="10"/>
  <c r="E6700" i="10"/>
  <c r="D6700" i="10"/>
  <c r="C6700" i="10"/>
  <c r="B6700" i="10"/>
  <c r="A6700" i="10"/>
  <c r="E6699" i="10"/>
  <c r="D6699" i="10"/>
  <c r="C6699" i="10"/>
  <c r="B6699" i="10"/>
  <c r="A6699" i="10"/>
  <c r="E6698" i="10"/>
  <c r="D6698" i="10"/>
  <c r="C6698" i="10"/>
  <c r="B6698" i="10"/>
  <c r="A6698" i="10"/>
  <c r="E6697" i="10"/>
  <c r="D6697" i="10"/>
  <c r="C6697" i="10"/>
  <c r="B6697" i="10"/>
  <c r="A6697" i="10"/>
  <c r="E6696" i="10"/>
  <c r="D6696" i="10"/>
  <c r="C6696" i="10"/>
  <c r="B6696" i="10"/>
  <c r="A6696" i="10"/>
  <c r="E6695" i="10"/>
  <c r="D6695" i="10"/>
  <c r="C6695" i="10"/>
  <c r="B6695" i="10"/>
  <c r="A6695" i="10"/>
  <c r="E6694" i="10"/>
  <c r="D6694" i="10"/>
  <c r="C6694" i="10"/>
  <c r="B6694" i="10"/>
  <c r="A6694" i="10"/>
  <c r="E6693" i="10"/>
  <c r="D6693" i="10"/>
  <c r="C6693" i="10"/>
  <c r="B6693" i="10"/>
  <c r="A6693" i="10"/>
  <c r="E6692" i="10"/>
  <c r="D6692" i="10"/>
  <c r="C6692" i="10"/>
  <c r="B6692" i="10"/>
  <c r="A6692" i="10"/>
  <c r="E6691" i="10"/>
  <c r="D6691" i="10"/>
  <c r="C6691" i="10"/>
  <c r="B6691" i="10"/>
  <c r="A6691" i="10"/>
  <c r="E6690" i="10"/>
  <c r="D6690" i="10"/>
  <c r="C6690" i="10"/>
  <c r="B6690" i="10"/>
  <c r="A6690" i="10"/>
  <c r="E6689" i="10"/>
  <c r="D6689" i="10"/>
  <c r="C6689" i="10"/>
  <c r="B6689" i="10"/>
  <c r="A6689" i="10"/>
  <c r="E6688" i="10"/>
  <c r="D6688" i="10"/>
  <c r="C6688" i="10"/>
  <c r="B6688" i="10"/>
  <c r="A6688" i="10"/>
  <c r="E6687" i="10"/>
  <c r="D6687" i="10"/>
  <c r="C6687" i="10"/>
  <c r="B6687" i="10"/>
  <c r="A6687" i="10"/>
  <c r="E6686" i="10"/>
  <c r="D6686" i="10"/>
  <c r="C6686" i="10"/>
  <c r="B6686" i="10"/>
  <c r="A6686" i="10"/>
  <c r="E6685" i="10"/>
  <c r="D6685" i="10"/>
  <c r="C6685" i="10"/>
  <c r="B6685" i="10"/>
  <c r="A6685" i="10"/>
  <c r="E6684" i="10"/>
  <c r="D6684" i="10"/>
  <c r="C6684" i="10"/>
  <c r="B6684" i="10"/>
  <c r="A6684" i="10"/>
  <c r="E6683" i="10"/>
  <c r="D6683" i="10"/>
  <c r="C6683" i="10"/>
  <c r="B6683" i="10"/>
  <c r="A6683" i="10"/>
  <c r="E6682" i="10"/>
  <c r="D6682" i="10"/>
  <c r="C6682" i="10"/>
  <c r="B6682" i="10"/>
  <c r="A6682" i="10"/>
  <c r="E6681" i="10"/>
  <c r="D6681" i="10"/>
  <c r="C6681" i="10"/>
  <c r="B6681" i="10"/>
  <c r="A6681" i="10"/>
  <c r="E6680" i="10"/>
  <c r="D6680" i="10"/>
  <c r="C6680" i="10"/>
  <c r="B6680" i="10"/>
  <c r="A6680" i="10"/>
  <c r="E6679" i="10"/>
  <c r="D6679" i="10"/>
  <c r="C6679" i="10"/>
  <c r="B6679" i="10"/>
  <c r="A6679" i="10"/>
  <c r="E6678" i="10"/>
  <c r="D6678" i="10"/>
  <c r="C6678" i="10"/>
  <c r="B6678" i="10"/>
  <c r="A6678" i="10"/>
  <c r="E6677" i="10"/>
  <c r="D6677" i="10"/>
  <c r="C6677" i="10"/>
  <c r="B6677" i="10"/>
  <c r="A6677" i="10"/>
  <c r="E6676" i="10"/>
  <c r="D6676" i="10"/>
  <c r="C6676" i="10"/>
  <c r="B6676" i="10"/>
  <c r="A6676" i="10"/>
  <c r="E6675" i="10"/>
  <c r="D6675" i="10"/>
  <c r="C6675" i="10"/>
  <c r="B6675" i="10"/>
  <c r="A6675" i="10"/>
  <c r="E6674" i="10"/>
  <c r="D6674" i="10"/>
  <c r="C6674" i="10"/>
  <c r="B6674" i="10"/>
  <c r="A6674" i="10"/>
  <c r="E6673" i="10"/>
  <c r="D6673" i="10"/>
  <c r="C6673" i="10"/>
  <c r="B6673" i="10"/>
  <c r="A6673" i="10"/>
  <c r="E6672" i="10"/>
  <c r="D6672" i="10"/>
  <c r="C6672" i="10"/>
  <c r="B6672" i="10"/>
  <c r="A6672" i="10"/>
  <c r="E6671" i="10"/>
  <c r="D6671" i="10"/>
  <c r="C6671" i="10"/>
  <c r="B6671" i="10"/>
  <c r="A6671" i="10"/>
  <c r="E6670" i="10"/>
  <c r="D6670" i="10"/>
  <c r="C6670" i="10"/>
  <c r="B6670" i="10"/>
  <c r="A6670" i="10"/>
  <c r="E6669" i="10"/>
  <c r="D6669" i="10"/>
  <c r="C6669" i="10"/>
  <c r="B6669" i="10"/>
  <c r="A6669" i="10"/>
  <c r="E6668" i="10"/>
  <c r="D6668" i="10"/>
  <c r="C6668" i="10"/>
  <c r="B6668" i="10"/>
  <c r="A6668" i="10"/>
  <c r="E6667" i="10"/>
  <c r="D6667" i="10"/>
  <c r="C6667" i="10"/>
  <c r="B6667" i="10"/>
  <c r="A6667" i="10"/>
  <c r="E6666" i="10"/>
  <c r="D6666" i="10"/>
  <c r="C6666" i="10"/>
  <c r="B6666" i="10"/>
  <c r="A6666" i="10"/>
  <c r="E6665" i="10"/>
  <c r="D6665" i="10"/>
  <c r="C6665" i="10"/>
  <c r="B6665" i="10"/>
  <c r="A6665" i="10"/>
  <c r="E6664" i="10"/>
  <c r="D6664" i="10"/>
  <c r="C6664" i="10"/>
  <c r="B6664" i="10"/>
  <c r="A6664" i="10"/>
  <c r="E6663" i="10"/>
  <c r="D6663" i="10"/>
  <c r="C6663" i="10"/>
  <c r="B6663" i="10"/>
  <c r="A6663" i="10"/>
  <c r="E6662" i="10"/>
  <c r="D6662" i="10"/>
  <c r="C6662" i="10"/>
  <c r="B6662" i="10"/>
  <c r="A6662" i="10"/>
  <c r="E6661" i="10"/>
  <c r="D6661" i="10"/>
  <c r="C6661" i="10"/>
  <c r="B6661" i="10"/>
  <c r="A6661" i="10"/>
  <c r="E6660" i="10"/>
  <c r="D6660" i="10"/>
  <c r="C6660" i="10"/>
  <c r="B6660" i="10"/>
  <c r="A6660" i="10"/>
  <c r="E6659" i="10"/>
  <c r="D6659" i="10"/>
  <c r="C6659" i="10"/>
  <c r="B6659" i="10"/>
  <c r="A6659" i="10"/>
  <c r="E6658" i="10"/>
  <c r="D6658" i="10"/>
  <c r="C6658" i="10"/>
  <c r="B6658" i="10"/>
  <c r="A6658" i="10"/>
  <c r="E6657" i="10"/>
  <c r="D6657" i="10"/>
  <c r="C6657" i="10"/>
  <c r="B6657" i="10"/>
  <c r="A6657" i="10"/>
  <c r="E6656" i="10"/>
  <c r="D6656" i="10"/>
  <c r="C6656" i="10"/>
  <c r="B6656" i="10"/>
  <c r="A6656" i="10"/>
  <c r="E6655" i="10"/>
  <c r="D6655" i="10"/>
  <c r="C6655" i="10"/>
  <c r="B6655" i="10"/>
  <c r="A6655" i="10"/>
  <c r="E6654" i="10"/>
  <c r="D6654" i="10"/>
  <c r="C6654" i="10"/>
  <c r="B6654" i="10"/>
  <c r="A6654" i="10"/>
  <c r="E6653" i="10"/>
  <c r="D6653" i="10"/>
  <c r="C6653" i="10"/>
  <c r="B6653" i="10"/>
  <c r="A6653" i="10"/>
  <c r="E6652" i="10"/>
  <c r="D6652" i="10"/>
  <c r="C6652" i="10"/>
  <c r="B6652" i="10"/>
  <c r="A6652" i="10"/>
  <c r="E6651" i="10"/>
  <c r="D6651" i="10"/>
  <c r="C6651" i="10"/>
  <c r="B6651" i="10"/>
  <c r="A6651" i="10"/>
  <c r="E6650" i="10"/>
  <c r="D6650" i="10"/>
  <c r="C6650" i="10"/>
  <c r="B6650" i="10"/>
  <c r="A6650" i="10"/>
  <c r="E6649" i="10"/>
  <c r="D6649" i="10"/>
  <c r="C6649" i="10"/>
  <c r="B6649" i="10"/>
  <c r="A6649" i="10"/>
  <c r="E6648" i="10"/>
  <c r="D6648" i="10"/>
  <c r="C6648" i="10"/>
  <c r="B6648" i="10"/>
  <c r="A6648" i="10"/>
  <c r="E6647" i="10"/>
  <c r="D6647" i="10"/>
  <c r="C6647" i="10"/>
  <c r="B6647" i="10"/>
  <c r="A6647" i="10"/>
  <c r="E6646" i="10"/>
  <c r="D6646" i="10"/>
  <c r="C6646" i="10"/>
  <c r="B6646" i="10"/>
  <c r="A6646" i="10"/>
  <c r="E6645" i="10"/>
  <c r="D6645" i="10"/>
  <c r="C6645" i="10"/>
  <c r="B6645" i="10"/>
  <c r="A6645" i="10"/>
  <c r="E6644" i="10"/>
  <c r="D6644" i="10"/>
  <c r="C6644" i="10"/>
  <c r="B6644" i="10"/>
  <c r="A6644" i="10"/>
  <c r="E6643" i="10"/>
  <c r="D6643" i="10"/>
  <c r="C6643" i="10"/>
  <c r="B6643" i="10"/>
  <c r="A6643" i="10"/>
  <c r="E6642" i="10"/>
  <c r="D6642" i="10"/>
  <c r="C6642" i="10"/>
  <c r="B6642" i="10"/>
  <c r="A6642" i="10"/>
  <c r="E6641" i="10"/>
  <c r="D6641" i="10"/>
  <c r="C6641" i="10"/>
  <c r="B6641" i="10"/>
  <c r="A6641" i="10"/>
  <c r="E6640" i="10"/>
  <c r="D6640" i="10"/>
  <c r="C6640" i="10"/>
  <c r="B6640" i="10"/>
  <c r="A6640" i="10"/>
  <c r="E6639" i="10"/>
  <c r="D6639" i="10"/>
  <c r="C6639" i="10"/>
  <c r="B6639" i="10"/>
  <c r="A6639" i="10"/>
  <c r="E6638" i="10"/>
  <c r="D6638" i="10"/>
  <c r="C6638" i="10"/>
  <c r="B6638" i="10"/>
  <c r="A6638" i="10"/>
  <c r="E6637" i="10"/>
  <c r="D6637" i="10"/>
  <c r="C6637" i="10"/>
  <c r="B6637" i="10"/>
  <c r="A6637" i="10"/>
  <c r="E6636" i="10"/>
  <c r="D6636" i="10"/>
  <c r="C6636" i="10"/>
  <c r="B6636" i="10"/>
  <c r="A6636" i="10"/>
  <c r="E6635" i="10"/>
  <c r="D6635" i="10"/>
  <c r="C6635" i="10"/>
  <c r="B6635" i="10"/>
  <c r="A6635" i="10"/>
  <c r="E6634" i="10"/>
  <c r="D6634" i="10"/>
  <c r="C6634" i="10"/>
  <c r="B6634" i="10"/>
  <c r="A6634" i="10"/>
  <c r="E6633" i="10"/>
  <c r="D6633" i="10"/>
  <c r="C6633" i="10"/>
  <c r="B6633" i="10"/>
  <c r="A6633" i="10"/>
  <c r="E6632" i="10"/>
  <c r="D6632" i="10"/>
  <c r="C6632" i="10"/>
  <c r="B6632" i="10"/>
  <c r="A6632" i="10"/>
  <c r="E6631" i="10"/>
  <c r="D6631" i="10"/>
  <c r="C6631" i="10"/>
  <c r="B6631" i="10"/>
  <c r="A6631" i="10"/>
  <c r="E6630" i="10"/>
  <c r="D6630" i="10"/>
  <c r="C6630" i="10"/>
  <c r="B6630" i="10"/>
  <c r="A6630" i="10"/>
  <c r="E6629" i="10"/>
  <c r="D6629" i="10"/>
  <c r="C6629" i="10"/>
  <c r="B6629" i="10"/>
  <c r="A6629" i="10"/>
  <c r="E6628" i="10"/>
  <c r="D6628" i="10"/>
  <c r="C6628" i="10"/>
  <c r="B6628" i="10"/>
  <c r="A6628" i="10"/>
  <c r="E6627" i="10"/>
  <c r="D6627" i="10"/>
  <c r="C6627" i="10"/>
  <c r="B6627" i="10"/>
  <c r="A6627" i="10"/>
  <c r="E6626" i="10"/>
  <c r="D6626" i="10"/>
  <c r="C6626" i="10"/>
  <c r="B6626" i="10"/>
  <c r="A6626" i="10"/>
  <c r="E6625" i="10"/>
  <c r="D6625" i="10"/>
  <c r="C6625" i="10"/>
  <c r="B6625" i="10"/>
  <c r="A6625" i="10"/>
  <c r="E6624" i="10"/>
  <c r="D6624" i="10"/>
  <c r="C6624" i="10"/>
  <c r="B6624" i="10"/>
  <c r="A6624" i="10"/>
  <c r="E6623" i="10"/>
  <c r="D6623" i="10"/>
  <c r="C6623" i="10"/>
  <c r="B6623" i="10"/>
  <c r="A6623" i="10"/>
  <c r="E6622" i="10"/>
  <c r="D6622" i="10"/>
  <c r="C6622" i="10"/>
  <c r="B6622" i="10"/>
  <c r="A6622" i="10"/>
  <c r="E6621" i="10"/>
  <c r="D6621" i="10"/>
  <c r="C6621" i="10"/>
  <c r="B6621" i="10"/>
  <c r="A6621" i="10"/>
  <c r="E6620" i="10"/>
  <c r="D6620" i="10"/>
  <c r="C6620" i="10"/>
  <c r="B6620" i="10"/>
  <c r="A6620" i="10"/>
  <c r="E6619" i="10"/>
  <c r="D6619" i="10"/>
  <c r="C6619" i="10"/>
  <c r="B6619" i="10"/>
  <c r="A6619" i="10"/>
  <c r="E6618" i="10"/>
  <c r="D6618" i="10"/>
  <c r="C6618" i="10"/>
  <c r="B6618" i="10"/>
  <c r="A6618" i="10"/>
  <c r="E6617" i="10"/>
  <c r="D6617" i="10"/>
  <c r="C6617" i="10"/>
  <c r="B6617" i="10"/>
  <c r="A6617" i="10"/>
  <c r="E6616" i="10"/>
  <c r="D6616" i="10"/>
  <c r="C6616" i="10"/>
  <c r="B6616" i="10"/>
  <c r="A6616" i="10"/>
  <c r="E6615" i="10"/>
  <c r="D6615" i="10"/>
  <c r="C6615" i="10"/>
  <c r="B6615" i="10"/>
  <c r="A6615" i="10"/>
  <c r="E6614" i="10"/>
  <c r="D6614" i="10"/>
  <c r="C6614" i="10"/>
  <c r="B6614" i="10"/>
  <c r="A6614" i="10"/>
  <c r="E6613" i="10"/>
  <c r="D6613" i="10"/>
  <c r="C6613" i="10"/>
  <c r="B6613" i="10"/>
  <c r="A6613" i="10"/>
  <c r="E6612" i="10"/>
  <c r="D6612" i="10"/>
  <c r="C6612" i="10"/>
  <c r="B6612" i="10"/>
  <c r="A6612" i="10"/>
  <c r="E6611" i="10"/>
  <c r="D6611" i="10"/>
  <c r="C6611" i="10"/>
  <c r="B6611" i="10"/>
  <c r="A6611" i="10"/>
  <c r="E6610" i="10"/>
  <c r="D6610" i="10"/>
  <c r="C6610" i="10"/>
  <c r="B6610" i="10"/>
  <c r="A6610" i="10"/>
  <c r="E6609" i="10"/>
  <c r="D6609" i="10"/>
  <c r="C6609" i="10"/>
  <c r="B6609" i="10"/>
  <c r="A6609" i="10"/>
  <c r="E6608" i="10"/>
  <c r="D6608" i="10"/>
  <c r="C6608" i="10"/>
  <c r="B6608" i="10"/>
  <c r="A6608" i="10"/>
  <c r="E6607" i="10"/>
  <c r="D6607" i="10"/>
  <c r="C6607" i="10"/>
  <c r="B6607" i="10"/>
  <c r="A6607" i="10"/>
  <c r="E6606" i="10"/>
  <c r="D6606" i="10"/>
  <c r="C6606" i="10"/>
  <c r="B6606" i="10"/>
  <c r="A6606" i="10"/>
  <c r="E6605" i="10"/>
  <c r="D6605" i="10"/>
  <c r="C6605" i="10"/>
  <c r="B6605" i="10"/>
  <c r="A6605" i="10"/>
  <c r="E6604" i="10"/>
  <c r="D6604" i="10"/>
  <c r="C6604" i="10"/>
  <c r="B6604" i="10"/>
  <c r="A6604" i="10"/>
  <c r="E6603" i="10"/>
  <c r="D6603" i="10"/>
  <c r="C6603" i="10"/>
  <c r="B6603" i="10"/>
  <c r="A6603" i="10"/>
  <c r="E6602" i="10"/>
  <c r="D6602" i="10"/>
  <c r="C6602" i="10"/>
  <c r="B6602" i="10"/>
  <c r="A6602" i="10"/>
  <c r="E6601" i="10"/>
  <c r="D6601" i="10"/>
  <c r="C6601" i="10"/>
  <c r="B6601" i="10"/>
  <c r="A6601" i="10"/>
  <c r="E6600" i="10"/>
  <c r="D6600" i="10"/>
  <c r="C6600" i="10"/>
  <c r="B6600" i="10"/>
  <c r="A6600" i="10"/>
  <c r="E6599" i="10"/>
  <c r="D6599" i="10"/>
  <c r="C6599" i="10"/>
  <c r="B6599" i="10"/>
  <c r="A6599" i="10"/>
  <c r="E6598" i="10"/>
  <c r="D6598" i="10"/>
  <c r="C6598" i="10"/>
  <c r="B6598" i="10"/>
  <c r="A6598" i="10"/>
  <c r="E6597" i="10"/>
  <c r="D6597" i="10"/>
  <c r="C6597" i="10"/>
  <c r="B6597" i="10"/>
  <c r="A6597" i="10"/>
  <c r="E6596" i="10"/>
  <c r="D6596" i="10"/>
  <c r="C6596" i="10"/>
  <c r="B6596" i="10"/>
  <c r="A6596" i="10"/>
  <c r="E6595" i="10"/>
  <c r="D6595" i="10"/>
  <c r="C6595" i="10"/>
  <c r="B6595" i="10"/>
  <c r="A6595" i="10"/>
  <c r="E6594" i="10"/>
  <c r="D6594" i="10"/>
  <c r="C6594" i="10"/>
  <c r="B6594" i="10"/>
  <c r="A6594" i="10"/>
  <c r="E6593" i="10"/>
  <c r="D6593" i="10"/>
  <c r="C6593" i="10"/>
  <c r="B6593" i="10"/>
  <c r="A6593" i="10"/>
  <c r="E6592" i="10"/>
  <c r="D6592" i="10"/>
  <c r="C6592" i="10"/>
  <c r="B6592" i="10"/>
  <c r="A6592" i="10"/>
  <c r="E6591" i="10"/>
  <c r="D6591" i="10"/>
  <c r="C6591" i="10"/>
  <c r="B6591" i="10"/>
  <c r="A6591" i="10"/>
  <c r="E6590" i="10"/>
  <c r="D6590" i="10"/>
  <c r="C6590" i="10"/>
  <c r="B6590" i="10"/>
  <c r="A6590" i="10"/>
  <c r="E6589" i="10"/>
  <c r="D6589" i="10"/>
  <c r="C6589" i="10"/>
  <c r="B6589" i="10"/>
  <c r="A6589" i="10"/>
  <c r="E6588" i="10"/>
  <c r="D6588" i="10"/>
  <c r="C6588" i="10"/>
  <c r="B6588" i="10"/>
  <c r="A6588" i="10"/>
  <c r="E6587" i="10"/>
  <c r="D6587" i="10"/>
  <c r="C6587" i="10"/>
  <c r="B6587" i="10"/>
  <c r="A6587" i="10"/>
  <c r="E6586" i="10"/>
  <c r="D6586" i="10"/>
  <c r="C6586" i="10"/>
  <c r="B6586" i="10"/>
  <c r="A6586" i="10"/>
  <c r="E6585" i="10"/>
  <c r="D6585" i="10"/>
  <c r="C6585" i="10"/>
  <c r="B6585" i="10"/>
  <c r="A6585" i="10"/>
  <c r="E6584" i="10"/>
  <c r="D6584" i="10"/>
  <c r="C6584" i="10"/>
  <c r="B6584" i="10"/>
  <c r="A6584" i="10"/>
  <c r="E6583" i="10"/>
  <c r="D6583" i="10"/>
  <c r="C6583" i="10"/>
  <c r="B6583" i="10"/>
  <c r="A6583" i="10"/>
  <c r="E6582" i="10"/>
  <c r="D6582" i="10"/>
  <c r="C6582" i="10"/>
  <c r="B6582" i="10"/>
  <c r="A6582" i="10"/>
  <c r="E6581" i="10"/>
  <c r="D6581" i="10"/>
  <c r="C6581" i="10"/>
  <c r="B6581" i="10"/>
  <c r="A6581" i="10"/>
  <c r="E6580" i="10"/>
  <c r="D6580" i="10"/>
  <c r="C6580" i="10"/>
  <c r="B6580" i="10"/>
  <c r="A6580" i="10"/>
  <c r="E6579" i="10"/>
  <c r="D6579" i="10"/>
  <c r="C6579" i="10"/>
  <c r="B6579" i="10"/>
  <c r="A6579" i="10"/>
  <c r="E6578" i="10"/>
  <c r="D6578" i="10"/>
  <c r="C6578" i="10"/>
  <c r="B6578" i="10"/>
  <c r="A6578" i="10"/>
  <c r="E6577" i="10"/>
  <c r="D6577" i="10"/>
  <c r="C6577" i="10"/>
  <c r="B6577" i="10"/>
  <c r="A6577" i="10"/>
  <c r="E6576" i="10"/>
  <c r="D6576" i="10"/>
  <c r="C6576" i="10"/>
  <c r="B6576" i="10"/>
  <c r="A6576" i="10"/>
  <c r="E6575" i="10"/>
  <c r="D6575" i="10"/>
  <c r="C6575" i="10"/>
  <c r="B6575" i="10"/>
  <c r="A6575" i="10"/>
  <c r="E6574" i="10"/>
  <c r="D6574" i="10"/>
  <c r="C6574" i="10"/>
  <c r="B6574" i="10"/>
  <c r="A6574" i="10"/>
  <c r="E6573" i="10"/>
  <c r="D6573" i="10"/>
  <c r="C6573" i="10"/>
  <c r="B6573" i="10"/>
  <c r="A6573" i="10"/>
  <c r="E6572" i="10"/>
  <c r="D6572" i="10"/>
  <c r="C6572" i="10"/>
  <c r="B6572" i="10"/>
  <c r="A6572" i="10"/>
  <c r="E6571" i="10"/>
  <c r="D6571" i="10"/>
  <c r="C6571" i="10"/>
  <c r="B6571" i="10"/>
  <c r="A6571" i="10"/>
  <c r="E6570" i="10"/>
  <c r="D6570" i="10"/>
  <c r="C6570" i="10"/>
  <c r="B6570" i="10"/>
  <c r="A6570" i="10"/>
  <c r="E6569" i="10"/>
  <c r="D6569" i="10"/>
  <c r="C6569" i="10"/>
  <c r="B6569" i="10"/>
  <c r="A6569" i="10"/>
  <c r="E6568" i="10"/>
  <c r="D6568" i="10"/>
  <c r="C6568" i="10"/>
  <c r="B6568" i="10"/>
  <c r="A6568" i="10"/>
  <c r="E6567" i="10"/>
  <c r="D6567" i="10"/>
  <c r="C6567" i="10"/>
  <c r="B6567" i="10"/>
  <c r="A6567" i="10"/>
  <c r="E6566" i="10"/>
  <c r="D6566" i="10"/>
  <c r="C6566" i="10"/>
  <c r="B6566" i="10"/>
  <c r="A6566" i="10"/>
  <c r="E6565" i="10"/>
  <c r="D6565" i="10"/>
  <c r="C6565" i="10"/>
  <c r="B6565" i="10"/>
  <c r="A6565" i="10"/>
  <c r="E6564" i="10"/>
  <c r="D6564" i="10"/>
  <c r="C6564" i="10"/>
  <c r="B6564" i="10"/>
  <c r="A6564" i="10"/>
  <c r="E6563" i="10"/>
  <c r="D6563" i="10"/>
  <c r="C6563" i="10"/>
  <c r="B6563" i="10"/>
  <c r="A6563" i="10"/>
  <c r="E6562" i="10"/>
  <c r="D6562" i="10"/>
  <c r="C6562" i="10"/>
  <c r="B6562" i="10"/>
  <c r="A6562" i="10"/>
  <c r="E6561" i="10"/>
  <c r="D6561" i="10"/>
  <c r="C6561" i="10"/>
  <c r="B6561" i="10"/>
  <c r="A6561" i="10"/>
  <c r="E6560" i="10"/>
  <c r="D6560" i="10"/>
  <c r="C6560" i="10"/>
  <c r="B6560" i="10"/>
  <c r="A6560" i="10"/>
  <c r="D6559" i="10"/>
  <c r="C6559" i="10"/>
  <c r="B6559" i="10"/>
  <c r="A6559" i="10"/>
  <c r="E6558" i="10"/>
  <c r="D6558" i="10"/>
  <c r="C6558" i="10"/>
  <c r="B6558" i="10"/>
  <c r="A6558" i="10"/>
  <c r="E6557" i="10"/>
  <c r="D6557" i="10"/>
  <c r="C6557" i="10"/>
  <c r="B6557" i="10"/>
  <c r="A6557" i="10"/>
  <c r="E6556" i="10"/>
  <c r="D6556" i="10"/>
  <c r="C6556" i="10"/>
  <c r="B6556" i="10"/>
  <c r="A6556" i="10"/>
  <c r="E6555" i="10"/>
  <c r="D6555" i="10"/>
  <c r="C6555" i="10"/>
  <c r="B6555" i="10"/>
  <c r="A6555" i="10"/>
  <c r="E6554" i="10"/>
  <c r="D6554" i="10"/>
  <c r="C6554" i="10"/>
  <c r="B6554" i="10"/>
  <c r="A6554" i="10"/>
  <c r="E6553" i="10"/>
  <c r="D6553" i="10"/>
  <c r="C6553" i="10"/>
  <c r="B6553" i="10"/>
  <c r="A6553" i="10"/>
  <c r="E6552" i="10"/>
  <c r="D6552" i="10"/>
  <c r="C6552" i="10"/>
  <c r="B6552" i="10"/>
  <c r="A6552" i="10"/>
  <c r="E6551" i="10"/>
  <c r="D6551" i="10"/>
  <c r="C6551" i="10"/>
  <c r="B6551" i="10"/>
  <c r="A6551" i="10"/>
  <c r="E6550" i="10"/>
  <c r="D6550" i="10"/>
  <c r="C6550" i="10"/>
  <c r="B6550" i="10"/>
  <c r="A6550" i="10"/>
  <c r="E6549" i="10"/>
  <c r="D6549" i="10"/>
  <c r="C6549" i="10"/>
  <c r="B6549" i="10"/>
  <c r="A6549" i="10"/>
  <c r="E6548" i="10"/>
  <c r="D6548" i="10"/>
  <c r="C6548" i="10"/>
  <c r="B6548" i="10"/>
  <c r="A6548" i="10"/>
  <c r="E6547" i="10"/>
  <c r="D6547" i="10"/>
  <c r="C6547" i="10"/>
  <c r="B6547" i="10"/>
  <c r="A6547" i="10"/>
  <c r="E6546" i="10"/>
  <c r="D6546" i="10"/>
  <c r="C6546" i="10"/>
  <c r="B6546" i="10"/>
  <c r="A6546" i="10"/>
  <c r="E6545" i="10"/>
  <c r="D6545" i="10"/>
  <c r="C6545" i="10"/>
  <c r="B6545" i="10"/>
  <c r="A6545" i="10"/>
  <c r="E6544" i="10"/>
  <c r="D6544" i="10"/>
  <c r="C6544" i="10"/>
  <c r="B6544" i="10"/>
  <c r="A6544" i="10"/>
  <c r="E6543" i="10"/>
  <c r="D6543" i="10"/>
  <c r="C6543" i="10"/>
  <c r="B6543" i="10"/>
  <c r="A6543" i="10"/>
  <c r="E6542" i="10"/>
  <c r="D6542" i="10"/>
  <c r="C6542" i="10"/>
  <c r="B6542" i="10"/>
  <c r="A6542" i="10"/>
  <c r="E6541" i="10"/>
  <c r="D6541" i="10"/>
  <c r="C6541" i="10"/>
  <c r="B6541" i="10"/>
  <c r="A6541" i="10"/>
  <c r="E6540" i="10"/>
  <c r="D6540" i="10"/>
  <c r="C6540" i="10"/>
  <c r="B6540" i="10"/>
  <c r="A6540" i="10"/>
  <c r="E6539" i="10"/>
  <c r="D6539" i="10"/>
  <c r="C6539" i="10"/>
  <c r="B6539" i="10"/>
  <c r="A6539" i="10"/>
  <c r="E6538" i="10"/>
  <c r="D6538" i="10"/>
  <c r="C6538" i="10"/>
  <c r="B6538" i="10"/>
  <c r="A6538" i="10"/>
  <c r="E6537" i="10"/>
  <c r="D6537" i="10"/>
  <c r="C6537" i="10"/>
  <c r="B6537" i="10"/>
  <c r="A6537" i="10"/>
  <c r="E6536" i="10"/>
  <c r="D6536" i="10"/>
  <c r="C6536" i="10"/>
  <c r="B6536" i="10"/>
  <c r="A6536" i="10"/>
  <c r="E6535" i="10"/>
  <c r="D6535" i="10"/>
  <c r="C6535" i="10"/>
  <c r="B6535" i="10"/>
  <c r="A6535" i="10"/>
  <c r="E6534" i="10"/>
  <c r="D6534" i="10"/>
  <c r="C6534" i="10"/>
  <c r="B6534" i="10"/>
  <c r="A6534" i="10"/>
  <c r="E6533" i="10"/>
  <c r="D6533" i="10"/>
  <c r="C6533" i="10"/>
  <c r="B6533" i="10"/>
  <c r="A6533" i="10"/>
  <c r="E6532" i="10"/>
  <c r="D6532" i="10"/>
  <c r="C6532" i="10"/>
  <c r="B6532" i="10"/>
  <c r="A6532" i="10"/>
  <c r="E6531" i="10"/>
  <c r="D6531" i="10"/>
  <c r="C6531" i="10"/>
  <c r="B6531" i="10"/>
  <c r="A6531" i="10"/>
  <c r="E6530" i="10"/>
  <c r="D6530" i="10"/>
  <c r="C6530" i="10"/>
  <c r="B6530" i="10"/>
  <c r="A6530" i="10"/>
  <c r="E6529" i="10"/>
  <c r="D6529" i="10"/>
  <c r="C6529" i="10"/>
  <c r="B6529" i="10"/>
  <c r="A6529" i="10"/>
  <c r="E6528" i="10"/>
  <c r="D6528" i="10"/>
  <c r="C6528" i="10"/>
  <c r="B6528" i="10"/>
  <c r="A6528" i="10"/>
  <c r="E6527" i="10"/>
  <c r="D6527" i="10"/>
  <c r="C6527" i="10"/>
  <c r="B6527" i="10"/>
  <c r="A6527" i="10"/>
  <c r="E6526" i="10"/>
  <c r="D6526" i="10"/>
  <c r="C6526" i="10"/>
  <c r="B6526" i="10"/>
  <c r="A6526" i="10"/>
  <c r="E6525" i="10"/>
  <c r="D6525" i="10"/>
  <c r="C6525" i="10"/>
  <c r="B6525" i="10"/>
  <c r="A6525" i="10"/>
  <c r="E6524" i="10"/>
  <c r="D6524" i="10"/>
  <c r="C6524" i="10"/>
  <c r="B6524" i="10"/>
  <c r="A6524" i="10"/>
  <c r="E6523" i="10"/>
  <c r="D6523" i="10"/>
  <c r="C6523" i="10"/>
  <c r="B6523" i="10"/>
  <c r="A6523" i="10"/>
  <c r="E6522" i="10"/>
  <c r="D6522" i="10"/>
  <c r="C6522" i="10"/>
  <c r="B6522" i="10"/>
  <c r="A6522" i="10"/>
  <c r="E6521" i="10"/>
  <c r="D6521" i="10"/>
  <c r="C6521" i="10"/>
  <c r="B6521" i="10"/>
  <c r="A6521" i="10"/>
  <c r="E6520" i="10"/>
  <c r="D6520" i="10"/>
  <c r="C6520" i="10"/>
  <c r="B6520" i="10"/>
  <c r="A6520" i="10"/>
  <c r="E6519" i="10"/>
  <c r="D6519" i="10"/>
  <c r="C6519" i="10"/>
  <c r="B6519" i="10"/>
  <c r="A6519" i="10"/>
  <c r="E6518" i="10"/>
  <c r="D6518" i="10"/>
  <c r="C6518" i="10"/>
  <c r="B6518" i="10"/>
  <c r="A6518" i="10"/>
  <c r="E6517" i="10"/>
  <c r="D6517" i="10"/>
  <c r="C6517" i="10"/>
  <c r="B6517" i="10"/>
  <c r="A6517" i="10"/>
  <c r="E6516" i="10"/>
  <c r="D6516" i="10"/>
  <c r="C6516" i="10"/>
  <c r="B6516" i="10"/>
  <c r="A6516" i="10"/>
  <c r="E6515" i="10"/>
  <c r="D6515" i="10"/>
  <c r="C6515" i="10"/>
  <c r="B6515" i="10"/>
  <c r="A6515" i="10"/>
  <c r="E6514" i="10"/>
  <c r="D6514" i="10"/>
  <c r="C6514" i="10"/>
  <c r="B6514" i="10"/>
  <c r="A6514" i="10"/>
  <c r="E6513" i="10"/>
  <c r="D6513" i="10"/>
  <c r="C6513" i="10"/>
  <c r="B6513" i="10"/>
  <c r="A6513" i="10"/>
  <c r="E6512" i="10"/>
  <c r="D6512" i="10"/>
  <c r="C6512" i="10"/>
  <c r="B6512" i="10"/>
  <c r="A6512" i="10"/>
  <c r="E6511" i="10"/>
  <c r="D6511" i="10"/>
  <c r="C6511" i="10"/>
  <c r="B6511" i="10"/>
  <c r="A6511" i="10"/>
  <c r="E6510" i="10"/>
  <c r="D6510" i="10"/>
  <c r="C6510" i="10"/>
  <c r="B6510" i="10"/>
  <c r="A6510" i="10"/>
  <c r="E6509" i="10"/>
  <c r="D6509" i="10"/>
  <c r="C6509" i="10"/>
  <c r="B6509" i="10"/>
  <c r="A6509" i="10"/>
  <c r="E6508" i="10"/>
  <c r="D6508" i="10"/>
  <c r="C6508" i="10"/>
  <c r="B6508" i="10"/>
  <c r="A6508" i="10"/>
  <c r="E6507" i="10"/>
  <c r="D6507" i="10"/>
  <c r="C6507" i="10"/>
  <c r="B6507" i="10"/>
  <c r="A6507" i="10"/>
  <c r="E6506" i="10"/>
  <c r="D6506" i="10"/>
  <c r="C6506" i="10"/>
  <c r="B6506" i="10"/>
  <c r="A6506" i="10"/>
  <c r="E6505" i="10"/>
  <c r="D6505" i="10"/>
  <c r="C6505" i="10"/>
  <c r="B6505" i="10"/>
  <c r="A6505" i="10"/>
  <c r="E6504" i="10"/>
  <c r="D6504" i="10"/>
  <c r="C6504" i="10"/>
  <c r="B6504" i="10"/>
  <c r="A6504" i="10"/>
  <c r="E6503" i="10"/>
  <c r="D6503" i="10"/>
  <c r="C6503" i="10"/>
  <c r="B6503" i="10"/>
  <c r="A6503" i="10"/>
  <c r="E6502" i="10"/>
  <c r="D6502" i="10"/>
  <c r="C6502" i="10"/>
  <c r="B6502" i="10"/>
  <c r="A6502" i="10"/>
  <c r="E6501" i="10"/>
  <c r="D6501" i="10"/>
  <c r="C6501" i="10"/>
  <c r="B6501" i="10"/>
  <c r="A6501" i="10"/>
  <c r="E6500" i="10"/>
  <c r="D6500" i="10"/>
  <c r="C6500" i="10"/>
  <c r="B6500" i="10"/>
  <c r="A6500" i="10"/>
  <c r="E6499" i="10"/>
  <c r="D6499" i="10"/>
  <c r="C6499" i="10"/>
  <c r="B6499" i="10"/>
  <c r="A6499" i="10"/>
  <c r="E6498" i="10"/>
  <c r="D6498" i="10"/>
  <c r="C6498" i="10"/>
  <c r="B6498" i="10"/>
  <c r="A6498" i="10"/>
  <c r="E6497" i="10"/>
  <c r="D6497" i="10"/>
  <c r="C6497" i="10"/>
  <c r="B6497" i="10"/>
  <c r="A6497" i="10"/>
  <c r="E6496" i="10"/>
  <c r="D6496" i="10"/>
  <c r="C6496" i="10"/>
  <c r="B6496" i="10"/>
  <c r="A6496" i="10"/>
  <c r="E6495" i="10"/>
  <c r="D6495" i="10"/>
  <c r="C6495" i="10"/>
  <c r="B6495" i="10"/>
  <c r="A6495" i="10"/>
  <c r="E6494" i="10"/>
  <c r="D6494" i="10"/>
  <c r="C6494" i="10"/>
  <c r="B6494" i="10"/>
  <c r="A6494" i="10"/>
  <c r="E6493" i="10"/>
  <c r="D6493" i="10"/>
  <c r="C6493" i="10"/>
  <c r="B6493" i="10"/>
  <c r="A6493" i="10"/>
  <c r="E6492" i="10"/>
  <c r="D6492" i="10"/>
  <c r="C6492" i="10"/>
  <c r="B6492" i="10"/>
  <c r="A6492" i="10"/>
  <c r="E6491" i="10"/>
  <c r="D6491" i="10"/>
  <c r="C6491" i="10"/>
  <c r="B6491" i="10"/>
  <c r="A6491" i="10"/>
  <c r="E6490" i="10"/>
  <c r="D6490" i="10"/>
  <c r="C6490" i="10"/>
  <c r="B6490" i="10"/>
  <c r="A6490" i="10"/>
  <c r="E6489" i="10"/>
  <c r="D6489" i="10"/>
  <c r="C6489" i="10"/>
  <c r="B6489" i="10"/>
  <c r="A6489" i="10"/>
  <c r="E6488" i="10"/>
  <c r="D6488" i="10"/>
  <c r="C6488" i="10"/>
  <c r="B6488" i="10"/>
  <c r="A6488" i="10"/>
  <c r="E6487" i="10"/>
  <c r="D6487" i="10"/>
  <c r="C6487" i="10"/>
  <c r="B6487" i="10"/>
  <c r="A6487" i="10"/>
  <c r="E6486" i="10"/>
  <c r="D6486" i="10"/>
  <c r="C6486" i="10"/>
  <c r="B6486" i="10"/>
  <c r="A6486" i="10"/>
  <c r="E6485" i="10"/>
  <c r="D6485" i="10"/>
  <c r="C6485" i="10"/>
  <c r="B6485" i="10"/>
  <c r="A6485" i="10"/>
  <c r="E6484" i="10"/>
  <c r="D6484" i="10"/>
  <c r="C6484" i="10"/>
  <c r="B6484" i="10"/>
  <c r="A6484" i="10"/>
  <c r="E6483" i="10"/>
  <c r="D6483" i="10"/>
  <c r="C6483" i="10"/>
  <c r="B6483" i="10"/>
  <c r="A6483" i="10"/>
  <c r="E6482" i="10"/>
  <c r="D6482" i="10"/>
  <c r="C6482" i="10"/>
  <c r="B6482" i="10"/>
  <c r="A6482" i="10"/>
  <c r="E6481" i="10"/>
  <c r="D6481" i="10"/>
  <c r="C6481" i="10"/>
  <c r="B6481" i="10"/>
  <c r="A6481" i="10"/>
  <c r="E6480" i="10"/>
  <c r="D6480" i="10"/>
  <c r="C6480" i="10"/>
  <c r="B6480" i="10"/>
  <c r="A6480" i="10"/>
  <c r="E6479" i="10"/>
  <c r="D6479" i="10"/>
  <c r="C6479" i="10"/>
  <c r="B6479" i="10"/>
  <c r="A6479" i="10"/>
  <c r="E6478" i="10"/>
  <c r="D6478" i="10"/>
  <c r="C6478" i="10"/>
  <c r="B6478" i="10"/>
  <c r="A6478" i="10"/>
  <c r="E6477" i="10"/>
  <c r="D6477" i="10"/>
  <c r="C6477" i="10"/>
  <c r="B6477" i="10"/>
  <c r="A6477" i="10"/>
  <c r="E6476" i="10"/>
  <c r="D6476" i="10"/>
  <c r="C6476" i="10"/>
  <c r="B6476" i="10"/>
  <c r="A6476" i="10"/>
  <c r="E6475" i="10"/>
  <c r="D6475" i="10"/>
  <c r="C6475" i="10"/>
  <c r="B6475" i="10"/>
  <c r="A6475" i="10"/>
  <c r="E6474" i="10"/>
  <c r="D6474" i="10"/>
  <c r="C6474" i="10"/>
  <c r="B6474" i="10"/>
  <c r="A6474" i="10"/>
  <c r="E6473" i="10"/>
  <c r="D6473" i="10"/>
  <c r="C6473" i="10"/>
  <c r="B6473" i="10"/>
  <c r="A6473" i="10"/>
  <c r="E6472" i="10"/>
  <c r="D6472" i="10"/>
  <c r="C6472" i="10"/>
  <c r="B6472" i="10"/>
  <c r="A6472" i="10"/>
  <c r="E6471" i="10"/>
  <c r="D6471" i="10"/>
  <c r="C6471" i="10"/>
  <c r="B6471" i="10"/>
  <c r="A6471" i="10"/>
  <c r="E6470" i="10"/>
  <c r="D6470" i="10"/>
  <c r="C6470" i="10"/>
  <c r="B6470" i="10"/>
  <c r="A6470" i="10"/>
  <c r="E6469" i="10"/>
  <c r="D6469" i="10"/>
  <c r="C6469" i="10"/>
  <c r="B6469" i="10"/>
  <c r="A6469" i="10"/>
  <c r="E6468" i="10"/>
  <c r="D6468" i="10"/>
  <c r="C6468" i="10"/>
  <c r="B6468" i="10"/>
  <c r="A6468" i="10"/>
  <c r="E6467" i="10"/>
  <c r="D6467" i="10"/>
  <c r="C6467" i="10"/>
  <c r="B6467" i="10"/>
  <c r="A6467" i="10"/>
  <c r="E6466" i="10"/>
  <c r="D6466" i="10"/>
  <c r="C6466" i="10"/>
  <c r="B6466" i="10"/>
  <c r="A6466" i="10"/>
  <c r="E6465" i="10"/>
  <c r="D6465" i="10"/>
  <c r="C6465" i="10"/>
  <c r="B6465" i="10"/>
  <c r="A6465" i="10"/>
  <c r="E6464" i="10"/>
  <c r="D6464" i="10"/>
  <c r="C6464" i="10"/>
  <c r="B6464" i="10"/>
  <c r="A6464" i="10"/>
  <c r="E6463" i="10"/>
  <c r="D6463" i="10"/>
  <c r="C6463" i="10"/>
  <c r="B6463" i="10"/>
  <c r="A6463" i="10"/>
  <c r="E6462" i="10"/>
  <c r="D6462" i="10"/>
  <c r="C6462" i="10"/>
  <c r="B6462" i="10"/>
  <c r="A6462" i="10"/>
  <c r="E6461" i="10"/>
  <c r="D6461" i="10"/>
  <c r="C6461" i="10"/>
  <c r="B6461" i="10"/>
  <c r="A6461" i="10"/>
  <c r="E6460" i="10"/>
  <c r="D6460" i="10"/>
  <c r="C6460" i="10"/>
  <c r="B6460" i="10"/>
  <c r="A6460" i="10"/>
  <c r="E6459" i="10"/>
  <c r="D6459" i="10"/>
  <c r="C6459" i="10"/>
  <c r="B6459" i="10"/>
  <c r="A6459" i="10"/>
  <c r="E6458" i="10"/>
  <c r="D6458" i="10"/>
  <c r="C6458" i="10"/>
  <c r="B6458" i="10"/>
  <c r="A6458" i="10"/>
  <c r="E6457" i="10"/>
  <c r="D6457" i="10"/>
  <c r="C6457" i="10"/>
  <c r="B6457" i="10"/>
  <c r="A6457" i="10"/>
  <c r="E6456" i="10"/>
  <c r="D6456" i="10"/>
  <c r="C6456" i="10"/>
  <c r="B6456" i="10"/>
  <c r="A6456" i="10"/>
  <c r="E6455" i="10"/>
  <c r="D6455" i="10"/>
  <c r="C6455" i="10"/>
  <c r="B6455" i="10"/>
  <c r="A6455" i="10"/>
  <c r="E6454" i="10"/>
  <c r="D6454" i="10"/>
  <c r="C6454" i="10"/>
  <c r="B6454" i="10"/>
  <c r="A6454" i="10"/>
  <c r="E6453" i="10"/>
  <c r="D6453" i="10"/>
  <c r="C6453" i="10"/>
  <c r="B6453" i="10"/>
  <c r="A6453" i="10"/>
  <c r="E6452" i="10"/>
  <c r="D6452" i="10"/>
  <c r="C6452" i="10"/>
  <c r="B6452" i="10"/>
  <c r="A6452" i="10"/>
  <c r="E6451" i="10"/>
  <c r="D6451" i="10"/>
  <c r="C6451" i="10"/>
  <c r="B6451" i="10"/>
  <c r="A6451" i="10"/>
  <c r="E6450" i="10"/>
  <c r="D6450" i="10"/>
  <c r="C6450" i="10"/>
  <c r="B6450" i="10"/>
  <c r="A6450" i="10"/>
  <c r="E6449" i="10"/>
  <c r="D6449" i="10"/>
  <c r="C6449" i="10"/>
  <c r="B6449" i="10"/>
  <c r="A6449" i="10"/>
  <c r="E6448" i="10"/>
  <c r="D6448" i="10"/>
  <c r="C6448" i="10"/>
  <c r="B6448" i="10"/>
  <c r="A6448" i="10"/>
  <c r="E6447" i="10"/>
  <c r="D6447" i="10"/>
  <c r="C6447" i="10"/>
  <c r="B6447" i="10"/>
  <c r="A6447" i="10"/>
  <c r="E6446" i="10"/>
  <c r="D6446" i="10"/>
  <c r="C6446" i="10"/>
  <c r="B6446" i="10"/>
  <c r="A6446" i="10"/>
  <c r="E6445" i="10"/>
  <c r="D6445" i="10"/>
  <c r="C6445" i="10"/>
  <c r="B6445" i="10"/>
  <c r="A6445" i="10"/>
  <c r="E6444" i="10"/>
  <c r="D6444" i="10"/>
  <c r="C6444" i="10"/>
  <c r="B6444" i="10"/>
  <c r="A6444" i="10"/>
  <c r="E6443" i="10"/>
  <c r="D6443" i="10"/>
  <c r="C6443" i="10"/>
  <c r="B6443" i="10"/>
  <c r="A6443" i="10"/>
  <c r="E6442" i="10"/>
  <c r="D6442" i="10"/>
  <c r="C6442" i="10"/>
  <c r="B6442" i="10"/>
  <c r="A6442" i="10"/>
  <c r="E6441" i="10"/>
  <c r="D6441" i="10"/>
  <c r="C6441" i="10"/>
  <c r="B6441" i="10"/>
  <c r="A6441" i="10"/>
  <c r="E6440" i="10"/>
  <c r="D6440" i="10"/>
  <c r="C6440" i="10"/>
  <c r="B6440" i="10"/>
  <c r="A6440" i="10"/>
  <c r="E6439" i="10"/>
  <c r="D6439" i="10"/>
  <c r="C6439" i="10"/>
  <c r="B6439" i="10"/>
  <c r="A6439" i="10"/>
  <c r="E6438" i="10"/>
  <c r="D6438" i="10"/>
  <c r="C6438" i="10"/>
  <c r="B6438" i="10"/>
  <c r="A6438" i="10"/>
  <c r="E6437" i="10"/>
  <c r="D6437" i="10"/>
  <c r="C6437" i="10"/>
  <c r="B6437" i="10"/>
  <c r="A6437" i="10"/>
  <c r="E6436" i="10"/>
  <c r="D6436" i="10"/>
  <c r="C6436" i="10"/>
  <c r="B6436" i="10"/>
  <c r="A6436" i="10"/>
  <c r="E6435" i="10"/>
  <c r="D6435" i="10"/>
  <c r="C6435" i="10"/>
  <c r="B6435" i="10"/>
  <c r="A6435" i="10"/>
  <c r="E6434" i="10"/>
  <c r="D6434" i="10"/>
  <c r="C6434" i="10"/>
  <c r="B6434" i="10"/>
  <c r="A6434" i="10"/>
  <c r="E6433" i="10"/>
  <c r="D6433" i="10"/>
  <c r="C6433" i="10"/>
  <c r="B6433" i="10"/>
  <c r="A6433" i="10"/>
  <c r="E6432" i="10"/>
  <c r="D6432" i="10"/>
  <c r="C6432" i="10"/>
  <c r="B6432" i="10"/>
  <c r="A6432" i="10"/>
  <c r="E6431" i="10"/>
  <c r="D6431" i="10"/>
  <c r="C6431" i="10"/>
  <c r="B6431" i="10"/>
  <c r="A6431" i="10"/>
  <c r="E6430" i="10"/>
  <c r="D6430" i="10"/>
  <c r="C6430" i="10"/>
  <c r="B6430" i="10"/>
  <c r="A6430" i="10"/>
  <c r="E6429" i="10"/>
  <c r="D6429" i="10"/>
  <c r="C6429" i="10"/>
  <c r="B6429" i="10"/>
  <c r="A6429" i="10"/>
  <c r="E6428" i="10"/>
  <c r="D6428" i="10"/>
  <c r="C6428" i="10"/>
  <c r="B6428" i="10"/>
  <c r="A6428" i="10"/>
  <c r="E6427" i="10"/>
  <c r="D6427" i="10"/>
  <c r="C6427" i="10"/>
  <c r="B6427" i="10"/>
  <c r="A6427" i="10"/>
  <c r="E6426" i="10"/>
  <c r="D6426" i="10"/>
  <c r="C6426" i="10"/>
  <c r="B6426" i="10"/>
  <c r="A6426" i="10"/>
  <c r="E6425" i="10"/>
  <c r="D6425" i="10"/>
  <c r="C6425" i="10"/>
  <c r="B6425" i="10"/>
  <c r="A6425" i="10"/>
  <c r="E6424" i="10"/>
  <c r="D6424" i="10"/>
  <c r="C6424" i="10"/>
  <c r="B6424" i="10"/>
  <c r="A6424" i="10"/>
  <c r="E6423" i="10"/>
  <c r="D6423" i="10"/>
  <c r="C6423" i="10"/>
  <c r="B6423" i="10"/>
  <c r="A6423" i="10"/>
  <c r="E6422" i="10"/>
  <c r="D6422" i="10"/>
  <c r="C6422" i="10"/>
  <c r="B6422" i="10"/>
  <c r="A6422" i="10"/>
  <c r="E6421" i="10"/>
  <c r="D6421" i="10"/>
  <c r="C6421" i="10"/>
  <c r="B6421" i="10"/>
  <c r="A6421" i="10"/>
  <c r="E6420" i="10"/>
  <c r="D6420" i="10"/>
  <c r="C6420" i="10"/>
  <c r="B6420" i="10"/>
  <c r="A6420" i="10"/>
  <c r="E6419" i="10"/>
  <c r="D6419" i="10"/>
  <c r="C6419" i="10"/>
  <c r="B6419" i="10"/>
  <c r="A6419" i="10"/>
  <c r="E6418" i="10"/>
  <c r="D6418" i="10"/>
  <c r="C6418" i="10"/>
  <c r="B6418" i="10"/>
  <c r="A6418" i="10"/>
  <c r="E6417" i="10"/>
  <c r="D6417" i="10"/>
  <c r="C6417" i="10"/>
  <c r="B6417" i="10"/>
  <c r="A6417" i="10"/>
  <c r="E6416" i="10"/>
  <c r="D6416" i="10"/>
  <c r="C6416" i="10"/>
  <c r="B6416" i="10"/>
  <c r="A6416" i="10"/>
  <c r="E6415" i="10"/>
  <c r="D6415" i="10"/>
  <c r="C6415" i="10"/>
  <c r="B6415" i="10"/>
  <c r="A6415" i="10"/>
  <c r="E6414" i="10"/>
  <c r="D6414" i="10"/>
  <c r="C6414" i="10"/>
  <c r="B6414" i="10"/>
  <c r="A6414" i="10"/>
  <c r="E6413" i="10"/>
  <c r="D6413" i="10"/>
  <c r="C6413" i="10"/>
  <c r="B6413" i="10"/>
  <c r="A6413" i="10"/>
  <c r="E6412" i="10"/>
  <c r="D6412" i="10"/>
  <c r="C6412" i="10"/>
  <c r="B6412" i="10"/>
  <c r="A6412" i="10"/>
  <c r="E6411" i="10"/>
  <c r="D6411" i="10"/>
  <c r="C6411" i="10"/>
  <c r="B6411" i="10"/>
  <c r="A6411" i="10"/>
  <c r="E6410" i="10"/>
  <c r="D6410" i="10"/>
  <c r="C6410" i="10"/>
  <c r="B6410" i="10"/>
  <c r="A6410" i="10"/>
  <c r="E6409" i="10"/>
  <c r="D6409" i="10"/>
  <c r="C6409" i="10"/>
  <c r="B6409" i="10"/>
  <c r="A6409" i="10"/>
  <c r="E6408" i="10"/>
  <c r="D6408" i="10"/>
  <c r="C6408" i="10"/>
  <c r="B6408" i="10"/>
  <c r="A6408" i="10"/>
  <c r="E6407" i="10"/>
  <c r="D6407" i="10"/>
  <c r="C6407" i="10"/>
  <c r="B6407" i="10"/>
  <c r="A6407" i="10"/>
  <c r="E6406" i="10"/>
  <c r="D6406" i="10"/>
  <c r="C6406" i="10"/>
  <c r="B6406" i="10"/>
  <c r="A6406" i="10"/>
  <c r="E6405" i="10"/>
  <c r="D6405" i="10"/>
  <c r="C6405" i="10"/>
  <c r="B6405" i="10"/>
  <c r="A6405" i="10"/>
  <c r="E6404" i="10"/>
  <c r="D6404" i="10"/>
  <c r="C6404" i="10"/>
  <c r="B6404" i="10"/>
  <c r="A6404" i="10"/>
  <c r="E6403" i="10"/>
  <c r="D6403" i="10"/>
  <c r="C6403" i="10"/>
  <c r="B6403" i="10"/>
  <c r="A6403" i="10"/>
  <c r="E6402" i="10"/>
  <c r="D6402" i="10"/>
  <c r="C6402" i="10"/>
  <c r="B6402" i="10"/>
  <c r="A6402" i="10"/>
  <c r="E6401" i="10"/>
  <c r="D6401" i="10"/>
  <c r="C6401" i="10"/>
  <c r="B6401" i="10"/>
  <c r="A6401" i="10"/>
  <c r="E6400" i="10"/>
  <c r="D6400" i="10"/>
  <c r="C6400" i="10"/>
  <c r="B6400" i="10"/>
  <c r="A6400" i="10"/>
  <c r="E6399" i="10"/>
  <c r="D6399" i="10"/>
  <c r="C6399" i="10"/>
  <c r="B6399" i="10"/>
  <c r="A6399" i="10"/>
  <c r="E6398" i="10"/>
  <c r="D6398" i="10"/>
  <c r="C6398" i="10"/>
  <c r="B6398" i="10"/>
  <c r="A6398" i="10"/>
  <c r="E6397" i="10"/>
  <c r="D6397" i="10"/>
  <c r="C6397" i="10"/>
  <c r="B6397" i="10"/>
  <c r="A6397" i="10"/>
  <c r="E6396" i="10"/>
  <c r="D6396" i="10"/>
  <c r="C6396" i="10"/>
  <c r="B6396" i="10"/>
  <c r="A6396" i="10"/>
  <c r="E6395" i="10"/>
  <c r="D6395" i="10"/>
  <c r="C6395" i="10"/>
  <c r="B6395" i="10"/>
  <c r="A6395" i="10"/>
  <c r="E6394" i="10"/>
  <c r="D6394" i="10"/>
  <c r="C6394" i="10"/>
  <c r="B6394" i="10"/>
  <c r="A6394" i="10"/>
  <c r="E6393" i="10"/>
  <c r="D6393" i="10"/>
  <c r="C6393" i="10"/>
  <c r="B6393" i="10"/>
  <c r="A6393" i="10"/>
  <c r="E6392" i="10"/>
  <c r="D6392" i="10"/>
  <c r="C6392" i="10"/>
  <c r="B6392" i="10"/>
  <c r="A6392" i="10"/>
  <c r="E6391" i="10"/>
  <c r="D6391" i="10"/>
  <c r="C6391" i="10"/>
  <c r="B6391" i="10"/>
  <c r="A6391" i="10"/>
  <c r="E6390" i="10"/>
  <c r="D6390" i="10"/>
  <c r="C6390" i="10"/>
  <c r="B6390" i="10"/>
  <c r="A6390" i="10"/>
  <c r="E6389" i="10"/>
  <c r="D6389" i="10"/>
  <c r="C6389" i="10"/>
  <c r="B6389" i="10"/>
  <c r="A6389" i="10"/>
  <c r="E6388" i="10"/>
  <c r="D6388" i="10"/>
  <c r="C6388" i="10"/>
  <c r="B6388" i="10"/>
  <c r="A6388" i="10"/>
  <c r="E6387" i="10"/>
  <c r="D6387" i="10"/>
  <c r="C6387" i="10"/>
  <c r="B6387" i="10"/>
  <c r="A6387" i="10"/>
  <c r="E6386" i="10"/>
  <c r="D6386" i="10"/>
  <c r="C6386" i="10"/>
  <c r="B6386" i="10"/>
  <c r="A6386" i="10"/>
  <c r="E6385" i="10"/>
  <c r="D6385" i="10"/>
  <c r="C6385" i="10"/>
  <c r="B6385" i="10"/>
  <c r="A6385" i="10"/>
  <c r="E6384" i="10"/>
  <c r="D6384" i="10"/>
  <c r="C6384" i="10"/>
  <c r="B6384" i="10"/>
  <c r="A6384" i="10"/>
  <c r="E6383" i="10"/>
  <c r="D6383" i="10"/>
  <c r="C6383" i="10"/>
  <c r="B6383" i="10"/>
  <c r="A6383" i="10"/>
  <c r="E6382" i="10"/>
  <c r="D6382" i="10"/>
  <c r="C6382" i="10"/>
  <c r="B6382" i="10"/>
  <c r="A6382" i="10"/>
  <c r="E6381" i="10"/>
  <c r="D6381" i="10"/>
  <c r="C6381" i="10"/>
  <c r="B6381" i="10"/>
  <c r="A6381" i="10"/>
  <c r="E6380" i="10"/>
  <c r="D6380" i="10"/>
  <c r="C6380" i="10"/>
  <c r="B6380" i="10"/>
  <c r="A6380" i="10"/>
  <c r="E6379" i="10"/>
  <c r="D6379" i="10"/>
  <c r="C6379" i="10"/>
  <c r="B6379" i="10"/>
  <c r="A6379" i="10"/>
  <c r="E6378" i="10"/>
  <c r="D6378" i="10"/>
  <c r="C6378" i="10"/>
  <c r="B6378" i="10"/>
  <c r="A6378" i="10"/>
  <c r="E6377" i="10"/>
  <c r="D6377" i="10"/>
  <c r="C6377" i="10"/>
  <c r="B6377" i="10"/>
  <c r="A6377" i="10"/>
  <c r="E6376" i="10"/>
  <c r="D6376" i="10"/>
  <c r="C6376" i="10"/>
  <c r="B6376" i="10"/>
  <c r="A6376" i="10"/>
  <c r="E6375" i="10"/>
  <c r="D6375" i="10"/>
  <c r="C6375" i="10"/>
  <c r="B6375" i="10"/>
  <c r="A6375" i="10"/>
  <c r="E6374" i="10"/>
  <c r="D6374" i="10"/>
  <c r="C6374" i="10"/>
  <c r="B6374" i="10"/>
  <c r="A6374" i="10"/>
  <c r="E6373" i="10"/>
  <c r="D6373" i="10"/>
  <c r="C6373" i="10"/>
  <c r="B6373" i="10"/>
  <c r="A6373" i="10"/>
  <c r="E6372" i="10"/>
  <c r="D6372" i="10"/>
  <c r="C6372" i="10"/>
  <c r="B6372" i="10"/>
  <c r="A6372" i="10"/>
  <c r="E6371" i="10"/>
  <c r="D6371" i="10"/>
  <c r="C6371" i="10"/>
  <c r="B6371" i="10"/>
  <c r="A6371" i="10"/>
  <c r="E6370" i="10"/>
  <c r="D6370" i="10"/>
  <c r="C6370" i="10"/>
  <c r="B6370" i="10"/>
  <c r="A6370" i="10"/>
  <c r="E6369" i="10"/>
  <c r="D6369" i="10"/>
  <c r="C6369" i="10"/>
  <c r="B6369" i="10"/>
  <c r="A6369" i="10"/>
  <c r="E6368" i="10"/>
  <c r="D6368" i="10"/>
  <c r="C6368" i="10"/>
  <c r="B6368" i="10"/>
  <c r="A6368" i="10"/>
  <c r="E6367" i="10"/>
  <c r="D6367" i="10"/>
  <c r="C6367" i="10"/>
  <c r="B6367" i="10"/>
  <c r="A6367" i="10"/>
  <c r="E6366" i="10"/>
  <c r="D6366" i="10"/>
  <c r="C6366" i="10"/>
  <c r="B6366" i="10"/>
  <c r="A6366" i="10"/>
  <c r="E6365" i="10"/>
  <c r="D6365" i="10"/>
  <c r="C6365" i="10"/>
  <c r="B6365" i="10"/>
  <c r="A6365" i="10"/>
  <c r="E6364" i="10"/>
  <c r="D6364" i="10"/>
  <c r="C6364" i="10"/>
  <c r="B6364" i="10"/>
  <c r="A6364" i="10"/>
  <c r="E6363" i="10"/>
  <c r="D6363" i="10"/>
  <c r="C6363" i="10"/>
  <c r="B6363" i="10"/>
  <c r="A6363" i="10"/>
  <c r="E6362" i="10"/>
  <c r="D6362" i="10"/>
  <c r="C6362" i="10"/>
  <c r="B6362" i="10"/>
  <c r="A6362" i="10"/>
  <c r="E6361" i="10"/>
  <c r="D6361" i="10"/>
  <c r="C6361" i="10"/>
  <c r="B6361" i="10"/>
  <c r="A6361" i="10"/>
  <c r="E6360" i="10"/>
  <c r="D6360" i="10"/>
  <c r="C6360" i="10"/>
  <c r="B6360" i="10"/>
  <c r="A6360" i="10"/>
  <c r="E6359" i="10"/>
  <c r="D6359" i="10"/>
  <c r="C6359" i="10"/>
  <c r="B6359" i="10"/>
  <c r="A6359" i="10"/>
  <c r="E6358" i="10"/>
  <c r="D6358" i="10"/>
  <c r="C6358" i="10"/>
  <c r="B6358" i="10"/>
  <c r="A6358" i="10"/>
  <c r="E6357" i="10"/>
  <c r="D6357" i="10"/>
  <c r="C6357" i="10"/>
  <c r="B6357" i="10"/>
  <c r="A6357" i="10"/>
  <c r="E6356" i="10"/>
  <c r="D6356" i="10"/>
  <c r="C6356" i="10"/>
  <c r="B6356" i="10"/>
  <c r="A6356" i="10"/>
  <c r="E6355" i="10"/>
  <c r="D6355" i="10"/>
  <c r="C6355" i="10"/>
  <c r="B6355" i="10"/>
  <c r="A6355" i="10"/>
  <c r="E6354" i="10"/>
  <c r="D6354" i="10"/>
  <c r="C6354" i="10"/>
  <c r="B6354" i="10"/>
  <c r="A6354" i="10"/>
  <c r="E6353" i="10"/>
  <c r="D6353" i="10"/>
  <c r="C6353" i="10"/>
  <c r="B6353" i="10"/>
  <c r="A6353" i="10"/>
  <c r="E6352" i="10"/>
  <c r="D6352" i="10"/>
  <c r="C6352" i="10"/>
  <c r="B6352" i="10"/>
  <c r="A6352" i="10"/>
  <c r="E6351" i="10"/>
  <c r="D6351" i="10"/>
  <c r="C6351" i="10"/>
  <c r="B6351" i="10"/>
  <c r="A6351" i="10"/>
  <c r="E6350" i="10"/>
  <c r="D6350" i="10"/>
  <c r="C6350" i="10"/>
  <c r="B6350" i="10"/>
  <c r="A6350" i="10"/>
  <c r="E6349" i="10"/>
  <c r="D6349" i="10"/>
  <c r="C6349" i="10"/>
  <c r="B6349" i="10"/>
  <c r="A6349" i="10"/>
  <c r="E6348" i="10"/>
  <c r="D6348" i="10"/>
  <c r="C6348" i="10"/>
  <c r="B6348" i="10"/>
  <c r="A6348" i="10"/>
  <c r="E6347" i="10"/>
  <c r="D6347" i="10"/>
  <c r="C6347" i="10"/>
  <c r="B6347" i="10"/>
  <c r="A6347" i="10"/>
  <c r="E6346" i="10"/>
  <c r="D6346" i="10"/>
  <c r="C6346" i="10"/>
  <c r="B6346" i="10"/>
  <c r="A6346" i="10"/>
  <c r="E6345" i="10"/>
  <c r="D6345" i="10"/>
  <c r="C6345" i="10"/>
  <c r="B6345" i="10"/>
  <c r="A6345" i="10"/>
  <c r="E6344" i="10"/>
  <c r="D6344" i="10"/>
  <c r="C6344" i="10"/>
  <c r="B6344" i="10"/>
  <c r="A6344" i="10"/>
  <c r="E6343" i="10"/>
  <c r="D6343" i="10"/>
  <c r="C6343" i="10"/>
  <c r="B6343" i="10"/>
  <c r="A6343" i="10"/>
  <c r="E6342" i="10"/>
  <c r="D6342" i="10"/>
  <c r="C6342" i="10"/>
  <c r="B6342" i="10"/>
  <c r="A6342" i="10"/>
  <c r="E6341" i="10"/>
  <c r="D6341" i="10"/>
  <c r="C6341" i="10"/>
  <c r="B6341" i="10"/>
  <c r="A6341" i="10"/>
  <c r="E6340" i="10"/>
  <c r="D6340" i="10"/>
  <c r="C6340" i="10"/>
  <c r="B6340" i="10"/>
  <c r="A6340" i="10"/>
  <c r="E6339" i="10"/>
  <c r="D6339" i="10"/>
  <c r="C6339" i="10"/>
  <c r="B6339" i="10"/>
  <c r="A6339" i="10"/>
  <c r="E6338" i="10"/>
  <c r="D6338" i="10"/>
  <c r="C6338" i="10"/>
  <c r="B6338" i="10"/>
  <c r="A6338" i="10"/>
  <c r="E6337" i="10"/>
  <c r="D6337" i="10"/>
  <c r="C6337" i="10"/>
  <c r="B6337" i="10"/>
  <c r="A6337" i="10"/>
  <c r="E6336" i="10"/>
  <c r="D6336" i="10"/>
  <c r="C6336" i="10"/>
  <c r="B6336" i="10"/>
  <c r="A6336" i="10"/>
  <c r="E6335" i="10"/>
  <c r="D6335" i="10"/>
  <c r="C6335" i="10"/>
  <c r="B6335" i="10"/>
  <c r="A6335" i="10"/>
  <c r="E6334" i="10"/>
  <c r="D6334" i="10"/>
  <c r="C6334" i="10"/>
  <c r="B6334" i="10"/>
  <c r="A6334" i="10"/>
  <c r="E6333" i="10"/>
  <c r="D6333" i="10"/>
  <c r="C6333" i="10"/>
  <c r="B6333" i="10"/>
  <c r="A6333" i="10"/>
  <c r="E6332" i="10"/>
  <c r="D6332" i="10"/>
  <c r="C6332" i="10"/>
  <c r="B6332" i="10"/>
  <c r="A6332" i="10"/>
  <c r="E6331" i="10"/>
  <c r="D6331" i="10"/>
  <c r="C6331" i="10"/>
  <c r="B6331" i="10"/>
  <c r="A6331" i="10"/>
  <c r="E6330" i="10"/>
  <c r="D6330" i="10"/>
  <c r="C6330" i="10"/>
  <c r="B6330" i="10"/>
  <c r="A6330" i="10"/>
  <c r="E6329" i="10"/>
  <c r="D6329" i="10"/>
  <c r="C6329" i="10"/>
  <c r="B6329" i="10"/>
  <c r="A6329" i="10"/>
  <c r="E6328" i="10"/>
  <c r="D6328" i="10"/>
  <c r="C6328" i="10"/>
  <c r="B6328" i="10"/>
  <c r="A6328" i="10"/>
  <c r="E6327" i="10"/>
  <c r="D6327" i="10"/>
  <c r="C6327" i="10"/>
  <c r="B6327" i="10"/>
  <c r="A6327" i="10"/>
  <c r="E6326" i="10"/>
  <c r="D6326" i="10"/>
  <c r="C6326" i="10"/>
  <c r="B6326" i="10"/>
  <c r="A6326" i="10"/>
  <c r="E6325" i="10"/>
  <c r="D6325" i="10"/>
  <c r="C6325" i="10"/>
  <c r="B6325" i="10"/>
  <c r="A6325" i="10"/>
  <c r="E6324" i="10"/>
  <c r="D6324" i="10"/>
  <c r="C6324" i="10"/>
  <c r="B6324" i="10"/>
  <c r="A6324" i="10"/>
  <c r="E6323" i="10"/>
  <c r="D6323" i="10"/>
  <c r="C6323" i="10"/>
  <c r="B6323" i="10"/>
  <c r="A6323" i="10"/>
  <c r="E6322" i="10"/>
  <c r="D6322" i="10"/>
  <c r="C6322" i="10"/>
  <c r="B6322" i="10"/>
  <c r="A6322" i="10"/>
  <c r="E6321" i="10"/>
  <c r="D6321" i="10"/>
  <c r="C6321" i="10"/>
  <c r="B6321" i="10"/>
  <c r="A6321" i="10"/>
  <c r="E6320" i="10"/>
  <c r="D6320" i="10"/>
  <c r="C6320" i="10"/>
  <c r="B6320" i="10"/>
  <c r="A6320" i="10"/>
  <c r="E6319" i="10"/>
  <c r="D6319" i="10"/>
  <c r="C6319" i="10"/>
  <c r="B6319" i="10"/>
  <c r="A6319" i="10"/>
  <c r="E6318" i="10"/>
  <c r="D6318" i="10"/>
  <c r="C6318" i="10"/>
  <c r="B6318" i="10"/>
  <c r="A6318" i="10"/>
  <c r="E6317" i="10"/>
  <c r="D6317" i="10"/>
  <c r="C6317" i="10"/>
  <c r="B6317" i="10"/>
  <c r="A6317" i="10"/>
  <c r="E6316" i="10"/>
  <c r="D6316" i="10"/>
  <c r="C6316" i="10"/>
  <c r="B6316" i="10"/>
  <c r="A6316" i="10"/>
  <c r="E6315" i="10"/>
  <c r="D6315" i="10"/>
  <c r="C6315" i="10"/>
  <c r="B6315" i="10"/>
  <c r="A6315" i="10"/>
  <c r="E6314" i="10"/>
  <c r="D6314" i="10"/>
  <c r="C6314" i="10"/>
  <c r="B6314" i="10"/>
  <c r="A6314" i="10"/>
  <c r="E6313" i="10"/>
  <c r="D6313" i="10"/>
  <c r="C6313" i="10"/>
  <c r="B6313" i="10"/>
  <c r="A6313" i="10"/>
  <c r="E6312" i="10"/>
  <c r="D6312" i="10"/>
  <c r="C6312" i="10"/>
  <c r="B6312" i="10"/>
  <c r="A6312" i="10"/>
  <c r="E6311" i="10"/>
  <c r="D6311" i="10"/>
  <c r="C6311" i="10"/>
  <c r="B6311" i="10"/>
  <c r="A6311" i="10"/>
  <c r="E6310" i="10"/>
  <c r="D6310" i="10"/>
  <c r="C6310" i="10"/>
  <c r="B6310" i="10"/>
  <c r="A6310" i="10"/>
  <c r="E6309" i="10"/>
  <c r="D6309" i="10"/>
  <c r="C6309" i="10"/>
  <c r="B6309" i="10"/>
  <c r="A6309" i="10"/>
  <c r="E6308" i="10"/>
  <c r="D6308" i="10"/>
  <c r="C6308" i="10"/>
  <c r="B6308" i="10"/>
  <c r="A6308" i="10"/>
  <c r="E6307" i="10"/>
  <c r="D6307" i="10"/>
  <c r="C6307" i="10"/>
  <c r="B6307" i="10"/>
  <c r="A6307" i="10"/>
  <c r="E6306" i="10"/>
  <c r="D6306" i="10"/>
  <c r="C6306" i="10"/>
  <c r="B6306" i="10"/>
  <c r="A6306" i="10"/>
  <c r="E6305" i="10"/>
  <c r="D6305" i="10"/>
  <c r="C6305" i="10"/>
  <c r="B6305" i="10"/>
  <c r="A6305" i="10"/>
  <c r="E6304" i="10"/>
  <c r="D6304" i="10"/>
  <c r="C6304" i="10"/>
  <c r="B6304" i="10"/>
  <c r="A6304" i="10"/>
  <c r="E6303" i="10"/>
  <c r="D6303" i="10"/>
  <c r="C6303" i="10"/>
  <c r="B6303" i="10"/>
  <c r="A6303" i="10"/>
  <c r="E6302" i="10"/>
  <c r="D6302" i="10"/>
  <c r="C6302" i="10"/>
  <c r="B6302" i="10"/>
  <c r="A6302" i="10"/>
  <c r="E6301" i="10"/>
  <c r="D6301" i="10"/>
  <c r="C6301" i="10"/>
  <c r="B6301" i="10"/>
  <c r="A6301" i="10"/>
  <c r="E6300" i="10"/>
  <c r="D6300" i="10"/>
  <c r="C6300" i="10"/>
  <c r="B6300" i="10"/>
  <c r="A6300" i="10"/>
  <c r="E6299" i="10"/>
  <c r="D6299" i="10"/>
  <c r="C6299" i="10"/>
  <c r="B6299" i="10"/>
  <c r="A6299" i="10"/>
  <c r="E6298" i="10"/>
  <c r="D6298" i="10"/>
  <c r="C6298" i="10"/>
  <c r="B6298" i="10"/>
  <c r="A6298" i="10"/>
  <c r="E6297" i="10"/>
  <c r="D6297" i="10"/>
  <c r="C6297" i="10"/>
  <c r="B6297" i="10"/>
  <c r="A6297" i="10"/>
  <c r="E6296" i="10"/>
  <c r="D6296" i="10"/>
  <c r="C6296" i="10"/>
  <c r="B6296" i="10"/>
  <c r="A6296" i="10"/>
  <c r="E6295" i="10"/>
  <c r="D6295" i="10"/>
  <c r="C6295" i="10"/>
  <c r="B6295" i="10"/>
  <c r="A6295" i="10"/>
  <c r="E6294" i="10"/>
  <c r="D6294" i="10"/>
  <c r="C6294" i="10"/>
  <c r="B6294" i="10"/>
  <c r="A6294" i="10"/>
  <c r="E6293" i="10"/>
  <c r="D6293" i="10"/>
  <c r="C6293" i="10"/>
  <c r="B6293" i="10"/>
  <c r="A6293" i="10"/>
  <c r="E6292" i="10"/>
  <c r="D6292" i="10"/>
  <c r="C6292" i="10"/>
  <c r="B6292" i="10"/>
  <c r="A6292" i="10"/>
  <c r="E6291" i="10"/>
  <c r="D6291" i="10"/>
  <c r="C6291" i="10"/>
  <c r="B6291" i="10"/>
  <c r="A6291" i="10"/>
  <c r="E6290" i="10"/>
  <c r="D6290" i="10"/>
  <c r="C6290" i="10"/>
  <c r="B6290" i="10"/>
  <c r="A6290" i="10"/>
  <c r="E6289" i="10"/>
  <c r="D6289" i="10"/>
  <c r="C6289" i="10"/>
  <c r="B6289" i="10"/>
  <c r="A6289" i="10"/>
  <c r="E6288" i="10"/>
  <c r="D6288" i="10"/>
  <c r="C6288" i="10"/>
  <c r="B6288" i="10"/>
  <c r="A6288" i="10"/>
  <c r="E6287" i="10"/>
  <c r="D6287" i="10"/>
  <c r="C6287" i="10"/>
  <c r="B6287" i="10"/>
  <c r="A6287" i="10"/>
  <c r="E6286" i="10"/>
  <c r="D6286" i="10"/>
  <c r="C6286" i="10"/>
  <c r="B6286" i="10"/>
  <c r="A6286" i="10"/>
  <c r="E6285" i="10"/>
  <c r="D6285" i="10"/>
  <c r="C6285" i="10"/>
  <c r="B6285" i="10"/>
  <c r="A6285" i="10"/>
  <c r="E6284" i="10"/>
  <c r="D6284" i="10"/>
  <c r="C6284" i="10"/>
  <c r="B6284" i="10"/>
  <c r="A6284" i="10"/>
  <c r="E6283" i="10"/>
  <c r="D6283" i="10"/>
  <c r="C6283" i="10"/>
  <c r="B6283" i="10"/>
  <c r="A6283" i="10"/>
  <c r="E6282" i="10"/>
  <c r="D6282" i="10"/>
  <c r="C6282" i="10"/>
  <c r="B6282" i="10"/>
  <c r="A6282" i="10"/>
  <c r="E6281" i="10"/>
  <c r="D6281" i="10"/>
  <c r="C6281" i="10"/>
  <c r="B6281" i="10"/>
  <c r="A6281" i="10"/>
  <c r="E6280" i="10"/>
  <c r="D6280" i="10"/>
  <c r="C6280" i="10"/>
  <c r="B6280" i="10"/>
  <c r="A6280" i="10"/>
  <c r="E6279" i="10"/>
  <c r="D6279" i="10"/>
  <c r="C6279" i="10"/>
  <c r="B6279" i="10"/>
  <c r="A6279" i="10"/>
  <c r="E6278" i="10"/>
  <c r="D6278" i="10"/>
  <c r="C6278" i="10"/>
  <c r="B6278" i="10"/>
  <c r="A6278" i="10"/>
  <c r="E6277" i="10"/>
  <c r="D6277" i="10"/>
  <c r="C6277" i="10"/>
  <c r="B6277" i="10"/>
  <c r="A6277" i="10"/>
  <c r="E6276" i="10"/>
  <c r="D6276" i="10"/>
  <c r="C6276" i="10"/>
  <c r="B6276" i="10"/>
  <c r="A6276" i="10"/>
  <c r="E6275" i="10"/>
  <c r="D6275" i="10"/>
  <c r="C6275" i="10"/>
  <c r="B6275" i="10"/>
  <c r="A6275" i="10"/>
  <c r="E6274" i="10"/>
  <c r="D6274" i="10"/>
  <c r="C6274" i="10"/>
  <c r="B6274" i="10"/>
  <c r="A6274" i="10"/>
  <c r="E6273" i="10"/>
  <c r="D6273" i="10"/>
  <c r="C6273" i="10"/>
  <c r="B6273" i="10"/>
  <c r="A6273" i="10"/>
  <c r="E6272" i="10"/>
  <c r="D6272" i="10"/>
  <c r="C6272" i="10"/>
  <c r="B6272" i="10"/>
  <c r="A6272" i="10"/>
  <c r="E6271" i="10"/>
  <c r="D6271" i="10"/>
  <c r="C6271" i="10"/>
  <c r="B6271" i="10"/>
  <c r="A6271" i="10"/>
  <c r="E6270" i="10"/>
  <c r="D6270" i="10"/>
  <c r="C6270" i="10"/>
  <c r="B6270" i="10"/>
  <c r="A6270" i="10"/>
  <c r="E6269" i="10"/>
  <c r="D6269" i="10"/>
  <c r="C6269" i="10"/>
  <c r="B6269" i="10"/>
  <c r="A6269" i="10"/>
  <c r="E6268" i="10"/>
  <c r="D6268" i="10"/>
  <c r="C6268" i="10"/>
  <c r="B6268" i="10"/>
  <c r="A6268" i="10"/>
  <c r="E6267" i="10"/>
  <c r="D6267" i="10"/>
  <c r="C6267" i="10"/>
  <c r="B6267" i="10"/>
  <c r="A6267" i="10"/>
  <c r="E6266" i="10"/>
  <c r="D6266" i="10"/>
  <c r="C6266" i="10"/>
  <c r="B6266" i="10"/>
  <c r="A6266" i="10"/>
  <c r="E6265" i="10"/>
  <c r="D6265" i="10"/>
  <c r="C6265" i="10"/>
  <c r="B6265" i="10"/>
  <c r="A6265" i="10"/>
  <c r="E6264" i="10"/>
  <c r="D6264" i="10"/>
  <c r="C6264" i="10"/>
  <c r="B6264" i="10"/>
  <c r="A6264" i="10"/>
  <c r="E6263" i="10"/>
  <c r="D6263" i="10"/>
  <c r="C6263" i="10"/>
  <c r="B6263" i="10"/>
  <c r="A6263" i="10"/>
  <c r="E6262" i="10"/>
  <c r="D6262" i="10"/>
  <c r="C6262" i="10"/>
  <c r="B6262" i="10"/>
  <c r="A6262" i="10"/>
  <c r="E6261" i="10"/>
  <c r="D6261" i="10"/>
  <c r="C6261" i="10"/>
  <c r="B6261" i="10"/>
  <c r="A6261" i="10"/>
  <c r="E6260" i="10"/>
  <c r="D6260" i="10"/>
  <c r="C6260" i="10"/>
  <c r="B6260" i="10"/>
  <c r="A6260" i="10"/>
  <c r="E6259" i="10"/>
  <c r="D6259" i="10"/>
  <c r="C6259" i="10"/>
  <c r="B6259" i="10"/>
  <c r="A6259" i="10"/>
  <c r="E6258" i="10"/>
  <c r="D6258" i="10"/>
  <c r="C6258" i="10"/>
  <c r="B6258" i="10"/>
  <c r="A6258" i="10"/>
  <c r="E6257" i="10"/>
  <c r="D6257" i="10"/>
  <c r="C6257" i="10"/>
  <c r="B6257" i="10"/>
  <c r="A6257" i="10"/>
  <c r="E6256" i="10"/>
  <c r="D6256" i="10"/>
  <c r="C6256" i="10"/>
  <c r="B6256" i="10"/>
  <c r="A6256" i="10"/>
  <c r="E6255" i="10"/>
  <c r="D6255" i="10"/>
  <c r="C6255" i="10"/>
  <c r="B6255" i="10"/>
  <c r="A6255" i="10"/>
  <c r="E6254" i="10"/>
  <c r="D6254" i="10"/>
  <c r="C6254" i="10"/>
  <c r="B6254" i="10"/>
  <c r="A6254" i="10"/>
  <c r="E6253" i="10"/>
  <c r="D6253" i="10"/>
  <c r="C6253" i="10"/>
  <c r="B6253" i="10"/>
  <c r="A6253" i="10"/>
  <c r="E6252" i="10"/>
  <c r="D6252" i="10"/>
  <c r="C6252" i="10"/>
  <c r="B6252" i="10"/>
  <c r="A6252" i="10"/>
  <c r="E6251" i="10"/>
  <c r="D6251" i="10"/>
  <c r="C6251" i="10"/>
  <c r="B6251" i="10"/>
  <c r="A6251" i="10"/>
  <c r="E6250" i="10"/>
  <c r="D6250" i="10"/>
  <c r="C6250" i="10"/>
  <c r="B6250" i="10"/>
  <c r="A6250" i="10"/>
  <c r="E6249" i="10"/>
  <c r="D6249" i="10"/>
  <c r="C6249" i="10"/>
  <c r="B6249" i="10"/>
  <c r="A6249" i="10"/>
  <c r="E6248" i="10"/>
  <c r="D6248" i="10"/>
  <c r="C6248" i="10"/>
  <c r="B6248" i="10"/>
  <c r="A6248" i="10"/>
  <c r="E6247" i="10"/>
  <c r="D6247" i="10"/>
  <c r="C6247" i="10"/>
  <c r="B6247" i="10"/>
  <c r="A6247" i="10"/>
  <c r="E6246" i="10"/>
  <c r="D6246" i="10"/>
  <c r="C6246" i="10"/>
  <c r="B6246" i="10"/>
  <c r="A6246" i="10"/>
  <c r="E6245" i="10"/>
  <c r="D6245" i="10"/>
  <c r="C6245" i="10"/>
  <c r="B6245" i="10"/>
  <c r="A6245" i="10"/>
  <c r="E6244" i="10"/>
  <c r="D6244" i="10"/>
  <c r="C6244" i="10"/>
  <c r="B6244" i="10"/>
  <c r="A6244" i="10"/>
  <c r="E6243" i="10"/>
  <c r="D6243" i="10"/>
  <c r="C6243" i="10"/>
  <c r="B6243" i="10"/>
  <c r="A6243" i="10"/>
  <c r="E6242" i="10"/>
  <c r="D6242" i="10"/>
  <c r="C6242" i="10"/>
  <c r="B6242" i="10"/>
  <c r="A6242" i="10"/>
  <c r="E6241" i="10"/>
  <c r="D6241" i="10"/>
  <c r="C6241" i="10"/>
  <c r="B6241" i="10"/>
  <c r="A6241" i="10"/>
  <c r="E6240" i="10"/>
  <c r="D6240" i="10"/>
  <c r="C6240" i="10"/>
  <c r="B6240" i="10"/>
  <c r="A6240" i="10"/>
  <c r="E6239" i="10"/>
  <c r="D6239" i="10"/>
  <c r="C6239" i="10"/>
  <c r="B6239" i="10"/>
  <c r="A6239" i="10"/>
  <c r="E6238" i="10"/>
  <c r="D6238" i="10"/>
  <c r="C6238" i="10"/>
  <c r="B6238" i="10"/>
  <c r="A6238" i="10"/>
  <c r="E6237" i="10"/>
  <c r="D6237" i="10"/>
  <c r="C6237" i="10"/>
  <c r="B6237" i="10"/>
  <c r="A6237" i="10"/>
  <c r="E6236" i="10"/>
  <c r="D6236" i="10"/>
  <c r="C6236" i="10"/>
  <c r="B6236" i="10"/>
  <c r="A6236" i="10"/>
  <c r="E6235" i="10"/>
  <c r="D6235" i="10"/>
  <c r="C6235" i="10"/>
  <c r="B6235" i="10"/>
  <c r="A6235" i="10"/>
  <c r="E6234" i="10"/>
  <c r="D6234" i="10"/>
  <c r="C6234" i="10"/>
  <c r="B6234" i="10"/>
  <c r="A6234" i="10"/>
  <c r="E6233" i="10"/>
  <c r="D6233" i="10"/>
  <c r="C6233" i="10"/>
  <c r="B6233" i="10"/>
  <c r="A6233" i="10"/>
  <c r="E6232" i="10"/>
  <c r="D6232" i="10"/>
  <c r="C6232" i="10"/>
  <c r="B6232" i="10"/>
  <c r="A6232" i="10"/>
  <c r="E6231" i="10"/>
  <c r="D6231" i="10"/>
  <c r="C6231" i="10"/>
  <c r="B6231" i="10"/>
  <c r="A6231" i="10"/>
  <c r="E6230" i="10"/>
  <c r="D6230" i="10"/>
  <c r="C6230" i="10"/>
  <c r="B6230" i="10"/>
  <c r="A6230" i="10"/>
  <c r="E6229" i="10"/>
  <c r="D6229" i="10"/>
  <c r="C6229" i="10"/>
  <c r="B6229" i="10"/>
  <c r="A6229" i="10"/>
  <c r="E6228" i="10"/>
  <c r="D6228" i="10"/>
  <c r="C6228" i="10"/>
  <c r="B6228" i="10"/>
  <c r="A6228" i="10"/>
  <c r="E6227" i="10"/>
  <c r="D6227" i="10"/>
  <c r="C6227" i="10"/>
  <c r="B6227" i="10"/>
  <c r="A6227" i="10"/>
  <c r="E6226" i="10"/>
  <c r="D6226" i="10"/>
  <c r="C6226" i="10"/>
  <c r="B6226" i="10"/>
  <c r="A6226" i="10"/>
  <c r="E6225" i="10"/>
  <c r="D6225" i="10"/>
  <c r="C6225" i="10"/>
  <c r="B6225" i="10"/>
  <c r="A6225" i="10"/>
  <c r="E6224" i="10"/>
  <c r="D6224" i="10"/>
  <c r="C6224" i="10"/>
  <c r="B6224" i="10"/>
  <c r="A6224" i="10"/>
  <c r="E6223" i="10"/>
  <c r="D6223" i="10"/>
  <c r="C6223" i="10"/>
  <c r="B6223" i="10"/>
  <c r="A6223" i="10"/>
  <c r="E6222" i="10"/>
  <c r="D6222" i="10"/>
  <c r="C6222" i="10"/>
  <c r="B6222" i="10"/>
  <c r="A6222" i="10"/>
  <c r="E6221" i="10"/>
  <c r="D6221" i="10"/>
  <c r="C6221" i="10"/>
  <c r="B6221" i="10"/>
  <c r="A6221" i="10"/>
  <c r="E6220" i="10"/>
  <c r="D6220" i="10"/>
  <c r="C6220" i="10"/>
  <c r="B6220" i="10"/>
  <c r="A6220" i="10"/>
  <c r="E6219" i="10"/>
  <c r="D6219" i="10"/>
  <c r="C6219" i="10"/>
  <c r="B6219" i="10"/>
  <c r="A6219" i="10"/>
  <c r="E6218" i="10"/>
  <c r="D6218" i="10"/>
  <c r="C6218" i="10"/>
  <c r="B6218" i="10"/>
  <c r="A6218" i="10"/>
  <c r="E6217" i="10"/>
  <c r="D6217" i="10"/>
  <c r="C6217" i="10"/>
  <c r="B6217" i="10"/>
  <c r="A6217" i="10"/>
  <c r="E6216" i="10"/>
  <c r="D6216" i="10"/>
  <c r="C6216" i="10"/>
  <c r="B6216" i="10"/>
  <c r="A6216" i="10"/>
  <c r="E6215" i="10"/>
  <c r="D6215" i="10"/>
  <c r="C6215" i="10"/>
  <c r="B6215" i="10"/>
  <c r="A6215" i="10"/>
  <c r="E6214" i="10"/>
  <c r="D6214" i="10"/>
  <c r="C6214" i="10"/>
  <c r="B6214" i="10"/>
  <c r="A6214" i="10"/>
  <c r="E6213" i="10"/>
  <c r="D6213" i="10"/>
  <c r="C6213" i="10"/>
  <c r="B6213" i="10"/>
  <c r="A6213" i="10"/>
  <c r="E6212" i="10"/>
  <c r="D6212" i="10"/>
  <c r="C6212" i="10"/>
  <c r="B6212" i="10"/>
  <c r="A6212" i="10"/>
  <c r="E6211" i="10"/>
  <c r="D6211" i="10"/>
  <c r="C6211" i="10"/>
  <c r="B6211" i="10"/>
  <c r="A6211" i="10"/>
  <c r="E6210" i="10"/>
  <c r="D6210" i="10"/>
  <c r="C6210" i="10"/>
  <c r="B6210" i="10"/>
  <c r="A6210" i="10"/>
  <c r="E6209" i="10"/>
  <c r="D6209" i="10"/>
  <c r="C6209" i="10"/>
  <c r="B6209" i="10"/>
  <c r="A6209" i="10"/>
  <c r="E6208" i="10"/>
  <c r="D6208" i="10"/>
  <c r="C6208" i="10"/>
  <c r="B6208" i="10"/>
  <c r="A6208" i="10"/>
  <c r="E6207" i="10"/>
  <c r="D6207" i="10"/>
  <c r="C6207" i="10"/>
  <c r="B6207" i="10"/>
  <c r="A6207" i="10"/>
  <c r="E6206" i="10"/>
  <c r="D6206" i="10"/>
  <c r="C6206" i="10"/>
  <c r="B6206" i="10"/>
  <c r="A6206" i="10"/>
  <c r="E6205" i="10"/>
  <c r="D6205" i="10"/>
  <c r="C6205" i="10"/>
  <c r="B6205" i="10"/>
  <c r="A6205" i="10"/>
  <c r="E6204" i="10"/>
  <c r="D6204" i="10"/>
  <c r="C6204" i="10"/>
  <c r="B6204" i="10"/>
  <c r="A6204" i="10"/>
  <c r="E6203" i="10"/>
  <c r="D6203" i="10"/>
  <c r="C6203" i="10"/>
  <c r="B6203" i="10"/>
  <c r="A6203" i="10"/>
  <c r="E6202" i="10"/>
  <c r="D6202" i="10"/>
  <c r="C6202" i="10"/>
  <c r="B6202" i="10"/>
  <c r="A6202" i="10"/>
  <c r="E6201" i="10"/>
  <c r="D6201" i="10"/>
  <c r="C6201" i="10"/>
  <c r="B6201" i="10"/>
  <c r="A6201" i="10"/>
  <c r="E6200" i="10"/>
  <c r="D6200" i="10"/>
  <c r="C6200" i="10"/>
  <c r="B6200" i="10"/>
  <c r="A6200" i="10"/>
  <c r="E6199" i="10"/>
  <c r="D6199" i="10"/>
  <c r="C6199" i="10"/>
  <c r="B6199" i="10"/>
  <c r="A6199" i="10"/>
  <c r="E6198" i="10"/>
  <c r="D6198" i="10"/>
  <c r="C6198" i="10"/>
  <c r="B6198" i="10"/>
  <c r="A6198" i="10"/>
  <c r="E6197" i="10"/>
  <c r="D6197" i="10"/>
  <c r="C6197" i="10"/>
  <c r="B6197" i="10"/>
  <c r="A6197" i="10"/>
  <c r="E6196" i="10"/>
  <c r="D6196" i="10"/>
  <c r="C6196" i="10"/>
  <c r="B6196" i="10"/>
  <c r="A6196" i="10"/>
  <c r="E6195" i="10"/>
  <c r="D6195" i="10"/>
  <c r="C6195" i="10"/>
  <c r="B6195" i="10"/>
  <c r="A6195" i="10"/>
  <c r="E6194" i="10"/>
  <c r="D6194" i="10"/>
  <c r="C6194" i="10"/>
  <c r="B6194" i="10"/>
  <c r="A6194" i="10"/>
  <c r="E6193" i="10"/>
  <c r="D6193" i="10"/>
  <c r="C6193" i="10"/>
  <c r="B6193" i="10"/>
  <c r="A6193" i="10"/>
  <c r="E6192" i="10"/>
  <c r="D6192" i="10"/>
  <c r="C6192" i="10"/>
  <c r="B6192" i="10"/>
  <c r="A6192" i="10"/>
  <c r="E6191" i="10"/>
  <c r="D6191" i="10"/>
  <c r="C6191" i="10"/>
  <c r="B6191" i="10"/>
  <c r="A6191" i="10"/>
  <c r="E6190" i="10"/>
  <c r="D6190" i="10"/>
  <c r="C6190" i="10"/>
  <c r="B6190" i="10"/>
  <c r="A6190" i="10"/>
  <c r="E6189" i="10"/>
  <c r="D6189" i="10"/>
  <c r="C6189" i="10"/>
  <c r="B6189" i="10"/>
  <c r="A6189" i="10"/>
  <c r="E6188" i="10"/>
  <c r="D6188" i="10"/>
  <c r="C6188" i="10"/>
  <c r="B6188" i="10"/>
  <c r="A6188" i="10"/>
  <c r="E6187" i="10"/>
  <c r="D6187" i="10"/>
  <c r="C6187" i="10"/>
  <c r="B6187" i="10"/>
  <c r="A6187" i="10"/>
  <c r="E6186" i="10"/>
  <c r="D6186" i="10"/>
  <c r="C6186" i="10"/>
  <c r="B6186" i="10"/>
  <c r="A6186" i="10"/>
  <c r="E6185" i="10"/>
  <c r="D6185" i="10"/>
  <c r="C6185" i="10"/>
  <c r="B6185" i="10"/>
  <c r="A6185" i="10"/>
  <c r="E6184" i="10"/>
  <c r="D6184" i="10"/>
  <c r="C6184" i="10"/>
  <c r="B6184" i="10"/>
  <c r="A6184" i="10"/>
  <c r="E6183" i="10"/>
  <c r="D6183" i="10"/>
  <c r="C6183" i="10"/>
  <c r="B6183" i="10"/>
  <c r="A6183" i="10"/>
  <c r="E6182" i="10"/>
  <c r="D6182" i="10"/>
  <c r="C6182" i="10"/>
  <c r="B6182" i="10"/>
  <c r="A6182" i="10"/>
  <c r="E6181" i="10"/>
  <c r="D6181" i="10"/>
  <c r="C6181" i="10"/>
  <c r="B6181" i="10"/>
  <c r="A6181" i="10"/>
  <c r="E6180" i="10"/>
  <c r="D6180" i="10"/>
  <c r="C6180" i="10"/>
  <c r="B6180" i="10"/>
  <c r="A6180" i="10"/>
  <c r="E6179" i="10"/>
  <c r="D6179" i="10"/>
  <c r="C6179" i="10"/>
  <c r="B6179" i="10"/>
  <c r="A6179" i="10"/>
  <c r="E6178" i="10"/>
  <c r="D6178" i="10"/>
  <c r="C6178" i="10"/>
  <c r="B6178" i="10"/>
  <c r="A6178" i="10"/>
  <c r="E6177" i="10"/>
  <c r="D6177" i="10"/>
  <c r="C6177" i="10"/>
  <c r="B6177" i="10"/>
  <c r="A6177" i="10"/>
  <c r="E6176" i="10"/>
  <c r="D6176" i="10"/>
  <c r="C6176" i="10"/>
  <c r="B6176" i="10"/>
  <c r="A6176" i="10"/>
  <c r="E6175" i="10"/>
  <c r="D6175" i="10"/>
  <c r="C6175" i="10"/>
  <c r="B6175" i="10"/>
  <c r="A6175" i="10"/>
  <c r="E6174" i="10"/>
  <c r="D6174" i="10"/>
  <c r="C6174" i="10"/>
  <c r="B6174" i="10"/>
  <c r="A6174" i="10"/>
  <c r="E6173" i="10"/>
  <c r="D6173" i="10"/>
  <c r="C6173" i="10"/>
  <c r="B6173" i="10"/>
  <c r="A6173" i="10"/>
  <c r="E6172" i="10"/>
  <c r="D6172" i="10"/>
  <c r="C6172" i="10"/>
  <c r="B6172" i="10"/>
  <c r="A6172" i="10"/>
  <c r="E6171" i="10"/>
  <c r="D6171" i="10"/>
  <c r="C6171" i="10"/>
  <c r="B6171" i="10"/>
  <c r="A6171" i="10"/>
  <c r="E6170" i="10"/>
  <c r="D6170" i="10"/>
  <c r="C6170" i="10"/>
  <c r="B6170" i="10"/>
  <c r="A6170" i="10"/>
  <c r="E6169" i="10"/>
  <c r="D6169" i="10"/>
  <c r="C6169" i="10"/>
  <c r="B6169" i="10"/>
  <c r="A6169" i="10"/>
  <c r="E6168" i="10"/>
  <c r="D6168" i="10"/>
  <c r="C6168" i="10"/>
  <c r="B6168" i="10"/>
  <c r="A6168" i="10"/>
  <c r="E6167" i="10"/>
  <c r="D6167" i="10"/>
  <c r="C6167" i="10"/>
  <c r="B6167" i="10"/>
  <c r="A6167" i="10"/>
  <c r="E6166" i="10"/>
  <c r="D6166" i="10"/>
  <c r="C6166" i="10"/>
  <c r="B6166" i="10"/>
  <c r="A6166" i="10"/>
  <c r="E6165" i="10"/>
  <c r="D6165" i="10"/>
  <c r="C6165" i="10"/>
  <c r="B6165" i="10"/>
  <c r="A6165" i="10"/>
  <c r="E6164" i="10"/>
  <c r="D6164" i="10"/>
  <c r="C6164" i="10"/>
  <c r="B6164" i="10"/>
  <c r="A6164" i="10"/>
  <c r="E6163" i="10"/>
  <c r="D6163" i="10"/>
  <c r="C6163" i="10"/>
  <c r="B6163" i="10"/>
  <c r="A6163" i="10"/>
  <c r="E6162" i="10"/>
  <c r="D6162" i="10"/>
  <c r="C6162" i="10"/>
  <c r="B6162" i="10"/>
  <c r="A6162" i="10"/>
  <c r="E6161" i="10"/>
  <c r="D6161" i="10"/>
  <c r="C6161" i="10"/>
  <c r="B6161" i="10"/>
  <c r="A6161" i="10"/>
  <c r="E6160" i="10"/>
  <c r="D6160" i="10"/>
  <c r="C6160" i="10"/>
  <c r="B6160" i="10"/>
  <c r="A6160" i="10"/>
  <c r="E6159" i="10"/>
  <c r="D6159" i="10"/>
  <c r="C6159" i="10"/>
  <c r="B6159" i="10"/>
  <c r="A6159" i="10"/>
  <c r="E6158" i="10"/>
  <c r="D6158" i="10"/>
  <c r="C6158" i="10"/>
  <c r="B6158" i="10"/>
  <c r="A6158" i="10"/>
  <c r="E6157" i="10"/>
  <c r="D6157" i="10"/>
  <c r="C6157" i="10"/>
  <c r="B6157" i="10"/>
  <c r="A6157" i="10"/>
  <c r="E6156" i="10"/>
  <c r="D6156" i="10"/>
  <c r="C6156" i="10"/>
  <c r="B6156" i="10"/>
  <c r="A6156" i="10"/>
  <c r="E6155" i="10"/>
  <c r="D6155" i="10"/>
  <c r="C6155" i="10"/>
  <c r="B6155" i="10"/>
  <c r="A6155" i="10"/>
  <c r="E6154" i="10"/>
  <c r="D6154" i="10"/>
  <c r="C6154" i="10"/>
  <c r="B6154" i="10"/>
  <c r="A6154" i="10"/>
  <c r="E6153" i="10"/>
  <c r="D6153" i="10"/>
  <c r="C6153" i="10"/>
  <c r="B6153" i="10"/>
  <c r="A6153" i="10"/>
  <c r="E6152" i="10"/>
  <c r="D6152" i="10"/>
  <c r="C6152" i="10"/>
  <c r="B6152" i="10"/>
  <c r="A6152" i="10"/>
  <c r="E6151" i="10"/>
  <c r="D6151" i="10"/>
  <c r="C6151" i="10"/>
  <c r="B6151" i="10"/>
  <c r="A6151" i="10"/>
  <c r="E6150" i="10"/>
  <c r="D6150" i="10"/>
  <c r="C6150" i="10"/>
  <c r="B6150" i="10"/>
  <c r="A6150" i="10"/>
  <c r="E6149" i="10"/>
  <c r="D6149" i="10"/>
  <c r="C6149" i="10"/>
  <c r="B6149" i="10"/>
  <c r="A6149" i="10"/>
  <c r="E6148" i="10"/>
  <c r="D6148" i="10"/>
  <c r="C6148" i="10"/>
  <c r="B6148" i="10"/>
  <c r="A6148" i="10"/>
  <c r="E6147" i="10"/>
  <c r="D6147" i="10"/>
  <c r="C6147" i="10"/>
  <c r="B6147" i="10"/>
  <c r="A6147" i="10"/>
  <c r="E6146" i="10"/>
  <c r="D6146" i="10"/>
  <c r="C6146" i="10"/>
  <c r="B6146" i="10"/>
  <c r="A6146" i="10"/>
  <c r="E6145" i="10"/>
  <c r="D6145" i="10"/>
  <c r="C6145" i="10"/>
  <c r="B6145" i="10"/>
  <c r="A6145" i="10"/>
  <c r="E6144" i="10"/>
  <c r="D6144" i="10"/>
  <c r="C6144" i="10"/>
  <c r="B6144" i="10"/>
  <c r="A6144" i="10"/>
  <c r="E6143" i="10"/>
  <c r="D6143" i="10"/>
  <c r="C6143" i="10"/>
  <c r="B6143" i="10"/>
  <c r="A6143" i="10"/>
  <c r="E6142" i="10"/>
  <c r="D6142" i="10"/>
  <c r="C6142" i="10"/>
  <c r="B6142" i="10"/>
  <c r="A6142" i="10"/>
  <c r="E6141" i="10"/>
  <c r="D6141" i="10"/>
  <c r="C6141" i="10"/>
  <c r="B6141" i="10"/>
  <c r="A6141" i="10"/>
  <c r="E6140" i="10"/>
  <c r="D6140" i="10"/>
  <c r="C6140" i="10"/>
  <c r="B6140" i="10"/>
  <c r="A6140" i="10"/>
  <c r="E6139" i="10"/>
  <c r="D6139" i="10"/>
  <c r="C6139" i="10"/>
  <c r="B6139" i="10"/>
  <c r="A6139" i="10"/>
  <c r="E6138" i="10"/>
  <c r="D6138" i="10"/>
  <c r="C6138" i="10"/>
  <c r="B6138" i="10"/>
  <c r="A6138" i="10"/>
  <c r="E6137" i="10"/>
  <c r="D6137" i="10"/>
  <c r="C6137" i="10"/>
  <c r="B6137" i="10"/>
  <c r="A6137" i="10"/>
  <c r="E6136" i="10"/>
  <c r="D6136" i="10"/>
  <c r="C6136" i="10"/>
  <c r="B6136" i="10"/>
  <c r="A6136" i="10"/>
  <c r="E6135" i="10"/>
  <c r="D6135" i="10"/>
  <c r="C6135" i="10"/>
  <c r="B6135" i="10"/>
  <c r="A6135" i="10"/>
  <c r="E6134" i="10"/>
  <c r="D6134" i="10"/>
  <c r="C6134" i="10"/>
  <c r="B6134" i="10"/>
  <c r="A6134" i="10"/>
  <c r="E6133" i="10"/>
  <c r="D6133" i="10"/>
  <c r="C6133" i="10"/>
  <c r="B6133" i="10"/>
  <c r="A6133" i="10"/>
  <c r="E6132" i="10"/>
  <c r="D6132" i="10"/>
  <c r="C6132" i="10"/>
  <c r="B6132" i="10"/>
  <c r="A6132" i="10"/>
  <c r="E6131" i="10"/>
  <c r="D6131" i="10"/>
  <c r="C6131" i="10"/>
  <c r="B6131" i="10"/>
  <c r="A6131" i="10"/>
  <c r="E6130" i="10"/>
  <c r="D6130" i="10"/>
  <c r="C6130" i="10"/>
  <c r="B6130" i="10"/>
  <c r="A6130" i="10"/>
  <c r="E6129" i="10"/>
  <c r="D6129" i="10"/>
  <c r="C6129" i="10"/>
  <c r="B6129" i="10"/>
  <c r="A6129" i="10"/>
  <c r="E6128" i="10"/>
  <c r="D6128" i="10"/>
  <c r="C6128" i="10"/>
  <c r="B6128" i="10"/>
  <c r="A6128" i="10"/>
  <c r="E6127" i="10"/>
  <c r="D6127" i="10"/>
  <c r="C6127" i="10"/>
  <c r="B6127" i="10"/>
  <c r="A6127" i="10"/>
  <c r="E6126" i="10"/>
  <c r="D6126" i="10"/>
  <c r="C6126" i="10"/>
  <c r="B6126" i="10"/>
  <c r="A6126" i="10"/>
  <c r="E6125" i="10"/>
  <c r="D6125" i="10"/>
  <c r="C6125" i="10"/>
  <c r="B6125" i="10"/>
  <c r="A6125" i="10"/>
  <c r="E6124" i="10"/>
  <c r="D6124" i="10"/>
  <c r="C6124" i="10"/>
  <c r="B6124" i="10"/>
  <c r="A6124" i="10"/>
  <c r="E6123" i="10"/>
  <c r="D6123" i="10"/>
  <c r="C6123" i="10"/>
  <c r="B6123" i="10"/>
  <c r="A6123" i="10"/>
  <c r="E6122" i="10"/>
  <c r="D6122" i="10"/>
  <c r="C6122" i="10"/>
  <c r="B6122" i="10"/>
  <c r="A6122" i="10"/>
  <c r="E6121" i="10"/>
  <c r="D6121" i="10"/>
  <c r="C6121" i="10"/>
  <c r="B6121" i="10"/>
  <c r="A6121" i="10"/>
  <c r="E6120" i="10"/>
  <c r="D6120" i="10"/>
  <c r="C6120" i="10"/>
  <c r="B6120" i="10"/>
  <c r="A6120" i="10"/>
  <c r="E6119" i="10"/>
  <c r="D6119" i="10"/>
  <c r="C6119" i="10"/>
  <c r="B6119" i="10"/>
  <c r="A6119" i="10"/>
  <c r="E6118" i="10"/>
  <c r="D6118" i="10"/>
  <c r="C6118" i="10"/>
  <c r="B6118" i="10"/>
  <c r="A6118" i="10"/>
  <c r="E6117" i="10"/>
  <c r="D6117" i="10"/>
  <c r="C6117" i="10"/>
  <c r="B6117" i="10"/>
  <c r="A6117" i="10"/>
  <c r="E6116" i="10"/>
  <c r="D6116" i="10"/>
  <c r="C6116" i="10"/>
  <c r="B6116" i="10"/>
  <c r="A6116" i="10"/>
  <c r="E6115" i="10"/>
  <c r="D6115" i="10"/>
  <c r="C6115" i="10"/>
  <c r="B6115" i="10"/>
  <c r="A6115" i="10"/>
  <c r="E6114" i="10"/>
  <c r="D6114" i="10"/>
  <c r="C6114" i="10"/>
  <c r="B6114" i="10"/>
  <c r="A6114" i="10"/>
  <c r="E6113" i="10"/>
  <c r="D6113" i="10"/>
  <c r="C6113" i="10"/>
  <c r="B6113" i="10"/>
  <c r="A6113" i="10"/>
  <c r="E6112" i="10"/>
  <c r="D6112" i="10"/>
  <c r="C6112" i="10"/>
  <c r="B6112" i="10"/>
  <c r="A6112" i="10"/>
  <c r="E6111" i="10"/>
  <c r="D6111" i="10"/>
  <c r="C6111" i="10"/>
  <c r="B6111" i="10"/>
  <c r="A6111" i="10"/>
  <c r="E6110" i="10"/>
  <c r="D6110" i="10"/>
  <c r="C6110" i="10"/>
  <c r="B6110" i="10"/>
  <c r="A6110" i="10"/>
  <c r="E6109" i="10"/>
  <c r="D6109" i="10"/>
  <c r="C6109" i="10"/>
  <c r="B6109" i="10"/>
  <c r="A6109" i="10"/>
  <c r="E6108" i="10"/>
  <c r="D6108" i="10"/>
  <c r="C6108" i="10"/>
  <c r="B6108" i="10"/>
  <c r="A6108" i="10"/>
  <c r="E6107" i="10"/>
  <c r="D6107" i="10"/>
  <c r="C6107" i="10"/>
  <c r="B6107" i="10"/>
  <c r="A6107" i="10"/>
  <c r="E6106" i="10"/>
  <c r="D6106" i="10"/>
  <c r="C6106" i="10"/>
  <c r="B6106" i="10"/>
  <c r="A6106" i="10"/>
  <c r="E6105" i="10"/>
  <c r="D6105" i="10"/>
  <c r="C6105" i="10"/>
  <c r="B6105" i="10"/>
  <c r="A6105" i="10"/>
  <c r="E6104" i="10"/>
  <c r="D6104" i="10"/>
  <c r="C6104" i="10"/>
  <c r="B6104" i="10"/>
  <c r="A6104" i="10"/>
  <c r="E6103" i="10"/>
  <c r="D6103" i="10"/>
  <c r="C6103" i="10"/>
  <c r="B6103" i="10"/>
  <c r="A6103" i="10"/>
  <c r="E6102" i="10"/>
  <c r="D6102" i="10"/>
  <c r="C6102" i="10"/>
  <c r="B6102" i="10"/>
  <c r="A6102" i="10"/>
  <c r="E6101" i="10"/>
  <c r="D6101" i="10"/>
  <c r="C6101" i="10"/>
  <c r="B6101" i="10"/>
  <c r="A6101" i="10"/>
  <c r="E6100" i="10"/>
  <c r="D6100" i="10"/>
  <c r="C6100" i="10"/>
  <c r="B6100" i="10"/>
  <c r="A6100" i="10"/>
  <c r="E6099" i="10"/>
  <c r="D6099" i="10"/>
  <c r="C6099" i="10"/>
  <c r="B6099" i="10"/>
  <c r="A6099" i="10"/>
  <c r="E6098" i="10"/>
  <c r="D6098" i="10"/>
  <c r="C6098" i="10"/>
  <c r="B6098" i="10"/>
  <c r="A6098" i="10"/>
  <c r="E6097" i="10"/>
  <c r="D6097" i="10"/>
  <c r="C6097" i="10"/>
  <c r="B6097" i="10"/>
  <c r="A6097" i="10"/>
  <c r="E6096" i="10"/>
  <c r="D6096" i="10"/>
  <c r="C6096" i="10"/>
  <c r="B6096" i="10"/>
  <c r="A6096" i="10"/>
  <c r="E6095" i="10"/>
  <c r="D6095" i="10"/>
  <c r="C6095" i="10"/>
  <c r="B6095" i="10"/>
  <c r="A6095" i="10"/>
  <c r="E6094" i="10"/>
  <c r="D6094" i="10"/>
  <c r="C6094" i="10"/>
  <c r="B6094" i="10"/>
  <c r="A6094" i="10"/>
  <c r="E6093" i="10"/>
  <c r="D6093" i="10"/>
  <c r="C6093" i="10"/>
  <c r="B6093" i="10"/>
  <c r="A6093" i="10"/>
  <c r="E6092" i="10"/>
  <c r="D6092" i="10"/>
  <c r="C6092" i="10"/>
  <c r="B6092" i="10"/>
  <c r="A6092" i="10"/>
  <c r="E6091" i="10"/>
  <c r="D6091" i="10"/>
  <c r="C6091" i="10"/>
  <c r="B6091" i="10"/>
  <c r="A6091" i="10"/>
  <c r="E6090" i="10"/>
  <c r="D6090" i="10"/>
  <c r="C6090" i="10"/>
  <c r="B6090" i="10"/>
  <c r="A6090" i="10"/>
  <c r="E6089" i="10"/>
  <c r="D6089" i="10"/>
  <c r="C6089" i="10"/>
  <c r="B6089" i="10"/>
  <c r="A6089" i="10"/>
  <c r="E6088" i="10"/>
  <c r="D6088" i="10"/>
  <c r="C6088" i="10"/>
  <c r="B6088" i="10"/>
  <c r="A6088" i="10"/>
  <c r="E6087" i="10"/>
  <c r="D6087" i="10"/>
  <c r="C6087" i="10"/>
  <c r="B6087" i="10"/>
  <c r="A6087" i="10"/>
  <c r="E6086" i="10"/>
  <c r="D6086" i="10"/>
  <c r="C6086" i="10"/>
  <c r="B6086" i="10"/>
  <c r="A6086" i="10"/>
  <c r="E6085" i="10"/>
  <c r="D6085" i="10"/>
  <c r="C6085" i="10"/>
  <c r="B6085" i="10"/>
  <c r="A6085" i="10"/>
  <c r="E6084" i="10"/>
  <c r="D6084" i="10"/>
  <c r="C6084" i="10"/>
  <c r="B6084" i="10"/>
  <c r="A6084" i="10"/>
  <c r="E6083" i="10"/>
  <c r="D6083" i="10"/>
  <c r="C6083" i="10"/>
  <c r="B6083" i="10"/>
  <c r="A6083" i="10"/>
  <c r="E6082" i="10"/>
  <c r="D6082" i="10"/>
  <c r="C6082" i="10"/>
  <c r="B6082" i="10"/>
  <c r="A6082" i="10"/>
  <c r="E6081" i="10"/>
  <c r="D6081" i="10"/>
  <c r="C6081" i="10"/>
  <c r="B6081" i="10"/>
  <c r="A6081" i="10"/>
  <c r="E6080" i="10"/>
  <c r="D6080" i="10"/>
  <c r="C6080" i="10"/>
  <c r="B6080" i="10"/>
  <c r="A6080" i="10"/>
  <c r="E6079" i="10"/>
  <c r="D6079" i="10"/>
  <c r="C6079" i="10"/>
  <c r="B6079" i="10"/>
  <c r="A6079" i="10"/>
  <c r="E6078" i="10"/>
  <c r="D6078" i="10"/>
  <c r="C6078" i="10"/>
  <c r="B6078" i="10"/>
  <c r="A6078" i="10"/>
  <c r="E6077" i="10"/>
  <c r="D6077" i="10"/>
  <c r="C6077" i="10"/>
  <c r="B6077" i="10"/>
  <c r="A6077" i="10"/>
  <c r="E6076" i="10"/>
  <c r="D6076" i="10"/>
  <c r="C6076" i="10"/>
  <c r="B6076" i="10"/>
  <c r="A6076" i="10"/>
  <c r="E6075" i="10"/>
  <c r="D6075" i="10"/>
  <c r="C6075" i="10"/>
  <c r="B6075" i="10"/>
  <c r="A6075" i="10"/>
  <c r="E6074" i="10"/>
  <c r="D6074" i="10"/>
  <c r="C6074" i="10"/>
  <c r="B6074" i="10"/>
  <c r="A6074" i="10"/>
  <c r="E6073" i="10"/>
  <c r="D6073" i="10"/>
  <c r="C6073" i="10"/>
  <c r="B6073" i="10"/>
  <c r="A6073" i="10"/>
  <c r="E6072" i="10"/>
  <c r="D6072" i="10"/>
  <c r="C6072" i="10"/>
  <c r="B6072" i="10"/>
  <c r="A6072" i="10"/>
  <c r="E6071" i="10"/>
  <c r="D6071" i="10"/>
  <c r="C6071" i="10"/>
  <c r="B6071" i="10"/>
  <c r="A6071" i="10"/>
  <c r="E6070" i="10"/>
  <c r="D6070" i="10"/>
  <c r="C6070" i="10"/>
  <c r="B6070" i="10"/>
  <c r="A6070" i="10"/>
  <c r="E6069" i="10"/>
  <c r="D6069" i="10"/>
  <c r="C6069" i="10"/>
  <c r="B6069" i="10"/>
  <c r="A6069" i="10"/>
  <c r="E6068" i="10"/>
  <c r="D6068" i="10"/>
  <c r="C6068" i="10"/>
  <c r="B6068" i="10"/>
  <c r="A6068" i="10"/>
  <c r="E6067" i="10"/>
  <c r="D6067" i="10"/>
  <c r="C6067" i="10"/>
  <c r="B6067" i="10"/>
  <c r="A6067" i="10"/>
  <c r="E6066" i="10"/>
  <c r="D6066" i="10"/>
  <c r="C6066" i="10"/>
  <c r="B6066" i="10"/>
  <c r="A6066" i="10"/>
  <c r="E6065" i="10"/>
  <c r="D6065" i="10"/>
  <c r="C6065" i="10"/>
  <c r="B6065" i="10"/>
  <c r="A6065" i="10"/>
  <c r="E6064" i="10"/>
  <c r="D6064" i="10"/>
  <c r="C6064" i="10"/>
  <c r="B6064" i="10"/>
  <c r="A6064" i="10"/>
  <c r="E6063" i="10"/>
  <c r="D6063" i="10"/>
  <c r="C6063" i="10"/>
  <c r="B6063" i="10"/>
  <c r="A6063" i="10"/>
  <c r="E6062" i="10"/>
  <c r="D6062" i="10"/>
  <c r="C6062" i="10"/>
  <c r="B6062" i="10"/>
  <c r="A6062" i="10"/>
  <c r="E6061" i="10"/>
  <c r="D6061" i="10"/>
  <c r="C6061" i="10"/>
  <c r="B6061" i="10"/>
  <c r="A6061" i="10"/>
  <c r="E6060" i="10"/>
  <c r="D6060" i="10"/>
  <c r="C6060" i="10"/>
  <c r="B6060" i="10"/>
  <c r="A6060" i="10"/>
  <c r="E6059" i="10"/>
  <c r="D6059" i="10"/>
  <c r="C6059" i="10"/>
  <c r="B6059" i="10"/>
  <c r="A6059" i="10"/>
  <c r="E6058" i="10"/>
  <c r="D6058" i="10"/>
  <c r="C6058" i="10"/>
  <c r="B6058" i="10"/>
  <c r="A6058" i="10"/>
  <c r="E6057" i="10"/>
  <c r="D6057" i="10"/>
  <c r="C6057" i="10"/>
  <c r="B6057" i="10"/>
  <c r="A6057" i="10"/>
  <c r="E6056" i="10"/>
  <c r="D6056" i="10"/>
  <c r="C6056" i="10"/>
  <c r="B6056" i="10"/>
  <c r="A6056" i="10"/>
  <c r="E6055" i="10"/>
  <c r="D6055" i="10"/>
  <c r="C6055" i="10"/>
  <c r="B6055" i="10"/>
  <c r="A6055" i="10"/>
  <c r="E6054" i="10"/>
  <c r="D6054" i="10"/>
  <c r="C6054" i="10"/>
  <c r="B6054" i="10"/>
  <c r="A6054" i="10"/>
  <c r="E6053" i="10"/>
  <c r="D6053" i="10"/>
  <c r="C6053" i="10"/>
  <c r="B6053" i="10"/>
  <c r="A6053" i="10"/>
  <c r="E6052" i="10"/>
  <c r="D6052" i="10"/>
  <c r="C6052" i="10"/>
  <c r="B6052" i="10"/>
  <c r="A6052" i="10"/>
  <c r="E6051" i="10"/>
  <c r="D6051" i="10"/>
  <c r="C6051" i="10"/>
  <c r="B6051" i="10"/>
  <c r="A6051" i="10"/>
  <c r="E6050" i="10"/>
  <c r="D6050" i="10"/>
  <c r="C6050" i="10"/>
  <c r="B6050" i="10"/>
  <c r="A6050" i="10"/>
  <c r="E6049" i="10"/>
  <c r="D6049" i="10"/>
  <c r="C6049" i="10"/>
  <c r="B6049" i="10"/>
  <c r="A6049" i="10"/>
  <c r="E6048" i="10"/>
  <c r="D6048" i="10"/>
  <c r="C6048" i="10"/>
  <c r="B6048" i="10"/>
  <c r="A6048" i="10"/>
  <c r="E6047" i="10"/>
  <c r="D6047" i="10"/>
  <c r="C6047" i="10"/>
  <c r="B6047" i="10"/>
  <c r="A6047" i="10"/>
  <c r="E6046" i="10"/>
  <c r="D6046" i="10"/>
  <c r="C6046" i="10"/>
  <c r="B6046" i="10"/>
  <c r="A6046" i="10"/>
  <c r="E6045" i="10"/>
  <c r="D6045" i="10"/>
  <c r="C6045" i="10"/>
  <c r="B6045" i="10"/>
  <c r="A6045" i="10"/>
  <c r="E6044" i="10"/>
  <c r="D6044" i="10"/>
  <c r="C6044" i="10"/>
  <c r="B6044" i="10"/>
  <c r="A6044" i="10"/>
  <c r="E6043" i="10"/>
  <c r="D6043" i="10"/>
  <c r="C6043" i="10"/>
  <c r="B6043" i="10"/>
  <c r="A6043" i="10"/>
  <c r="E6042" i="10"/>
  <c r="D6042" i="10"/>
  <c r="C6042" i="10"/>
  <c r="B6042" i="10"/>
  <c r="A6042" i="10"/>
  <c r="E6041" i="10"/>
  <c r="D6041" i="10"/>
  <c r="C6041" i="10"/>
  <c r="B6041" i="10"/>
  <c r="A6041" i="10"/>
  <c r="E6040" i="10"/>
  <c r="D6040" i="10"/>
  <c r="C6040" i="10"/>
  <c r="B6040" i="10"/>
  <c r="A6040" i="10"/>
  <c r="E6039" i="10"/>
  <c r="D6039" i="10"/>
  <c r="C6039" i="10"/>
  <c r="B6039" i="10"/>
  <c r="A6039" i="10"/>
  <c r="E6038" i="10"/>
  <c r="D6038" i="10"/>
  <c r="C6038" i="10"/>
  <c r="B6038" i="10"/>
  <c r="A6038" i="10"/>
  <c r="E6037" i="10"/>
  <c r="D6037" i="10"/>
  <c r="C6037" i="10"/>
  <c r="B6037" i="10"/>
  <c r="A6037" i="10"/>
  <c r="E6036" i="10"/>
  <c r="D6036" i="10"/>
  <c r="C6036" i="10"/>
  <c r="B6036" i="10"/>
  <c r="A6036" i="10"/>
  <c r="E6035" i="10"/>
  <c r="D6035" i="10"/>
  <c r="C6035" i="10"/>
  <c r="B6035" i="10"/>
  <c r="A6035" i="10"/>
  <c r="E6034" i="10"/>
  <c r="D6034" i="10"/>
  <c r="C6034" i="10"/>
  <c r="B6034" i="10"/>
  <c r="A6034" i="10"/>
  <c r="E6033" i="10"/>
  <c r="D6033" i="10"/>
  <c r="C6033" i="10"/>
  <c r="B6033" i="10"/>
  <c r="A6033" i="10"/>
  <c r="E6032" i="10"/>
  <c r="D6032" i="10"/>
  <c r="C6032" i="10"/>
  <c r="B6032" i="10"/>
  <c r="A6032" i="10"/>
  <c r="E6031" i="10"/>
  <c r="D6031" i="10"/>
  <c r="C6031" i="10"/>
  <c r="B6031" i="10"/>
  <c r="A6031" i="10"/>
  <c r="E6030" i="10"/>
  <c r="D6030" i="10"/>
  <c r="C6030" i="10"/>
  <c r="B6030" i="10"/>
  <c r="A6030" i="10"/>
  <c r="E6029" i="10"/>
  <c r="D6029" i="10"/>
  <c r="C6029" i="10"/>
  <c r="B6029" i="10"/>
  <c r="A6029" i="10"/>
  <c r="E6028" i="10"/>
  <c r="D6028" i="10"/>
  <c r="C6028" i="10"/>
  <c r="B6028" i="10"/>
  <c r="A6028" i="10"/>
  <c r="E6027" i="10"/>
  <c r="D6027" i="10"/>
  <c r="C6027" i="10"/>
  <c r="B6027" i="10"/>
  <c r="A6027" i="10"/>
  <c r="E6026" i="10"/>
  <c r="D6026" i="10"/>
  <c r="C6026" i="10"/>
  <c r="B6026" i="10"/>
  <c r="A6026" i="10"/>
  <c r="E6025" i="10"/>
  <c r="D6025" i="10"/>
  <c r="C6025" i="10"/>
  <c r="B6025" i="10"/>
  <c r="A6025" i="10"/>
  <c r="E6024" i="10"/>
  <c r="D6024" i="10"/>
  <c r="C6024" i="10"/>
  <c r="B6024" i="10"/>
  <c r="A6024" i="10"/>
  <c r="E6023" i="10"/>
  <c r="D6023" i="10"/>
  <c r="C6023" i="10"/>
  <c r="B6023" i="10"/>
  <c r="A6023" i="10"/>
  <c r="E6022" i="10"/>
  <c r="D6022" i="10"/>
  <c r="C6022" i="10"/>
  <c r="B6022" i="10"/>
  <c r="A6022" i="10"/>
  <c r="E6021" i="10"/>
  <c r="D6021" i="10"/>
  <c r="C6021" i="10"/>
  <c r="B6021" i="10"/>
  <c r="A6021" i="10"/>
  <c r="E6020" i="10"/>
  <c r="D6020" i="10"/>
  <c r="C6020" i="10"/>
  <c r="B6020" i="10"/>
  <c r="A6020" i="10"/>
  <c r="E6019" i="10"/>
  <c r="D6019" i="10"/>
  <c r="C6019" i="10"/>
  <c r="B6019" i="10"/>
  <c r="A6019" i="10"/>
  <c r="E6018" i="10"/>
  <c r="D6018" i="10"/>
  <c r="C6018" i="10"/>
  <c r="B6018" i="10"/>
  <c r="A6018" i="10"/>
  <c r="E6017" i="10"/>
  <c r="D6017" i="10"/>
  <c r="C6017" i="10"/>
  <c r="B6017" i="10"/>
  <c r="A6017" i="10"/>
  <c r="E6016" i="10"/>
  <c r="D6016" i="10"/>
  <c r="C6016" i="10"/>
  <c r="B6016" i="10"/>
  <c r="A6016" i="10"/>
  <c r="E6015" i="10"/>
  <c r="D6015" i="10"/>
  <c r="C6015" i="10"/>
  <c r="B6015" i="10"/>
  <c r="A6015" i="10"/>
  <c r="E6014" i="10"/>
  <c r="D6014" i="10"/>
  <c r="C6014" i="10"/>
  <c r="B6014" i="10"/>
  <c r="A6014" i="10"/>
  <c r="E6013" i="10"/>
  <c r="D6013" i="10"/>
  <c r="C6013" i="10"/>
  <c r="B6013" i="10"/>
  <c r="A6013" i="10"/>
  <c r="E6012" i="10"/>
  <c r="D6012" i="10"/>
  <c r="C6012" i="10"/>
  <c r="B6012" i="10"/>
  <c r="A6012" i="10"/>
  <c r="E6011" i="10"/>
  <c r="D6011" i="10"/>
  <c r="C6011" i="10"/>
  <c r="B6011" i="10"/>
  <c r="A6011" i="10"/>
  <c r="E6010" i="10"/>
  <c r="D6010" i="10"/>
  <c r="C6010" i="10"/>
  <c r="B6010" i="10"/>
  <c r="A6010" i="10"/>
  <c r="E6009" i="10"/>
  <c r="D6009" i="10"/>
  <c r="C6009" i="10"/>
  <c r="B6009" i="10"/>
  <c r="A6009" i="10"/>
  <c r="E6008" i="10"/>
  <c r="D6008" i="10"/>
  <c r="C6008" i="10"/>
  <c r="B6008" i="10"/>
  <c r="A6008" i="10"/>
  <c r="E6007" i="10"/>
  <c r="D6007" i="10"/>
  <c r="C6007" i="10"/>
  <c r="B6007" i="10"/>
  <c r="A6007" i="10"/>
  <c r="E6006" i="10"/>
  <c r="D6006" i="10"/>
  <c r="C6006" i="10"/>
  <c r="B6006" i="10"/>
  <c r="A6006" i="10"/>
  <c r="E6005" i="10"/>
  <c r="D6005" i="10"/>
  <c r="C6005" i="10"/>
  <c r="B6005" i="10"/>
  <c r="A6005" i="10"/>
  <c r="E6004" i="10"/>
  <c r="D6004" i="10"/>
  <c r="C6004" i="10"/>
  <c r="B6004" i="10"/>
  <c r="A6004" i="10"/>
  <c r="E6003" i="10"/>
  <c r="D6003" i="10"/>
  <c r="C6003" i="10"/>
  <c r="B6003" i="10"/>
  <c r="A6003" i="10"/>
  <c r="E6002" i="10"/>
  <c r="D6002" i="10"/>
  <c r="C6002" i="10"/>
  <c r="B6002" i="10"/>
  <c r="A6002" i="10"/>
  <c r="E6001" i="10"/>
  <c r="D6001" i="10"/>
  <c r="C6001" i="10"/>
  <c r="B6001" i="10"/>
  <c r="A6001" i="10"/>
  <c r="E6000" i="10"/>
  <c r="D6000" i="10"/>
  <c r="C6000" i="10"/>
  <c r="B6000" i="10"/>
  <c r="A6000" i="10"/>
  <c r="E5999" i="10"/>
  <c r="D5999" i="10"/>
  <c r="C5999" i="10"/>
  <c r="B5999" i="10"/>
  <c r="A5999" i="10"/>
  <c r="E5998" i="10"/>
  <c r="D5998" i="10"/>
  <c r="C5998" i="10"/>
  <c r="B5998" i="10"/>
  <c r="A5998" i="10"/>
  <c r="E5997" i="10"/>
  <c r="D5997" i="10"/>
  <c r="C5997" i="10"/>
  <c r="B5997" i="10"/>
  <c r="A5997" i="10"/>
  <c r="E5996" i="10"/>
  <c r="D5996" i="10"/>
  <c r="C5996" i="10"/>
  <c r="B5996" i="10"/>
  <c r="A5996" i="10"/>
  <c r="E5995" i="10"/>
  <c r="D5995" i="10"/>
  <c r="C5995" i="10"/>
  <c r="B5995" i="10"/>
  <c r="A5995" i="10"/>
  <c r="E5994" i="10"/>
  <c r="D5994" i="10"/>
  <c r="C5994" i="10"/>
  <c r="B5994" i="10"/>
  <c r="A5994" i="10"/>
  <c r="E5993" i="10"/>
  <c r="D5993" i="10"/>
  <c r="C5993" i="10"/>
  <c r="B5993" i="10"/>
  <c r="A5993" i="10"/>
  <c r="E5992" i="10"/>
  <c r="D5992" i="10"/>
  <c r="C5992" i="10"/>
  <c r="B5992" i="10"/>
  <c r="A5992" i="10"/>
  <c r="E5991" i="10"/>
  <c r="D5991" i="10"/>
  <c r="C5991" i="10"/>
  <c r="B5991" i="10"/>
  <c r="A5991" i="10"/>
  <c r="E5990" i="10"/>
  <c r="D5990" i="10"/>
  <c r="C5990" i="10"/>
  <c r="B5990" i="10"/>
  <c r="A5990" i="10"/>
  <c r="E5989" i="10"/>
  <c r="D5989" i="10"/>
  <c r="C5989" i="10"/>
  <c r="B5989" i="10"/>
  <c r="A5989" i="10"/>
  <c r="E5988" i="10"/>
  <c r="D5988" i="10"/>
  <c r="C5988" i="10"/>
  <c r="B5988" i="10"/>
  <c r="A5988" i="10"/>
  <c r="E5987" i="10"/>
  <c r="D5987" i="10"/>
  <c r="C5987" i="10"/>
  <c r="B5987" i="10"/>
  <c r="A5987" i="10"/>
  <c r="E5986" i="10"/>
  <c r="D5986" i="10"/>
  <c r="C5986" i="10"/>
  <c r="B5986" i="10"/>
  <c r="A5986" i="10"/>
  <c r="E5985" i="10"/>
  <c r="D5985" i="10"/>
  <c r="C5985" i="10"/>
  <c r="B5985" i="10"/>
  <c r="A5985" i="10"/>
  <c r="E5984" i="10"/>
  <c r="D5984" i="10"/>
  <c r="C5984" i="10"/>
  <c r="B5984" i="10"/>
  <c r="A5984" i="10"/>
  <c r="E5983" i="10"/>
  <c r="D5983" i="10"/>
  <c r="C5983" i="10"/>
  <c r="B5983" i="10"/>
  <c r="A5983" i="10"/>
  <c r="E5982" i="10"/>
  <c r="D5982" i="10"/>
  <c r="C5982" i="10"/>
  <c r="B5982" i="10"/>
  <c r="A5982" i="10"/>
  <c r="E5981" i="10"/>
  <c r="D5981" i="10"/>
  <c r="C5981" i="10"/>
  <c r="B5981" i="10"/>
  <c r="A5981" i="10"/>
  <c r="E5980" i="10"/>
  <c r="D5980" i="10"/>
  <c r="C5980" i="10"/>
  <c r="B5980" i="10"/>
  <c r="A5980" i="10"/>
  <c r="E5979" i="10"/>
  <c r="D5979" i="10"/>
  <c r="C5979" i="10"/>
  <c r="B5979" i="10"/>
  <c r="A5979" i="10"/>
  <c r="E5978" i="10"/>
  <c r="D5978" i="10"/>
  <c r="C5978" i="10"/>
  <c r="B5978" i="10"/>
  <c r="A5978" i="10"/>
  <c r="E5977" i="10"/>
  <c r="D5977" i="10"/>
  <c r="C5977" i="10"/>
  <c r="B5977" i="10"/>
  <c r="A5977" i="10"/>
  <c r="E5976" i="10"/>
  <c r="D5976" i="10"/>
  <c r="C5976" i="10"/>
  <c r="B5976" i="10"/>
  <c r="A5976" i="10"/>
  <c r="E5975" i="10"/>
  <c r="D5975" i="10"/>
  <c r="C5975" i="10"/>
  <c r="B5975" i="10"/>
  <c r="A5975" i="10"/>
  <c r="E5974" i="10"/>
  <c r="D5974" i="10"/>
  <c r="C5974" i="10"/>
  <c r="B5974" i="10"/>
  <c r="A5974" i="10"/>
  <c r="E5973" i="10"/>
  <c r="D5973" i="10"/>
  <c r="C5973" i="10"/>
  <c r="B5973" i="10"/>
  <c r="A5973" i="10"/>
  <c r="E5972" i="10"/>
  <c r="D5972" i="10"/>
  <c r="C5972" i="10"/>
  <c r="B5972" i="10"/>
  <c r="A5972" i="10"/>
  <c r="E5971" i="10"/>
  <c r="D5971" i="10"/>
  <c r="C5971" i="10"/>
  <c r="B5971" i="10"/>
  <c r="A5971" i="10"/>
  <c r="E5970" i="10"/>
  <c r="D5970" i="10"/>
  <c r="C5970" i="10"/>
  <c r="B5970" i="10"/>
  <c r="A5970" i="10"/>
  <c r="E5969" i="10"/>
  <c r="D5969" i="10"/>
  <c r="C5969" i="10"/>
  <c r="B5969" i="10"/>
  <c r="A5969" i="10"/>
  <c r="E5968" i="10"/>
  <c r="D5968" i="10"/>
  <c r="C5968" i="10"/>
  <c r="B5968" i="10"/>
  <c r="A5968" i="10"/>
  <c r="E5967" i="10"/>
  <c r="D5967" i="10"/>
  <c r="C5967" i="10"/>
  <c r="B5967" i="10"/>
  <c r="A5967" i="10"/>
  <c r="E5966" i="10"/>
  <c r="D5966" i="10"/>
  <c r="C5966" i="10"/>
  <c r="B5966" i="10"/>
  <c r="A5966" i="10"/>
  <c r="E5965" i="10"/>
  <c r="D5965" i="10"/>
  <c r="C5965" i="10"/>
  <c r="B5965" i="10"/>
  <c r="A5965" i="10"/>
  <c r="E5964" i="10"/>
  <c r="D5964" i="10"/>
  <c r="C5964" i="10"/>
  <c r="B5964" i="10"/>
  <c r="A5964" i="10"/>
  <c r="E5963" i="10"/>
  <c r="D5963" i="10"/>
  <c r="C5963" i="10"/>
  <c r="B5963" i="10"/>
  <c r="A5963" i="10"/>
  <c r="E5962" i="10"/>
  <c r="D5962" i="10"/>
  <c r="C5962" i="10"/>
  <c r="B5962" i="10"/>
  <c r="A5962" i="10"/>
  <c r="E5961" i="10"/>
  <c r="D5961" i="10"/>
  <c r="C5961" i="10"/>
  <c r="B5961" i="10"/>
  <c r="A5961" i="10"/>
  <c r="E5960" i="10"/>
  <c r="D5960" i="10"/>
  <c r="C5960" i="10"/>
  <c r="B5960" i="10"/>
  <c r="A5960" i="10"/>
  <c r="E5959" i="10"/>
  <c r="D5959" i="10"/>
  <c r="C5959" i="10"/>
  <c r="B5959" i="10"/>
  <c r="A5959" i="10"/>
  <c r="E5958" i="10"/>
  <c r="D5958" i="10"/>
  <c r="C5958" i="10"/>
  <c r="B5958" i="10"/>
  <c r="A5958" i="10"/>
  <c r="E5957" i="10"/>
  <c r="D5957" i="10"/>
  <c r="C5957" i="10"/>
  <c r="B5957" i="10"/>
  <c r="A5957" i="10"/>
  <c r="E5956" i="10"/>
  <c r="D5956" i="10"/>
  <c r="C5956" i="10"/>
  <c r="B5956" i="10"/>
  <c r="A5956" i="10"/>
  <c r="E5955" i="10"/>
  <c r="D5955" i="10"/>
  <c r="C5955" i="10"/>
  <c r="B5955" i="10"/>
  <c r="A5955" i="10"/>
  <c r="E5954" i="10"/>
  <c r="D5954" i="10"/>
  <c r="C5954" i="10"/>
  <c r="B5954" i="10"/>
  <c r="A5954" i="10"/>
  <c r="E5953" i="10"/>
  <c r="D5953" i="10"/>
  <c r="C5953" i="10"/>
  <c r="B5953" i="10"/>
  <c r="A5953" i="10"/>
  <c r="E5952" i="10"/>
  <c r="D5952" i="10"/>
  <c r="C5952" i="10"/>
  <c r="B5952" i="10"/>
  <c r="A5952" i="10"/>
  <c r="E5951" i="10"/>
  <c r="D5951" i="10"/>
  <c r="C5951" i="10"/>
  <c r="B5951" i="10"/>
  <c r="A5951" i="10"/>
  <c r="E5950" i="10"/>
  <c r="D5950" i="10"/>
  <c r="C5950" i="10"/>
  <c r="B5950" i="10"/>
  <c r="A5950" i="10"/>
  <c r="E5949" i="10"/>
  <c r="D5949" i="10"/>
  <c r="C5949" i="10"/>
  <c r="B5949" i="10"/>
  <c r="A5949" i="10"/>
  <c r="E5948" i="10"/>
  <c r="D5948" i="10"/>
  <c r="C5948" i="10"/>
  <c r="B5948" i="10"/>
  <c r="A5948" i="10"/>
  <c r="E5947" i="10"/>
  <c r="D5947" i="10"/>
  <c r="C5947" i="10"/>
  <c r="B5947" i="10"/>
  <c r="A5947" i="10"/>
  <c r="E5946" i="10"/>
  <c r="D5946" i="10"/>
  <c r="C5946" i="10"/>
  <c r="B5946" i="10"/>
  <c r="A5946" i="10"/>
  <c r="E5945" i="10"/>
  <c r="D5945" i="10"/>
  <c r="C5945" i="10"/>
  <c r="B5945" i="10"/>
  <c r="A5945" i="10"/>
  <c r="E5944" i="10"/>
  <c r="D5944" i="10"/>
  <c r="C5944" i="10"/>
  <c r="B5944" i="10"/>
  <c r="A5944" i="10"/>
  <c r="E5943" i="10"/>
  <c r="D5943" i="10"/>
  <c r="C5943" i="10"/>
  <c r="B5943" i="10"/>
  <c r="A5943" i="10"/>
  <c r="E5942" i="10"/>
  <c r="D5942" i="10"/>
  <c r="C5942" i="10"/>
  <c r="B5942" i="10"/>
  <c r="A5942" i="10"/>
  <c r="E5941" i="10"/>
  <c r="D5941" i="10"/>
  <c r="C5941" i="10"/>
  <c r="B5941" i="10"/>
  <c r="A5941" i="10"/>
  <c r="E5940" i="10"/>
  <c r="D5940" i="10"/>
  <c r="C5940" i="10"/>
  <c r="B5940" i="10"/>
  <c r="A5940" i="10"/>
  <c r="E5939" i="10"/>
  <c r="D5939" i="10"/>
  <c r="C5939" i="10"/>
  <c r="B5939" i="10"/>
  <c r="A5939" i="10"/>
  <c r="E5938" i="10"/>
  <c r="D5938" i="10"/>
  <c r="C5938" i="10"/>
  <c r="B5938" i="10"/>
  <c r="A5938" i="10"/>
  <c r="E5937" i="10"/>
  <c r="D5937" i="10"/>
  <c r="C5937" i="10"/>
  <c r="B5937" i="10"/>
  <c r="A5937" i="10"/>
  <c r="E5936" i="10"/>
  <c r="D5936" i="10"/>
  <c r="C5936" i="10"/>
  <c r="B5936" i="10"/>
  <c r="A5936" i="10"/>
  <c r="E5935" i="10"/>
  <c r="D5935" i="10"/>
  <c r="C5935" i="10"/>
  <c r="B5935" i="10"/>
  <c r="A5935" i="10"/>
  <c r="E5934" i="10"/>
  <c r="D5934" i="10"/>
  <c r="C5934" i="10"/>
  <c r="B5934" i="10"/>
  <c r="A5934" i="10"/>
  <c r="E5933" i="10"/>
  <c r="D5933" i="10"/>
  <c r="C5933" i="10"/>
  <c r="B5933" i="10"/>
  <c r="A5933" i="10"/>
  <c r="E5932" i="10"/>
  <c r="D5932" i="10"/>
  <c r="C5932" i="10"/>
  <c r="B5932" i="10"/>
  <c r="A5932" i="10"/>
  <c r="E5931" i="10"/>
  <c r="D5931" i="10"/>
  <c r="C5931" i="10"/>
  <c r="B5931" i="10"/>
  <c r="A5931" i="10"/>
  <c r="E5930" i="10"/>
  <c r="D5930" i="10"/>
  <c r="C5930" i="10"/>
  <c r="B5930" i="10"/>
  <c r="A5930" i="10"/>
  <c r="E5929" i="10"/>
  <c r="D5929" i="10"/>
  <c r="C5929" i="10"/>
  <c r="B5929" i="10"/>
  <c r="A5929" i="10"/>
  <c r="E5928" i="10"/>
  <c r="D5928" i="10"/>
  <c r="C5928" i="10"/>
  <c r="B5928" i="10"/>
  <c r="A5928" i="10"/>
  <c r="E5927" i="10"/>
  <c r="D5927" i="10"/>
  <c r="C5927" i="10"/>
  <c r="B5927" i="10"/>
  <c r="A5927" i="10"/>
  <c r="E5926" i="10"/>
  <c r="D5926" i="10"/>
  <c r="C5926" i="10"/>
  <c r="B5926" i="10"/>
  <c r="A5926" i="10"/>
  <c r="E5925" i="10"/>
  <c r="D5925" i="10"/>
  <c r="C5925" i="10"/>
  <c r="B5925" i="10"/>
  <c r="A5925" i="10"/>
  <c r="E5924" i="10"/>
  <c r="D5924" i="10"/>
  <c r="C5924" i="10"/>
  <c r="B5924" i="10"/>
  <c r="A5924" i="10"/>
  <c r="E5923" i="10"/>
  <c r="D5923" i="10"/>
  <c r="C5923" i="10"/>
  <c r="B5923" i="10"/>
  <c r="A5923" i="10"/>
  <c r="E5922" i="10"/>
  <c r="D5922" i="10"/>
  <c r="C5922" i="10"/>
  <c r="B5922" i="10"/>
  <c r="A5922" i="10"/>
  <c r="E5921" i="10"/>
  <c r="D5921" i="10"/>
  <c r="C5921" i="10"/>
  <c r="B5921" i="10"/>
  <c r="A5921" i="10"/>
  <c r="E5920" i="10"/>
  <c r="D5920" i="10"/>
  <c r="C5920" i="10"/>
  <c r="B5920" i="10"/>
  <c r="A5920" i="10"/>
  <c r="E5919" i="10"/>
  <c r="D5919" i="10"/>
  <c r="C5919" i="10"/>
  <c r="B5919" i="10"/>
  <c r="A5919" i="10"/>
  <c r="E5918" i="10"/>
  <c r="D5918" i="10"/>
  <c r="C5918" i="10"/>
  <c r="B5918" i="10"/>
  <c r="A5918" i="10"/>
  <c r="E5917" i="10"/>
  <c r="D5917" i="10"/>
  <c r="C5917" i="10"/>
  <c r="B5917" i="10"/>
  <c r="A5917" i="10"/>
  <c r="E5916" i="10"/>
  <c r="D5916" i="10"/>
  <c r="C5916" i="10"/>
  <c r="B5916" i="10"/>
  <c r="A5916" i="10"/>
  <c r="E5915" i="10"/>
  <c r="D5915" i="10"/>
  <c r="C5915" i="10"/>
  <c r="B5915" i="10"/>
  <c r="A5915" i="10"/>
  <c r="E5914" i="10"/>
  <c r="D5914" i="10"/>
  <c r="C5914" i="10"/>
  <c r="B5914" i="10"/>
  <c r="A5914" i="10"/>
  <c r="E5913" i="10"/>
  <c r="D5913" i="10"/>
  <c r="C5913" i="10"/>
  <c r="B5913" i="10"/>
  <c r="A5913" i="10"/>
  <c r="E5912" i="10"/>
  <c r="D5912" i="10"/>
  <c r="C5912" i="10"/>
  <c r="B5912" i="10"/>
  <c r="A5912" i="10"/>
  <c r="E5911" i="10"/>
  <c r="D5911" i="10"/>
  <c r="C5911" i="10"/>
  <c r="B5911" i="10"/>
  <c r="A5911" i="10"/>
  <c r="E5910" i="10"/>
  <c r="D5910" i="10"/>
  <c r="C5910" i="10"/>
  <c r="B5910" i="10"/>
  <c r="A5910" i="10"/>
  <c r="E5909" i="10"/>
  <c r="D5909" i="10"/>
  <c r="C5909" i="10"/>
  <c r="B5909" i="10"/>
  <c r="A5909" i="10"/>
  <c r="E5908" i="10"/>
  <c r="D5908" i="10"/>
  <c r="C5908" i="10"/>
  <c r="B5908" i="10"/>
  <c r="A5908" i="10"/>
  <c r="E5907" i="10"/>
  <c r="D5907" i="10"/>
  <c r="C5907" i="10"/>
  <c r="B5907" i="10"/>
  <c r="A5907" i="10"/>
  <c r="E5906" i="10"/>
  <c r="D5906" i="10"/>
  <c r="C5906" i="10"/>
  <c r="B5906" i="10"/>
  <c r="A5906" i="10"/>
  <c r="E5905" i="10"/>
  <c r="D5905" i="10"/>
  <c r="C5905" i="10"/>
  <c r="B5905" i="10"/>
  <c r="A5905" i="10"/>
  <c r="E5904" i="10"/>
  <c r="D5904" i="10"/>
  <c r="C5904" i="10"/>
  <c r="B5904" i="10"/>
  <c r="A5904" i="10"/>
  <c r="E5903" i="10"/>
  <c r="D5903" i="10"/>
  <c r="C5903" i="10"/>
  <c r="B5903" i="10"/>
  <c r="A5903" i="10"/>
  <c r="E5902" i="10"/>
  <c r="D5902" i="10"/>
  <c r="C5902" i="10"/>
  <c r="B5902" i="10"/>
  <c r="A5902" i="10"/>
  <c r="E5901" i="10"/>
  <c r="D5901" i="10"/>
  <c r="C5901" i="10"/>
  <c r="B5901" i="10"/>
  <c r="A5901" i="10"/>
  <c r="E5900" i="10"/>
  <c r="D5900" i="10"/>
  <c r="C5900" i="10"/>
  <c r="B5900" i="10"/>
  <c r="A5900" i="10"/>
  <c r="E5899" i="10"/>
  <c r="D5899" i="10"/>
  <c r="C5899" i="10"/>
  <c r="B5899" i="10"/>
  <c r="A5899" i="10"/>
  <c r="E5898" i="10"/>
  <c r="D5898" i="10"/>
  <c r="C5898" i="10"/>
  <c r="B5898" i="10"/>
  <c r="A5898" i="10"/>
  <c r="E5897" i="10"/>
  <c r="D5897" i="10"/>
  <c r="C5897" i="10"/>
  <c r="B5897" i="10"/>
  <c r="A5897" i="10"/>
  <c r="E5896" i="10"/>
  <c r="D5896" i="10"/>
  <c r="C5896" i="10"/>
  <c r="B5896" i="10"/>
  <c r="A5896" i="10"/>
  <c r="E5895" i="10"/>
  <c r="D5895" i="10"/>
  <c r="C5895" i="10"/>
  <c r="B5895" i="10"/>
  <c r="A5895" i="10"/>
  <c r="E5894" i="10"/>
  <c r="D5894" i="10"/>
  <c r="C5894" i="10"/>
  <c r="B5894" i="10"/>
  <c r="A5894" i="10"/>
  <c r="E5893" i="10"/>
  <c r="D5893" i="10"/>
  <c r="C5893" i="10"/>
  <c r="B5893" i="10"/>
  <c r="A5893" i="10"/>
  <c r="E5892" i="10"/>
  <c r="D5892" i="10"/>
  <c r="C5892" i="10"/>
  <c r="B5892" i="10"/>
  <c r="A5892" i="10"/>
  <c r="E5891" i="10"/>
  <c r="D5891" i="10"/>
  <c r="C5891" i="10"/>
  <c r="B5891" i="10"/>
  <c r="A5891" i="10"/>
  <c r="E5890" i="10"/>
  <c r="D5890" i="10"/>
  <c r="C5890" i="10"/>
  <c r="B5890" i="10"/>
  <c r="A5890" i="10"/>
  <c r="E5889" i="10"/>
  <c r="D5889" i="10"/>
  <c r="C5889" i="10"/>
  <c r="B5889" i="10"/>
  <c r="A5889" i="10"/>
  <c r="E5888" i="10"/>
  <c r="D5888" i="10"/>
  <c r="C5888" i="10"/>
  <c r="B5888" i="10"/>
  <c r="A5888" i="10"/>
  <c r="E5887" i="10"/>
  <c r="D5887" i="10"/>
  <c r="C5887" i="10"/>
  <c r="B5887" i="10"/>
  <c r="A5887" i="10"/>
  <c r="E5886" i="10"/>
  <c r="D5886" i="10"/>
  <c r="C5886" i="10"/>
  <c r="B5886" i="10"/>
  <c r="A5886" i="10"/>
  <c r="E5885" i="10"/>
  <c r="D5885" i="10"/>
  <c r="C5885" i="10"/>
  <c r="B5885" i="10"/>
  <c r="A5885" i="10"/>
  <c r="E5884" i="10"/>
  <c r="D5884" i="10"/>
  <c r="C5884" i="10"/>
  <c r="B5884" i="10"/>
  <c r="A5884" i="10"/>
  <c r="E5883" i="10"/>
  <c r="D5883" i="10"/>
  <c r="C5883" i="10"/>
  <c r="B5883" i="10"/>
  <c r="A5883" i="10"/>
  <c r="E5882" i="10"/>
  <c r="D5882" i="10"/>
  <c r="C5882" i="10"/>
  <c r="B5882" i="10"/>
  <c r="A5882" i="10"/>
  <c r="E5881" i="10"/>
  <c r="D5881" i="10"/>
  <c r="C5881" i="10"/>
  <c r="B5881" i="10"/>
  <c r="A5881" i="10"/>
  <c r="E5880" i="10"/>
  <c r="D5880" i="10"/>
  <c r="C5880" i="10"/>
  <c r="B5880" i="10"/>
  <c r="A5880" i="10"/>
  <c r="E5879" i="10"/>
  <c r="D5879" i="10"/>
  <c r="C5879" i="10"/>
  <c r="B5879" i="10"/>
  <c r="A5879" i="10"/>
  <c r="E5878" i="10"/>
  <c r="D5878" i="10"/>
  <c r="C5878" i="10"/>
  <c r="B5878" i="10"/>
  <c r="A5878" i="10"/>
  <c r="E5877" i="10"/>
  <c r="D5877" i="10"/>
  <c r="C5877" i="10"/>
  <c r="B5877" i="10"/>
  <c r="A5877" i="10"/>
  <c r="E5876" i="10"/>
  <c r="D5876" i="10"/>
  <c r="C5876" i="10"/>
  <c r="B5876" i="10"/>
  <c r="A5876" i="10"/>
  <c r="E5875" i="10"/>
  <c r="D5875" i="10"/>
  <c r="C5875" i="10"/>
  <c r="B5875" i="10"/>
  <c r="A5875" i="10"/>
  <c r="E5874" i="10"/>
  <c r="D5874" i="10"/>
  <c r="C5874" i="10"/>
  <c r="B5874" i="10"/>
  <c r="A5874" i="10"/>
  <c r="E5873" i="10"/>
  <c r="D5873" i="10"/>
  <c r="C5873" i="10"/>
  <c r="B5873" i="10"/>
  <c r="A5873" i="10"/>
  <c r="E5872" i="10"/>
  <c r="D5872" i="10"/>
  <c r="C5872" i="10"/>
  <c r="B5872" i="10"/>
  <c r="A5872" i="10"/>
  <c r="E5871" i="10"/>
  <c r="D5871" i="10"/>
  <c r="C5871" i="10"/>
  <c r="B5871" i="10"/>
  <c r="A5871" i="10"/>
  <c r="E5870" i="10"/>
  <c r="D5870" i="10"/>
  <c r="C5870" i="10"/>
  <c r="B5870" i="10"/>
  <c r="A5870" i="10"/>
  <c r="E5869" i="10"/>
  <c r="D5869" i="10"/>
  <c r="C5869" i="10"/>
  <c r="B5869" i="10"/>
  <c r="A5869" i="10"/>
  <c r="E5868" i="10"/>
  <c r="D5868" i="10"/>
  <c r="C5868" i="10"/>
  <c r="B5868" i="10"/>
  <c r="A5868" i="10"/>
  <c r="E5867" i="10"/>
  <c r="D5867" i="10"/>
  <c r="C5867" i="10"/>
  <c r="B5867" i="10"/>
  <c r="A5867" i="10"/>
  <c r="E5866" i="10"/>
  <c r="D5866" i="10"/>
  <c r="C5866" i="10"/>
  <c r="B5866" i="10"/>
  <c r="A5866" i="10"/>
  <c r="E5865" i="10"/>
  <c r="D5865" i="10"/>
  <c r="C5865" i="10"/>
  <c r="B5865" i="10"/>
  <c r="A5865" i="10"/>
  <c r="E5864" i="10"/>
  <c r="D5864" i="10"/>
  <c r="C5864" i="10"/>
  <c r="B5864" i="10"/>
  <c r="A5864" i="10"/>
  <c r="E5863" i="10"/>
  <c r="D5863" i="10"/>
  <c r="C5863" i="10"/>
  <c r="B5863" i="10"/>
  <c r="A5863" i="10"/>
  <c r="E5862" i="10"/>
  <c r="D5862" i="10"/>
  <c r="C5862" i="10"/>
  <c r="B5862" i="10"/>
  <c r="A5862" i="10"/>
  <c r="E5861" i="10"/>
  <c r="D5861" i="10"/>
  <c r="C5861" i="10"/>
  <c r="B5861" i="10"/>
  <c r="A5861" i="10"/>
  <c r="E5860" i="10"/>
  <c r="D5860" i="10"/>
  <c r="C5860" i="10"/>
  <c r="B5860" i="10"/>
  <c r="A5860" i="10"/>
  <c r="E5859" i="10"/>
  <c r="D5859" i="10"/>
  <c r="C5859" i="10"/>
  <c r="B5859" i="10"/>
  <c r="A5859" i="10"/>
  <c r="E5858" i="10"/>
  <c r="D5858" i="10"/>
  <c r="C5858" i="10"/>
  <c r="B5858" i="10"/>
  <c r="A5858" i="10"/>
  <c r="E5857" i="10"/>
  <c r="D5857" i="10"/>
  <c r="C5857" i="10"/>
  <c r="B5857" i="10"/>
  <c r="A5857" i="10"/>
  <c r="E5856" i="10"/>
  <c r="D5856" i="10"/>
  <c r="C5856" i="10"/>
  <c r="B5856" i="10"/>
  <c r="A5856" i="10"/>
  <c r="E5855" i="10"/>
  <c r="D5855" i="10"/>
  <c r="C5855" i="10"/>
  <c r="B5855" i="10"/>
  <c r="A5855" i="10"/>
  <c r="E5854" i="10"/>
  <c r="D5854" i="10"/>
  <c r="C5854" i="10"/>
  <c r="B5854" i="10"/>
  <c r="A5854" i="10"/>
  <c r="E5853" i="10"/>
  <c r="D5853" i="10"/>
  <c r="C5853" i="10"/>
  <c r="B5853" i="10"/>
  <c r="A5853" i="10"/>
  <c r="E5852" i="10"/>
  <c r="D5852" i="10"/>
  <c r="C5852" i="10"/>
  <c r="B5852" i="10"/>
  <c r="A5852" i="10"/>
  <c r="E5851" i="10"/>
  <c r="D5851" i="10"/>
  <c r="C5851" i="10"/>
  <c r="B5851" i="10"/>
  <c r="A5851" i="10"/>
  <c r="E5850" i="10"/>
  <c r="D5850" i="10"/>
  <c r="C5850" i="10"/>
  <c r="B5850" i="10"/>
  <c r="A5850" i="10"/>
  <c r="E5849" i="10"/>
  <c r="D5849" i="10"/>
  <c r="C5849" i="10"/>
  <c r="B5849" i="10"/>
  <c r="A5849" i="10"/>
  <c r="E5848" i="10"/>
  <c r="D5848" i="10"/>
  <c r="C5848" i="10"/>
  <c r="B5848" i="10"/>
  <c r="A5848" i="10"/>
  <c r="E5847" i="10"/>
  <c r="D5847" i="10"/>
  <c r="C5847" i="10"/>
  <c r="B5847" i="10"/>
  <c r="A5847" i="10"/>
  <c r="E5846" i="10"/>
  <c r="D5846" i="10"/>
  <c r="C5846" i="10"/>
  <c r="B5846" i="10"/>
  <c r="A5846" i="10"/>
  <c r="E5845" i="10"/>
  <c r="D5845" i="10"/>
  <c r="C5845" i="10"/>
  <c r="B5845" i="10"/>
  <c r="A5845" i="10"/>
  <c r="E5844" i="10"/>
  <c r="D5844" i="10"/>
  <c r="C5844" i="10"/>
  <c r="B5844" i="10"/>
  <c r="A5844" i="10"/>
  <c r="E5843" i="10"/>
  <c r="D5843" i="10"/>
  <c r="C5843" i="10"/>
  <c r="B5843" i="10"/>
  <c r="A5843" i="10"/>
  <c r="E5842" i="10"/>
  <c r="D5842" i="10"/>
  <c r="C5842" i="10"/>
  <c r="B5842" i="10"/>
  <c r="A5842" i="10"/>
  <c r="E5841" i="10"/>
  <c r="D5841" i="10"/>
  <c r="C5841" i="10"/>
  <c r="B5841" i="10"/>
  <c r="A5841" i="10"/>
  <c r="E5840" i="10"/>
  <c r="D5840" i="10"/>
  <c r="C5840" i="10"/>
  <c r="B5840" i="10"/>
  <c r="A5840" i="10"/>
  <c r="E5839" i="10"/>
  <c r="D5839" i="10"/>
  <c r="C5839" i="10"/>
  <c r="B5839" i="10"/>
  <c r="A5839" i="10"/>
  <c r="E5838" i="10"/>
  <c r="D5838" i="10"/>
  <c r="C5838" i="10"/>
  <c r="B5838" i="10"/>
  <c r="A5838" i="10"/>
  <c r="E5837" i="10"/>
  <c r="D5837" i="10"/>
  <c r="C5837" i="10"/>
  <c r="B5837" i="10"/>
  <c r="A5837" i="10"/>
  <c r="E5836" i="10"/>
  <c r="D5836" i="10"/>
  <c r="C5836" i="10"/>
  <c r="B5836" i="10"/>
  <c r="A5836" i="10"/>
  <c r="E5835" i="10"/>
  <c r="D5835" i="10"/>
  <c r="C5835" i="10"/>
  <c r="B5835" i="10"/>
  <c r="A5835" i="10"/>
  <c r="E5834" i="10"/>
  <c r="D5834" i="10"/>
  <c r="C5834" i="10"/>
  <c r="B5834" i="10"/>
  <c r="A5834" i="10"/>
  <c r="E5833" i="10"/>
  <c r="D5833" i="10"/>
  <c r="C5833" i="10"/>
  <c r="B5833" i="10"/>
  <c r="A5833" i="10"/>
  <c r="E5832" i="10"/>
  <c r="D5832" i="10"/>
  <c r="C5832" i="10"/>
  <c r="B5832" i="10"/>
  <c r="A5832" i="10"/>
  <c r="E5831" i="10"/>
  <c r="D5831" i="10"/>
  <c r="C5831" i="10"/>
  <c r="B5831" i="10"/>
  <c r="A5831" i="10"/>
  <c r="E5830" i="10"/>
  <c r="D5830" i="10"/>
  <c r="C5830" i="10"/>
  <c r="B5830" i="10"/>
  <c r="A5830" i="10"/>
  <c r="E5829" i="10"/>
  <c r="D5829" i="10"/>
  <c r="C5829" i="10"/>
  <c r="B5829" i="10"/>
  <c r="A5829" i="10"/>
  <c r="E5828" i="10"/>
  <c r="D5828" i="10"/>
  <c r="C5828" i="10"/>
  <c r="B5828" i="10"/>
  <c r="A5828" i="10"/>
  <c r="E5827" i="10"/>
  <c r="D5827" i="10"/>
  <c r="C5827" i="10"/>
  <c r="B5827" i="10"/>
  <c r="A5827" i="10"/>
  <c r="E5826" i="10"/>
  <c r="D5826" i="10"/>
  <c r="C5826" i="10"/>
  <c r="B5826" i="10"/>
  <c r="A5826" i="10"/>
  <c r="E5825" i="10"/>
  <c r="D5825" i="10"/>
  <c r="C5825" i="10"/>
  <c r="B5825" i="10"/>
  <c r="A5825" i="10"/>
  <c r="E5824" i="10"/>
  <c r="D5824" i="10"/>
  <c r="C5824" i="10"/>
  <c r="B5824" i="10"/>
  <c r="A5824" i="10"/>
  <c r="E5823" i="10"/>
  <c r="D5823" i="10"/>
  <c r="C5823" i="10"/>
  <c r="B5823" i="10"/>
  <c r="A5823" i="10"/>
  <c r="E5822" i="10"/>
  <c r="D5822" i="10"/>
  <c r="C5822" i="10"/>
  <c r="B5822" i="10"/>
  <c r="A5822" i="10"/>
  <c r="E5821" i="10"/>
  <c r="D5821" i="10"/>
  <c r="C5821" i="10"/>
  <c r="B5821" i="10"/>
  <c r="A5821" i="10"/>
  <c r="E5820" i="10"/>
  <c r="D5820" i="10"/>
  <c r="C5820" i="10"/>
  <c r="B5820" i="10"/>
  <c r="A5820" i="10"/>
  <c r="E5819" i="10"/>
  <c r="D5819" i="10"/>
  <c r="C5819" i="10"/>
  <c r="B5819" i="10"/>
  <c r="A5819" i="10"/>
  <c r="E5818" i="10"/>
  <c r="D5818" i="10"/>
  <c r="C5818" i="10"/>
  <c r="B5818" i="10"/>
  <c r="A5818" i="10"/>
  <c r="E5817" i="10"/>
  <c r="D5817" i="10"/>
  <c r="C5817" i="10"/>
  <c r="B5817" i="10"/>
  <c r="A5817" i="10"/>
  <c r="E5816" i="10"/>
  <c r="D5816" i="10"/>
  <c r="C5816" i="10"/>
  <c r="B5816" i="10"/>
  <c r="A5816" i="10"/>
  <c r="E5815" i="10"/>
  <c r="D5815" i="10"/>
  <c r="C5815" i="10"/>
  <c r="B5815" i="10"/>
  <c r="A5815" i="10"/>
  <c r="E5814" i="10"/>
  <c r="D5814" i="10"/>
  <c r="C5814" i="10"/>
  <c r="B5814" i="10"/>
  <c r="A5814" i="10"/>
  <c r="E5813" i="10"/>
  <c r="D5813" i="10"/>
  <c r="C5813" i="10"/>
  <c r="B5813" i="10"/>
  <c r="A5813" i="10"/>
  <c r="E5812" i="10"/>
  <c r="D5812" i="10"/>
  <c r="C5812" i="10"/>
  <c r="B5812" i="10"/>
  <c r="A5812" i="10"/>
  <c r="E5811" i="10"/>
  <c r="D5811" i="10"/>
  <c r="C5811" i="10"/>
  <c r="B5811" i="10"/>
  <c r="A5811" i="10"/>
  <c r="E5810" i="10"/>
  <c r="D5810" i="10"/>
  <c r="C5810" i="10"/>
  <c r="B5810" i="10"/>
  <c r="A5810" i="10"/>
  <c r="E5809" i="10"/>
  <c r="D5809" i="10"/>
  <c r="C5809" i="10"/>
  <c r="B5809" i="10"/>
  <c r="A5809" i="10"/>
  <c r="E5808" i="10"/>
  <c r="D5808" i="10"/>
  <c r="C5808" i="10"/>
  <c r="B5808" i="10"/>
  <c r="A5808" i="10"/>
  <c r="E5807" i="10"/>
  <c r="D5807" i="10"/>
  <c r="C5807" i="10"/>
  <c r="B5807" i="10"/>
  <c r="A5807" i="10"/>
  <c r="E5806" i="10"/>
  <c r="D5806" i="10"/>
  <c r="C5806" i="10"/>
  <c r="B5806" i="10"/>
  <c r="A5806" i="10"/>
  <c r="E5805" i="10"/>
  <c r="D5805" i="10"/>
  <c r="C5805" i="10"/>
  <c r="B5805" i="10"/>
  <c r="A5805" i="10"/>
  <c r="E5804" i="10"/>
  <c r="D5804" i="10"/>
  <c r="C5804" i="10"/>
  <c r="B5804" i="10"/>
  <c r="A5804" i="10"/>
  <c r="E5803" i="10"/>
  <c r="D5803" i="10"/>
  <c r="C5803" i="10"/>
  <c r="B5803" i="10"/>
  <c r="A5803" i="10"/>
  <c r="E5802" i="10"/>
  <c r="D5802" i="10"/>
  <c r="C5802" i="10"/>
  <c r="B5802" i="10"/>
  <c r="A5802" i="10"/>
  <c r="E5801" i="10"/>
  <c r="D5801" i="10"/>
  <c r="C5801" i="10"/>
  <c r="B5801" i="10"/>
  <c r="A5801" i="10"/>
  <c r="E5800" i="10"/>
  <c r="D5800" i="10"/>
  <c r="C5800" i="10"/>
  <c r="B5800" i="10"/>
  <c r="A5800" i="10"/>
  <c r="E5799" i="10"/>
  <c r="D5799" i="10"/>
  <c r="C5799" i="10"/>
  <c r="B5799" i="10"/>
  <c r="A5799" i="10"/>
  <c r="E5798" i="10"/>
  <c r="D5798" i="10"/>
  <c r="C5798" i="10"/>
  <c r="B5798" i="10"/>
  <c r="A5798" i="10"/>
  <c r="E5797" i="10"/>
  <c r="D5797" i="10"/>
  <c r="C5797" i="10"/>
  <c r="B5797" i="10"/>
  <c r="A5797" i="10"/>
  <c r="E5796" i="10"/>
  <c r="D5796" i="10"/>
  <c r="C5796" i="10"/>
  <c r="B5796" i="10"/>
  <c r="A5796" i="10"/>
  <c r="E5795" i="10"/>
  <c r="D5795" i="10"/>
  <c r="C5795" i="10"/>
  <c r="B5795" i="10"/>
  <c r="A5795" i="10"/>
  <c r="E5794" i="10"/>
  <c r="D5794" i="10"/>
  <c r="C5794" i="10"/>
  <c r="B5794" i="10"/>
  <c r="A5794" i="10"/>
  <c r="E5793" i="10"/>
  <c r="D5793" i="10"/>
  <c r="C5793" i="10"/>
  <c r="B5793" i="10"/>
  <c r="A5793" i="10"/>
  <c r="E5792" i="10"/>
  <c r="D5792" i="10"/>
  <c r="C5792" i="10"/>
  <c r="B5792" i="10"/>
  <c r="A5792" i="10"/>
  <c r="E5791" i="10"/>
  <c r="D5791" i="10"/>
  <c r="C5791" i="10"/>
  <c r="B5791" i="10"/>
  <c r="A5791" i="10"/>
  <c r="E5790" i="10"/>
  <c r="D5790" i="10"/>
  <c r="C5790" i="10"/>
  <c r="B5790" i="10"/>
  <c r="A5790" i="10"/>
  <c r="E5789" i="10"/>
  <c r="D5789" i="10"/>
  <c r="C5789" i="10"/>
  <c r="B5789" i="10"/>
  <c r="A5789" i="10"/>
  <c r="E5788" i="10"/>
  <c r="D5788" i="10"/>
  <c r="C5788" i="10"/>
  <c r="B5788" i="10"/>
  <c r="A5788" i="10"/>
  <c r="E5787" i="10"/>
  <c r="D5787" i="10"/>
  <c r="C5787" i="10"/>
  <c r="B5787" i="10"/>
  <c r="A5787" i="10"/>
  <c r="E5786" i="10"/>
  <c r="D5786" i="10"/>
  <c r="C5786" i="10"/>
  <c r="B5786" i="10"/>
  <c r="A5786" i="10"/>
  <c r="E5785" i="10"/>
  <c r="D5785" i="10"/>
  <c r="C5785" i="10"/>
  <c r="B5785" i="10"/>
  <c r="A5785" i="10"/>
  <c r="E5784" i="10"/>
  <c r="D5784" i="10"/>
  <c r="C5784" i="10"/>
  <c r="B5784" i="10"/>
  <c r="A5784" i="10"/>
  <c r="E5783" i="10"/>
  <c r="D5783" i="10"/>
  <c r="C5783" i="10"/>
  <c r="B5783" i="10"/>
  <c r="A5783" i="10"/>
  <c r="E5782" i="10"/>
  <c r="D5782" i="10"/>
  <c r="C5782" i="10"/>
  <c r="B5782" i="10"/>
  <c r="A5782" i="10"/>
  <c r="E5781" i="10"/>
  <c r="D5781" i="10"/>
  <c r="C5781" i="10"/>
  <c r="B5781" i="10"/>
  <c r="A5781" i="10"/>
  <c r="E5780" i="10"/>
  <c r="D5780" i="10"/>
  <c r="C5780" i="10"/>
  <c r="B5780" i="10"/>
  <c r="A5780" i="10"/>
  <c r="E5779" i="10"/>
  <c r="D5779" i="10"/>
  <c r="C5779" i="10"/>
  <c r="B5779" i="10"/>
  <c r="A5779" i="10"/>
  <c r="E5778" i="10"/>
  <c r="D5778" i="10"/>
  <c r="C5778" i="10"/>
  <c r="B5778" i="10"/>
  <c r="A5778" i="10"/>
  <c r="E5777" i="10"/>
  <c r="D5777" i="10"/>
  <c r="C5777" i="10"/>
  <c r="B5777" i="10"/>
  <c r="A5777" i="10"/>
  <c r="E5776" i="10"/>
  <c r="D5776" i="10"/>
  <c r="C5776" i="10"/>
  <c r="B5776" i="10"/>
  <c r="A5776" i="10"/>
  <c r="E5775" i="10"/>
  <c r="D5775" i="10"/>
  <c r="C5775" i="10"/>
  <c r="B5775" i="10"/>
  <c r="A5775" i="10"/>
  <c r="E5774" i="10"/>
  <c r="D5774" i="10"/>
  <c r="C5774" i="10"/>
  <c r="B5774" i="10"/>
  <c r="A5774" i="10"/>
  <c r="E5773" i="10"/>
  <c r="D5773" i="10"/>
  <c r="C5773" i="10"/>
  <c r="B5773" i="10"/>
  <c r="A5773" i="10"/>
  <c r="E5772" i="10"/>
  <c r="D5772" i="10"/>
  <c r="C5772" i="10"/>
  <c r="B5772" i="10"/>
  <c r="A5772" i="10"/>
  <c r="E5771" i="10"/>
  <c r="D5771" i="10"/>
  <c r="C5771" i="10"/>
  <c r="B5771" i="10"/>
  <c r="A5771" i="10"/>
  <c r="E5770" i="10"/>
  <c r="D5770" i="10"/>
  <c r="C5770" i="10"/>
  <c r="B5770" i="10"/>
  <c r="A5770" i="10"/>
  <c r="E5769" i="10"/>
  <c r="D5769" i="10"/>
  <c r="C5769" i="10"/>
  <c r="B5769" i="10"/>
  <c r="A5769" i="10"/>
  <c r="E5768" i="10"/>
  <c r="D5768" i="10"/>
  <c r="C5768" i="10"/>
  <c r="B5768" i="10"/>
  <c r="A5768" i="10"/>
  <c r="E5767" i="10"/>
  <c r="D5767" i="10"/>
  <c r="C5767" i="10"/>
  <c r="B5767" i="10"/>
  <c r="A5767" i="10"/>
  <c r="E5766" i="10"/>
  <c r="D5766" i="10"/>
  <c r="C5766" i="10"/>
  <c r="B5766" i="10"/>
  <c r="A5766" i="10"/>
  <c r="E5765" i="10"/>
  <c r="D5765" i="10"/>
  <c r="C5765" i="10"/>
  <c r="B5765" i="10"/>
  <c r="A5765" i="10"/>
  <c r="E5764" i="10"/>
  <c r="D5764" i="10"/>
  <c r="C5764" i="10"/>
  <c r="B5764" i="10"/>
  <c r="A5764" i="10"/>
  <c r="E5763" i="10"/>
  <c r="D5763" i="10"/>
  <c r="C5763" i="10"/>
  <c r="B5763" i="10"/>
  <c r="A5763" i="10"/>
  <c r="E5762" i="10"/>
  <c r="D5762" i="10"/>
  <c r="C5762" i="10"/>
  <c r="B5762" i="10"/>
  <c r="A5762" i="10"/>
  <c r="E5761" i="10"/>
  <c r="D5761" i="10"/>
  <c r="C5761" i="10"/>
  <c r="B5761" i="10"/>
  <c r="A5761" i="10"/>
  <c r="E5760" i="10"/>
  <c r="D5760" i="10"/>
  <c r="C5760" i="10"/>
  <c r="B5760" i="10"/>
  <c r="A5760" i="10"/>
  <c r="E5759" i="10"/>
  <c r="D5759" i="10"/>
  <c r="C5759" i="10"/>
  <c r="B5759" i="10"/>
  <c r="A5759" i="10"/>
  <c r="E5758" i="10"/>
  <c r="D5758" i="10"/>
  <c r="C5758" i="10"/>
  <c r="B5758" i="10"/>
  <c r="A5758" i="10"/>
  <c r="E5757" i="10"/>
  <c r="D5757" i="10"/>
  <c r="C5757" i="10"/>
  <c r="B5757" i="10"/>
  <c r="A5757" i="10"/>
  <c r="E5756" i="10"/>
  <c r="D5756" i="10"/>
  <c r="C5756" i="10"/>
  <c r="B5756" i="10"/>
  <c r="A5756" i="10"/>
  <c r="E5755" i="10"/>
  <c r="D5755" i="10"/>
  <c r="C5755" i="10"/>
  <c r="B5755" i="10"/>
  <c r="A5755" i="10"/>
  <c r="E5754" i="10"/>
  <c r="D5754" i="10"/>
  <c r="C5754" i="10"/>
  <c r="B5754" i="10"/>
  <c r="A5754" i="10"/>
  <c r="E5753" i="10"/>
  <c r="D5753" i="10"/>
  <c r="C5753" i="10"/>
  <c r="B5753" i="10"/>
  <c r="A5753" i="10"/>
  <c r="E5752" i="10"/>
  <c r="D5752" i="10"/>
  <c r="C5752" i="10"/>
  <c r="B5752" i="10"/>
  <c r="A5752" i="10"/>
  <c r="E5751" i="10"/>
  <c r="D5751" i="10"/>
  <c r="C5751" i="10"/>
  <c r="B5751" i="10"/>
  <c r="A5751" i="10"/>
  <c r="E5750" i="10"/>
  <c r="D5750" i="10"/>
  <c r="C5750" i="10"/>
  <c r="B5750" i="10"/>
  <c r="A5750" i="10"/>
  <c r="E5749" i="10"/>
  <c r="D5749" i="10"/>
  <c r="C5749" i="10"/>
  <c r="B5749" i="10"/>
  <c r="A5749" i="10"/>
  <c r="E5748" i="10"/>
  <c r="D5748" i="10"/>
  <c r="C5748" i="10"/>
  <c r="B5748" i="10"/>
  <c r="A5748" i="10"/>
  <c r="E5747" i="10"/>
  <c r="D5747" i="10"/>
  <c r="C5747" i="10"/>
  <c r="B5747" i="10"/>
  <c r="A5747" i="10"/>
  <c r="E5746" i="10"/>
  <c r="D5746" i="10"/>
  <c r="C5746" i="10"/>
  <c r="B5746" i="10"/>
  <c r="A5746" i="10"/>
  <c r="E5745" i="10"/>
  <c r="D5745" i="10"/>
  <c r="C5745" i="10"/>
  <c r="B5745" i="10"/>
  <c r="A5745" i="10"/>
  <c r="E5744" i="10"/>
  <c r="D5744" i="10"/>
  <c r="C5744" i="10"/>
  <c r="B5744" i="10"/>
  <c r="A5744" i="10"/>
  <c r="E5743" i="10"/>
  <c r="D5743" i="10"/>
  <c r="C5743" i="10"/>
  <c r="B5743" i="10"/>
  <c r="A5743" i="10"/>
  <c r="E5742" i="10"/>
  <c r="D5742" i="10"/>
  <c r="C5742" i="10"/>
  <c r="B5742" i="10"/>
  <c r="A5742" i="10"/>
  <c r="E5741" i="10"/>
  <c r="D5741" i="10"/>
  <c r="C5741" i="10"/>
  <c r="B5741" i="10"/>
  <c r="A5741" i="10"/>
  <c r="E5740" i="10"/>
  <c r="D5740" i="10"/>
  <c r="C5740" i="10"/>
  <c r="B5740" i="10"/>
  <c r="A5740" i="10"/>
  <c r="E5739" i="10"/>
  <c r="D5739" i="10"/>
  <c r="C5739" i="10"/>
  <c r="B5739" i="10"/>
  <c r="A5739" i="10"/>
  <c r="E5738" i="10"/>
  <c r="D5738" i="10"/>
  <c r="C5738" i="10"/>
  <c r="B5738" i="10"/>
  <c r="A5738" i="10"/>
  <c r="E5737" i="10"/>
  <c r="D5737" i="10"/>
  <c r="C5737" i="10"/>
  <c r="B5737" i="10"/>
  <c r="A5737" i="10"/>
  <c r="E5736" i="10"/>
  <c r="D5736" i="10"/>
  <c r="C5736" i="10"/>
  <c r="B5736" i="10"/>
  <c r="A5736" i="10"/>
  <c r="E5735" i="10"/>
  <c r="D5735" i="10"/>
  <c r="C5735" i="10"/>
  <c r="B5735" i="10"/>
  <c r="A5735" i="10"/>
  <c r="E5734" i="10"/>
  <c r="D5734" i="10"/>
  <c r="C5734" i="10"/>
  <c r="B5734" i="10"/>
  <c r="A5734" i="10"/>
  <c r="E5733" i="10"/>
  <c r="D5733" i="10"/>
  <c r="C5733" i="10"/>
  <c r="B5733" i="10"/>
  <c r="A5733" i="10"/>
  <c r="E5732" i="10"/>
  <c r="D5732" i="10"/>
  <c r="C5732" i="10"/>
  <c r="B5732" i="10"/>
  <c r="A5732" i="10"/>
  <c r="E5731" i="10"/>
  <c r="D5731" i="10"/>
  <c r="C5731" i="10"/>
  <c r="B5731" i="10"/>
  <c r="A5731" i="10"/>
  <c r="E5730" i="10"/>
  <c r="D5730" i="10"/>
  <c r="C5730" i="10"/>
  <c r="B5730" i="10"/>
  <c r="A5730" i="10"/>
  <c r="E5729" i="10"/>
  <c r="D5729" i="10"/>
  <c r="C5729" i="10"/>
  <c r="B5729" i="10"/>
  <c r="A5729" i="10"/>
  <c r="E5728" i="10"/>
  <c r="D5728" i="10"/>
  <c r="C5728" i="10"/>
  <c r="B5728" i="10"/>
  <c r="A5728" i="10"/>
  <c r="E5727" i="10"/>
  <c r="D5727" i="10"/>
  <c r="C5727" i="10"/>
  <c r="B5727" i="10"/>
  <c r="A5727" i="10"/>
  <c r="E5726" i="10"/>
  <c r="D5726" i="10"/>
  <c r="C5726" i="10"/>
  <c r="B5726" i="10"/>
  <c r="A5726" i="10"/>
  <c r="E5725" i="10"/>
  <c r="D5725" i="10"/>
  <c r="C5725" i="10"/>
  <c r="B5725" i="10"/>
  <c r="A5725" i="10"/>
  <c r="E5724" i="10"/>
  <c r="D5724" i="10"/>
  <c r="C5724" i="10"/>
  <c r="B5724" i="10"/>
  <c r="A5724" i="10"/>
  <c r="E5723" i="10"/>
  <c r="D5723" i="10"/>
  <c r="C5723" i="10"/>
  <c r="B5723" i="10"/>
  <c r="A5723" i="10"/>
  <c r="E5722" i="10"/>
  <c r="D5722" i="10"/>
  <c r="C5722" i="10"/>
  <c r="B5722" i="10"/>
  <c r="A5722" i="10"/>
  <c r="E5721" i="10"/>
  <c r="D5721" i="10"/>
  <c r="C5721" i="10"/>
  <c r="B5721" i="10"/>
  <c r="A5721" i="10"/>
  <c r="E5720" i="10"/>
  <c r="D5720" i="10"/>
  <c r="C5720" i="10"/>
  <c r="B5720" i="10"/>
  <c r="A5720" i="10"/>
  <c r="E5719" i="10"/>
  <c r="D5719" i="10"/>
  <c r="C5719" i="10"/>
  <c r="B5719" i="10"/>
  <c r="A5719" i="10"/>
  <c r="E5718" i="10"/>
  <c r="D5718" i="10"/>
  <c r="C5718" i="10"/>
  <c r="B5718" i="10"/>
  <c r="A5718" i="10"/>
  <c r="E5717" i="10"/>
  <c r="D5717" i="10"/>
  <c r="C5717" i="10"/>
  <c r="B5717" i="10"/>
  <c r="A5717" i="10"/>
  <c r="E5716" i="10"/>
  <c r="D5716" i="10"/>
  <c r="C5716" i="10"/>
  <c r="B5716" i="10"/>
  <c r="A5716" i="10"/>
  <c r="E5715" i="10"/>
  <c r="D5715" i="10"/>
  <c r="C5715" i="10"/>
  <c r="B5715" i="10"/>
  <c r="A5715" i="10"/>
  <c r="E5714" i="10"/>
  <c r="D5714" i="10"/>
  <c r="C5714" i="10"/>
  <c r="B5714" i="10"/>
  <c r="A5714" i="10"/>
  <c r="E5713" i="10"/>
  <c r="D5713" i="10"/>
  <c r="C5713" i="10"/>
  <c r="B5713" i="10"/>
  <c r="A5713" i="10"/>
  <c r="E5712" i="10"/>
  <c r="D5712" i="10"/>
  <c r="C5712" i="10"/>
  <c r="B5712" i="10"/>
  <c r="A5712" i="10"/>
  <c r="E5711" i="10"/>
  <c r="D5711" i="10"/>
  <c r="C5711" i="10"/>
  <c r="B5711" i="10"/>
  <c r="A5711" i="10"/>
  <c r="E5710" i="10"/>
  <c r="D5710" i="10"/>
  <c r="C5710" i="10"/>
  <c r="B5710" i="10"/>
  <c r="A5710" i="10"/>
  <c r="E5709" i="10"/>
  <c r="D5709" i="10"/>
  <c r="C5709" i="10"/>
  <c r="B5709" i="10"/>
  <c r="A5709" i="10"/>
  <c r="E5708" i="10"/>
  <c r="D5708" i="10"/>
  <c r="C5708" i="10"/>
  <c r="B5708" i="10"/>
  <c r="A5708" i="10"/>
  <c r="E5707" i="10"/>
  <c r="D5707" i="10"/>
  <c r="C5707" i="10"/>
  <c r="B5707" i="10"/>
  <c r="A5707" i="10"/>
  <c r="E5706" i="10"/>
  <c r="D5706" i="10"/>
  <c r="C5706" i="10"/>
  <c r="B5706" i="10"/>
  <c r="A5706" i="10"/>
  <c r="E5705" i="10"/>
  <c r="D5705" i="10"/>
  <c r="C5705" i="10"/>
  <c r="B5705" i="10"/>
  <c r="A5705" i="10"/>
  <c r="E5704" i="10"/>
  <c r="D5704" i="10"/>
  <c r="C5704" i="10"/>
  <c r="B5704" i="10"/>
  <c r="A5704" i="10"/>
  <c r="E5703" i="10"/>
  <c r="D5703" i="10"/>
  <c r="C5703" i="10"/>
  <c r="B5703" i="10"/>
  <c r="A5703" i="10"/>
  <c r="E5702" i="10"/>
  <c r="D5702" i="10"/>
  <c r="C5702" i="10"/>
  <c r="B5702" i="10"/>
  <c r="A5702" i="10"/>
  <c r="E5701" i="10"/>
  <c r="D5701" i="10"/>
  <c r="C5701" i="10"/>
  <c r="B5701" i="10"/>
  <c r="A5701" i="10"/>
  <c r="E5700" i="10"/>
  <c r="D5700" i="10"/>
  <c r="C5700" i="10"/>
  <c r="B5700" i="10"/>
  <c r="A5700" i="10"/>
  <c r="E5699" i="10"/>
  <c r="D5699" i="10"/>
  <c r="C5699" i="10"/>
  <c r="B5699" i="10"/>
  <c r="A5699" i="10"/>
  <c r="E5698" i="10"/>
  <c r="D5698" i="10"/>
  <c r="C5698" i="10"/>
  <c r="B5698" i="10"/>
  <c r="A5698" i="10"/>
  <c r="E5697" i="10"/>
  <c r="D5697" i="10"/>
  <c r="C5697" i="10"/>
  <c r="B5697" i="10"/>
  <c r="A5697" i="10"/>
  <c r="E5696" i="10"/>
  <c r="D5696" i="10"/>
  <c r="C5696" i="10"/>
  <c r="B5696" i="10"/>
  <c r="A5696" i="10"/>
  <c r="E5695" i="10"/>
  <c r="D5695" i="10"/>
  <c r="C5695" i="10"/>
  <c r="B5695" i="10"/>
  <c r="A5695" i="10"/>
  <c r="E5694" i="10"/>
  <c r="D5694" i="10"/>
  <c r="C5694" i="10"/>
  <c r="B5694" i="10"/>
  <c r="A5694" i="10"/>
  <c r="E5693" i="10"/>
  <c r="D5693" i="10"/>
  <c r="C5693" i="10"/>
  <c r="B5693" i="10"/>
  <c r="A5693" i="10"/>
  <c r="E5692" i="10"/>
  <c r="D5692" i="10"/>
  <c r="C5692" i="10"/>
  <c r="B5692" i="10"/>
  <c r="A5692" i="10"/>
  <c r="E5691" i="10"/>
  <c r="D5691" i="10"/>
  <c r="C5691" i="10"/>
  <c r="B5691" i="10"/>
  <c r="A5691" i="10"/>
  <c r="E5690" i="10"/>
  <c r="D5690" i="10"/>
  <c r="C5690" i="10"/>
  <c r="B5690" i="10"/>
  <c r="A5690" i="10"/>
  <c r="E5689" i="10"/>
  <c r="D5689" i="10"/>
  <c r="C5689" i="10"/>
  <c r="B5689" i="10"/>
  <c r="A5689" i="10"/>
  <c r="E5688" i="10"/>
  <c r="D5688" i="10"/>
  <c r="C5688" i="10"/>
  <c r="B5688" i="10"/>
  <c r="A5688" i="10"/>
  <c r="E5687" i="10"/>
  <c r="D5687" i="10"/>
  <c r="C5687" i="10"/>
  <c r="B5687" i="10"/>
  <c r="A5687" i="10"/>
  <c r="E5686" i="10"/>
  <c r="D5686" i="10"/>
  <c r="C5686" i="10"/>
  <c r="B5686" i="10"/>
  <c r="A5686" i="10"/>
  <c r="E5685" i="10"/>
  <c r="D5685" i="10"/>
  <c r="C5685" i="10"/>
  <c r="B5685" i="10"/>
  <c r="A5685" i="10"/>
  <c r="E5684" i="10"/>
  <c r="D5684" i="10"/>
  <c r="C5684" i="10"/>
  <c r="B5684" i="10"/>
  <c r="A5684" i="10"/>
  <c r="E5683" i="10"/>
  <c r="D5683" i="10"/>
  <c r="C5683" i="10"/>
  <c r="B5683" i="10"/>
  <c r="A5683" i="10"/>
  <c r="E5682" i="10"/>
  <c r="D5682" i="10"/>
  <c r="C5682" i="10"/>
  <c r="B5682" i="10"/>
  <c r="A5682" i="10"/>
  <c r="E5681" i="10"/>
  <c r="D5681" i="10"/>
  <c r="C5681" i="10"/>
  <c r="B5681" i="10"/>
  <c r="A5681" i="10"/>
  <c r="E5680" i="10"/>
  <c r="D5680" i="10"/>
  <c r="C5680" i="10"/>
  <c r="B5680" i="10"/>
  <c r="A5680" i="10"/>
  <c r="E5679" i="10"/>
  <c r="D5679" i="10"/>
  <c r="C5679" i="10"/>
  <c r="B5679" i="10"/>
  <c r="A5679" i="10"/>
  <c r="E5678" i="10"/>
  <c r="D5678" i="10"/>
  <c r="C5678" i="10"/>
  <c r="B5678" i="10"/>
  <c r="A5678" i="10"/>
  <c r="E5677" i="10"/>
  <c r="D5677" i="10"/>
  <c r="C5677" i="10"/>
  <c r="B5677" i="10"/>
  <c r="A5677" i="10"/>
  <c r="E5676" i="10"/>
  <c r="D5676" i="10"/>
  <c r="C5676" i="10"/>
  <c r="B5676" i="10"/>
  <c r="A5676" i="10"/>
  <c r="E5675" i="10"/>
  <c r="D5675" i="10"/>
  <c r="C5675" i="10"/>
  <c r="B5675" i="10"/>
  <c r="A5675" i="10"/>
  <c r="E5674" i="10"/>
  <c r="D5674" i="10"/>
  <c r="C5674" i="10"/>
  <c r="B5674" i="10"/>
  <c r="A5674" i="10"/>
  <c r="E5673" i="10"/>
  <c r="D5673" i="10"/>
  <c r="C5673" i="10"/>
  <c r="B5673" i="10"/>
  <c r="A5673" i="10"/>
  <c r="E5672" i="10"/>
  <c r="D5672" i="10"/>
  <c r="C5672" i="10"/>
  <c r="B5672" i="10"/>
  <c r="A5672" i="10"/>
  <c r="E5671" i="10"/>
  <c r="D5671" i="10"/>
  <c r="C5671" i="10"/>
  <c r="B5671" i="10"/>
  <c r="A5671" i="10"/>
  <c r="E5670" i="10"/>
  <c r="D5670" i="10"/>
  <c r="C5670" i="10"/>
  <c r="B5670" i="10"/>
  <c r="A5670" i="10"/>
  <c r="E5669" i="10"/>
  <c r="D5669" i="10"/>
  <c r="C5669" i="10"/>
  <c r="B5669" i="10"/>
  <c r="A5669" i="10"/>
  <c r="E5668" i="10"/>
  <c r="D5668" i="10"/>
  <c r="C5668" i="10"/>
  <c r="B5668" i="10"/>
  <c r="A5668" i="10"/>
  <c r="E5667" i="10"/>
  <c r="D5667" i="10"/>
  <c r="C5667" i="10"/>
  <c r="B5667" i="10"/>
  <c r="A5667" i="10"/>
  <c r="E5666" i="10"/>
  <c r="D5666" i="10"/>
  <c r="C5666" i="10"/>
  <c r="B5666" i="10"/>
  <c r="A5666" i="10"/>
  <c r="E5665" i="10"/>
  <c r="D5665" i="10"/>
  <c r="C5665" i="10"/>
  <c r="B5665" i="10"/>
  <c r="A5665" i="10"/>
  <c r="E5664" i="10"/>
  <c r="D5664" i="10"/>
  <c r="C5664" i="10"/>
  <c r="B5664" i="10"/>
  <c r="A5664" i="10"/>
  <c r="E5663" i="10"/>
  <c r="D5663" i="10"/>
  <c r="C5663" i="10"/>
  <c r="B5663" i="10"/>
  <c r="A5663" i="10"/>
  <c r="E5662" i="10"/>
  <c r="D5662" i="10"/>
  <c r="C5662" i="10"/>
  <c r="B5662" i="10"/>
  <c r="A5662" i="10"/>
  <c r="E5661" i="10"/>
  <c r="D5661" i="10"/>
  <c r="C5661" i="10"/>
  <c r="B5661" i="10"/>
  <c r="A5661" i="10"/>
  <c r="E5660" i="10"/>
  <c r="D5660" i="10"/>
  <c r="C5660" i="10"/>
  <c r="B5660" i="10"/>
  <c r="A5660" i="10"/>
  <c r="E5659" i="10"/>
  <c r="D5659" i="10"/>
  <c r="C5659" i="10"/>
  <c r="B5659" i="10"/>
  <c r="A5659" i="10"/>
  <c r="E5658" i="10"/>
  <c r="D5658" i="10"/>
  <c r="C5658" i="10"/>
  <c r="B5658" i="10"/>
  <c r="A5658" i="10"/>
  <c r="E5657" i="10"/>
  <c r="D5657" i="10"/>
  <c r="C5657" i="10"/>
  <c r="B5657" i="10"/>
  <c r="A5657" i="10"/>
  <c r="E5656" i="10"/>
  <c r="D5656" i="10"/>
  <c r="C5656" i="10"/>
  <c r="B5656" i="10"/>
  <c r="A5656" i="10"/>
  <c r="E5655" i="10"/>
  <c r="D5655" i="10"/>
  <c r="C5655" i="10"/>
  <c r="B5655" i="10"/>
  <c r="A5655" i="10"/>
  <c r="E5654" i="10"/>
  <c r="D5654" i="10"/>
  <c r="C5654" i="10"/>
  <c r="B5654" i="10"/>
  <c r="A5654" i="10"/>
  <c r="E5653" i="10"/>
  <c r="D5653" i="10"/>
  <c r="C5653" i="10"/>
  <c r="B5653" i="10"/>
  <c r="A5653" i="10"/>
  <c r="E5652" i="10"/>
  <c r="D5652" i="10"/>
  <c r="C5652" i="10"/>
  <c r="B5652" i="10"/>
  <c r="A5652" i="10"/>
  <c r="E5651" i="10"/>
  <c r="D5651" i="10"/>
  <c r="C5651" i="10"/>
  <c r="B5651" i="10"/>
  <c r="A5651" i="10"/>
  <c r="E5650" i="10"/>
  <c r="D5650" i="10"/>
  <c r="C5650" i="10"/>
  <c r="B5650" i="10"/>
  <c r="A5650" i="10"/>
  <c r="E5649" i="10"/>
  <c r="D5649" i="10"/>
  <c r="C5649" i="10"/>
  <c r="B5649" i="10"/>
  <c r="A5649" i="10"/>
  <c r="E5648" i="10"/>
  <c r="D5648" i="10"/>
  <c r="C5648" i="10"/>
  <c r="B5648" i="10"/>
  <c r="A5648" i="10"/>
  <c r="E5647" i="10"/>
  <c r="D5647" i="10"/>
  <c r="C5647" i="10"/>
  <c r="B5647" i="10"/>
  <c r="A5647" i="10"/>
  <c r="E5646" i="10"/>
  <c r="D5646" i="10"/>
  <c r="C5646" i="10"/>
  <c r="B5646" i="10"/>
  <c r="A5646" i="10"/>
  <c r="E5645" i="10"/>
  <c r="D5645" i="10"/>
  <c r="C5645" i="10"/>
  <c r="B5645" i="10"/>
  <c r="A5645" i="10"/>
  <c r="E5644" i="10"/>
  <c r="D5644" i="10"/>
  <c r="C5644" i="10"/>
  <c r="B5644" i="10"/>
  <c r="A5644" i="10"/>
  <c r="E5643" i="10"/>
  <c r="D5643" i="10"/>
  <c r="C5643" i="10"/>
  <c r="B5643" i="10"/>
  <c r="A5643" i="10"/>
  <c r="E5642" i="10"/>
  <c r="D5642" i="10"/>
  <c r="C5642" i="10"/>
  <c r="B5642" i="10"/>
  <c r="A5642" i="10"/>
  <c r="E5641" i="10"/>
  <c r="D5641" i="10"/>
  <c r="C5641" i="10"/>
  <c r="B5641" i="10"/>
  <c r="A5641" i="10"/>
  <c r="E5640" i="10"/>
  <c r="D5640" i="10"/>
  <c r="C5640" i="10"/>
  <c r="B5640" i="10"/>
  <c r="A5640" i="10"/>
  <c r="E5639" i="10"/>
  <c r="D5639" i="10"/>
  <c r="C5639" i="10"/>
  <c r="B5639" i="10"/>
  <c r="A5639" i="10"/>
  <c r="E5638" i="10"/>
  <c r="D5638" i="10"/>
  <c r="C5638" i="10"/>
  <c r="B5638" i="10"/>
  <c r="A5638" i="10"/>
  <c r="E5637" i="10"/>
  <c r="D5637" i="10"/>
  <c r="C5637" i="10"/>
  <c r="B5637" i="10"/>
  <c r="A5637" i="10"/>
  <c r="E5636" i="10"/>
  <c r="D5636" i="10"/>
  <c r="C5636" i="10"/>
  <c r="B5636" i="10"/>
  <c r="A5636" i="10"/>
  <c r="E5635" i="10"/>
  <c r="D5635" i="10"/>
  <c r="C5635" i="10"/>
  <c r="B5635" i="10"/>
  <c r="A5635" i="10"/>
  <c r="E5634" i="10"/>
  <c r="D5634" i="10"/>
  <c r="C5634" i="10"/>
  <c r="B5634" i="10"/>
  <c r="A5634" i="10"/>
  <c r="E5633" i="10"/>
  <c r="D5633" i="10"/>
  <c r="C5633" i="10"/>
  <c r="B5633" i="10"/>
  <c r="A5633" i="10"/>
  <c r="E5632" i="10"/>
  <c r="D5632" i="10"/>
  <c r="C5632" i="10"/>
  <c r="B5632" i="10"/>
  <c r="A5632" i="10"/>
  <c r="E5631" i="10"/>
  <c r="D5631" i="10"/>
  <c r="C5631" i="10"/>
  <c r="B5631" i="10"/>
  <c r="A5631" i="10"/>
  <c r="E5630" i="10"/>
  <c r="D5630" i="10"/>
  <c r="C5630" i="10"/>
  <c r="B5630" i="10"/>
  <c r="A5630" i="10"/>
  <c r="E5629" i="10"/>
  <c r="D5629" i="10"/>
  <c r="C5629" i="10"/>
  <c r="B5629" i="10"/>
  <c r="A5629" i="10"/>
  <c r="E5628" i="10"/>
  <c r="D5628" i="10"/>
  <c r="C5628" i="10"/>
  <c r="B5628" i="10"/>
  <c r="A5628" i="10"/>
  <c r="E5627" i="10"/>
  <c r="D5627" i="10"/>
  <c r="C5627" i="10"/>
  <c r="B5627" i="10"/>
  <c r="A5627" i="10"/>
  <c r="E5626" i="10"/>
  <c r="D5626" i="10"/>
  <c r="C5626" i="10"/>
  <c r="B5626" i="10"/>
  <c r="A5626" i="10"/>
  <c r="E5625" i="10"/>
  <c r="D5625" i="10"/>
  <c r="C5625" i="10"/>
  <c r="B5625" i="10"/>
  <c r="A5625" i="10"/>
  <c r="E5624" i="10"/>
  <c r="D5624" i="10"/>
  <c r="C5624" i="10"/>
  <c r="B5624" i="10"/>
  <c r="A5624" i="10"/>
  <c r="E5623" i="10"/>
  <c r="D5623" i="10"/>
  <c r="C5623" i="10"/>
  <c r="B5623" i="10"/>
  <c r="A5623" i="10"/>
  <c r="E5622" i="10"/>
  <c r="D5622" i="10"/>
  <c r="C5622" i="10"/>
  <c r="B5622" i="10"/>
  <c r="A5622" i="10"/>
  <c r="E5621" i="10"/>
  <c r="D5621" i="10"/>
  <c r="C5621" i="10"/>
  <c r="B5621" i="10"/>
  <c r="A5621" i="10"/>
  <c r="E5620" i="10"/>
  <c r="D5620" i="10"/>
  <c r="C5620" i="10"/>
  <c r="B5620" i="10"/>
  <c r="A5620" i="10"/>
  <c r="E5619" i="10"/>
  <c r="D5619" i="10"/>
  <c r="C5619" i="10"/>
  <c r="B5619" i="10"/>
  <c r="A5619" i="10"/>
  <c r="E5618" i="10"/>
  <c r="D5618" i="10"/>
  <c r="C5618" i="10"/>
  <c r="B5618" i="10"/>
  <c r="A5618" i="10"/>
  <c r="E5617" i="10"/>
  <c r="D5617" i="10"/>
  <c r="C5617" i="10"/>
  <c r="B5617" i="10"/>
  <c r="A5617" i="10"/>
  <c r="E5616" i="10"/>
  <c r="D5616" i="10"/>
  <c r="C5616" i="10"/>
  <c r="B5616" i="10"/>
  <c r="A5616" i="10"/>
  <c r="E5615" i="10"/>
  <c r="D5615" i="10"/>
  <c r="C5615" i="10"/>
  <c r="B5615" i="10"/>
  <c r="A5615" i="10"/>
  <c r="E5614" i="10"/>
  <c r="D5614" i="10"/>
  <c r="C5614" i="10"/>
  <c r="B5614" i="10"/>
  <c r="A5614" i="10"/>
  <c r="E5613" i="10"/>
  <c r="D5613" i="10"/>
  <c r="C5613" i="10"/>
  <c r="B5613" i="10"/>
  <c r="A5613" i="10"/>
  <c r="E5612" i="10"/>
  <c r="D5612" i="10"/>
  <c r="C5612" i="10"/>
  <c r="B5612" i="10"/>
  <c r="A5612" i="10"/>
  <c r="E5611" i="10"/>
  <c r="D5611" i="10"/>
  <c r="C5611" i="10"/>
  <c r="B5611" i="10"/>
  <c r="A5611" i="10"/>
  <c r="E5610" i="10"/>
  <c r="D5610" i="10"/>
  <c r="C5610" i="10"/>
  <c r="B5610" i="10"/>
  <c r="A5610" i="10"/>
  <c r="E5609" i="10"/>
  <c r="D5609" i="10"/>
  <c r="C5609" i="10"/>
  <c r="B5609" i="10"/>
  <c r="A5609" i="10"/>
  <c r="E5608" i="10"/>
  <c r="D5608" i="10"/>
  <c r="C5608" i="10"/>
  <c r="B5608" i="10"/>
  <c r="A5608" i="10"/>
  <c r="E5607" i="10"/>
  <c r="D5607" i="10"/>
  <c r="C5607" i="10"/>
  <c r="B5607" i="10"/>
  <c r="A5607" i="10"/>
  <c r="E5606" i="10"/>
  <c r="D5606" i="10"/>
  <c r="C5606" i="10"/>
  <c r="B5606" i="10"/>
  <c r="A5606" i="10"/>
  <c r="E5605" i="10"/>
  <c r="D5605" i="10"/>
  <c r="C5605" i="10"/>
  <c r="B5605" i="10"/>
  <c r="A5605" i="10"/>
  <c r="E5604" i="10"/>
  <c r="D5604" i="10"/>
  <c r="C5604" i="10"/>
  <c r="B5604" i="10"/>
  <c r="A5604" i="10"/>
  <c r="E5603" i="10"/>
  <c r="D5603" i="10"/>
  <c r="C5603" i="10"/>
  <c r="B5603" i="10"/>
  <c r="A5603" i="10"/>
  <c r="E5602" i="10"/>
  <c r="D5602" i="10"/>
  <c r="C5602" i="10"/>
  <c r="B5602" i="10"/>
  <c r="A5602" i="10"/>
  <c r="E5601" i="10"/>
  <c r="D5601" i="10"/>
  <c r="C5601" i="10"/>
  <c r="B5601" i="10"/>
  <c r="A5601" i="10"/>
  <c r="E5600" i="10"/>
  <c r="D5600" i="10"/>
  <c r="C5600" i="10"/>
  <c r="B5600" i="10"/>
  <c r="A5600" i="10"/>
  <c r="E5599" i="10"/>
  <c r="D5599" i="10"/>
  <c r="C5599" i="10"/>
  <c r="B5599" i="10"/>
  <c r="A5599" i="10"/>
  <c r="E5598" i="10"/>
  <c r="D5598" i="10"/>
  <c r="C5598" i="10"/>
  <c r="B5598" i="10"/>
  <c r="A5598" i="10"/>
  <c r="E5597" i="10"/>
  <c r="D5597" i="10"/>
  <c r="C5597" i="10"/>
  <c r="B5597" i="10"/>
  <c r="A5597" i="10"/>
  <c r="E5596" i="10"/>
  <c r="D5596" i="10"/>
  <c r="C5596" i="10"/>
  <c r="B5596" i="10"/>
  <c r="A5596" i="10"/>
  <c r="E5595" i="10"/>
  <c r="D5595" i="10"/>
  <c r="C5595" i="10"/>
  <c r="B5595" i="10"/>
  <c r="A5595" i="10"/>
  <c r="E5594" i="10"/>
  <c r="D5594" i="10"/>
  <c r="C5594" i="10"/>
  <c r="B5594" i="10"/>
  <c r="A5594" i="10"/>
  <c r="E5593" i="10"/>
  <c r="D5593" i="10"/>
  <c r="C5593" i="10"/>
  <c r="B5593" i="10"/>
  <c r="A5593" i="10"/>
  <c r="E5592" i="10"/>
  <c r="D5592" i="10"/>
  <c r="C5592" i="10"/>
  <c r="B5592" i="10"/>
  <c r="A5592" i="10"/>
  <c r="E5591" i="10"/>
  <c r="D5591" i="10"/>
  <c r="C5591" i="10"/>
  <c r="B5591" i="10"/>
  <c r="A5591" i="10"/>
  <c r="E5590" i="10"/>
  <c r="D5590" i="10"/>
  <c r="C5590" i="10"/>
  <c r="B5590" i="10"/>
  <c r="A5590" i="10"/>
  <c r="E5589" i="10"/>
  <c r="D5589" i="10"/>
  <c r="C5589" i="10"/>
  <c r="B5589" i="10"/>
  <c r="A5589" i="10"/>
  <c r="E5588" i="10"/>
  <c r="D5588" i="10"/>
  <c r="C5588" i="10"/>
  <c r="B5588" i="10"/>
  <c r="A5588" i="10"/>
  <c r="E5587" i="10"/>
  <c r="D5587" i="10"/>
  <c r="C5587" i="10"/>
  <c r="B5587" i="10"/>
  <c r="A5587" i="10"/>
  <c r="E5586" i="10"/>
  <c r="D5586" i="10"/>
  <c r="C5586" i="10"/>
  <c r="B5586" i="10"/>
  <c r="A5586" i="10"/>
  <c r="E5585" i="10"/>
  <c r="D5585" i="10"/>
  <c r="C5585" i="10"/>
  <c r="B5585" i="10"/>
  <c r="A5585" i="10"/>
  <c r="E5584" i="10"/>
  <c r="D5584" i="10"/>
  <c r="C5584" i="10"/>
  <c r="B5584" i="10"/>
  <c r="A5584" i="10"/>
  <c r="E5583" i="10"/>
  <c r="D5583" i="10"/>
  <c r="C5583" i="10"/>
  <c r="B5583" i="10"/>
  <c r="A5583" i="10"/>
  <c r="E5582" i="10"/>
  <c r="D5582" i="10"/>
  <c r="C5582" i="10"/>
  <c r="B5582" i="10"/>
  <c r="A5582" i="10"/>
  <c r="E5581" i="10"/>
  <c r="D5581" i="10"/>
  <c r="C5581" i="10"/>
  <c r="B5581" i="10"/>
  <c r="A5581" i="10"/>
  <c r="E5580" i="10"/>
  <c r="D5580" i="10"/>
  <c r="C5580" i="10"/>
  <c r="B5580" i="10"/>
  <c r="A5580" i="10"/>
  <c r="E5579" i="10"/>
  <c r="D5579" i="10"/>
  <c r="C5579" i="10"/>
  <c r="B5579" i="10"/>
  <c r="A5579" i="10"/>
  <c r="E5578" i="10"/>
  <c r="D5578" i="10"/>
  <c r="C5578" i="10"/>
  <c r="B5578" i="10"/>
  <c r="A5578" i="10"/>
  <c r="E5577" i="10"/>
  <c r="D5577" i="10"/>
  <c r="C5577" i="10"/>
  <c r="B5577" i="10"/>
  <c r="A5577" i="10"/>
  <c r="E5576" i="10"/>
  <c r="D5576" i="10"/>
  <c r="C5576" i="10"/>
  <c r="B5576" i="10"/>
  <c r="A5576" i="10"/>
  <c r="E5575" i="10"/>
  <c r="D5575" i="10"/>
  <c r="C5575" i="10"/>
  <c r="B5575" i="10"/>
  <c r="A5575" i="10"/>
  <c r="E5574" i="10"/>
  <c r="D5574" i="10"/>
  <c r="C5574" i="10"/>
  <c r="B5574" i="10"/>
  <c r="A5574" i="10"/>
  <c r="E5573" i="10"/>
  <c r="D5573" i="10"/>
  <c r="C5573" i="10"/>
  <c r="B5573" i="10"/>
  <c r="A5573" i="10"/>
  <c r="E5572" i="10"/>
  <c r="D5572" i="10"/>
  <c r="C5572" i="10"/>
  <c r="B5572" i="10"/>
  <c r="A5572" i="10"/>
  <c r="E5571" i="10"/>
  <c r="D5571" i="10"/>
  <c r="C5571" i="10"/>
  <c r="B5571" i="10"/>
  <c r="A5571" i="10"/>
  <c r="E5570" i="10"/>
  <c r="D5570" i="10"/>
  <c r="C5570" i="10"/>
  <c r="B5570" i="10"/>
  <c r="A5570" i="10"/>
  <c r="E5569" i="10"/>
  <c r="D5569" i="10"/>
  <c r="C5569" i="10"/>
  <c r="B5569" i="10"/>
  <c r="A5569" i="10"/>
  <c r="E5568" i="10"/>
  <c r="D5568" i="10"/>
  <c r="C5568" i="10"/>
  <c r="B5568" i="10"/>
  <c r="A5568" i="10"/>
  <c r="E5567" i="10"/>
  <c r="D5567" i="10"/>
  <c r="C5567" i="10"/>
  <c r="B5567" i="10"/>
  <c r="A5567" i="10"/>
  <c r="E5566" i="10"/>
  <c r="D5566" i="10"/>
  <c r="C5566" i="10"/>
  <c r="B5566" i="10"/>
  <c r="A5566" i="10"/>
  <c r="E5565" i="10"/>
  <c r="D5565" i="10"/>
  <c r="C5565" i="10"/>
  <c r="B5565" i="10"/>
  <c r="A5565" i="10"/>
  <c r="E5564" i="10"/>
  <c r="D5564" i="10"/>
  <c r="C5564" i="10"/>
  <c r="B5564" i="10"/>
  <c r="A5564" i="10"/>
  <c r="E5563" i="10"/>
  <c r="D5563" i="10"/>
  <c r="C5563" i="10"/>
  <c r="B5563" i="10"/>
  <c r="A5563" i="10"/>
  <c r="E5562" i="10"/>
  <c r="D5562" i="10"/>
  <c r="C5562" i="10"/>
  <c r="B5562" i="10"/>
  <c r="A5562" i="10"/>
  <c r="E5561" i="10"/>
  <c r="D5561" i="10"/>
  <c r="C5561" i="10"/>
  <c r="B5561" i="10"/>
  <c r="A5561" i="10"/>
  <c r="E5560" i="10"/>
  <c r="D5560" i="10"/>
  <c r="C5560" i="10"/>
  <c r="B5560" i="10"/>
  <c r="A5560" i="10"/>
  <c r="E5559" i="10"/>
  <c r="D5559" i="10"/>
  <c r="C5559" i="10"/>
  <c r="B5559" i="10"/>
  <c r="A5559" i="10"/>
  <c r="E5558" i="10"/>
  <c r="D5558" i="10"/>
  <c r="C5558" i="10"/>
  <c r="B5558" i="10"/>
  <c r="A5558" i="10"/>
  <c r="E5557" i="10"/>
  <c r="D5557" i="10"/>
  <c r="C5557" i="10"/>
  <c r="B5557" i="10"/>
  <c r="A5557" i="10"/>
  <c r="E5556" i="10"/>
  <c r="D5556" i="10"/>
  <c r="C5556" i="10"/>
  <c r="B5556" i="10"/>
  <c r="A5556" i="10"/>
  <c r="E5555" i="10"/>
  <c r="D5555" i="10"/>
  <c r="C5555" i="10"/>
  <c r="B5555" i="10"/>
  <c r="A5555" i="10"/>
  <c r="E5554" i="10"/>
  <c r="D5554" i="10"/>
  <c r="C5554" i="10"/>
  <c r="B5554" i="10"/>
  <c r="A5554" i="10"/>
  <c r="E5553" i="10"/>
  <c r="D5553" i="10"/>
  <c r="C5553" i="10"/>
  <c r="B5553" i="10"/>
  <c r="A5553" i="10"/>
  <c r="E5552" i="10"/>
  <c r="D5552" i="10"/>
  <c r="C5552" i="10"/>
  <c r="B5552" i="10"/>
  <c r="A5552" i="10"/>
  <c r="E5551" i="10"/>
  <c r="D5551" i="10"/>
  <c r="C5551" i="10"/>
  <c r="B5551" i="10"/>
  <c r="A5551" i="10"/>
  <c r="E5550" i="10"/>
  <c r="D5550" i="10"/>
  <c r="C5550" i="10"/>
  <c r="B5550" i="10"/>
  <c r="A5550" i="10"/>
  <c r="E5549" i="10"/>
  <c r="D5549" i="10"/>
  <c r="C5549" i="10"/>
  <c r="B5549" i="10"/>
  <c r="A5549" i="10"/>
  <c r="E5548" i="10"/>
  <c r="D5548" i="10"/>
  <c r="C5548" i="10"/>
  <c r="B5548" i="10"/>
  <c r="A5548" i="10"/>
  <c r="E5547" i="10"/>
  <c r="D5547" i="10"/>
  <c r="C5547" i="10"/>
  <c r="B5547" i="10"/>
  <c r="A5547" i="10"/>
  <c r="E5546" i="10"/>
  <c r="D5546" i="10"/>
  <c r="C5546" i="10"/>
  <c r="B5546" i="10"/>
  <c r="A5546" i="10"/>
  <c r="E5545" i="10"/>
  <c r="D5545" i="10"/>
  <c r="C5545" i="10"/>
  <c r="B5545" i="10"/>
  <c r="A5545" i="10"/>
  <c r="E5544" i="10"/>
  <c r="D5544" i="10"/>
  <c r="C5544" i="10"/>
  <c r="B5544" i="10"/>
  <c r="A5544" i="10"/>
  <c r="E5543" i="10"/>
  <c r="D5543" i="10"/>
  <c r="C5543" i="10"/>
  <c r="B5543" i="10"/>
  <c r="A5543" i="10"/>
  <c r="E5542" i="10"/>
  <c r="D5542" i="10"/>
  <c r="C5542" i="10"/>
  <c r="B5542" i="10"/>
  <c r="A5542" i="10"/>
  <c r="E5541" i="10"/>
  <c r="D5541" i="10"/>
  <c r="C5541" i="10"/>
  <c r="B5541" i="10"/>
  <c r="A5541" i="10"/>
  <c r="E5540" i="10"/>
  <c r="D5540" i="10"/>
  <c r="C5540" i="10"/>
  <c r="B5540" i="10"/>
  <c r="A5540" i="10"/>
  <c r="E5539" i="10"/>
  <c r="D5539" i="10"/>
  <c r="C5539" i="10"/>
  <c r="B5539" i="10"/>
  <c r="A5539" i="10"/>
  <c r="E5538" i="10"/>
  <c r="D5538" i="10"/>
  <c r="C5538" i="10"/>
  <c r="B5538" i="10"/>
  <c r="A5538" i="10"/>
  <c r="E5537" i="10"/>
  <c r="D5537" i="10"/>
  <c r="C5537" i="10"/>
  <c r="B5537" i="10"/>
  <c r="A5537" i="10"/>
  <c r="E5536" i="10"/>
  <c r="D5536" i="10"/>
  <c r="C5536" i="10"/>
  <c r="B5536" i="10"/>
  <c r="A5536" i="10"/>
  <c r="E5535" i="10"/>
  <c r="D5535" i="10"/>
  <c r="C5535" i="10"/>
  <c r="B5535" i="10"/>
  <c r="A5535" i="10"/>
  <c r="E5534" i="10"/>
  <c r="D5534" i="10"/>
  <c r="C5534" i="10"/>
  <c r="B5534" i="10"/>
  <c r="A5534" i="10"/>
  <c r="E5533" i="10"/>
  <c r="D5533" i="10"/>
  <c r="C5533" i="10"/>
  <c r="B5533" i="10"/>
  <c r="A5533" i="10"/>
  <c r="E5532" i="10"/>
  <c r="D5532" i="10"/>
  <c r="C5532" i="10"/>
  <c r="B5532" i="10"/>
  <c r="A5532" i="10"/>
  <c r="E5531" i="10"/>
  <c r="D5531" i="10"/>
  <c r="C5531" i="10"/>
  <c r="B5531" i="10"/>
  <c r="A5531" i="10"/>
  <c r="E5530" i="10"/>
  <c r="D5530" i="10"/>
  <c r="C5530" i="10"/>
  <c r="B5530" i="10"/>
  <c r="A5530" i="10"/>
  <c r="E5529" i="10"/>
  <c r="D5529" i="10"/>
  <c r="C5529" i="10"/>
  <c r="B5529" i="10"/>
  <c r="A5529" i="10"/>
  <c r="E5528" i="10"/>
  <c r="D5528" i="10"/>
  <c r="C5528" i="10"/>
  <c r="B5528" i="10"/>
  <c r="A5528" i="10"/>
  <c r="E5527" i="10"/>
  <c r="D5527" i="10"/>
  <c r="C5527" i="10"/>
  <c r="B5527" i="10"/>
  <c r="A5527" i="10"/>
  <c r="E5526" i="10"/>
  <c r="D5526" i="10"/>
  <c r="C5526" i="10"/>
  <c r="B5526" i="10"/>
  <c r="A5526" i="10"/>
  <c r="E5525" i="10"/>
  <c r="D5525" i="10"/>
  <c r="C5525" i="10"/>
  <c r="B5525" i="10"/>
  <c r="A5525" i="10"/>
  <c r="E5524" i="10"/>
  <c r="D5524" i="10"/>
  <c r="C5524" i="10"/>
  <c r="B5524" i="10"/>
  <c r="A5524" i="10"/>
  <c r="E5523" i="10"/>
  <c r="D5523" i="10"/>
  <c r="C5523" i="10"/>
  <c r="B5523" i="10"/>
  <c r="A5523" i="10"/>
  <c r="E5522" i="10"/>
  <c r="D5522" i="10"/>
  <c r="C5522" i="10"/>
  <c r="B5522" i="10"/>
  <c r="A5522" i="10"/>
  <c r="E5521" i="10"/>
  <c r="D5521" i="10"/>
  <c r="C5521" i="10"/>
  <c r="B5521" i="10"/>
  <c r="A5521" i="10"/>
  <c r="E5520" i="10"/>
  <c r="D5520" i="10"/>
  <c r="C5520" i="10"/>
  <c r="B5520" i="10"/>
  <c r="A5520" i="10"/>
  <c r="E5519" i="10"/>
  <c r="D5519" i="10"/>
  <c r="C5519" i="10"/>
  <c r="B5519" i="10"/>
  <c r="A5519" i="10"/>
  <c r="E5518" i="10"/>
  <c r="D5518" i="10"/>
  <c r="C5518" i="10"/>
  <c r="B5518" i="10"/>
  <c r="A5518" i="10"/>
  <c r="E5517" i="10"/>
  <c r="D5517" i="10"/>
  <c r="C5517" i="10"/>
  <c r="B5517" i="10"/>
  <c r="A5517" i="10"/>
  <c r="E5516" i="10"/>
  <c r="D5516" i="10"/>
  <c r="C5516" i="10"/>
  <c r="B5516" i="10"/>
  <c r="A5516" i="10"/>
  <c r="E5515" i="10"/>
  <c r="D5515" i="10"/>
  <c r="C5515" i="10"/>
  <c r="B5515" i="10"/>
  <c r="A5515" i="10"/>
  <c r="E5514" i="10"/>
  <c r="D5514" i="10"/>
  <c r="C5514" i="10"/>
  <c r="B5514" i="10"/>
  <c r="A5514" i="10"/>
  <c r="E5513" i="10"/>
  <c r="D5513" i="10"/>
  <c r="C5513" i="10"/>
  <c r="B5513" i="10"/>
  <c r="A5513" i="10"/>
  <c r="E5512" i="10"/>
  <c r="D5512" i="10"/>
  <c r="C5512" i="10"/>
  <c r="B5512" i="10"/>
  <c r="A5512" i="10"/>
  <c r="E5511" i="10"/>
  <c r="D5511" i="10"/>
  <c r="C5511" i="10"/>
  <c r="B5511" i="10"/>
  <c r="A5511" i="10"/>
  <c r="E5510" i="10"/>
  <c r="D5510" i="10"/>
  <c r="C5510" i="10"/>
  <c r="B5510" i="10"/>
  <c r="A5510" i="10"/>
  <c r="E5509" i="10"/>
  <c r="D5509" i="10"/>
  <c r="C5509" i="10"/>
  <c r="B5509" i="10"/>
  <c r="A5509" i="10"/>
  <c r="E5508" i="10"/>
  <c r="D5508" i="10"/>
  <c r="C5508" i="10"/>
  <c r="B5508" i="10"/>
  <c r="A5508" i="10"/>
  <c r="E5507" i="10"/>
  <c r="D5507" i="10"/>
  <c r="C5507" i="10"/>
  <c r="B5507" i="10"/>
  <c r="A5507" i="10"/>
  <c r="E5506" i="10"/>
  <c r="D5506" i="10"/>
  <c r="C5506" i="10"/>
  <c r="B5506" i="10"/>
  <c r="A5506" i="10"/>
  <c r="E5505" i="10"/>
  <c r="D5505" i="10"/>
  <c r="C5505" i="10"/>
  <c r="B5505" i="10"/>
  <c r="A5505" i="10"/>
  <c r="E5504" i="10"/>
  <c r="D5504" i="10"/>
  <c r="C5504" i="10"/>
  <c r="B5504" i="10"/>
  <c r="A5504" i="10"/>
  <c r="E5503" i="10"/>
  <c r="D5503" i="10"/>
  <c r="C5503" i="10"/>
  <c r="B5503" i="10"/>
  <c r="A5503" i="10"/>
  <c r="E5502" i="10"/>
  <c r="D5502" i="10"/>
  <c r="C5502" i="10"/>
  <c r="B5502" i="10"/>
  <c r="A5502" i="10"/>
  <c r="E5501" i="10"/>
  <c r="D5501" i="10"/>
  <c r="C5501" i="10"/>
  <c r="B5501" i="10"/>
  <c r="A5501" i="10"/>
  <c r="E5500" i="10"/>
  <c r="D5500" i="10"/>
  <c r="C5500" i="10"/>
  <c r="B5500" i="10"/>
  <c r="A5500" i="10"/>
  <c r="E5499" i="10"/>
  <c r="D5499" i="10"/>
  <c r="C5499" i="10"/>
  <c r="B5499" i="10"/>
  <c r="A5499" i="10"/>
  <c r="E5498" i="10"/>
  <c r="D5498" i="10"/>
  <c r="C5498" i="10"/>
  <c r="B5498" i="10"/>
  <c r="A5498" i="10"/>
  <c r="E5497" i="10"/>
  <c r="D5497" i="10"/>
  <c r="C5497" i="10"/>
  <c r="B5497" i="10"/>
  <c r="A5497" i="10"/>
  <c r="E5496" i="10"/>
  <c r="D5496" i="10"/>
  <c r="C5496" i="10"/>
  <c r="B5496" i="10"/>
  <c r="A5496" i="10"/>
  <c r="E5495" i="10"/>
  <c r="D5495" i="10"/>
  <c r="C5495" i="10"/>
  <c r="B5495" i="10"/>
  <c r="A5495" i="10"/>
  <c r="E5494" i="10"/>
  <c r="D5494" i="10"/>
  <c r="C5494" i="10"/>
  <c r="B5494" i="10"/>
  <c r="A5494" i="10"/>
  <c r="E5493" i="10"/>
  <c r="D5493" i="10"/>
  <c r="C5493" i="10"/>
  <c r="B5493" i="10"/>
  <c r="A5493" i="10"/>
  <c r="E5492" i="10"/>
  <c r="D5492" i="10"/>
  <c r="C5492" i="10"/>
  <c r="B5492" i="10"/>
  <c r="A5492" i="10"/>
  <c r="E5491" i="10"/>
  <c r="D5491" i="10"/>
  <c r="C5491" i="10"/>
  <c r="B5491" i="10"/>
  <c r="A5491" i="10"/>
  <c r="E5490" i="10"/>
  <c r="D5490" i="10"/>
  <c r="C5490" i="10"/>
  <c r="B5490" i="10"/>
  <c r="A5490" i="10"/>
  <c r="E5489" i="10"/>
  <c r="D5489" i="10"/>
  <c r="C5489" i="10"/>
  <c r="B5489" i="10"/>
  <c r="A5489" i="10"/>
  <c r="E5488" i="10"/>
  <c r="D5488" i="10"/>
  <c r="C5488" i="10"/>
  <c r="B5488" i="10"/>
  <c r="A5488" i="10"/>
  <c r="E5487" i="10"/>
  <c r="D5487" i="10"/>
  <c r="C5487" i="10"/>
  <c r="B5487" i="10"/>
  <c r="A5487" i="10"/>
  <c r="E5486" i="10"/>
  <c r="D5486" i="10"/>
  <c r="C5486" i="10"/>
  <c r="B5486" i="10"/>
  <c r="A5486" i="10"/>
  <c r="E5485" i="10"/>
  <c r="D5485" i="10"/>
  <c r="C5485" i="10"/>
  <c r="B5485" i="10"/>
  <c r="A5485" i="10"/>
  <c r="E5484" i="10"/>
  <c r="D5484" i="10"/>
  <c r="C5484" i="10"/>
  <c r="B5484" i="10"/>
  <c r="A5484" i="10"/>
  <c r="E5483" i="10"/>
  <c r="D5483" i="10"/>
  <c r="C5483" i="10"/>
  <c r="B5483" i="10"/>
  <c r="A5483" i="10"/>
  <c r="E5482" i="10"/>
  <c r="D5482" i="10"/>
  <c r="C5482" i="10"/>
  <c r="B5482" i="10"/>
  <c r="A5482" i="10"/>
  <c r="E5481" i="10"/>
  <c r="D5481" i="10"/>
  <c r="C5481" i="10"/>
  <c r="B5481" i="10"/>
  <c r="A5481" i="10"/>
  <c r="E5480" i="10"/>
  <c r="D5480" i="10"/>
  <c r="C5480" i="10"/>
  <c r="B5480" i="10"/>
  <c r="A5480" i="10"/>
  <c r="E5479" i="10"/>
  <c r="D5479" i="10"/>
  <c r="C5479" i="10"/>
  <c r="B5479" i="10"/>
  <c r="A5479" i="10"/>
  <c r="E5478" i="10"/>
  <c r="D5478" i="10"/>
  <c r="C5478" i="10"/>
  <c r="B5478" i="10"/>
  <c r="A5478" i="10"/>
  <c r="E5477" i="10"/>
  <c r="D5477" i="10"/>
  <c r="C5477" i="10"/>
  <c r="B5477" i="10"/>
  <c r="A5477" i="10"/>
  <c r="E5476" i="10"/>
  <c r="D5476" i="10"/>
  <c r="C5476" i="10"/>
  <c r="B5476" i="10"/>
  <c r="A5476" i="10"/>
  <c r="E5475" i="10"/>
  <c r="D5475" i="10"/>
  <c r="C5475" i="10"/>
  <c r="B5475" i="10"/>
  <c r="A5475" i="10"/>
  <c r="E5474" i="10"/>
  <c r="D5474" i="10"/>
  <c r="C5474" i="10"/>
  <c r="B5474" i="10"/>
  <c r="A5474" i="10"/>
  <c r="E5473" i="10"/>
  <c r="D5473" i="10"/>
  <c r="C5473" i="10"/>
  <c r="B5473" i="10"/>
  <c r="A5473" i="10"/>
  <c r="E5472" i="10"/>
  <c r="D5472" i="10"/>
  <c r="C5472" i="10"/>
  <c r="B5472" i="10"/>
  <c r="A5472" i="10"/>
  <c r="E5471" i="10"/>
  <c r="D5471" i="10"/>
  <c r="C5471" i="10"/>
  <c r="B5471" i="10"/>
  <c r="A5471" i="10"/>
  <c r="E5470" i="10"/>
  <c r="D5470" i="10"/>
  <c r="C5470" i="10"/>
  <c r="B5470" i="10"/>
  <c r="A5470" i="10"/>
  <c r="E5469" i="10"/>
  <c r="D5469" i="10"/>
  <c r="C5469" i="10"/>
  <c r="B5469" i="10"/>
  <c r="A5469" i="10"/>
  <c r="E5468" i="10"/>
  <c r="D5468" i="10"/>
  <c r="C5468" i="10"/>
  <c r="B5468" i="10"/>
  <c r="A5468" i="10"/>
  <c r="E5467" i="10"/>
  <c r="D5467" i="10"/>
  <c r="C5467" i="10"/>
  <c r="B5467" i="10"/>
  <c r="A5467" i="10"/>
  <c r="E5466" i="10"/>
  <c r="D5466" i="10"/>
  <c r="C5466" i="10"/>
  <c r="B5466" i="10"/>
  <c r="A5466" i="10"/>
  <c r="E5465" i="10"/>
  <c r="D5465" i="10"/>
  <c r="C5465" i="10"/>
  <c r="B5465" i="10"/>
  <c r="A5465" i="10"/>
  <c r="E5464" i="10"/>
  <c r="D5464" i="10"/>
  <c r="C5464" i="10"/>
  <c r="B5464" i="10"/>
  <c r="A5464" i="10"/>
  <c r="E5463" i="10"/>
  <c r="D5463" i="10"/>
  <c r="C5463" i="10"/>
  <c r="B5463" i="10"/>
  <c r="A5463" i="10"/>
  <c r="E5462" i="10"/>
  <c r="D5462" i="10"/>
  <c r="C5462" i="10"/>
  <c r="B5462" i="10"/>
  <c r="A5462" i="10"/>
  <c r="E5461" i="10"/>
  <c r="D5461" i="10"/>
  <c r="C5461" i="10"/>
  <c r="B5461" i="10"/>
  <c r="A5461" i="10"/>
  <c r="E5460" i="10"/>
  <c r="D5460" i="10"/>
  <c r="C5460" i="10"/>
  <c r="B5460" i="10"/>
  <c r="A5460" i="10"/>
  <c r="E5459" i="10"/>
  <c r="D5459" i="10"/>
  <c r="C5459" i="10"/>
  <c r="B5459" i="10"/>
  <c r="A5459" i="10"/>
  <c r="E5458" i="10"/>
  <c r="D5458" i="10"/>
  <c r="C5458" i="10"/>
  <c r="B5458" i="10"/>
  <c r="A5458" i="10"/>
  <c r="E5457" i="10"/>
  <c r="D5457" i="10"/>
  <c r="C5457" i="10"/>
  <c r="B5457" i="10"/>
  <c r="A5457" i="10"/>
  <c r="E5456" i="10"/>
  <c r="D5456" i="10"/>
  <c r="C5456" i="10"/>
  <c r="B5456" i="10"/>
  <c r="A5456" i="10"/>
  <c r="E5455" i="10"/>
  <c r="D5455" i="10"/>
  <c r="C5455" i="10"/>
  <c r="B5455" i="10"/>
  <c r="A5455" i="10"/>
  <c r="E5454" i="10"/>
  <c r="D5454" i="10"/>
  <c r="C5454" i="10"/>
  <c r="B5454" i="10"/>
  <c r="A5454" i="10"/>
  <c r="E5453" i="10"/>
  <c r="D5453" i="10"/>
  <c r="C5453" i="10"/>
  <c r="B5453" i="10"/>
  <c r="A5453" i="10"/>
  <c r="E5452" i="10"/>
  <c r="D5452" i="10"/>
  <c r="C5452" i="10"/>
  <c r="B5452" i="10"/>
  <c r="A5452" i="10"/>
  <c r="E5451" i="10"/>
  <c r="D5451" i="10"/>
  <c r="C5451" i="10"/>
  <c r="B5451" i="10"/>
  <c r="A5451" i="10"/>
  <c r="E5450" i="10"/>
  <c r="D5450" i="10"/>
  <c r="C5450" i="10"/>
  <c r="B5450" i="10"/>
  <c r="A5450" i="10"/>
  <c r="E5449" i="10"/>
  <c r="D5449" i="10"/>
  <c r="C5449" i="10"/>
  <c r="B5449" i="10"/>
  <c r="A5449" i="10"/>
  <c r="E5448" i="10"/>
  <c r="D5448" i="10"/>
  <c r="C5448" i="10"/>
  <c r="B5448" i="10"/>
  <c r="A5448" i="10"/>
  <c r="E5447" i="10"/>
  <c r="D5447" i="10"/>
  <c r="C5447" i="10"/>
  <c r="B5447" i="10"/>
  <c r="A5447" i="10"/>
  <c r="E5446" i="10"/>
  <c r="D5446" i="10"/>
  <c r="C5446" i="10"/>
  <c r="B5446" i="10"/>
  <c r="A5446" i="10"/>
  <c r="E5445" i="10"/>
  <c r="D5445" i="10"/>
  <c r="C5445" i="10"/>
  <c r="B5445" i="10"/>
  <c r="A5445" i="10"/>
  <c r="E5444" i="10"/>
  <c r="D5444" i="10"/>
  <c r="C5444" i="10"/>
  <c r="B5444" i="10"/>
  <c r="A5444" i="10"/>
  <c r="E5443" i="10"/>
  <c r="D5443" i="10"/>
  <c r="C5443" i="10"/>
  <c r="B5443" i="10"/>
  <c r="A5443" i="10"/>
  <c r="E5442" i="10"/>
  <c r="D5442" i="10"/>
  <c r="C5442" i="10"/>
  <c r="B5442" i="10"/>
  <c r="A5442" i="10"/>
  <c r="E5441" i="10"/>
  <c r="D5441" i="10"/>
  <c r="C5441" i="10"/>
  <c r="B5441" i="10"/>
  <c r="A5441" i="10"/>
  <c r="E5440" i="10"/>
  <c r="D5440" i="10"/>
  <c r="C5440" i="10"/>
  <c r="B5440" i="10"/>
  <c r="A5440" i="10"/>
  <c r="E5439" i="10"/>
  <c r="D5439" i="10"/>
  <c r="C5439" i="10"/>
  <c r="B5439" i="10"/>
  <c r="A5439" i="10"/>
  <c r="E5438" i="10"/>
  <c r="D5438" i="10"/>
  <c r="C5438" i="10"/>
  <c r="B5438" i="10"/>
  <c r="A5438" i="10"/>
  <c r="E5437" i="10"/>
  <c r="D5437" i="10"/>
  <c r="C5437" i="10"/>
  <c r="B5437" i="10"/>
  <c r="A5437" i="10"/>
  <c r="E5436" i="10"/>
  <c r="D5436" i="10"/>
  <c r="C5436" i="10"/>
  <c r="B5436" i="10"/>
  <c r="A5436" i="10"/>
  <c r="E5435" i="10"/>
  <c r="D5435" i="10"/>
  <c r="C5435" i="10"/>
  <c r="B5435" i="10"/>
  <c r="A5435" i="10"/>
  <c r="E5434" i="10"/>
  <c r="D5434" i="10"/>
  <c r="C5434" i="10"/>
  <c r="B5434" i="10"/>
  <c r="A5434" i="10"/>
  <c r="E5433" i="10"/>
  <c r="D5433" i="10"/>
  <c r="C5433" i="10"/>
  <c r="B5433" i="10"/>
  <c r="A5433" i="10"/>
  <c r="E5432" i="10"/>
  <c r="D5432" i="10"/>
  <c r="C5432" i="10"/>
  <c r="B5432" i="10"/>
  <c r="A5432" i="10"/>
  <c r="E5431" i="10"/>
  <c r="D5431" i="10"/>
  <c r="C5431" i="10"/>
  <c r="B5431" i="10"/>
  <c r="A5431" i="10"/>
  <c r="E5430" i="10"/>
  <c r="D5430" i="10"/>
  <c r="C5430" i="10"/>
  <c r="B5430" i="10"/>
  <c r="A5430" i="10"/>
  <c r="E5429" i="10"/>
  <c r="D5429" i="10"/>
  <c r="C5429" i="10"/>
  <c r="B5429" i="10"/>
  <c r="A5429" i="10"/>
  <c r="E5428" i="10"/>
  <c r="D5428" i="10"/>
  <c r="C5428" i="10"/>
  <c r="B5428" i="10"/>
  <c r="A5428" i="10"/>
  <c r="E5427" i="10"/>
  <c r="D5427" i="10"/>
  <c r="C5427" i="10"/>
  <c r="B5427" i="10"/>
  <c r="A5427" i="10"/>
  <c r="E5426" i="10"/>
  <c r="D5426" i="10"/>
  <c r="C5426" i="10"/>
  <c r="B5426" i="10"/>
  <c r="A5426" i="10"/>
  <c r="E5425" i="10"/>
  <c r="D5425" i="10"/>
  <c r="C5425" i="10"/>
  <c r="B5425" i="10"/>
  <c r="A5425" i="10"/>
  <c r="E5424" i="10"/>
  <c r="D5424" i="10"/>
  <c r="C5424" i="10"/>
  <c r="B5424" i="10"/>
  <c r="A5424" i="10"/>
  <c r="E5423" i="10"/>
  <c r="D5423" i="10"/>
  <c r="C5423" i="10"/>
  <c r="B5423" i="10"/>
  <c r="A5423" i="10"/>
  <c r="E5422" i="10"/>
  <c r="D5422" i="10"/>
  <c r="C5422" i="10"/>
  <c r="B5422" i="10"/>
  <c r="A5422" i="10"/>
  <c r="E5421" i="10"/>
  <c r="D5421" i="10"/>
  <c r="C5421" i="10"/>
  <c r="B5421" i="10"/>
  <c r="A5421" i="10"/>
  <c r="E5420" i="10"/>
  <c r="D5420" i="10"/>
  <c r="C5420" i="10"/>
  <c r="B5420" i="10"/>
  <c r="A5420" i="10"/>
  <c r="E5419" i="10"/>
  <c r="D5419" i="10"/>
  <c r="C5419" i="10"/>
  <c r="B5419" i="10"/>
  <c r="A5419" i="10"/>
  <c r="E5418" i="10"/>
  <c r="D5418" i="10"/>
  <c r="C5418" i="10"/>
  <c r="B5418" i="10"/>
  <c r="A5418" i="10"/>
  <c r="E5417" i="10"/>
  <c r="D5417" i="10"/>
  <c r="C5417" i="10"/>
  <c r="B5417" i="10"/>
  <c r="A5417" i="10"/>
  <c r="E5416" i="10"/>
  <c r="D5416" i="10"/>
  <c r="C5416" i="10"/>
  <c r="B5416" i="10"/>
  <c r="A5416" i="10"/>
  <c r="E5415" i="10"/>
  <c r="D5415" i="10"/>
  <c r="C5415" i="10"/>
  <c r="B5415" i="10"/>
  <c r="A5415" i="10"/>
  <c r="E5414" i="10"/>
  <c r="D5414" i="10"/>
  <c r="C5414" i="10"/>
  <c r="B5414" i="10"/>
  <c r="A5414" i="10"/>
  <c r="E5413" i="10"/>
  <c r="D5413" i="10"/>
  <c r="C5413" i="10"/>
  <c r="B5413" i="10"/>
  <c r="A5413" i="10"/>
  <c r="E5412" i="10"/>
  <c r="D5412" i="10"/>
  <c r="C5412" i="10"/>
  <c r="B5412" i="10"/>
  <c r="A5412" i="10"/>
  <c r="E5411" i="10"/>
  <c r="D5411" i="10"/>
  <c r="C5411" i="10"/>
  <c r="B5411" i="10"/>
  <c r="A5411" i="10"/>
  <c r="E5410" i="10"/>
  <c r="D5410" i="10"/>
  <c r="C5410" i="10"/>
  <c r="B5410" i="10"/>
  <c r="A5410" i="10"/>
  <c r="E5409" i="10"/>
  <c r="D5409" i="10"/>
  <c r="C5409" i="10"/>
  <c r="B5409" i="10"/>
  <c r="A5409" i="10"/>
  <c r="E5408" i="10"/>
  <c r="D5408" i="10"/>
  <c r="C5408" i="10"/>
  <c r="B5408" i="10"/>
  <c r="A5408" i="10"/>
  <c r="E5407" i="10"/>
  <c r="D5407" i="10"/>
  <c r="C5407" i="10"/>
  <c r="B5407" i="10"/>
  <c r="A5407" i="10"/>
  <c r="E5406" i="10"/>
  <c r="D5406" i="10"/>
  <c r="C5406" i="10"/>
  <c r="B5406" i="10"/>
  <c r="A5406" i="10"/>
  <c r="E5405" i="10"/>
  <c r="D5405" i="10"/>
  <c r="C5405" i="10"/>
  <c r="B5405" i="10"/>
  <c r="A5405" i="10"/>
  <c r="E5404" i="10"/>
  <c r="D5404" i="10"/>
  <c r="C5404" i="10"/>
  <c r="B5404" i="10"/>
  <c r="A5404" i="10"/>
  <c r="E5403" i="10"/>
  <c r="D5403" i="10"/>
  <c r="C5403" i="10"/>
  <c r="B5403" i="10"/>
  <c r="A5403" i="10"/>
  <c r="E5402" i="10"/>
  <c r="D5402" i="10"/>
  <c r="C5402" i="10"/>
  <c r="B5402" i="10"/>
  <c r="A5402" i="10"/>
  <c r="E5401" i="10"/>
  <c r="D5401" i="10"/>
  <c r="C5401" i="10"/>
  <c r="B5401" i="10"/>
  <c r="A5401" i="10"/>
  <c r="E5400" i="10"/>
  <c r="D5400" i="10"/>
  <c r="C5400" i="10"/>
  <c r="B5400" i="10"/>
  <c r="A5400" i="10"/>
  <c r="E5399" i="10"/>
  <c r="D5399" i="10"/>
  <c r="C5399" i="10"/>
  <c r="B5399" i="10"/>
  <c r="A5399" i="10"/>
  <c r="E5398" i="10"/>
  <c r="D5398" i="10"/>
  <c r="C5398" i="10"/>
  <c r="B5398" i="10"/>
  <c r="A5398" i="10"/>
  <c r="E5397" i="10"/>
  <c r="D5397" i="10"/>
  <c r="C5397" i="10"/>
  <c r="B5397" i="10"/>
  <c r="A5397" i="10"/>
  <c r="E5396" i="10"/>
  <c r="D5396" i="10"/>
  <c r="C5396" i="10"/>
  <c r="B5396" i="10"/>
  <c r="A5396" i="10"/>
  <c r="E5395" i="10"/>
  <c r="D5395" i="10"/>
  <c r="C5395" i="10"/>
  <c r="B5395" i="10"/>
  <c r="A5395" i="10"/>
  <c r="E5394" i="10"/>
  <c r="D5394" i="10"/>
  <c r="C5394" i="10"/>
  <c r="B5394" i="10"/>
  <c r="A5394" i="10"/>
  <c r="E5393" i="10"/>
  <c r="D5393" i="10"/>
  <c r="C5393" i="10"/>
  <c r="B5393" i="10"/>
  <c r="A5393" i="10"/>
  <c r="E5392" i="10"/>
  <c r="D5392" i="10"/>
  <c r="C5392" i="10"/>
  <c r="B5392" i="10"/>
  <c r="A5392" i="10"/>
  <c r="E5391" i="10"/>
  <c r="D5391" i="10"/>
  <c r="C5391" i="10"/>
  <c r="B5391" i="10"/>
  <c r="A5391" i="10"/>
  <c r="E5390" i="10"/>
  <c r="D5390" i="10"/>
  <c r="C5390" i="10"/>
  <c r="B5390" i="10"/>
  <c r="A5390" i="10"/>
  <c r="E5389" i="10"/>
  <c r="D5389" i="10"/>
  <c r="C5389" i="10"/>
  <c r="B5389" i="10"/>
  <c r="A5389" i="10"/>
  <c r="E5388" i="10"/>
  <c r="D5388" i="10"/>
  <c r="C5388" i="10"/>
  <c r="B5388" i="10"/>
  <c r="A5388" i="10"/>
  <c r="E5387" i="10"/>
  <c r="D5387" i="10"/>
  <c r="C5387" i="10"/>
  <c r="B5387" i="10"/>
  <c r="A5387" i="10"/>
  <c r="E5386" i="10"/>
  <c r="D5386" i="10"/>
  <c r="C5386" i="10"/>
  <c r="B5386" i="10"/>
  <c r="A5386" i="10"/>
  <c r="E5385" i="10"/>
  <c r="D5385" i="10"/>
  <c r="C5385" i="10"/>
  <c r="B5385" i="10"/>
  <c r="A5385" i="10"/>
  <c r="E5384" i="10"/>
  <c r="D5384" i="10"/>
  <c r="C5384" i="10"/>
  <c r="B5384" i="10"/>
  <c r="A5384" i="10"/>
  <c r="E5383" i="10"/>
  <c r="D5383" i="10"/>
  <c r="C5383" i="10"/>
  <c r="B5383" i="10"/>
  <c r="A5383" i="10"/>
  <c r="E5382" i="10"/>
  <c r="D5382" i="10"/>
  <c r="C5382" i="10"/>
  <c r="B5382" i="10"/>
  <c r="A5382" i="10"/>
  <c r="E5381" i="10"/>
  <c r="D5381" i="10"/>
  <c r="C5381" i="10"/>
  <c r="B5381" i="10"/>
  <c r="A5381" i="10"/>
  <c r="E5380" i="10"/>
  <c r="D5380" i="10"/>
  <c r="C5380" i="10"/>
  <c r="B5380" i="10"/>
  <c r="A5380" i="10"/>
  <c r="E5379" i="10"/>
  <c r="D5379" i="10"/>
  <c r="C5379" i="10"/>
  <c r="B5379" i="10"/>
  <c r="A5379" i="10"/>
  <c r="E5378" i="10"/>
  <c r="D5378" i="10"/>
  <c r="C5378" i="10"/>
  <c r="B5378" i="10"/>
  <c r="A5378" i="10"/>
  <c r="E5377" i="10"/>
  <c r="D5377" i="10"/>
  <c r="C5377" i="10"/>
  <c r="B5377" i="10"/>
  <c r="A5377" i="10"/>
  <c r="E5376" i="10"/>
  <c r="D5376" i="10"/>
  <c r="C5376" i="10"/>
  <c r="B5376" i="10"/>
  <c r="A5376" i="10"/>
  <c r="E5375" i="10"/>
  <c r="D5375" i="10"/>
  <c r="C5375" i="10"/>
  <c r="B5375" i="10"/>
  <c r="A5375" i="10"/>
  <c r="E5374" i="10"/>
  <c r="D5374" i="10"/>
  <c r="C5374" i="10"/>
  <c r="B5374" i="10"/>
  <c r="A5374" i="10"/>
  <c r="E5373" i="10"/>
  <c r="D5373" i="10"/>
  <c r="C5373" i="10"/>
  <c r="B5373" i="10"/>
  <c r="A5373" i="10"/>
  <c r="E5372" i="10"/>
  <c r="D5372" i="10"/>
  <c r="C5372" i="10"/>
  <c r="B5372" i="10"/>
  <c r="A5372" i="10"/>
  <c r="E5371" i="10"/>
  <c r="D5371" i="10"/>
  <c r="C5371" i="10"/>
  <c r="B5371" i="10"/>
  <c r="A5371" i="10"/>
  <c r="E5370" i="10"/>
  <c r="D5370" i="10"/>
  <c r="C5370" i="10"/>
  <c r="B5370" i="10"/>
  <c r="A5370" i="10"/>
  <c r="E5369" i="10"/>
  <c r="D5369" i="10"/>
  <c r="C5369" i="10"/>
  <c r="B5369" i="10"/>
  <c r="A5369" i="10"/>
  <c r="E5368" i="10"/>
  <c r="D5368" i="10"/>
  <c r="C5368" i="10"/>
  <c r="B5368" i="10"/>
  <c r="A5368" i="10"/>
  <c r="E5367" i="10"/>
  <c r="D5367" i="10"/>
  <c r="C5367" i="10"/>
  <c r="B5367" i="10"/>
  <c r="A5367" i="10"/>
  <c r="E5366" i="10"/>
  <c r="D5366" i="10"/>
  <c r="C5366" i="10"/>
  <c r="B5366" i="10"/>
  <c r="A5366" i="10"/>
  <c r="E5365" i="10"/>
  <c r="D5365" i="10"/>
  <c r="C5365" i="10"/>
  <c r="B5365" i="10"/>
  <c r="A5365" i="10"/>
  <c r="E5364" i="10"/>
  <c r="D5364" i="10"/>
  <c r="C5364" i="10"/>
  <c r="B5364" i="10"/>
  <c r="A5364" i="10"/>
  <c r="E5363" i="10"/>
  <c r="D5363" i="10"/>
  <c r="C5363" i="10"/>
  <c r="B5363" i="10"/>
  <c r="A5363" i="10"/>
  <c r="E5362" i="10"/>
  <c r="D5362" i="10"/>
  <c r="C5362" i="10"/>
  <c r="B5362" i="10"/>
  <c r="A5362" i="10"/>
  <c r="E5361" i="10"/>
  <c r="D5361" i="10"/>
  <c r="C5361" i="10"/>
  <c r="B5361" i="10"/>
  <c r="A5361" i="10"/>
  <c r="E5360" i="10"/>
  <c r="D5360" i="10"/>
  <c r="C5360" i="10"/>
  <c r="B5360" i="10"/>
  <c r="A5360" i="10"/>
  <c r="E5359" i="10"/>
  <c r="D5359" i="10"/>
  <c r="C5359" i="10"/>
  <c r="B5359" i="10"/>
  <c r="A5359" i="10"/>
  <c r="E5358" i="10"/>
  <c r="D5358" i="10"/>
  <c r="C5358" i="10"/>
  <c r="B5358" i="10"/>
  <c r="A5358" i="10"/>
  <c r="E5357" i="10"/>
  <c r="D5357" i="10"/>
  <c r="C5357" i="10"/>
  <c r="B5357" i="10"/>
  <c r="A5357" i="10"/>
  <c r="E5356" i="10"/>
  <c r="D5356" i="10"/>
  <c r="C5356" i="10"/>
  <c r="B5356" i="10"/>
  <c r="A5356" i="10"/>
  <c r="E5355" i="10"/>
  <c r="D5355" i="10"/>
  <c r="C5355" i="10"/>
  <c r="B5355" i="10"/>
  <c r="A5355" i="10"/>
  <c r="E5354" i="10"/>
  <c r="D5354" i="10"/>
  <c r="C5354" i="10"/>
  <c r="B5354" i="10"/>
  <c r="A5354" i="10"/>
  <c r="E5353" i="10"/>
  <c r="D5353" i="10"/>
  <c r="C5353" i="10"/>
  <c r="B5353" i="10"/>
  <c r="A5353" i="10"/>
  <c r="E5352" i="10"/>
  <c r="D5352" i="10"/>
  <c r="C5352" i="10"/>
  <c r="B5352" i="10"/>
  <c r="A5352" i="10"/>
  <c r="E5351" i="10"/>
  <c r="D5351" i="10"/>
  <c r="C5351" i="10"/>
  <c r="B5351" i="10"/>
  <c r="A5351" i="10"/>
  <c r="E5350" i="10"/>
  <c r="D5350" i="10"/>
  <c r="C5350" i="10"/>
  <c r="B5350" i="10"/>
  <c r="A5350" i="10"/>
  <c r="E5349" i="10"/>
  <c r="D5349" i="10"/>
  <c r="C5349" i="10"/>
  <c r="B5349" i="10"/>
  <c r="A5349" i="10"/>
  <c r="E5348" i="10"/>
  <c r="D5348" i="10"/>
  <c r="C5348" i="10"/>
  <c r="B5348" i="10"/>
  <c r="A5348" i="10"/>
  <c r="E5347" i="10"/>
  <c r="D5347" i="10"/>
  <c r="C5347" i="10"/>
  <c r="B5347" i="10"/>
  <c r="A5347" i="10"/>
  <c r="E5346" i="10"/>
  <c r="D5346" i="10"/>
  <c r="C5346" i="10"/>
  <c r="B5346" i="10"/>
  <c r="A5346" i="10"/>
  <c r="E5345" i="10"/>
  <c r="D5345" i="10"/>
  <c r="C5345" i="10"/>
  <c r="B5345" i="10"/>
  <c r="A5345" i="10"/>
  <c r="E5344" i="10"/>
  <c r="D5344" i="10"/>
  <c r="C5344" i="10"/>
  <c r="B5344" i="10"/>
  <c r="A5344" i="10"/>
  <c r="E5343" i="10"/>
  <c r="D5343" i="10"/>
  <c r="C5343" i="10"/>
  <c r="B5343" i="10"/>
  <c r="A5343" i="10"/>
  <c r="E5342" i="10"/>
  <c r="D5342" i="10"/>
  <c r="C5342" i="10"/>
  <c r="B5342" i="10"/>
  <c r="A5342" i="10"/>
  <c r="E5341" i="10"/>
  <c r="D5341" i="10"/>
  <c r="C5341" i="10"/>
  <c r="B5341" i="10"/>
  <c r="A5341" i="10"/>
  <c r="E5340" i="10"/>
  <c r="D5340" i="10"/>
  <c r="C5340" i="10"/>
  <c r="B5340" i="10"/>
  <c r="A5340" i="10"/>
  <c r="E5339" i="10"/>
  <c r="D5339" i="10"/>
  <c r="C5339" i="10"/>
  <c r="B5339" i="10"/>
  <c r="A5339" i="10"/>
  <c r="E5338" i="10"/>
  <c r="D5338" i="10"/>
  <c r="C5338" i="10"/>
  <c r="B5338" i="10"/>
  <c r="A5338" i="10"/>
  <c r="E5337" i="10"/>
  <c r="D5337" i="10"/>
  <c r="C5337" i="10"/>
  <c r="B5337" i="10"/>
  <c r="A5337" i="10"/>
  <c r="E5336" i="10"/>
  <c r="D5336" i="10"/>
  <c r="C5336" i="10"/>
  <c r="B5336" i="10"/>
  <c r="A5336" i="10"/>
  <c r="E5335" i="10"/>
  <c r="D5335" i="10"/>
  <c r="C5335" i="10"/>
  <c r="B5335" i="10"/>
  <c r="A5335" i="10"/>
  <c r="E5334" i="10"/>
  <c r="D5334" i="10"/>
  <c r="C5334" i="10"/>
  <c r="B5334" i="10"/>
  <c r="A5334" i="10"/>
  <c r="E5333" i="10"/>
  <c r="D5333" i="10"/>
  <c r="C5333" i="10"/>
  <c r="B5333" i="10"/>
  <c r="A5333" i="10"/>
  <c r="E5332" i="10"/>
  <c r="D5332" i="10"/>
  <c r="C5332" i="10"/>
  <c r="B5332" i="10"/>
  <c r="A5332" i="10"/>
  <c r="E5331" i="10"/>
  <c r="D5331" i="10"/>
  <c r="C5331" i="10"/>
  <c r="B5331" i="10"/>
  <c r="A5331" i="10"/>
  <c r="E5330" i="10"/>
  <c r="D5330" i="10"/>
  <c r="C5330" i="10"/>
  <c r="B5330" i="10"/>
  <c r="A5330" i="10"/>
  <c r="E5329" i="10"/>
  <c r="D5329" i="10"/>
  <c r="C5329" i="10"/>
  <c r="B5329" i="10"/>
  <c r="A5329" i="10"/>
  <c r="E5328" i="10"/>
  <c r="D5328" i="10"/>
  <c r="C5328" i="10"/>
  <c r="B5328" i="10"/>
  <c r="A5328" i="10"/>
  <c r="E5327" i="10"/>
  <c r="D5327" i="10"/>
  <c r="C5327" i="10"/>
  <c r="B5327" i="10"/>
  <c r="A5327" i="10"/>
  <c r="E5326" i="10"/>
  <c r="D5326" i="10"/>
  <c r="C5326" i="10"/>
  <c r="B5326" i="10"/>
  <c r="A5326" i="10"/>
  <c r="E5325" i="10"/>
  <c r="D5325" i="10"/>
  <c r="C5325" i="10"/>
  <c r="B5325" i="10"/>
  <c r="A5325" i="10"/>
  <c r="E5324" i="10"/>
  <c r="D5324" i="10"/>
  <c r="C5324" i="10"/>
  <c r="B5324" i="10"/>
  <c r="A5324" i="10"/>
  <c r="E5323" i="10"/>
  <c r="D5323" i="10"/>
  <c r="C5323" i="10"/>
  <c r="B5323" i="10"/>
  <c r="A5323" i="10"/>
  <c r="E5322" i="10"/>
  <c r="D5322" i="10"/>
  <c r="C5322" i="10"/>
  <c r="B5322" i="10"/>
  <c r="A5322" i="10"/>
  <c r="E5321" i="10"/>
  <c r="D5321" i="10"/>
  <c r="C5321" i="10"/>
  <c r="B5321" i="10"/>
  <c r="A5321" i="10"/>
  <c r="E5320" i="10"/>
  <c r="D5320" i="10"/>
  <c r="C5320" i="10"/>
  <c r="B5320" i="10"/>
  <c r="A5320" i="10"/>
  <c r="E5319" i="10"/>
  <c r="D5319" i="10"/>
  <c r="C5319" i="10"/>
  <c r="B5319" i="10"/>
  <c r="A5319" i="10"/>
  <c r="E5318" i="10"/>
  <c r="D5318" i="10"/>
  <c r="C5318" i="10"/>
  <c r="B5318" i="10"/>
  <c r="A5318" i="10"/>
  <c r="E5317" i="10"/>
  <c r="D5317" i="10"/>
  <c r="C5317" i="10"/>
  <c r="B5317" i="10"/>
  <c r="A5317" i="10"/>
  <c r="E5316" i="10"/>
  <c r="D5316" i="10"/>
  <c r="C5316" i="10"/>
  <c r="B5316" i="10"/>
  <c r="A5316" i="10"/>
  <c r="E5315" i="10"/>
  <c r="D5315" i="10"/>
  <c r="C5315" i="10"/>
  <c r="B5315" i="10"/>
  <c r="A5315" i="10"/>
  <c r="E5314" i="10"/>
  <c r="D5314" i="10"/>
  <c r="C5314" i="10"/>
  <c r="B5314" i="10"/>
  <c r="A5314" i="10"/>
  <c r="E5313" i="10"/>
  <c r="D5313" i="10"/>
  <c r="C5313" i="10"/>
  <c r="B5313" i="10"/>
  <c r="A5313" i="10"/>
  <c r="E5312" i="10"/>
  <c r="D5312" i="10"/>
  <c r="C5312" i="10"/>
  <c r="B5312" i="10"/>
  <c r="A5312" i="10"/>
  <c r="E5311" i="10"/>
  <c r="D5311" i="10"/>
  <c r="C5311" i="10"/>
  <c r="B5311" i="10"/>
  <c r="A5311" i="10"/>
  <c r="E5310" i="10"/>
  <c r="D5310" i="10"/>
  <c r="C5310" i="10"/>
  <c r="B5310" i="10"/>
  <c r="A5310" i="10"/>
  <c r="E5309" i="10"/>
  <c r="D5309" i="10"/>
  <c r="C5309" i="10"/>
  <c r="B5309" i="10"/>
  <c r="A5309" i="10"/>
  <c r="E5308" i="10"/>
  <c r="D5308" i="10"/>
  <c r="C5308" i="10"/>
  <c r="B5308" i="10"/>
  <c r="A5308" i="10"/>
  <c r="E5307" i="10"/>
  <c r="D5307" i="10"/>
  <c r="C5307" i="10"/>
  <c r="B5307" i="10"/>
  <c r="A5307" i="10"/>
  <c r="E5306" i="10"/>
  <c r="D5306" i="10"/>
  <c r="C5306" i="10"/>
  <c r="B5306" i="10"/>
  <c r="A5306" i="10"/>
  <c r="E5305" i="10"/>
  <c r="D5305" i="10"/>
  <c r="C5305" i="10"/>
  <c r="B5305" i="10"/>
  <c r="A5305" i="10"/>
  <c r="E5304" i="10"/>
  <c r="D5304" i="10"/>
  <c r="C5304" i="10"/>
  <c r="B5304" i="10"/>
  <c r="A5304" i="10"/>
  <c r="E5303" i="10"/>
  <c r="D5303" i="10"/>
  <c r="C5303" i="10"/>
  <c r="B5303" i="10"/>
  <c r="A5303" i="10"/>
  <c r="E5302" i="10"/>
  <c r="D5302" i="10"/>
  <c r="C5302" i="10"/>
  <c r="B5302" i="10"/>
  <c r="A5302" i="10"/>
  <c r="E5301" i="10"/>
  <c r="D5301" i="10"/>
  <c r="C5301" i="10"/>
  <c r="B5301" i="10"/>
  <c r="A5301" i="10"/>
  <c r="E5300" i="10"/>
  <c r="D5300" i="10"/>
  <c r="C5300" i="10"/>
  <c r="B5300" i="10"/>
  <c r="A5300" i="10"/>
  <c r="E5299" i="10"/>
  <c r="D5299" i="10"/>
  <c r="C5299" i="10"/>
  <c r="B5299" i="10"/>
  <c r="A5299" i="10"/>
  <c r="E5298" i="10"/>
  <c r="D5298" i="10"/>
  <c r="C5298" i="10"/>
  <c r="B5298" i="10"/>
  <c r="A5298" i="10"/>
  <c r="E5297" i="10"/>
  <c r="D5297" i="10"/>
  <c r="C5297" i="10"/>
  <c r="B5297" i="10"/>
  <c r="A5297" i="10"/>
  <c r="E5296" i="10"/>
  <c r="D5296" i="10"/>
  <c r="C5296" i="10"/>
  <c r="B5296" i="10"/>
  <c r="A5296" i="10"/>
  <c r="E5295" i="10"/>
  <c r="D5295" i="10"/>
  <c r="C5295" i="10"/>
  <c r="B5295" i="10"/>
  <c r="A5295" i="10"/>
  <c r="E5294" i="10"/>
  <c r="D5294" i="10"/>
  <c r="C5294" i="10"/>
  <c r="B5294" i="10"/>
  <c r="A5294" i="10"/>
  <c r="E5293" i="10"/>
  <c r="D5293" i="10"/>
  <c r="C5293" i="10"/>
  <c r="B5293" i="10"/>
  <c r="A5293" i="10"/>
  <c r="E5292" i="10"/>
  <c r="D5292" i="10"/>
  <c r="C5292" i="10"/>
  <c r="B5292" i="10"/>
  <c r="A5292" i="10"/>
  <c r="E5291" i="10"/>
  <c r="D5291" i="10"/>
  <c r="C5291" i="10"/>
  <c r="B5291" i="10"/>
  <c r="A5291" i="10"/>
  <c r="E5290" i="10"/>
  <c r="D5290" i="10"/>
  <c r="C5290" i="10"/>
  <c r="B5290" i="10"/>
  <c r="A5290" i="10"/>
  <c r="E5289" i="10"/>
  <c r="D5289" i="10"/>
  <c r="C5289" i="10"/>
  <c r="B5289" i="10"/>
  <c r="A5289" i="10"/>
  <c r="E5288" i="10"/>
  <c r="D5288" i="10"/>
  <c r="C5288" i="10"/>
  <c r="B5288" i="10"/>
  <c r="A5288" i="10"/>
  <c r="E5287" i="10"/>
  <c r="D5287" i="10"/>
  <c r="C5287" i="10"/>
  <c r="B5287" i="10"/>
  <c r="A5287" i="10"/>
  <c r="E5286" i="10"/>
  <c r="D5286" i="10"/>
  <c r="C5286" i="10"/>
  <c r="B5286" i="10"/>
  <c r="A5286" i="10"/>
  <c r="E5285" i="10"/>
  <c r="D5285" i="10"/>
  <c r="C5285" i="10"/>
  <c r="B5285" i="10"/>
  <c r="A5285" i="10"/>
  <c r="E5284" i="10"/>
  <c r="D5284" i="10"/>
  <c r="C5284" i="10"/>
  <c r="B5284" i="10"/>
  <c r="A5284" i="10"/>
  <c r="E5283" i="10"/>
  <c r="D5283" i="10"/>
  <c r="C5283" i="10"/>
  <c r="B5283" i="10"/>
  <c r="A5283" i="10"/>
  <c r="E5282" i="10"/>
  <c r="D5282" i="10"/>
  <c r="C5282" i="10"/>
  <c r="B5282" i="10"/>
  <c r="A5282" i="10"/>
  <c r="E5281" i="10"/>
  <c r="D5281" i="10"/>
  <c r="C5281" i="10"/>
  <c r="B5281" i="10"/>
  <c r="A5281" i="10"/>
  <c r="E5280" i="10"/>
  <c r="D5280" i="10"/>
  <c r="C5280" i="10"/>
  <c r="B5280" i="10"/>
  <c r="A5280" i="10"/>
  <c r="E5279" i="10"/>
  <c r="D5279" i="10"/>
  <c r="C5279" i="10"/>
  <c r="B5279" i="10"/>
  <c r="A5279" i="10"/>
  <c r="E5278" i="10"/>
  <c r="D5278" i="10"/>
  <c r="C5278" i="10"/>
  <c r="B5278" i="10"/>
  <c r="A5278" i="10"/>
  <c r="E5277" i="10"/>
  <c r="D5277" i="10"/>
  <c r="C5277" i="10"/>
  <c r="B5277" i="10"/>
  <c r="A5277" i="10"/>
  <c r="E5276" i="10"/>
  <c r="D5276" i="10"/>
  <c r="C5276" i="10"/>
  <c r="B5276" i="10"/>
  <c r="A5276" i="10"/>
  <c r="E5275" i="10"/>
  <c r="D5275" i="10"/>
  <c r="C5275" i="10"/>
  <c r="B5275" i="10"/>
  <c r="A5275" i="10"/>
  <c r="E5274" i="10"/>
  <c r="D5274" i="10"/>
  <c r="C5274" i="10"/>
  <c r="B5274" i="10"/>
  <c r="A5274" i="10"/>
  <c r="E5273" i="10"/>
  <c r="D5273" i="10"/>
  <c r="C5273" i="10"/>
  <c r="B5273" i="10"/>
  <c r="A5273" i="10"/>
  <c r="E5272" i="10"/>
  <c r="D5272" i="10"/>
  <c r="C5272" i="10"/>
  <c r="B5272" i="10"/>
  <c r="A5272" i="10"/>
  <c r="E5271" i="10"/>
  <c r="D5271" i="10"/>
  <c r="C5271" i="10"/>
  <c r="B5271" i="10"/>
  <c r="A5271" i="10"/>
  <c r="E5270" i="10"/>
  <c r="D5270" i="10"/>
  <c r="C5270" i="10"/>
  <c r="B5270" i="10"/>
  <c r="A5270" i="10"/>
  <c r="E5269" i="10"/>
  <c r="D5269" i="10"/>
  <c r="C5269" i="10"/>
  <c r="B5269" i="10"/>
  <c r="A5269" i="10"/>
  <c r="E5268" i="10"/>
  <c r="D5268" i="10"/>
  <c r="C5268" i="10"/>
  <c r="B5268" i="10"/>
  <c r="A5268" i="10"/>
  <c r="E5267" i="10"/>
  <c r="D5267" i="10"/>
  <c r="C5267" i="10"/>
  <c r="B5267" i="10"/>
  <c r="A5267" i="10"/>
  <c r="E5266" i="10"/>
  <c r="D5266" i="10"/>
  <c r="C5266" i="10"/>
  <c r="B5266" i="10"/>
  <c r="A5266" i="10"/>
  <c r="E5265" i="10"/>
  <c r="D5265" i="10"/>
  <c r="C5265" i="10"/>
  <c r="B5265" i="10"/>
  <c r="A5265" i="10"/>
  <c r="E5264" i="10"/>
  <c r="D5264" i="10"/>
  <c r="C5264" i="10"/>
  <c r="B5264" i="10"/>
  <c r="A5264" i="10"/>
  <c r="E5263" i="10"/>
  <c r="D5263" i="10"/>
  <c r="C5263" i="10"/>
  <c r="B5263" i="10"/>
  <c r="A5263" i="10"/>
  <c r="E5262" i="10"/>
  <c r="D5262" i="10"/>
  <c r="C5262" i="10"/>
  <c r="B5262" i="10"/>
  <c r="A5262" i="10"/>
  <c r="E5261" i="10"/>
  <c r="D5261" i="10"/>
  <c r="C5261" i="10"/>
  <c r="B5261" i="10"/>
  <c r="A5261" i="10"/>
  <c r="E5260" i="10"/>
  <c r="D5260" i="10"/>
  <c r="C5260" i="10"/>
  <c r="B5260" i="10"/>
  <c r="A5260" i="10"/>
  <c r="E5259" i="10"/>
  <c r="D5259" i="10"/>
  <c r="C5259" i="10"/>
  <c r="B5259" i="10"/>
  <c r="A5259" i="10"/>
  <c r="E5258" i="10"/>
  <c r="D5258" i="10"/>
  <c r="C5258" i="10"/>
  <c r="B5258" i="10"/>
  <c r="A5258" i="10"/>
  <c r="E5257" i="10"/>
  <c r="D5257" i="10"/>
  <c r="C5257" i="10"/>
  <c r="B5257" i="10"/>
  <c r="A5257" i="10"/>
  <c r="E5256" i="10"/>
  <c r="D5256" i="10"/>
  <c r="C5256" i="10"/>
  <c r="B5256" i="10"/>
  <c r="A5256" i="10"/>
  <c r="E5255" i="10"/>
  <c r="D5255" i="10"/>
  <c r="C5255" i="10"/>
  <c r="B5255" i="10"/>
  <c r="A5255" i="10"/>
  <c r="E5254" i="10"/>
  <c r="D5254" i="10"/>
  <c r="C5254" i="10"/>
  <c r="B5254" i="10"/>
  <c r="A5254" i="10"/>
  <c r="E5253" i="10"/>
  <c r="D5253" i="10"/>
  <c r="C5253" i="10"/>
  <c r="B5253" i="10"/>
  <c r="A5253" i="10"/>
  <c r="E5252" i="10"/>
  <c r="D5252" i="10"/>
  <c r="C5252" i="10"/>
  <c r="B5252" i="10"/>
  <c r="A5252" i="10"/>
  <c r="E5251" i="10"/>
  <c r="D5251" i="10"/>
  <c r="C5251" i="10"/>
  <c r="B5251" i="10"/>
  <c r="A5251" i="10"/>
  <c r="E5250" i="10"/>
  <c r="D5250" i="10"/>
  <c r="C5250" i="10"/>
  <c r="B5250" i="10"/>
  <c r="A5250" i="10"/>
  <c r="E5249" i="10"/>
  <c r="D5249" i="10"/>
  <c r="C5249" i="10"/>
  <c r="B5249" i="10"/>
  <c r="A5249" i="10"/>
  <c r="E5248" i="10"/>
  <c r="D5248" i="10"/>
  <c r="C5248" i="10"/>
  <c r="B5248" i="10"/>
  <c r="A5248" i="10"/>
  <c r="E5247" i="10"/>
  <c r="D5247" i="10"/>
  <c r="C5247" i="10"/>
  <c r="B5247" i="10"/>
  <c r="A5247" i="10"/>
  <c r="E5246" i="10"/>
  <c r="D5246" i="10"/>
  <c r="C5246" i="10"/>
  <c r="B5246" i="10"/>
  <c r="A5246" i="10"/>
  <c r="E5245" i="10"/>
  <c r="D5245" i="10"/>
  <c r="C5245" i="10"/>
  <c r="B5245" i="10"/>
  <c r="A5245" i="10"/>
  <c r="E5244" i="10"/>
  <c r="D5244" i="10"/>
  <c r="C5244" i="10"/>
  <c r="B5244" i="10"/>
  <c r="A5244" i="10"/>
  <c r="E5243" i="10"/>
  <c r="D5243" i="10"/>
  <c r="C5243" i="10"/>
  <c r="B5243" i="10"/>
  <c r="A5243" i="10"/>
  <c r="E5242" i="10"/>
  <c r="D5242" i="10"/>
  <c r="C5242" i="10"/>
  <c r="B5242" i="10"/>
  <c r="A5242" i="10"/>
  <c r="E5241" i="10"/>
  <c r="D5241" i="10"/>
  <c r="C5241" i="10"/>
  <c r="B5241" i="10"/>
  <c r="A5241" i="10"/>
  <c r="E5240" i="10"/>
  <c r="D5240" i="10"/>
  <c r="C5240" i="10"/>
  <c r="B5240" i="10"/>
  <c r="A5240" i="10"/>
  <c r="E5239" i="10"/>
  <c r="D5239" i="10"/>
  <c r="C5239" i="10"/>
  <c r="B5239" i="10"/>
  <c r="A5239" i="10"/>
  <c r="E5238" i="10"/>
  <c r="D5238" i="10"/>
  <c r="C5238" i="10"/>
  <c r="B5238" i="10"/>
  <c r="A5238" i="10"/>
  <c r="E5237" i="10"/>
  <c r="D5237" i="10"/>
  <c r="C5237" i="10"/>
  <c r="B5237" i="10"/>
  <c r="A5237" i="10"/>
  <c r="E5236" i="10"/>
  <c r="D5236" i="10"/>
  <c r="C5236" i="10"/>
  <c r="B5236" i="10"/>
  <c r="A5236" i="10"/>
  <c r="E5235" i="10"/>
  <c r="D5235" i="10"/>
  <c r="C5235" i="10"/>
  <c r="B5235" i="10"/>
  <c r="A5235" i="10"/>
  <c r="E5234" i="10"/>
  <c r="D5234" i="10"/>
  <c r="C5234" i="10"/>
  <c r="B5234" i="10"/>
  <c r="A5234" i="10"/>
  <c r="E5233" i="10"/>
  <c r="D5233" i="10"/>
  <c r="C5233" i="10"/>
  <c r="B5233" i="10"/>
  <c r="A5233" i="10"/>
  <c r="E5232" i="10"/>
  <c r="D5232" i="10"/>
  <c r="C5232" i="10"/>
  <c r="B5232" i="10"/>
  <c r="A5232" i="10"/>
  <c r="E5231" i="10"/>
  <c r="D5231" i="10"/>
  <c r="C5231" i="10"/>
  <c r="B5231" i="10"/>
  <c r="A5231" i="10"/>
  <c r="E5230" i="10"/>
  <c r="D5230" i="10"/>
  <c r="C5230" i="10"/>
  <c r="B5230" i="10"/>
  <c r="A5230" i="10"/>
  <c r="E5229" i="10"/>
  <c r="D5229" i="10"/>
  <c r="C5229" i="10"/>
  <c r="B5229" i="10"/>
  <c r="A5229" i="10"/>
  <c r="E5228" i="10"/>
  <c r="D5228" i="10"/>
  <c r="C5228" i="10"/>
  <c r="B5228" i="10"/>
  <c r="A5228" i="10"/>
  <c r="E5227" i="10"/>
  <c r="D5227" i="10"/>
  <c r="C5227" i="10"/>
  <c r="B5227" i="10"/>
  <c r="A5227" i="10"/>
  <c r="E5226" i="10"/>
  <c r="D5226" i="10"/>
  <c r="C5226" i="10"/>
  <c r="B5226" i="10"/>
  <c r="A5226" i="10"/>
  <c r="E5225" i="10"/>
  <c r="D5225" i="10"/>
  <c r="C5225" i="10"/>
  <c r="B5225" i="10"/>
  <c r="A5225" i="10"/>
  <c r="E5224" i="10"/>
  <c r="D5224" i="10"/>
  <c r="C5224" i="10"/>
  <c r="B5224" i="10"/>
  <c r="A5224" i="10"/>
  <c r="E5223" i="10"/>
  <c r="D5223" i="10"/>
  <c r="C5223" i="10"/>
  <c r="B5223" i="10"/>
  <c r="A5223" i="10"/>
  <c r="E5222" i="10"/>
  <c r="D5222" i="10"/>
  <c r="C5222" i="10"/>
  <c r="B5222" i="10"/>
  <c r="A5222" i="10"/>
  <c r="E5221" i="10"/>
  <c r="D5221" i="10"/>
  <c r="C5221" i="10"/>
  <c r="B5221" i="10"/>
  <c r="A5221" i="10"/>
  <c r="E5220" i="10"/>
  <c r="D5220" i="10"/>
  <c r="C5220" i="10"/>
  <c r="B5220" i="10"/>
  <c r="A5220" i="10"/>
  <c r="E5219" i="10"/>
  <c r="D5219" i="10"/>
  <c r="C5219" i="10"/>
  <c r="B5219" i="10"/>
  <c r="A5219" i="10"/>
  <c r="E5218" i="10"/>
  <c r="D5218" i="10"/>
  <c r="C5218" i="10"/>
  <c r="B5218" i="10"/>
  <c r="A5218" i="10"/>
  <c r="E5217" i="10"/>
  <c r="D5217" i="10"/>
  <c r="C5217" i="10"/>
  <c r="B5217" i="10"/>
  <c r="A5217" i="10"/>
  <c r="E5216" i="10"/>
  <c r="D5216" i="10"/>
  <c r="C5216" i="10"/>
  <c r="B5216" i="10"/>
  <c r="A5216" i="10"/>
  <c r="E5215" i="10"/>
  <c r="D5215" i="10"/>
  <c r="C5215" i="10"/>
  <c r="B5215" i="10"/>
  <c r="A5215" i="10"/>
  <c r="E5214" i="10"/>
  <c r="D5214" i="10"/>
  <c r="C5214" i="10"/>
  <c r="B5214" i="10"/>
  <c r="A5214" i="10"/>
  <c r="E5213" i="10"/>
  <c r="D5213" i="10"/>
  <c r="C5213" i="10"/>
  <c r="B5213" i="10"/>
  <c r="A5213" i="10"/>
  <c r="E5212" i="10"/>
  <c r="D5212" i="10"/>
  <c r="C5212" i="10"/>
  <c r="B5212" i="10"/>
  <c r="A5212" i="10"/>
  <c r="E5211" i="10"/>
  <c r="D5211" i="10"/>
  <c r="C5211" i="10"/>
  <c r="B5211" i="10"/>
  <c r="A5211" i="10"/>
  <c r="E5210" i="10"/>
  <c r="D5210" i="10"/>
  <c r="C5210" i="10"/>
  <c r="B5210" i="10"/>
  <c r="A5210" i="10"/>
  <c r="E5209" i="10"/>
  <c r="D5209" i="10"/>
  <c r="C5209" i="10"/>
  <c r="B5209" i="10"/>
  <c r="A5209" i="10"/>
  <c r="E5208" i="10"/>
  <c r="D5208" i="10"/>
  <c r="C5208" i="10"/>
  <c r="B5208" i="10"/>
  <c r="A5208" i="10"/>
  <c r="E5207" i="10"/>
  <c r="D5207" i="10"/>
  <c r="C5207" i="10"/>
  <c r="B5207" i="10"/>
  <c r="A5207" i="10"/>
  <c r="E5206" i="10"/>
  <c r="D5206" i="10"/>
  <c r="C5206" i="10"/>
  <c r="B5206" i="10"/>
  <c r="A5206" i="10"/>
  <c r="E5205" i="10"/>
  <c r="D5205" i="10"/>
  <c r="C5205" i="10"/>
  <c r="B5205" i="10"/>
  <c r="A5205" i="10"/>
  <c r="E5204" i="10"/>
  <c r="D5204" i="10"/>
  <c r="C5204" i="10"/>
  <c r="B5204" i="10"/>
  <c r="A5204" i="10"/>
  <c r="E5203" i="10"/>
  <c r="D5203" i="10"/>
  <c r="C5203" i="10"/>
  <c r="B5203" i="10"/>
  <c r="A5203" i="10"/>
  <c r="E5202" i="10"/>
  <c r="D5202" i="10"/>
  <c r="C5202" i="10"/>
  <c r="B5202" i="10"/>
  <c r="A5202" i="10"/>
  <c r="E5201" i="10"/>
  <c r="D5201" i="10"/>
  <c r="C5201" i="10"/>
  <c r="B5201" i="10"/>
  <c r="A5201" i="10"/>
  <c r="E5200" i="10"/>
  <c r="D5200" i="10"/>
  <c r="C5200" i="10"/>
  <c r="B5200" i="10"/>
  <c r="A5200" i="10"/>
  <c r="E5199" i="10"/>
  <c r="D5199" i="10"/>
  <c r="C5199" i="10"/>
  <c r="B5199" i="10"/>
  <c r="A5199" i="10"/>
  <c r="E5198" i="10"/>
  <c r="D5198" i="10"/>
  <c r="C5198" i="10"/>
  <c r="B5198" i="10"/>
  <c r="A5198" i="10"/>
  <c r="E5197" i="10"/>
  <c r="D5197" i="10"/>
  <c r="C5197" i="10"/>
  <c r="B5197" i="10"/>
  <c r="A5197" i="10"/>
  <c r="E5196" i="10"/>
  <c r="D5196" i="10"/>
  <c r="C5196" i="10"/>
  <c r="B5196" i="10"/>
  <c r="A5196" i="10"/>
  <c r="E5195" i="10"/>
  <c r="D5195" i="10"/>
  <c r="C5195" i="10"/>
  <c r="B5195" i="10"/>
  <c r="A5195" i="10"/>
  <c r="E5194" i="10"/>
  <c r="D5194" i="10"/>
  <c r="C5194" i="10"/>
  <c r="B5194" i="10"/>
  <c r="A5194" i="10"/>
  <c r="E5193" i="10"/>
  <c r="D5193" i="10"/>
  <c r="C5193" i="10"/>
  <c r="B5193" i="10"/>
  <c r="A5193" i="10"/>
  <c r="E5192" i="10"/>
  <c r="D5192" i="10"/>
  <c r="C5192" i="10"/>
  <c r="B5192" i="10"/>
  <c r="A5192" i="10"/>
  <c r="E5191" i="10"/>
  <c r="D5191" i="10"/>
  <c r="C5191" i="10"/>
  <c r="B5191" i="10"/>
  <c r="A5191" i="10"/>
  <c r="E5190" i="10"/>
  <c r="D5190" i="10"/>
  <c r="C5190" i="10"/>
  <c r="B5190" i="10"/>
  <c r="A5190" i="10"/>
  <c r="E5189" i="10"/>
  <c r="D5189" i="10"/>
  <c r="C5189" i="10"/>
  <c r="B5189" i="10"/>
  <c r="A5189" i="10"/>
  <c r="E5188" i="10"/>
  <c r="D5188" i="10"/>
  <c r="C5188" i="10"/>
  <c r="B5188" i="10"/>
  <c r="A5188" i="10"/>
  <c r="E5187" i="10"/>
  <c r="D5187" i="10"/>
  <c r="C5187" i="10"/>
  <c r="B5187" i="10"/>
  <c r="A5187" i="10"/>
  <c r="E5186" i="10"/>
  <c r="D5186" i="10"/>
  <c r="C5186" i="10"/>
  <c r="B5186" i="10"/>
  <c r="A5186" i="10"/>
  <c r="E5185" i="10"/>
  <c r="D5185" i="10"/>
  <c r="C5185" i="10"/>
  <c r="B5185" i="10"/>
  <c r="A5185" i="10"/>
  <c r="E5184" i="10"/>
  <c r="D5184" i="10"/>
  <c r="C5184" i="10"/>
  <c r="B5184" i="10"/>
  <c r="A5184" i="10"/>
  <c r="E5183" i="10"/>
  <c r="D5183" i="10"/>
  <c r="C5183" i="10"/>
  <c r="B5183" i="10"/>
  <c r="A5183" i="10"/>
  <c r="E5182" i="10"/>
  <c r="D5182" i="10"/>
  <c r="C5182" i="10"/>
  <c r="B5182" i="10"/>
  <c r="A5182" i="10"/>
  <c r="E5181" i="10"/>
  <c r="D5181" i="10"/>
  <c r="C5181" i="10"/>
  <c r="B5181" i="10"/>
  <c r="A5181" i="10"/>
  <c r="E5180" i="10"/>
  <c r="D5180" i="10"/>
  <c r="C5180" i="10"/>
  <c r="B5180" i="10"/>
  <c r="A5180" i="10"/>
  <c r="E5179" i="10"/>
  <c r="D5179" i="10"/>
  <c r="C5179" i="10"/>
  <c r="B5179" i="10"/>
  <c r="A5179" i="10"/>
  <c r="E5178" i="10"/>
  <c r="D5178" i="10"/>
  <c r="C5178" i="10"/>
  <c r="B5178" i="10"/>
  <c r="A5178" i="10"/>
  <c r="E5177" i="10"/>
  <c r="D5177" i="10"/>
  <c r="C5177" i="10"/>
  <c r="B5177" i="10"/>
  <c r="A5177" i="10"/>
  <c r="E5176" i="10"/>
  <c r="D5176" i="10"/>
  <c r="C5176" i="10"/>
  <c r="B5176" i="10"/>
  <c r="A5176" i="10"/>
  <c r="E5175" i="10"/>
  <c r="D5175" i="10"/>
  <c r="C5175" i="10"/>
  <c r="B5175" i="10"/>
  <c r="A5175" i="10"/>
  <c r="E5174" i="10"/>
  <c r="D5174" i="10"/>
  <c r="C5174" i="10"/>
  <c r="B5174" i="10"/>
  <c r="A5174" i="10"/>
  <c r="E5173" i="10"/>
  <c r="D5173" i="10"/>
  <c r="C5173" i="10"/>
  <c r="B5173" i="10"/>
  <c r="A5173" i="10"/>
  <c r="E5172" i="10"/>
  <c r="D5172" i="10"/>
  <c r="C5172" i="10"/>
  <c r="B5172" i="10"/>
  <c r="A5172" i="10"/>
  <c r="E5171" i="10"/>
  <c r="D5171" i="10"/>
  <c r="C5171" i="10"/>
  <c r="B5171" i="10"/>
  <c r="A5171" i="10"/>
  <c r="E5170" i="10"/>
  <c r="D5170" i="10"/>
  <c r="C5170" i="10"/>
  <c r="B5170" i="10"/>
  <c r="A5170" i="10"/>
  <c r="E5169" i="10"/>
  <c r="D5169" i="10"/>
  <c r="C5169" i="10"/>
  <c r="B5169" i="10"/>
  <c r="A5169" i="10"/>
  <c r="E5168" i="10"/>
  <c r="D5168" i="10"/>
  <c r="C5168" i="10"/>
  <c r="B5168" i="10"/>
  <c r="A5168" i="10"/>
  <c r="E5167" i="10"/>
  <c r="D5167" i="10"/>
  <c r="C5167" i="10"/>
  <c r="B5167" i="10"/>
  <c r="A5167" i="10"/>
  <c r="E5166" i="10"/>
  <c r="D5166" i="10"/>
  <c r="C5166" i="10"/>
  <c r="B5166" i="10"/>
  <c r="A5166" i="10"/>
  <c r="E5165" i="10"/>
  <c r="D5165" i="10"/>
  <c r="C5165" i="10"/>
  <c r="B5165" i="10"/>
  <c r="A5165" i="10"/>
  <c r="E5164" i="10"/>
  <c r="D5164" i="10"/>
  <c r="C5164" i="10"/>
  <c r="B5164" i="10"/>
  <c r="A5164" i="10"/>
  <c r="E5163" i="10"/>
  <c r="D5163" i="10"/>
  <c r="C5163" i="10"/>
  <c r="B5163" i="10"/>
  <c r="A5163" i="10"/>
  <c r="E5162" i="10"/>
  <c r="D5162" i="10"/>
  <c r="C5162" i="10"/>
  <c r="B5162" i="10"/>
  <c r="A5162" i="10"/>
  <c r="E5161" i="10"/>
  <c r="D5161" i="10"/>
  <c r="C5161" i="10"/>
  <c r="B5161" i="10"/>
  <c r="A5161" i="10"/>
  <c r="E5160" i="10"/>
  <c r="D5160" i="10"/>
  <c r="C5160" i="10"/>
  <c r="B5160" i="10"/>
  <c r="A5160" i="10"/>
  <c r="E5159" i="10"/>
  <c r="D5159" i="10"/>
  <c r="C5159" i="10"/>
  <c r="B5159" i="10"/>
  <c r="A5159" i="10"/>
  <c r="E5158" i="10"/>
  <c r="D5158" i="10"/>
  <c r="C5158" i="10"/>
  <c r="B5158" i="10"/>
  <c r="A5158" i="10"/>
  <c r="E5157" i="10"/>
  <c r="D5157" i="10"/>
  <c r="C5157" i="10"/>
  <c r="B5157" i="10"/>
  <c r="A5157" i="10"/>
  <c r="E5156" i="10"/>
  <c r="D5156" i="10"/>
  <c r="C5156" i="10"/>
  <c r="B5156" i="10"/>
  <c r="A5156" i="10"/>
  <c r="E5155" i="10"/>
  <c r="D5155" i="10"/>
  <c r="C5155" i="10"/>
  <c r="B5155" i="10"/>
  <c r="A5155" i="10"/>
  <c r="E5154" i="10"/>
  <c r="D5154" i="10"/>
  <c r="C5154" i="10"/>
  <c r="B5154" i="10"/>
  <c r="A5154" i="10"/>
  <c r="E5153" i="10"/>
  <c r="D5153" i="10"/>
  <c r="C5153" i="10"/>
  <c r="B5153" i="10"/>
  <c r="A5153" i="10"/>
  <c r="E5152" i="10"/>
  <c r="D5152" i="10"/>
  <c r="C5152" i="10"/>
  <c r="B5152" i="10"/>
  <c r="A5152" i="10"/>
  <c r="E5151" i="10"/>
  <c r="D5151" i="10"/>
  <c r="C5151" i="10"/>
  <c r="B5151" i="10"/>
  <c r="A5151" i="10"/>
  <c r="E5150" i="10"/>
  <c r="D5150" i="10"/>
  <c r="C5150" i="10"/>
  <c r="B5150" i="10"/>
  <c r="A5150" i="10"/>
  <c r="E5149" i="10"/>
  <c r="D5149" i="10"/>
  <c r="C5149" i="10"/>
  <c r="B5149" i="10"/>
  <c r="A5149" i="10"/>
  <c r="E5148" i="10"/>
  <c r="D5148" i="10"/>
  <c r="C5148" i="10"/>
  <c r="B5148" i="10"/>
  <c r="A5148" i="10"/>
  <c r="E5147" i="10"/>
  <c r="D5147" i="10"/>
  <c r="C5147" i="10"/>
  <c r="B5147" i="10"/>
  <c r="A5147" i="10"/>
  <c r="E5146" i="10"/>
  <c r="D5146" i="10"/>
  <c r="C5146" i="10"/>
  <c r="B5146" i="10"/>
  <c r="A5146" i="10"/>
  <c r="E5145" i="10"/>
  <c r="D5145" i="10"/>
  <c r="C5145" i="10"/>
  <c r="B5145" i="10"/>
  <c r="A5145" i="10"/>
  <c r="E5144" i="10"/>
  <c r="D5144" i="10"/>
  <c r="C5144" i="10"/>
  <c r="B5144" i="10"/>
  <c r="A5144" i="10"/>
  <c r="E5143" i="10"/>
  <c r="D5143" i="10"/>
  <c r="C5143" i="10"/>
  <c r="B5143" i="10"/>
  <c r="A5143" i="10"/>
  <c r="E5142" i="10"/>
  <c r="D5142" i="10"/>
  <c r="C5142" i="10"/>
  <c r="B5142" i="10"/>
  <c r="A5142" i="10"/>
  <c r="E5141" i="10"/>
  <c r="D5141" i="10"/>
  <c r="C5141" i="10"/>
  <c r="B5141" i="10"/>
  <c r="A5141" i="10"/>
  <c r="E5140" i="10"/>
  <c r="D5140" i="10"/>
  <c r="C5140" i="10"/>
  <c r="B5140" i="10"/>
  <c r="A5140" i="10"/>
  <c r="E5139" i="10"/>
  <c r="D5139" i="10"/>
  <c r="C5139" i="10"/>
  <c r="B5139" i="10"/>
  <c r="A5139" i="10"/>
  <c r="E5138" i="10"/>
  <c r="D5138" i="10"/>
  <c r="C5138" i="10"/>
  <c r="B5138" i="10"/>
  <c r="A5138" i="10"/>
  <c r="E5137" i="10"/>
  <c r="D5137" i="10"/>
  <c r="C5137" i="10"/>
  <c r="B5137" i="10"/>
  <c r="A5137" i="10"/>
  <c r="E5136" i="10"/>
  <c r="D5136" i="10"/>
  <c r="C5136" i="10"/>
  <c r="B5136" i="10"/>
  <c r="A5136" i="10"/>
  <c r="E5135" i="10"/>
  <c r="D5135" i="10"/>
  <c r="C5135" i="10"/>
  <c r="B5135" i="10"/>
  <c r="A5135" i="10"/>
  <c r="E5134" i="10"/>
  <c r="D5134" i="10"/>
  <c r="C5134" i="10"/>
  <c r="B5134" i="10"/>
  <c r="A5134" i="10"/>
  <c r="E5133" i="10"/>
  <c r="D5133" i="10"/>
  <c r="C5133" i="10"/>
  <c r="B5133" i="10"/>
  <c r="A5133" i="10"/>
  <c r="E5132" i="10"/>
  <c r="D5132" i="10"/>
  <c r="C5132" i="10"/>
  <c r="B5132" i="10"/>
  <c r="A5132" i="10"/>
  <c r="E5131" i="10"/>
  <c r="D5131" i="10"/>
  <c r="C5131" i="10"/>
  <c r="B5131" i="10"/>
  <c r="A5131" i="10"/>
  <c r="E5130" i="10"/>
  <c r="D5130" i="10"/>
  <c r="C5130" i="10"/>
  <c r="B5130" i="10"/>
  <c r="A5130" i="10"/>
  <c r="E5129" i="10"/>
  <c r="D5129" i="10"/>
  <c r="C5129" i="10"/>
  <c r="B5129" i="10"/>
  <c r="A5129" i="10"/>
  <c r="E5128" i="10"/>
  <c r="D5128" i="10"/>
  <c r="C5128" i="10"/>
  <c r="B5128" i="10"/>
  <c r="A5128" i="10"/>
  <c r="E5127" i="10"/>
  <c r="D5127" i="10"/>
  <c r="C5127" i="10"/>
  <c r="B5127" i="10"/>
  <c r="A5127" i="10"/>
  <c r="E5126" i="10"/>
  <c r="D5126" i="10"/>
  <c r="C5126" i="10"/>
  <c r="B5126" i="10"/>
  <c r="A5126" i="10"/>
  <c r="E5125" i="10"/>
  <c r="D5125" i="10"/>
  <c r="C5125" i="10"/>
  <c r="B5125" i="10"/>
  <c r="A5125" i="10"/>
  <c r="E5124" i="10"/>
  <c r="D5124" i="10"/>
  <c r="C5124" i="10"/>
  <c r="B5124" i="10"/>
  <c r="A5124" i="10"/>
  <c r="E5123" i="10"/>
  <c r="D5123" i="10"/>
  <c r="C5123" i="10"/>
  <c r="B5123" i="10"/>
  <c r="A5123" i="10"/>
  <c r="E5122" i="10"/>
  <c r="D5122" i="10"/>
  <c r="C5122" i="10"/>
  <c r="B5122" i="10"/>
  <c r="A5122" i="10"/>
  <c r="E5121" i="10"/>
  <c r="D5121" i="10"/>
  <c r="C5121" i="10"/>
  <c r="B5121" i="10"/>
  <c r="A5121" i="10"/>
  <c r="E5120" i="10"/>
  <c r="D5120" i="10"/>
  <c r="C5120" i="10"/>
  <c r="B5120" i="10"/>
  <c r="A5120" i="10"/>
  <c r="E5119" i="10"/>
  <c r="D5119" i="10"/>
  <c r="C5119" i="10"/>
  <c r="B5119" i="10"/>
  <c r="A5119" i="10"/>
  <c r="E5118" i="10"/>
  <c r="D5118" i="10"/>
  <c r="C5118" i="10"/>
  <c r="B5118" i="10"/>
  <c r="A5118" i="10"/>
  <c r="E5117" i="10"/>
  <c r="D5117" i="10"/>
  <c r="C5117" i="10"/>
  <c r="B5117" i="10"/>
  <c r="A5117" i="10"/>
  <c r="E5116" i="10"/>
  <c r="D5116" i="10"/>
  <c r="C5116" i="10"/>
  <c r="B5116" i="10"/>
  <c r="A5116" i="10"/>
  <c r="E5115" i="10"/>
  <c r="D5115" i="10"/>
  <c r="C5115" i="10"/>
  <c r="B5115" i="10"/>
  <c r="A5115" i="10"/>
  <c r="E5114" i="10"/>
  <c r="D5114" i="10"/>
  <c r="C5114" i="10"/>
  <c r="B5114" i="10"/>
  <c r="A5114" i="10"/>
  <c r="E5113" i="10"/>
  <c r="D5113" i="10"/>
  <c r="C5113" i="10"/>
  <c r="B5113" i="10"/>
  <c r="A5113" i="10"/>
  <c r="E5112" i="10"/>
  <c r="D5112" i="10"/>
  <c r="C5112" i="10"/>
  <c r="B5112" i="10"/>
  <c r="A5112" i="10"/>
  <c r="E5111" i="10"/>
  <c r="D5111" i="10"/>
  <c r="C5111" i="10"/>
  <c r="B5111" i="10"/>
  <c r="A5111" i="10"/>
  <c r="E5110" i="10"/>
  <c r="D5110" i="10"/>
  <c r="C5110" i="10"/>
  <c r="B5110" i="10"/>
  <c r="A5110" i="10"/>
  <c r="E5109" i="10"/>
  <c r="D5109" i="10"/>
  <c r="C5109" i="10"/>
  <c r="B5109" i="10"/>
  <c r="A5109" i="10"/>
  <c r="E5108" i="10"/>
  <c r="D5108" i="10"/>
  <c r="C5108" i="10"/>
  <c r="B5108" i="10"/>
  <c r="A5108" i="10"/>
  <c r="E5107" i="10"/>
  <c r="D5107" i="10"/>
  <c r="C5107" i="10"/>
  <c r="B5107" i="10"/>
  <c r="A5107" i="10"/>
  <c r="E5106" i="10"/>
  <c r="D5106" i="10"/>
  <c r="C5106" i="10"/>
  <c r="B5106" i="10"/>
  <c r="A5106" i="10"/>
  <c r="E5105" i="10"/>
  <c r="D5105" i="10"/>
  <c r="C5105" i="10"/>
  <c r="B5105" i="10"/>
  <c r="A5105" i="10"/>
  <c r="E5104" i="10"/>
  <c r="D5104" i="10"/>
  <c r="C5104" i="10"/>
  <c r="B5104" i="10"/>
  <c r="A5104" i="10"/>
  <c r="E5103" i="10"/>
  <c r="D5103" i="10"/>
  <c r="C5103" i="10"/>
  <c r="B5103" i="10"/>
  <c r="A5103" i="10"/>
  <c r="E5102" i="10"/>
  <c r="D5102" i="10"/>
  <c r="C5102" i="10"/>
  <c r="B5102" i="10"/>
  <c r="A5102" i="10"/>
  <c r="E5101" i="10"/>
  <c r="D5101" i="10"/>
  <c r="C5101" i="10"/>
  <c r="B5101" i="10"/>
  <c r="A5101" i="10"/>
  <c r="E5100" i="10"/>
  <c r="D5100" i="10"/>
  <c r="C5100" i="10"/>
  <c r="B5100" i="10"/>
  <c r="A5100" i="10"/>
  <c r="E5099" i="10"/>
  <c r="D5099" i="10"/>
  <c r="C5099" i="10"/>
  <c r="B5099" i="10"/>
  <c r="A5099" i="10"/>
  <c r="E5098" i="10"/>
  <c r="D5098" i="10"/>
  <c r="C5098" i="10"/>
  <c r="B5098" i="10"/>
  <c r="A5098" i="10"/>
  <c r="E5097" i="10"/>
  <c r="D5097" i="10"/>
  <c r="C5097" i="10"/>
  <c r="B5097" i="10"/>
  <c r="A5097" i="10"/>
  <c r="E5096" i="10"/>
  <c r="D5096" i="10"/>
  <c r="C5096" i="10"/>
  <c r="B5096" i="10"/>
  <c r="A5096" i="10"/>
  <c r="E5095" i="10"/>
  <c r="D5095" i="10"/>
  <c r="C5095" i="10"/>
  <c r="B5095" i="10"/>
  <c r="A5095" i="10"/>
  <c r="E5094" i="10"/>
  <c r="D5094" i="10"/>
  <c r="C5094" i="10"/>
  <c r="B5094" i="10"/>
  <c r="A5094" i="10"/>
  <c r="E5093" i="10"/>
  <c r="D5093" i="10"/>
  <c r="C5093" i="10"/>
  <c r="B5093" i="10"/>
  <c r="A5093" i="10"/>
  <c r="E5092" i="10"/>
  <c r="D5092" i="10"/>
  <c r="C5092" i="10"/>
  <c r="B5092" i="10"/>
  <c r="A5092" i="10"/>
  <c r="E5091" i="10"/>
  <c r="D5091" i="10"/>
  <c r="C5091" i="10"/>
  <c r="B5091" i="10"/>
  <c r="A5091" i="10"/>
  <c r="E5090" i="10"/>
  <c r="D5090" i="10"/>
  <c r="C5090" i="10"/>
  <c r="B5090" i="10"/>
  <c r="A5090" i="10"/>
  <c r="E5089" i="10"/>
  <c r="D5089" i="10"/>
  <c r="C5089" i="10"/>
  <c r="B5089" i="10"/>
  <c r="A5089" i="10"/>
  <c r="E5088" i="10"/>
  <c r="D5088" i="10"/>
  <c r="C5088" i="10"/>
  <c r="B5088" i="10"/>
  <c r="A5088" i="10"/>
  <c r="E5087" i="10"/>
  <c r="D5087" i="10"/>
  <c r="C5087" i="10"/>
  <c r="B5087" i="10"/>
  <c r="A5087" i="10"/>
  <c r="E5086" i="10"/>
  <c r="D5086" i="10"/>
  <c r="C5086" i="10"/>
  <c r="B5086" i="10"/>
  <c r="A5086" i="10"/>
  <c r="E5085" i="10"/>
  <c r="D5085" i="10"/>
  <c r="C5085" i="10"/>
  <c r="B5085" i="10"/>
  <c r="A5085" i="10"/>
  <c r="E5084" i="10"/>
  <c r="D5084" i="10"/>
  <c r="C5084" i="10"/>
  <c r="B5084" i="10"/>
  <c r="A5084" i="10"/>
  <c r="E5083" i="10"/>
  <c r="D5083" i="10"/>
  <c r="C5083" i="10"/>
  <c r="B5083" i="10"/>
  <c r="A5083" i="10"/>
  <c r="E5082" i="10"/>
  <c r="D5082" i="10"/>
  <c r="C5082" i="10"/>
  <c r="B5082" i="10"/>
  <c r="A5082" i="10"/>
  <c r="E5081" i="10"/>
  <c r="D5081" i="10"/>
  <c r="C5081" i="10"/>
  <c r="B5081" i="10"/>
  <c r="A5081" i="10"/>
  <c r="E5080" i="10"/>
  <c r="D5080" i="10"/>
  <c r="C5080" i="10"/>
  <c r="B5080" i="10"/>
  <c r="A5080" i="10"/>
  <c r="E5079" i="10"/>
  <c r="D5079" i="10"/>
  <c r="C5079" i="10"/>
  <c r="B5079" i="10"/>
  <c r="A5079" i="10"/>
  <c r="E5078" i="10"/>
  <c r="D5078" i="10"/>
  <c r="C5078" i="10"/>
  <c r="B5078" i="10"/>
  <c r="A5078" i="10"/>
  <c r="E5077" i="10"/>
  <c r="D5077" i="10"/>
  <c r="C5077" i="10"/>
  <c r="B5077" i="10"/>
  <c r="A5077" i="10"/>
  <c r="E5076" i="10"/>
  <c r="D5076" i="10"/>
  <c r="C5076" i="10"/>
  <c r="B5076" i="10"/>
  <c r="A5076" i="10"/>
  <c r="E5075" i="10"/>
  <c r="D5075" i="10"/>
  <c r="C5075" i="10"/>
  <c r="B5075" i="10"/>
  <c r="A5075" i="10"/>
  <c r="E5074" i="10"/>
  <c r="D5074" i="10"/>
  <c r="C5074" i="10"/>
  <c r="B5074" i="10"/>
  <c r="A5074" i="10"/>
  <c r="E5073" i="10"/>
  <c r="D5073" i="10"/>
  <c r="C5073" i="10"/>
  <c r="B5073" i="10"/>
  <c r="A5073" i="10"/>
  <c r="E5072" i="10"/>
  <c r="D5072" i="10"/>
  <c r="C5072" i="10"/>
  <c r="B5072" i="10"/>
  <c r="A5072" i="10"/>
  <c r="E5071" i="10"/>
  <c r="D5071" i="10"/>
  <c r="C5071" i="10"/>
  <c r="B5071" i="10"/>
  <c r="A5071" i="10"/>
  <c r="E5070" i="10"/>
  <c r="D5070" i="10"/>
  <c r="C5070" i="10"/>
  <c r="B5070" i="10"/>
  <c r="A5070" i="10"/>
  <c r="E5069" i="10"/>
  <c r="D5069" i="10"/>
  <c r="C5069" i="10"/>
  <c r="B5069" i="10"/>
  <c r="A5069" i="10"/>
  <c r="E5068" i="10"/>
  <c r="D5068" i="10"/>
  <c r="C5068" i="10"/>
  <c r="B5068" i="10"/>
  <c r="A5068" i="10"/>
  <c r="E5067" i="10"/>
  <c r="D5067" i="10"/>
  <c r="C5067" i="10"/>
  <c r="B5067" i="10"/>
  <c r="A5067" i="10"/>
  <c r="E5066" i="10"/>
  <c r="D5066" i="10"/>
  <c r="C5066" i="10"/>
  <c r="B5066" i="10"/>
  <c r="A5066" i="10"/>
  <c r="E5065" i="10"/>
  <c r="D5065" i="10"/>
  <c r="C5065" i="10"/>
  <c r="B5065" i="10"/>
  <c r="A5065" i="10"/>
  <c r="E5064" i="10"/>
  <c r="D5064" i="10"/>
  <c r="C5064" i="10"/>
  <c r="B5064" i="10"/>
  <c r="A5064" i="10"/>
  <c r="E5063" i="10"/>
  <c r="D5063" i="10"/>
  <c r="C5063" i="10"/>
  <c r="B5063" i="10"/>
  <c r="A5063" i="10"/>
  <c r="E5062" i="10"/>
  <c r="D5062" i="10"/>
  <c r="C5062" i="10"/>
  <c r="B5062" i="10"/>
  <c r="A5062" i="10"/>
  <c r="E5061" i="10"/>
  <c r="D5061" i="10"/>
  <c r="C5061" i="10"/>
  <c r="B5061" i="10"/>
  <c r="A5061" i="10"/>
  <c r="E5060" i="10"/>
  <c r="D5060" i="10"/>
  <c r="C5060" i="10"/>
  <c r="B5060" i="10"/>
  <c r="A5060" i="10"/>
  <c r="E5059" i="10"/>
  <c r="D5059" i="10"/>
  <c r="C5059" i="10"/>
  <c r="B5059" i="10"/>
  <c r="A5059" i="10"/>
  <c r="E5058" i="10"/>
  <c r="D5058" i="10"/>
  <c r="C5058" i="10"/>
  <c r="B5058" i="10"/>
  <c r="A5058" i="10"/>
  <c r="E5057" i="10"/>
  <c r="D5057" i="10"/>
  <c r="C5057" i="10"/>
  <c r="B5057" i="10"/>
  <c r="A5057" i="10"/>
  <c r="E5056" i="10"/>
  <c r="D5056" i="10"/>
  <c r="C5056" i="10"/>
  <c r="B5056" i="10"/>
  <c r="A5056" i="10"/>
  <c r="E5055" i="10"/>
  <c r="D5055" i="10"/>
  <c r="C5055" i="10"/>
  <c r="B5055" i="10"/>
  <c r="A5055" i="10"/>
  <c r="E5054" i="10"/>
  <c r="D5054" i="10"/>
  <c r="C5054" i="10"/>
  <c r="B5054" i="10"/>
  <c r="A5054" i="10"/>
  <c r="E5053" i="10"/>
  <c r="D5053" i="10"/>
  <c r="C5053" i="10"/>
  <c r="B5053" i="10"/>
  <c r="A5053" i="10"/>
  <c r="E5052" i="10"/>
  <c r="D5052" i="10"/>
  <c r="C5052" i="10"/>
  <c r="B5052" i="10"/>
  <c r="A5052" i="10"/>
  <c r="E5051" i="10"/>
  <c r="D5051" i="10"/>
  <c r="C5051" i="10"/>
  <c r="B5051" i="10"/>
  <c r="A5051" i="10"/>
  <c r="E5050" i="10"/>
  <c r="D5050" i="10"/>
  <c r="C5050" i="10"/>
  <c r="B5050" i="10"/>
  <c r="A5050" i="10"/>
  <c r="E5049" i="10"/>
  <c r="D5049" i="10"/>
  <c r="C5049" i="10"/>
  <c r="B5049" i="10"/>
  <c r="A5049" i="10"/>
  <c r="E5048" i="10"/>
  <c r="D5048" i="10"/>
  <c r="C5048" i="10"/>
  <c r="B5048" i="10"/>
  <c r="A5048" i="10"/>
  <c r="E5047" i="10"/>
  <c r="D5047" i="10"/>
  <c r="C5047" i="10"/>
  <c r="B5047" i="10"/>
  <c r="A5047" i="10"/>
  <c r="E5046" i="10"/>
  <c r="D5046" i="10"/>
  <c r="C5046" i="10"/>
  <c r="B5046" i="10"/>
  <c r="A5046" i="10"/>
  <c r="E5045" i="10"/>
  <c r="D5045" i="10"/>
  <c r="C5045" i="10"/>
  <c r="B5045" i="10"/>
  <c r="A5045" i="10"/>
  <c r="E5044" i="10"/>
  <c r="D5044" i="10"/>
  <c r="C5044" i="10"/>
  <c r="B5044" i="10"/>
  <c r="A5044" i="10"/>
  <c r="E5043" i="10"/>
  <c r="D5043" i="10"/>
  <c r="C5043" i="10"/>
  <c r="B5043" i="10"/>
  <c r="A5043" i="10"/>
  <c r="E5042" i="10"/>
  <c r="D5042" i="10"/>
  <c r="C5042" i="10"/>
  <c r="B5042" i="10"/>
  <c r="A5042" i="10"/>
  <c r="E5041" i="10"/>
  <c r="D5041" i="10"/>
  <c r="C5041" i="10"/>
  <c r="B5041" i="10"/>
  <c r="A5041" i="10"/>
  <c r="E5040" i="10"/>
  <c r="D5040" i="10"/>
  <c r="C5040" i="10"/>
  <c r="B5040" i="10"/>
  <c r="A5040" i="10"/>
  <c r="E5039" i="10"/>
  <c r="D5039" i="10"/>
  <c r="C5039" i="10"/>
  <c r="B5039" i="10"/>
  <c r="A5039" i="10"/>
  <c r="E5038" i="10"/>
  <c r="D5038" i="10"/>
  <c r="C5038" i="10"/>
  <c r="B5038" i="10"/>
  <c r="A5038" i="10"/>
  <c r="E5037" i="10"/>
  <c r="D5037" i="10"/>
  <c r="C5037" i="10"/>
  <c r="B5037" i="10"/>
  <c r="A5037" i="10"/>
  <c r="E5036" i="10"/>
  <c r="D5036" i="10"/>
  <c r="C5036" i="10"/>
  <c r="B5036" i="10"/>
  <c r="A5036" i="10"/>
  <c r="E5035" i="10"/>
  <c r="D5035" i="10"/>
  <c r="C5035" i="10"/>
  <c r="B5035" i="10"/>
  <c r="A5035" i="10"/>
  <c r="E5034" i="10"/>
  <c r="D5034" i="10"/>
  <c r="C5034" i="10"/>
  <c r="B5034" i="10"/>
  <c r="A5034" i="10"/>
  <c r="E5033" i="10"/>
  <c r="D5033" i="10"/>
  <c r="C5033" i="10"/>
  <c r="B5033" i="10"/>
  <c r="A5033" i="10"/>
  <c r="E5032" i="10"/>
  <c r="D5032" i="10"/>
  <c r="C5032" i="10"/>
  <c r="B5032" i="10"/>
  <c r="A5032" i="10"/>
  <c r="E5031" i="10"/>
  <c r="D5031" i="10"/>
  <c r="C5031" i="10"/>
  <c r="B5031" i="10"/>
  <c r="A5031" i="10"/>
  <c r="E5030" i="10"/>
  <c r="D5030" i="10"/>
  <c r="C5030" i="10"/>
  <c r="B5030" i="10"/>
  <c r="A5030" i="10"/>
  <c r="E5029" i="10"/>
  <c r="D5029" i="10"/>
  <c r="C5029" i="10"/>
  <c r="B5029" i="10"/>
  <c r="A5029" i="10"/>
  <c r="E5028" i="10"/>
  <c r="D5028" i="10"/>
  <c r="C5028" i="10"/>
  <c r="B5028" i="10"/>
  <c r="A5028" i="10"/>
  <c r="E5027" i="10"/>
  <c r="D5027" i="10"/>
  <c r="C5027" i="10"/>
  <c r="B5027" i="10"/>
  <c r="A5027" i="10"/>
  <c r="E5026" i="10"/>
  <c r="D5026" i="10"/>
  <c r="C5026" i="10"/>
  <c r="B5026" i="10"/>
  <c r="A5026" i="10"/>
  <c r="E5025" i="10"/>
  <c r="D5025" i="10"/>
  <c r="C5025" i="10"/>
  <c r="B5025" i="10"/>
  <c r="A5025" i="10"/>
  <c r="E5024" i="10"/>
  <c r="D5024" i="10"/>
  <c r="C5024" i="10"/>
  <c r="B5024" i="10"/>
  <c r="A5024" i="10"/>
  <c r="E5023" i="10"/>
  <c r="D5023" i="10"/>
  <c r="C5023" i="10"/>
  <c r="B5023" i="10"/>
  <c r="A5023" i="10"/>
  <c r="E5022" i="10"/>
  <c r="D5022" i="10"/>
  <c r="C5022" i="10"/>
  <c r="B5022" i="10"/>
  <c r="A5022" i="10"/>
  <c r="E5021" i="10"/>
  <c r="D5021" i="10"/>
  <c r="C5021" i="10"/>
  <c r="B5021" i="10"/>
  <c r="A5021" i="10"/>
  <c r="E5020" i="10"/>
  <c r="D5020" i="10"/>
  <c r="C5020" i="10"/>
  <c r="B5020" i="10"/>
  <c r="A5020" i="10"/>
  <c r="E5019" i="10"/>
  <c r="D5019" i="10"/>
  <c r="C5019" i="10"/>
  <c r="B5019" i="10"/>
  <c r="A5019" i="10"/>
  <c r="E5018" i="10"/>
  <c r="D5018" i="10"/>
  <c r="C5018" i="10"/>
  <c r="B5018" i="10"/>
  <c r="A5018" i="10"/>
  <c r="E5017" i="10"/>
  <c r="D5017" i="10"/>
  <c r="C5017" i="10"/>
  <c r="B5017" i="10"/>
  <c r="A5017" i="10"/>
  <c r="E5016" i="10"/>
  <c r="D5016" i="10"/>
  <c r="C5016" i="10"/>
  <c r="B5016" i="10"/>
  <c r="A5016" i="10"/>
  <c r="E5015" i="10"/>
  <c r="D5015" i="10"/>
  <c r="C5015" i="10"/>
  <c r="B5015" i="10"/>
  <c r="A5015" i="10"/>
  <c r="E5014" i="10"/>
  <c r="D5014" i="10"/>
  <c r="C5014" i="10"/>
  <c r="B5014" i="10"/>
  <c r="A5014" i="10"/>
  <c r="E5013" i="10"/>
  <c r="D5013" i="10"/>
  <c r="C5013" i="10"/>
  <c r="B5013" i="10"/>
  <c r="A5013" i="10"/>
  <c r="E5012" i="10"/>
  <c r="D5012" i="10"/>
  <c r="C5012" i="10"/>
  <c r="B5012" i="10"/>
  <c r="A5012" i="10"/>
  <c r="E5011" i="10"/>
  <c r="D5011" i="10"/>
  <c r="C5011" i="10"/>
  <c r="B5011" i="10"/>
  <c r="A5011" i="10"/>
  <c r="E5010" i="10"/>
  <c r="D5010" i="10"/>
  <c r="C5010" i="10"/>
  <c r="B5010" i="10"/>
  <c r="A5010" i="10"/>
  <c r="E5009" i="10"/>
  <c r="D5009" i="10"/>
  <c r="C5009" i="10"/>
  <c r="B5009" i="10"/>
  <c r="A5009" i="10"/>
  <c r="E5008" i="10"/>
  <c r="D5008" i="10"/>
  <c r="C5008" i="10"/>
  <c r="B5008" i="10"/>
  <c r="A5008" i="10"/>
  <c r="E5007" i="10"/>
  <c r="D5007" i="10"/>
  <c r="C5007" i="10"/>
  <c r="B5007" i="10"/>
  <c r="A5007" i="10"/>
  <c r="E5006" i="10"/>
  <c r="D5006" i="10"/>
  <c r="C5006" i="10"/>
  <c r="B5006" i="10"/>
  <c r="A5006" i="10"/>
  <c r="E5005" i="10"/>
  <c r="D5005" i="10"/>
  <c r="C5005" i="10"/>
  <c r="B5005" i="10"/>
  <c r="A5005" i="10"/>
  <c r="E5004" i="10"/>
  <c r="D5004" i="10"/>
  <c r="C5004" i="10"/>
  <c r="B5004" i="10"/>
  <c r="A5004" i="10"/>
  <c r="E5003" i="10"/>
  <c r="D5003" i="10"/>
  <c r="C5003" i="10"/>
  <c r="B5003" i="10"/>
  <c r="A5003" i="10"/>
  <c r="E5002" i="10"/>
  <c r="D5002" i="10"/>
  <c r="C5002" i="10"/>
  <c r="B5002" i="10"/>
  <c r="A5002" i="10"/>
  <c r="E5001" i="10"/>
  <c r="D5001" i="10"/>
  <c r="C5001" i="10"/>
  <c r="B5001" i="10"/>
  <c r="A5001" i="10"/>
  <c r="E5000" i="10"/>
  <c r="D5000" i="10"/>
  <c r="C5000" i="10"/>
  <c r="B5000" i="10"/>
  <c r="A5000" i="10"/>
  <c r="E4999" i="10"/>
  <c r="D4999" i="10"/>
  <c r="C4999" i="10"/>
  <c r="B4999" i="10"/>
  <c r="A4999" i="10"/>
  <c r="E4998" i="10"/>
  <c r="D4998" i="10"/>
  <c r="C4998" i="10"/>
  <c r="B4998" i="10"/>
  <c r="A4998" i="10"/>
  <c r="E4997" i="10"/>
  <c r="D4997" i="10"/>
  <c r="C4997" i="10"/>
  <c r="B4997" i="10"/>
  <c r="A4997" i="10"/>
  <c r="E4996" i="10"/>
  <c r="D4996" i="10"/>
  <c r="C4996" i="10"/>
  <c r="B4996" i="10"/>
  <c r="A4996" i="10"/>
  <c r="E4995" i="10"/>
  <c r="D4995" i="10"/>
  <c r="C4995" i="10"/>
  <c r="B4995" i="10"/>
  <c r="A4995" i="10"/>
  <c r="E4994" i="10"/>
  <c r="D4994" i="10"/>
  <c r="C4994" i="10"/>
  <c r="B4994" i="10"/>
  <c r="A4994" i="10"/>
  <c r="E4993" i="10"/>
  <c r="D4993" i="10"/>
  <c r="C4993" i="10"/>
  <c r="B4993" i="10"/>
  <c r="A4993" i="10"/>
  <c r="E4992" i="10"/>
  <c r="D4992" i="10"/>
  <c r="C4992" i="10"/>
  <c r="B4992" i="10"/>
  <c r="A4992" i="10"/>
  <c r="E4991" i="10"/>
  <c r="D4991" i="10"/>
  <c r="C4991" i="10"/>
  <c r="B4991" i="10"/>
  <c r="A4991" i="10"/>
  <c r="E4990" i="10"/>
  <c r="D4990" i="10"/>
  <c r="C4990" i="10"/>
  <c r="B4990" i="10"/>
  <c r="A4990" i="10"/>
  <c r="E4989" i="10"/>
  <c r="D4989" i="10"/>
  <c r="C4989" i="10"/>
  <c r="B4989" i="10"/>
  <c r="A4989" i="10"/>
  <c r="E4988" i="10"/>
  <c r="D4988" i="10"/>
  <c r="C4988" i="10"/>
  <c r="B4988" i="10"/>
  <c r="A4988" i="10"/>
  <c r="E4987" i="10"/>
  <c r="D4987" i="10"/>
  <c r="C4987" i="10"/>
  <c r="B4987" i="10"/>
  <c r="A4987" i="10"/>
  <c r="E4986" i="10"/>
  <c r="D4986" i="10"/>
  <c r="C4986" i="10"/>
  <c r="B4986" i="10"/>
  <c r="A4986" i="10"/>
  <c r="E4985" i="10"/>
  <c r="D4985" i="10"/>
  <c r="C4985" i="10"/>
  <c r="B4985" i="10"/>
  <c r="A4985" i="10"/>
  <c r="E4984" i="10"/>
  <c r="D4984" i="10"/>
  <c r="C4984" i="10"/>
  <c r="B4984" i="10"/>
  <c r="A4984" i="10"/>
  <c r="E4983" i="10"/>
  <c r="D4983" i="10"/>
  <c r="C4983" i="10"/>
  <c r="B4983" i="10"/>
  <c r="A4983" i="10"/>
  <c r="E4982" i="10"/>
  <c r="D4982" i="10"/>
  <c r="C4982" i="10"/>
  <c r="B4982" i="10"/>
  <c r="A4982" i="10"/>
  <c r="E4981" i="10"/>
  <c r="D4981" i="10"/>
  <c r="C4981" i="10"/>
  <c r="B4981" i="10"/>
  <c r="A4981" i="10"/>
  <c r="E4980" i="10"/>
  <c r="D4980" i="10"/>
  <c r="C4980" i="10"/>
  <c r="B4980" i="10"/>
  <c r="A4980" i="10"/>
  <c r="E4979" i="10"/>
  <c r="D4979" i="10"/>
  <c r="C4979" i="10"/>
  <c r="B4979" i="10"/>
  <c r="A4979" i="10"/>
  <c r="E4978" i="10"/>
  <c r="D4978" i="10"/>
  <c r="C4978" i="10"/>
  <c r="B4978" i="10"/>
  <c r="A4978" i="10"/>
  <c r="E4977" i="10"/>
  <c r="D4977" i="10"/>
  <c r="C4977" i="10"/>
  <c r="B4977" i="10"/>
  <c r="A4977" i="10"/>
  <c r="E4976" i="10"/>
  <c r="D4976" i="10"/>
  <c r="C4976" i="10"/>
  <c r="B4976" i="10"/>
  <c r="A4976" i="10"/>
  <c r="E4975" i="10"/>
  <c r="D4975" i="10"/>
  <c r="C4975" i="10"/>
  <c r="B4975" i="10"/>
  <c r="A4975" i="10"/>
  <c r="E4974" i="10"/>
  <c r="D4974" i="10"/>
  <c r="C4974" i="10"/>
  <c r="B4974" i="10"/>
  <c r="A4974" i="10"/>
  <c r="E4973" i="10"/>
  <c r="D4973" i="10"/>
  <c r="C4973" i="10"/>
  <c r="B4973" i="10"/>
  <c r="A4973" i="10"/>
  <c r="E4972" i="10"/>
  <c r="D4972" i="10"/>
  <c r="C4972" i="10"/>
  <c r="B4972" i="10"/>
  <c r="A4972" i="10"/>
  <c r="E4971" i="10"/>
  <c r="D4971" i="10"/>
  <c r="C4971" i="10"/>
  <c r="B4971" i="10"/>
  <c r="A4971" i="10"/>
  <c r="E4970" i="10"/>
  <c r="D4970" i="10"/>
  <c r="C4970" i="10"/>
  <c r="B4970" i="10"/>
  <c r="A4970" i="10"/>
  <c r="E4969" i="10"/>
  <c r="D4969" i="10"/>
  <c r="C4969" i="10"/>
  <c r="B4969" i="10"/>
  <c r="A4969" i="10"/>
  <c r="E4968" i="10"/>
  <c r="D4968" i="10"/>
  <c r="C4968" i="10"/>
  <c r="B4968" i="10"/>
  <c r="A4968" i="10"/>
  <c r="E4967" i="10"/>
  <c r="D4967" i="10"/>
  <c r="C4967" i="10"/>
  <c r="B4967" i="10"/>
  <c r="A4967" i="10"/>
  <c r="E4966" i="10"/>
  <c r="D4966" i="10"/>
  <c r="C4966" i="10"/>
  <c r="B4966" i="10"/>
  <c r="A4966" i="10"/>
  <c r="E4965" i="10"/>
  <c r="D4965" i="10"/>
  <c r="C4965" i="10"/>
  <c r="B4965" i="10"/>
  <c r="A4965" i="10"/>
  <c r="E4964" i="10"/>
  <c r="D4964" i="10"/>
  <c r="C4964" i="10"/>
  <c r="B4964" i="10"/>
  <c r="A4964" i="10"/>
  <c r="E4963" i="10"/>
  <c r="D4963" i="10"/>
  <c r="C4963" i="10"/>
  <c r="B4963" i="10"/>
  <c r="A4963" i="10"/>
  <c r="E4962" i="10"/>
  <c r="D4962" i="10"/>
  <c r="C4962" i="10"/>
  <c r="B4962" i="10"/>
  <c r="A4962" i="10"/>
  <c r="E4961" i="10"/>
  <c r="D4961" i="10"/>
  <c r="C4961" i="10"/>
  <c r="B4961" i="10"/>
  <c r="A4961" i="10"/>
  <c r="E4960" i="10"/>
  <c r="D4960" i="10"/>
  <c r="C4960" i="10"/>
  <c r="B4960" i="10"/>
  <c r="A4960" i="10"/>
  <c r="E4959" i="10"/>
  <c r="D4959" i="10"/>
  <c r="C4959" i="10"/>
  <c r="B4959" i="10"/>
  <c r="A4959" i="10"/>
  <c r="E4958" i="10"/>
  <c r="D4958" i="10"/>
  <c r="C4958" i="10"/>
  <c r="B4958" i="10"/>
  <c r="A4958" i="10"/>
  <c r="E4957" i="10"/>
  <c r="D4957" i="10"/>
  <c r="C4957" i="10"/>
  <c r="B4957" i="10"/>
  <c r="A4957" i="10"/>
  <c r="E4956" i="10"/>
  <c r="D4956" i="10"/>
  <c r="C4956" i="10"/>
  <c r="B4956" i="10"/>
  <c r="A4956" i="10"/>
  <c r="E4955" i="10"/>
  <c r="D4955" i="10"/>
  <c r="C4955" i="10"/>
  <c r="B4955" i="10"/>
  <c r="A4955" i="10"/>
  <c r="E4954" i="10"/>
  <c r="D4954" i="10"/>
  <c r="C4954" i="10"/>
  <c r="B4954" i="10"/>
  <c r="A4954" i="10"/>
  <c r="E4953" i="10"/>
  <c r="D4953" i="10"/>
  <c r="C4953" i="10"/>
  <c r="B4953" i="10"/>
  <c r="A4953" i="10"/>
  <c r="E4952" i="10"/>
  <c r="D4952" i="10"/>
  <c r="C4952" i="10"/>
  <c r="B4952" i="10"/>
  <c r="A4952" i="10"/>
  <c r="E4951" i="10"/>
  <c r="D4951" i="10"/>
  <c r="C4951" i="10"/>
  <c r="B4951" i="10"/>
  <c r="A4951" i="10"/>
  <c r="E4950" i="10"/>
  <c r="D4950" i="10"/>
  <c r="C4950" i="10"/>
  <c r="B4950" i="10"/>
  <c r="A4950" i="10"/>
  <c r="E4949" i="10"/>
  <c r="D4949" i="10"/>
  <c r="C4949" i="10"/>
  <c r="B4949" i="10"/>
  <c r="A4949" i="10"/>
  <c r="E4948" i="10"/>
  <c r="D4948" i="10"/>
  <c r="C4948" i="10"/>
  <c r="B4948" i="10"/>
  <c r="A4948" i="10"/>
  <c r="E4947" i="10"/>
  <c r="D4947" i="10"/>
  <c r="C4947" i="10"/>
  <c r="B4947" i="10"/>
  <c r="A4947" i="10"/>
  <c r="E4946" i="10"/>
  <c r="D4946" i="10"/>
  <c r="C4946" i="10"/>
  <c r="B4946" i="10"/>
  <c r="A4946" i="10"/>
  <c r="E4945" i="10"/>
  <c r="D4945" i="10"/>
  <c r="C4945" i="10"/>
  <c r="B4945" i="10"/>
  <c r="A4945" i="10"/>
  <c r="E4944" i="10"/>
  <c r="D4944" i="10"/>
  <c r="C4944" i="10"/>
  <c r="B4944" i="10"/>
  <c r="A4944" i="10"/>
  <c r="E4943" i="10"/>
  <c r="D4943" i="10"/>
  <c r="C4943" i="10"/>
  <c r="B4943" i="10"/>
  <c r="A4943" i="10"/>
  <c r="E4942" i="10"/>
  <c r="D4942" i="10"/>
  <c r="C4942" i="10"/>
  <c r="B4942" i="10"/>
  <c r="A4942" i="10"/>
  <c r="E4941" i="10"/>
  <c r="D4941" i="10"/>
  <c r="C4941" i="10"/>
  <c r="B4941" i="10"/>
  <c r="A4941" i="10"/>
  <c r="E4940" i="10"/>
  <c r="D4940" i="10"/>
  <c r="C4940" i="10"/>
  <c r="B4940" i="10"/>
  <c r="A4940" i="10"/>
  <c r="E4939" i="10"/>
  <c r="D4939" i="10"/>
  <c r="C4939" i="10"/>
  <c r="B4939" i="10"/>
  <c r="A4939" i="10"/>
  <c r="E4938" i="10"/>
  <c r="D4938" i="10"/>
  <c r="C4938" i="10"/>
  <c r="B4938" i="10"/>
  <c r="A4938" i="10"/>
  <c r="E4937" i="10"/>
  <c r="D4937" i="10"/>
  <c r="C4937" i="10"/>
  <c r="B4937" i="10"/>
  <c r="A4937" i="10"/>
  <c r="E4936" i="10"/>
  <c r="D4936" i="10"/>
  <c r="C4936" i="10"/>
  <c r="B4936" i="10"/>
  <c r="A4936" i="10"/>
  <c r="E4935" i="10"/>
  <c r="D4935" i="10"/>
  <c r="C4935" i="10"/>
  <c r="B4935" i="10"/>
  <c r="A4935" i="10"/>
  <c r="E4934" i="10"/>
  <c r="D4934" i="10"/>
  <c r="C4934" i="10"/>
  <c r="B4934" i="10"/>
  <c r="A4934" i="10"/>
  <c r="E4933" i="10"/>
  <c r="D4933" i="10"/>
  <c r="C4933" i="10"/>
  <c r="B4933" i="10"/>
  <c r="A4933" i="10"/>
  <c r="E4932" i="10"/>
  <c r="D4932" i="10"/>
  <c r="C4932" i="10"/>
  <c r="B4932" i="10"/>
  <c r="A4932" i="10"/>
  <c r="E4931" i="10"/>
  <c r="D4931" i="10"/>
  <c r="C4931" i="10"/>
  <c r="B4931" i="10"/>
  <c r="A4931" i="10"/>
  <c r="E4930" i="10"/>
  <c r="D4930" i="10"/>
  <c r="C4930" i="10"/>
  <c r="B4930" i="10"/>
  <c r="A4930" i="10"/>
  <c r="E4929" i="10"/>
  <c r="D4929" i="10"/>
  <c r="C4929" i="10"/>
  <c r="B4929" i="10"/>
  <c r="A4929" i="10"/>
  <c r="E4928" i="10"/>
  <c r="D4928" i="10"/>
  <c r="C4928" i="10"/>
  <c r="B4928" i="10"/>
  <c r="A4928" i="10"/>
  <c r="E4927" i="10"/>
  <c r="D4927" i="10"/>
  <c r="C4927" i="10"/>
  <c r="B4927" i="10"/>
  <c r="A4927" i="10"/>
  <c r="E4926" i="10"/>
  <c r="D4926" i="10"/>
  <c r="C4926" i="10"/>
  <c r="B4926" i="10"/>
  <c r="A4926" i="10"/>
  <c r="E4925" i="10"/>
  <c r="D4925" i="10"/>
  <c r="C4925" i="10"/>
  <c r="B4925" i="10"/>
  <c r="A4925" i="10"/>
  <c r="E4924" i="10"/>
  <c r="D4924" i="10"/>
  <c r="C4924" i="10"/>
  <c r="B4924" i="10"/>
  <c r="A4924" i="10"/>
  <c r="E4923" i="10"/>
  <c r="D4923" i="10"/>
  <c r="C4923" i="10"/>
  <c r="B4923" i="10"/>
  <c r="A4923" i="10"/>
  <c r="E4922" i="10"/>
  <c r="D4922" i="10"/>
  <c r="C4922" i="10"/>
  <c r="B4922" i="10"/>
  <c r="A4922" i="10"/>
  <c r="E4921" i="10"/>
  <c r="D4921" i="10"/>
  <c r="C4921" i="10"/>
  <c r="B4921" i="10"/>
  <c r="A4921" i="10"/>
  <c r="E4920" i="10"/>
  <c r="D4920" i="10"/>
  <c r="C4920" i="10"/>
  <c r="B4920" i="10"/>
  <c r="A4920" i="10"/>
  <c r="E4919" i="10"/>
  <c r="D4919" i="10"/>
  <c r="C4919" i="10"/>
  <c r="B4919" i="10"/>
  <c r="A4919" i="10"/>
  <c r="E4918" i="10"/>
  <c r="D4918" i="10"/>
  <c r="C4918" i="10"/>
  <c r="B4918" i="10"/>
  <c r="A4918" i="10"/>
  <c r="E4917" i="10"/>
  <c r="D4917" i="10"/>
  <c r="C4917" i="10"/>
  <c r="B4917" i="10"/>
  <c r="A4917" i="10"/>
  <c r="E4916" i="10"/>
  <c r="D4916" i="10"/>
  <c r="C4916" i="10"/>
  <c r="B4916" i="10"/>
  <c r="A4916" i="10"/>
  <c r="E4915" i="10"/>
  <c r="D4915" i="10"/>
  <c r="C4915" i="10"/>
  <c r="B4915" i="10"/>
  <c r="A4915" i="10"/>
  <c r="E4914" i="10"/>
  <c r="D4914" i="10"/>
  <c r="C4914" i="10"/>
  <c r="B4914" i="10"/>
  <c r="A4914" i="10"/>
  <c r="E4913" i="10"/>
  <c r="D4913" i="10"/>
  <c r="C4913" i="10"/>
  <c r="B4913" i="10"/>
  <c r="A4913" i="10"/>
  <c r="E4912" i="10"/>
  <c r="D4912" i="10"/>
  <c r="C4912" i="10"/>
  <c r="B4912" i="10"/>
  <c r="A4912" i="10"/>
  <c r="E4911" i="10"/>
  <c r="D4911" i="10"/>
  <c r="C4911" i="10"/>
  <c r="B4911" i="10"/>
  <c r="A4911" i="10"/>
  <c r="E4910" i="10"/>
  <c r="D4910" i="10"/>
  <c r="C4910" i="10"/>
  <c r="B4910" i="10"/>
  <c r="A4910" i="10"/>
  <c r="E4909" i="10"/>
  <c r="D4909" i="10"/>
  <c r="C4909" i="10"/>
  <c r="B4909" i="10"/>
  <c r="A4909" i="10"/>
  <c r="E4908" i="10"/>
  <c r="D4908" i="10"/>
  <c r="C4908" i="10"/>
  <c r="B4908" i="10"/>
  <c r="A4908" i="10"/>
  <c r="E4907" i="10"/>
  <c r="D4907" i="10"/>
  <c r="C4907" i="10"/>
  <c r="B4907" i="10"/>
  <c r="A4907" i="10"/>
  <c r="E4906" i="10"/>
  <c r="D4906" i="10"/>
  <c r="C4906" i="10"/>
  <c r="B4906" i="10"/>
  <c r="A4906" i="10"/>
  <c r="E4905" i="10"/>
  <c r="D4905" i="10"/>
  <c r="C4905" i="10"/>
  <c r="B4905" i="10"/>
  <c r="A4905" i="10"/>
  <c r="E4904" i="10"/>
  <c r="D4904" i="10"/>
  <c r="C4904" i="10"/>
  <c r="B4904" i="10"/>
  <c r="A4904" i="10"/>
  <c r="E4903" i="10"/>
  <c r="D4903" i="10"/>
  <c r="C4903" i="10"/>
  <c r="B4903" i="10"/>
  <c r="A4903" i="10"/>
  <c r="E4902" i="10"/>
  <c r="D4902" i="10"/>
  <c r="C4902" i="10"/>
  <c r="B4902" i="10"/>
  <c r="A4902" i="10"/>
  <c r="E4901" i="10"/>
  <c r="D4901" i="10"/>
  <c r="C4901" i="10"/>
  <c r="B4901" i="10"/>
  <c r="A4901" i="10"/>
  <c r="E4900" i="10"/>
  <c r="D4900" i="10"/>
  <c r="C4900" i="10"/>
  <c r="B4900" i="10"/>
  <c r="A4900" i="10"/>
  <c r="E4899" i="10"/>
  <c r="D4899" i="10"/>
  <c r="C4899" i="10"/>
  <c r="B4899" i="10"/>
  <c r="A4899" i="10"/>
  <c r="E4898" i="10"/>
  <c r="D4898" i="10"/>
  <c r="C4898" i="10"/>
  <c r="B4898" i="10"/>
  <c r="A4898" i="10"/>
  <c r="E4897" i="10"/>
  <c r="D4897" i="10"/>
  <c r="C4897" i="10"/>
  <c r="B4897" i="10"/>
  <c r="A4897" i="10"/>
  <c r="E4896" i="10"/>
  <c r="D4896" i="10"/>
  <c r="C4896" i="10"/>
  <c r="B4896" i="10"/>
  <c r="A4896" i="10"/>
  <c r="E4895" i="10"/>
  <c r="D4895" i="10"/>
  <c r="C4895" i="10"/>
  <c r="B4895" i="10"/>
  <c r="A4895" i="10"/>
  <c r="E4894" i="10"/>
  <c r="D4894" i="10"/>
  <c r="C4894" i="10"/>
  <c r="B4894" i="10"/>
  <c r="A4894" i="10"/>
  <c r="E4893" i="10"/>
  <c r="D4893" i="10"/>
  <c r="C4893" i="10"/>
  <c r="B4893" i="10"/>
  <c r="A4893" i="10"/>
  <c r="E4892" i="10"/>
  <c r="D4892" i="10"/>
  <c r="C4892" i="10"/>
  <c r="B4892" i="10"/>
  <c r="A4892" i="10"/>
  <c r="E4891" i="10"/>
  <c r="D4891" i="10"/>
  <c r="C4891" i="10"/>
  <c r="B4891" i="10"/>
  <c r="A4891" i="10"/>
  <c r="E4890" i="10"/>
  <c r="D4890" i="10"/>
  <c r="C4890" i="10"/>
  <c r="B4890" i="10"/>
  <c r="A4890" i="10"/>
  <c r="E4889" i="10"/>
  <c r="D4889" i="10"/>
  <c r="C4889" i="10"/>
  <c r="B4889" i="10"/>
  <c r="A4889" i="10"/>
  <c r="E4888" i="10"/>
  <c r="D4888" i="10"/>
  <c r="C4888" i="10"/>
  <c r="B4888" i="10"/>
  <c r="A4888" i="10"/>
  <c r="E4887" i="10"/>
  <c r="D4887" i="10"/>
  <c r="C4887" i="10"/>
  <c r="B4887" i="10"/>
  <c r="A4887" i="10"/>
  <c r="E4886" i="10"/>
  <c r="D4886" i="10"/>
  <c r="C4886" i="10"/>
  <c r="B4886" i="10"/>
  <c r="A4886" i="10"/>
  <c r="E4885" i="10"/>
  <c r="D4885" i="10"/>
  <c r="C4885" i="10"/>
  <c r="B4885" i="10"/>
  <c r="A4885" i="10"/>
  <c r="E4884" i="10"/>
  <c r="D4884" i="10"/>
  <c r="C4884" i="10"/>
  <c r="B4884" i="10"/>
  <c r="A4884" i="10"/>
  <c r="E4883" i="10"/>
  <c r="D4883" i="10"/>
  <c r="C4883" i="10"/>
  <c r="B4883" i="10"/>
  <c r="A4883" i="10"/>
  <c r="E4882" i="10"/>
  <c r="D4882" i="10"/>
  <c r="C4882" i="10"/>
  <c r="B4882" i="10"/>
  <c r="A4882" i="10"/>
  <c r="E4881" i="10"/>
  <c r="D4881" i="10"/>
  <c r="C4881" i="10"/>
  <c r="B4881" i="10"/>
  <c r="A4881" i="10"/>
  <c r="E4880" i="10"/>
  <c r="D4880" i="10"/>
  <c r="C4880" i="10"/>
  <c r="B4880" i="10"/>
  <c r="A4880" i="10"/>
  <c r="E4879" i="10"/>
  <c r="D4879" i="10"/>
  <c r="C4879" i="10"/>
  <c r="B4879" i="10"/>
  <c r="A4879" i="10"/>
  <c r="E4878" i="10"/>
  <c r="D4878" i="10"/>
  <c r="C4878" i="10"/>
  <c r="B4878" i="10"/>
  <c r="A4878" i="10"/>
  <c r="E4877" i="10"/>
  <c r="D4877" i="10"/>
  <c r="C4877" i="10"/>
  <c r="B4877" i="10"/>
  <c r="A4877" i="10"/>
  <c r="E4876" i="10"/>
  <c r="D4876" i="10"/>
  <c r="C4876" i="10"/>
  <c r="B4876" i="10"/>
  <c r="A4876" i="10"/>
  <c r="E4875" i="10"/>
  <c r="D4875" i="10"/>
  <c r="C4875" i="10"/>
  <c r="B4875" i="10"/>
  <c r="A4875" i="10"/>
  <c r="E4874" i="10"/>
  <c r="D4874" i="10"/>
  <c r="C4874" i="10"/>
  <c r="B4874" i="10"/>
  <c r="A4874" i="10"/>
  <c r="E4873" i="10"/>
  <c r="D4873" i="10"/>
  <c r="C4873" i="10"/>
  <c r="B4873" i="10"/>
  <c r="A4873" i="10"/>
  <c r="E4872" i="10"/>
  <c r="D4872" i="10"/>
  <c r="C4872" i="10"/>
  <c r="B4872" i="10"/>
  <c r="A4872" i="10"/>
  <c r="E4871" i="10"/>
  <c r="D4871" i="10"/>
  <c r="C4871" i="10"/>
  <c r="B4871" i="10"/>
  <c r="A4871" i="10"/>
  <c r="E4870" i="10"/>
  <c r="D4870" i="10"/>
  <c r="C4870" i="10"/>
  <c r="B4870" i="10"/>
  <c r="A4870" i="10"/>
  <c r="E4869" i="10"/>
  <c r="D4869" i="10"/>
  <c r="C4869" i="10"/>
  <c r="B4869" i="10"/>
  <c r="A4869" i="10"/>
  <c r="E4868" i="10"/>
  <c r="D4868" i="10"/>
  <c r="C4868" i="10"/>
  <c r="B4868" i="10"/>
  <c r="A4868" i="10"/>
  <c r="E4867" i="10"/>
  <c r="D4867" i="10"/>
  <c r="C4867" i="10"/>
  <c r="B4867" i="10"/>
  <c r="A4867" i="10"/>
  <c r="E4866" i="10"/>
  <c r="D4866" i="10"/>
  <c r="C4866" i="10"/>
  <c r="B4866" i="10"/>
  <c r="A4866" i="10"/>
  <c r="E4865" i="10"/>
  <c r="D4865" i="10"/>
  <c r="C4865" i="10"/>
  <c r="B4865" i="10"/>
  <c r="A4865" i="10"/>
  <c r="E4864" i="10"/>
  <c r="D4864" i="10"/>
  <c r="C4864" i="10"/>
  <c r="B4864" i="10"/>
  <c r="A4864" i="10"/>
  <c r="E4863" i="10"/>
  <c r="D4863" i="10"/>
  <c r="C4863" i="10"/>
  <c r="B4863" i="10"/>
  <c r="A4863" i="10"/>
  <c r="E4862" i="10"/>
  <c r="D4862" i="10"/>
  <c r="C4862" i="10"/>
  <c r="B4862" i="10"/>
  <c r="A4862" i="10"/>
  <c r="E4861" i="10"/>
  <c r="D4861" i="10"/>
  <c r="C4861" i="10"/>
  <c r="B4861" i="10"/>
  <c r="A4861" i="10"/>
  <c r="E4860" i="10"/>
  <c r="D4860" i="10"/>
  <c r="C4860" i="10"/>
  <c r="B4860" i="10"/>
  <c r="A4860" i="10"/>
  <c r="E4859" i="10"/>
  <c r="D4859" i="10"/>
  <c r="C4859" i="10"/>
  <c r="B4859" i="10"/>
  <c r="A4859" i="10"/>
  <c r="E4858" i="10"/>
  <c r="D4858" i="10"/>
  <c r="C4858" i="10"/>
  <c r="B4858" i="10"/>
  <c r="A4858" i="10"/>
  <c r="E4857" i="10"/>
  <c r="D4857" i="10"/>
  <c r="C4857" i="10"/>
  <c r="B4857" i="10"/>
  <c r="A4857" i="10"/>
  <c r="E4856" i="10"/>
  <c r="D4856" i="10"/>
  <c r="C4856" i="10"/>
  <c r="B4856" i="10"/>
  <c r="A4856" i="10"/>
  <c r="E4855" i="10"/>
  <c r="D4855" i="10"/>
  <c r="C4855" i="10"/>
  <c r="B4855" i="10"/>
  <c r="A4855" i="10"/>
  <c r="E4854" i="10"/>
  <c r="D4854" i="10"/>
  <c r="C4854" i="10"/>
  <c r="B4854" i="10"/>
  <c r="A4854" i="10"/>
  <c r="E4853" i="10"/>
  <c r="D4853" i="10"/>
  <c r="C4853" i="10"/>
  <c r="B4853" i="10"/>
  <c r="A4853" i="10"/>
  <c r="E4852" i="10"/>
  <c r="D4852" i="10"/>
  <c r="C4852" i="10"/>
  <c r="B4852" i="10"/>
  <c r="A4852" i="10"/>
  <c r="E4851" i="10"/>
  <c r="D4851" i="10"/>
  <c r="C4851" i="10"/>
  <c r="B4851" i="10"/>
  <c r="A4851" i="10"/>
  <c r="E4850" i="10"/>
  <c r="D4850" i="10"/>
  <c r="C4850" i="10"/>
  <c r="B4850" i="10"/>
  <c r="A4850" i="10"/>
  <c r="E4849" i="10"/>
  <c r="D4849" i="10"/>
  <c r="C4849" i="10"/>
  <c r="B4849" i="10"/>
  <c r="A4849" i="10"/>
  <c r="E4848" i="10"/>
  <c r="D4848" i="10"/>
  <c r="C4848" i="10"/>
  <c r="B4848" i="10"/>
  <c r="A4848" i="10"/>
  <c r="E4847" i="10"/>
  <c r="D4847" i="10"/>
  <c r="C4847" i="10"/>
  <c r="B4847" i="10"/>
  <c r="A4847" i="10"/>
  <c r="E4846" i="10"/>
  <c r="D4846" i="10"/>
  <c r="C4846" i="10"/>
  <c r="B4846" i="10"/>
  <c r="A4846" i="10"/>
  <c r="E4845" i="10"/>
  <c r="D4845" i="10"/>
  <c r="C4845" i="10"/>
  <c r="B4845" i="10"/>
  <c r="A4845" i="10"/>
  <c r="E4844" i="10"/>
  <c r="D4844" i="10"/>
  <c r="C4844" i="10"/>
  <c r="B4844" i="10"/>
  <c r="A4844" i="10"/>
  <c r="E4843" i="10"/>
  <c r="D4843" i="10"/>
  <c r="C4843" i="10"/>
  <c r="B4843" i="10"/>
  <c r="A4843" i="10"/>
  <c r="E4842" i="10"/>
  <c r="D4842" i="10"/>
  <c r="C4842" i="10"/>
  <c r="B4842" i="10"/>
  <c r="A4842" i="10"/>
  <c r="E4841" i="10"/>
  <c r="D4841" i="10"/>
  <c r="C4841" i="10"/>
  <c r="B4841" i="10"/>
  <c r="A4841" i="10"/>
  <c r="E4840" i="10"/>
  <c r="D4840" i="10"/>
  <c r="C4840" i="10"/>
  <c r="B4840" i="10"/>
  <c r="A4840" i="10"/>
  <c r="E4839" i="10"/>
  <c r="D4839" i="10"/>
  <c r="C4839" i="10"/>
  <c r="B4839" i="10"/>
  <c r="A4839" i="10"/>
  <c r="E4838" i="10"/>
  <c r="D4838" i="10"/>
  <c r="C4838" i="10"/>
  <c r="B4838" i="10"/>
  <c r="A4838" i="10"/>
  <c r="E4837" i="10"/>
  <c r="D4837" i="10"/>
  <c r="C4837" i="10"/>
  <c r="B4837" i="10"/>
  <c r="A4837" i="10"/>
  <c r="E4836" i="10"/>
  <c r="D4836" i="10"/>
  <c r="C4836" i="10"/>
  <c r="B4836" i="10"/>
  <c r="A4836" i="10"/>
  <c r="E4835" i="10"/>
  <c r="D4835" i="10"/>
  <c r="C4835" i="10"/>
  <c r="B4835" i="10"/>
  <c r="A4835" i="10"/>
  <c r="E4834" i="10"/>
  <c r="D4834" i="10"/>
  <c r="C4834" i="10"/>
  <c r="B4834" i="10"/>
  <c r="A4834" i="10"/>
  <c r="E4833" i="10"/>
  <c r="D4833" i="10"/>
  <c r="C4833" i="10"/>
  <c r="B4833" i="10"/>
  <c r="A4833" i="10"/>
  <c r="E4832" i="10"/>
  <c r="D4832" i="10"/>
  <c r="C4832" i="10"/>
  <c r="B4832" i="10"/>
  <c r="A4832" i="10"/>
  <c r="E4831" i="10"/>
  <c r="D4831" i="10"/>
  <c r="C4831" i="10"/>
  <c r="B4831" i="10"/>
  <c r="A4831" i="10"/>
  <c r="E4830" i="10"/>
  <c r="D4830" i="10"/>
  <c r="C4830" i="10"/>
  <c r="B4830" i="10"/>
  <c r="A4830" i="10"/>
  <c r="E4829" i="10"/>
  <c r="D4829" i="10"/>
  <c r="C4829" i="10"/>
  <c r="B4829" i="10"/>
  <c r="A4829" i="10"/>
  <c r="E4828" i="10"/>
  <c r="D4828" i="10"/>
  <c r="C4828" i="10"/>
  <c r="B4828" i="10"/>
  <c r="A4828" i="10"/>
  <c r="E4827" i="10"/>
  <c r="D4827" i="10"/>
  <c r="C4827" i="10"/>
  <c r="B4827" i="10"/>
  <c r="A4827" i="10"/>
  <c r="E4826" i="10"/>
  <c r="D4826" i="10"/>
  <c r="C4826" i="10"/>
  <c r="B4826" i="10"/>
  <c r="A4826" i="10"/>
  <c r="E4825" i="10"/>
  <c r="D4825" i="10"/>
  <c r="C4825" i="10"/>
  <c r="B4825" i="10"/>
  <c r="A4825" i="10"/>
  <c r="E4824" i="10"/>
  <c r="D4824" i="10"/>
  <c r="C4824" i="10"/>
  <c r="B4824" i="10"/>
  <c r="A4824" i="10"/>
  <c r="E4823" i="10"/>
  <c r="D4823" i="10"/>
  <c r="C4823" i="10"/>
  <c r="B4823" i="10"/>
  <c r="A4823" i="10"/>
  <c r="E4822" i="10"/>
  <c r="D4822" i="10"/>
  <c r="C4822" i="10"/>
  <c r="B4822" i="10"/>
  <c r="A4822" i="10"/>
  <c r="E4821" i="10"/>
  <c r="D4821" i="10"/>
  <c r="C4821" i="10"/>
  <c r="B4821" i="10"/>
  <c r="A4821" i="10"/>
  <c r="E4820" i="10"/>
  <c r="D4820" i="10"/>
  <c r="C4820" i="10"/>
  <c r="B4820" i="10"/>
  <c r="A4820" i="10"/>
  <c r="E4819" i="10"/>
  <c r="D4819" i="10"/>
  <c r="C4819" i="10"/>
  <c r="B4819" i="10"/>
  <c r="A4819" i="10"/>
  <c r="E4818" i="10"/>
  <c r="D4818" i="10"/>
  <c r="C4818" i="10"/>
  <c r="B4818" i="10"/>
  <c r="A4818" i="10"/>
  <c r="E4817" i="10"/>
  <c r="D4817" i="10"/>
  <c r="C4817" i="10"/>
  <c r="B4817" i="10"/>
  <c r="A4817" i="10"/>
  <c r="E4816" i="10"/>
  <c r="D4816" i="10"/>
  <c r="C4816" i="10"/>
  <c r="B4816" i="10"/>
  <c r="A4816" i="10"/>
  <c r="E4815" i="10"/>
  <c r="D4815" i="10"/>
  <c r="C4815" i="10"/>
  <c r="B4815" i="10"/>
  <c r="A4815" i="10"/>
  <c r="E4814" i="10"/>
  <c r="D4814" i="10"/>
  <c r="C4814" i="10"/>
  <c r="B4814" i="10"/>
  <c r="A4814" i="10"/>
  <c r="E4813" i="10"/>
  <c r="D4813" i="10"/>
  <c r="C4813" i="10"/>
  <c r="B4813" i="10"/>
  <c r="A4813" i="10"/>
  <c r="E4812" i="10"/>
  <c r="D4812" i="10"/>
  <c r="C4812" i="10"/>
  <c r="B4812" i="10"/>
  <c r="A4812" i="10"/>
  <c r="E4811" i="10"/>
  <c r="D4811" i="10"/>
  <c r="C4811" i="10"/>
  <c r="B4811" i="10"/>
  <c r="A4811" i="10"/>
  <c r="E4810" i="10"/>
  <c r="D4810" i="10"/>
  <c r="C4810" i="10"/>
  <c r="B4810" i="10"/>
  <c r="A4810" i="10"/>
  <c r="E4809" i="10"/>
  <c r="D4809" i="10"/>
  <c r="C4809" i="10"/>
  <c r="B4809" i="10"/>
  <c r="A4809" i="10"/>
  <c r="E4808" i="10"/>
  <c r="D4808" i="10"/>
  <c r="C4808" i="10"/>
  <c r="B4808" i="10"/>
  <c r="A4808" i="10"/>
  <c r="E4807" i="10"/>
  <c r="D4807" i="10"/>
  <c r="C4807" i="10"/>
  <c r="B4807" i="10"/>
  <c r="A4807" i="10"/>
  <c r="E4806" i="10"/>
  <c r="D4806" i="10"/>
  <c r="C4806" i="10"/>
  <c r="B4806" i="10"/>
  <c r="A4806" i="10"/>
  <c r="E4805" i="10"/>
  <c r="D4805" i="10"/>
  <c r="C4805" i="10"/>
  <c r="B4805" i="10"/>
  <c r="A4805" i="10"/>
  <c r="E4804" i="10"/>
  <c r="D4804" i="10"/>
  <c r="C4804" i="10"/>
  <c r="B4804" i="10"/>
  <c r="A4804" i="10"/>
  <c r="E4803" i="10"/>
  <c r="D4803" i="10"/>
  <c r="C4803" i="10"/>
  <c r="B4803" i="10"/>
  <c r="A4803" i="10"/>
  <c r="E4802" i="10"/>
  <c r="D4802" i="10"/>
  <c r="C4802" i="10"/>
  <c r="B4802" i="10"/>
  <c r="A4802" i="10"/>
  <c r="E4801" i="10"/>
  <c r="D4801" i="10"/>
  <c r="C4801" i="10"/>
  <c r="B4801" i="10"/>
  <c r="A4801" i="10"/>
  <c r="E4800" i="10"/>
  <c r="D4800" i="10"/>
  <c r="C4800" i="10"/>
  <c r="B4800" i="10"/>
  <c r="A4800" i="10"/>
  <c r="E4799" i="10"/>
  <c r="D4799" i="10"/>
  <c r="C4799" i="10"/>
  <c r="B4799" i="10"/>
  <c r="A4799" i="10"/>
  <c r="E4798" i="10"/>
  <c r="D4798" i="10"/>
  <c r="C4798" i="10"/>
  <c r="B4798" i="10"/>
  <c r="A4798" i="10"/>
  <c r="E4797" i="10"/>
  <c r="D4797" i="10"/>
  <c r="C4797" i="10"/>
  <c r="B4797" i="10"/>
  <c r="A4797" i="10"/>
  <c r="E4796" i="10"/>
  <c r="D4796" i="10"/>
  <c r="C4796" i="10"/>
  <c r="B4796" i="10"/>
  <c r="A4796" i="10"/>
  <c r="E4795" i="10"/>
  <c r="D4795" i="10"/>
  <c r="C4795" i="10"/>
  <c r="B4795" i="10"/>
  <c r="A4795" i="10"/>
  <c r="E4794" i="10"/>
  <c r="D4794" i="10"/>
  <c r="C4794" i="10"/>
  <c r="B4794" i="10"/>
  <c r="A4794" i="10"/>
  <c r="E4793" i="10"/>
  <c r="D4793" i="10"/>
  <c r="C4793" i="10"/>
  <c r="B4793" i="10"/>
  <c r="A4793" i="10"/>
  <c r="E4792" i="10"/>
  <c r="D4792" i="10"/>
  <c r="C4792" i="10"/>
  <c r="B4792" i="10"/>
  <c r="A4792" i="10"/>
  <c r="E4791" i="10"/>
  <c r="D4791" i="10"/>
  <c r="C4791" i="10"/>
  <c r="B4791" i="10"/>
  <c r="A4791" i="10"/>
  <c r="E4790" i="10"/>
  <c r="D4790" i="10"/>
  <c r="C4790" i="10"/>
  <c r="B4790" i="10"/>
  <c r="A4790" i="10"/>
  <c r="E4789" i="10"/>
  <c r="D4789" i="10"/>
  <c r="C4789" i="10"/>
  <c r="B4789" i="10"/>
  <c r="A4789" i="10"/>
  <c r="E4788" i="10"/>
  <c r="D4788" i="10"/>
  <c r="C4788" i="10"/>
  <c r="B4788" i="10"/>
  <c r="A4788" i="10"/>
  <c r="E4787" i="10"/>
  <c r="D4787" i="10"/>
  <c r="C4787" i="10"/>
  <c r="B4787" i="10"/>
  <c r="A4787" i="10"/>
  <c r="E4786" i="10"/>
  <c r="D4786" i="10"/>
  <c r="C4786" i="10"/>
  <c r="B4786" i="10"/>
  <c r="A4786" i="10"/>
  <c r="E4785" i="10"/>
  <c r="D4785" i="10"/>
  <c r="C4785" i="10"/>
  <c r="B4785" i="10"/>
  <c r="A4785" i="10"/>
  <c r="E4784" i="10"/>
  <c r="D4784" i="10"/>
  <c r="C4784" i="10"/>
  <c r="B4784" i="10"/>
  <c r="A4784" i="10"/>
  <c r="E4783" i="10"/>
  <c r="D4783" i="10"/>
  <c r="C4783" i="10"/>
  <c r="B4783" i="10"/>
  <c r="A4783" i="10"/>
  <c r="E4782" i="10"/>
  <c r="D4782" i="10"/>
  <c r="C4782" i="10"/>
  <c r="B4782" i="10"/>
  <c r="A4782" i="10"/>
  <c r="E4781" i="10"/>
  <c r="D4781" i="10"/>
  <c r="C4781" i="10"/>
  <c r="B4781" i="10"/>
  <c r="A4781" i="10"/>
  <c r="E4780" i="10"/>
  <c r="D4780" i="10"/>
  <c r="C4780" i="10"/>
  <c r="B4780" i="10"/>
  <c r="A4780" i="10"/>
  <c r="E4779" i="10"/>
  <c r="D4779" i="10"/>
  <c r="C4779" i="10"/>
  <c r="B4779" i="10"/>
  <c r="A4779" i="10"/>
  <c r="E4778" i="10"/>
  <c r="D4778" i="10"/>
  <c r="C4778" i="10"/>
  <c r="B4778" i="10"/>
  <c r="A4778" i="10"/>
  <c r="E4777" i="10"/>
  <c r="D4777" i="10"/>
  <c r="C4777" i="10"/>
  <c r="B4777" i="10"/>
  <c r="A4777" i="10"/>
  <c r="E4776" i="10"/>
  <c r="D4776" i="10"/>
  <c r="C4776" i="10"/>
  <c r="B4776" i="10"/>
  <c r="A4776" i="10"/>
  <c r="E4775" i="10"/>
  <c r="D4775" i="10"/>
  <c r="C4775" i="10"/>
  <c r="B4775" i="10"/>
  <c r="A4775" i="10"/>
  <c r="E4774" i="10"/>
  <c r="D4774" i="10"/>
  <c r="C4774" i="10"/>
  <c r="B4774" i="10"/>
  <c r="A4774" i="10"/>
  <c r="E4773" i="10"/>
  <c r="D4773" i="10"/>
  <c r="C4773" i="10"/>
  <c r="B4773" i="10"/>
  <c r="A4773" i="10"/>
  <c r="E4772" i="10"/>
  <c r="D4772" i="10"/>
  <c r="C4772" i="10"/>
  <c r="B4772" i="10"/>
  <c r="A4772" i="10"/>
  <c r="E4771" i="10"/>
  <c r="D4771" i="10"/>
  <c r="C4771" i="10"/>
  <c r="B4771" i="10"/>
  <c r="A4771" i="10"/>
  <c r="E4770" i="10"/>
  <c r="D4770" i="10"/>
  <c r="C4770" i="10"/>
  <c r="B4770" i="10"/>
  <c r="A4770" i="10"/>
  <c r="E4769" i="10"/>
  <c r="D4769" i="10"/>
  <c r="C4769" i="10"/>
  <c r="B4769" i="10"/>
  <c r="A4769" i="10"/>
  <c r="E4768" i="10"/>
  <c r="D4768" i="10"/>
  <c r="C4768" i="10"/>
  <c r="B4768" i="10"/>
  <c r="A4768" i="10"/>
  <c r="E4767" i="10"/>
  <c r="D4767" i="10"/>
  <c r="C4767" i="10"/>
  <c r="B4767" i="10"/>
  <c r="A4767" i="10"/>
  <c r="E4766" i="10"/>
  <c r="D4766" i="10"/>
  <c r="C4766" i="10"/>
  <c r="B4766" i="10"/>
  <c r="A4766" i="10"/>
  <c r="E4765" i="10"/>
  <c r="D4765" i="10"/>
  <c r="C4765" i="10"/>
  <c r="B4765" i="10"/>
  <c r="A4765" i="10"/>
  <c r="E4764" i="10"/>
  <c r="D4764" i="10"/>
  <c r="C4764" i="10"/>
  <c r="B4764" i="10"/>
  <c r="A4764" i="10"/>
  <c r="E4763" i="10"/>
  <c r="D4763" i="10"/>
  <c r="C4763" i="10"/>
  <c r="B4763" i="10"/>
  <c r="A4763" i="10"/>
  <c r="E4762" i="10"/>
  <c r="D4762" i="10"/>
  <c r="C4762" i="10"/>
  <c r="B4762" i="10"/>
  <c r="A4762" i="10"/>
  <c r="E4761" i="10"/>
  <c r="D4761" i="10"/>
  <c r="C4761" i="10"/>
  <c r="B4761" i="10"/>
  <c r="A4761" i="10"/>
  <c r="E4760" i="10"/>
  <c r="D4760" i="10"/>
  <c r="C4760" i="10"/>
  <c r="B4760" i="10"/>
  <c r="A4760" i="10"/>
  <c r="E4759" i="10"/>
  <c r="D4759" i="10"/>
  <c r="C4759" i="10"/>
  <c r="B4759" i="10"/>
  <c r="A4759" i="10"/>
  <c r="E4758" i="10"/>
  <c r="D4758" i="10"/>
  <c r="C4758" i="10"/>
  <c r="B4758" i="10"/>
  <c r="A4758" i="10"/>
  <c r="E4757" i="10"/>
  <c r="D4757" i="10"/>
  <c r="C4757" i="10"/>
  <c r="B4757" i="10"/>
  <c r="A4757" i="10"/>
  <c r="E4756" i="10"/>
  <c r="D4756" i="10"/>
  <c r="C4756" i="10"/>
  <c r="B4756" i="10"/>
  <c r="A4756" i="10"/>
  <c r="E4755" i="10"/>
  <c r="D4755" i="10"/>
  <c r="C4755" i="10"/>
  <c r="B4755" i="10"/>
  <c r="A4755" i="10"/>
  <c r="E4754" i="10"/>
  <c r="D4754" i="10"/>
  <c r="C4754" i="10"/>
  <c r="B4754" i="10"/>
  <c r="A4754" i="10"/>
  <c r="E4753" i="10"/>
  <c r="D4753" i="10"/>
  <c r="C4753" i="10"/>
  <c r="B4753" i="10"/>
  <c r="A4753" i="10"/>
  <c r="E4752" i="10"/>
  <c r="D4752" i="10"/>
  <c r="C4752" i="10"/>
  <c r="B4752" i="10"/>
  <c r="A4752" i="10"/>
  <c r="E4751" i="10"/>
  <c r="D4751" i="10"/>
  <c r="C4751" i="10"/>
  <c r="B4751" i="10"/>
  <c r="A4751" i="10"/>
  <c r="E4750" i="10"/>
  <c r="D4750" i="10"/>
  <c r="C4750" i="10"/>
  <c r="B4750" i="10"/>
  <c r="A4750" i="10"/>
  <c r="E4749" i="10"/>
  <c r="D4749" i="10"/>
  <c r="C4749" i="10"/>
  <c r="B4749" i="10"/>
  <c r="A4749" i="10"/>
  <c r="E4748" i="10"/>
  <c r="D4748" i="10"/>
  <c r="C4748" i="10"/>
  <c r="B4748" i="10"/>
  <c r="A4748" i="10"/>
  <c r="E4747" i="10"/>
  <c r="D4747" i="10"/>
  <c r="C4747" i="10"/>
  <c r="B4747" i="10"/>
  <c r="A4747" i="10"/>
  <c r="E4746" i="10"/>
  <c r="D4746" i="10"/>
  <c r="C4746" i="10"/>
  <c r="B4746" i="10"/>
  <c r="A4746" i="10"/>
  <c r="E4745" i="10"/>
  <c r="D4745" i="10"/>
  <c r="C4745" i="10"/>
  <c r="B4745" i="10"/>
  <c r="A4745" i="10"/>
  <c r="E4744" i="10"/>
  <c r="D4744" i="10"/>
  <c r="C4744" i="10"/>
  <c r="B4744" i="10"/>
  <c r="A4744" i="10"/>
  <c r="E4743" i="10"/>
  <c r="D4743" i="10"/>
  <c r="C4743" i="10"/>
  <c r="B4743" i="10"/>
  <c r="A4743" i="10"/>
  <c r="E4742" i="10"/>
  <c r="D4742" i="10"/>
  <c r="C4742" i="10"/>
  <c r="B4742" i="10"/>
  <c r="A4742" i="10"/>
  <c r="E4741" i="10"/>
  <c r="D4741" i="10"/>
  <c r="C4741" i="10"/>
  <c r="B4741" i="10"/>
  <c r="A4741" i="10"/>
  <c r="E4740" i="10"/>
  <c r="D4740" i="10"/>
  <c r="C4740" i="10"/>
  <c r="B4740" i="10"/>
  <c r="A4740" i="10"/>
  <c r="E4739" i="10"/>
  <c r="D4739" i="10"/>
  <c r="C4739" i="10"/>
  <c r="B4739" i="10"/>
  <c r="A4739" i="10"/>
  <c r="E4738" i="10"/>
  <c r="D4738" i="10"/>
  <c r="C4738" i="10"/>
  <c r="B4738" i="10"/>
  <c r="A4738" i="10"/>
  <c r="E4737" i="10"/>
  <c r="D4737" i="10"/>
  <c r="C4737" i="10"/>
  <c r="B4737" i="10"/>
  <c r="A4737" i="10"/>
  <c r="E4736" i="10"/>
  <c r="D4736" i="10"/>
  <c r="C4736" i="10"/>
  <c r="B4736" i="10"/>
  <c r="A4736" i="10"/>
  <c r="E4735" i="10"/>
  <c r="D4735" i="10"/>
  <c r="C4735" i="10"/>
  <c r="B4735" i="10"/>
  <c r="A4735" i="10"/>
  <c r="E4734" i="10"/>
  <c r="D4734" i="10"/>
  <c r="C4734" i="10"/>
  <c r="B4734" i="10"/>
  <c r="A4734" i="10"/>
  <c r="E4733" i="10"/>
  <c r="D4733" i="10"/>
  <c r="C4733" i="10"/>
  <c r="B4733" i="10"/>
  <c r="A4733" i="10"/>
  <c r="E4732" i="10"/>
  <c r="D4732" i="10"/>
  <c r="C4732" i="10"/>
  <c r="B4732" i="10"/>
  <c r="A4732" i="10"/>
  <c r="E4731" i="10"/>
  <c r="D4731" i="10"/>
  <c r="C4731" i="10"/>
  <c r="B4731" i="10"/>
  <c r="A4731" i="10"/>
  <c r="E4730" i="10"/>
  <c r="D4730" i="10"/>
  <c r="C4730" i="10"/>
  <c r="B4730" i="10"/>
  <c r="A4730" i="10"/>
  <c r="E4729" i="10"/>
  <c r="D4729" i="10"/>
  <c r="C4729" i="10"/>
  <c r="B4729" i="10"/>
  <c r="A4729" i="10"/>
  <c r="E4728" i="10"/>
  <c r="D4728" i="10"/>
  <c r="C4728" i="10"/>
  <c r="B4728" i="10"/>
  <c r="A4728" i="10"/>
  <c r="E4727" i="10"/>
  <c r="D4727" i="10"/>
  <c r="C4727" i="10"/>
  <c r="B4727" i="10"/>
  <c r="A4727" i="10"/>
  <c r="E4726" i="10"/>
  <c r="D4726" i="10"/>
  <c r="C4726" i="10"/>
  <c r="B4726" i="10"/>
  <c r="A4726" i="10"/>
  <c r="E4725" i="10"/>
  <c r="D4725" i="10"/>
  <c r="C4725" i="10"/>
  <c r="B4725" i="10"/>
  <c r="A4725" i="10"/>
  <c r="E4724" i="10"/>
  <c r="D4724" i="10"/>
  <c r="C4724" i="10"/>
  <c r="B4724" i="10"/>
  <c r="A4724" i="10"/>
  <c r="E4723" i="10"/>
  <c r="D4723" i="10"/>
  <c r="C4723" i="10"/>
  <c r="B4723" i="10"/>
  <c r="A4723" i="10"/>
  <c r="E4722" i="10"/>
  <c r="D4722" i="10"/>
  <c r="C4722" i="10"/>
  <c r="B4722" i="10"/>
  <c r="A4722" i="10"/>
  <c r="E4721" i="10"/>
  <c r="D4721" i="10"/>
  <c r="C4721" i="10"/>
  <c r="B4721" i="10"/>
  <c r="A4721" i="10"/>
  <c r="E4720" i="10"/>
  <c r="D4720" i="10"/>
  <c r="C4720" i="10"/>
  <c r="B4720" i="10"/>
  <c r="A4720" i="10"/>
  <c r="E4719" i="10"/>
  <c r="D4719" i="10"/>
  <c r="C4719" i="10"/>
  <c r="B4719" i="10"/>
  <c r="A4719" i="10"/>
  <c r="E4718" i="10"/>
  <c r="D4718" i="10"/>
  <c r="C4718" i="10"/>
  <c r="B4718" i="10"/>
  <c r="A4718" i="10"/>
  <c r="E4717" i="10"/>
  <c r="D4717" i="10"/>
  <c r="C4717" i="10"/>
  <c r="B4717" i="10"/>
  <c r="A4717" i="10"/>
  <c r="E4716" i="10"/>
  <c r="D4716" i="10"/>
  <c r="C4716" i="10"/>
  <c r="B4716" i="10"/>
  <c r="A4716" i="10"/>
  <c r="E4715" i="10"/>
  <c r="D4715" i="10"/>
  <c r="C4715" i="10"/>
  <c r="B4715" i="10"/>
  <c r="A4715" i="10"/>
  <c r="E4714" i="10"/>
  <c r="D4714" i="10"/>
  <c r="C4714" i="10"/>
  <c r="B4714" i="10"/>
  <c r="A4714" i="10"/>
  <c r="E4713" i="10"/>
  <c r="D4713" i="10"/>
  <c r="C4713" i="10"/>
  <c r="B4713" i="10"/>
  <c r="A4713" i="10"/>
  <c r="E4712" i="10"/>
  <c r="D4712" i="10"/>
  <c r="C4712" i="10"/>
  <c r="B4712" i="10"/>
  <c r="A4712" i="10"/>
  <c r="E4711" i="10"/>
  <c r="D4711" i="10"/>
  <c r="C4711" i="10"/>
  <c r="B4711" i="10"/>
  <c r="A4711" i="10"/>
  <c r="E4710" i="10"/>
  <c r="D4710" i="10"/>
  <c r="C4710" i="10"/>
  <c r="B4710" i="10"/>
  <c r="A4710" i="10"/>
  <c r="E4709" i="10"/>
  <c r="D4709" i="10"/>
  <c r="C4709" i="10"/>
  <c r="B4709" i="10"/>
  <c r="A4709" i="10"/>
  <c r="E4708" i="10"/>
  <c r="D4708" i="10"/>
  <c r="C4708" i="10"/>
  <c r="B4708" i="10"/>
  <c r="A4708" i="10"/>
  <c r="E4707" i="10"/>
  <c r="D4707" i="10"/>
  <c r="C4707" i="10"/>
  <c r="B4707" i="10"/>
  <c r="A4707" i="10"/>
  <c r="E4706" i="10"/>
  <c r="D4706" i="10"/>
  <c r="C4706" i="10"/>
  <c r="B4706" i="10"/>
  <c r="A4706" i="10"/>
  <c r="E4705" i="10"/>
  <c r="D4705" i="10"/>
  <c r="C4705" i="10"/>
  <c r="B4705" i="10"/>
  <c r="A4705" i="10"/>
  <c r="E4704" i="10"/>
  <c r="D4704" i="10"/>
  <c r="C4704" i="10"/>
  <c r="B4704" i="10"/>
  <c r="A4704" i="10"/>
  <c r="E4703" i="10"/>
  <c r="D4703" i="10"/>
  <c r="C4703" i="10"/>
  <c r="B4703" i="10"/>
  <c r="A4703" i="10"/>
  <c r="E4702" i="10"/>
  <c r="D4702" i="10"/>
  <c r="C4702" i="10"/>
  <c r="B4702" i="10"/>
  <c r="A4702" i="10"/>
  <c r="E4701" i="10"/>
  <c r="D4701" i="10"/>
  <c r="C4701" i="10"/>
  <c r="B4701" i="10"/>
  <c r="A4701" i="10"/>
  <c r="E4700" i="10"/>
  <c r="D4700" i="10"/>
  <c r="C4700" i="10"/>
  <c r="B4700" i="10"/>
  <c r="A4700" i="10"/>
  <c r="E4699" i="10"/>
  <c r="D4699" i="10"/>
  <c r="C4699" i="10"/>
  <c r="B4699" i="10"/>
  <c r="A4699" i="10"/>
  <c r="E4698" i="10"/>
  <c r="D4698" i="10"/>
  <c r="C4698" i="10"/>
  <c r="B4698" i="10"/>
  <c r="A4698" i="10"/>
  <c r="E4697" i="10"/>
  <c r="D4697" i="10"/>
  <c r="C4697" i="10"/>
  <c r="B4697" i="10"/>
  <c r="A4697" i="10"/>
  <c r="E4696" i="10"/>
  <c r="D4696" i="10"/>
  <c r="C4696" i="10"/>
  <c r="B4696" i="10"/>
  <c r="A4696" i="10"/>
  <c r="E4695" i="10"/>
  <c r="D4695" i="10"/>
  <c r="C4695" i="10"/>
  <c r="B4695" i="10"/>
  <c r="A4695" i="10"/>
  <c r="E4694" i="10"/>
  <c r="D4694" i="10"/>
  <c r="C4694" i="10"/>
  <c r="B4694" i="10"/>
  <c r="A4694" i="10"/>
  <c r="E4693" i="10"/>
  <c r="D4693" i="10"/>
  <c r="C4693" i="10"/>
  <c r="B4693" i="10"/>
  <c r="A4693" i="10"/>
  <c r="E4692" i="10"/>
  <c r="D4692" i="10"/>
  <c r="C4692" i="10"/>
  <c r="B4692" i="10"/>
  <c r="A4692" i="10"/>
  <c r="E4691" i="10"/>
  <c r="D4691" i="10"/>
  <c r="C4691" i="10"/>
  <c r="B4691" i="10"/>
  <c r="A4691" i="10"/>
  <c r="E4690" i="10"/>
  <c r="D4690" i="10"/>
  <c r="C4690" i="10"/>
  <c r="B4690" i="10"/>
  <c r="A4690" i="10"/>
  <c r="E4689" i="10"/>
  <c r="D4689" i="10"/>
  <c r="C4689" i="10"/>
  <c r="B4689" i="10"/>
  <c r="A4689" i="10"/>
  <c r="E4688" i="10"/>
  <c r="D4688" i="10"/>
  <c r="C4688" i="10"/>
  <c r="B4688" i="10"/>
  <c r="A4688" i="10"/>
  <c r="E4687" i="10"/>
  <c r="D4687" i="10"/>
  <c r="C4687" i="10"/>
  <c r="B4687" i="10"/>
  <c r="A4687" i="10"/>
  <c r="E4686" i="10"/>
  <c r="D4686" i="10"/>
  <c r="C4686" i="10"/>
  <c r="B4686" i="10"/>
  <c r="A4686" i="10"/>
  <c r="E4685" i="10"/>
  <c r="D4685" i="10"/>
  <c r="C4685" i="10"/>
  <c r="B4685" i="10"/>
  <c r="A4685" i="10"/>
  <c r="E4684" i="10"/>
  <c r="D4684" i="10"/>
  <c r="C4684" i="10"/>
  <c r="B4684" i="10"/>
  <c r="A4684" i="10"/>
  <c r="E4683" i="10"/>
  <c r="D4683" i="10"/>
  <c r="C4683" i="10"/>
  <c r="B4683" i="10"/>
  <c r="A4683" i="10"/>
  <c r="E4682" i="10"/>
  <c r="D4682" i="10"/>
  <c r="C4682" i="10"/>
  <c r="B4682" i="10"/>
  <c r="A4682" i="10"/>
  <c r="E4681" i="10"/>
  <c r="D4681" i="10"/>
  <c r="C4681" i="10"/>
  <c r="B4681" i="10"/>
  <c r="A4681" i="10"/>
  <c r="E4680" i="10"/>
  <c r="D4680" i="10"/>
  <c r="C4680" i="10"/>
  <c r="B4680" i="10"/>
  <c r="A4680" i="10"/>
  <c r="E4679" i="10"/>
  <c r="D4679" i="10"/>
  <c r="C4679" i="10"/>
  <c r="B4679" i="10"/>
  <c r="A4679" i="10"/>
  <c r="E4678" i="10"/>
  <c r="D4678" i="10"/>
  <c r="C4678" i="10"/>
  <c r="B4678" i="10"/>
  <c r="A4678" i="10"/>
  <c r="E4677" i="10"/>
  <c r="D4677" i="10"/>
  <c r="C4677" i="10"/>
  <c r="B4677" i="10"/>
  <c r="A4677" i="10"/>
  <c r="E4676" i="10"/>
  <c r="D4676" i="10"/>
  <c r="C4676" i="10"/>
  <c r="B4676" i="10"/>
  <c r="A4676" i="10"/>
  <c r="E4675" i="10"/>
  <c r="D4675" i="10"/>
  <c r="C4675" i="10"/>
  <c r="B4675" i="10"/>
  <c r="A4675" i="10"/>
  <c r="E4674" i="10"/>
  <c r="D4674" i="10"/>
  <c r="C4674" i="10"/>
  <c r="B4674" i="10"/>
  <c r="A4674" i="10"/>
  <c r="E4673" i="10"/>
  <c r="D4673" i="10"/>
  <c r="C4673" i="10"/>
  <c r="B4673" i="10"/>
  <c r="A4673" i="10"/>
  <c r="E4672" i="10"/>
  <c r="D4672" i="10"/>
  <c r="C4672" i="10"/>
  <c r="B4672" i="10"/>
  <c r="A4672" i="10"/>
  <c r="E4671" i="10"/>
  <c r="D4671" i="10"/>
  <c r="C4671" i="10"/>
  <c r="B4671" i="10"/>
  <c r="A4671" i="10"/>
  <c r="E4670" i="10"/>
  <c r="D4670" i="10"/>
  <c r="C4670" i="10"/>
  <c r="B4670" i="10"/>
  <c r="A4670" i="10"/>
  <c r="E4669" i="10"/>
  <c r="D4669" i="10"/>
  <c r="C4669" i="10"/>
  <c r="B4669" i="10"/>
  <c r="A4669" i="10"/>
  <c r="E4668" i="10"/>
  <c r="D4668" i="10"/>
  <c r="C4668" i="10"/>
  <c r="B4668" i="10"/>
  <c r="A4668" i="10"/>
  <c r="E4667" i="10"/>
  <c r="D4667" i="10"/>
  <c r="C4667" i="10"/>
  <c r="B4667" i="10"/>
  <c r="A4667" i="10"/>
  <c r="E4666" i="10"/>
  <c r="D4666" i="10"/>
  <c r="C4666" i="10"/>
  <c r="B4666" i="10"/>
  <c r="A4666" i="10"/>
  <c r="E4665" i="10"/>
  <c r="D4665" i="10"/>
  <c r="C4665" i="10"/>
  <c r="B4665" i="10"/>
  <c r="A4665" i="10"/>
  <c r="E4664" i="10"/>
  <c r="D4664" i="10"/>
  <c r="C4664" i="10"/>
  <c r="B4664" i="10"/>
  <c r="A4664" i="10"/>
  <c r="E4663" i="10"/>
  <c r="D4663" i="10"/>
  <c r="C4663" i="10"/>
  <c r="B4663" i="10"/>
  <c r="A4663" i="10"/>
  <c r="E4662" i="10"/>
  <c r="D4662" i="10"/>
  <c r="C4662" i="10"/>
  <c r="B4662" i="10"/>
  <c r="A4662" i="10"/>
  <c r="E4661" i="10"/>
  <c r="D4661" i="10"/>
  <c r="C4661" i="10"/>
  <c r="B4661" i="10"/>
  <c r="A4661" i="10"/>
  <c r="E4660" i="10"/>
  <c r="D4660" i="10"/>
  <c r="C4660" i="10"/>
  <c r="B4660" i="10"/>
  <c r="A4660" i="10"/>
  <c r="E4659" i="10"/>
  <c r="D4659" i="10"/>
  <c r="C4659" i="10"/>
  <c r="B4659" i="10"/>
  <c r="A4659" i="10"/>
  <c r="E4658" i="10"/>
  <c r="D4658" i="10"/>
  <c r="C4658" i="10"/>
  <c r="B4658" i="10"/>
  <c r="A4658" i="10"/>
  <c r="E4657" i="10"/>
  <c r="D4657" i="10"/>
  <c r="C4657" i="10"/>
  <c r="B4657" i="10"/>
  <c r="A4657" i="10"/>
  <c r="E4656" i="10"/>
  <c r="D4656" i="10"/>
  <c r="C4656" i="10"/>
  <c r="B4656" i="10"/>
  <c r="A4656" i="10"/>
  <c r="E4655" i="10"/>
  <c r="D4655" i="10"/>
  <c r="C4655" i="10"/>
  <c r="B4655" i="10"/>
  <c r="A4655" i="10"/>
  <c r="E4654" i="10"/>
  <c r="D4654" i="10"/>
  <c r="C4654" i="10"/>
  <c r="B4654" i="10"/>
  <c r="A4654" i="10"/>
  <c r="E4653" i="10"/>
  <c r="D4653" i="10"/>
  <c r="C4653" i="10"/>
  <c r="B4653" i="10"/>
  <c r="A4653" i="10"/>
  <c r="E4652" i="10"/>
  <c r="D4652" i="10"/>
  <c r="C4652" i="10"/>
  <c r="B4652" i="10"/>
  <c r="A4652" i="10"/>
  <c r="E4651" i="10"/>
  <c r="D4651" i="10"/>
  <c r="C4651" i="10"/>
  <c r="B4651" i="10"/>
  <c r="A4651" i="10"/>
  <c r="E4650" i="10"/>
  <c r="D4650" i="10"/>
  <c r="C4650" i="10"/>
  <c r="B4650" i="10"/>
  <c r="A4650" i="10"/>
  <c r="E4649" i="10"/>
  <c r="D4649" i="10"/>
  <c r="C4649" i="10"/>
  <c r="B4649" i="10"/>
  <c r="A4649" i="10"/>
  <c r="E4648" i="10"/>
  <c r="D4648" i="10"/>
  <c r="C4648" i="10"/>
  <c r="B4648" i="10"/>
  <c r="A4648" i="10"/>
  <c r="E4647" i="10"/>
  <c r="D4647" i="10"/>
  <c r="C4647" i="10"/>
  <c r="B4647" i="10"/>
  <c r="A4647" i="10"/>
  <c r="E4646" i="10"/>
  <c r="D4646" i="10"/>
  <c r="C4646" i="10"/>
  <c r="B4646" i="10"/>
  <c r="A4646" i="10"/>
  <c r="E4645" i="10"/>
  <c r="D4645" i="10"/>
  <c r="C4645" i="10"/>
  <c r="B4645" i="10"/>
  <c r="A4645" i="10"/>
  <c r="E4644" i="10"/>
  <c r="D4644" i="10"/>
  <c r="C4644" i="10"/>
  <c r="B4644" i="10"/>
  <c r="A4644" i="10"/>
  <c r="E4643" i="10"/>
  <c r="D4643" i="10"/>
  <c r="C4643" i="10"/>
  <c r="B4643" i="10"/>
  <c r="A4643" i="10"/>
  <c r="E4642" i="10"/>
  <c r="D4642" i="10"/>
  <c r="C4642" i="10"/>
  <c r="B4642" i="10"/>
  <c r="A4642" i="10"/>
  <c r="E4641" i="10"/>
  <c r="D4641" i="10"/>
  <c r="C4641" i="10"/>
  <c r="B4641" i="10"/>
  <c r="A4641" i="10"/>
  <c r="E4640" i="10"/>
  <c r="D4640" i="10"/>
  <c r="C4640" i="10"/>
  <c r="B4640" i="10"/>
  <c r="A4640" i="10"/>
  <c r="E4639" i="10"/>
  <c r="D4639" i="10"/>
  <c r="C4639" i="10"/>
  <c r="B4639" i="10"/>
  <c r="A4639" i="10"/>
  <c r="E4638" i="10"/>
  <c r="D4638" i="10"/>
  <c r="C4638" i="10"/>
  <c r="B4638" i="10"/>
  <c r="A4638" i="10"/>
  <c r="E4637" i="10"/>
  <c r="D4637" i="10"/>
  <c r="C4637" i="10"/>
  <c r="B4637" i="10"/>
  <c r="A4637" i="10"/>
  <c r="E4636" i="10"/>
  <c r="D4636" i="10"/>
  <c r="C4636" i="10"/>
  <c r="B4636" i="10"/>
  <c r="A4636" i="10"/>
  <c r="E4635" i="10"/>
  <c r="D4635" i="10"/>
  <c r="C4635" i="10"/>
  <c r="B4635" i="10"/>
  <c r="A4635" i="10"/>
  <c r="E4634" i="10"/>
  <c r="D4634" i="10"/>
  <c r="C4634" i="10"/>
  <c r="B4634" i="10"/>
  <c r="A4634" i="10"/>
  <c r="E4633" i="10"/>
  <c r="D4633" i="10"/>
  <c r="C4633" i="10"/>
  <c r="B4633" i="10"/>
  <c r="A4633" i="10"/>
  <c r="E4632" i="10"/>
  <c r="D4632" i="10"/>
  <c r="C4632" i="10"/>
  <c r="B4632" i="10"/>
  <c r="A4632" i="10"/>
  <c r="E4631" i="10"/>
  <c r="D4631" i="10"/>
  <c r="C4631" i="10"/>
  <c r="B4631" i="10"/>
  <c r="A4631" i="10"/>
  <c r="E4630" i="10"/>
  <c r="D4630" i="10"/>
  <c r="C4630" i="10"/>
  <c r="B4630" i="10"/>
  <c r="A4630" i="10"/>
  <c r="E4629" i="10"/>
  <c r="D4629" i="10"/>
  <c r="C4629" i="10"/>
  <c r="B4629" i="10"/>
  <c r="A4629" i="10"/>
  <c r="E4628" i="10"/>
  <c r="D4628" i="10"/>
  <c r="C4628" i="10"/>
  <c r="B4628" i="10"/>
  <c r="A4628" i="10"/>
  <c r="E4627" i="10"/>
  <c r="D4627" i="10"/>
  <c r="C4627" i="10"/>
  <c r="B4627" i="10"/>
  <c r="A4627" i="10"/>
  <c r="E4626" i="10"/>
  <c r="D4626" i="10"/>
  <c r="C4626" i="10"/>
  <c r="B4626" i="10"/>
  <c r="A4626" i="10"/>
  <c r="E4625" i="10"/>
  <c r="D4625" i="10"/>
  <c r="C4625" i="10"/>
  <c r="B4625" i="10"/>
  <c r="A4625" i="10"/>
  <c r="E4624" i="10"/>
  <c r="D4624" i="10"/>
  <c r="C4624" i="10"/>
  <c r="B4624" i="10"/>
  <c r="A4624" i="10"/>
  <c r="E4623" i="10"/>
  <c r="D4623" i="10"/>
  <c r="C4623" i="10"/>
  <c r="B4623" i="10"/>
  <c r="A4623" i="10"/>
  <c r="E4622" i="10"/>
  <c r="D4622" i="10"/>
  <c r="C4622" i="10"/>
  <c r="B4622" i="10"/>
  <c r="A4622" i="10"/>
  <c r="E4621" i="10"/>
  <c r="D4621" i="10"/>
  <c r="C4621" i="10"/>
  <c r="B4621" i="10"/>
  <c r="A4621" i="10"/>
  <c r="E4620" i="10"/>
  <c r="D4620" i="10"/>
  <c r="C4620" i="10"/>
  <c r="B4620" i="10"/>
  <c r="A4620" i="10"/>
  <c r="E4619" i="10"/>
  <c r="D4619" i="10"/>
  <c r="C4619" i="10"/>
  <c r="B4619" i="10"/>
  <c r="A4619" i="10"/>
  <c r="E4618" i="10"/>
  <c r="D4618" i="10"/>
  <c r="C4618" i="10"/>
  <c r="B4618" i="10"/>
  <c r="A4618" i="10"/>
  <c r="E4617" i="10"/>
  <c r="D4617" i="10"/>
  <c r="C4617" i="10"/>
  <c r="B4617" i="10"/>
  <c r="A4617" i="10"/>
  <c r="E4616" i="10"/>
  <c r="D4616" i="10"/>
  <c r="C4616" i="10"/>
  <c r="B4616" i="10"/>
  <c r="A4616" i="10"/>
  <c r="E4615" i="10"/>
  <c r="D4615" i="10"/>
  <c r="C4615" i="10"/>
  <c r="B4615" i="10"/>
  <c r="A4615" i="10"/>
  <c r="E4614" i="10"/>
  <c r="D4614" i="10"/>
  <c r="C4614" i="10"/>
  <c r="B4614" i="10"/>
  <c r="A4614" i="10"/>
  <c r="E4613" i="10"/>
  <c r="D4613" i="10"/>
  <c r="C4613" i="10"/>
  <c r="B4613" i="10"/>
  <c r="A4613" i="10"/>
  <c r="E4612" i="10"/>
  <c r="D4612" i="10"/>
  <c r="C4612" i="10"/>
  <c r="B4612" i="10"/>
  <c r="A4612" i="10"/>
  <c r="E4611" i="10"/>
  <c r="D4611" i="10"/>
  <c r="C4611" i="10"/>
  <c r="B4611" i="10"/>
  <c r="A4611" i="10"/>
  <c r="E4610" i="10"/>
  <c r="D4610" i="10"/>
  <c r="C4610" i="10"/>
  <c r="B4610" i="10"/>
  <c r="A4610" i="10"/>
  <c r="E4609" i="10"/>
  <c r="D4609" i="10"/>
  <c r="C4609" i="10"/>
  <c r="B4609" i="10"/>
  <c r="A4609" i="10"/>
  <c r="E4608" i="10"/>
  <c r="D4608" i="10"/>
  <c r="C4608" i="10"/>
  <c r="B4608" i="10"/>
  <c r="A4608" i="10"/>
  <c r="E4607" i="10"/>
  <c r="D4607" i="10"/>
  <c r="C4607" i="10"/>
  <c r="B4607" i="10"/>
  <c r="A4607" i="10"/>
  <c r="E4606" i="10"/>
  <c r="D4606" i="10"/>
  <c r="C4606" i="10"/>
  <c r="B4606" i="10"/>
  <c r="A4606" i="10"/>
  <c r="E4605" i="10"/>
  <c r="D4605" i="10"/>
  <c r="C4605" i="10"/>
  <c r="B4605" i="10"/>
  <c r="A4605" i="10"/>
  <c r="E4604" i="10"/>
  <c r="D4604" i="10"/>
  <c r="C4604" i="10"/>
  <c r="B4604" i="10"/>
  <c r="A4604" i="10"/>
  <c r="E4603" i="10"/>
  <c r="D4603" i="10"/>
  <c r="C4603" i="10"/>
  <c r="B4603" i="10"/>
  <c r="A4603" i="10"/>
  <c r="E4602" i="10"/>
  <c r="D4602" i="10"/>
  <c r="C4602" i="10"/>
  <c r="B4602" i="10"/>
  <c r="A4602" i="10"/>
  <c r="E4601" i="10"/>
  <c r="D4601" i="10"/>
  <c r="C4601" i="10"/>
  <c r="B4601" i="10"/>
  <c r="A4601" i="10"/>
  <c r="E4600" i="10"/>
  <c r="D4600" i="10"/>
  <c r="C4600" i="10"/>
  <c r="B4600" i="10"/>
  <c r="A4600" i="10"/>
  <c r="E4599" i="10"/>
  <c r="D4599" i="10"/>
  <c r="C4599" i="10"/>
  <c r="B4599" i="10"/>
  <c r="A4599" i="10"/>
  <c r="E4598" i="10"/>
  <c r="D4598" i="10"/>
  <c r="C4598" i="10"/>
  <c r="B4598" i="10"/>
  <c r="A4598" i="10"/>
  <c r="E4597" i="10"/>
  <c r="D4597" i="10"/>
  <c r="C4597" i="10"/>
  <c r="B4597" i="10"/>
  <c r="A4597" i="10"/>
  <c r="E4596" i="10"/>
  <c r="D4596" i="10"/>
  <c r="C4596" i="10"/>
  <c r="B4596" i="10"/>
  <c r="A4596" i="10"/>
  <c r="E4595" i="10"/>
  <c r="D4595" i="10"/>
  <c r="C4595" i="10"/>
  <c r="B4595" i="10"/>
  <c r="A4595" i="10"/>
  <c r="E4594" i="10"/>
  <c r="D4594" i="10"/>
  <c r="C4594" i="10"/>
  <c r="B4594" i="10"/>
  <c r="A4594" i="10"/>
  <c r="E4593" i="10"/>
  <c r="D4593" i="10"/>
  <c r="C4593" i="10"/>
  <c r="B4593" i="10"/>
  <c r="A4593" i="10"/>
  <c r="E4592" i="10"/>
  <c r="D4592" i="10"/>
  <c r="C4592" i="10"/>
  <c r="B4592" i="10"/>
  <c r="A4592" i="10"/>
  <c r="E4591" i="10"/>
  <c r="D4591" i="10"/>
  <c r="C4591" i="10"/>
  <c r="B4591" i="10"/>
  <c r="A4591" i="10"/>
  <c r="E4590" i="10"/>
  <c r="D4590" i="10"/>
  <c r="C4590" i="10"/>
  <c r="B4590" i="10"/>
  <c r="A4590" i="10"/>
  <c r="E4589" i="10"/>
  <c r="D4589" i="10"/>
  <c r="C4589" i="10"/>
  <c r="B4589" i="10"/>
  <c r="A4589" i="10"/>
  <c r="E4588" i="10"/>
  <c r="D4588" i="10"/>
  <c r="C4588" i="10"/>
  <c r="B4588" i="10"/>
  <c r="A4588" i="10"/>
  <c r="E4587" i="10"/>
  <c r="D4587" i="10"/>
  <c r="C4587" i="10"/>
  <c r="B4587" i="10"/>
  <c r="A4587" i="10"/>
  <c r="E4586" i="10"/>
  <c r="D4586" i="10"/>
  <c r="C4586" i="10"/>
  <c r="B4586" i="10"/>
  <c r="A4586" i="10"/>
  <c r="E4585" i="10"/>
  <c r="D4585" i="10"/>
  <c r="C4585" i="10"/>
  <c r="B4585" i="10"/>
  <c r="A4585" i="10"/>
  <c r="E4584" i="10"/>
  <c r="D4584" i="10"/>
  <c r="C4584" i="10"/>
  <c r="B4584" i="10"/>
  <c r="A4584" i="10"/>
  <c r="E4583" i="10"/>
  <c r="D4583" i="10"/>
  <c r="C4583" i="10"/>
  <c r="B4583" i="10"/>
  <c r="A4583" i="10"/>
  <c r="E4582" i="10"/>
  <c r="D4582" i="10"/>
  <c r="C4582" i="10"/>
  <c r="B4582" i="10"/>
  <c r="A4582" i="10"/>
  <c r="E4581" i="10"/>
  <c r="D4581" i="10"/>
  <c r="C4581" i="10"/>
  <c r="B4581" i="10"/>
  <c r="A4581" i="10"/>
  <c r="E4580" i="10"/>
  <c r="D4580" i="10"/>
  <c r="C4580" i="10"/>
  <c r="B4580" i="10"/>
  <c r="A4580" i="10"/>
  <c r="E4579" i="10"/>
  <c r="D4579" i="10"/>
  <c r="C4579" i="10"/>
  <c r="B4579" i="10"/>
  <c r="A4579" i="10"/>
  <c r="E4578" i="10"/>
  <c r="D4578" i="10"/>
  <c r="C4578" i="10"/>
  <c r="B4578" i="10"/>
  <c r="A4578" i="10"/>
  <c r="E4577" i="10"/>
  <c r="D4577" i="10"/>
  <c r="C4577" i="10"/>
  <c r="B4577" i="10"/>
  <c r="A4577" i="10"/>
  <c r="E4576" i="10"/>
  <c r="D4576" i="10"/>
  <c r="C4576" i="10"/>
  <c r="B4576" i="10"/>
  <c r="A4576" i="10"/>
  <c r="E4575" i="10"/>
  <c r="D4575" i="10"/>
  <c r="C4575" i="10"/>
  <c r="B4575" i="10"/>
  <c r="A4575" i="10"/>
  <c r="E4574" i="10"/>
  <c r="D4574" i="10"/>
  <c r="C4574" i="10"/>
  <c r="B4574" i="10"/>
  <c r="A4574" i="10"/>
  <c r="E4573" i="10"/>
  <c r="D4573" i="10"/>
  <c r="C4573" i="10"/>
  <c r="B4573" i="10"/>
  <c r="A4573" i="10"/>
  <c r="E4572" i="10"/>
  <c r="D4572" i="10"/>
  <c r="C4572" i="10"/>
  <c r="B4572" i="10"/>
  <c r="A4572" i="10"/>
  <c r="E4571" i="10"/>
  <c r="D4571" i="10"/>
  <c r="C4571" i="10"/>
  <c r="B4571" i="10"/>
  <c r="A4571" i="10"/>
  <c r="E4570" i="10"/>
  <c r="D4570" i="10"/>
  <c r="C4570" i="10"/>
  <c r="B4570" i="10"/>
  <c r="A4570" i="10"/>
  <c r="E4569" i="10"/>
  <c r="D4569" i="10"/>
  <c r="C4569" i="10"/>
  <c r="B4569" i="10"/>
  <c r="A4569" i="10"/>
  <c r="E4568" i="10"/>
  <c r="D4568" i="10"/>
  <c r="C4568" i="10"/>
  <c r="B4568" i="10"/>
  <c r="A4568" i="10"/>
  <c r="E4567" i="10"/>
  <c r="D4567" i="10"/>
  <c r="C4567" i="10"/>
  <c r="B4567" i="10"/>
  <c r="A4567" i="10"/>
  <c r="E4566" i="10"/>
  <c r="D4566" i="10"/>
  <c r="C4566" i="10"/>
  <c r="B4566" i="10"/>
  <c r="A4566" i="10"/>
  <c r="E4565" i="10"/>
  <c r="D4565" i="10"/>
  <c r="C4565" i="10"/>
  <c r="B4565" i="10"/>
  <c r="A4565" i="10"/>
  <c r="E4564" i="10"/>
  <c r="D4564" i="10"/>
  <c r="C4564" i="10"/>
  <c r="B4564" i="10"/>
  <c r="A4564" i="10"/>
  <c r="E4563" i="10"/>
  <c r="D4563" i="10"/>
  <c r="C4563" i="10"/>
  <c r="B4563" i="10"/>
  <c r="A4563" i="10"/>
  <c r="E4562" i="10"/>
  <c r="D4562" i="10"/>
  <c r="C4562" i="10"/>
  <c r="B4562" i="10"/>
  <c r="A4562" i="10"/>
  <c r="E4561" i="10"/>
  <c r="D4561" i="10"/>
  <c r="C4561" i="10"/>
  <c r="B4561" i="10"/>
  <c r="A4561" i="10"/>
  <c r="E4560" i="10"/>
  <c r="D4560" i="10"/>
  <c r="C4560" i="10"/>
  <c r="B4560" i="10"/>
  <c r="A4560" i="10"/>
  <c r="E4559" i="10"/>
  <c r="D4559" i="10"/>
  <c r="C4559" i="10"/>
  <c r="B4559" i="10"/>
  <c r="A4559" i="10"/>
  <c r="E4558" i="10"/>
  <c r="D4558" i="10"/>
  <c r="C4558" i="10"/>
  <c r="B4558" i="10"/>
  <c r="A4558" i="10"/>
  <c r="E4557" i="10"/>
  <c r="D4557" i="10"/>
  <c r="C4557" i="10"/>
  <c r="B4557" i="10"/>
  <c r="A4557" i="10"/>
  <c r="E4556" i="10"/>
  <c r="D4556" i="10"/>
  <c r="C4556" i="10"/>
  <c r="B4556" i="10"/>
  <c r="A4556" i="10"/>
  <c r="E4555" i="10"/>
  <c r="D4555" i="10"/>
  <c r="C4555" i="10"/>
  <c r="B4555" i="10"/>
  <c r="A4555" i="10"/>
  <c r="E4554" i="10"/>
  <c r="D4554" i="10"/>
  <c r="C4554" i="10"/>
  <c r="B4554" i="10"/>
  <c r="A4554" i="10"/>
  <c r="E4553" i="10"/>
  <c r="D4553" i="10"/>
  <c r="C4553" i="10"/>
  <c r="B4553" i="10"/>
  <c r="A4553" i="10"/>
  <c r="E4552" i="10"/>
  <c r="D4552" i="10"/>
  <c r="C4552" i="10"/>
  <c r="B4552" i="10"/>
  <c r="A4552" i="10"/>
  <c r="E4551" i="10"/>
  <c r="D4551" i="10"/>
  <c r="C4551" i="10"/>
  <c r="B4551" i="10"/>
  <c r="A4551" i="10"/>
  <c r="E4550" i="10"/>
  <c r="D4550" i="10"/>
  <c r="C4550" i="10"/>
  <c r="B4550" i="10"/>
  <c r="A4550" i="10"/>
  <c r="E4549" i="10"/>
  <c r="D4549" i="10"/>
  <c r="C4549" i="10"/>
  <c r="B4549" i="10"/>
  <c r="A4549" i="10"/>
  <c r="E4548" i="10"/>
  <c r="D4548" i="10"/>
  <c r="C4548" i="10"/>
  <c r="B4548" i="10"/>
  <c r="A4548" i="10"/>
  <c r="E4547" i="10"/>
  <c r="D4547" i="10"/>
  <c r="C4547" i="10"/>
  <c r="B4547" i="10"/>
  <c r="A4547" i="10"/>
  <c r="E4546" i="10"/>
  <c r="D4546" i="10"/>
  <c r="C4546" i="10"/>
  <c r="B4546" i="10"/>
  <c r="A4546" i="10"/>
  <c r="E4545" i="10"/>
  <c r="D4545" i="10"/>
  <c r="C4545" i="10"/>
  <c r="B4545" i="10"/>
  <c r="A4545" i="10"/>
  <c r="E4544" i="10"/>
  <c r="D4544" i="10"/>
  <c r="C4544" i="10"/>
  <c r="B4544" i="10"/>
  <c r="A4544" i="10"/>
  <c r="E4543" i="10"/>
  <c r="D4543" i="10"/>
  <c r="C4543" i="10"/>
  <c r="B4543" i="10"/>
  <c r="A4543" i="10"/>
  <c r="E4542" i="10"/>
  <c r="D4542" i="10"/>
  <c r="C4542" i="10"/>
  <c r="B4542" i="10"/>
  <c r="A4542" i="10"/>
  <c r="E4541" i="10"/>
  <c r="D4541" i="10"/>
  <c r="C4541" i="10"/>
  <c r="B4541" i="10"/>
  <c r="A4541" i="10"/>
  <c r="E4540" i="10"/>
  <c r="D4540" i="10"/>
  <c r="C4540" i="10"/>
  <c r="B4540" i="10"/>
  <c r="A4540" i="10"/>
  <c r="E4539" i="10"/>
  <c r="D4539" i="10"/>
  <c r="C4539" i="10"/>
  <c r="B4539" i="10"/>
  <c r="A4539" i="10"/>
  <c r="E4538" i="10"/>
  <c r="D4538" i="10"/>
  <c r="C4538" i="10"/>
  <c r="B4538" i="10"/>
  <c r="A4538" i="10"/>
  <c r="E4537" i="10"/>
  <c r="D4537" i="10"/>
  <c r="C4537" i="10"/>
  <c r="B4537" i="10"/>
  <c r="A4537" i="10"/>
  <c r="E4536" i="10"/>
  <c r="D4536" i="10"/>
  <c r="C4536" i="10"/>
  <c r="B4536" i="10"/>
  <c r="A4536" i="10"/>
  <c r="E4535" i="10"/>
  <c r="D4535" i="10"/>
  <c r="C4535" i="10"/>
  <c r="B4535" i="10"/>
  <c r="A4535" i="10"/>
  <c r="E4534" i="10"/>
  <c r="D4534" i="10"/>
  <c r="C4534" i="10"/>
  <c r="B4534" i="10"/>
  <c r="A4534" i="10"/>
  <c r="E4533" i="10"/>
  <c r="D4533" i="10"/>
  <c r="C4533" i="10"/>
  <c r="B4533" i="10"/>
  <c r="A4533" i="10"/>
  <c r="E4532" i="10"/>
  <c r="D4532" i="10"/>
  <c r="C4532" i="10"/>
  <c r="B4532" i="10"/>
  <c r="A4532" i="10"/>
  <c r="E4531" i="10"/>
  <c r="D4531" i="10"/>
  <c r="C4531" i="10"/>
  <c r="B4531" i="10"/>
  <c r="A4531" i="10"/>
  <c r="E4530" i="10"/>
  <c r="D4530" i="10"/>
  <c r="C4530" i="10"/>
  <c r="B4530" i="10"/>
  <c r="A4530" i="10"/>
  <c r="E4529" i="10"/>
  <c r="D4529" i="10"/>
  <c r="C4529" i="10"/>
  <c r="B4529" i="10"/>
  <c r="A4529" i="10"/>
  <c r="E4528" i="10"/>
  <c r="D4528" i="10"/>
  <c r="C4528" i="10"/>
  <c r="B4528" i="10"/>
  <c r="A4528" i="10"/>
  <c r="E4527" i="10"/>
  <c r="D4527" i="10"/>
  <c r="C4527" i="10"/>
  <c r="B4527" i="10"/>
  <c r="A4527" i="10"/>
  <c r="E4526" i="10"/>
  <c r="D4526" i="10"/>
  <c r="C4526" i="10"/>
  <c r="B4526" i="10"/>
  <c r="A4526" i="10"/>
  <c r="E4525" i="10"/>
  <c r="D4525" i="10"/>
  <c r="C4525" i="10"/>
  <c r="B4525" i="10"/>
  <c r="A4525" i="10"/>
  <c r="E4524" i="10"/>
  <c r="D4524" i="10"/>
  <c r="C4524" i="10"/>
  <c r="B4524" i="10"/>
  <c r="A4524" i="10"/>
  <c r="E4523" i="10"/>
  <c r="D4523" i="10"/>
  <c r="C4523" i="10"/>
  <c r="B4523" i="10"/>
  <c r="A4523" i="10"/>
  <c r="E4522" i="10"/>
  <c r="D4522" i="10"/>
  <c r="C4522" i="10"/>
  <c r="B4522" i="10"/>
  <c r="A4522" i="10"/>
  <c r="E4521" i="10"/>
  <c r="D4521" i="10"/>
  <c r="C4521" i="10"/>
  <c r="B4521" i="10"/>
  <c r="A4521" i="10"/>
  <c r="E4520" i="10"/>
  <c r="D4520" i="10"/>
  <c r="C4520" i="10"/>
  <c r="B4520" i="10"/>
  <c r="A4520" i="10"/>
  <c r="E4519" i="10"/>
  <c r="D4519" i="10"/>
  <c r="C4519" i="10"/>
  <c r="B4519" i="10"/>
  <c r="A4519" i="10"/>
  <c r="E4518" i="10"/>
  <c r="D4518" i="10"/>
  <c r="C4518" i="10"/>
  <c r="B4518" i="10"/>
  <c r="A4518" i="10"/>
  <c r="E4517" i="10"/>
  <c r="D4517" i="10"/>
  <c r="C4517" i="10"/>
  <c r="B4517" i="10"/>
  <c r="A4517" i="10"/>
  <c r="E4516" i="10"/>
  <c r="D4516" i="10"/>
  <c r="C4516" i="10"/>
  <c r="B4516" i="10"/>
  <c r="A4516" i="10"/>
  <c r="E4515" i="10"/>
  <c r="D4515" i="10"/>
  <c r="C4515" i="10"/>
  <c r="B4515" i="10"/>
  <c r="A4515" i="10"/>
  <c r="E4514" i="10"/>
  <c r="D4514" i="10"/>
  <c r="C4514" i="10"/>
  <c r="B4514" i="10"/>
  <c r="A4514" i="10"/>
  <c r="E4513" i="10"/>
  <c r="D4513" i="10"/>
  <c r="C4513" i="10"/>
  <c r="B4513" i="10"/>
  <c r="A4513" i="10"/>
  <c r="E4512" i="10"/>
  <c r="D4512" i="10"/>
  <c r="C4512" i="10"/>
  <c r="B4512" i="10"/>
  <c r="A4512" i="10"/>
  <c r="E4511" i="10"/>
  <c r="D4511" i="10"/>
  <c r="C4511" i="10"/>
  <c r="B4511" i="10"/>
  <c r="A4511" i="10"/>
  <c r="E4510" i="10"/>
  <c r="D4510" i="10"/>
  <c r="C4510" i="10"/>
  <c r="B4510" i="10"/>
  <c r="A4510" i="10"/>
  <c r="E4509" i="10"/>
  <c r="D4509" i="10"/>
  <c r="C4509" i="10"/>
  <c r="B4509" i="10"/>
  <c r="A4509" i="10"/>
  <c r="E4508" i="10"/>
  <c r="D4508" i="10"/>
  <c r="C4508" i="10"/>
  <c r="B4508" i="10"/>
  <c r="A4508" i="10"/>
  <c r="E4507" i="10"/>
  <c r="D4507" i="10"/>
  <c r="C4507" i="10"/>
  <c r="B4507" i="10"/>
  <c r="A4507" i="10"/>
  <c r="E4506" i="10"/>
  <c r="D4506" i="10"/>
  <c r="C4506" i="10"/>
  <c r="B4506" i="10"/>
  <c r="A4506" i="10"/>
  <c r="E4505" i="10"/>
  <c r="D4505" i="10"/>
  <c r="C4505" i="10"/>
  <c r="B4505" i="10"/>
  <c r="A4505" i="10"/>
  <c r="E4504" i="10"/>
  <c r="D4504" i="10"/>
  <c r="C4504" i="10"/>
  <c r="B4504" i="10"/>
  <c r="A4504" i="10"/>
  <c r="E4503" i="10"/>
  <c r="D4503" i="10"/>
  <c r="C4503" i="10"/>
  <c r="B4503" i="10"/>
  <c r="A4503" i="10"/>
  <c r="E4502" i="10"/>
  <c r="D4502" i="10"/>
  <c r="C4502" i="10"/>
  <c r="B4502" i="10"/>
  <c r="A4502" i="10"/>
  <c r="E4501" i="10"/>
  <c r="D4501" i="10"/>
  <c r="C4501" i="10"/>
  <c r="B4501" i="10"/>
  <c r="A4501" i="10"/>
  <c r="E4500" i="10"/>
  <c r="D4500" i="10"/>
  <c r="C4500" i="10"/>
  <c r="B4500" i="10"/>
  <c r="A4500" i="10"/>
  <c r="E4499" i="10"/>
  <c r="D4499" i="10"/>
  <c r="C4499" i="10"/>
  <c r="B4499" i="10"/>
  <c r="A4499" i="10"/>
  <c r="E4498" i="10"/>
  <c r="D4498" i="10"/>
  <c r="C4498" i="10"/>
  <c r="B4498" i="10"/>
  <c r="A4498" i="10"/>
  <c r="E4497" i="10"/>
  <c r="D4497" i="10"/>
  <c r="C4497" i="10"/>
  <c r="B4497" i="10"/>
  <c r="A4497" i="10"/>
  <c r="E4496" i="10"/>
  <c r="D4496" i="10"/>
  <c r="C4496" i="10"/>
  <c r="B4496" i="10"/>
  <c r="A4496" i="10"/>
  <c r="E4495" i="10"/>
  <c r="D4495" i="10"/>
  <c r="C4495" i="10"/>
  <c r="B4495" i="10"/>
  <c r="A4495" i="10"/>
  <c r="E4494" i="10"/>
  <c r="D4494" i="10"/>
  <c r="C4494" i="10"/>
  <c r="B4494" i="10"/>
  <c r="A4494" i="10"/>
  <c r="E4493" i="10"/>
  <c r="D4493" i="10"/>
  <c r="C4493" i="10"/>
  <c r="B4493" i="10"/>
  <c r="A4493" i="10"/>
  <c r="E4492" i="10"/>
  <c r="D4492" i="10"/>
  <c r="C4492" i="10"/>
  <c r="B4492" i="10"/>
  <c r="A4492" i="10"/>
  <c r="E4491" i="10"/>
  <c r="D4491" i="10"/>
  <c r="C4491" i="10"/>
  <c r="B4491" i="10"/>
  <c r="A4491" i="10"/>
  <c r="E4490" i="10"/>
  <c r="D4490" i="10"/>
  <c r="C4490" i="10"/>
  <c r="B4490" i="10"/>
  <c r="A4490" i="10"/>
  <c r="E4489" i="10"/>
  <c r="D4489" i="10"/>
  <c r="C4489" i="10"/>
  <c r="B4489" i="10"/>
  <c r="A4489" i="10"/>
  <c r="E4488" i="10"/>
  <c r="D4488" i="10"/>
  <c r="C4488" i="10"/>
  <c r="B4488" i="10"/>
  <c r="A4488" i="10"/>
  <c r="E4487" i="10"/>
  <c r="D4487" i="10"/>
  <c r="C4487" i="10"/>
  <c r="B4487" i="10"/>
  <c r="A4487" i="10"/>
  <c r="E4486" i="10"/>
  <c r="D4486" i="10"/>
  <c r="C4486" i="10"/>
  <c r="B4486" i="10"/>
  <c r="A4486" i="10"/>
  <c r="E4485" i="10"/>
  <c r="D4485" i="10"/>
  <c r="C4485" i="10"/>
  <c r="B4485" i="10"/>
  <c r="A4485" i="10"/>
  <c r="E4484" i="10"/>
  <c r="D4484" i="10"/>
  <c r="C4484" i="10"/>
  <c r="B4484" i="10"/>
  <c r="A4484" i="10"/>
  <c r="E4483" i="10"/>
  <c r="D4483" i="10"/>
  <c r="C4483" i="10"/>
  <c r="B4483" i="10"/>
  <c r="A4483" i="10"/>
  <c r="E4482" i="10"/>
  <c r="D4482" i="10"/>
  <c r="C4482" i="10"/>
  <c r="B4482" i="10"/>
  <c r="A4482" i="10"/>
  <c r="E4481" i="10"/>
  <c r="D4481" i="10"/>
  <c r="C4481" i="10"/>
  <c r="B4481" i="10"/>
  <c r="A4481" i="10"/>
  <c r="E4480" i="10"/>
  <c r="D4480" i="10"/>
  <c r="C4480" i="10"/>
  <c r="B4480" i="10"/>
  <c r="A4480" i="10"/>
  <c r="E4479" i="10"/>
  <c r="D4479" i="10"/>
  <c r="C4479" i="10"/>
  <c r="B4479" i="10"/>
  <c r="A4479" i="10"/>
  <c r="E4478" i="10"/>
  <c r="D4478" i="10"/>
  <c r="C4478" i="10"/>
  <c r="B4478" i="10"/>
  <c r="A4478" i="10"/>
  <c r="E4477" i="10"/>
  <c r="D4477" i="10"/>
  <c r="C4477" i="10"/>
  <c r="B4477" i="10"/>
  <c r="A4477" i="10"/>
  <c r="E4476" i="10"/>
  <c r="D4476" i="10"/>
  <c r="C4476" i="10"/>
  <c r="B4476" i="10"/>
  <c r="A4476" i="10"/>
  <c r="E4475" i="10"/>
  <c r="D4475" i="10"/>
  <c r="C4475" i="10"/>
  <c r="B4475" i="10"/>
  <c r="A4475" i="10"/>
  <c r="E4474" i="10"/>
  <c r="D4474" i="10"/>
  <c r="C4474" i="10"/>
  <c r="B4474" i="10"/>
  <c r="A4474" i="10"/>
  <c r="E4473" i="10"/>
  <c r="D4473" i="10"/>
  <c r="C4473" i="10"/>
  <c r="B4473" i="10"/>
  <c r="A4473" i="10"/>
  <c r="E4472" i="10"/>
  <c r="D4472" i="10"/>
  <c r="C4472" i="10"/>
  <c r="B4472" i="10"/>
  <c r="A4472" i="10"/>
  <c r="E4471" i="10"/>
  <c r="D4471" i="10"/>
  <c r="C4471" i="10"/>
  <c r="B4471" i="10"/>
  <c r="A4471" i="10"/>
  <c r="E4470" i="10"/>
  <c r="D4470" i="10"/>
  <c r="C4470" i="10"/>
  <c r="B4470" i="10"/>
  <c r="A4470" i="10"/>
  <c r="E4469" i="10"/>
  <c r="D4469" i="10"/>
  <c r="C4469" i="10"/>
  <c r="B4469" i="10"/>
  <c r="A4469" i="10"/>
  <c r="E4468" i="10"/>
  <c r="D4468" i="10"/>
  <c r="C4468" i="10"/>
  <c r="B4468" i="10"/>
  <c r="A4468" i="10"/>
  <c r="E4467" i="10"/>
  <c r="D4467" i="10"/>
  <c r="C4467" i="10"/>
  <c r="B4467" i="10"/>
  <c r="A4467" i="10"/>
  <c r="E4466" i="10"/>
  <c r="D4466" i="10"/>
  <c r="C4466" i="10"/>
  <c r="B4466" i="10"/>
  <c r="A4466" i="10"/>
  <c r="E4465" i="10"/>
  <c r="D4465" i="10"/>
  <c r="C4465" i="10"/>
  <c r="B4465" i="10"/>
  <c r="A4465" i="10"/>
  <c r="E4464" i="10"/>
  <c r="D4464" i="10"/>
  <c r="C4464" i="10"/>
  <c r="B4464" i="10"/>
  <c r="A4464" i="10"/>
  <c r="E4463" i="10"/>
  <c r="D4463" i="10"/>
  <c r="C4463" i="10"/>
  <c r="B4463" i="10"/>
  <c r="A4463" i="10"/>
  <c r="E4462" i="10"/>
  <c r="D4462" i="10"/>
  <c r="C4462" i="10"/>
  <c r="B4462" i="10"/>
  <c r="A4462" i="10"/>
  <c r="E4461" i="10"/>
  <c r="D4461" i="10"/>
  <c r="C4461" i="10"/>
  <c r="B4461" i="10"/>
  <c r="A4461" i="10"/>
  <c r="E4460" i="10"/>
  <c r="D4460" i="10"/>
  <c r="C4460" i="10"/>
  <c r="B4460" i="10"/>
  <c r="A4460" i="10"/>
  <c r="E4459" i="10"/>
  <c r="D4459" i="10"/>
  <c r="C4459" i="10"/>
  <c r="B4459" i="10"/>
  <c r="A4459" i="10"/>
  <c r="E4458" i="10"/>
  <c r="D4458" i="10"/>
  <c r="C4458" i="10"/>
  <c r="B4458" i="10"/>
  <c r="A4458" i="10"/>
  <c r="E4457" i="10"/>
  <c r="D4457" i="10"/>
  <c r="C4457" i="10"/>
  <c r="B4457" i="10"/>
  <c r="A4457" i="10"/>
  <c r="E4456" i="10"/>
  <c r="D4456" i="10"/>
  <c r="C4456" i="10"/>
  <c r="B4456" i="10"/>
  <c r="A4456" i="10"/>
  <c r="E4455" i="10"/>
  <c r="D4455" i="10"/>
  <c r="C4455" i="10"/>
  <c r="B4455" i="10"/>
  <c r="A4455" i="10"/>
  <c r="E4454" i="10"/>
  <c r="D4454" i="10"/>
  <c r="C4454" i="10"/>
  <c r="B4454" i="10"/>
  <c r="A4454" i="10"/>
  <c r="E4453" i="10"/>
  <c r="D4453" i="10"/>
  <c r="C4453" i="10"/>
  <c r="B4453" i="10"/>
  <c r="A4453" i="10"/>
  <c r="E4452" i="10"/>
  <c r="D4452" i="10"/>
  <c r="C4452" i="10"/>
  <c r="B4452" i="10"/>
  <c r="A4452" i="10"/>
  <c r="E4451" i="10"/>
  <c r="D4451" i="10"/>
  <c r="C4451" i="10"/>
  <c r="B4451" i="10"/>
  <c r="A4451" i="10"/>
  <c r="E4450" i="10"/>
  <c r="D4450" i="10"/>
  <c r="C4450" i="10"/>
  <c r="B4450" i="10"/>
  <c r="A4450" i="10"/>
  <c r="E4449" i="10"/>
  <c r="D4449" i="10"/>
  <c r="C4449" i="10"/>
  <c r="B4449" i="10"/>
  <c r="A4449" i="10"/>
  <c r="E4448" i="10"/>
  <c r="D4448" i="10"/>
  <c r="C4448" i="10"/>
  <c r="B4448" i="10"/>
  <c r="A4448" i="10"/>
  <c r="E4447" i="10"/>
  <c r="D4447" i="10"/>
  <c r="C4447" i="10"/>
  <c r="B4447" i="10"/>
  <c r="A4447" i="10"/>
  <c r="E4446" i="10"/>
  <c r="D4446" i="10"/>
  <c r="C4446" i="10"/>
  <c r="B4446" i="10"/>
  <c r="A4446" i="10"/>
  <c r="E4445" i="10"/>
  <c r="D4445" i="10"/>
  <c r="C4445" i="10"/>
  <c r="B4445" i="10"/>
  <c r="A4445" i="10"/>
  <c r="E4444" i="10"/>
  <c r="D4444" i="10"/>
  <c r="C4444" i="10"/>
  <c r="B4444" i="10"/>
  <c r="A4444" i="10"/>
  <c r="E4443" i="10"/>
  <c r="D4443" i="10"/>
  <c r="C4443" i="10"/>
  <c r="B4443" i="10"/>
  <c r="A4443" i="10"/>
  <c r="E4442" i="10"/>
  <c r="D4442" i="10"/>
  <c r="C4442" i="10"/>
  <c r="B4442" i="10"/>
  <c r="A4442" i="10"/>
  <c r="E4441" i="10"/>
  <c r="D4441" i="10"/>
  <c r="C4441" i="10"/>
  <c r="B4441" i="10"/>
  <c r="A4441" i="10"/>
  <c r="E4440" i="10"/>
  <c r="D4440" i="10"/>
  <c r="C4440" i="10"/>
  <c r="B4440" i="10"/>
  <c r="A4440" i="10"/>
  <c r="E4439" i="10"/>
  <c r="D4439" i="10"/>
  <c r="C4439" i="10"/>
  <c r="B4439" i="10"/>
  <c r="A4439" i="10"/>
  <c r="E4438" i="10"/>
  <c r="D4438" i="10"/>
  <c r="C4438" i="10"/>
  <c r="B4438" i="10"/>
  <c r="A4438" i="10"/>
  <c r="E4437" i="10"/>
  <c r="D4437" i="10"/>
  <c r="C4437" i="10"/>
  <c r="B4437" i="10"/>
  <c r="A4437" i="10"/>
  <c r="E4436" i="10"/>
  <c r="D4436" i="10"/>
  <c r="C4436" i="10"/>
  <c r="B4436" i="10"/>
  <c r="A4436" i="10"/>
  <c r="E4435" i="10"/>
  <c r="D4435" i="10"/>
  <c r="C4435" i="10"/>
  <c r="B4435" i="10"/>
  <c r="A4435" i="10"/>
  <c r="E4434" i="10"/>
  <c r="D4434" i="10"/>
  <c r="C4434" i="10"/>
  <c r="B4434" i="10"/>
  <c r="A4434" i="10"/>
  <c r="E4433" i="10"/>
  <c r="D4433" i="10"/>
  <c r="C4433" i="10"/>
  <c r="B4433" i="10"/>
  <c r="A4433" i="10"/>
  <c r="E4432" i="10"/>
  <c r="D4432" i="10"/>
  <c r="C4432" i="10"/>
  <c r="B4432" i="10"/>
  <c r="A4432" i="10"/>
  <c r="E4431" i="10"/>
  <c r="D4431" i="10"/>
  <c r="C4431" i="10"/>
  <c r="B4431" i="10"/>
  <c r="A4431" i="10"/>
  <c r="E4430" i="10"/>
  <c r="D4430" i="10"/>
  <c r="C4430" i="10"/>
  <c r="B4430" i="10"/>
  <c r="A4430" i="10"/>
  <c r="E4429" i="10"/>
  <c r="D4429" i="10"/>
  <c r="C4429" i="10"/>
  <c r="B4429" i="10"/>
  <c r="A4429" i="10"/>
  <c r="E4428" i="10"/>
  <c r="D4428" i="10"/>
  <c r="C4428" i="10"/>
  <c r="B4428" i="10"/>
  <c r="A4428" i="10"/>
  <c r="E4427" i="10"/>
  <c r="D4427" i="10"/>
  <c r="C4427" i="10"/>
  <c r="B4427" i="10"/>
  <c r="A4427" i="10"/>
  <c r="E4426" i="10"/>
  <c r="D4426" i="10"/>
  <c r="C4426" i="10"/>
  <c r="B4426" i="10"/>
  <c r="A4426" i="10"/>
  <c r="E4425" i="10"/>
  <c r="D4425" i="10"/>
  <c r="C4425" i="10"/>
  <c r="B4425" i="10"/>
  <c r="A4425" i="10"/>
  <c r="E4424" i="10"/>
  <c r="D4424" i="10"/>
  <c r="C4424" i="10"/>
  <c r="B4424" i="10"/>
  <c r="A4424" i="10"/>
  <c r="E4423" i="10"/>
  <c r="D4423" i="10"/>
  <c r="C4423" i="10"/>
  <c r="B4423" i="10"/>
  <c r="A4423" i="10"/>
  <c r="E4422" i="10"/>
  <c r="D4422" i="10"/>
  <c r="C4422" i="10"/>
  <c r="B4422" i="10"/>
  <c r="A4422" i="10"/>
  <c r="E4421" i="10"/>
  <c r="D4421" i="10"/>
  <c r="C4421" i="10"/>
  <c r="B4421" i="10"/>
  <c r="A4421" i="10"/>
  <c r="E4420" i="10"/>
  <c r="D4420" i="10"/>
  <c r="C4420" i="10"/>
  <c r="B4420" i="10"/>
  <c r="A4420" i="10"/>
  <c r="E4419" i="10"/>
  <c r="D4419" i="10"/>
  <c r="C4419" i="10"/>
  <c r="B4419" i="10"/>
  <c r="A4419" i="10"/>
  <c r="E4418" i="10"/>
  <c r="D4418" i="10"/>
  <c r="C4418" i="10"/>
  <c r="B4418" i="10"/>
  <c r="A4418" i="10"/>
  <c r="E4417" i="10"/>
  <c r="D4417" i="10"/>
  <c r="C4417" i="10"/>
  <c r="B4417" i="10"/>
  <c r="A4417" i="10"/>
  <c r="E4416" i="10"/>
  <c r="D4416" i="10"/>
  <c r="C4416" i="10"/>
  <c r="B4416" i="10"/>
  <c r="A4416" i="10"/>
  <c r="E4415" i="10"/>
  <c r="D4415" i="10"/>
  <c r="C4415" i="10"/>
  <c r="B4415" i="10"/>
  <c r="A4415" i="10"/>
  <c r="E4414" i="10"/>
  <c r="D4414" i="10"/>
  <c r="C4414" i="10"/>
  <c r="B4414" i="10"/>
  <c r="A4414" i="10"/>
  <c r="E4413" i="10"/>
  <c r="D4413" i="10"/>
  <c r="C4413" i="10"/>
  <c r="B4413" i="10"/>
  <c r="A4413" i="10"/>
  <c r="E4412" i="10"/>
  <c r="D4412" i="10"/>
  <c r="C4412" i="10"/>
  <c r="B4412" i="10"/>
  <c r="A4412" i="10"/>
  <c r="E4411" i="10"/>
  <c r="D4411" i="10"/>
  <c r="C4411" i="10"/>
  <c r="B4411" i="10"/>
  <c r="A4411" i="10"/>
  <c r="E4410" i="10"/>
  <c r="D4410" i="10"/>
  <c r="C4410" i="10"/>
  <c r="B4410" i="10"/>
  <c r="A4410" i="10"/>
  <c r="E4409" i="10"/>
  <c r="D4409" i="10"/>
  <c r="C4409" i="10"/>
  <c r="B4409" i="10"/>
  <c r="A4409" i="10"/>
  <c r="E4408" i="10"/>
  <c r="D4408" i="10"/>
  <c r="C4408" i="10"/>
  <c r="B4408" i="10"/>
  <c r="A4408" i="10"/>
  <c r="E4407" i="10"/>
  <c r="D4407" i="10"/>
  <c r="C4407" i="10"/>
  <c r="B4407" i="10"/>
  <c r="A4407" i="10"/>
  <c r="E4406" i="10"/>
  <c r="D4406" i="10"/>
  <c r="C4406" i="10"/>
  <c r="B4406" i="10"/>
  <c r="A4406" i="10"/>
  <c r="E4405" i="10"/>
  <c r="D4405" i="10"/>
  <c r="C4405" i="10"/>
  <c r="B4405" i="10"/>
  <c r="A4405" i="10"/>
  <c r="E4404" i="10"/>
  <c r="D4404" i="10"/>
  <c r="C4404" i="10"/>
  <c r="B4404" i="10"/>
  <c r="A4404" i="10"/>
  <c r="E4403" i="10"/>
  <c r="D4403" i="10"/>
  <c r="C4403" i="10"/>
  <c r="B4403" i="10"/>
  <c r="A4403" i="10"/>
  <c r="E4402" i="10"/>
  <c r="D4402" i="10"/>
  <c r="C4402" i="10"/>
  <c r="B4402" i="10"/>
  <c r="A4402" i="10"/>
  <c r="E4401" i="10"/>
  <c r="D4401" i="10"/>
  <c r="C4401" i="10"/>
  <c r="B4401" i="10"/>
  <c r="A4401" i="10"/>
  <c r="E4400" i="10"/>
  <c r="D4400" i="10"/>
  <c r="C4400" i="10"/>
  <c r="B4400" i="10"/>
  <c r="A4400" i="10"/>
  <c r="E4399" i="10"/>
  <c r="D4399" i="10"/>
  <c r="C4399" i="10"/>
  <c r="B4399" i="10"/>
  <c r="A4399" i="10"/>
  <c r="E4398" i="10"/>
  <c r="D4398" i="10"/>
  <c r="C4398" i="10"/>
  <c r="B4398" i="10"/>
  <c r="A4398" i="10"/>
  <c r="E4397" i="10"/>
  <c r="D4397" i="10"/>
  <c r="C4397" i="10"/>
  <c r="B4397" i="10"/>
  <c r="A4397" i="10"/>
  <c r="E4396" i="10"/>
  <c r="D4396" i="10"/>
  <c r="C4396" i="10"/>
  <c r="B4396" i="10"/>
  <c r="A4396" i="10"/>
  <c r="E4395" i="10"/>
  <c r="D4395" i="10"/>
  <c r="C4395" i="10"/>
  <c r="B4395" i="10"/>
  <c r="A4395" i="10"/>
  <c r="E4394" i="10"/>
  <c r="D4394" i="10"/>
  <c r="C4394" i="10"/>
  <c r="B4394" i="10"/>
  <c r="A4394" i="10"/>
  <c r="E4393" i="10"/>
  <c r="D4393" i="10"/>
  <c r="C4393" i="10"/>
  <c r="B4393" i="10"/>
  <c r="A4393" i="10"/>
  <c r="E4392" i="10"/>
  <c r="D4392" i="10"/>
  <c r="C4392" i="10"/>
  <c r="B4392" i="10"/>
  <c r="A4392" i="10"/>
  <c r="E4391" i="10"/>
  <c r="D4391" i="10"/>
  <c r="C4391" i="10"/>
  <c r="B4391" i="10"/>
  <c r="A4391" i="10"/>
  <c r="E4390" i="10"/>
  <c r="D4390" i="10"/>
  <c r="C4390" i="10"/>
  <c r="B4390" i="10"/>
  <c r="A4390" i="10"/>
  <c r="E4389" i="10"/>
  <c r="D4389" i="10"/>
  <c r="C4389" i="10"/>
  <c r="B4389" i="10"/>
  <c r="A4389" i="10"/>
  <c r="E4388" i="10"/>
  <c r="D4388" i="10"/>
  <c r="C4388" i="10"/>
  <c r="B4388" i="10"/>
  <c r="A4388" i="10"/>
  <c r="E4387" i="10"/>
  <c r="D4387" i="10"/>
  <c r="C4387" i="10"/>
  <c r="B4387" i="10"/>
  <c r="A4387" i="10"/>
  <c r="E4386" i="10"/>
  <c r="D4386" i="10"/>
  <c r="C4386" i="10"/>
  <c r="B4386" i="10"/>
  <c r="A4386" i="10"/>
  <c r="E4385" i="10"/>
  <c r="D4385" i="10"/>
  <c r="C4385" i="10"/>
  <c r="B4385" i="10"/>
  <c r="A4385" i="10"/>
  <c r="E4384" i="10"/>
  <c r="D4384" i="10"/>
  <c r="C4384" i="10"/>
  <c r="B4384" i="10"/>
  <c r="A4384" i="10"/>
  <c r="E4383" i="10"/>
  <c r="D4383" i="10"/>
  <c r="C4383" i="10"/>
  <c r="B4383" i="10"/>
  <c r="A4383" i="10"/>
  <c r="E4382" i="10"/>
  <c r="D4382" i="10"/>
  <c r="C4382" i="10"/>
  <c r="B4382" i="10"/>
  <c r="A4382" i="10"/>
  <c r="E4381" i="10"/>
  <c r="D4381" i="10"/>
  <c r="C4381" i="10"/>
  <c r="B4381" i="10"/>
  <c r="A4381" i="10"/>
  <c r="E4380" i="10"/>
  <c r="D4380" i="10"/>
  <c r="C4380" i="10"/>
  <c r="B4380" i="10"/>
  <c r="A4380" i="10"/>
  <c r="E4379" i="10"/>
  <c r="D4379" i="10"/>
  <c r="C4379" i="10"/>
  <c r="B4379" i="10"/>
  <c r="A4379" i="10"/>
  <c r="E4378" i="10"/>
  <c r="D4378" i="10"/>
  <c r="C4378" i="10"/>
  <c r="B4378" i="10"/>
  <c r="A4378" i="10"/>
  <c r="E4377" i="10"/>
  <c r="D4377" i="10"/>
  <c r="C4377" i="10"/>
  <c r="B4377" i="10"/>
  <c r="A4377" i="10"/>
  <c r="E4376" i="10"/>
  <c r="D4376" i="10"/>
  <c r="C4376" i="10"/>
  <c r="B4376" i="10"/>
  <c r="A4376" i="10"/>
  <c r="E4375" i="10"/>
  <c r="D4375" i="10"/>
  <c r="C4375" i="10"/>
  <c r="B4375" i="10"/>
  <c r="A4375" i="10"/>
  <c r="E4374" i="10"/>
  <c r="D4374" i="10"/>
  <c r="C4374" i="10"/>
  <c r="B4374" i="10"/>
  <c r="A4374" i="10"/>
  <c r="E4373" i="10"/>
  <c r="D4373" i="10"/>
  <c r="C4373" i="10"/>
  <c r="B4373" i="10"/>
  <c r="A4373" i="10"/>
  <c r="E4372" i="10"/>
  <c r="D4372" i="10"/>
  <c r="C4372" i="10"/>
  <c r="B4372" i="10"/>
  <c r="A4372" i="10"/>
  <c r="E4371" i="10"/>
  <c r="D4371" i="10"/>
  <c r="C4371" i="10"/>
  <c r="B4371" i="10"/>
  <c r="A4371" i="10"/>
  <c r="E4370" i="10"/>
  <c r="D4370" i="10"/>
  <c r="C4370" i="10"/>
  <c r="B4370" i="10"/>
  <c r="A4370" i="10"/>
  <c r="E4369" i="10"/>
  <c r="D4369" i="10"/>
  <c r="C4369" i="10"/>
  <c r="B4369" i="10"/>
  <c r="A4369" i="10"/>
  <c r="E4368" i="10"/>
  <c r="D4368" i="10"/>
  <c r="C4368" i="10"/>
  <c r="B4368" i="10"/>
  <c r="A4368" i="10"/>
  <c r="E4367" i="10"/>
  <c r="D4367" i="10"/>
  <c r="C4367" i="10"/>
  <c r="B4367" i="10"/>
  <c r="A4367" i="10"/>
  <c r="E4366" i="10"/>
  <c r="D4366" i="10"/>
  <c r="C4366" i="10"/>
  <c r="B4366" i="10"/>
  <c r="A4366" i="10"/>
  <c r="E4365" i="10"/>
  <c r="D4365" i="10"/>
  <c r="C4365" i="10"/>
  <c r="B4365" i="10"/>
  <c r="A4365" i="10"/>
  <c r="E4364" i="10"/>
  <c r="D4364" i="10"/>
  <c r="C4364" i="10"/>
  <c r="B4364" i="10"/>
  <c r="A4364" i="10"/>
  <c r="E4363" i="10"/>
  <c r="D4363" i="10"/>
  <c r="C4363" i="10"/>
  <c r="B4363" i="10"/>
  <c r="A4363" i="10"/>
  <c r="E4362" i="10"/>
  <c r="D4362" i="10"/>
  <c r="C4362" i="10"/>
  <c r="B4362" i="10"/>
  <c r="A4362" i="10"/>
  <c r="E4361" i="10"/>
  <c r="D4361" i="10"/>
  <c r="C4361" i="10"/>
  <c r="B4361" i="10"/>
  <c r="A4361" i="10"/>
  <c r="E4360" i="10"/>
  <c r="D4360" i="10"/>
  <c r="C4360" i="10"/>
  <c r="B4360" i="10"/>
  <c r="A4360" i="10"/>
  <c r="E4359" i="10"/>
  <c r="D4359" i="10"/>
  <c r="C4359" i="10"/>
  <c r="B4359" i="10"/>
  <c r="A4359" i="10"/>
  <c r="E4358" i="10"/>
  <c r="D4358" i="10"/>
  <c r="C4358" i="10"/>
  <c r="B4358" i="10"/>
  <c r="A4358" i="10"/>
  <c r="E4357" i="10"/>
  <c r="D4357" i="10"/>
  <c r="C4357" i="10"/>
  <c r="B4357" i="10"/>
  <c r="A4357" i="10"/>
  <c r="E4356" i="10"/>
  <c r="D4356" i="10"/>
  <c r="C4356" i="10"/>
  <c r="B4356" i="10"/>
  <c r="A4356" i="10"/>
  <c r="E4355" i="10"/>
  <c r="D4355" i="10"/>
  <c r="C4355" i="10"/>
  <c r="B4355" i="10"/>
  <c r="A4355" i="10"/>
  <c r="E4354" i="10"/>
  <c r="D4354" i="10"/>
  <c r="C4354" i="10"/>
  <c r="B4354" i="10"/>
  <c r="A4354" i="10"/>
  <c r="E4353" i="10"/>
  <c r="D4353" i="10"/>
  <c r="C4353" i="10"/>
  <c r="B4353" i="10"/>
  <c r="A4353" i="10"/>
  <c r="E4352" i="10"/>
  <c r="D4352" i="10"/>
  <c r="C4352" i="10"/>
  <c r="B4352" i="10"/>
  <c r="A4352" i="10"/>
  <c r="E4351" i="10"/>
  <c r="D4351" i="10"/>
  <c r="C4351" i="10"/>
  <c r="B4351" i="10"/>
  <c r="A4351" i="10"/>
  <c r="E4350" i="10"/>
  <c r="D4350" i="10"/>
  <c r="C4350" i="10"/>
  <c r="B4350" i="10"/>
  <c r="A4350" i="10"/>
  <c r="E4349" i="10"/>
  <c r="D4349" i="10"/>
  <c r="C4349" i="10"/>
  <c r="B4349" i="10"/>
  <c r="A4349" i="10"/>
  <c r="E4348" i="10"/>
  <c r="D4348" i="10"/>
  <c r="C4348" i="10"/>
  <c r="B4348" i="10"/>
  <c r="A4348" i="10"/>
  <c r="E4347" i="10"/>
  <c r="D4347" i="10"/>
  <c r="C4347" i="10"/>
  <c r="B4347" i="10"/>
  <c r="A4347" i="10"/>
  <c r="E4346" i="10"/>
  <c r="D4346" i="10"/>
  <c r="C4346" i="10"/>
  <c r="B4346" i="10"/>
  <c r="A4346" i="10"/>
  <c r="E4345" i="10"/>
  <c r="D4345" i="10"/>
  <c r="C4345" i="10"/>
  <c r="B4345" i="10"/>
  <c r="A4345" i="10"/>
  <c r="E4344" i="10"/>
  <c r="D4344" i="10"/>
  <c r="C4344" i="10"/>
  <c r="B4344" i="10"/>
  <c r="A4344" i="10"/>
  <c r="E4343" i="10"/>
  <c r="D4343" i="10"/>
  <c r="C4343" i="10"/>
  <c r="B4343" i="10"/>
  <c r="A4343" i="10"/>
  <c r="E4342" i="10"/>
  <c r="D4342" i="10"/>
  <c r="C4342" i="10"/>
  <c r="B4342" i="10"/>
  <c r="A4342" i="10"/>
  <c r="E4341" i="10"/>
  <c r="D4341" i="10"/>
  <c r="C4341" i="10"/>
  <c r="B4341" i="10"/>
  <c r="A4341" i="10"/>
  <c r="E4340" i="10"/>
  <c r="D4340" i="10"/>
  <c r="C4340" i="10"/>
  <c r="B4340" i="10"/>
  <c r="A4340" i="10"/>
  <c r="E4339" i="10"/>
  <c r="D4339" i="10"/>
  <c r="C4339" i="10"/>
  <c r="B4339" i="10"/>
  <c r="A4339" i="10"/>
  <c r="E4338" i="10"/>
  <c r="D4338" i="10"/>
  <c r="C4338" i="10"/>
  <c r="B4338" i="10"/>
  <c r="A4338" i="10"/>
  <c r="E4337" i="10"/>
  <c r="D4337" i="10"/>
  <c r="C4337" i="10"/>
  <c r="B4337" i="10"/>
  <c r="A4337" i="10"/>
  <c r="E4336" i="10"/>
  <c r="D4336" i="10"/>
  <c r="C4336" i="10"/>
  <c r="B4336" i="10"/>
  <c r="A4336" i="10"/>
  <c r="E4335" i="10"/>
  <c r="D4335" i="10"/>
  <c r="C4335" i="10"/>
  <c r="B4335" i="10"/>
  <c r="A4335" i="10"/>
  <c r="E4334" i="10"/>
  <c r="D4334" i="10"/>
  <c r="C4334" i="10"/>
  <c r="B4334" i="10"/>
  <c r="A4334" i="10"/>
  <c r="E4333" i="10"/>
  <c r="D4333" i="10"/>
  <c r="C4333" i="10"/>
  <c r="B4333" i="10"/>
  <c r="A4333" i="10"/>
  <c r="E4332" i="10"/>
  <c r="D4332" i="10"/>
  <c r="C4332" i="10"/>
  <c r="B4332" i="10"/>
  <c r="A4332" i="10"/>
  <c r="E4331" i="10"/>
  <c r="D4331" i="10"/>
  <c r="C4331" i="10"/>
  <c r="B4331" i="10"/>
  <c r="A4331" i="10"/>
  <c r="E4330" i="10"/>
  <c r="D4330" i="10"/>
  <c r="C4330" i="10"/>
  <c r="B4330" i="10"/>
  <c r="A4330" i="10"/>
  <c r="E4329" i="10"/>
  <c r="D4329" i="10"/>
  <c r="C4329" i="10"/>
  <c r="B4329" i="10"/>
  <c r="A4329" i="10"/>
  <c r="E4328" i="10"/>
  <c r="D4328" i="10"/>
  <c r="C4328" i="10"/>
  <c r="B4328" i="10"/>
  <c r="A4328" i="10"/>
  <c r="E4327" i="10"/>
  <c r="D4327" i="10"/>
  <c r="C4327" i="10"/>
  <c r="B4327" i="10"/>
  <c r="A4327" i="10"/>
  <c r="E4326" i="10"/>
  <c r="D4326" i="10"/>
  <c r="C4326" i="10"/>
  <c r="B4326" i="10"/>
  <c r="A4326" i="10"/>
  <c r="E4325" i="10"/>
  <c r="D4325" i="10"/>
  <c r="C4325" i="10"/>
  <c r="B4325" i="10"/>
  <c r="A4325" i="10"/>
  <c r="E4324" i="10"/>
  <c r="D4324" i="10"/>
  <c r="C4324" i="10"/>
  <c r="B4324" i="10"/>
  <c r="A4324" i="10"/>
  <c r="E4323" i="10"/>
  <c r="D4323" i="10"/>
  <c r="C4323" i="10"/>
  <c r="B4323" i="10"/>
  <c r="A4323" i="10"/>
  <c r="E4322" i="10"/>
  <c r="D4322" i="10"/>
  <c r="C4322" i="10"/>
  <c r="B4322" i="10"/>
  <c r="A4322" i="10"/>
  <c r="E4321" i="10"/>
  <c r="D4321" i="10"/>
  <c r="C4321" i="10"/>
  <c r="B4321" i="10"/>
  <c r="A4321" i="10"/>
  <c r="E4320" i="10"/>
  <c r="D4320" i="10"/>
  <c r="C4320" i="10"/>
  <c r="B4320" i="10"/>
  <c r="A4320" i="10"/>
  <c r="E4319" i="10"/>
  <c r="D4319" i="10"/>
  <c r="C4319" i="10"/>
  <c r="B4319" i="10"/>
  <c r="A4319" i="10"/>
  <c r="E4318" i="10"/>
  <c r="D4318" i="10"/>
  <c r="C4318" i="10"/>
  <c r="B4318" i="10"/>
  <c r="A4318" i="10"/>
  <c r="E4317" i="10"/>
  <c r="D4317" i="10"/>
  <c r="C4317" i="10"/>
  <c r="B4317" i="10"/>
  <c r="A4317" i="10"/>
  <c r="E4316" i="10"/>
  <c r="D4316" i="10"/>
  <c r="C4316" i="10"/>
  <c r="B4316" i="10"/>
  <c r="A4316" i="10"/>
  <c r="E4315" i="10"/>
  <c r="D4315" i="10"/>
  <c r="C4315" i="10"/>
  <c r="B4315" i="10"/>
  <c r="A4315" i="10"/>
  <c r="E4314" i="10"/>
  <c r="D4314" i="10"/>
  <c r="C4314" i="10"/>
  <c r="B4314" i="10"/>
  <c r="A4314" i="10"/>
  <c r="E4313" i="10"/>
  <c r="D4313" i="10"/>
  <c r="C4313" i="10"/>
  <c r="B4313" i="10"/>
  <c r="A4313" i="10"/>
  <c r="E4312" i="10"/>
  <c r="D4312" i="10"/>
  <c r="C4312" i="10"/>
  <c r="B4312" i="10"/>
  <c r="A4312" i="10"/>
  <c r="E4311" i="10"/>
  <c r="D4311" i="10"/>
  <c r="C4311" i="10"/>
  <c r="B4311" i="10"/>
  <c r="A4311" i="10"/>
  <c r="E4310" i="10"/>
  <c r="D4310" i="10"/>
  <c r="C4310" i="10"/>
  <c r="B4310" i="10"/>
  <c r="A4310" i="10"/>
  <c r="E4309" i="10"/>
  <c r="D4309" i="10"/>
  <c r="C4309" i="10"/>
  <c r="B4309" i="10"/>
  <c r="A4309" i="10"/>
  <c r="E4308" i="10"/>
  <c r="D4308" i="10"/>
  <c r="C4308" i="10"/>
  <c r="B4308" i="10"/>
  <c r="A4308" i="10"/>
  <c r="E4307" i="10"/>
  <c r="D4307" i="10"/>
  <c r="C4307" i="10"/>
  <c r="B4307" i="10"/>
  <c r="A4307" i="10"/>
  <c r="E4306" i="10"/>
  <c r="D4306" i="10"/>
  <c r="C4306" i="10"/>
  <c r="B4306" i="10"/>
  <c r="A4306" i="10"/>
  <c r="E4305" i="10"/>
  <c r="D4305" i="10"/>
  <c r="C4305" i="10"/>
  <c r="B4305" i="10"/>
  <c r="A4305" i="10"/>
  <c r="E4304" i="10"/>
  <c r="D4304" i="10"/>
  <c r="C4304" i="10"/>
  <c r="B4304" i="10"/>
  <c r="A4304" i="10"/>
  <c r="E4303" i="10"/>
  <c r="D4303" i="10"/>
  <c r="C4303" i="10"/>
  <c r="B4303" i="10"/>
  <c r="A4303" i="10"/>
  <c r="E4302" i="10"/>
  <c r="D4302" i="10"/>
  <c r="C4302" i="10"/>
  <c r="B4302" i="10"/>
  <c r="A4302" i="10"/>
  <c r="E4301" i="10"/>
  <c r="D4301" i="10"/>
  <c r="C4301" i="10"/>
  <c r="B4301" i="10"/>
  <c r="A4301" i="10"/>
  <c r="E4300" i="10"/>
  <c r="D4300" i="10"/>
  <c r="C4300" i="10"/>
  <c r="B4300" i="10"/>
  <c r="A4300" i="10"/>
  <c r="E4299" i="10"/>
  <c r="D4299" i="10"/>
  <c r="C4299" i="10"/>
  <c r="B4299" i="10"/>
  <c r="A4299" i="10"/>
  <c r="E4298" i="10"/>
  <c r="D4298" i="10"/>
  <c r="C4298" i="10"/>
  <c r="B4298" i="10"/>
  <c r="A4298" i="10"/>
  <c r="E4297" i="10"/>
  <c r="D4297" i="10"/>
  <c r="C4297" i="10"/>
  <c r="B4297" i="10"/>
  <c r="A4297" i="10"/>
  <c r="E4296" i="10"/>
  <c r="D4296" i="10"/>
  <c r="C4296" i="10"/>
  <c r="B4296" i="10"/>
  <c r="A4296" i="10"/>
  <c r="E4295" i="10"/>
  <c r="D4295" i="10"/>
  <c r="C4295" i="10"/>
  <c r="B4295" i="10"/>
  <c r="A4295" i="10"/>
  <c r="E4294" i="10"/>
  <c r="D4294" i="10"/>
  <c r="C4294" i="10"/>
  <c r="B4294" i="10"/>
  <c r="A4294" i="10"/>
  <c r="E4293" i="10"/>
  <c r="D4293" i="10"/>
  <c r="C4293" i="10"/>
  <c r="B4293" i="10"/>
  <c r="A4293" i="10"/>
  <c r="E4292" i="10"/>
  <c r="D4292" i="10"/>
  <c r="C4292" i="10"/>
  <c r="B4292" i="10"/>
  <c r="A4292" i="10"/>
  <c r="E4291" i="10"/>
  <c r="D4291" i="10"/>
  <c r="C4291" i="10"/>
  <c r="B4291" i="10"/>
  <c r="A4291" i="10"/>
  <c r="E4290" i="10"/>
  <c r="D4290" i="10"/>
  <c r="C4290" i="10"/>
  <c r="B4290" i="10"/>
  <c r="A4290" i="10"/>
  <c r="E4289" i="10"/>
  <c r="D4289" i="10"/>
  <c r="C4289" i="10"/>
  <c r="B4289" i="10"/>
  <c r="A4289" i="10"/>
  <c r="E4288" i="10"/>
  <c r="D4288" i="10"/>
  <c r="C4288" i="10"/>
  <c r="B4288" i="10"/>
  <c r="A4288" i="10"/>
  <c r="E4287" i="10"/>
  <c r="D4287" i="10"/>
  <c r="C4287" i="10"/>
  <c r="B4287" i="10"/>
  <c r="A4287" i="10"/>
  <c r="E4286" i="10"/>
  <c r="D4286" i="10"/>
  <c r="C4286" i="10"/>
  <c r="B4286" i="10"/>
  <c r="A4286" i="10"/>
  <c r="E4285" i="10"/>
  <c r="D4285" i="10"/>
  <c r="C4285" i="10"/>
  <c r="B4285" i="10"/>
  <c r="A4285" i="10"/>
  <c r="E4284" i="10"/>
  <c r="D4284" i="10"/>
  <c r="C4284" i="10"/>
  <c r="B4284" i="10"/>
  <c r="A4284" i="10"/>
  <c r="E4283" i="10"/>
  <c r="D4283" i="10"/>
  <c r="C4283" i="10"/>
  <c r="B4283" i="10"/>
  <c r="A4283" i="10"/>
  <c r="E4282" i="10"/>
  <c r="D4282" i="10"/>
  <c r="C4282" i="10"/>
  <c r="B4282" i="10"/>
  <c r="A4282" i="10"/>
  <c r="E4281" i="10"/>
  <c r="D4281" i="10"/>
  <c r="C4281" i="10"/>
  <c r="B4281" i="10"/>
  <c r="A4281" i="10"/>
  <c r="E4280" i="10"/>
  <c r="D4280" i="10"/>
  <c r="C4280" i="10"/>
  <c r="B4280" i="10"/>
  <c r="A4280" i="10"/>
  <c r="E4279" i="10"/>
  <c r="D4279" i="10"/>
  <c r="C4279" i="10"/>
  <c r="B4279" i="10"/>
  <c r="A4279" i="10"/>
  <c r="E4278" i="10"/>
  <c r="D4278" i="10"/>
  <c r="C4278" i="10"/>
  <c r="B4278" i="10"/>
  <c r="A4278" i="10"/>
  <c r="E4277" i="10"/>
  <c r="D4277" i="10"/>
  <c r="C4277" i="10"/>
  <c r="B4277" i="10"/>
  <c r="A4277" i="10"/>
  <c r="E4276" i="10"/>
  <c r="D4276" i="10"/>
  <c r="C4276" i="10"/>
  <c r="B4276" i="10"/>
  <c r="A4276" i="10"/>
  <c r="E4275" i="10"/>
  <c r="D4275" i="10"/>
  <c r="C4275" i="10"/>
  <c r="B4275" i="10"/>
  <c r="A4275" i="10"/>
  <c r="E4274" i="10"/>
  <c r="D4274" i="10"/>
  <c r="C4274" i="10"/>
  <c r="B4274" i="10"/>
  <c r="A4274" i="10"/>
  <c r="E4273" i="10"/>
  <c r="D4273" i="10"/>
  <c r="C4273" i="10"/>
  <c r="B4273" i="10"/>
  <c r="A4273" i="10"/>
  <c r="E4272" i="10"/>
  <c r="D4272" i="10"/>
  <c r="C4272" i="10"/>
  <c r="B4272" i="10"/>
  <c r="A4272" i="10"/>
  <c r="E4271" i="10"/>
  <c r="D4271" i="10"/>
  <c r="C4271" i="10"/>
  <c r="B4271" i="10"/>
  <c r="A4271" i="10"/>
  <c r="E4270" i="10"/>
  <c r="D4270" i="10"/>
  <c r="C4270" i="10"/>
  <c r="B4270" i="10"/>
  <c r="A4270" i="10"/>
  <c r="E4269" i="10"/>
  <c r="D4269" i="10"/>
  <c r="C4269" i="10"/>
  <c r="B4269" i="10"/>
  <c r="A4269" i="10"/>
  <c r="E4268" i="10"/>
  <c r="D4268" i="10"/>
  <c r="C4268" i="10"/>
  <c r="B4268" i="10"/>
  <c r="A4268" i="10"/>
  <c r="E4267" i="10"/>
  <c r="D4267" i="10"/>
  <c r="C4267" i="10"/>
  <c r="B4267" i="10"/>
  <c r="A4267" i="10"/>
  <c r="E4266" i="10"/>
  <c r="D4266" i="10"/>
  <c r="C4266" i="10"/>
  <c r="B4266" i="10"/>
  <c r="A4266" i="10"/>
  <c r="E4265" i="10"/>
  <c r="D4265" i="10"/>
  <c r="C4265" i="10"/>
  <c r="B4265" i="10"/>
  <c r="A4265" i="10"/>
  <c r="E4264" i="10"/>
  <c r="D4264" i="10"/>
  <c r="C4264" i="10"/>
  <c r="B4264" i="10"/>
  <c r="A4264" i="10"/>
  <c r="E4263" i="10"/>
  <c r="D4263" i="10"/>
  <c r="C4263" i="10"/>
  <c r="B4263" i="10"/>
  <c r="A4263" i="10"/>
  <c r="E4262" i="10"/>
  <c r="D4262" i="10"/>
  <c r="C4262" i="10"/>
  <c r="B4262" i="10"/>
  <c r="A4262" i="10"/>
  <c r="E4261" i="10"/>
  <c r="D4261" i="10"/>
  <c r="C4261" i="10"/>
  <c r="B4261" i="10"/>
  <c r="A4261" i="10"/>
  <c r="E4260" i="10"/>
  <c r="D4260" i="10"/>
  <c r="C4260" i="10"/>
  <c r="B4260" i="10"/>
  <c r="A4260" i="10"/>
  <c r="E4259" i="10"/>
  <c r="D4259" i="10"/>
  <c r="C4259" i="10"/>
  <c r="B4259" i="10"/>
  <c r="A4259" i="10"/>
  <c r="E4258" i="10"/>
  <c r="D4258" i="10"/>
  <c r="C4258" i="10"/>
  <c r="B4258" i="10"/>
  <c r="A4258" i="10"/>
  <c r="E4257" i="10"/>
  <c r="D4257" i="10"/>
  <c r="C4257" i="10"/>
  <c r="B4257" i="10"/>
  <c r="A4257" i="10"/>
  <c r="E4256" i="10"/>
  <c r="D4256" i="10"/>
  <c r="C4256" i="10"/>
  <c r="B4256" i="10"/>
  <c r="A4256" i="10"/>
  <c r="E4255" i="10"/>
  <c r="D4255" i="10"/>
  <c r="C4255" i="10"/>
  <c r="B4255" i="10"/>
  <c r="A4255" i="10"/>
  <c r="E4254" i="10"/>
  <c r="D4254" i="10"/>
  <c r="C4254" i="10"/>
  <c r="B4254" i="10"/>
  <c r="A4254" i="10"/>
  <c r="E4253" i="10"/>
  <c r="D4253" i="10"/>
  <c r="C4253" i="10"/>
  <c r="B4253" i="10"/>
  <c r="A4253" i="10"/>
  <c r="E4252" i="10"/>
  <c r="D4252" i="10"/>
  <c r="C4252" i="10"/>
  <c r="B4252" i="10"/>
  <c r="A4252" i="10"/>
  <c r="E4251" i="10"/>
  <c r="D4251" i="10"/>
  <c r="C4251" i="10"/>
  <c r="B4251" i="10"/>
  <c r="A4251" i="10"/>
  <c r="E4250" i="10"/>
  <c r="D4250" i="10"/>
  <c r="C4250" i="10"/>
  <c r="B4250" i="10"/>
  <c r="A4250" i="10"/>
  <c r="E4249" i="10"/>
  <c r="D4249" i="10"/>
  <c r="C4249" i="10"/>
  <c r="B4249" i="10"/>
  <c r="A4249" i="10"/>
  <c r="E4248" i="10"/>
  <c r="D4248" i="10"/>
  <c r="C4248" i="10"/>
  <c r="B4248" i="10"/>
  <c r="A4248" i="10"/>
  <c r="E4247" i="10"/>
  <c r="D4247" i="10"/>
  <c r="C4247" i="10"/>
  <c r="B4247" i="10"/>
  <c r="A4247" i="10"/>
  <c r="E4246" i="10"/>
  <c r="D4246" i="10"/>
  <c r="C4246" i="10"/>
  <c r="B4246" i="10"/>
  <c r="A4246" i="10"/>
  <c r="E4245" i="10"/>
  <c r="D4245" i="10"/>
  <c r="C4245" i="10"/>
  <c r="B4245" i="10"/>
  <c r="A4245" i="10"/>
  <c r="E4244" i="10"/>
  <c r="D4244" i="10"/>
  <c r="C4244" i="10"/>
  <c r="B4244" i="10"/>
  <c r="A4244" i="10"/>
  <c r="E4243" i="10"/>
  <c r="D4243" i="10"/>
  <c r="C4243" i="10"/>
  <c r="B4243" i="10"/>
  <c r="A4243" i="10"/>
  <c r="E4242" i="10"/>
  <c r="D4242" i="10"/>
  <c r="C4242" i="10"/>
  <c r="B4242" i="10"/>
  <c r="A4242" i="10"/>
  <c r="E4241" i="10"/>
  <c r="D4241" i="10"/>
  <c r="C4241" i="10"/>
  <c r="B4241" i="10"/>
  <c r="A4241" i="10"/>
  <c r="E4240" i="10"/>
  <c r="D4240" i="10"/>
  <c r="C4240" i="10"/>
  <c r="B4240" i="10"/>
  <c r="A4240" i="10"/>
  <c r="E4239" i="10"/>
  <c r="D4239" i="10"/>
  <c r="C4239" i="10"/>
  <c r="B4239" i="10"/>
  <c r="A4239" i="10"/>
  <c r="E4238" i="10"/>
  <c r="D4238" i="10"/>
  <c r="C4238" i="10"/>
  <c r="B4238" i="10"/>
  <c r="A4238" i="10"/>
  <c r="E4237" i="10"/>
  <c r="D4237" i="10"/>
  <c r="C4237" i="10"/>
  <c r="B4237" i="10"/>
  <c r="A4237" i="10"/>
  <c r="E4236" i="10"/>
  <c r="D4236" i="10"/>
  <c r="C4236" i="10"/>
  <c r="B4236" i="10"/>
  <c r="A4236" i="10"/>
  <c r="E4235" i="10"/>
  <c r="D4235" i="10"/>
  <c r="C4235" i="10"/>
  <c r="B4235" i="10"/>
  <c r="A4235" i="10"/>
  <c r="E4234" i="10"/>
  <c r="D4234" i="10"/>
  <c r="C4234" i="10"/>
  <c r="B4234" i="10"/>
  <c r="A4234" i="10"/>
  <c r="E4233" i="10"/>
  <c r="D4233" i="10"/>
  <c r="C4233" i="10"/>
  <c r="B4233" i="10"/>
  <c r="A4233" i="10"/>
  <c r="E4232" i="10"/>
  <c r="D4232" i="10"/>
  <c r="C4232" i="10"/>
  <c r="B4232" i="10"/>
  <c r="A4232" i="10"/>
  <c r="E4231" i="10"/>
  <c r="D4231" i="10"/>
  <c r="C4231" i="10"/>
  <c r="B4231" i="10"/>
  <c r="A4231" i="10"/>
  <c r="E4230" i="10"/>
  <c r="D4230" i="10"/>
  <c r="C4230" i="10"/>
  <c r="B4230" i="10"/>
  <c r="A4230" i="10"/>
  <c r="E4229" i="10"/>
  <c r="D4229" i="10"/>
  <c r="C4229" i="10"/>
  <c r="B4229" i="10"/>
  <c r="A4229" i="10"/>
  <c r="E4228" i="10"/>
  <c r="D4228" i="10"/>
  <c r="C4228" i="10"/>
  <c r="B4228" i="10"/>
  <c r="A4228" i="10"/>
  <c r="E4227" i="10"/>
  <c r="D4227" i="10"/>
  <c r="C4227" i="10"/>
  <c r="B4227" i="10"/>
  <c r="A4227" i="10"/>
  <c r="E4226" i="10"/>
  <c r="D4226" i="10"/>
  <c r="C4226" i="10"/>
  <c r="B4226" i="10"/>
  <c r="A4226" i="10"/>
  <c r="E4225" i="10"/>
  <c r="D4225" i="10"/>
  <c r="C4225" i="10"/>
  <c r="B4225" i="10"/>
  <c r="A4225" i="10"/>
  <c r="E4224" i="10"/>
  <c r="D4224" i="10"/>
  <c r="C4224" i="10"/>
  <c r="B4224" i="10"/>
  <c r="A4224" i="10"/>
  <c r="E4223" i="10"/>
  <c r="D4223" i="10"/>
  <c r="C4223" i="10"/>
  <c r="B4223" i="10"/>
  <c r="A4223" i="10"/>
  <c r="E4222" i="10"/>
  <c r="D4222" i="10"/>
  <c r="C4222" i="10"/>
  <c r="B4222" i="10"/>
  <c r="A4222" i="10"/>
  <c r="E4221" i="10"/>
  <c r="D4221" i="10"/>
  <c r="C4221" i="10"/>
  <c r="B4221" i="10"/>
  <c r="A4221" i="10"/>
  <c r="E4220" i="10"/>
  <c r="D4220" i="10"/>
  <c r="C4220" i="10"/>
  <c r="B4220" i="10"/>
  <c r="A4220" i="10"/>
  <c r="E4219" i="10"/>
  <c r="D4219" i="10"/>
  <c r="C4219" i="10"/>
  <c r="B4219" i="10"/>
  <c r="A4219" i="10"/>
  <c r="E4218" i="10"/>
  <c r="D4218" i="10"/>
  <c r="C4218" i="10"/>
  <c r="B4218" i="10"/>
  <c r="A4218" i="10"/>
  <c r="E4217" i="10"/>
  <c r="D4217" i="10"/>
  <c r="C4217" i="10"/>
  <c r="B4217" i="10"/>
  <c r="A4217" i="10"/>
  <c r="E4216" i="10"/>
  <c r="D4216" i="10"/>
  <c r="C4216" i="10"/>
  <c r="B4216" i="10"/>
  <c r="A4216" i="10"/>
  <c r="E4215" i="10"/>
  <c r="D4215" i="10"/>
  <c r="C4215" i="10"/>
  <c r="B4215" i="10"/>
  <c r="A4215" i="10"/>
  <c r="E4214" i="10"/>
  <c r="D4214" i="10"/>
  <c r="C4214" i="10"/>
  <c r="B4214" i="10"/>
  <c r="A4214" i="10"/>
  <c r="E4213" i="10"/>
  <c r="D4213" i="10"/>
  <c r="C4213" i="10"/>
  <c r="B4213" i="10"/>
  <c r="A4213" i="10"/>
  <c r="E4212" i="10"/>
  <c r="D4212" i="10"/>
  <c r="C4212" i="10"/>
  <c r="B4212" i="10"/>
  <c r="A4212" i="10"/>
  <c r="E4211" i="10"/>
  <c r="D4211" i="10"/>
  <c r="C4211" i="10"/>
  <c r="B4211" i="10"/>
  <c r="A4211" i="10"/>
  <c r="E4210" i="10"/>
  <c r="D4210" i="10"/>
  <c r="C4210" i="10"/>
  <c r="B4210" i="10"/>
  <c r="A4210" i="10"/>
  <c r="E4209" i="10"/>
  <c r="D4209" i="10"/>
  <c r="C4209" i="10"/>
  <c r="B4209" i="10"/>
  <c r="A4209" i="10"/>
  <c r="E4208" i="10"/>
  <c r="D4208" i="10"/>
  <c r="C4208" i="10"/>
  <c r="B4208" i="10"/>
  <c r="A4208" i="10"/>
  <c r="E4207" i="10"/>
  <c r="D4207" i="10"/>
  <c r="C4207" i="10"/>
  <c r="B4207" i="10"/>
  <c r="A4207" i="10"/>
  <c r="E4206" i="10"/>
  <c r="D4206" i="10"/>
  <c r="C4206" i="10"/>
  <c r="B4206" i="10"/>
  <c r="A4206" i="10"/>
  <c r="E4205" i="10"/>
  <c r="D4205" i="10"/>
  <c r="C4205" i="10"/>
  <c r="B4205" i="10"/>
  <c r="A4205" i="10"/>
  <c r="E4204" i="10"/>
  <c r="D4204" i="10"/>
  <c r="C4204" i="10"/>
  <c r="B4204" i="10"/>
  <c r="A4204" i="10"/>
  <c r="E4203" i="10"/>
  <c r="D4203" i="10"/>
  <c r="C4203" i="10"/>
  <c r="B4203" i="10"/>
  <c r="A4203" i="10"/>
  <c r="E4202" i="10"/>
  <c r="D4202" i="10"/>
  <c r="C4202" i="10"/>
  <c r="B4202" i="10"/>
  <c r="A4202" i="10"/>
  <c r="E4201" i="10"/>
  <c r="D4201" i="10"/>
  <c r="C4201" i="10"/>
  <c r="B4201" i="10"/>
  <c r="A4201" i="10"/>
  <c r="E4200" i="10"/>
  <c r="D4200" i="10"/>
  <c r="C4200" i="10"/>
  <c r="B4200" i="10"/>
  <c r="A4200" i="10"/>
  <c r="E4199" i="10"/>
  <c r="D4199" i="10"/>
  <c r="C4199" i="10"/>
  <c r="B4199" i="10"/>
  <c r="A4199" i="10"/>
  <c r="E4198" i="10"/>
  <c r="D4198" i="10"/>
  <c r="C4198" i="10"/>
  <c r="B4198" i="10"/>
  <c r="A4198" i="10"/>
  <c r="E4197" i="10"/>
  <c r="D4197" i="10"/>
  <c r="C4197" i="10"/>
  <c r="B4197" i="10"/>
  <c r="A4197" i="10"/>
  <c r="E4196" i="10"/>
  <c r="D4196" i="10"/>
  <c r="C4196" i="10"/>
  <c r="B4196" i="10"/>
  <c r="A4196" i="10"/>
  <c r="E4195" i="10"/>
  <c r="D4195" i="10"/>
  <c r="C4195" i="10"/>
  <c r="B4195" i="10"/>
  <c r="A4195" i="10"/>
  <c r="E4194" i="10"/>
  <c r="D4194" i="10"/>
  <c r="C4194" i="10"/>
  <c r="B4194" i="10"/>
  <c r="A4194" i="10"/>
  <c r="E4193" i="10"/>
  <c r="D4193" i="10"/>
  <c r="C4193" i="10"/>
  <c r="B4193" i="10"/>
  <c r="A4193" i="10"/>
  <c r="E4192" i="10"/>
  <c r="D4192" i="10"/>
  <c r="C4192" i="10"/>
  <c r="B4192" i="10"/>
  <c r="A4192" i="10"/>
  <c r="E4191" i="10"/>
  <c r="D4191" i="10"/>
  <c r="C4191" i="10"/>
  <c r="B4191" i="10"/>
  <c r="A4191" i="10"/>
  <c r="E4190" i="10"/>
  <c r="D4190" i="10"/>
  <c r="C4190" i="10"/>
  <c r="B4190" i="10"/>
  <c r="A4190" i="10"/>
  <c r="E4189" i="10"/>
  <c r="D4189" i="10"/>
  <c r="C4189" i="10"/>
  <c r="B4189" i="10"/>
  <c r="A4189" i="10"/>
  <c r="E4188" i="10"/>
  <c r="D4188" i="10"/>
  <c r="C4188" i="10"/>
  <c r="B4188" i="10"/>
  <c r="A4188" i="10"/>
  <c r="E4187" i="10"/>
  <c r="D4187" i="10"/>
  <c r="C4187" i="10"/>
  <c r="B4187" i="10"/>
  <c r="A4187" i="10"/>
  <c r="E4186" i="10"/>
  <c r="D4186" i="10"/>
  <c r="C4186" i="10"/>
  <c r="B4186" i="10"/>
  <c r="A4186" i="10"/>
  <c r="E4185" i="10"/>
  <c r="D4185" i="10"/>
  <c r="C4185" i="10"/>
  <c r="B4185" i="10"/>
  <c r="A4185" i="10"/>
  <c r="E4184" i="10"/>
  <c r="D4184" i="10"/>
  <c r="C4184" i="10"/>
  <c r="B4184" i="10"/>
  <c r="A4184" i="10"/>
  <c r="E4183" i="10"/>
  <c r="D4183" i="10"/>
  <c r="C4183" i="10"/>
  <c r="B4183" i="10"/>
  <c r="A4183" i="10"/>
  <c r="E4182" i="10"/>
  <c r="D4182" i="10"/>
  <c r="C4182" i="10"/>
  <c r="B4182" i="10"/>
  <c r="A4182" i="10"/>
  <c r="E4181" i="10"/>
  <c r="D4181" i="10"/>
  <c r="C4181" i="10"/>
  <c r="B4181" i="10"/>
  <c r="A4181" i="10"/>
  <c r="E4180" i="10"/>
  <c r="D4180" i="10"/>
  <c r="C4180" i="10"/>
  <c r="B4180" i="10"/>
  <c r="A4180" i="10"/>
  <c r="E4179" i="10"/>
  <c r="D4179" i="10"/>
  <c r="C4179" i="10"/>
  <c r="B4179" i="10"/>
  <c r="A4179" i="10"/>
  <c r="E4178" i="10"/>
  <c r="D4178" i="10"/>
  <c r="C4178" i="10"/>
  <c r="B4178" i="10"/>
  <c r="A4178" i="10"/>
  <c r="E4177" i="10"/>
  <c r="D4177" i="10"/>
  <c r="C4177" i="10"/>
  <c r="B4177" i="10"/>
  <c r="A4177" i="10"/>
  <c r="E4176" i="10"/>
  <c r="D4176" i="10"/>
  <c r="C4176" i="10"/>
  <c r="B4176" i="10"/>
  <c r="A4176" i="10"/>
  <c r="E4175" i="10"/>
  <c r="D4175" i="10"/>
  <c r="C4175" i="10"/>
  <c r="B4175" i="10"/>
  <c r="A4175" i="10"/>
  <c r="E4174" i="10"/>
  <c r="D4174" i="10"/>
  <c r="C4174" i="10"/>
  <c r="B4174" i="10"/>
  <c r="A4174" i="10"/>
  <c r="E4173" i="10"/>
  <c r="D4173" i="10"/>
  <c r="C4173" i="10"/>
  <c r="B4173" i="10"/>
  <c r="A4173" i="10"/>
  <c r="E4172" i="10"/>
  <c r="D4172" i="10"/>
  <c r="C4172" i="10"/>
  <c r="B4172" i="10"/>
  <c r="A4172" i="10"/>
  <c r="E4171" i="10"/>
  <c r="D4171" i="10"/>
  <c r="C4171" i="10"/>
  <c r="B4171" i="10"/>
  <c r="A4171" i="10"/>
  <c r="E4170" i="10"/>
  <c r="D4170" i="10"/>
  <c r="C4170" i="10"/>
  <c r="B4170" i="10"/>
  <c r="A4170" i="10"/>
  <c r="E4169" i="10"/>
  <c r="D4169" i="10"/>
  <c r="C4169" i="10"/>
  <c r="B4169" i="10"/>
  <c r="A4169" i="10"/>
  <c r="E4168" i="10"/>
  <c r="D4168" i="10"/>
  <c r="C4168" i="10"/>
  <c r="B4168" i="10"/>
  <c r="A4168" i="10"/>
  <c r="E4167" i="10"/>
  <c r="D4167" i="10"/>
  <c r="C4167" i="10"/>
  <c r="B4167" i="10"/>
  <c r="A4167" i="10"/>
  <c r="E4166" i="10"/>
  <c r="D4166" i="10"/>
  <c r="C4166" i="10"/>
  <c r="B4166" i="10"/>
  <c r="A4166" i="10"/>
  <c r="E4165" i="10"/>
  <c r="D4165" i="10"/>
  <c r="C4165" i="10"/>
  <c r="B4165" i="10"/>
  <c r="A4165" i="10"/>
  <c r="E4164" i="10"/>
  <c r="D4164" i="10"/>
  <c r="C4164" i="10"/>
  <c r="B4164" i="10"/>
  <c r="A4164" i="10"/>
  <c r="E4163" i="10"/>
  <c r="D4163" i="10"/>
  <c r="C4163" i="10"/>
  <c r="B4163" i="10"/>
  <c r="A4163" i="10"/>
  <c r="E4162" i="10"/>
  <c r="D4162" i="10"/>
  <c r="C4162" i="10"/>
  <c r="B4162" i="10"/>
  <c r="A4162" i="10"/>
  <c r="E4161" i="10"/>
  <c r="D4161" i="10"/>
  <c r="C4161" i="10"/>
  <c r="B4161" i="10"/>
  <c r="A4161" i="10"/>
  <c r="E4160" i="10"/>
  <c r="D4160" i="10"/>
  <c r="C4160" i="10"/>
  <c r="B4160" i="10"/>
  <c r="A4160" i="10"/>
  <c r="E4159" i="10"/>
  <c r="D4159" i="10"/>
  <c r="C4159" i="10"/>
  <c r="B4159" i="10"/>
  <c r="A4159" i="10"/>
  <c r="E4158" i="10"/>
  <c r="D4158" i="10"/>
  <c r="C4158" i="10"/>
  <c r="B4158" i="10"/>
  <c r="A4158" i="10"/>
  <c r="E4157" i="10"/>
  <c r="D4157" i="10"/>
  <c r="C4157" i="10"/>
  <c r="B4157" i="10"/>
  <c r="A4157" i="10"/>
  <c r="E4156" i="10"/>
  <c r="D4156" i="10"/>
  <c r="C4156" i="10"/>
  <c r="B4156" i="10"/>
  <c r="A4156" i="10"/>
  <c r="E4155" i="10"/>
  <c r="D4155" i="10"/>
  <c r="C4155" i="10"/>
  <c r="B4155" i="10"/>
  <c r="A4155" i="10"/>
  <c r="E4154" i="10"/>
  <c r="D4154" i="10"/>
  <c r="C4154" i="10"/>
  <c r="B4154" i="10"/>
  <c r="A4154" i="10"/>
  <c r="E4153" i="10"/>
  <c r="D4153" i="10"/>
  <c r="C4153" i="10"/>
  <c r="B4153" i="10"/>
  <c r="A4153" i="10"/>
  <c r="E4152" i="10"/>
  <c r="D4152" i="10"/>
  <c r="C4152" i="10"/>
  <c r="B4152" i="10"/>
  <c r="A4152" i="10"/>
  <c r="E4151" i="10"/>
  <c r="D4151" i="10"/>
  <c r="C4151" i="10"/>
  <c r="B4151" i="10"/>
  <c r="A4151" i="10"/>
  <c r="E4150" i="10"/>
  <c r="D4150" i="10"/>
  <c r="C4150" i="10"/>
  <c r="B4150" i="10"/>
  <c r="A4150" i="10"/>
  <c r="E4149" i="10"/>
  <c r="D4149" i="10"/>
  <c r="C4149" i="10"/>
  <c r="B4149" i="10"/>
  <c r="A4149" i="10"/>
  <c r="E4148" i="10"/>
  <c r="D4148" i="10"/>
  <c r="C4148" i="10"/>
  <c r="B4148" i="10"/>
  <c r="A4148" i="10"/>
  <c r="E4147" i="10"/>
  <c r="D4147" i="10"/>
  <c r="C4147" i="10"/>
  <c r="B4147" i="10"/>
  <c r="A4147" i="10"/>
  <c r="E4146" i="10"/>
  <c r="D4146" i="10"/>
  <c r="C4146" i="10"/>
  <c r="B4146" i="10"/>
  <c r="A4146" i="10"/>
  <c r="E4145" i="10"/>
  <c r="D4145" i="10"/>
  <c r="C4145" i="10"/>
  <c r="B4145" i="10"/>
  <c r="A4145" i="10"/>
  <c r="E4144" i="10"/>
  <c r="D4144" i="10"/>
  <c r="C4144" i="10"/>
  <c r="B4144" i="10"/>
  <c r="A4144" i="10"/>
  <c r="E4143" i="10"/>
  <c r="D4143" i="10"/>
  <c r="C4143" i="10"/>
  <c r="B4143" i="10"/>
  <c r="A4143" i="10"/>
  <c r="E4142" i="10"/>
  <c r="D4142" i="10"/>
  <c r="C4142" i="10"/>
  <c r="B4142" i="10"/>
  <c r="A4142" i="10"/>
  <c r="E4141" i="10"/>
  <c r="D4141" i="10"/>
  <c r="C4141" i="10"/>
  <c r="B4141" i="10"/>
  <c r="A4141" i="10"/>
  <c r="E4140" i="10"/>
  <c r="D4140" i="10"/>
  <c r="C4140" i="10"/>
  <c r="B4140" i="10"/>
  <c r="A4140" i="10"/>
  <c r="E4139" i="10"/>
  <c r="D4139" i="10"/>
  <c r="C4139" i="10"/>
  <c r="B4139" i="10"/>
  <c r="A4139" i="10"/>
  <c r="E4138" i="10"/>
  <c r="D4138" i="10"/>
  <c r="C4138" i="10"/>
  <c r="B4138" i="10"/>
  <c r="A4138" i="10"/>
  <c r="E4137" i="10"/>
  <c r="D4137" i="10"/>
  <c r="C4137" i="10"/>
  <c r="B4137" i="10"/>
  <c r="A4137" i="10"/>
  <c r="E4136" i="10"/>
  <c r="D4136" i="10"/>
  <c r="C4136" i="10"/>
  <c r="B4136" i="10"/>
  <c r="A4136" i="10"/>
  <c r="E4135" i="10"/>
  <c r="D4135" i="10"/>
  <c r="C4135" i="10"/>
  <c r="B4135" i="10"/>
  <c r="A4135" i="10"/>
  <c r="E4134" i="10"/>
  <c r="D4134" i="10"/>
  <c r="C4134" i="10"/>
  <c r="B4134" i="10"/>
  <c r="A4134" i="10"/>
  <c r="E4133" i="10"/>
  <c r="D4133" i="10"/>
  <c r="C4133" i="10"/>
  <c r="B4133" i="10"/>
  <c r="A4133" i="10"/>
  <c r="E4132" i="10"/>
  <c r="D4132" i="10"/>
  <c r="C4132" i="10"/>
  <c r="B4132" i="10"/>
  <c r="A4132" i="10"/>
  <c r="E4131" i="10"/>
  <c r="D4131" i="10"/>
  <c r="C4131" i="10"/>
  <c r="B4131" i="10"/>
  <c r="A4131" i="10"/>
  <c r="E4130" i="10"/>
  <c r="D4130" i="10"/>
  <c r="C4130" i="10"/>
  <c r="B4130" i="10"/>
  <c r="A4130" i="10"/>
  <c r="E4129" i="10"/>
  <c r="D4129" i="10"/>
  <c r="C4129" i="10"/>
  <c r="B4129" i="10"/>
  <c r="A4129" i="10"/>
  <c r="E4128" i="10"/>
  <c r="D4128" i="10"/>
  <c r="C4128" i="10"/>
  <c r="B4128" i="10"/>
  <c r="A4128" i="10"/>
  <c r="E4127" i="10"/>
  <c r="D4127" i="10"/>
  <c r="C4127" i="10"/>
  <c r="B4127" i="10"/>
  <c r="A4127" i="10"/>
  <c r="E4126" i="10"/>
  <c r="D4126" i="10"/>
  <c r="C4126" i="10"/>
  <c r="B4126" i="10"/>
  <c r="A4126" i="10"/>
  <c r="E4125" i="10"/>
  <c r="D4125" i="10"/>
  <c r="C4125" i="10"/>
  <c r="B4125" i="10"/>
  <c r="A4125" i="10"/>
  <c r="E4124" i="10"/>
  <c r="D4124" i="10"/>
  <c r="C4124" i="10"/>
  <c r="B4124" i="10"/>
  <c r="A4124" i="10"/>
  <c r="E4123" i="10"/>
  <c r="D4123" i="10"/>
  <c r="C4123" i="10"/>
  <c r="B4123" i="10"/>
  <c r="A4123" i="10"/>
  <c r="E4122" i="10"/>
  <c r="D4122" i="10"/>
  <c r="C4122" i="10"/>
  <c r="B4122" i="10"/>
  <c r="A4122" i="10"/>
  <c r="E4121" i="10"/>
  <c r="D4121" i="10"/>
  <c r="C4121" i="10"/>
  <c r="B4121" i="10"/>
  <c r="A4121" i="10"/>
  <c r="E4120" i="10"/>
  <c r="D4120" i="10"/>
  <c r="C4120" i="10"/>
  <c r="B4120" i="10"/>
  <c r="A4120" i="10"/>
  <c r="E4119" i="10"/>
  <c r="D4119" i="10"/>
  <c r="C4119" i="10"/>
  <c r="B4119" i="10"/>
  <c r="A4119" i="10"/>
  <c r="E4118" i="10"/>
  <c r="D4118" i="10"/>
  <c r="C4118" i="10"/>
  <c r="B4118" i="10"/>
  <c r="A4118" i="10"/>
  <c r="E4117" i="10"/>
  <c r="D4117" i="10"/>
  <c r="C4117" i="10"/>
  <c r="B4117" i="10"/>
  <c r="A4117" i="10"/>
  <c r="E4116" i="10"/>
  <c r="D4116" i="10"/>
  <c r="C4116" i="10"/>
  <c r="B4116" i="10"/>
  <c r="A4116" i="10"/>
  <c r="E4115" i="10"/>
  <c r="D4115" i="10"/>
  <c r="C4115" i="10"/>
  <c r="B4115" i="10"/>
  <c r="A4115" i="10"/>
  <c r="E4114" i="10"/>
  <c r="D4114" i="10"/>
  <c r="C4114" i="10"/>
  <c r="B4114" i="10"/>
  <c r="A4114" i="10"/>
  <c r="E4113" i="10"/>
  <c r="D4113" i="10"/>
  <c r="C4113" i="10"/>
  <c r="B4113" i="10"/>
  <c r="A4113" i="10"/>
  <c r="E4112" i="10"/>
  <c r="D4112" i="10"/>
  <c r="C4112" i="10"/>
  <c r="B4112" i="10"/>
  <c r="A4112" i="10"/>
  <c r="E4111" i="10"/>
  <c r="D4111" i="10"/>
  <c r="C4111" i="10"/>
  <c r="B4111" i="10"/>
  <c r="A4111" i="10"/>
  <c r="E4110" i="10"/>
  <c r="D4110" i="10"/>
  <c r="C4110" i="10"/>
  <c r="B4110" i="10"/>
  <c r="A4110" i="10"/>
  <c r="E4109" i="10"/>
  <c r="D4109" i="10"/>
  <c r="C4109" i="10"/>
  <c r="B4109" i="10"/>
  <c r="A4109" i="10"/>
  <c r="E4108" i="10"/>
  <c r="D4108" i="10"/>
  <c r="C4108" i="10"/>
  <c r="B4108" i="10"/>
  <c r="A4108" i="10"/>
  <c r="E4107" i="10"/>
  <c r="D4107" i="10"/>
  <c r="C4107" i="10"/>
  <c r="B4107" i="10"/>
  <c r="A4107" i="10"/>
  <c r="E4106" i="10"/>
  <c r="D4106" i="10"/>
  <c r="C4106" i="10"/>
  <c r="B4106" i="10"/>
  <c r="A4106" i="10"/>
  <c r="E4105" i="10"/>
  <c r="D4105" i="10"/>
  <c r="C4105" i="10"/>
  <c r="B4105" i="10"/>
  <c r="A4105" i="10"/>
  <c r="E4104" i="10"/>
  <c r="D4104" i="10"/>
  <c r="C4104" i="10"/>
  <c r="B4104" i="10"/>
  <c r="A4104" i="10"/>
  <c r="E4103" i="10"/>
  <c r="D4103" i="10"/>
  <c r="C4103" i="10"/>
  <c r="B4103" i="10"/>
  <c r="A4103" i="10"/>
  <c r="E4102" i="10"/>
  <c r="D4102" i="10"/>
  <c r="C4102" i="10"/>
  <c r="B4102" i="10"/>
  <c r="A4102" i="10"/>
  <c r="E4101" i="10"/>
  <c r="D4101" i="10"/>
  <c r="C4101" i="10"/>
  <c r="B4101" i="10"/>
  <c r="A4101" i="10"/>
  <c r="E4100" i="10"/>
  <c r="D4100" i="10"/>
  <c r="C4100" i="10"/>
  <c r="B4100" i="10"/>
  <c r="A4100" i="10"/>
  <c r="E4099" i="10"/>
  <c r="D4099" i="10"/>
  <c r="C4099" i="10"/>
  <c r="B4099" i="10"/>
  <c r="A4099" i="10"/>
  <c r="E4098" i="10"/>
  <c r="D4098" i="10"/>
  <c r="C4098" i="10"/>
  <c r="B4098" i="10"/>
  <c r="A4098" i="10"/>
  <c r="E4097" i="10"/>
  <c r="D4097" i="10"/>
  <c r="C4097" i="10"/>
  <c r="B4097" i="10"/>
  <c r="A4097" i="10"/>
  <c r="E4096" i="10"/>
  <c r="D4096" i="10"/>
  <c r="C4096" i="10"/>
  <c r="B4096" i="10"/>
  <c r="A4096" i="10"/>
  <c r="E4095" i="10"/>
  <c r="D4095" i="10"/>
  <c r="C4095" i="10"/>
  <c r="B4095" i="10"/>
  <c r="A4095" i="10"/>
  <c r="E4094" i="10"/>
  <c r="D4094" i="10"/>
  <c r="C4094" i="10"/>
  <c r="B4094" i="10"/>
  <c r="A4094" i="10"/>
  <c r="E4093" i="10"/>
  <c r="D4093" i="10"/>
  <c r="C4093" i="10"/>
  <c r="B4093" i="10"/>
  <c r="A4093" i="10"/>
  <c r="E4092" i="10"/>
  <c r="D4092" i="10"/>
  <c r="C4092" i="10"/>
  <c r="B4092" i="10"/>
  <c r="A4092" i="10"/>
  <c r="E4091" i="10"/>
  <c r="D4091" i="10"/>
  <c r="C4091" i="10"/>
  <c r="B4091" i="10"/>
  <c r="A4091" i="10"/>
  <c r="E4090" i="10"/>
  <c r="D4090" i="10"/>
  <c r="C4090" i="10"/>
  <c r="B4090" i="10"/>
  <c r="A4090" i="10"/>
  <c r="E4089" i="10"/>
  <c r="D4089" i="10"/>
  <c r="C4089" i="10"/>
  <c r="B4089" i="10"/>
  <c r="A4089" i="10"/>
  <c r="E4088" i="10"/>
  <c r="D4088" i="10"/>
  <c r="C4088" i="10"/>
  <c r="B4088" i="10"/>
  <c r="A4088" i="10"/>
  <c r="E4087" i="10"/>
  <c r="D4087" i="10"/>
  <c r="C4087" i="10"/>
  <c r="B4087" i="10"/>
  <c r="A4087" i="10"/>
  <c r="E4086" i="10"/>
  <c r="D4086" i="10"/>
  <c r="C4086" i="10"/>
  <c r="B4086" i="10"/>
  <c r="A4086" i="10"/>
  <c r="E4085" i="10"/>
  <c r="D4085" i="10"/>
  <c r="C4085" i="10"/>
  <c r="B4085" i="10"/>
  <c r="A4085" i="10"/>
  <c r="E4084" i="10"/>
  <c r="D4084" i="10"/>
  <c r="C4084" i="10"/>
  <c r="B4084" i="10"/>
  <c r="A4084" i="10"/>
  <c r="E4083" i="10"/>
  <c r="D4083" i="10"/>
  <c r="C4083" i="10"/>
  <c r="B4083" i="10"/>
  <c r="A4083" i="10"/>
  <c r="E4082" i="10"/>
  <c r="D4082" i="10"/>
  <c r="C4082" i="10"/>
  <c r="B4082" i="10"/>
  <c r="A4082" i="10"/>
  <c r="E4081" i="10"/>
  <c r="D4081" i="10"/>
  <c r="C4081" i="10"/>
  <c r="B4081" i="10"/>
  <c r="A4081" i="10"/>
  <c r="E4080" i="10"/>
  <c r="D4080" i="10"/>
  <c r="C4080" i="10"/>
  <c r="B4080" i="10"/>
  <c r="A4080" i="10"/>
  <c r="E4079" i="10"/>
  <c r="D4079" i="10"/>
  <c r="C4079" i="10"/>
  <c r="B4079" i="10"/>
  <c r="A4079" i="10"/>
  <c r="E4078" i="10"/>
  <c r="D4078" i="10"/>
  <c r="C4078" i="10"/>
  <c r="B4078" i="10"/>
  <c r="A4078" i="10"/>
  <c r="E4077" i="10"/>
  <c r="D4077" i="10"/>
  <c r="C4077" i="10"/>
  <c r="B4077" i="10"/>
  <c r="A4077" i="10"/>
  <c r="E4076" i="10"/>
  <c r="D4076" i="10"/>
  <c r="C4076" i="10"/>
  <c r="B4076" i="10"/>
  <c r="A4076" i="10"/>
  <c r="E4075" i="10"/>
  <c r="D4075" i="10"/>
  <c r="C4075" i="10"/>
  <c r="B4075" i="10"/>
  <c r="A4075" i="10"/>
  <c r="E4074" i="10"/>
  <c r="D4074" i="10"/>
  <c r="C4074" i="10"/>
  <c r="B4074" i="10"/>
  <c r="A4074" i="10"/>
  <c r="E4073" i="10"/>
  <c r="D4073" i="10"/>
  <c r="C4073" i="10"/>
  <c r="B4073" i="10"/>
  <c r="A4073" i="10"/>
  <c r="E4072" i="10"/>
  <c r="D4072" i="10"/>
  <c r="C4072" i="10"/>
  <c r="B4072" i="10"/>
  <c r="A4072" i="10"/>
  <c r="E4071" i="10"/>
  <c r="D4071" i="10"/>
  <c r="C4071" i="10"/>
  <c r="B4071" i="10"/>
  <c r="A4071" i="10"/>
  <c r="E4070" i="10"/>
  <c r="D4070" i="10"/>
  <c r="C4070" i="10"/>
  <c r="B4070" i="10"/>
  <c r="A4070" i="10"/>
  <c r="E4069" i="10"/>
  <c r="D4069" i="10"/>
  <c r="C4069" i="10"/>
  <c r="B4069" i="10"/>
  <c r="A4069" i="10"/>
  <c r="E4068" i="10"/>
  <c r="D4068" i="10"/>
  <c r="C4068" i="10"/>
  <c r="B4068" i="10"/>
  <c r="A4068" i="10"/>
  <c r="E4067" i="10"/>
  <c r="D4067" i="10"/>
  <c r="C4067" i="10"/>
  <c r="B4067" i="10"/>
  <c r="A4067" i="10"/>
  <c r="E4066" i="10"/>
  <c r="D4066" i="10"/>
  <c r="C4066" i="10"/>
  <c r="B4066" i="10"/>
  <c r="A4066" i="10"/>
  <c r="E4065" i="10"/>
  <c r="D4065" i="10"/>
  <c r="C4065" i="10"/>
  <c r="B4065" i="10"/>
  <c r="A4065" i="10"/>
  <c r="E4064" i="10"/>
  <c r="D4064" i="10"/>
  <c r="C4064" i="10"/>
  <c r="B4064" i="10"/>
  <c r="A4064" i="10"/>
  <c r="E4063" i="10"/>
  <c r="D4063" i="10"/>
  <c r="C4063" i="10"/>
  <c r="B4063" i="10"/>
  <c r="A4063" i="10"/>
  <c r="E4062" i="10"/>
  <c r="D4062" i="10"/>
  <c r="C4062" i="10"/>
  <c r="B4062" i="10"/>
  <c r="A4062" i="10"/>
  <c r="E4061" i="10"/>
  <c r="D4061" i="10"/>
  <c r="C4061" i="10"/>
  <c r="B4061" i="10"/>
  <c r="A4061" i="10"/>
  <c r="E4060" i="10"/>
  <c r="D4060" i="10"/>
  <c r="C4060" i="10"/>
  <c r="B4060" i="10"/>
  <c r="A4060" i="10"/>
  <c r="E4059" i="10"/>
  <c r="D4059" i="10"/>
  <c r="C4059" i="10"/>
  <c r="B4059" i="10"/>
  <c r="A4059" i="10"/>
  <c r="E4058" i="10"/>
  <c r="D4058" i="10"/>
  <c r="C4058" i="10"/>
  <c r="B4058" i="10"/>
  <c r="A4058" i="10"/>
  <c r="E4057" i="10"/>
  <c r="D4057" i="10"/>
  <c r="C4057" i="10"/>
  <c r="B4057" i="10"/>
  <c r="A4057" i="10"/>
  <c r="E4056" i="10"/>
  <c r="D4056" i="10"/>
  <c r="C4056" i="10"/>
  <c r="B4056" i="10"/>
  <c r="A4056" i="10"/>
  <c r="E4055" i="10"/>
  <c r="D4055" i="10"/>
  <c r="C4055" i="10"/>
  <c r="B4055" i="10"/>
  <c r="A4055" i="10"/>
  <c r="E4054" i="10"/>
  <c r="D4054" i="10"/>
  <c r="C4054" i="10"/>
  <c r="B4054" i="10"/>
  <c r="A4054" i="10"/>
  <c r="E4053" i="10"/>
  <c r="D4053" i="10"/>
  <c r="C4053" i="10"/>
  <c r="B4053" i="10"/>
  <c r="A4053" i="10"/>
  <c r="E4052" i="10"/>
  <c r="D4052" i="10"/>
  <c r="C4052" i="10"/>
  <c r="B4052" i="10"/>
  <c r="A4052" i="10"/>
  <c r="E4051" i="10"/>
  <c r="D4051" i="10"/>
  <c r="C4051" i="10"/>
  <c r="B4051" i="10"/>
  <c r="A4051" i="10"/>
  <c r="E4050" i="10"/>
  <c r="D4050" i="10"/>
  <c r="C4050" i="10"/>
  <c r="B4050" i="10"/>
  <c r="A4050" i="10"/>
  <c r="E4049" i="10"/>
  <c r="D4049" i="10"/>
  <c r="C4049" i="10"/>
  <c r="B4049" i="10"/>
  <c r="A4049" i="10"/>
  <c r="E4048" i="10"/>
  <c r="D4048" i="10"/>
  <c r="C4048" i="10"/>
  <c r="B4048" i="10"/>
  <c r="A4048" i="10"/>
  <c r="E4047" i="10"/>
  <c r="D4047" i="10"/>
  <c r="C4047" i="10"/>
  <c r="B4047" i="10"/>
  <c r="A4047" i="10"/>
  <c r="E4046" i="10"/>
  <c r="D4046" i="10"/>
  <c r="C4046" i="10"/>
  <c r="B4046" i="10"/>
  <c r="A4046" i="10"/>
  <c r="E4045" i="10"/>
  <c r="D4045" i="10"/>
  <c r="C4045" i="10"/>
  <c r="B4045" i="10"/>
  <c r="A4045" i="10"/>
  <c r="E4044" i="10"/>
  <c r="D4044" i="10"/>
  <c r="C4044" i="10"/>
  <c r="B4044" i="10"/>
  <c r="A4044" i="10"/>
  <c r="E4043" i="10"/>
  <c r="D4043" i="10"/>
  <c r="C4043" i="10"/>
  <c r="B4043" i="10"/>
  <c r="A4043" i="10"/>
  <c r="E4042" i="10"/>
  <c r="D4042" i="10"/>
  <c r="C4042" i="10"/>
  <c r="B4042" i="10"/>
  <c r="A4042" i="10"/>
  <c r="E4041" i="10"/>
  <c r="D4041" i="10"/>
  <c r="C4041" i="10"/>
  <c r="B4041" i="10"/>
  <c r="A4041" i="10"/>
  <c r="E4040" i="10"/>
  <c r="D4040" i="10"/>
  <c r="C4040" i="10"/>
  <c r="B4040" i="10"/>
  <c r="A4040" i="10"/>
  <c r="E4039" i="10"/>
  <c r="D4039" i="10"/>
  <c r="C4039" i="10"/>
  <c r="B4039" i="10"/>
  <c r="A4039" i="10"/>
  <c r="E4038" i="10"/>
  <c r="D4038" i="10"/>
  <c r="C4038" i="10"/>
  <c r="B4038" i="10"/>
  <c r="A4038" i="10"/>
  <c r="E4037" i="10"/>
  <c r="D4037" i="10"/>
  <c r="C4037" i="10"/>
  <c r="B4037" i="10"/>
  <c r="A4037" i="10"/>
  <c r="E4036" i="10"/>
  <c r="D4036" i="10"/>
  <c r="C4036" i="10"/>
  <c r="B4036" i="10"/>
  <c r="A4036" i="10"/>
  <c r="E4035" i="10"/>
  <c r="D4035" i="10"/>
  <c r="C4035" i="10"/>
  <c r="B4035" i="10"/>
  <c r="A4035" i="10"/>
  <c r="E4034" i="10"/>
  <c r="D4034" i="10"/>
  <c r="C4034" i="10"/>
  <c r="B4034" i="10"/>
  <c r="A4034" i="10"/>
  <c r="E4033" i="10"/>
  <c r="D4033" i="10"/>
  <c r="C4033" i="10"/>
  <c r="B4033" i="10"/>
  <c r="A4033" i="10"/>
  <c r="E4032" i="10"/>
  <c r="D4032" i="10"/>
  <c r="C4032" i="10"/>
  <c r="B4032" i="10"/>
  <c r="A4032" i="10"/>
  <c r="E4031" i="10"/>
  <c r="D4031" i="10"/>
  <c r="C4031" i="10"/>
  <c r="B4031" i="10"/>
  <c r="A4031" i="10"/>
  <c r="E4030" i="10"/>
  <c r="D4030" i="10"/>
  <c r="C4030" i="10"/>
  <c r="B4030" i="10"/>
  <c r="A4030" i="10"/>
  <c r="E4029" i="10"/>
  <c r="D4029" i="10"/>
  <c r="C4029" i="10"/>
  <c r="B4029" i="10"/>
  <c r="A4029" i="10"/>
  <c r="E4028" i="10"/>
  <c r="D4028" i="10"/>
  <c r="C4028" i="10"/>
  <c r="B4028" i="10"/>
  <c r="A4028" i="10"/>
  <c r="E4027" i="10"/>
  <c r="D4027" i="10"/>
  <c r="C4027" i="10"/>
  <c r="B4027" i="10"/>
  <c r="A4027" i="10"/>
  <c r="E4026" i="10"/>
  <c r="D4026" i="10"/>
  <c r="C4026" i="10"/>
  <c r="B4026" i="10"/>
  <c r="A4026" i="10"/>
  <c r="E4025" i="10"/>
  <c r="D4025" i="10"/>
  <c r="C4025" i="10"/>
  <c r="B4025" i="10"/>
  <c r="A4025" i="10"/>
  <c r="E4024" i="10"/>
  <c r="D4024" i="10"/>
  <c r="C4024" i="10"/>
  <c r="B4024" i="10"/>
  <c r="A4024" i="10"/>
  <c r="E4023" i="10"/>
  <c r="D4023" i="10"/>
  <c r="C4023" i="10"/>
  <c r="B4023" i="10"/>
  <c r="A4023" i="10"/>
  <c r="E4022" i="10"/>
  <c r="D4022" i="10"/>
  <c r="C4022" i="10"/>
  <c r="B4022" i="10"/>
  <c r="A4022" i="10"/>
  <c r="E4021" i="10"/>
  <c r="D4021" i="10"/>
  <c r="C4021" i="10"/>
  <c r="B4021" i="10"/>
  <c r="A4021" i="10"/>
  <c r="E4020" i="10"/>
  <c r="D4020" i="10"/>
  <c r="C4020" i="10"/>
  <c r="B4020" i="10"/>
  <c r="A4020" i="10"/>
  <c r="E4019" i="10"/>
  <c r="D4019" i="10"/>
  <c r="C4019" i="10"/>
  <c r="B4019" i="10"/>
  <c r="A4019" i="10"/>
  <c r="E4018" i="10"/>
  <c r="D4018" i="10"/>
  <c r="C4018" i="10"/>
  <c r="B4018" i="10"/>
  <c r="A4018" i="10"/>
  <c r="E4017" i="10"/>
  <c r="D4017" i="10"/>
  <c r="C4017" i="10"/>
  <c r="B4017" i="10"/>
  <c r="A4017" i="10"/>
  <c r="E4016" i="10"/>
  <c r="D4016" i="10"/>
  <c r="C4016" i="10"/>
  <c r="B4016" i="10"/>
  <c r="A4016" i="10"/>
  <c r="E4015" i="10"/>
  <c r="D4015" i="10"/>
  <c r="C4015" i="10"/>
  <c r="B4015" i="10"/>
  <c r="A4015" i="10"/>
  <c r="E4014" i="10"/>
  <c r="D4014" i="10"/>
  <c r="C4014" i="10"/>
  <c r="B4014" i="10"/>
  <c r="A4014" i="10"/>
  <c r="E4013" i="10"/>
  <c r="D4013" i="10"/>
  <c r="C4013" i="10"/>
  <c r="B4013" i="10"/>
  <c r="A4013" i="10"/>
  <c r="E4012" i="10"/>
  <c r="D4012" i="10"/>
  <c r="C4012" i="10"/>
  <c r="B4012" i="10"/>
  <c r="A4012" i="10"/>
  <c r="E4011" i="10"/>
  <c r="D4011" i="10"/>
  <c r="C4011" i="10"/>
  <c r="B4011" i="10"/>
  <c r="A4011" i="10"/>
  <c r="E4010" i="10"/>
  <c r="D4010" i="10"/>
  <c r="C4010" i="10"/>
  <c r="B4010" i="10"/>
  <c r="A4010" i="10"/>
  <c r="E4009" i="10"/>
  <c r="D4009" i="10"/>
  <c r="C4009" i="10"/>
  <c r="B4009" i="10"/>
  <c r="A4009" i="10"/>
  <c r="E4008" i="10"/>
  <c r="D4008" i="10"/>
  <c r="C4008" i="10"/>
  <c r="B4008" i="10"/>
  <c r="A4008" i="10"/>
  <c r="E4007" i="10"/>
  <c r="D4007" i="10"/>
  <c r="C4007" i="10"/>
  <c r="B4007" i="10"/>
  <c r="A4007" i="10"/>
  <c r="E4006" i="10"/>
  <c r="D4006" i="10"/>
  <c r="C4006" i="10"/>
  <c r="B4006" i="10"/>
  <c r="A4006" i="10"/>
  <c r="E4005" i="10"/>
  <c r="D4005" i="10"/>
  <c r="C4005" i="10"/>
  <c r="B4005" i="10"/>
  <c r="A4005" i="10"/>
  <c r="E4004" i="10"/>
  <c r="D4004" i="10"/>
  <c r="C4004" i="10"/>
  <c r="B4004" i="10"/>
  <c r="A4004" i="10"/>
  <c r="E4003" i="10"/>
  <c r="D4003" i="10"/>
  <c r="C4003" i="10"/>
  <c r="B4003" i="10"/>
  <c r="A4003" i="10"/>
  <c r="E4002" i="10"/>
  <c r="D4002" i="10"/>
  <c r="C4002" i="10"/>
  <c r="B4002" i="10"/>
  <c r="A4002" i="10"/>
  <c r="E4001" i="10"/>
  <c r="D4001" i="10"/>
  <c r="C4001" i="10"/>
  <c r="B4001" i="10"/>
  <c r="A4001" i="10"/>
  <c r="E4000" i="10"/>
  <c r="D4000" i="10"/>
  <c r="C4000" i="10"/>
  <c r="B4000" i="10"/>
  <c r="A4000" i="10"/>
  <c r="E3999" i="10"/>
  <c r="D3999" i="10"/>
  <c r="C3999" i="10"/>
  <c r="B3999" i="10"/>
  <c r="A3999" i="10"/>
  <c r="E3998" i="10"/>
  <c r="D3998" i="10"/>
  <c r="C3998" i="10"/>
  <c r="B3998" i="10"/>
  <c r="A3998" i="10"/>
  <c r="E3997" i="10"/>
  <c r="D3997" i="10"/>
  <c r="C3997" i="10"/>
  <c r="B3997" i="10"/>
  <c r="A3997" i="10"/>
  <c r="E3996" i="10"/>
  <c r="D3996" i="10"/>
  <c r="C3996" i="10"/>
  <c r="B3996" i="10"/>
  <c r="A3996" i="10"/>
  <c r="E3995" i="10"/>
  <c r="D3995" i="10"/>
  <c r="C3995" i="10"/>
  <c r="B3995" i="10"/>
  <c r="A3995" i="10"/>
  <c r="E3994" i="10"/>
  <c r="D3994" i="10"/>
  <c r="C3994" i="10"/>
  <c r="B3994" i="10"/>
  <c r="A3994" i="10"/>
  <c r="E3993" i="10"/>
  <c r="D3993" i="10"/>
  <c r="C3993" i="10"/>
  <c r="B3993" i="10"/>
  <c r="A3993" i="10"/>
  <c r="E3992" i="10"/>
  <c r="D3992" i="10"/>
  <c r="C3992" i="10"/>
  <c r="B3992" i="10"/>
  <c r="A3992" i="10"/>
  <c r="E3991" i="10"/>
  <c r="D3991" i="10"/>
  <c r="C3991" i="10"/>
  <c r="B3991" i="10"/>
  <c r="A3991" i="10"/>
  <c r="E3990" i="10"/>
  <c r="D3990" i="10"/>
  <c r="C3990" i="10"/>
  <c r="B3990" i="10"/>
  <c r="A3990" i="10"/>
  <c r="E3989" i="10"/>
  <c r="D3989" i="10"/>
  <c r="C3989" i="10"/>
  <c r="B3989" i="10"/>
  <c r="A3989" i="10"/>
  <c r="E3988" i="10"/>
  <c r="D3988" i="10"/>
  <c r="C3988" i="10"/>
  <c r="B3988" i="10"/>
  <c r="A3988" i="10"/>
  <c r="E3987" i="10"/>
  <c r="D3987" i="10"/>
  <c r="C3987" i="10"/>
  <c r="B3987" i="10"/>
  <c r="A3987" i="10"/>
  <c r="E3986" i="10"/>
  <c r="D3986" i="10"/>
  <c r="C3986" i="10"/>
  <c r="B3986" i="10"/>
  <c r="A3986" i="10"/>
  <c r="E3985" i="10"/>
  <c r="D3985" i="10"/>
  <c r="C3985" i="10"/>
  <c r="B3985" i="10"/>
  <c r="A3985" i="10"/>
  <c r="E3984" i="10"/>
  <c r="D3984" i="10"/>
  <c r="C3984" i="10"/>
  <c r="B3984" i="10"/>
  <c r="A3984" i="10"/>
  <c r="E3983" i="10"/>
  <c r="D3983" i="10"/>
  <c r="C3983" i="10"/>
  <c r="B3983" i="10"/>
  <c r="A3983" i="10"/>
  <c r="E3982" i="10"/>
  <c r="D3982" i="10"/>
  <c r="C3982" i="10"/>
  <c r="B3982" i="10"/>
  <c r="A3982" i="10"/>
  <c r="E3981" i="10"/>
  <c r="D3981" i="10"/>
  <c r="C3981" i="10"/>
  <c r="B3981" i="10"/>
  <c r="A3981" i="10"/>
  <c r="E3980" i="10"/>
  <c r="D3980" i="10"/>
  <c r="C3980" i="10"/>
  <c r="B3980" i="10"/>
  <c r="A3980" i="10"/>
  <c r="E3979" i="10"/>
  <c r="D3979" i="10"/>
  <c r="C3979" i="10"/>
  <c r="B3979" i="10"/>
  <c r="A3979" i="10"/>
  <c r="E3978" i="10"/>
  <c r="D3978" i="10"/>
  <c r="C3978" i="10"/>
  <c r="B3978" i="10"/>
  <c r="A3978" i="10"/>
  <c r="E3977" i="10"/>
  <c r="D3977" i="10"/>
  <c r="C3977" i="10"/>
  <c r="B3977" i="10"/>
  <c r="A3977" i="10"/>
  <c r="E3976" i="10"/>
  <c r="D3976" i="10"/>
  <c r="C3976" i="10"/>
  <c r="B3976" i="10"/>
  <c r="A3976" i="10"/>
  <c r="E3975" i="10"/>
  <c r="D3975" i="10"/>
  <c r="C3975" i="10"/>
  <c r="B3975" i="10"/>
  <c r="A3975" i="10"/>
  <c r="E3974" i="10"/>
  <c r="D3974" i="10"/>
  <c r="C3974" i="10"/>
  <c r="B3974" i="10"/>
  <c r="A3974" i="10"/>
  <c r="E3973" i="10"/>
  <c r="D3973" i="10"/>
  <c r="C3973" i="10"/>
  <c r="B3973" i="10"/>
  <c r="A3973" i="10"/>
  <c r="E3972" i="10"/>
  <c r="D3972" i="10"/>
  <c r="C3972" i="10"/>
  <c r="B3972" i="10"/>
  <c r="A3972" i="10"/>
  <c r="E3971" i="10"/>
  <c r="D3971" i="10"/>
  <c r="C3971" i="10"/>
  <c r="B3971" i="10"/>
  <c r="A3971" i="10"/>
  <c r="E3970" i="10"/>
  <c r="D3970" i="10"/>
  <c r="C3970" i="10"/>
  <c r="B3970" i="10"/>
  <c r="A3970" i="10"/>
  <c r="E3969" i="10"/>
  <c r="D3969" i="10"/>
  <c r="C3969" i="10"/>
  <c r="B3969" i="10"/>
  <c r="A3969" i="10"/>
  <c r="E3968" i="10"/>
  <c r="D3968" i="10"/>
  <c r="C3968" i="10"/>
  <c r="B3968" i="10"/>
  <c r="A3968" i="10"/>
  <c r="E3967" i="10"/>
  <c r="D3967" i="10"/>
  <c r="C3967" i="10"/>
  <c r="B3967" i="10"/>
  <c r="A3967" i="10"/>
  <c r="E3966" i="10"/>
  <c r="D3966" i="10"/>
  <c r="C3966" i="10"/>
  <c r="B3966" i="10"/>
  <c r="A3966" i="10"/>
  <c r="E3965" i="10"/>
  <c r="D3965" i="10"/>
  <c r="C3965" i="10"/>
  <c r="B3965" i="10"/>
  <c r="A3965" i="10"/>
  <c r="E3964" i="10"/>
  <c r="D3964" i="10"/>
  <c r="C3964" i="10"/>
  <c r="B3964" i="10"/>
  <c r="A3964" i="10"/>
  <c r="E3963" i="10"/>
  <c r="D3963" i="10"/>
  <c r="C3963" i="10"/>
  <c r="B3963" i="10"/>
  <c r="A3963" i="10"/>
  <c r="E3962" i="10"/>
  <c r="D3962" i="10"/>
  <c r="C3962" i="10"/>
  <c r="B3962" i="10"/>
  <c r="A3962" i="10"/>
  <c r="E3961" i="10"/>
  <c r="D3961" i="10"/>
  <c r="C3961" i="10"/>
  <c r="B3961" i="10"/>
  <c r="A3961" i="10"/>
  <c r="E3960" i="10"/>
  <c r="D3960" i="10"/>
  <c r="C3960" i="10"/>
  <c r="B3960" i="10"/>
  <c r="A3960" i="10"/>
  <c r="E3959" i="10"/>
  <c r="D3959" i="10"/>
  <c r="C3959" i="10"/>
  <c r="B3959" i="10"/>
  <c r="A3959" i="10"/>
  <c r="E3958" i="10"/>
  <c r="D3958" i="10"/>
  <c r="C3958" i="10"/>
  <c r="B3958" i="10"/>
  <c r="A3958" i="10"/>
  <c r="E3957" i="10"/>
  <c r="D3957" i="10"/>
  <c r="C3957" i="10"/>
  <c r="B3957" i="10"/>
  <c r="A3957" i="10"/>
  <c r="E3956" i="10"/>
  <c r="D3956" i="10"/>
  <c r="C3956" i="10"/>
  <c r="B3956" i="10"/>
  <c r="A3956" i="10"/>
  <c r="E3955" i="10"/>
  <c r="D3955" i="10"/>
  <c r="C3955" i="10"/>
  <c r="B3955" i="10"/>
  <c r="A3955" i="10"/>
  <c r="E3954" i="10"/>
  <c r="D3954" i="10"/>
  <c r="C3954" i="10"/>
  <c r="B3954" i="10"/>
  <c r="A3954" i="10"/>
  <c r="E3953" i="10"/>
  <c r="D3953" i="10"/>
  <c r="C3953" i="10"/>
  <c r="B3953" i="10"/>
  <c r="A3953" i="10"/>
  <c r="E3952" i="10"/>
  <c r="D3952" i="10"/>
  <c r="C3952" i="10"/>
  <c r="B3952" i="10"/>
  <c r="A3952" i="10"/>
  <c r="E3951" i="10"/>
  <c r="D3951" i="10"/>
  <c r="C3951" i="10"/>
  <c r="B3951" i="10"/>
  <c r="A3951" i="10"/>
  <c r="E3950" i="10"/>
  <c r="D3950" i="10"/>
  <c r="C3950" i="10"/>
  <c r="B3950" i="10"/>
  <c r="A3950" i="10"/>
  <c r="E3949" i="10"/>
  <c r="D3949" i="10"/>
  <c r="C3949" i="10"/>
  <c r="B3949" i="10"/>
  <c r="A3949" i="10"/>
  <c r="E3948" i="10"/>
  <c r="D3948" i="10"/>
  <c r="C3948" i="10"/>
  <c r="B3948" i="10"/>
  <c r="A3948" i="10"/>
  <c r="E3947" i="10"/>
  <c r="D3947" i="10"/>
  <c r="C3947" i="10"/>
  <c r="B3947" i="10"/>
  <c r="A3947" i="10"/>
  <c r="E3946" i="10"/>
  <c r="D3946" i="10"/>
  <c r="C3946" i="10"/>
  <c r="B3946" i="10"/>
  <c r="A3946" i="10"/>
  <c r="E3945" i="10"/>
  <c r="D3945" i="10"/>
  <c r="C3945" i="10"/>
  <c r="B3945" i="10"/>
  <c r="A3945" i="10"/>
  <c r="E3944" i="10"/>
  <c r="D3944" i="10"/>
  <c r="C3944" i="10"/>
  <c r="B3944" i="10"/>
  <c r="A3944" i="10"/>
  <c r="E3943" i="10"/>
  <c r="D3943" i="10"/>
  <c r="C3943" i="10"/>
  <c r="B3943" i="10"/>
  <c r="A3943" i="10"/>
  <c r="E3942" i="10"/>
  <c r="D3942" i="10"/>
  <c r="C3942" i="10"/>
  <c r="B3942" i="10"/>
  <c r="A3942" i="10"/>
  <c r="E3941" i="10"/>
  <c r="D3941" i="10"/>
  <c r="C3941" i="10"/>
  <c r="B3941" i="10"/>
  <c r="A3941" i="10"/>
  <c r="E3940" i="10"/>
  <c r="D3940" i="10"/>
  <c r="C3940" i="10"/>
  <c r="B3940" i="10"/>
  <c r="A3940" i="10"/>
  <c r="E3939" i="10"/>
  <c r="D3939" i="10"/>
  <c r="C3939" i="10"/>
  <c r="B3939" i="10"/>
  <c r="A3939" i="10"/>
  <c r="E3938" i="10"/>
  <c r="D3938" i="10"/>
  <c r="C3938" i="10"/>
  <c r="B3938" i="10"/>
  <c r="A3938" i="10"/>
  <c r="E3937" i="10"/>
  <c r="D3937" i="10"/>
  <c r="C3937" i="10"/>
  <c r="B3937" i="10"/>
  <c r="A3937" i="10"/>
  <c r="E3936" i="10"/>
  <c r="D3936" i="10"/>
  <c r="C3936" i="10"/>
  <c r="B3936" i="10"/>
  <c r="A3936" i="10"/>
  <c r="E3935" i="10"/>
  <c r="D3935" i="10"/>
  <c r="C3935" i="10"/>
  <c r="B3935" i="10"/>
  <c r="A3935" i="10"/>
  <c r="E3934" i="10"/>
  <c r="D3934" i="10"/>
  <c r="C3934" i="10"/>
  <c r="B3934" i="10"/>
  <c r="A3934" i="10"/>
  <c r="E3933" i="10"/>
  <c r="D3933" i="10"/>
  <c r="C3933" i="10"/>
  <c r="B3933" i="10"/>
  <c r="A3933" i="10"/>
  <c r="E3932" i="10"/>
  <c r="D3932" i="10"/>
  <c r="C3932" i="10"/>
  <c r="B3932" i="10"/>
  <c r="A3932" i="10"/>
  <c r="E3931" i="10"/>
  <c r="D3931" i="10"/>
  <c r="C3931" i="10"/>
  <c r="B3931" i="10"/>
  <c r="A3931" i="10"/>
  <c r="E3930" i="10"/>
  <c r="D3930" i="10"/>
  <c r="C3930" i="10"/>
  <c r="B3930" i="10"/>
  <c r="A3930" i="10"/>
  <c r="E3929" i="10"/>
  <c r="D3929" i="10"/>
  <c r="C3929" i="10"/>
  <c r="B3929" i="10"/>
  <c r="A3929" i="10"/>
  <c r="E3928" i="10"/>
  <c r="D3928" i="10"/>
  <c r="C3928" i="10"/>
  <c r="B3928" i="10"/>
  <c r="A3928" i="10"/>
  <c r="E3927" i="10"/>
  <c r="D3927" i="10"/>
  <c r="C3927" i="10"/>
  <c r="B3927" i="10"/>
  <c r="A3927" i="10"/>
  <c r="E3926" i="10"/>
  <c r="D3926" i="10"/>
  <c r="C3926" i="10"/>
  <c r="B3926" i="10"/>
  <c r="A3926" i="10"/>
  <c r="E3925" i="10"/>
  <c r="D3925" i="10"/>
  <c r="C3925" i="10"/>
  <c r="B3925" i="10"/>
  <c r="A3925" i="10"/>
  <c r="E3924" i="10"/>
  <c r="D3924" i="10"/>
  <c r="C3924" i="10"/>
  <c r="B3924" i="10"/>
  <c r="A3924" i="10"/>
  <c r="E3923" i="10"/>
  <c r="D3923" i="10"/>
  <c r="C3923" i="10"/>
  <c r="B3923" i="10"/>
  <c r="A3923" i="10"/>
  <c r="E3922" i="10"/>
  <c r="D3922" i="10"/>
  <c r="C3922" i="10"/>
  <c r="B3922" i="10"/>
  <c r="A3922" i="10"/>
  <c r="E3921" i="10"/>
  <c r="D3921" i="10"/>
  <c r="C3921" i="10"/>
  <c r="B3921" i="10"/>
  <c r="A3921" i="10"/>
  <c r="E3920" i="10"/>
  <c r="D3920" i="10"/>
  <c r="C3920" i="10"/>
  <c r="B3920" i="10"/>
  <c r="A3920" i="10"/>
  <c r="E3919" i="10"/>
  <c r="D3919" i="10"/>
  <c r="C3919" i="10"/>
  <c r="B3919" i="10"/>
  <c r="A3919" i="10"/>
  <c r="E3918" i="10"/>
  <c r="D3918" i="10"/>
  <c r="C3918" i="10"/>
  <c r="B3918" i="10"/>
  <c r="A3918" i="10"/>
  <c r="E3917" i="10"/>
  <c r="D3917" i="10"/>
  <c r="C3917" i="10"/>
  <c r="B3917" i="10"/>
  <c r="A3917" i="10"/>
  <c r="E3916" i="10"/>
  <c r="D3916" i="10"/>
  <c r="C3916" i="10"/>
  <c r="B3916" i="10"/>
  <c r="A3916" i="10"/>
  <c r="E3915" i="10"/>
  <c r="D3915" i="10"/>
  <c r="C3915" i="10"/>
  <c r="B3915" i="10"/>
  <c r="A3915" i="10"/>
  <c r="E3914" i="10"/>
  <c r="D3914" i="10"/>
  <c r="C3914" i="10"/>
  <c r="B3914" i="10"/>
  <c r="A3914" i="10"/>
  <c r="E3913" i="10"/>
  <c r="D3913" i="10"/>
  <c r="C3913" i="10"/>
  <c r="B3913" i="10"/>
  <c r="A3913" i="10"/>
  <c r="E3912" i="10"/>
  <c r="D3912" i="10"/>
  <c r="C3912" i="10"/>
  <c r="B3912" i="10"/>
  <c r="A3912" i="10"/>
  <c r="E3911" i="10"/>
  <c r="D3911" i="10"/>
  <c r="C3911" i="10"/>
  <c r="B3911" i="10"/>
  <c r="A3911" i="10"/>
  <c r="E3910" i="10"/>
  <c r="D3910" i="10"/>
  <c r="C3910" i="10"/>
  <c r="B3910" i="10"/>
  <c r="A3910" i="10"/>
  <c r="E3909" i="10"/>
  <c r="D3909" i="10"/>
  <c r="C3909" i="10"/>
  <c r="B3909" i="10"/>
  <c r="A3909" i="10"/>
  <c r="E3908" i="10"/>
  <c r="D3908" i="10"/>
  <c r="C3908" i="10"/>
  <c r="B3908" i="10"/>
  <c r="A3908" i="10"/>
  <c r="E3907" i="10"/>
  <c r="D3907" i="10"/>
  <c r="C3907" i="10"/>
  <c r="B3907" i="10"/>
  <c r="A3907" i="10"/>
  <c r="E3906" i="10"/>
  <c r="D3906" i="10"/>
  <c r="C3906" i="10"/>
  <c r="B3906" i="10"/>
  <c r="A3906" i="10"/>
  <c r="E3905" i="10"/>
  <c r="D3905" i="10"/>
  <c r="C3905" i="10"/>
  <c r="B3905" i="10"/>
  <c r="A3905" i="10"/>
  <c r="E3904" i="10"/>
  <c r="D3904" i="10"/>
  <c r="C3904" i="10"/>
  <c r="B3904" i="10"/>
  <c r="A3904" i="10"/>
  <c r="E3903" i="10"/>
  <c r="D3903" i="10"/>
  <c r="C3903" i="10"/>
  <c r="B3903" i="10"/>
  <c r="A3903" i="10"/>
  <c r="E3902" i="10"/>
  <c r="D3902" i="10"/>
  <c r="C3902" i="10"/>
  <c r="B3902" i="10"/>
  <c r="A3902" i="10"/>
  <c r="E3901" i="10"/>
  <c r="D3901" i="10"/>
  <c r="C3901" i="10"/>
  <c r="B3901" i="10"/>
  <c r="A3901" i="10"/>
  <c r="E3900" i="10"/>
  <c r="D3900" i="10"/>
  <c r="C3900" i="10"/>
  <c r="B3900" i="10"/>
  <c r="A3900" i="10"/>
  <c r="E3899" i="10"/>
  <c r="D3899" i="10"/>
  <c r="C3899" i="10"/>
  <c r="B3899" i="10"/>
  <c r="A3899" i="10"/>
  <c r="E3898" i="10"/>
  <c r="D3898" i="10"/>
  <c r="C3898" i="10"/>
  <c r="B3898" i="10"/>
  <c r="A3898" i="10"/>
  <c r="E3897" i="10"/>
  <c r="D3897" i="10"/>
  <c r="C3897" i="10"/>
  <c r="B3897" i="10"/>
  <c r="A3897" i="10"/>
  <c r="E3896" i="10"/>
  <c r="D3896" i="10"/>
  <c r="C3896" i="10"/>
  <c r="B3896" i="10"/>
  <c r="A3896" i="10"/>
  <c r="E3895" i="10"/>
  <c r="D3895" i="10"/>
  <c r="C3895" i="10"/>
  <c r="B3895" i="10"/>
  <c r="A3895" i="10"/>
  <c r="E3894" i="10"/>
  <c r="D3894" i="10"/>
  <c r="C3894" i="10"/>
  <c r="B3894" i="10"/>
  <c r="A3894" i="10"/>
  <c r="E3893" i="10"/>
  <c r="D3893" i="10"/>
  <c r="C3893" i="10"/>
  <c r="B3893" i="10"/>
  <c r="A3893" i="10"/>
  <c r="E3892" i="10"/>
  <c r="D3892" i="10"/>
  <c r="C3892" i="10"/>
  <c r="B3892" i="10"/>
  <c r="A3892" i="10"/>
  <c r="E3891" i="10"/>
  <c r="D3891" i="10"/>
  <c r="C3891" i="10"/>
  <c r="B3891" i="10"/>
  <c r="A3891" i="10"/>
  <c r="E3890" i="10"/>
  <c r="D3890" i="10"/>
  <c r="C3890" i="10"/>
  <c r="B3890" i="10"/>
  <c r="A3890" i="10"/>
  <c r="E3889" i="10"/>
  <c r="D3889" i="10"/>
  <c r="C3889" i="10"/>
  <c r="B3889" i="10"/>
  <c r="A3889" i="10"/>
  <c r="E3888" i="10"/>
  <c r="D3888" i="10"/>
  <c r="C3888" i="10"/>
  <c r="B3888" i="10"/>
  <c r="A3888" i="10"/>
  <c r="E3887" i="10"/>
  <c r="D3887" i="10"/>
  <c r="C3887" i="10"/>
  <c r="B3887" i="10"/>
  <c r="A3887" i="10"/>
  <c r="E3886" i="10"/>
  <c r="D3886" i="10"/>
  <c r="C3886" i="10"/>
  <c r="B3886" i="10"/>
  <c r="A3886" i="10"/>
  <c r="E3885" i="10"/>
  <c r="D3885" i="10"/>
  <c r="C3885" i="10"/>
  <c r="B3885" i="10"/>
  <c r="A3885" i="10"/>
  <c r="E3884" i="10"/>
  <c r="D3884" i="10"/>
  <c r="C3884" i="10"/>
  <c r="B3884" i="10"/>
  <c r="A3884" i="10"/>
  <c r="E3883" i="10"/>
  <c r="D3883" i="10"/>
  <c r="C3883" i="10"/>
  <c r="B3883" i="10"/>
  <c r="A3883" i="10"/>
  <c r="E3882" i="10"/>
  <c r="D3882" i="10"/>
  <c r="C3882" i="10"/>
  <c r="B3882" i="10"/>
  <c r="A3882" i="10"/>
  <c r="E3881" i="10"/>
  <c r="D3881" i="10"/>
  <c r="C3881" i="10"/>
  <c r="B3881" i="10"/>
  <c r="A3881" i="10"/>
  <c r="E3880" i="10"/>
  <c r="D3880" i="10"/>
  <c r="C3880" i="10"/>
  <c r="B3880" i="10"/>
  <c r="A3880" i="10"/>
  <c r="E3879" i="10"/>
  <c r="D3879" i="10"/>
  <c r="C3879" i="10"/>
  <c r="B3879" i="10"/>
  <c r="A3879" i="10"/>
  <c r="E3878" i="10"/>
  <c r="D3878" i="10"/>
  <c r="C3878" i="10"/>
  <c r="B3878" i="10"/>
  <c r="A3878" i="10"/>
  <c r="E3877" i="10"/>
  <c r="D3877" i="10"/>
  <c r="C3877" i="10"/>
  <c r="B3877" i="10"/>
  <c r="A3877" i="10"/>
  <c r="E3876" i="10"/>
  <c r="D3876" i="10"/>
  <c r="C3876" i="10"/>
  <c r="B3876" i="10"/>
  <c r="A3876" i="10"/>
  <c r="E3875" i="10"/>
  <c r="D3875" i="10"/>
  <c r="C3875" i="10"/>
  <c r="B3875" i="10"/>
  <c r="A3875" i="10"/>
  <c r="E3874" i="10"/>
  <c r="D3874" i="10"/>
  <c r="C3874" i="10"/>
  <c r="B3874" i="10"/>
  <c r="A3874" i="10"/>
  <c r="E3873" i="10"/>
  <c r="D3873" i="10"/>
  <c r="C3873" i="10"/>
  <c r="B3873" i="10"/>
  <c r="A3873" i="10"/>
  <c r="E3872" i="10"/>
  <c r="D3872" i="10"/>
  <c r="C3872" i="10"/>
  <c r="B3872" i="10"/>
  <c r="A3872" i="10"/>
  <c r="E3871" i="10"/>
  <c r="D3871" i="10"/>
  <c r="C3871" i="10"/>
  <c r="B3871" i="10"/>
  <c r="A3871" i="10"/>
  <c r="E3870" i="10"/>
  <c r="D3870" i="10"/>
  <c r="C3870" i="10"/>
  <c r="B3870" i="10"/>
  <c r="A3870" i="10"/>
  <c r="E3869" i="10"/>
  <c r="D3869" i="10"/>
  <c r="C3869" i="10"/>
  <c r="B3869" i="10"/>
  <c r="A3869" i="10"/>
  <c r="E3868" i="10"/>
  <c r="D3868" i="10"/>
  <c r="C3868" i="10"/>
  <c r="B3868" i="10"/>
  <c r="A3868" i="10"/>
  <c r="E3867" i="10"/>
  <c r="D3867" i="10"/>
  <c r="C3867" i="10"/>
  <c r="B3867" i="10"/>
  <c r="A3867" i="10"/>
  <c r="E3866" i="10"/>
  <c r="D3866" i="10"/>
  <c r="C3866" i="10"/>
  <c r="B3866" i="10"/>
  <c r="A3866" i="10"/>
  <c r="E3865" i="10"/>
  <c r="D3865" i="10"/>
  <c r="C3865" i="10"/>
  <c r="B3865" i="10"/>
  <c r="A3865" i="10"/>
  <c r="E3864" i="10"/>
  <c r="D3864" i="10"/>
  <c r="C3864" i="10"/>
  <c r="B3864" i="10"/>
  <c r="A3864" i="10"/>
  <c r="E3863" i="10"/>
  <c r="D3863" i="10"/>
  <c r="C3863" i="10"/>
  <c r="B3863" i="10"/>
  <c r="A3863" i="10"/>
  <c r="E3862" i="10"/>
  <c r="D3862" i="10"/>
  <c r="C3862" i="10"/>
  <c r="B3862" i="10"/>
  <c r="A3862" i="10"/>
  <c r="E3861" i="10"/>
  <c r="D3861" i="10"/>
  <c r="C3861" i="10"/>
  <c r="B3861" i="10"/>
  <c r="A3861" i="10"/>
  <c r="E3860" i="10"/>
  <c r="D3860" i="10"/>
  <c r="C3860" i="10"/>
  <c r="B3860" i="10"/>
  <c r="A3860" i="10"/>
  <c r="E3859" i="10"/>
  <c r="D3859" i="10"/>
  <c r="C3859" i="10"/>
  <c r="B3859" i="10"/>
  <c r="A3859" i="10"/>
  <c r="E3858" i="10"/>
  <c r="D3858" i="10"/>
  <c r="C3858" i="10"/>
  <c r="B3858" i="10"/>
  <c r="A3858" i="10"/>
  <c r="E3857" i="10"/>
  <c r="D3857" i="10"/>
  <c r="C3857" i="10"/>
  <c r="B3857" i="10"/>
  <c r="A3857" i="10"/>
  <c r="E3856" i="10"/>
  <c r="D3856" i="10"/>
  <c r="C3856" i="10"/>
  <c r="B3856" i="10"/>
  <c r="A3856" i="10"/>
  <c r="E3855" i="10"/>
  <c r="D3855" i="10"/>
  <c r="C3855" i="10"/>
  <c r="B3855" i="10"/>
  <c r="A3855" i="10"/>
  <c r="E3854" i="10"/>
  <c r="D3854" i="10"/>
  <c r="C3854" i="10"/>
  <c r="B3854" i="10"/>
  <c r="A3854" i="10"/>
  <c r="E3853" i="10"/>
  <c r="D3853" i="10"/>
  <c r="C3853" i="10"/>
  <c r="B3853" i="10"/>
  <c r="A3853" i="10"/>
  <c r="E3852" i="10"/>
  <c r="D3852" i="10"/>
  <c r="C3852" i="10"/>
  <c r="B3852" i="10"/>
  <c r="A3852" i="10"/>
  <c r="E3851" i="10"/>
  <c r="D3851" i="10"/>
  <c r="C3851" i="10"/>
  <c r="B3851" i="10"/>
  <c r="A3851" i="10"/>
  <c r="E3850" i="10"/>
  <c r="D3850" i="10"/>
  <c r="C3850" i="10"/>
  <c r="B3850" i="10"/>
  <c r="A3850" i="10"/>
  <c r="E3849" i="10"/>
  <c r="D3849" i="10"/>
  <c r="C3849" i="10"/>
  <c r="B3849" i="10"/>
  <c r="A3849" i="10"/>
  <c r="E3848" i="10"/>
  <c r="D3848" i="10"/>
  <c r="C3848" i="10"/>
  <c r="B3848" i="10"/>
  <c r="A3848" i="10"/>
  <c r="E3847" i="10"/>
  <c r="D3847" i="10"/>
  <c r="C3847" i="10"/>
  <c r="B3847" i="10"/>
  <c r="A3847" i="10"/>
  <c r="E3846" i="10"/>
  <c r="D3846" i="10"/>
  <c r="C3846" i="10"/>
  <c r="B3846" i="10"/>
  <c r="A3846" i="10"/>
  <c r="E3845" i="10"/>
  <c r="D3845" i="10"/>
  <c r="C3845" i="10"/>
  <c r="B3845" i="10"/>
  <c r="A3845" i="10"/>
  <c r="E3844" i="10"/>
  <c r="D3844" i="10"/>
  <c r="C3844" i="10"/>
  <c r="B3844" i="10"/>
  <c r="A3844" i="10"/>
  <c r="E3843" i="10"/>
  <c r="D3843" i="10"/>
  <c r="C3843" i="10"/>
  <c r="B3843" i="10"/>
  <c r="A3843" i="10"/>
  <c r="E3842" i="10"/>
  <c r="D3842" i="10"/>
  <c r="C3842" i="10"/>
  <c r="B3842" i="10"/>
  <c r="A3842" i="10"/>
  <c r="E3841" i="10"/>
  <c r="D3841" i="10"/>
  <c r="C3841" i="10"/>
  <c r="B3841" i="10"/>
  <c r="A3841" i="10"/>
  <c r="E3840" i="10"/>
  <c r="D3840" i="10"/>
  <c r="C3840" i="10"/>
  <c r="B3840" i="10"/>
  <c r="A3840" i="10"/>
  <c r="E3839" i="10"/>
  <c r="D3839" i="10"/>
  <c r="C3839" i="10"/>
  <c r="B3839" i="10"/>
  <c r="A3839" i="10"/>
  <c r="E3838" i="10"/>
  <c r="D3838" i="10"/>
  <c r="C3838" i="10"/>
  <c r="B3838" i="10"/>
  <c r="A3838" i="10"/>
  <c r="E3837" i="10"/>
  <c r="D3837" i="10"/>
  <c r="C3837" i="10"/>
  <c r="B3837" i="10"/>
  <c r="A3837" i="10"/>
  <c r="E3836" i="10"/>
  <c r="D3836" i="10"/>
  <c r="C3836" i="10"/>
  <c r="B3836" i="10"/>
  <c r="A3836" i="10"/>
  <c r="E3835" i="10"/>
  <c r="D3835" i="10"/>
  <c r="C3835" i="10"/>
  <c r="B3835" i="10"/>
  <c r="A3835" i="10"/>
  <c r="E3834" i="10"/>
  <c r="D3834" i="10"/>
  <c r="C3834" i="10"/>
  <c r="B3834" i="10"/>
  <c r="A3834" i="10"/>
  <c r="E3833" i="10"/>
  <c r="D3833" i="10"/>
  <c r="C3833" i="10"/>
  <c r="B3833" i="10"/>
  <c r="A3833" i="10"/>
  <c r="E3832" i="10"/>
  <c r="D3832" i="10"/>
  <c r="C3832" i="10"/>
  <c r="B3832" i="10"/>
  <c r="A3832" i="10"/>
  <c r="E3831" i="10"/>
  <c r="D3831" i="10"/>
  <c r="C3831" i="10"/>
  <c r="B3831" i="10"/>
  <c r="A3831" i="10"/>
  <c r="E3830" i="10"/>
  <c r="D3830" i="10"/>
  <c r="C3830" i="10"/>
  <c r="B3830" i="10"/>
  <c r="A3830" i="10"/>
  <c r="E3829" i="10"/>
  <c r="D3829" i="10"/>
  <c r="C3829" i="10"/>
  <c r="B3829" i="10"/>
  <c r="A3829" i="10"/>
  <c r="E3828" i="10"/>
  <c r="D3828" i="10"/>
  <c r="C3828" i="10"/>
  <c r="B3828" i="10"/>
  <c r="A3828" i="10"/>
  <c r="E3827" i="10"/>
  <c r="D3827" i="10"/>
  <c r="C3827" i="10"/>
  <c r="B3827" i="10"/>
  <c r="A3827" i="10"/>
  <c r="E3826" i="10"/>
  <c r="D3826" i="10"/>
  <c r="C3826" i="10"/>
  <c r="B3826" i="10"/>
  <c r="A3826" i="10"/>
  <c r="E3825" i="10"/>
  <c r="D3825" i="10"/>
  <c r="C3825" i="10"/>
  <c r="B3825" i="10"/>
  <c r="A3825" i="10"/>
  <c r="E3824" i="10"/>
  <c r="D3824" i="10"/>
  <c r="C3824" i="10"/>
  <c r="B3824" i="10"/>
  <c r="A3824" i="10"/>
  <c r="E3823" i="10"/>
  <c r="D3823" i="10"/>
  <c r="C3823" i="10"/>
  <c r="B3823" i="10"/>
  <c r="A3823" i="10"/>
  <c r="E3822" i="10"/>
  <c r="D3822" i="10"/>
  <c r="C3822" i="10"/>
  <c r="B3822" i="10"/>
  <c r="A3822" i="10"/>
  <c r="E3821" i="10"/>
  <c r="D3821" i="10"/>
  <c r="C3821" i="10"/>
  <c r="B3821" i="10"/>
  <c r="A3821" i="10"/>
  <c r="E3820" i="10"/>
  <c r="D3820" i="10"/>
  <c r="C3820" i="10"/>
  <c r="B3820" i="10"/>
  <c r="A3820" i="10"/>
  <c r="E3819" i="10"/>
  <c r="D3819" i="10"/>
  <c r="C3819" i="10"/>
  <c r="B3819" i="10"/>
  <c r="A3819" i="10"/>
  <c r="E3818" i="10"/>
  <c r="D3818" i="10"/>
  <c r="C3818" i="10"/>
  <c r="B3818" i="10"/>
  <c r="A3818" i="10"/>
  <c r="E3817" i="10"/>
  <c r="D3817" i="10"/>
  <c r="C3817" i="10"/>
  <c r="B3817" i="10"/>
  <c r="A3817" i="10"/>
  <c r="E3816" i="10"/>
  <c r="D3816" i="10"/>
  <c r="C3816" i="10"/>
  <c r="B3816" i="10"/>
  <c r="A3816" i="10"/>
  <c r="E3815" i="10"/>
  <c r="D3815" i="10"/>
  <c r="C3815" i="10"/>
  <c r="B3815" i="10"/>
  <c r="A3815" i="10"/>
  <c r="E3814" i="10"/>
  <c r="D3814" i="10"/>
  <c r="C3814" i="10"/>
  <c r="B3814" i="10"/>
  <c r="A3814" i="10"/>
  <c r="E3813" i="10"/>
  <c r="D3813" i="10"/>
  <c r="C3813" i="10"/>
  <c r="B3813" i="10"/>
  <c r="A3813" i="10"/>
  <c r="E3812" i="10"/>
  <c r="D3812" i="10"/>
  <c r="C3812" i="10"/>
  <c r="B3812" i="10"/>
  <c r="A3812" i="10"/>
  <c r="E3811" i="10"/>
  <c r="D3811" i="10"/>
  <c r="C3811" i="10"/>
  <c r="B3811" i="10"/>
  <c r="A3811" i="10"/>
  <c r="E3810" i="10"/>
  <c r="D3810" i="10"/>
  <c r="C3810" i="10"/>
  <c r="B3810" i="10"/>
  <c r="A3810" i="10"/>
  <c r="E3809" i="10"/>
  <c r="D3809" i="10"/>
  <c r="C3809" i="10"/>
  <c r="B3809" i="10"/>
  <c r="A3809" i="10"/>
  <c r="E3808" i="10"/>
  <c r="D3808" i="10"/>
  <c r="C3808" i="10"/>
  <c r="B3808" i="10"/>
  <c r="A3808" i="10"/>
  <c r="E3807" i="10"/>
  <c r="D3807" i="10"/>
  <c r="C3807" i="10"/>
  <c r="B3807" i="10"/>
  <c r="A3807" i="10"/>
  <c r="E3806" i="10"/>
  <c r="D3806" i="10"/>
  <c r="C3806" i="10"/>
  <c r="B3806" i="10"/>
  <c r="A3806" i="10"/>
  <c r="E3805" i="10"/>
  <c r="D3805" i="10"/>
  <c r="C3805" i="10"/>
  <c r="B3805" i="10"/>
  <c r="A3805" i="10"/>
  <c r="E3804" i="10"/>
  <c r="D3804" i="10"/>
  <c r="C3804" i="10"/>
  <c r="B3804" i="10"/>
  <c r="A3804" i="10"/>
  <c r="E3803" i="10"/>
  <c r="D3803" i="10"/>
  <c r="C3803" i="10"/>
  <c r="B3803" i="10"/>
  <c r="A3803" i="10"/>
  <c r="E3802" i="10"/>
  <c r="D3802" i="10"/>
  <c r="C3802" i="10"/>
  <c r="B3802" i="10"/>
  <c r="A3802" i="10"/>
  <c r="E3801" i="10"/>
  <c r="D3801" i="10"/>
  <c r="C3801" i="10"/>
  <c r="B3801" i="10"/>
  <c r="A3801" i="10"/>
  <c r="E3800" i="10"/>
  <c r="D3800" i="10"/>
  <c r="C3800" i="10"/>
  <c r="B3800" i="10"/>
  <c r="A3800" i="10"/>
  <c r="E3799" i="10"/>
  <c r="D3799" i="10"/>
  <c r="C3799" i="10"/>
  <c r="B3799" i="10"/>
  <c r="A3799" i="10"/>
  <c r="E3798" i="10"/>
  <c r="D3798" i="10"/>
  <c r="C3798" i="10"/>
  <c r="B3798" i="10"/>
  <c r="A3798" i="10"/>
  <c r="E3797" i="10"/>
  <c r="D3797" i="10"/>
  <c r="C3797" i="10"/>
  <c r="B3797" i="10"/>
  <c r="A3797" i="10"/>
  <c r="E3796" i="10"/>
  <c r="D3796" i="10"/>
  <c r="C3796" i="10"/>
  <c r="B3796" i="10"/>
  <c r="A3796" i="10"/>
  <c r="E3795" i="10"/>
  <c r="D3795" i="10"/>
  <c r="C3795" i="10"/>
  <c r="B3795" i="10"/>
  <c r="A3795" i="10"/>
  <c r="E3794" i="10"/>
  <c r="D3794" i="10"/>
  <c r="C3794" i="10"/>
  <c r="B3794" i="10"/>
  <c r="A3794" i="10"/>
  <c r="E3793" i="10"/>
  <c r="D3793" i="10"/>
  <c r="C3793" i="10"/>
  <c r="B3793" i="10"/>
  <c r="A3793" i="10"/>
  <c r="E3792" i="10"/>
  <c r="D3792" i="10"/>
  <c r="C3792" i="10"/>
  <c r="B3792" i="10"/>
  <c r="A3792" i="10"/>
  <c r="E3791" i="10"/>
  <c r="D3791" i="10"/>
  <c r="C3791" i="10"/>
  <c r="B3791" i="10"/>
  <c r="A3791" i="10"/>
  <c r="E3790" i="10"/>
  <c r="D3790" i="10"/>
  <c r="C3790" i="10"/>
  <c r="B3790" i="10"/>
  <c r="A3790" i="10"/>
  <c r="E3789" i="10"/>
  <c r="D3789" i="10"/>
  <c r="C3789" i="10"/>
  <c r="B3789" i="10"/>
  <c r="A3789" i="10"/>
  <c r="E3788" i="10"/>
  <c r="D3788" i="10"/>
  <c r="C3788" i="10"/>
  <c r="B3788" i="10"/>
  <c r="A3788" i="10"/>
  <c r="E3787" i="10"/>
  <c r="D3787" i="10"/>
  <c r="C3787" i="10"/>
  <c r="B3787" i="10"/>
  <c r="A3787" i="10"/>
  <c r="E3786" i="10"/>
  <c r="D3786" i="10"/>
  <c r="C3786" i="10"/>
  <c r="B3786" i="10"/>
  <c r="A3786" i="10"/>
  <c r="E3785" i="10"/>
  <c r="D3785" i="10"/>
  <c r="C3785" i="10"/>
  <c r="B3785" i="10"/>
  <c r="A3785" i="10"/>
  <c r="E3784" i="10"/>
  <c r="D3784" i="10"/>
  <c r="C3784" i="10"/>
  <c r="B3784" i="10"/>
  <c r="A3784" i="10"/>
  <c r="E3783" i="10"/>
  <c r="D3783" i="10"/>
  <c r="C3783" i="10"/>
  <c r="B3783" i="10"/>
  <c r="A3783" i="10"/>
  <c r="E3782" i="10"/>
  <c r="D3782" i="10"/>
  <c r="C3782" i="10"/>
  <c r="B3782" i="10"/>
  <c r="A3782" i="10"/>
  <c r="E3781" i="10"/>
  <c r="D3781" i="10"/>
  <c r="C3781" i="10"/>
  <c r="B3781" i="10"/>
  <c r="A3781" i="10"/>
  <c r="E3780" i="10"/>
  <c r="D3780" i="10"/>
  <c r="C3780" i="10"/>
  <c r="B3780" i="10"/>
  <c r="A3780" i="10"/>
  <c r="E3779" i="10"/>
  <c r="D3779" i="10"/>
  <c r="C3779" i="10"/>
  <c r="B3779" i="10"/>
  <c r="A3779" i="10"/>
  <c r="E3778" i="10"/>
  <c r="D3778" i="10"/>
  <c r="C3778" i="10"/>
  <c r="B3778" i="10"/>
  <c r="A3778" i="10"/>
  <c r="E3777" i="10"/>
  <c r="D3777" i="10"/>
  <c r="C3777" i="10"/>
  <c r="B3777" i="10"/>
  <c r="A3777" i="10"/>
  <c r="E3776" i="10"/>
  <c r="D3776" i="10"/>
  <c r="C3776" i="10"/>
  <c r="B3776" i="10"/>
  <c r="A3776" i="10"/>
  <c r="E3775" i="10"/>
  <c r="D3775" i="10"/>
  <c r="C3775" i="10"/>
  <c r="B3775" i="10"/>
  <c r="A3775" i="10"/>
  <c r="E3774" i="10"/>
  <c r="D3774" i="10"/>
  <c r="C3774" i="10"/>
  <c r="B3774" i="10"/>
  <c r="A3774" i="10"/>
  <c r="E3773" i="10"/>
  <c r="D3773" i="10"/>
  <c r="C3773" i="10"/>
  <c r="B3773" i="10"/>
  <c r="A3773" i="10"/>
  <c r="E3772" i="10"/>
  <c r="D3772" i="10"/>
  <c r="C3772" i="10"/>
  <c r="B3772" i="10"/>
  <c r="A3772" i="10"/>
  <c r="E3771" i="10"/>
  <c r="D3771" i="10"/>
  <c r="C3771" i="10"/>
  <c r="B3771" i="10"/>
  <c r="A3771" i="10"/>
  <c r="E3770" i="10"/>
  <c r="D3770" i="10"/>
  <c r="C3770" i="10"/>
  <c r="B3770" i="10"/>
  <c r="A3770" i="10"/>
  <c r="E3769" i="10"/>
  <c r="D3769" i="10"/>
  <c r="C3769" i="10"/>
  <c r="B3769" i="10"/>
  <c r="A3769" i="10"/>
  <c r="E3768" i="10"/>
  <c r="D3768" i="10"/>
  <c r="C3768" i="10"/>
  <c r="B3768" i="10"/>
  <c r="A3768" i="10"/>
  <c r="E3767" i="10"/>
  <c r="D3767" i="10"/>
  <c r="C3767" i="10"/>
  <c r="B3767" i="10"/>
  <c r="A3767" i="10"/>
  <c r="E3766" i="10"/>
  <c r="D3766" i="10"/>
  <c r="C3766" i="10"/>
  <c r="B3766" i="10"/>
  <c r="A3766" i="10"/>
  <c r="E3765" i="10"/>
  <c r="D3765" i="10"/>
  <c r="C3765" i="10"/>
  <c r="B3765" i="10"/>
  <c r="A3765" i="10"/>
  <c r="E3764" i="10"/>
  <c r="D3764" i="10"/>
  <c r="C3764" i="10"/>
  <c r="B3764" i="10"/>
  <c r="A3764" i="10"/>
  <c r="E3763" i="10"/>
  <c r="D3763" i="10"/>
  <c r="C3763" i="10"/>
  <c r="B3763" i="10"/>
  <c r="A3763" i="10"/>
  <c r="E3762" i="10"/>
  <c r="D3762" i="10"/>
  <c r="C3762" i="10"/>
  <c r="B3762" i="10"/>
  <c r="A3762" i="10"/>
  <c r="E3761" i="10"/>
  <c r="D3761" i="10"/>
  <c r="C3761" i="10"/>
  <c r="B3761" i="10"/>
  <c r="A3761" i="10"/>
  <c r="E3760" i="10"/>
  <c r="D3760" i="10"/>
  <c r="C3760" i="10"/>
  <c r="B3760" i="10"/>
  <c r="A3760" i="10"/>
  <c r="E3759" i="10"/>
  <c r="D3759" i="10"/>
  <c r="C3759" i="10"/>
  <c r="B3759" i="10"/>
  <c r="A3759" i="10"/>
  <c r="E3758" i="10"/>
  <c r="D3758" i="10"/>
  <c r="C3758" i="10"/>
  <c r="B3758" i="10"/>
  <c r="A3758" i="10"/>
  <c r="E3757" i="10"/>
  <c r="D3757" i="10"/>
  <c r="C3757" i="10"/>
  <c r="B3757" i="10"/>
  <c r="A3757" i="10"/>
  <c r="E3756" i="10"/>
  <c r="D3756" i="10"/>
  <c r="C3756" i="10"/>
  <c r="B3756" i="10"/>
  <c r="A3756" i="10"/>
  <c r="E3755" i="10"/>
  <c r="D3755" i="10"/>
  <c r="C3755" i="10"/>
  <c r="B3755" i="10"/>
  <c r="A3755" i="10"/>
  <c r="E3754" i="10"/>
  <c r="D3754" i="10"/>
  <c r="C3754" i="10"/>
  <c r="B3754" i="10"/>
  <c r="A3754" i="10"/>
  <c r="E3753" i="10"/>
  <c r="D3753" i="10"/>
  <c r="C3753" i="10"/>
  <c r="B3753" i="10"/>
  <c r="A3753" i="10"/>
  <c r="E3752" i="10"/>
  <c r="D3752" i="10"/>
  <c r="C3752" i="10"/>
  <c r="B3752" i="10"/>
  <c r="A3752" i="10"/>
  <c r="E3751" i="10"/>
  <c r="D3751" i="10"/>
  <c r="C3751" i="10"/>
  <c r="B3751" i="10"/>
  <c r="A3751" i="10"/>
  <c r="E3750" i="10"/>
  <c r="D3750" i="10"/>
  <c r="C3750" i="10"/>
  <c r="B3750" i="10"/>
  <c r="A3750" i="10"/>
  <c r="E3749" i="10"/>
  <c r="D3749" i="10"/>
  <c r="C3749" i="10"/>
  <c r="B3749" i="10"/>
  <c r="A3749" i="10"/>
  <c r="E3748" i="10"/>
  <c r="D3748" i="10"/>
  <c r="C3748" i="10"/>
  <c r="B3748" i="10"/>
  <c r="A3748" i="10"/>
  <c r="E3747" i="10"/>
  <c r="D3747" i="10"/>
  <c r="C3747" i="10"/>
  <c r="B3747" i="10"/>
  <c r="A3747" i="10"/>
  <c r="E3746" i="10"/>
  <c r="D3746" i="10"/>
  <c r="C3746" i="10"/>
  <c r="B3746" i="10"/>
  <c r="A3746" i="10"/>
  <c r="E3745" i="10"/>
  <c r="D3745" i="10"/>
  <c r="C3745" i="10"/>
  <c r="B3745" i="10"/>
  <c r="A3745" i="10"/>
  <c r="E3744" i="10"/>
  <c r="D3744" i="10"/>
  <c r="C3744" i="10"/>
  <c r="B3744" i="10"/>
  <c r="A3744" i="10"/>
  <c r="E3743" i="10"/>
  <c r="D3743" i="10"/>
  <c r="C3743" i="10"/>
  <c r="B3743" i="10"/>
  <c r="A3743" i="10"/>
  <c r="E3742" i="10"/>
  <c r="D3742" i="10"/>
  <c r="C3742" i="10"/>
  <c r="B3742" i="10"/>
  <c r="A3742" i="10"/>
  <c r="E3741" i="10"/>
  <c r="D3741" i="10"/>
  <c r="C3741" i="10"/>
  <c r="B3741" i="10"/>
  <c r="A3741" i="10"/>
  <c r="E3740" i="10"/>
  <c r="D3740" i="10"/>
  <c r="C3740" i="10"/>
  <c r="B3740" i="10"/>
  <c r="A3740" i="10"/>
  <c r="E3739" i="10"/>
  <c r="D3739" i="10"/>
  <c r="C3739" i="10"/>
  <c r="B3739" i="10"/>
  <c r="A3739" i="10"/>
  <c r="E3738" i="10"/>
  <c r="D3738" i="10"/>
  <c r="C3738" i="10"/>
  <c r="B3738" i="10"/>
  <c r="A3738" i="10"/>
  <c r="E3737" i="10"/>
  <c r="D3737" i="10"/>
  <c r="C3737" i="10"/>
  <c r="B3737" i="10"/>
  <c r="A3737" i="10"/>
  <c r="E3736" i="10"/>
  <c r="D3736" i="10"/>
  <c r="C3736" i="10"/>
  <c r="B3736" i="10"/>
  <c r="A3736" i="10"/>
  <c r="E3735" i="10"/>
  <c r="D3735" i="10"/>
  <c r="C3735" i="10"/>
  <c r="B3735" i="10"/>
  <c r="A3735" i="10"/>
  <c r="E3734" i="10"/>
  <c r="D3734" i="10"/>
  <c r="C3734" i="10"/>
  <c r="B3734" i="10"/>
  <c r="A3734" i="10"/>
  <c r="E3733" i="10"/>
  <c r="D3733" i="10"/>
  <c r="C3733" i="10"/>
  <c r="B3733" i="10"/>
  <c r="A3733" i="10"/>
  <c r="E3732" i="10"/>
  <c r="D3732" i="10"/>
  <c r="C3732" i="10"/>
  <c r="B3732" i="10"/>
  <c r="A3732" i="10"/>
  <c r="E3731" i="10"/>
  <c r="D3731" i="10"/>
  <c r="C3731" i="10"/>
  <c r="B3731" i="10"/>
  <c r="A3731" i="10"/>
  <c r="E3730" i="10"/>
  <c r="D3730" i="10"/>
  <c r="C3730" i="10"/>
  <c r="B3730" i="10"/>
  <c r="A3730" i="10"/>
  <c r="E3729" i="10"/>
  <c r="D3729" i="10"/>
  <c r="C3729" i="10"/>
  <c r="B3729" i="10"/>
  <c r="A3729" i="10"/>
  <c r="E3728" i="10"/>
  <c r="D3728" i="10"/>
  <c r="C3728" i="10"/>
  <c r="B3728" i="10"/>
  <c r="A3728" i="10"/>
  <c r="E3727" i="10"/>
  <c r="D3727" i="10"/>
  <c r="C3727" i="10"/>
  <c r="B3727" i="10"/>
  <c r="A3727" i="10"/>
  <c r="E3726" i="10"/>
  <c r="D3726" i="10"/>
  <c r="C3726" i="10"/>
  <c r="B3726" i="10"/>
  <c r="A3726" i="10"/>
  <c r="E3725" i="10"/>
  <c r="D3725" i="10"/>
  <c r="C3725" i="10"/>
  <c r="B3725" i="10"/>
  <c r="A3725" i="10"/>
  <c r="E3724" i="10"/>
  <c r="D3724" i="10"/>
  <c r="C3724" i="10"/>
  <c r="B3724" i="10"/>
  <c r="A3724" i="10"/>
  <c r="E3723" i="10"/>
  <c r="D3723" i="10"/>
  <c r="C3723" i="10"/>
  <c r="B3723" i="10"/>
  <c r="A3723" i="10"/>
  <c r="E3722" i="10"/>
  <c r="D3722" i="10"/>
  <c r="C3722" i="10"/>
  <c r="B3722" i="10"/>
  <c r="A3722" i="10"/>
  <c r="E3721" i="10"/>
  <c r="D3721" i="10"/>
  <c r="C3721" i="10"/>
  <c r="B3721" i="10"/>
  <c r="A3721" i="10"/>
  <c r="E3720" i="10"/>
  <c r="D3720" i="10"/>
  <c r="C3720" i="10"/>
  <c r="B3720" i="10"/>
  <c r="A3720" i="10"/>
  <c r="E3719" i="10"/>
  <c r="D3719" i="10"/>
  <c r="C3719" i="10"/>
  <c r="B3719" i="10"/>
  <c r="A3719" i="10"/>
  <c r="E3718" i="10"/>
  <c r="D3718" i="10"/>
  <c r="C3718" i="10"/>
  <c r="B3718" i="10"/>
  <c r="A3718" i="10"/>
  <c r="E3717" i="10"/>
  <c r="D3717" i="10"/>
  <c r="C3717" i="10"/>
  <c r="B3717" i="10"/>
  <c r="A3717" i="10"/>
  <c r="E3716" i="10"/>
  <c r="D3716" i="10"/>
  <c r="C3716" i="10"/>
  <c r="B3716" i="10"/>
  <c r="A3716" i="10"/>
  <c r="E3715" i="10"/>
  <c r="D3715" i="10"/>
  <c r="C3715" i="10"/>
  <c r="B3715" i="10"/>
  <c r="A3715" i="10"/>
  <c r="E3714" i="10"/>
  <c r="D3714" i="10"/>
  <c r="C3714" i="10"/>
  <c r="B3714" i="10"/>
  <c r="A3714" i="10"/>
  <c r="E3713" i="10"/>
  <c r="D3713" i="10"/>
  <c r="C3713" i="10"/>
  <c r="B3713" i="10"/>
  <c r="A3713" i="10"/>
  <c r="E3712" i="10"/>
  <c r="D3712" i="10"/>
  <c r="C3712" i="10"/>
  <c r="B3712" i="10"/>
  <c r="A3712" i="10"/>
  <c r="E3711" i="10"/>
  <c r="D3711" i="10"/>
  <c r="C3711" i="10"/>
  <c r="B3711" i="10"/>
  <c r="A3711" i="10"/>
  <c r="E3710" i="10"/>
  <c r="D3710" i="10"/>
  <c r="C3710" i="10"/>
  <c r="B3710" i="10"/>
  <c r="A3710" i="10"/>
  <c r="E3709" i="10"/>
  <c r="D3709" i="10"/>
  <c r="C3709" i="10"/>
  <c r="B3709" i="10"/>
  <c r="A3709" i="10"/>
  <c r="E3708" i="10"/>
  <c r="D3708" i="10"/>
  <c r="C3708" i="10"/>
  <c r="B3708" i="10"/>
  <c r="A3708" i="10"/>
  <c r="E3707" i="10"/>
  <c r="D3707" i="10"/>
  <c r="C3707" i="10"/>
  <c r="B3707" i="10"/>
  <c r="A3707" i="10"/>
  <c r="E3706" i="10"/>
  <c r="D3706" i="10"/>
  <c r="C3706" i="10"/>
  <c r="B3706" i="10"/>
  <c r="A3706" i="10"/>
  <c r="E3705" i="10"/>
  <c r="D3705" i="10"/>
  <c r="C3705" i="10"/>
  <c r="B3705" i="10"/>
  <c r="A3705" i="10"/>
  <c r="E3704" i="10"/>
  <c r="D3704" i="10"/>
  <c r="C3704" i="10"/>
  <c r="B3704" i="10"/>
  <c r="A3704" i="10"/>
  <c r="E3703" i="10"/>
  <c r="D3703" i="10"/>
  <c r="C3703" i="10"/>
  <c r="B3703" i="10"/>
  <c r="A3703" i="10"/>
  <c r="E3702" i="10"/>
  <c r="D3702" i="10"/>
  <c r="C3702" i="10"/>
  <c r="B3702" i="10"/>
  <c r="A3702" i="10"/>
  <c r="E3701" i="10"/>
  <c r="D3701" i="10"/>
  <c r="C3701" i="10"/>
  <c r="B3701" i="10"/>
  <c r="A3701" i="10"/>
  <c r="E3700" i="10"/>
  <c r="D3700" i="10"/>
  <c r="C3700" i="10"/>
  <c r="B3700" i="10"/>
  <c r="A3700" i="10"/>
  <c r="E3699" i="10"/>
  <c r="D3699" i="10"/>
  <c r="C3699" i="10"/>
  <c r="B3699" i="10"/>
  <c r="A3699" i="10"/>
  <c r="E3698" i="10"/>
  <c r="D3698" i="10"/>
  <c r="C3698" i="10"/>
  <c r="B3698" i="10"/>
  <c r="A3698" i="10"/>
  <c r="E3697" i="10"/>
  <c r="D3697" i="10"/>
  <c r="C3697" i="10"/>
  <c r="B3697" i="10"/>
  <c r="A3697" i="10"/>
  <c r="E3696" i="10"/>
  <c r="D3696" i="10"/>
  <c r="C3696" i="10"/>
  <c r="B3696" i="10"/>
  <c r="A3696" i="10"/>
  <c r="E3695" i="10"/>
  <c r="D3695" i="10"/>
  <c r="C3695" i="10"/>
  <c r="B3695" i="10"/>
  <c r="A3695" i="10"/>
  <c r="E3694" i="10"/>
  <c r="D3694" i="10"/>
  <c r="C3694" i="10"/>
  <c r="B3694" i="10"/>
  <c r="A3694" i="10"/>
  <c r="E3693" i="10"/>
  <c r="D3693" i="10"/>
  <c r="C3693" i="10"/>
  <c r="B3693" i="10"/>
  <c r="A3693" i="10"/>
  <c r="E3692" i="10"/>
  <c r="D3692" i="10"/>
  <c r="C3692" i="10"/>
  <c r="B3692" i="10"/>
  <c r="A3692" i="10"/>
  <c r="E3691" i="10"/>
  <c r="D3691" i="10"/>
  <c r="C3691" i="10"/>
  <c r="B3691" i="10"/>
  <c r="A3691" i="10"/>
  <c r="E3690" i="10"/>
  <c r="D3690" i="10"/>
  <c r="C3690" i="10"/>
  <c r="B3690" i="10"/>
  <c r="A3690" i="10"/>
  <c r="E3689" i="10"/>
  <c r="D3689" i="10"/>
  <c r="C3689" i="10"/>
  <c r="B3689" i="10"/>
  <c r="A3689" i="10"/>
  <c r="E3688" i="10"/>
  <c r="D3688" i="10"/>
  <c r="C3688" i="10"/>
  <c r="B3688" i="10"/>
  <c r="A3688" i="10"/>
  <c r="E3687" i="10"/>
  <c r="D3687" i="10"/>
  <c r="C3687" i="10"/>
  <c r="B3687" i="10"/>
  <c r="A3687" i="10"/>
  <c r="E3686" i="10"/>
  <c r="D3686" i="10"/>
  <c r="C3686" i="10"/>
  <c r="B3686" i="10"/>
  <c r="A3686" i="10"/>
  <c r="E3685" i="10"/>
  <c r="D3685" i="10"/>
  <c r="C3685" i="10"/>
  <c r="B3685" i="10"/>
  <c r="A3685" i="10"/>
  <c r="E3684" i="10"/>
  <c r="D3684" i="10"/>
  <c r="C3684" i="10"/>
  <c r="B3684" i="10"/>
  <c r="A3684" i="10"/>
  <c r="E3683" i="10"/>
  <c r="D3683" i="10"/>
  <c r="C3683" i="10"/>
  <c r="B3683" i="10"/>
  <c r="A3683" i="10"/>
  <c r="E3682" i="10"/>
  <c r="D3682" i="10"/>
  <c r="C3682" i="10"/>
  <c r="B3682" i="10"/>
  <c r="A3682" i="10"/>
  <c r="E3681" i="10"/>
  <c r="D3681" i="10"/>
  <c r="C3681" i="10"/>
  <c r="B3681" i="10"/>
  <c r="A3681" i="10"/>
  <c r="E3680" i="10"/>
  <c r="D3680" i="10"/>
  <c r="C3680" i="10"/>
  <c r="B3680" i="10"/>
  <c r="A3680" i="10"/>
  <c r="E3679" i="10"/>
  <c r="D3679" i="10"/>
  <c r="C3679" i="10"/>
  <c r="B3679" i="10"/>
  <c r="A3679" i="10"/>
  <c r="E3678" i="10"/>
  <c r="D3678" i="10"/>
  <c r="C3678" i="10"/>
  <c r="B3678" i="10"/>
  <c r="A3678" i="10"/>
  <c r="E3677" i="10"/>
  <c r="D3677" i="10"/>
  <c r="C3677" i="10"/>
  <c r="B3677" i="10"/>
  <c r="A3677" i="10"/>
  <c r="E3676" i="10"/>
  <c r="D3676" i="10"/>
  <c r="C3676" i="10"/>
  <c r="B3676" i="10"/>
  <c r="A3676" i="10"/>
  <c r="E3675" i="10"/>
  <c r="D3675" i="10"/>
  <c r="C3675" i="10"/>
  <c r="B3675" i="10"/>
  <c r="A3675" i="10"/>
  <c r="E3674" i="10"/>
  <c r="D3674" i="10"/>
  <c r="C3674" i="10"/>
  <c r="B3674" i="10"/>
  <c r="A3674" i="10"/>
  <c r="E3673" i="10"/>
  <c r="D3673" i="10"/>
  <c r="C3673" i="10"/>
  <c r="B3673" i="10"/>
  <c r="A3673" i="10"/>
  <c r="E3672" i="10"/>
  <c r="D3672" i="10"/>
  <c r="C3672" i="10"/>
  <c r="B3672" i="10"/>
  <c r="A3672" i="10"/>
  <c r="E3671" i="10"/>
  <c r="D3671" i="10"/>
  <c r="C3671" i="10"/>
  <c r="B3671" i="10"/>
  <c r="A3671" i="10"/>
  <c r="E3670" i="10"/>
  <c r="D3670" i="10"/>
  <c r="C3670" i="10"/>
  <c r="B3670" i="10"/>
  <c r="A3670" i="10"/>
  <c r="E3669" i="10"/>
  <c r="D3669" i="10"/>
  <c r="C3669" i="10"/>
  <c r="B3669" i="10"/>
  <c r="A3669" i="10"/>
  <c r="E3668" i="10"/>
  <c r="D3668" i="10"/>
  <c r="C3668" i="10"/>
  <c r="B3668" i="10"/>
  <c r="A3668" i="10"/>
  <c r="E3667" i="10"/>
  <c r="D3667" i="10"/>
  <c r="C3667" i="10"/>
  <c r="B3667" i="10"/>
  <c r="A3667" i="10"/>
  <c r="E3666" i="10"/>
  <c r="D3666" i="10"/>
  <c r="C3666" i="10"/>
  <c r="B3666" i="10"/>
  <c r="A3666" i="10"/>
  <c r="E3665" i="10"/>
  <c r="D3665" i="10"/>
  <c r="C3665" i="10"/>
  <c r="B3665" i="10"/>
  <c r="A3665" i="10"/>
  <c r="E3664" i="10"/>
  <c r="D3664" i="10"/>
  <c r="C3664" i="10"/>
  <c r="B3664" i="10"/>
  <c r="A3664" i="10"/>
  <c r="E3663" i="10"/>
  <c r="D3663" i="10"/>
  <c r="C3663" i="10"/>
  <c r="B3663" i="10"/>
  <c r="A3663" i="10"/>
  <c r="E3662" i="10"/>
  <c r="D3662" i="10"/>
  <c r="C3662" i="10"/>
  <c r="B3662" i="10"/>
  <c r="A3662" i="10"/>
  <c r="E3661" i="10"/>
  <c r="D3661" i="10"/>
  <c r="C3661" i="10"/>
  <c r="B3661" i="10"/>
  <c r="A3661" i="10"/>
  <c r="E3660" i="10"/>
  <c r="D3660" i="10"/>
  <c r="C3660" i="10"/>
  <c r="B3660" i="10"/>
  <c r="A3660" i="10"/>
  <c r="E3659" i="10"/>
  <c r="D3659" i="10"/>
  <c r="C3659" i="10"/>
  <c r="B3659" i="10"/>
  <c r="A3659" i="10"/>
  <c r="E3658" i="10"/>
  <c r="D3658" i="10"/>
  <c r="C3658" i="10"/>
  <c r="B3658" i="10"/>
  <c r="A3658" i="10"/>
  <c r="E3657" i="10"/>
  <c r="D3657" i="10"/>
  <c r="C3657" i="10"/>
  <c r="B3657" i="10"/>
  <c r="A3657" i="10"/>
  <c r="E3656" i="10"/>
  <c r="D3656" i="10"/>
  <c r="C3656" i="10"/>
  <c r="B3656" i="10"/>
  <c r="A3656" i="10"/>
  <c r="E3655" i="10"/>
  <c r="D3655" i="10"/>
  <c r="C3655" i="10"/>
  <c r="B3655" i="10"/>
  <c r="A3655" i="10"/>
  <c r="E3654" i="10"/>
  <c r="D3654" i="10"/>
  <c r="C3654" i="10"/>
  <c r="B3654" i="10"/>
  <c r="A3654" i="10"/>
  <c r="E3653" i="10"/>
  <c r="D3653" i="10"/>
  <c r="C3653" i="10"/>
  <c r="B3653" i="10"/>
  <c r="A3653" i="10"/>
  <c r="E3652" i="10"/>
  <c r="D3652" i="10"/>
  <c r="C3652" i="10"/>
  <c r="B3652" i="10"/>
  <c r="A3652" i="10"/>
  <c r="E3651" i="10"/>
  <c r="D3651" i="10"/>
  <c r="C3651" i="10"/>
  <c r="B3651" i="10"/>
  <c r="A3651" i="10"/>
  <c r="E3650" i="10"/>
  <c r="D3650" i="10"/>
  <c r="C3650" i="10"/>
  <c r="B3650" i="10"/>
  <c r="A3650" i="10"/>
  <c r="E3649" i="10"/>
  <c r="D3649" i="10"/>
  <c r="C3649" i="10"/>
  <c r="B3649" i="10"/>
  <c r="A3649" i="10"/>
  <c r="E3648" i="10"/>
  <c r="D3648" i="10"/>
  <c r="C3648" i="10"/>
  <c r="B3648" i="10"/>
  <c r="A3648" i="10"/>
  <c r="E3647" i="10"/>
  <c r="D3647" i="10"/>
  <c r="C3647" i="10"/>
  <c r="B3647" i="10"/>
  <c r="A3647" i="10"/>
  <c r="E3646" i="10"/>
  <c r="D3646" i="10"/>
  <c r="C3646" i="10"/>
  <c r="B3646" i="10"/>
  <c r="A3646" i="10"/>
  <c r="E3645" i="10"/>
  <c r="D3645" i="10"/>
  <c r="C3645" i="10"/>
  <c r="B3645" i="10"/>
  <c r="A3645" i="10"/>
  <c r="E3644" i="10"/>
  <c r="D3644" i="10"/>
  <c r="C3644" i="10"/>
  <c r="B3644" i="10"/>
  <c r="A3644" i="10"/>
  <c r="E3643" i="10"/>
  <c r="D3643" i="10"/>
  <c r="C3643" i="10"/>
  <c r="B3643" i="10"/>
  <c r="A3643" i="10"/>
  <c r="E3642" i="10"/>
  <c r="D3642" i="10"/>
  <c r="C3642" i="10"/>
  <c r="B3642" i="10"/>
  <c r="A3642" i="10"/>
  <c r="E3641" i="10"/>
  <c r="D3641" i="10"/>
  <c r="C3641" i="10"/>
  <c r="B3641" i="10"/>
  <c r="A3641" i="10"/>
  <c r="E3640" i="10"/>
  <c r="D3640" i="10"/>
  <c r="C3640" i="10"/>
  <c r="B3640" i="10"/>
  <c r="A3640" i="10"/>
  <c r="E3639" i="10"/>
  <c r="D3639" i="10"/>
  <c r="C3639" i="10"/>
  <c r="B3639" i="10"/>
  <c r="A3639" i="10"/>
  <c r="E3638" i="10"/>
  <c r="D3638" i="10"/>
  <c r="C3638" i="10"/>
  <c r="B3638" i="10"/>
  <c r="A3638" i="10"/>
  <c r="E3637" i="10"/>
  <c r="D3637" i="10"/>
  <c r="C3637" i="10"/>
  <c r="B3637" i="10"/>
  <c r="A3637" i="10"/>
  <c r="E3636" i="10"/>
  <c r="D3636" i="10"/>
  <c r="C3636" i="10"/>
  <c r="B3636" i="10"/>
  <c r="A3636" i="10"/>
  <c r="E3635" i="10"/>
  <c r="D3635" i="10"/>
  <c r="C3635" i="10"/>
  <c r="B3635" i="10"/>
  <c r="A3635" i="10"/>
  <c r="E3634" i="10"/>
  <c r="D3634" i="10"/>
  <c r="C3634" i="10"/>
  <c r="B3634" i="10"/>
  <c r="A3634" i="10"/>
  <c r="E3633" i="10"/>
  <c r="D3633" i="10"/>
  <c r="C3633" i="10"/>
  <c r="B3633" i="10"/>
  <c r="A3633" i="10"/>
  <c r="E3632" i="10"/>
  <c r="D3632" i="10"/>
  <c r="C3632" i="10"/>
  <c r="B3632" i="10"/>
  <c r="A3632" i="10"/>
  <c r="E3631" i="10"/>
  <c r="D3631" i="10"/>
  <c r="C3631" i="10"/>
  <c r="B3631" i="10"/>
  <c r="A3631" i="10"/>
  <c r="E3630" i="10"/>
  <c r="D3630" i="10"/>
  <c r="C3630" i="10"/>
  <c r="B3630" i="10"/>
  <c r="A3630" i="10"/>
  <c r="E3629" i="10"/>
  <c r="D3629" i="10"/>
  <c r="C3629" i="10"/>
  <c r="B3629" i="10"/>
  <c r="A3629" i="10"/>
  <c r="E3628" i="10"/>
  <c r="D3628" i="10"/>
  <c r="C3628" i="10"/>
  <c r="B3628" i="10"/>
  <c r="A3628" i="10"/>
  <c r="E3627" i="10"/>
  <c r="D3627" i="10"/>
  <c r="C3627" i="10"/>
  <c r="B3627" i="10"/>
  <c r="A3627" i="10"/>
  <c r="E3626" i="10"/>
  <c r="D3626" i="10"/>
  <c r="C3626" i="10"/>
  <c r="B3626" i="10"/>
  <c r="A3626" i="10"/>
  <c r="E3625" i="10"/>
  <c r="D3625" i="10"/>
  <c r="C3625" i="10"/>
  <c r="B3625" i="10"/>
  <c r="A3625" i="10"/>
  <c r="E3624" i="10"/>
  <c r="D3624" i="10"/>
  <c r="C3624" i="10"/>
  <c r="B3624" i="10"/>
  <c r="A3624" i="10"/>
  <c r="E3623" i="10"/>
  <c r="D3623" i="10"/>
  <c r="C3623" i="10"/>
  <c r="B3623" i="10"/>
  <c r="A3623" i="10"/>
  <c r="E3622" i="10"/>
  <c r="D3622" i="10"/>
  <c r="C3622" i="10"/>
  <c r="B3622" i="10"/>
  <c r="A3622" i="10"/>
  <c r="E3621" i="10"/>
  <c r="D3621" i="10"/>
  <c r="C3621" i="10"/>
  <c r="B3621" i="10"/>
  <c r="A3621" i="10"/>
  <c r="E3620" i="10"/>
  <c r="D3620" i="10"/>
  <c r="C3620" i="10"/>
  <c r="B3620" i="10"/>
  <c r="A3620" i="10"/>
  <c r="E3619" i="10"/>
  <c r="D3619" i="10"/>
  <c r="C3619" i="10"/>
  <c r="B3619" i="10"/>
  <c r="A3619" i="10"/>
  <c r="E3618" i="10"/>
  <c r="D3618" i="10"/>
  <c r="C3618" i="10"/>
  <c r="B3618" i="10"/>
  <c r="A3618" i="10"/>
  <c r="E3617" i="10"/>
  <c r="D3617" i="10"/>
  <c r="C3617" i="10"/>
  <c r="B3617" i="10"/>
  <c r="A3617" i="10"/>
  <c r="E3616" i="10"/>
  <c r="D3616" i="10"/>
  <c r="C3616" i="10"/>
  <c r="B3616" i="10"/>
  <c r="A3616" i="10"/>
  <c r="E3615" i="10"/>
  <c r="D3615" i="10"/>
  <c r="C3615" i="10"/>
  <c r="B3615" i="10"/>
  <c r="A3615" i="10"/>
  <c r="E3614" i="10"/>
  <c r="D3614" i="10"/>
  <c r="C3614" i="10"/>
  <c r="B3614" i="10"/>
  <c r="A3614" i="10"/>
  <c r="E3613" i="10"/>
  <c r="D3613" i="10"/>
  <c r="C3613" i="10"/>
  <c r="B3613" i="10"/>
  <c r="A3613" i="10"/>
  <c r="E3612" i="10"/>
  <c r="D3612" i="10"/>
  <c r="C3612" i="10"/>
  <c r="B3612" i="10"/>
  <c r="A3612" i="10"/>
  <c r="E3611" i="10"/>
  <c r="D3611" i="10"/>
  <c r="C3611" i="10"/>
  <c r="B3611" i="10"/>
  <c r="A3611" i="10"/>
  <c r="E3610" i="10"/>
  <c r="D3610" i="10"/>
  <c r="C3610" i="10"/>
  <c r="B3610" i="10"/>
  <c r="A3610" i="10"/>
  <c r="E3609" i="10"/>
  <c r="D3609" i="10"/>
  <c r="C3609" i="10"/>
  <c r="B3609" i="10"/>
  <c r="A3609" i="10"/>
  <c r="E3608" i="10"/>
  <c r="D3608" i="10"/>
  <c r="C3608" i="10"/>
  <c r="B3608" i="10"/>
  <c r="A3608" i="10"/>
  <c r="E3607" i="10"/>
  <c r="D3607" i="10"/>
  <c r="C3607" i="10"/>
  <c r="B3607" i="10"/>
  <c r="A3607" i="10"/>
  <c r="E3606" i="10"/>
  <c r="D3606" i="10"/>
  <c r="C3606" i="10"/>
  <c r="B3606" i="10"/>
  <c r="A3606" i="10"/>
  <c r="E3605" i="10"/>
  <c r="D3605" i="10"/>
  <c r="C3605" i="10"/>
  <c r="B3605" i="10"/>
  <c r="A3605" i="10"/>
  <c r="E3604" i="10"/>
  <c r="D3604" i="10"/>
  <c r="C3604" i="10"/>
  <c r="B3604" i="10"/>
  <c r="A3604" i="10"/>
  <c r="E3603" i="10"/>
  <c r="D3603" i="10"/>
  <c r="C3603" i="10"/>
  <c r="B3603" i="10"/>
  <c r="A3603" i="10"/>
  <c r="E3602" i="10"/>
  <c r="D3602" i="10"/>
  <c r="C3602" i="10"/>
  <c r="B3602" i="10"/>
  <c r="A3602" i="10"/>
  <c r="E3601" i="10"/>
  <c r="D3601" i="10"/>
  <c r="C3601" i="10"/>
  <c r="B3601" i="10"/>
  <c r="A3601" i="10"/>
  <c r="E3600" i="10"/>
  <c r="D3600" i="10"/>
  <c r="C3600" i="10"/>
  <c r="B3600" i="10"/>
  <c r="A3600" i="10"/>
  <c r="E3599" i="10"/>
  <c r="D3599" i="10"/>
  <c r="C3599" i="10"/>
  <c r="B3599" i="10"/>
  <c r="A3599" i="10"/>
  <c r="E3598" i="10"/>
  <c r="D3598" i="10"/>
  <c r="C3598" i="10"/>
  <c r="B3598" i="10"/>
  <c r="A3598" i="10"/>
  <c r="E3597" i="10"/>
  <c r="D3597" i="10"/>
  <c r="C3597" i="10"/>
  <c r="B3597" i="10"/>
  <c r="A3597" i="10"/>
  <c r="E3596" i="10"/>
  <c r="D3596" i="10"/>
  <c r="C3596" i="10"/>
  <c r="B3596" i="10"/>
  <c r="A3596" i="10"/>
  <c r="E3595" i="10"/>
  <c r="D3595" i="10"/>
  <c r="C3595" i="10"/>
  <c r="B3595" i="10"/>
  <c r="A3595" i="10"/>
  <c r="E3594" i="10"/>
  <c r="D3594" i="10"/>
  <c r="C3594" i="10"/>
  <c r="B3594" i="10"/>
  <c r="A3594" i="10"/>
  <c r="E3593" i="10"/>
  <c r="D3593" i="10"/>
  <c r="C3593" i="10"/>
  <c r="B3593" i="10"/>
  <c r="A3593" i="10"/>
  <c r="E3592" i="10"/>
  <c r="D3592" i="10"/>
  <c r="C3592" i="10"/>
  <c r="B3592" i="10"/>
  <c r="A3592" i="10"/>
  <c r="E3591" i="10"/>
  <c r="D3591" i="10"/>
  <c r="C3591" i="10"/>
  <c r="B3591" i="10"/>
  <c r="A3591" i="10"/>
  <c r="E3590" i="10"/>
  <c r="D3590" i="10"/>
  <c r="C3590" i="10"/>
  <c r="B3590" i="10"/>
  <c r="A3590" i="10"/>
  <c r="E3589" i="10"/>
  <c r="D3589" i="10"/>
  <c r="C3589" i="10"/>
  <c r="B3589" i="10"/>
  <c r="A3589" i="10"/>
  <c r="E3588" i="10"/>
  <c r="D3588" i="10"/>
  <c r="C3588" i="10"/>
  <c r="B3588" i="10"/>
  <c r="A3588" i="10"/>
  <c r="E3587" i="10"/>
  <c r="D3587" i="10"/>
  <c r="C3587" i="10"/>
  <c r="B3587" i="10"/>
  <c r="A3587" i="10"/>
  <c r="E3586" i="10"/>
  <c r="D3586" i="10"/>
  <c r="C3586" i="10"/>
  <c r="B3586" i="10"/>
  <c r="A3586" i="10"/>
  <c r="E3585" i="10"/>
  <c r="D3585" i="10"/>
  <c r="C3585" i="10"/>
  <c r="B3585" i="10"/>
  <c r="A3585" i="10"/>
  <c r="E3584" i="10"/>
  <c r="D3584" i="10"/>
  <c r="C3584" i="10"/>
  <c r="B3584" i="10"/>
  <c r="A3584" i="10"/>
  <c r="E3583" i="10"/>
  <c r="D3583" i="10"/>
  <c r="C3583" i="10"/>
  <c r="B3583" i="10"/>
  <c r="A3583" i="10"/>
  <c r="E3582" i="10"/>
  <c r="D3582" i="10"/>
  <c r="C3582" i="10"/>
  <c r="B3582" i="10"/>
  <c r="A3582" i="10"/>
  <c r="E3581" i="10"/>
  <c r="D3581" i="10"/>
  <c r="C3581" i="10"/>
  <c r="B3581" i="10"/>
  <c r="A3581" i="10"/>
  <c r="E3580" i="10"/>
  <c r="D3580" i="10"/>
  <c r="C3580" i="10"/>
  <c r="B3580" i="10"/>
  <c r="A3580" i="10"/>
  <c r="E3579" i="10"/>
  <c r="D3579" i="10"/>
  <c r="C3579" i="10"/>
  <c r="B3579" i="10"/>
  <c r="A3579" i="10"/>
  <c r="E3578" i="10"/>
  <c r="D3578" i="10"/>
  <c r="C3578" i="10"/>
  <c r="B3578" i="10"/>
  <c r="A3578" i="10"/>
  <c r="E3577" i="10"/>
  <c r="D3577" i="10"/>
  <c r="C3577" i="10"/>
  <c r="B3577" i="10"/>
  <c r="A3577" i="10"/>
  <c r="E3576" i="10"/>
  <c r="D3576" i="10"/>
  <c r="C3576" i="10"/>
  <c r="B3576" i="10"/>
  <c r="A3576" i="10"/>
  <c r="E3575" i="10"/>
  <c r="D3575" i="10"/>
  <c r="C3575" i="10"/>
  <c r="B3575" i="10"/>
  <c r="A3575" i="10"/>
  <c r="E3574" i="10"/>
  <c r="D3574" i="10"/>
  <c r="C3574" i="10"/>
  <c r="B3574" i="10"/>
  <c r="A3574" i="10"/>
  <c r="E3573" i="10"/>
  <c r="D3573" i="10"/>
  <c r="C3573" i="10"/>
  <c r="B3573" i="10"/>
  <c r="A3573" i="10"/>
  <c r="E3572" i="10"/>
  <c r="D3572" i="10"/>
  <c r="C3572" i="10"/>
  <c r="B3572" i="10"/>
  <c r="A3572" i="10"/>
  <c r="E3571" i="10"/>
  <c r="D3571" i="10"/>
  <c r="C3571" i="10"/>
  <c r="B3571" i="10"/>
  <c r="A3571" i="10"/>
  <c r="E3570" i="10"/>
  <c r="D3570" i="10"/>
  <c r="C3570" i="10"/>
  <c r="B3570" i="10"/>
  <c r="A3570" i="10"/>
  <c r="E3569" i="10"/>
  <c r="D3569" i="10"/>
  <c r="C3569" i="10"/>
  <c r="B3569" i="10"/>
  <c r="A3569" i="10"/>
  <c r="E3568" i="10"/>
  <c r="D3568" i="10"/>
  <c r="C3568" i="10"/>
  <c r="B3568" i="10"/>
  <c r="A3568" i="10"/>
  <c r="E3567" i="10"/>
  <c r="D3567" i="10"/>
  <c r="C3567" i="10"/>
  <c r="B3567" i="10"/>
  <c r="A3567" i="10"/>
  <c r="E3566" i="10"/>
  <c r="D3566" i="10"/>
  <c r="C3566" i="10"/>
  <c r="B3566" i="10"/>
  <c r="A3566" i="10"/>
  <c r="E3565" i="10"/>
  <c r="D3565" i="10"/>
  <c r="C3565" i="10"/>
  <c r="B3565" i="10"/>
  <c r="A3565" i="10"/>
  <c r="E3564" i="10"/>
  <c r="D3564" i="10"/>
  <c r="C3564" i="10"/>
  <c r="B3564" i="10"/>
  <c r="A3564" i="10"/>
  <c r="E3563" i="10"/>
  <c r="D3563" i="10"/>
  <c r="C3563" i="10"/>
  <c r="B3563" i="10"/>
  <c r="A3563" i="10"/>
  <c r="E3562" i="10"/>
  <c r="D3562" i="10"/>
  <c r="C3562" i="10"/>
  <c r="B3562" i="10"/>
  <c r="A3562" i="10"/>
  <c r="E3561" i="10"/>
  <c r="D3561" i="10"/>
  <c r="C3561" i="10"/>
  <c r="B3561" i="10"/>
  <c r="A3561" i="10"/>
  <c r="E3560" i="10"/>
  <c r="D3560" i="10"/>
  <c r="C3560" i="10"/>
  <c r="B3560" i="10"/>
  <c r="A3560" i="10"/>
  <c r="E3559" i="10"/>
  <c r="D3559" i="10"/>
  <c r="C3559" i="10"/>
  <c r="B3559" i="10"/>
  <c r="A3559" i="10"/>
  <c r="E3558" i="10"/>
  <c r="D3558" i="10"/>
  <c r="C3558" i="10"/>
  <c r="B3558" i="10"/>
  <c r="A3558" i="10"/>
  <c r="E3557" i="10"/>
  <c r="D3557" i="10"/>
  <c r="C3557" i="10"/>
  <c r="B3557" i="10"/>
  <c r="A3557" i="10"/>
  <c r="E3556" i="10"/>
  <c r="D3556" i="10"/>
  <c r="C3556" i="10"/>
  <c r="B3556" i="10"/>
  <c r="A3556" i="10"/>
  <c r="E3555" i="10"/>
  <c r="D3555" i="10"/>
  <c r="C3555" i="10"/>
  <c r="B3555" i="10"/>
  <c r="A3555" i="10"/>
  <c r="E3554" i="10"/>
  <c r="D3554" i="10"/>
  <c r="C3554" i="10"/>
  <c r="B3554" i="10"/>
  <c r="A3554" i="10"/>
  <c r="E3553" i="10"/>
  <c r="D3553" i="10"/>
  <c r="C3553" i="10"/>
  <c r="B3553" i="10"/>
  <c r="A3553" i="10"/>
  <c r="E3552" i="10"/>
  <c r="D3552" i="10"/>
  <c r="C3552" i="10"/>
  <c r="B3552" i="10"/>
  <c r="A3552" i="10"/>
  <c r="E3551" i="10"/>
  <c r="D3551" i="10"/>
  <c r="C3551" i="10"/>
  <c r="B3551" i="10"/>
  <c r="A3551" i="10"/>
  <c r="E3550" i="10"/>
  <c r="D3550" i="10"/>
  <c r="C3550" i="10"/>
  <c r="B3550" i="10"/>
  <c r="A3550" i="10"/>
  <c r="E3549" i="10"/>
  <c r="D3549" i="10"/>
  <c r="C3549" i="10"/>
  <c r="B3549" i="10"/>
  <c r="A3549" i="10"/>
  <c r="E3548" i="10"/>
  <c r="D3548" i="10"/>
  <c r="C3548" i="10"/>
  <c r="B3548" i="10"/>
  <c r="A3548" i="10"/>
  <c r="E3547" i="10"/>
  <c r="D3547" i="10"/>
  <c r="C3547" i="10"/>
  <c r="B3547" i="10"/>
  <c r="A3547" i="10"/>
  <c r="E3546" i="10"/>
  <c r="D3546" i="10"/>
  <c r="C3546" i="10"/>
  <c r="B3546" i="10"/>
  <c r="A3546" i="10"/>
  <c r="E3545" i="10"/>
  <c r="D3545" i="10"/>
  <c r="C3545" i="10"/>
  <c r="B3545" i="10"/>
  <c r="A3545" i="10"/>
  <c r="E3544" i="10"/>
  <c r="D3544" i="10"/>
  <c r="C3544" i="10"/>
  <c r="B3544" i="10"/>
  <c r="A3544" i="10"/>
  <c r="E3543" i="10"/>
  <c r="D3543" i="10"/>
  <c r="C3543" i="10"/>
  <c r="B3543" i="10"/>
  <c r="A3543" i="10"/>
  <c r="E3542" i="10"/>
  <c r="D3542" i="10"/>
  <c r="C3542" i="10"/>
  <c r="B3542" i="10"/>
  <c r="A3542" i="10"/>
  <c r="E3541" i="10"/>
  <c r="D3541" i="10"/>
  <c r="C3541" i="10"/>
  <c r="B3541" i="10"/>
  <c r="A3541" i="10"/>
  <c r="E3540" i="10"/>
  <c r="D3540" i="10"/>
  <c r="C3540" i="10"/>
  <c r="B3540" i="10"/>
  <c r="A3540" i="10"/>
  <c r="E3539" i="10"/>
  <c r="D3539" i="10"/>
  <c r="C3539" i="10"/>
  <c r="B3539" i="10"/>
  <c r="A3539" i="10"/>
  <c r="E3538" i="10"/>
  <c r="D3538" i="10"/>
  <c r="C3538" i="10"/>
  <c r="B3538" i="10"/>
  <c r="A3538" i="10"/>
  <c r="E3537" i="10"/>
  <c r="D3537" i="10"/>
  <c r="C3537" i="10"/>
  <c r="B3537" i="10"/>
  <c r="A3537" i="10"/>
  <c r="E3536" i="10"/>
  <c r="D3536" i="10"/>
  <c r="C3536" i="10"/>
  <c r="B3536" i="10"/>
  <c r="A3536" i="10"/>
  <c r="E3535" i="10"/>
  <c r="D3535" i="10"/>
  <c r="C3535" i="10"/>
  <c r="B3535" i="10"/>
  <c r="A3535" i="10"/>
  <c r="E3534" i="10"/>
  <c r="D3534" i="10"/>
  <c r="C3534" i="10"/>
  <c r="B3534" i="10"/>
  <c r="A3534" i="10"/>
  <c r="E3533" i="10"/>
  <c r="D3533" i="10"/>
  <c r="C3533" i="10"/>
  <c r="B3533" i="10"/>
  <c r="A3533" i="10"/>
  <c r="E3532" i="10"/>
  <c r="D3532" i="10"/>
  <c r="C3532" i="10"/>
  <c r="B3532" i="10"/>
  <c r="A3532" i="10"/>
  <c r="E3531" i="10"/>
  <c r="D3531" i="10"/>
  <c r="C3531" i="10"/>
  <c r="B3531" i="10"/>
  <c r="A3531" i="10"/>
  <c r="E3530" i="10"/>
  <c r="D3530" i="10"/>
  <c r="C3530" i="10"/>
  <c r="B3530" i="10"/>
  <c r="A3530" i="10"/>
  <c r="E3529" i="10"/>
  <c r="D3529" i="10"/>
  <c r="C3529" i="10"/>
  <c r="B3529" i="10"/>
  <c r="A3529" i="10"/>
  <c r="E3528" i="10"/>
  <c r="D3528" i="10"/>
  <c r="C3528" i="10"/>
  <c r="B3528" i="10"/>
  <c r="A3528" i="10"/>
  <c r="E3527" i="10"/>
  <c r="D3527" i="10"/>
  <c r="C3527" i="10"/>
  <c r="B3527" i="10"/>
  <c r="A3527" i="10"/>
  <c r="E3526" i="10"/>
  <c r="D3526" i="10"/>
  <c r="C3526" i="10"/>
  <c r="B3526" i="10"/>
  <c r="A3526" i="10"/>
  <c r="E3525" i="10"/>
  <c r="D3525" i="10"/>
  <c r="C3525" i="10"/>
  <c r="B3525" i="10"/>
  <c r="A3525" i="10"/>
  <c r="E3524" i="10"/>
  <c r="D3524" i="10"/>
  <c r="C3524" i="10"/>
  <c r="B3524" i="10"/>
  <c r="A3524" i="10"/>
  <c r="E3523" i="10"/>
  <c r="D3523" i="10"/>
  <c r="C3523" i="10"/>
  <c r="B3523" i="10"/>
  <c r="A3523" i="10"/>
  <c r="E3522" i="10"/>
  <c r="D3522" i="10"/>
  <c r="C3522" i="10"/>
  <c r="B3522" i="10"/>
  <c r="A3522" i="10"/>
  <c r="E3521" i="10"/>
  <c r="D3521" i="10"/>
  <c r="C3521" i="10"/>
  <c r="B3521" i="10"/>
  <c r="A3521" i="10"/>
  <c r="E3520" i="10"/>
  <c r="D3520" i="10"/>
  <c r="C3520" i="10"/>
  <c r="B3520" i="10"/>
  <c r="A3520" i="10"/>
  <c r="E3519" i="10"/>
  <c r="D3519" i="10"/>
  <c r="C3519" i="10"/>
  <c r="B3519" i="10"/>
  <c r="A3519" i="10"/>
  <c r="E3518" i="10"/>
  <c r="D3518" i="10"/>
  <c r="C3518" i="10"/>
  <c r="B3518" i="10"/>
  <c r="A3518" i="10"/>
  <c r="E3517" i="10"/>
  <c r="D3517" i="10"/>
  <c r="C3517" i="10"/>
  <c r="B3517" i="10"/>
  <c r="A3517" i="10"/>
  <c r="E3516" i="10"/>
  <c r="D3516" i="10"/>
  <c r="C3516" i="10"/>
  <c r="B3516" i="10"/>
  <c r="A3516" i="10"/>
  <c r="E3515" i="10"/>
  <c r="D3515" i="10"/>
  <c r="C3515" i="10"/>
  <c r="B3515" i="10"/>
  <c r="A3515" i="10"/>
  <c r="E3514" i="10"/>
  <c r="D3514" i="10"/>
  <c r="C3514" i="10"/>
  <c r="B3514" i="10"/>
  <c r="A3514" i="10"/>
  <c r="E3513" i="10"/>
  <c r="D3513" i="10"/>
  <c r="C3513" i="10"/>
  <c r="B3513" i="10"/>
  <c r="A3513" i="10"/>
  <c r="E3512" i="10"/>
  <c r="D3512" i="10"/>
  <c r="C3512" i="10"/>
  <c r="B3512" i="10"/>
  <c r="A3512" i="10"/>
  <c r="E3511" i="10"/>
  <c r="D3511" i="10"/>
  <c r="C3511" i="10"/>
  <c r="B3511" i="10"/>
  <c r="A3511" i="10"/>
  <c r="E3510" i="10"/>
  <c r="D3510" i="10"/>
  <c r="C3510" i="10"/>
  <c r="B3510" i="10"/>
  <c r="A3510" i="10"/>
  <c r="E3509" i="10"/>
  <c r="D3509" i="10"/>
  <c r="C3509" i="10"/>
  <c r="B3509" i="10"/>
  <c r="A3509" i="10"/>
  <c r="E3508" i="10"/>
  <c r="D3508" i="10"/>
  <c r="C3508" i="10"/>
  <c r="B3508" i="10"/>
  <c r="A3508" i="10"/>
  <c r="E3507" i="10"/>
  <c r="D3507" i="10"/>
  <c r="C3507" i="10"/>
  <c r="B3507" i="10"/>
  <c r="A3507" i="10"/>
  <c r="E3506" i="10"/>
  <c r="D3506" i="10"/>
  <c r="C3506" i="10"/>
  <c r="B3506" i="10"/>
  <c r="A3506" i="10"/>
  <c r="E3505" i="10"/>
  <c r="D3505" i="10"/>
  <c r="C3505" i="10"/>
  <c r="B3505" i="10"/>
  <c r="A3505" i="10"/>
  <c r="E3504" i="10"/>
  <c r="D3504" i="10"/>
  <c r="C3504" i="10"/>
  <c r="B3504" i="10"/>
  <c r="A3504" i="10"/>
  <c r="E3503" i="10"/>
  <c r="D3503" i="10"/>
  <c r="C3503" i="10"/>
  <c r="B3503" i="10"/>
  <c r="A3503" i="10"/>
  <c r="E3502" i="10"/>
  <c r="D3502" i="10"/>
  <c r="C3502" i="10"/>
  <c r="B3502" i="10"/>
  <c r="A3502" i="10"/>
  <c r="E3501" i="10"/>
  <c r="D3501" i="10"/>
  <c r="C3501" i="10"/>
  <c r="B3501" i="10"/>
  <c r="A3501" i="10"/>
  <c r="E3500" i="10"/>
  <c r="D3500" i="10"/>
  <c r="C3500" i="10"/>
  <c r="B3500" i="10"/>
  <c r="A3500" i="10"/>
  <c r="E3499" i="10"/>
  <c r="D3499" i="10"/>
  <c r="C3499" i="10"/>
  <c r="B3499" i="10"/>
  <c r="A3499" i="10"/>
  <c r="E3498" i="10"/>
  <c r="D3498" i="10"/>
  <c r="C3498" i="10"/>
  <c r="B3498" i="10"/>
  <c r="A3498" i="10"/>
  <c r="E3497" i="10"/>
  <c r="D3497" i="10"/>
  <c r="C3497" i="10"/>
  <c r="B3497" i="10"/>
  <c r="A3497" i="10"/>
  <c r="E3496" i="10"/>
  <c r="D3496" i="10"/>
  <c r="C3496" i="10"/>
  <c r="B3496" i="10"/>
  <c r="A3496" i="10"/>
  <c r="E3495" i="10"/>
  <c r="D3495" i="10"/>
  <c r="C3495" i="10"/>
  <c r="B3495" i="10"/>
  <c r="A3495" i="10"/>
  <c r="E3494" i="10"/>
  <c r="D3494" i="10"/>
  <c r="C3494" i="10"/>
  <c r="B3494" i="10"/>
  <c r="A3494" i="10"/>
  <c r="E3493" i="10"/>
  <c r="D3493" i="10"/>
  <c r="C3493" i="10"/>
  <c r="B3493" i="10"/>
  <c r="A3493" i="10"/>
  <c r="E3492" i="10"/>
  <c r="D3492" i="10"/>
  <c r="C3492" i="10"/>
  <c r="B3492" i="10"/>
  <c r="A3492" i="10"/>
  <c r="E3491" i="10"/>
  <c r="D3491" i="10"/>
  <c r="C3491" i="10"/>
  <c r="B3491" i="10"/>
  <c r="A3491" i="10"/>
  <c r="E3490" i="10"/>
  <c r="D3490" i="10"/>
  <c r="C3490" i="10"/>
  <c r="B3490" i="10"/>
  <c r="A3490" i="10"/>
  <c r="E3489" i="10"/>
  <c r="D3489" i="10"/>
  <c r="C3489" i="10"/>
  <c r="B3489" i="10"/>
  <c r="A3489" i="10"/>
  <c r="E3488" i="10"/>
  <c r="D3488" i="10"/>
  <c r="C3488" i="10"/>
  <c r="B3488" i="10"/>
  <c r="A3488" i="10"/>
  <c r="E3487" i="10"/>
  <c r="D3487" i="10"/>
  <c r="C3487" i="10"/>
  <c r="B3487" i="10"/>
  <c r="A3487" i="10"/>
  <c r="E3486" i="10"/>
  <c r="D3486" i="10"/>
  <c r="C3486" i="10"/>
  <c r="B3486" i="10"/>
  <c r="A3486" i="10"/>
  <c r="E3485" i="10"/>
  <c r="D3485" i="10"/>
  <c r="C3485" i="10"/>
  <c r="B3485" i="10"/>
  <c r="A3485" i="10"/>
  <c r="E3484" i="10"/>
  <c r="D3484" i="10"/>
  <c r="C3484" i="10"/>
  <c r="B3484" i="10"/>
  <c r="A3484" i="10"/>
  <c r="E3483" i="10"/>
  <c r="D3483" i="10"/>
  <c r="C3483" i="10"/>
  <c r="B3483" i="10"/>
  <c r="A3483" i="10"/>
  <c r="E3482" i="10"/>
  <c r="D3482" i="10"/>
  <c r="C3482" i="10"/>
  <c r="B3482" i="10"/>
  <c r="A3482" i="10"/>
  <c r="E3481" i="10"/>
  <c r="D3481" i="10"/>
  <c r="C3481" i="10"/>
  <c r="B3481" i="10"/>
  <c r="A3481" i="10"/>
  <c r="E3480" i="10"/>
  <c r="D3480" i="10"/>
  <c r="C3480" i="10"/>
  <c r="B3480" i="10"/>
  <c r="A3480" i="10"/>
  <c r="E3479" i="10"/>
  <c r="D3479" i="10"/>
  <c r="C3479" i="10"/>
  <c r="B3479" i="10"/>
  <c r="A3479" i="10"/>
  <c r="E3478" i="10"/>
  <c r="D3478" i="10"/>
  <c r="C3478" i="10"/>
  <c r="B3478" i="10"/>
  <c r="A3478" i="10"/>
  <c r="E3477" i="10"/>
  <c r="D3477" i="10"/>
  <c r="C3477" i="10"/>
  <c r="B3477" i="10"/>
  <c r="A3477" i="10"/>
  <c r="E3476" i="10"/>
  <c r="D3476" i="10"/>
  <c r="C3476" i="10"/>
  <c r="B3476" i="10"/>
  <c r="A3476" i="10"/>
  <c r="E3475" i="10"/>
  <c r="D3475" i="10"/>
  <c r="C3475" i="10"/>
  <c r="B3475" i="10"/>
  <c r="A3475" i="10"/>
  <c r="E3474" i="10"/>
  <c r="D3474" i="10"/>
  <c r="C3474" i="10"/>
  <c r="B3474" i="10"/>
  <c r="A3474" i="10"/>
  <c r="E3473" i="10"/>
  <c r="D3473" i="10"/>
  <c r="C3473" i="10"/>
  <c r="B3473" i="10"/>
  <c r="A3473" i="10"/>
  <c r="E3472" i="10"/>
  <c r="D3472" i="10"/>
  <c r="C3472" i="10"/>
  <c r="B3472" i="10"/>
  <c r="A3472" i="10"/>
  <c r="E3471" i="10"/>
  <c r="D3471" i="10"/>
  <c r="C3471" i="10"/>
  <c r="B3471" i="10"/>
  <c r="A3471" i="10"/>
  <c r="E3470" i="10"/>
  <c r="D3470" i="10"/>
  <c r="C3470" i="10"/>
  <c r="B3470" i="10"/>
  <c r="A3470" i="10"/>
  <c r="E3469" i="10"/>
  <c r="D3469" i="10"/>
  <c r="C3469" i="10"/>
  <c r="B3469" i="10"/>
  <c r="A3469" i="10"/>
  <c r="E3468" i="10"/>
  <c r="D3468" i="10"/>
  <c r="C3468" i="10"/>
  <c r="B3468" i="10"/>
  <c r="A3468" i="10"/>
  <c r="E3467" i="10"/>
  <c r="D3467" i="10"/>
  <c r="C3467" i="10"/>
  <c r="B3467" i="10"/>
  <c r="A3467" i="10"/>
  <c r="E3466" i="10"/>
  <c r="D3466" i="10"/>
  <c r="C3466" i="10"/>
  <c r="B3466" i="10"/>
  <c r="A3466" i="10"/>
  <c r="E3465" i="10"/>
  <c r="D3465" i="10"/>
  <c r="C3465" i="10"/>
  <c r="B3465" i="10"/>
  <c r="A3465" i="10"/>
  <c r="E3464" i="10"/>
  <c r="D3464" i="10"/>
  <c r="C3464" i="10"/>
  <c r="B3464" i="10"/>
  <c r="A3464" i="10"/>
  <c r="E3463" i="10"/>
  <c r="D3463" i="10"/>
  <c r="C3463" i="10"/>
  <c r="B3463" i="10"/>
  <c r="A3463" i="10"/>
  <c r="E3462" i="10"/>
  <c r="D3462" i="10"/>
  <c r="C3462" i="10"/>
  <c r="B3462" i="10"/>
  <c r="A3462" i="10"/>
  <c r="E3461" i="10"/>
  <c r="D3461" i="10"/>
  <c r="C3461" i="10"/>
  <c r="B3461" i="10"/>
  <c r="A3461" i="10"/>
  <c r="E3460" i="10"/>
  <c r="D3460" i="10"/>
  <c r="C3460" i="10"/>
  <c r="B3460" i="10"/>
  <c r="A3460" i="10"/>
  <c r="E3459" i="10"/>
  <c r="D3459" i="10"/>
  <c r="C3459" i="10"/>
  <c r="B3459" i="10"/>
  <c r="A3459" i="10"/>
  <c r="E3458" i="10"/>
  <c r="D3458" i="10"/>
  <c r="C3458" i="10"/>
  <c r="B3458" i="10"/>
  <c r="A3458" i="10"/>
  <c r="E3457" i="10"/>
  <c r="D3457" i="10"/>
  <c r="C3457" i="10"/>
  <c r="B3457" i="10"/>
  <c r="A3457" i="10"/>
  <c r="E3456" i="10"/>
  <c r="D3456" i="10"/>
  <c r="C3456" i="10"/>
  <c r="B3456" i="10"/>
  <c r="A3456" i="10"/>
  <c r="E3455" i="10"/>
  <c r="D3455" i="10"/>
  <c r="C3455" i="10"/>
  <c r="B3455" i="10"/>
  <c r="A3455" i="10"/>
  <c r="E3454" i="10"/>
  <c r="D3454" i="10"/>
  <c r="C3454" i="10"/>
  <c r="B3454" i="10"/>
  <c r="A3454" i="10"/>
  <c r="E3453" i="10"/>
  <c r="D3453" i="10"/>
  <c r="C3453" i="10"/>
  <c r="B3453" i="10"/>
  <c r="A3453" i="10"/>
  <c r="E3452" i="10"/>
  <c r="D3452" i="10"/>
  <c r="C3452" i="10"/>
  <c r="B3452" i="10"/>
  <c r="A3452" i="10"/>
  <c r="E3451" i="10"/>
  <c r="D3451" i="10"/>
  <c r="C3451" i="10"/>
  <c r="B3451" i="10"/>
  <c r="A3451" i="10"/>
  <c r="E3450" i="10"/>
  <c r="D3450" i="10"/>
  <c r="C3450" i="10"/>
  <c r="B3450" i="10"/>
  <c r="A3450" i="10"/>
  <c r="E3449" i="10"/>
  <c r="D3449" i="10"/>
  <c r="C3449" i="10"/>
  <c r="B3449" i="10"/>
  <c r="A3449" i="10"/>
  <c r="E3448" i="10"/>
  <c r="D3448" i="10"/>
  <c r="C3448" i="10"/>
  <c r="B3448" i="10"/>
  <c r="A3448" i="10"/>
  <c r="E3447" i="10"/>
  <c r="D3447" i="10"/>
  <c r="C3447" i="10"/>
  <c r="B3447" i="10"/>
  <c r="A3447" i="10"/>
  <c r="E3446" i="10"/>
  <c r="D3446" i="10"/>
  <c r="C3446" i="10"/>
  <c r="B3446" i="10"/>
  <c r="A3446" i="10"/>
  <c r="E3445" i="10"/>
  <c r="D3445" i="10"/>
  <c r="C3445" i="10"/>
  <c r="B3445" i="10"/>
  <c r="A3445" i="10"/>
  <c r="E3444" i="10"/>
  <c r="D3444" i="10"/>
  <c r="C3444" i="10"/>
  <c r="B3444" i="10"/>
  <c r="A3444" i="10"/>
  <c r="E3443" i="10"/>
  <c r="D3443" i="10"/>
  <c r="C3443" i="10"/>
  <c r="B3443" i="10"/>
  <c r="A3443" i="10"/>
  <c r="E3442" i="10"/>
  <c r="D3442" i="10"/>
  <c r="C3442" i="10"/>
  <c r="B3442" i="10"/>
  <c r="A3442" i="10"/>
  <c r="E3441" i="10"/>
  <c r="D3441" i="10"/>
  <c r="C3441" i="10"/>
  <c r="B3441" i="10"/>
  <c r="A3441" i="10"/>
  <c r="E3440" i="10"/>
  <c r="D3440" i="10"/>
  <c r="C3440" i="10"/>
  <c r="B3440" i="10"/>
  <c r="A3440" i="10"/>
  <c r="E3439" i="10"/>
  <c r="D3439" i="10"/>
  <c r="C3439" i="10"/>
  <c r="B3439" i="10"/>
  <c r="A3439" i="10"/>
  <c r="E3438" i="10"/>
  <c r="D3438" i="10"/>
  <c r="C3438" i="10"/>
  <c r="B3438" i="10"/>
  <c r="A3438" i="10"/>
  <c r="E3437" i="10"/>
  <c r="D3437" i="10"/>
  <c r="C3437" i="10"/>
  <c r="B3437" i="10"/>
  <c r="A3437" i="10"/>
  <c r="E3436" i="10"/>
  <c r="D3436" i="10"/>
  <c r="C3436" i="10"/>
  <c r="B3436" i="10"/>
  <c r="A3436" i="10"/>
  <c r="E3435" i="10"/>
  <c r="D3435" i="10"/>
  <c r="C3435" i="10"/>
  <c r="B3435" i="10"/>
  <c r="A3435" i="10"/>
  <c r="E3434" i="10"/>
  <c r="D3434" i="10"/>
  <c r="C3434" i="10"/>
  <c r="B3434" i="10"/>
  <c r="A3434" i="10"/>
  <c r="E3433" i="10"/>
  <c r="D3433" i="10"/>
  <c r="C3433" i="10"/>
  <c r="B3433" i="10"/>
  <c r="A3433" i="10"/>
  <c r="E3432" i="10"/>
  <c r="D3432" i="10"/>
  <c r="C3432" i="10"/>
  <c r="B3432" i="10"/>
  <c r="A3432" i="10"/>
  <c r="E3431" i="10"/>
  <c r="D3431" i="10"/>
  <c r="C3431" i="10"/>
  <c r="B3431" i="10"/>
  <c r="A3431" i="10"/>
  <c r="E3430" i="10"/>
  <c r="D3430" i="10"/>
  <c r="C3430" i="10"/>
  <c r="B3430" i="10"/>
  <c r="A3430" i="10"/>
  <c r="E3429" i="10"/>
  <c r="D3429" i="10"/>
  <c r="C3429" i="10"/>
  <c r="B3429" i="10"/>
  <c r="A3429" i="10"/>
  <c r="E3428" i="10"/>
  <c r="D3428" i="10"/>
  <c r="C3428" i="10"/>
  <c r="B3428" i="10"/>
  <c r="A3428" i="10"/>
  <c r="E3427" i="10"/>
  <c r="D3427" i="10"/>
  <c r="C3427" i="10"/>
  <c r="B3427" i="10"/>
  <c r="A3427" i="10"/>
  <c r="E3426" i="10"/>
  <c r="D3426" i="10"/>
  <c r="C3426" i="10"/>
  <c r="B3426" i="10"/>
  <c r="A3426" i="10"/>
  <c r="E3425" i="10"/>
  <c r="D3425" i="10"/>
  <c r="C3425" i="10"/>
  <c r="B3425" i="10"/>
  <c r="A3425" i="10"/>
  <c r="E3424" i="10"/>
  <c r="D3424" i="10"/>
  <c r="C3424" i="10"/>
  <c r="B3424" i="10"/>
  <c r="A3424" i="10"/>
  <c r="E3423" i="10"/>
  <c r="D3423" i="10"/>
  <c r="C3423" i="10"/>
  <c r="B3423" i="10"/>
  <c r="A3423" i="10"/>
  <c r="E3422" i="10"/>
  <c r="D3422" i="10"/>
  <c r="C3422" i="10"/>
  <c r="B3422" i="10"/>
  <c r="A3422" i="10"/>
  <c r="E3421" i="10"/>
  <c r="D3421" i="10"/>
  <c r="C3421" i="10"/>
  <c r="B3421" i="10"/>
  <c r="A3421" i="10"/>
  <c r="E3420" i="10"/>
  <c r="D3420" i="10"/>
  <c r="C3420" i="10"/>
  <c r="B3420" i="10"/>
  <c r="A3420" i="10"/>
  <c r="E3419" i="10"/>
  <c r="D3419" i="10"/>
  <c r="C3419" i="10"/>
  <c r="B3419" i="10"/>
  <c r="A3419" i="10"/>
  <c r="E3418" i="10"/>
  <c r="D3418" i="10"/>
  <c r="C3418" i="10"/>
  <c r="B3418" i="10"/>
  <c r="A3418" i="10"/>
  <c r="E3417" i="10"/>
  <c r="D3417" i="10"/>
  <c r="C3417" i="10"/>
  <c r="B3417" i="10"/>
  <c r="A3417" i="10"/>
  <c r="E3416" i="10"/>
  <c r="D3416" i="10"/>
  <c r="C3416" i="10"/>
  <c r="B3416" i="10"/>
  <c r="A3416" i="10"/>
  <c r="E3415" i="10"/>
  <c r="D3415" i="10"/>
  <c r="C3415" i="10"/>
  <c r="B3415" i="10"/>
  <c r="A3415" i="10"/>
  <c r="E3414" i="10"/>
  <c r="D3414" i="10"/>
  <c r="C3414" i="10"/>
  <c r="B3414" i="10"/>
  <c r="A3414" i="10"/>
  <c r="E3413" i="10"/>
  <c r="D3413" i="10"/>
  <c r="C3413" i="10"/>
  <c r="B3413" i="10"/>
  <c r="A3413" i="10"/>
  <c r="E3412" i="10"/>
  <c r="D3412" i="10"/>
  <c r="C3412" i="10"/>
  <c r="B3412" i="10"/>
  <c r="A3412" i="10"/>
  <c r="E3411" i="10"/>
  <c r="D3411" i="10"/>
  <c r="C3411" i="10"/>
  <c r="B3411" i="10"/>
  <c r="A3411" i="10"/>
  <c r="E3410" i="10"/>
  <c r="D3410" i="10"/>
  <c r="C3410" i="10"/>
  <c r="B3410" i="10"/>
  <c r="A3410" i="10"/>
  <c r="E3409" i="10"/>
  <c r="D3409" i="10"/>
  <c r="C3409" i="10"/>
  <c r="B3409" i="10"/>
  <c r="A3409" i="10"/>
  <c r="E3408" i="10"/>
  <c r="D3408" i="10"/>
  <c r="C3408" i="10"/>
  <c r="B3408" i="10"/>
  <c r="A3408" i="10"/>
  <c r="E3407" i="10"/>
  <c r="D3407" i="10"/>
  <c r="C3407" i="10"/>
  <c r="B3407" i="10"/>
  <c r="A3407" i="10"/>
  <c r="E3406" i="10"/>
  <c r="D3406" i="10"/>
  <c r="C3406" i="10"/>
  <c r="B3406" i="10"/>
  <c r="A3406" i="10"/>
  <c r="E3405" i="10"/>
  <c r="D3405" i="10"/>
  <c r="C3405" i="10"/>
  <c r="B3405" i="10"/>
  <c r="A3405" i="10"/>
  <c r="E3404" i="10"/>
  <c r="D3404" i="10"/>
  <c r="C3404" i="10"/>
  <c r="B3404" i="10"/>
  <c r="A3404" i="10"/>
  <c r="E3403" i="10"/>
  <c r="D3403" i="10"/>
  <c r="C3403" i="10"/>
  <c r="B3403" i="10"/>
  <c r="A3403" i="10"/>
  <c r="E3402" i="10"/>
  <c r="D3402" i="10"/>
  <c r="C3402" i="10"/>
  <c r="B3402" i="10"/>
  <c r="A3402" i="10"/>
  <c r="E3401" i="10"/>
  <c r="D3401" i="10"/>
  <c r="C3401" i="10"/>
  <c r="B3401" i="10"/>
  <c r="A3401" i="10"/>
  <c r="E3400" i="10"/>
  <c r="D3400" i="10"/>
  <c r="C3400" i="10"/>
  <c r="B3400" i="10"/>
  <c r="A3400" i="10"/>
  <c r="E3399" i="10"/>
  <c r="D3399" i="10"/>
  <c r="C3399" i="10"/>
  <c r="B3399" i="10"/>
  <c r="A3399" i="10"/>
  <c r="E3398" i="10"/>
  <c r="D3398" i="10"/>
  <c r="C3398" i="10"/>
  <c r="B3398" i="10"/>
  <c r="A3398" i="10"/>
  <c r="E3397" i="10"/>
  <c r="D3397" i="10"/>
  <c r="C3397" i="10"/>
  <c r="B3397" i="10"/>
  <c r="A3397" i="10"/>
  <c r="E3396" i="10"/>
  <c r="D3396" i="10"/>
  <c r="C3396" i="10"/>
  <c r="B3396" i="10"/>
  <c r="A3396" i="10"/>
  <c r="E3395" i="10"/>
  <c r="D3395" i="10"/>
  <c r="C3395" i="10"/>
  <c r="B3395" i="10"/>
  <c r="A3395" i="10"/>
  <c r="E3394" i="10"/>
  <c r="D3394" i="10"/>
  <c r="C3394" i="10"/>
  <c r="B3394" i="10"/>
  <c r="A3394" i="10"/>
  <c r="E3393" i="10"/>
  <c r="D3393" i="10"/>
  <c r="C3393" i="10"/>
  <c r="B3393" i="10"/>
  <c r="A3393" i="10"/>
  <c r="E3392" i="10"/>
  <c r="D3392" i="10"/>
  <c r="C3392" i="10"/>
  <c r="B3392" i="10"/>
  <c r="A3392" i="10"/>
  <c r="E3391" i="10"/>
  <c r="D3391" i="10"/>
  <c r="C3391" i="10"/>
  <c r="B3391" i="10"/>
  <c r="A3391" i="10"/>
  <c r="E3390" i="10"/>
  <c r="D3390" i="10"/>
  <c r="C3390" i="10"/>
  <c r="B3390" i="10"/>
  <c r="A3390" i="10"/>
  <c r="E3389" i="10"/>
  <c r="D3389" i="10"/>
  <c r="C3389" i="10"/>
  <c r="B3389" i="10"/>
  <c r="A3389" i="10"/>
  <c r="E3388" i="10"/>
  <c r="D3388" i="10"/>
  <c r="C3388" i="10"/>
  <c r="B3388" i="10"/>
  <c r="A3388" i="10"/>
  <c r="E3387" i="10"/>
  <c r="D3387" i="10"/>
  <c r="C3387" i="10"/>
  <c r="B3387" i="10"/>
  <c r="A3387" i="10"/>
  <c r="E3386" i="10"/>
  <c r="D3386" i="10"/>
  <c r="C3386" i="10"/>
  <c r="B3386" i="10"/>
  <c r="A3386" i="10"/>
  <c r="E3385" i="10"/>
  <c r="D3385" i="10"/>
  <c r="C3385" i="10"/>
  <c r="B3385" i="10"/>
  <c r="A3385" i="10"/>
  <c r="E3384" i="10"/>
  <c r="D3384" i="10"/>
  <c r="C3384" i="10"/>
  <c r="B3384" i="10"/>
  <c r="A3384" i="10"/>
  <c r="E3383" i="10"/>
  <c r="D3383" i="10"/>
  <c r="C3383" i="10"/>
  <c r="B3383" i="10"/>
  <c r="A3383" i="10"/>
  <c r="E3382" i="10"/>
  <c r="D3382" i="10"/>
  <c r="C3382" i="10"/>
  <c r="B3382" i="10"/>
  <c r="A3382" i="10"/>
  <c r="E3381" i="10"/>
  <c r="D3381" i="10"/>
  <c r="C3381" i="10"/>
  <c r="B3381" i="10"/>
  <c r="A3381" i="10"/>
  <c r="E3380" i="10"/>
  <c r="D3380" i="10"/>
  <c r="C3380" i="10"/>
  <c r="B3380" i="10"/>
  <c r="A3380" i="10"/>
  <c r="E3379" i="10"/>
  <c r="D3379" i="10"/>
  <c r="C3379" i="10"/>
  <c r="B3379" i="10"/>
  <c r="A3379" i="10"/>
  <c r="E3378" i="10"/>
  <c r="D3378" i="10"/>
  <c r="C3378" i="10"/>
  <c r="B3378" i="10"/>
  <c r="A3378" i="10"/>
  <c r="E3377" i="10"/>
  <c r="D3377" i="10"/>
  <c r="C3377" i="10"/>
  <c r="B3377" i="10"/>
  <c r="A3377" i="10"/>
  <c r="E3376" i="10"/>
  <c r="D3376" i="10"/>
  <c r="C3376" i="10"/>
  <c r="B3376" i="10"/>
  <c r="A3376" i="10"/>
  <c r="E3375" i="10"/>
  <c r="D3375" i="10"/>
  <c r="C3375" i="10"/>
  <c r="B3375" i="10"/>
  <c r="A3375" i="10"/>
  <c r="E3374" i="10"/>
  <c r="D3374" i="10"/>
  <c r="C3374" i="10"/>
  <c r="B3374" i="10"/>
  <c r="A3374" i="10"/>
  <c r="E3373" i="10"/>
  <c r="D3373" i="10"/>
  <c r="C3373" i="10"/>
  <c r="B3373" i="10"/>
  <c r="A3373" i="10"/>
  <c r="E3372" i="10"/>
  <c r="D3372" i="10"/>
  <c r="C3372" i="10"/>
  <c r="B3372" i="10"/>
  <c r="A3372" i="10"/>
  <c r="E3371" i="10"/>
  <c r="D3371" i="10"/>
  <c r="C3371" i="10"/>
  <c r="B3371" i="10"/>
  <c r="A3371" i="10"/>
  <c r="E3370" i="10"/>
  <c r="D3370" i="10"/>
  <c r="C3370" i="10"/>
  <c r="B3370" i="10"/>
  <c r="A3370" i="10"/>
  <c r="E3369" i="10"/>
  <c r="D3369" i="10"/>
  <c r="C3369" i="10"/>
  <c r="B3369" i="10"/>
  <c r="A3369" i="10"/>
  <c r="E3368" i="10"/>
  <c r="D3368" i="10"/>
  <c r="C3368" i="10"/>
  <c r="B3368" i="10"/>
  <c r="A3368" i="10"/>
  <c r="E3367" i="10"/>
  <c r="D3367" i="10"/>
  <c r="C3367" i="10"/>
  <c r="B3367" i="10"/>
  <c r="A3367" i="10"/>
  <c r="E3366" i="10"/>
  <c r="D3366" i="10"/>
  <c r="C3366" i="10"/>
  <c r="B3366" i="10"/>
  <c r="A3366" i="10"/>
  <c r="E3365" i="10"/>
  <c r="D3365" i="10"/>
  <c r="C3365" i="10"/>
  <c r="B3365" i="10"/>
  <c r="A3365" i="10"/>
  <c r="E3364" i="10"/>
  <c r="D3364" i="10"/>
  <c r="C3364" i="10"/>
  <c r="B3364" i="10"/>
  <c r="A3364" i="10"/>
  <c r="E3363" i="10"/>
  <c r="D3363" i="10"/>
  <c r="C3363" i="10"/>
  <c r="B3363" i="10"/>
  <c r="A3363" i="10"/>
  <c r="E3362" i="10"/>
  <c r="D3362" i="10"/>
  <c r="C3362" i="10"/>
  <c r="B3362" i="10"/>
  <c r="A3362" i="10"/>
  <c r="E3361" i="10"/>
  <c r="D3361" i="10"/>
  <c r="C3361" i="10"/>
  <c r="B3361" i="10"/>
  <c r="A3361" i="10"/>
  <c r="E3360" i="10"/>
  <c r="D3360" i="10"/>
  <c r="C3360" i="10"/>
  <c r="B3360" i="10"/>
  <c r="A3360" i="10"/>
  <c r="E3359" i="10"/>
  <c r="D3359" i="10"/>
  <c r="C3359" i="10"/>
  <c r="B3359" i="10"/>
  <c r="A3359" i="10"/>
  <c r="E3358" i="10"/>
  <c r="D3358" i="10"/>
  <c r="C3358" i="10"/>
  <c r="B3358" i="10"/>
  <c r="A3358" i="10"/>
  <c r="E3357" i="10"/>
  <c r="D3357" i="10"/>
  <c r="C3357" i="10"/>
  <c r="B3357" i="10"/>
  <c r="A3357" i="10"/>
  <c r="E3356" i="10"/>
  <c r="D3356" i="10"/>
  <c r="C3356" i="10"/>
  <c r="B3356" i="10"/>
  <c r="A3356" i="10"/>
  <c r="E3355" i="10"/>
  <c r="D3355" i="10"/>
  <c r="C3355" i="10"/>
  <c r="B3355" i="10"/>
  <c r="A3355" i="10"/>
  <c r="E3354" i="10"/>
  <c r="D3354" i="10"/>
  <c r="C3354" i="10"/>
  <c r="B3354" i="10"/>
  <c r="A3354" i="10"/>
  <c r="E3353" i="10"/>
  <c r="D3353" i="10"/>
  <c r="C3353" i="10"/>
  <c r="B3353" i="10"/>
  <c r="A3353" i="10"/>
  <c r="E3352" i="10"/>
  <c r="D3352" i="10"/>
  <c r="C3352" i="10"/>
  <c r="B3352" i="10"/>
  <c r="A3352" i="10"/>
  <c r="E3351" i="10"/>
  <c r="D3351" i="10"/>
  <c r="C3351" i="10"/>
  <c r="B3351" i="10"/>
  <c r="A3351" i="10"/>
  <c r="E3350" i="10"/>
  <c r="D3350" i="10"/>
  <c r="C3350" i="10"/>
  <c r="B3350" i="10"/>
  <c r="A3350" i="10"/>
  <c r="E3349" i="10"/>
  <c r="D3349" i="10"/>
  <c r="C3349" i="10"/>
  <c r="B3349" i="10"/>
  <c r="A3349" i="10"/>
  <c r="E3348" i="10"/>
  <c r="D3348" i="10"/>
  <c r="C3348" i="10"/>
  <c r="B3348" i="10"/>
  <c r="A3348" i="10"/>
  <c r="E3347" i="10"/>
  <c r="D3347" i="10"/>
  <c r="C3347" i="10"/>
  <c r="B3347" i="10"/>
  <c r="A3347" i="10"/>
  <c r="E3346" i="10"/>
  <c r="D3346" i="10"/>
  <c r="C3346" i="10"/>
  <c r="B3346" i="10"/>
  <c r="A3346" i="10"/>
  <c r="E3345" i="10"/>
  <c r="D3345" i="10"/>
  <c r="C3345" i="10"/>
  <c r="B3345" i="10"/>
  <c r="A3345" i="10"/>
  <c r="E3344" i="10"/>
  <c r="D3344" i="10"/>
  <c r="C3344" i="10"/>
  <c r="B3344" i="10"/>
  <c r="A3344" i="10"/>
  <c r="E3343" i="10"/>
  <c r="D3343" i="10"/>
  <c r="C3343" i="10"/>
  <c r="B3343" i="10"/>
  <c r="A3343" i="10"/>
  <c r="E3342" i="10"/>
  <c r="D3342" i="10"/>
  <c r="C3342" i="10"/>
  <c r="B3342" i="10"/>
  <c r="A3342" i="10"/>
  <c r="E3341" i="10"/>
  <c r="D3341" i="10"/>
  <c r="C3341" i="10"/>
  <c r="B3341" i="10"/>
  <c r="A3341" i="10"/>
  <c r="E3340" i="10"/>
  <c r="D3340" i="10"/>
  <c r="C3340" i="10"/>
  <c r="B3340" i="10"/>
  <c r="A3340" i="10"/>
  <c r="E3339" i="10"/>
  <c r="D3339" i="10"/>
  <c r="C3339" i="10"/>
  <c r="B3339" i="10"/>
  <c r="A3339" i="10"/>
  <c r="E3338" i="10"/>
  <c r="D3338" i="10"/>
  <c r="C3338" i="10"/>
  <c r="B3338" i="10"/>
  <c r="A3338" i="10"/>
  <c r="E3337" i="10"/>
  <c r="D3337" i="10"/>
  <c r="C3337" i="10"/>
  <c r="B3337" i="10"/>
  <c r="A3337" i="10"/>
  <c r="E3336" i="10"/>
  <c r="D3336" i="10"/>
  <c r="C3336" i="10"/>
  <c r="B3336" i="10"/>
  <c r="A3336" i="10"/>
  <c r="E3335" i="10"/>
  <c r="D3335" i="10"/>
  <c r="C3335" i="10"/>
  <c r="B3335" i="10"/>
  <c r="A3335" i="10"/>
  <c r="E3334" i="10"/>
  <c r="D3334" i="10"/>
  <c r="C3334" i="10"/>
  <c r="B3334" i="10"/>
  <c r="A3334" i="10"/>
  <c r="E3333" i="10"/>
  <c r="D3333" i="10"/>
  <c r="C3333" i="10"/>
  <c r="B3333" i="10"/>
  <c r="A3333" i="10"/>
  <c r="E3332" i="10"/>
  <c r="D3332" i="10"/>
  <c r="C3332" i="10"/>
  <c r="B3332" i="10"/>
  <c r="A3332" i="10"/>
  <c r="E3331" i="10"/>
  <c r="D3331" i="10"/>
  <c r="C3331" i="10"/>
  <c r="B3331" i="10"/>
  <c r="A3331" i="10"/>
  <c r="E3330" i="10"/>
  <c r="D3330" i="10"/>
  <c r="C3330" i="10"/>
  <c r="B3330" i="10"/>
  <c r="A3330" i="10"/>
  <c r="E3329" i="10"/>
  <c r="D3329" i="10"/>
  <c r="C3329" i="10"/>
  <c r="B3329" i="10"/>
  <c r="A3329" i="10"/>
  <c r="E3328" i="10"/>
  <c r="D3328" i="10"/>
  <c r="C3328" i="10"/>
  <c r="B3328" i="10"/>
  <c r="A3328" i="10"/>
  <c r="E3327" i="10"/>
  <c r="D3327" i="10"/>
  <c r="C3327" i="10"/>
  <c r="B3327" i="10"/>
  <c r="A3327" i="10"/>
  <c r="E3326" i="10"/>
  <c r="D3326" i="10"/>
  <c r="C3326" i="10"/>
  <c r="B3326" i="10"/>
  <c r="A3326" i="10"/>
  <c r="E3325" i="10"/>
  <c r="D3325" i="10"/>
  <c r="C3325" i="10"/>
  <c r="B3325" i="10"/>
  <c r="A3325" i="10"/>
  <c r="E3324" i="10"/>
  <c r="D3324" i="10"/>
  <c r="C3324" i="10"/>
  <c r="B3324" i="10"/>
  <c r="A3324" i="10"/>
  <c r="E3323" i="10"/>
  <c r="D3323" i="10"/>
  <c r="C3323" i="10"/>
  <c r="B3323" i="10"/>
  <c r="A3323" i="10"/>
  <c r="E3322" i="10"/>
  <c r="D3322" i="10"/>
  <c r="C3322" i="10"/>
  <c r="B3322" i="10"/>
  <c r="A3322" i="10"/>
  <c r="E3321" i="10"/>
  <c r="D3321" i="10"/>
  <c r="C3321" i="10"/>
  <c r="B3321" i="10"/>
  <c r="A3321" i="10"/>
  <c r="E3320" i="10"/>
  <c r="D3320" i="10"/>
  <c r="C3320" i="10"/>
  <c r="B3320" i="10"/>
  <c r="A3320" i="10"/>
  <c r="E3319" i="10"/>
  <c r="D3319" i="10"/>
  <c r="C3319" i="10"/>
  <c r="B3319" i="10"/>
  <c r="A3319" i="10"/>
  <c r="E3318" i="10"/>
  <c r="D3318" i="10"/>
  <c r="C3318" i="10"/>
  <c r="B3318" i="10"/>
  <c r="A3318" i="10"/>
  <c r="E3317" i="10"/>
  <c r="D3317" i="10"/>
  <c r="C3317" i="10"/>
  <c r="B3317" i="10"/>
  <c r="A3317" i="10"/>
  <c r="E3316" i="10"/>
  <c r="D3316" i="10"/>
  <c r="C3316" i="10"/>
  <c r="B3316" i="10"/>
  <c r="A3316" i="10"/>
  <c r="E3315" i="10"/>
  <c r="D3315" i="10"/>
  <c r="C3315" i="10"/>
  <c r="B3315" i="10"/>
  <c r="A3315" i="10"/>
  <c r="E3314" i="10"/>
  <c r="D3314" i="10"/>
  <c r="C3314" i="10"/>
  <c r="B3314" i="10"/>
  <c r="A3314" i="10"/>
  <c r="E3313" i="10"/>
  <c r="D3313" i="10"/>
  <c r="C3313" i="10"/>
  <c r="B3313" i="10"/>
  <c r="A3313" i="10"/>
  <c r="E3312" i="10"/>
  <c r="D3312" i="10"/>
  <c r="C3312" i="10"/>
  <c r="B3312" i="10"/>
  <c r="A3312" i="10"/>
  <c r="E3311" i="10"/>
  <c r="D3311" i="10"/>
  <c r="C3311" i="10"/>
  <c r="B3311" i="10"/>
  <c r="A3311" i="10"/>
  <c r="E3310" i="10"/>
  <c r="D3310" i="10"/>
  <c r="C3310" i="10"/>
  <c r="B3310" i="10"/>
  <c r="A3310" i="10"/>
  <c r="E3309" i="10"/>
  <c r="D3309" i="10"/>
  <c r="C3309" i="10"/>
  <c r="B3309" i="10"/>
  <c r="A3309" i="10"/>
  <c r="E3308" i="10"/>
  <c r="D3308" i="10"/>
  <c r="C3308" i="10"/>
  <c r="B3308" i="10"/>
  <c r="A3308" i="10"/>
  <c r="E3307" i="10"/>
  <c r="D3307" i="10"/>
  <c r="C3307" i="10"/>
  <c r="B3307" i="10"/>
  <c r="A3307" i="10"/>
  <c r="E3306" i="10"/>
  <c r="D3306" i="10"/>
  <c r="C3306" i="10"/>
  <c r="B3306" i="10"/>
  <c r="A3306" i="10"/>
  <c r="E3305" i="10"/>
  <c r="D3305" i="10"/>
  <c r="C3305" i="10"/>
  <c r="B3305" i="10"/>
  <c r="A3305" i="10"/>
  <c r="E3304" i="10"/>
  <c r="D3304" i="10"/>
  <c r="C3304" i="10"/>
  <c r="B3304" i="10"/>
  <c r="A3304" i="10"/>
  <c r="E3303" i="10"/>
  <c r="D3303" i="10"/>
  <c r="C3303" i="10"/>
  <c r="B3303" i="10"/>
  <c r="A3303" i="10"/>
  <c r="E3302" i="10"/>
  <c r="D3302" i="10"/>
  <c r="C3302" i="10"/>
  <c r="B3302" i="10"/>
  <c r="A3302" i="10"/>
  <c r="E3301" i="10"/>
  <c r="D3301" i="10"/>
  <c r="C3301" i="10"/>
  <c r="B3301" i="10"/>
  <c r="A3301" i="10"/>
  <c r="E3300" i="10"/>
  <c r="D3300" i="10"/>
  <c r="C3300" i="10"/>
  <c r="B3300" i="10"/>
  <c r="A3300" i="10"/>
  <c r="E3299" i="10"/>
  <c r="D3299" i="10"/>
  <c r="C3299" i="10"/>
  <c r="B3299" i="10"/>
  <c r="A3299" i="10"/>
  <c r="E3298" i="10"/>
  <c r="D3298" i="10"/>
  <c r="C3298" i="10"/>
  <c r="B3298" i="10"/>
  <c r="A3298" i="10"/>
  <c r="E3297" i="10"/>
  <c r="D3297" i="10"/>
  <c r="C3297" i="10"/>
  <c r="B3297" i="10"/>
  <c r="A3297" i="10"/>
  <c r="E3296" i="10"/>
  <c r="D3296" i="10"/>
  <c r="C3296" i="10"/>
  <c r="B3296" i="10"/>
  <c r="A3296" i="10"/>
  <c r="E3295" i="10"/>
  <c r="D3295" i="10"/>
  <c r="C3295" i="10"/>
  <c r="B3295" i="10"/>
  <c r="A3295" i="10"/>
  <c r="E3294" i="10"/>
  <c r="D3294" i="10"/>
  <c r="C3294" i="10"/>
  <c r="B3294" i="10"/>
  <c r="A3294" i="10"/>
  <c r="E3293" i="10"/>
  <c r="D3293" i="10"/>
  <c r="C3293" i="10"/>
  <c r="B3293" i="10"/>
  <c r="A3293" i="10"/>
  <c r="E3292" i="10"/>
  <c r="D3292" i="10"/>
  <c r="C3292" i="10"/>
  <c r="B3292" i="10"/>
  <c r="A3292" i="10"/>
  <c r="E3291" i="10"/>
  <c r="D3291" i="10"/>
  <c r="C3291" i="10"/>
  <c r="B3291" i="10"/>
  <c r="A3291" i="10"/>
  <c r="E3290" i="10"/>
  <c r="D3290" i="10"/>
  <c r="C3290" i="10"/>
  <c r="B3290" i="10"/>
  <c r="A3290" i="10"/>
  <c r="E3289" i="10"/>
  <c r="D3289" i="10"/>
  <c r="C3289" i="10"/>
  <c r="B3289" i="10"/>
  <c r="A3289" i="10"/>
  <c r="E3288" i="10"/>
  <c r="D3288" i="10"/>
  <c r="C3288" i="10"/>
  <c r="B3288" i="10"/>
  <c r="A3288" i="10"/>
  <c r="E3287" i="10"/>
  <c r="D3287" i="10"/>
  <c r="C3287" i="10"/>
  <c r="B3287" i="10"/>
  <c r="A3287" i="10"/>
  <c r="E3286" i="10"/>
  <c r="D3286" i="10"/>
  <c r="C3286" i="10"/>
  <c r="B3286" i="10"/>
  <c r="A3286" i="10"/>
  <c r="E3285" i="10"/>
  <c r="D3285" i="10"/>
  <c r="C3285" i="10"/>
  <c r="B3285" i="10"/>
  <c r="A3285" i="10"/>
  <c r="E3284" i="10"/>
  <c r="D3284" i="10"/>
  <c r="C3284" i="10"/>
  <c r="B3284" i="10"/>
  <c r="A3284" i="10"/>
  <c r="E3283" i="10"/>
  <c r="D3283" i="10"/>
  <c r="C3283" i="10"/>
  <c r="B3283" i="10"/>
  <c r="A3283" i="10"/>
  <c r="E3282" i="10"/>
  <c r="D3282" i="10"/>
  <c r="C3282" i="10"/>
  <c r="B3282" i="10"/>
  <c r="A3282" i="10"/>
  <c r="E3281" i="10"/>
  <c r="D3281" i="10"/>
  <c r="C3281" i="10"/>
  <c r="B3281" i="10"/>
  <c r="A3281" i="10"/>
  <c r="E3280" i="10"/>
  <c r="D3280" i="10"/>
  <c r="C3280" i="10"/>
  <c r="B3280" i="10"/>
  <c r="A3280" i="10"/>
  <c r="E3279" i="10"/>
  <c r="D3279" i="10"/>
  <c r="C3279" i="10"/>
  <c r="B3279" i="10"/>
  <c r="A3279" i="10"/>
  <c r="E3278" i="10"/>
  <c r="D3278" i="10"/>
  <c r="C3278" i="10"/>
  <c r="B3278" i="10"/>
  <c r="A3278" i="10"/>
  <c r="E3277" i="10"/>
  <c r="D3277" i="10"/>
  <c r="C3277" i="10"/>
  <c r="B3277" i="10"/>
  <c r="A3277" i="10"/>
  <c r="E3276" i="10"/>
  <c r="D3276" i="10"/>
  <c r="C3276" i="10"/>
  <c r="B3276" i="10"/>
  <c r="A3276" i="10"/>
  <c r="E3275" i="10"/>
  <c r="D3275" i="10"/>
  <c r="C3275" i="10"/>
  <c r="B3275" i="10"/>
  <c r="A3275" i="10"/>
  <c r="E3274" i="10"/>
  <c r="D3274" i="10"/>
  <c r="C3274" i="10"/>
  <c r="B3274" i="10"/>
  <c r="A3274" i="10"/>
  <c r="E3273" i="10"/>
  <c r="D3273" i="10"/>
  <c r="C3273" i="10"/>
  <c r="B3273" i="10"/>
  <c r="A3273" i="10"/>
  <c r="E3272" i="10"/>
  <c r="D3272" i="10"/>
  <c r="C3272" i="10"/>
  <c r="B3272" i="10"/>
  <c r="A3272" i="10"/>
  <c r="E3271" i="10"/>
  <c r="D3271" i="10"/>
  <c r="C3271" i="10"/>
  <c r="B3271" i="10"/>
  <c r="A3271" i="10"/>
  <c r="E3270" i="10"/>
  <c r="D3270" i="10"/>
  <c r="C3270" i="10"/>
  <c r="B3270" i="10"/>
  <c r="A3270" i="10"/>
  <c r="E3269" i="10"/>
  <c r="D3269" i="10"/>
  <c r="C3269" i="10"/>
  <c r="B3269" i="10"/>
  <c r="A3269" i="10"/>
  <c r="E3268" i="10"/>
  <c r="D3268" i="10"/>
  <c r="C3268" i="10"/>
  <c r="B3268" i="10"/>
  <c r="A3268" i="10"/>
  <c r="E3267" i="10"/>
  <c r="D3267" i="10"/>
  <c r="C3267" i="10"/>
  <c r="B3267" i="10"/>
  <c r="A3267" i="10"/>
  <c r="E3266" i="10"/>
  <c r="D3266" i="10"/>
  <c r="C3266" i="10"/>
  <c r="B3266" i="10"/>
  <c r="A3266" i="10"/>
  <c r="E3265" i="10"/>
  <c r="D3265" i="10"/>
  <c r="C3265" i="10"/>
  <c r="B3265" i="10"/>
  <c r="A3265" i="10"/>
  <c r="E3264" i="10"/>
  <c r="D3264" i="10"/>
  <c r="C3264" i="10"/>
  <c r="B3264" i="10"/>
  <c r="A3264" i="10"/>
  <c r="E3263" i="10"/>
  <c r="D3263" i="10"/>
  <c r="C3263" i="10"/>
  <c r="B3263" i="10"/>
  <c r="A3263" i="10"/>
  <c r="E3262" i="10"/>
  <c r="D3262" i="10"/>
  <c r="C3262" i="10"/>
  <c r="B3262" i="10"/>
  <c r="A3262" i="10"/>
  <c r="E3261" i="10"/>
  <c r="D3261" i="10"/>
  <c r="C3261" i="10"/>
  <c r="B3261" i="10"/>
  <c r="A3261" i="10"/>
  <c r="E3260" i="10"/>
  <c r="D3260" i="10"/>
  <c r="C3260" i="10"/>
  <c r="B3260" i="10"/>
  <c r="A3260" i="10"/>
  <c r="E3259" i="10"/>
  <c r="D3259" i="10"/>
  <c r="C3259" i="10"/>
  <c r="B3259" i="10"/>
  <c r="A3259" i="10"/>
  <c r="E3258" i="10"/>
  <c r="D3258" i="10"/>
  <c r="C3258" i="10"/>
  <c r="B3258" i="10"/>
  <c r="A3258" i="10"/>
  <c r="E3257" i="10"/>
  <c r="D3257" i="10"/>
  <c r="C3257" i="10"/>
  <c r="B3257" i="10"/>
  <c r="A3257" i="10"/>
  <c r="E3256" i="10"/>
  <c r="D3256" i="10"/>
  <c r="C3256" i="10"/>
  <c r="B3256" i="10"/>
  <c r="A3256" i="10"/>
  <c r="E3255" i="10"/>
  <c r="D3255" i="10"/>
  <c r="C3255" i="10"/>
  <c r="B3255" i="10"/>
  <c r="A3255" i="10"/>
  <c r="E3254" i="10"/>
  <c r="D3254" i="10"/>
  <c r="C3254" i="10"/>
  <c r="B3254" i="10"/>
  <c r="A3254" i="10"/>
  <c r="E3253" i="10"/>
  <c r="D3253" i="10"/>
  <c r="C3253" i="10"/>
  <c r="B3253" i="10"/>
  <c r="A3253" i="10"/>
  <c r="E3252" i="10"/>
  <c r="D3252" i="10"/>
  <c r="C3252" i="10"/>
  <c r="B3252" i="10"/>
  <c r="A3252" i="10"/>
  <c r="E3251" i="10"/>
  <c r="D3251" i="10"/>
  <c r="C3251" i="10"/>
  <c r="B3251" i="10"/>
  <c r="A3251" i="10"/>
  <c r="E3250" i="10"/>
  <c r="D3250" i="10"/>
  <c r="C3250" i="10"/>
  <c r="B3250" i="10"/>
  <c r="A3250" i="10"/>
  <c r="E3249" i="10"/>
  <c r="D3249" i="10"/>
  <c r="C3249" i="10"/>
  <c r="B3249" i="10"/>
  <c r="A3249" i="10"/>
  <c r="E3248" i="10"/>
  <c r="D3248" i="10"/>
  <c r="C3248" i="10"/>
  <c r="B3248" i="10"/>
  <c r="A3248" i="10"/>
  <c r="E3247" i="10"/>
  <c r="D3247" i="10"/>
  <c r="C3247" i="10"/>
  <c r="B3247" i="10"/>
  <c r="A3247" i="10"/>
  <c r="E3246" i="10"/>
  <c r="D3246" i="10"/>
  <c r="C3246" i="10"/>
  <c r="B3246" i="10"/>
  <c r="A3246" i="10"/>
  <c r="E3245" i="10"/>
  <c r="D3245" i="10"/>
  <c r="C3245" i="10"/>
  <c r="B3245" i="10"/>
  <c r="A3245" i="10"/>
  <c r="E3244" i="10"/>
  <c r="D3244" i="10"/>
  <c r="C3244" i="10"/>
  <c r="B3244" i="10"/>
  <c r="A3244" i="10"/>
  <c r="E3243" i="10"/>
  <c r="D3243" i="10"/>
  <c r="C3243" i="10"/>
  <c r="B3243" i="10"/>
  <c r="A3243" i="10"/>
  <c r="E3242" i="10"/>
  <c r="D3242" i="10"/>
  <c r="C3242" i="10"/>
  <c r="B3242" i="10"/>
  <c r="A3242" i="10"/>
  <c r="E3241" i="10"/>
  <c r="D3241" i="10"/>
  <c r="C3241" i="10"/>
  <c r="B3241" i="10"/>
  <c r="A3241" i="10"/>
  <c r="E3240" i="10"/>
  <c r="D3240" i="10"/>
  <c r="C3240" i="10"/>
  <c r="B3240" i="10"/>
  <c r="A3240" i="10"/>
  <c r="E3239" i="10"/>
  <c r="D3239" i="10"/>
  <c r="C3239" i="10"/>
  <c r="B3239" i="10"/>
  <c r="A3239" i="10"/>
  <c r="E3238" i="10"/>
  <c r="D3238" i="10"/>
  <c r="C3238" i="10"/>
  <c r="B3238" i="10"/>
  <c r="A3238" i="10"/>
  <c r="E3237" i="10"/>
  <c r="D3237" i="10"/>
  <c r="C3237" i="10"/>
  <c r="B3237" i="10"/>
  <c r="A3237" i="10"/>
  <c r="E3236" i="10"/>
  <c r="D3236" i="10"/>
  <c r="C3236" i="10"/>
  <c r="B3236" i="10"/>
  <c r="A3236" i="10"/>
  <c r="E3235" i="10"/>
  <c r="D3235" i="10"/>
  <c r="C3235" i="10"/>
  <c r="B3235" i="10"/>
  <c r="A3235" i="10"/>
  <c r="E3234" i="10"/>
  <c r="D3234" i="10"/>
  <c r="C3234" i="10"/>
  <c r="B3234" i="10"/>
  <c r="A3234" i="10"/>
  <c r="E3233" i="10"/>
  <c r="D3233" i="10"/>
  <c r="C3233" i="10"/>
  <c r="B3233" i="10"/>
  <c r="A3233" i="10"/>
  <c r="E3232" i="10"/>
  <c r="D3232" i="10"/>
  <c r="C3232" i="10"/>
  <c r="B3232" i="10"/>
  <c r="A3232" i="10"/>
  <c r="E3231" i="10"/>
  <c r="D3231" i="10"/>
  <c r="C3231" i="10"/>
  <c r="B3231" i="10"/>
  <c r="A3231" i="10"/>
  <c r="E3230" i="10"/>
  <c r="D3230" i="10"/>
  <c r="C3230" i="10"/>
  <c r="B3230" i="10"/>
  <c r="A3230" i="10"/>
  <c r="E3229" i="10"/>
  <c r="D3229" i="10"/>
  <c r="C3229" i="10"/>
  <c r="B3229" i="10"/>
  <c r="A3229" i="10"/>
  <c r="E3228" i="10"/>
  <c r="D3228" i="10"/>
  <c r="C3228" i="10"/>
  <c r="B3228" i="10"/>
  <c r="A3228" i="10"/>
  <c r="E3227" i="10"/>
  <c r="D3227" i="10"/>
  <c r="C3227" i="10"/>
  <c r="B3227" i="10"/>
  <c r="A3227" i="10"/>
  <c r="E3226" i="10"/>
  <c r="D3226" i="10"/>
  <c r="C3226" i="10"/>
  <c r="B3226" i="10"/>
  <c r="A3226" i="10"/>
  <c r="E3225" i="10"/>
  <c r="D3225" i="10"/>
  <c r="C3225" i="10"/>
  <c r="B3225" i="10"/>
  <c r="A3225" i="10"/>
  <c r="E3224" i="10"/>
  <c r="D3224" i="10"/>
  <c r="C3224" i="10"/>
  <c r="B3224" i="10"/>
  <c r="A3224" i="10"/>
  <c r="E3223" i="10"/>
  <c r="D3223" i="10"/>
  <c r="C3223" i="10"/>
  <c r="B3223" i="10"/>
  <c r="A3223" i="10"/>
  <c r="E3222" i="10"/>
  <c r="D3222" i="10"/>
  <c r="C3222" i="10"/>
  <c r="B3222" i="10"/>
  <c r="A3222" i="10"/>
  <c r="E3221" i="10"/>
  <c r="D3221" i="10"/>
  <c r="C3221" i="10"/>
  <c r="B3221" i="10"/>
  <c r="A3221" i="10"/>
  <c r="E3220" i="10"/>
  <c r="D3220" i="10"/>
  <c r="C3220" i="10"/>
  <c r="B3220" i="10"/>
  <c r="A3220" i="10"/>
  <c r="E3219" i="10"/>
  <c r="D3219" i="10"/>
  <c r="C3219" i="10"/>
  <c r="B3219" i="10"/>
  <c r="A3219" i="10"/>
  <c r="E3218" i="10"/>
  <c r="D3218" i="10"/>
  <c r="C3218" i="10"/>
  <c r="B3218" i="10"/>
  <c r="A3218" i="10"/>
  <c r="E3217" i="10"/>
  <c r="D3217" i="10"/>
  <c r="C3217" i="10"/>
  <c r="B3217" i="10"/>
  <c r="A3217" i="10"/>
  <c r="E3216" i="10"/>
  <c r="D3216" i="10"/>
  <c r="C3216" i="10"/>
  <c r="B3216" i="10"/>
  <c r="A3216" i="10"/>
  <c r="E3215" i="10"/>
  <c r="D3215" i="10"/>
  <c r="C3215" i="10"/>
  <c r="B3215" i="10"/>
  <c r="A3215" i="10"/>
  <c r="E3214" i="10"/>
  <c r="D3214" i="10"/>
  <c r="C3214" i="10"/>
  <c r="B3214" i="10"/>
  <c r="A3214" i="10"/>
  <c r="E3213" i="10"/>
  <c r="D3213" i="10"/>
  <c r="C3213" i="10"/>
  <c r="B3213" i="10"/>
  <c r="A3213" i="10"/>
  <c r="E3212" i="10"/>
  <c r="D3212" i="10"/>
  <c r="C3212" i="10"/>
  <c r="B3212" i="10"/>
  <c r="A3212" i="10"/>
  <c r="E3211" i="10"/>
  <c r="D3211" i="10"/>
  <c r="C3211" i="10"/>
  <c r="B3211" i="10"/>
  <c r="A3211" i="10"/>
  <c r="E3210" i="10"/>
  <c r="D3210" i="10"/>
  <c r="C3210" i="10"/>
  <c r="B3210" i="10"/>
  <c r="A3210" i="10"/>
  <c r="E3209" i="10"/>
  <c r="D3209" i="10"/>
  <c r="C3209" i="10"/>
  <c r="B3209" i="10"/>
  <c r="A3209" i="10"/>
  <c r="E3208" i="10"/>
  <c r="D3208" i="10"/>
  <c r="C3208" i="10"/>
  <c r="B3208" i="10"/>
  <c r="A3208" i="10"/>
  <c r="E3207" i="10"/>
  <c r="D3207" i="10"/>
  <c r="C3207" i="10"/>
  <c r="B3207" i="10"/>
  <c r="A3207" i="10"/>
  <c r="E3206" i="10"/>
  <c r="D3206" i="10"/>
  <c r="C3206" i="10"/>
  <c r="B3206" i="10"/>
  <c r="A3206" i="10"/>
  <c r="E3205" i="10"/>
  <c r="D3205" i="10"/>
  <c r="C3205" i="10"/>
  <c r="B3205" i="10"/>
  <c r="A3205" i="10"/>
  <c r="E3204" i="10"/>
  <c r="D3204" i="10"/>
  <c r="C3204" i="10"/>
  <c r="B3204" i="10"/>
  <c r="A3204" i="10"/>
  <c r="E3203" i="10"/>
  <c r="D3203" i="10"/>
  <c r="C3203" i="10"/>
  <c r="B3203" i="10"/>
  <c r="A3203" i="10"/>
  <c r="E3202" i="10"/>
  <c r="D3202" i="10"/>
  <c r="C3202" i="10"/>
  <c r="B3202" i="10"/>
  <c r="A3202" i="10"/>
  <c r="E3201" i="10"/>
  <c r="D3201" i="10"/>
  <c r="C3201" i="10"/>
  <c r="B3201" i="10"/>
  <c r="A3201" i="10"/>
  <c r="E3200" i="10"/>
  <c r="D3200" i="10"/>
  <c r="C3200" i="10"/>
  <c r="B3200" i="10"/>
  <c r="A3200" i="10"/>
  <c r="E3199" i="10"/>
  <c r="D3199" i="10"/>
  <c r="C3199" i="10"/>
  <c r="B3199" i="10"/>
  <c r="A3199" i="10"/>
  <c r="E3198" i="10"/>
  <c r="D3198" i="10"/>
  <c r="C3198" i="10"/>
  <c r="B3198" i="10"/>
  <c r="A3198" i="10"/>
  <c r="E3197" i="10"/>
  <c r="D3197" i="10"/>
  <c r="C3197" i="10"/>
  <c r="B3197" i="10"/>
  <c r="A3197" i="10"/>
  <c r="E3196" i="10"/>
  <c r="D3196" i="10"/>
  <c r="C3196" i="10"/>
  <c r="B3196" i="10"/>
  <c r="A3196" i="10"/>
  <c r="E3195" i="10"/>
  <c r="D3195" i="10"/>
  <c r="C3195" i="10"/>
  <c r="B3195" i="10"/>
  <c r="A3195" i="10"/>
  <c r="E3194" i="10"/>
  <c r="D3194" i="10"/>
  <c r="C3194" i="10"/>
  <c r="B3194" i="10"/>
  <c r="A3194" i="10"/>
  <c r="E3193" i="10"/>
  <c r="D3193" i="10"/>
  <c r="C3193" i="10"/>
  <c r="B3193" i="10"/>
  <c r="A3193" i="10"/>
  <c r="E3192" i="10"/>
  <c r="D3192" i="10"/>
  <c r="C3192" i="10"/>
  <c r="B3192" i="10"/>
  <c r="A3192" i="10"/>
  <c r="E3191" i="10"/>
  <c r="D3191" i="10"/>
  <c r="C3191" i="10"/>
  <c r="B3191" i="10"/>
  <c r="A3191" i="10"/>
  <c r="E3190" i="10"/>
  <c r="D3190" i="10"/>
  <c r="C3190" i="10"/>
  <c r="B3190" i="10"/>
  <c r="A3190" i="10"/>
  <c r="E3189" i="10"/>
  <c r="D3189" i="10"/>
  <c r="C3189" i="10"/>
  <c r="B3189" i="10"/>
  <c r="A3189" i="10"/>
  <c r="E3188" i="10"/>
  <c r="D3188" i="10"/>
  <c r="C3188" i="10"/>
  <c r="B3188" i="10"/>
  <c r="A3188" i="10"/>
  <c r="E3187" i="10"/>
  <c r="D3187" i="10"/>
  <c r="C3187" i="10"/>
  <c r="B3187" i="10"/>
  <c r="A3187" i="10"/>
  <c r="E3186" i="10"/>
  <c r="D3186" i="10"/>
  <c r="C3186" i="10"/>
  <c r="B3186" i="10"/>
  <c r="A3186" i="10"/>
  <c r="E3185" i="10"/>
  <c r="D3185" i="10"/>
  <c r="C3185" i="10"/>
  <c r="B3185" i="10"/>
  <c r="A3185" i="10"/>
  <c r="E3184" i="10"/>
  <c r="D3184" i="10"/>
  <c r="C3184" i="10"/>
  <c r="B3184" i="10"/>
  <c r="A3184" i="10"/>
  <c r="E3183" i="10"/>
  <c r="D3183" i="10"/>
  <c r="C3183" i="10"/>
  <c r="B3183" i="10"/>
  <c r="A3183" i="10"/>
  <c r="E3182" i="10"/>
  <c r="D3182" i="10"/>
  <c r="C3182" i="10"/>
  <c r="B3182" i="10"/>
  <c r="A3182" i="10"/>
  <c r="E3181" i="10"/>
  <c r="D3181" i="10"/>
  <c r="C3181" i="10"/>
  <c r="B3181" i="10"/>
  <c r="A3181" i="10"/>
  <c r="E3180" i="10"/>
  <c r="D3180" i="10"/>
  <c r="C3180" i="10"/>
  <c r="B3180" i="10"/>
  <c r="A3180" i="10"/>
  <c r="E3179" i="10"/>
  <c r="D3179" i="10"/>
  <c r="C3179" i="10"/>
  <c r="B3179" i="10"/>
  <c r="A3179" i="10"/>
  <c r="E3178" i="10"/>
  <c r="D3178" i="10"/>
  <c r="C3178" i="10"/>
  <c r="B3178" i="10"/>
  <c r="A3178" i="10"/>
  <c r="E3177" i="10"/>
  <c r="D3177" i="10"/>
  <c r="C3177" i="10"/>
  <c r="B3177" i="10"/>
  <c r="A3177" i="10"/>
  <c r="E3176" i="10"/>
  <c r="D3176" i="10"/>
  <c r="C3176" i="10"/>
  <c r="B3176" i="10"/>
  <c r="A3176" i="10"/>
  <c r="E3175" i="10"/>
  <c r="D3175" i="10"/>
  <c r="C3175" i="10"/>
  <c r="B3175" i="10"/>
  <c r="A3175" i="10"/>
  <c r="E3174" i="10"/>
  <c r="D3174" i="10"/>
  <c r="C3174" i="10"/>
  <c r="B3174" i="10"/>
  <c r="A3174" i="10"/>
  <c r="E3173" i="10"/>
  <c r="D3173" i="10"/>
  <c r="C3173" i="10"/>
  <c r="B3173" i="10"/>
  <c r="A3173" i="10"/>
  <c r="E3172" i="10"/>
  <c r="D3172" i="10"/>
  <c r="C3172" i="10"/>
  <c r="B3172" i="10"/>
  <c r="A3172" i="10"/>
  <c r="E3171" i="10"/>
  <c r="D3171" i="10"/>
  <c r="C3171" i="10"/>
  <c r="B3171" i="10"/>
  <c r="A3171" i="10"/>
  <c r="E3170" i="10"/>
  <c r="D3170" i="10"/>
  <c r="C3170" i="10"/>
  <c r="B3170" i="10"/>
  <c r="A3170" i="10"/>
  <c r="E3169" i="10"/>
  <c r="D3169" i="10"/>
  <c r="C3169" i="10"/>
  <c r="B3169" i="10"/>
  <c r="A3169" i="10"/>
  <c r="E3168" i="10"/>
  <c r="D3168" i="10"/>
  <c r="C3168" i="10"/>
  <c r="B3168" i="10"/>
  <c r="A3168" i="10"/>
  <c r="E3167" i="10"/>
  <c r="D3167" i="10"/>
  <c r="C3167" i="10"/>
  <c r="B3167" i="10"/>
  <c r="A3167" i="10"/>
  <c r="E3166" i="10"/>
  <c r="D3166" i="10"/>
  <c r="C3166" i="10"/>
  <c r="B3166" i="10"/>
  <c r="A3166" i="10"/>
  <c r="E3165" i="10"/>
  <c r="D3165" i="10"/>
  <c r="C3165" i="10"/>
  <c r="B3165" i="10"/>
  <c r="A3165" i="10"/>
  <c r="E3164" i="10"/>
  <c r="D3164" i="10"/>
  <c r="C3164" i="10"/>
  <c r="B3164" i="10"/>
  <c r="A3164" i="10"/>
  <c r="E3163" i="10"/>
  <c r="D3163" i="10"/>
  <c r="C3163" i="10"/>
  <c r="B3163" i="10"/>
  <c r="A3163" i="10"/>
  <c r="E3162" i="10"/>
  <c r="D3162" i="10"/>
  <c r="C3162" i="10"/>
  <c r="B3162" i="10"/>
  <c r="A3162" i="10"/>
  <c r="E3161" i="10"/>
  <c r="D3161" i="10"/>
  <c r="C3161" i="10"/>
  <c r="B3161" i="10"/>
  <c r="A3161" i="10"/>
  <c r="E3160" i="10"/>
  <c r="D3160" i="10"/>
  <c r="C3160" i="10"/>
  <c r="B3160" i="10"/>
  <c r="A3160" i="10"/>
  <c r="E3159" i="10"/>
  <c r="D3159" i="10"/>
  <c r="C3159" i="10"/>
  <c r="B3159" i="10"/>
  <c r="A3159" i="10"/>
  <c r="E3158" i="10"/>
  <c r="D3158" i="10"/>
  <c r="C3158" i="10"/>
  <c r="B3158" i="10"/>
  <c r="A3158" i="10"/>
  <c r="E3157" i="10"/>
  <c r="D3157" i="10"/>
  <c r="C3157" i="10"/>
  <c r="B3157" i="10"/>
  <c r="A3157" i="10"/>
  <c r="E3156" i="10"/>
  <c r="D3156" i="10"/>
  <c r="C3156" i="10"/>
  <c r="B3156" i="10"/>
  <c r="A3156" i="10"/>
  <c r="E3155" i="10"/>
  <c r="D3155" i="10"/>
  <c r="C3155" i="10"/>
  <c r="B3155" i="10"/>
  <c r="A3155" i="10"/>
  <c r="E3154" i="10"/>
  <c r="D3154" i="10"/>
  <c r="C3154" i="10"/>
  <c r="B3154" i="10"/>
  <c r="A3154" i="10"/>
  <c r="E3153" i="10"/>
  <c r="D3153" i="10"/>
  <c r="C3153" i="10"/>
  <c r="B3153" i="10"/>
  <c r="A3153" i="10"/>
  <c r="E3152" i="10"/>
  <c r="D3152" i="10"/>
  <c r="C3152" i="10"/>
  <c r="B3152" i="10"/>
  <c r="A3152" i="10"/>
  <c r="E3151" i="10"/>
  <c r="D3151" i="10"/>
  <c r="C3151" i="10"/>
  <c r="B3151" i="10"/>
  <c r="A3151" i="10"/>
  <c r="E3150" i="10"/>
  <c r="D3150" i="10"/>
  <c r="C3150" i="10"/>
  <c r="B3150" i="10"/>
  <c r="A3150" i="10"/>
  <c r="E3149" i="10"/>
  <c r="D3149" i="10"/>
  <c r="C3149" i="10"/>
  <c r="B3149" i="10"/>
  <c r="A3149" i="10"/>
  <c r="E3148" i="10"/>
  <c r="D3148" i="10"/>
  <c r="C3148" i="10"/>
  <c r="B3148" i="10"/>
  <c r="A3148" i="10"/>
  <c r="E3147" i="10"/>
  <c r="D3147" i="10"/>
  <c r="C3147" i="10"/>
  <c r="B3147" i="10"/>
  <c r="A3147" i="10"/>
  <c r="E3146" i="10"/>
  <c r="D3146" i="10"/>
  <c r="C3146" i="10"/>
  <c r="B3146" i="10"/>
  <c r="A3146" i="10"/>
  <c r="E3145" i="10"/>
  <c r="D3145" i="10"/>
  <c r="C3145" i="10"/>
  <c r="B3145" i="10"/>
  <c r="A3145" i="10"/>
  <c r="E3144" i="10"/>
  <c r="D3144" i="10"/>
  <c r="C3144" i="10"/>
  <c r="B3144" i="10"/>
  <c r="A3144" i="10"/>
  <c r="E3143" i="10"/>
  <c r="D3143" i="10"/>
  <c r="C3143" i="10"/>
  <c r="B3143" i="10"/>
  <c r="A3143" i="10"/>
  <c r="E3142" i="10"/>
  <c r="D3142" i="10"/>
  <c r="C3142" i="10"/>
  <c r="B3142" i="10"/>
  <c r="A3142" i="10"/>
  <c r="E3141" i="10"/>
  <c r="D3141" i="10"/>
  <c r="C3141" i="10"/>
  <c r="B3141" i="10"/>
  <c r="A3141" i="10"/>
  <c r="E3140" i="10"/>
  <c r="D3140" i="10"/>
  <c r="C3140" i="10"/>
  <c r="B3140" i="10"/>
  <c r="A3140" i="10"/>
  <c r="E3139" i="10"/>
  <c r="D3139" i="10"/>
  <c r="C3139" i="10"/>
  <c r="B3139" i="10"/>
  <c r="A3139" i="10"/>
  <c r="E3138" i="10"/>
  <c r="D3138" i="10"/>
  <c r="C3138" i="10"/>
  <c r="B3138" i="10"/>
  <c r="A3138" i="10"/>
  <c r="E3137" i="10"/>
  <c r="D3137" i="10"/>
  <c r="C3137" i="10"/>
  <c r="B3137" i="10"/>
  <c r="A3137" i="10"/>
  <c r="E3136" i="10"/>
  <c r="D3136" i="10"/>
  <c r="C3136" i="10"/>
  <c r="B3136" i="10"/>
  <c r="A3136" i="10"/>
  <c r="E3135" i="10"/>
  <c r="D3135" i="10"/>
  <c r="C3135" i="10"/>
  <c r="B3135" i="10"/>
  <c r="A3135" i="10"/>
  <c r="E3134" i="10"/>
  <c r="D3134" i="10"/>
  <c r="C3134" i="10"/>
  <c r="B3134" i="10"/>
  <c r="A3134" i="10"/>
  <c r="E3133" i="10"/>
  <c r="D3133" i="10"/>
  <c r="C3133" i="10"/>
  <c r="B3133" i="10"/>
  <c r="A3133" i="10"/>
  <c r="E3132" i="10"/>
  <c r="D3132" i="10"/>
  <c r="C3132" i="10"/>
  <c r="B3132" i="10"/>
  <c r="A3132" i="10"/>
  <c r="E3131" i="10"/>
  <c r="D3131" i="10"/>
  <c r="C3131" i="10"/>
  <c r="B3131" i="10"/>
  <c r="A3131" i="10"/>
  <c r="E3130" i="10"/>
  <c r="D3130" i="10"/>
  <c r="C3130" i="10"/>
  <c r="B3130" i="10"/>
  <c r="A3130" i="10"/>
  <c r="E3129" i="10"/>
  <c r="D3129" i="10"/>
  <c r="C3129" i="10"/>
  <c r="B3129" i="10"/>
  <c r="A3129" i="10"/>
  <c r="E3128" i="10"/>
  <c r="D3128" i="10"/>
  <c r="C3128" i="10"/>
  <c r="B3128" i="10"/>
  <c r="A3128" i="10"/>
  <c r="E3127" i="10"/>
  <c r="D3127" i="10"/>
  <c r="C3127" i="10"/>
  <c r="B3127" i="10"/>
  <c r="A3127" i="10"/>
  <c r="E3126" i="10"/>
  <c r="D3126" i="10"/>
  <c r="C3126" i="10"/>
  <c r="B3126" i="10"/>
  <c r="A3126" i="10"/>
  <c r="E3125" i="10"/>
  <c r="D3125" i="10"/>
  <c r="C3125" i="10"/>
  <c r="B3125" i="10"/>
  <c r="A3125" i="10"/>
  <c r="E3124" i="10"/>
  <c r="D3124" i="10"/>
  <c r="C3124" i="10"/>
  <c r="B3124" i="10"/>
  <c r="A3124" i="10"/>
  <c r="E3123" i="10"/>
  <c r="D3123" i="10"/>
  <c r="C3123" i="10"/>
  <c r="B3123" i="10"/>
  <c r="A3123" i="10"/>
  <c r="E3122" i="10"/>
  <c r="D3122" i="10"/>
  <c r="C3122" i="10"/>
  <c r="B3122" i="10"/>
  <c r="A3122" i="10"/>
  <c r="E3121" i="10"/>
  <c r="D3121" i="10"/>
  <c r="C3121" i="10"/>
  <c r="B3121" i="10"/>
  <c r="A3121" i="10"/>
  <c r="E3120" i="10"/>
  <c r="D3120" i="10"/>
  <c r="C3120" i="10"/>
  <c r="B3120" i="10"/>
  <c r="A3120" i="10"/>
  <c r="E3119" i="10"/>
  <c r="D3119" i="10"/>
  <c r="C3119" i="10"/>
  <c r="B3119" i="10"/>
  <c r="A3119" i="10"/>
  <c r="E3118" i="10"/>
  <c r="D3118" i="10"/>
  <c r="C3118" i="10"/>
  <c r="B3118" i="10"/>
  <c r="A3118" i="10"/>
  <c r="E3117" i="10"/>
  <c r="D3117" i="10"/>
  <c r="C3117" i="10"/>
  <c r="B3117" i="10"/>
  <c r="A3117" i="10"/>
  <c r="E3116" i="10"/>
  <c r="D3116" i="10"/>
  <c r="C3116" i="10"/>
  <c r="B3116" i="10"/>
  <c r="A3116" i="10"/>
  <c r="E3115" i="10"/>
  <c r="D3115" i="10"/>
  <c r="C3115" i="10"/>
  <c r="B3115" i="10"/>
  <c r="A3115" i="10"/>
  <c r="E3114" i="10"/>
  <c r="D3114" i="10"/>
  <c r="C3114" i="10"/>
  <c r="B3114" i="10"/>
  <c r="A3114" i="10"/>
  <c r="E3113" i="10"/>
  <c r="D3113" i="10"/>
  <c r="C3113" i="10"/>
  <c r="B3113" i="10"/>
  <c r="A3113" i="10"/>
  <c r="E3112" i="10"/>
  <c r="D3112" i="10"/>
  <c r="C3112" i="10"/>
  <c r="B3112" i="10"/>
  <c r="A3112" i="10"/>
  <c r="E3111" i="10"/>
  <c r="D3111" i="10"/>
  <c r="C3111" i="10"/>
  <c r="B3111" i="10"/>
  <c r="A3111" i="10"/>
  <c r="E3110" i="10"/>
  <c r="D3110" i="10"/>
  <c r="C3110" i="10"/>
  <c r="B3110" i="10"/>
  <c r="A3110" i="10"/>
  <c r="E3109" i="10"/>
  <c r="D3109" i="10"/>
  <c r="C3109" i="10"/>
  <c r="B3109" i="10"/>
  <c r="A3109" i="10"/>
  <c r="E3108" i="10"/>
  <c r="D3108" i="10"/>
  <c r="C3108" i="10"/>
  <c r="B3108" i="10"/>
  <c r="A3108" i="10"/>
  <c r="E3107" i="10"/>
  <c r="D3107" i="10"/>
  <c r="C3107" i="10"/>
  <c r="B3107" i="10"/>
  <c r="A3107" i="10"/>
  <c r="E3106" i="10"/>
  <c r="D3106" i="10"/>
  <c r="C3106" i="10"/>
  <c r="B3106" i="10"/>
  <c r="A3106" i="10"/>
  <c r="E3105" i="10"/>
  <c r="D3105" i="10"/>
  <c r="C3105" i="10"/>
  <c r="B3105" i="10"/>
  <c r="A3105" i="10"/>
  <c r="E3104" i="10"/>
  <c r="D3104" i="10"/>
  <c r="C3104" i="10"/>
  <c r="B3104" i="10"/>
  <c r="A3104" i="10"/>
  <c r="E3103" i="10"/>
  <c r="D3103" i="10"/>
  <c r="C3103" i="10"/>
  <c r="B3103" i="10"/>
  <c r="A3103" i="10"/>
  <c r="E3102" i="10"/>
  <c r="D3102" i="10"/>
  <c r="C3102" i="10"/>
  <c r="B3102" i="10"/>
  <c r="A3102" i="10"/>
  <c r="E3101" i="10"/>
  <c r="D3101" i="10"/>
  <c r="C3101" i="10"/>
  <c r="B3101" i="10"/>
  <c r="A3101" i="10"/>
  <c r="E3100" i="10"/>
  <c r="D3100" i="10"/>
  <c r="C3100" i="10"/>
  <c r="B3100" i="10"/>
  <c r="A3100" i="10"/>
  <c r="E3099" i="10"/>
  <c r="D3099" i="10"/>
  <c r="C3099" i="10"/>
  <c r="B3099" i="10"/>
  <c r="A3099" i="10"/>
  <c r="E3098" i="10"/>
  <c r="D3098" i="10"/>
  <c r="C3098" i="10"/>
  <c r="B3098" i="10"/>
  <c r="A3098" i="10"/>
  <c r="E3097" i="10"/>
  <c r="D3097" i="10"/>
  <c r="C3097" i="10"/>
  <c r="B3097" i="10"/>
  <c r="A3097" i="10"/>
  <c r="E3096" i="10"/>
  <c r="D3096" i="10"/>
  <c r="C3096" i="10"/>
  <c r="B3096" i="10"/>
  <c r="A3096" i="10"/>
  <c r="E3095" i="10"/>
  <c r="D3095" i="10"/>
  <c r="C3095" i="10"/>
  <c r="B3095" i="10"/>
  <c r="A3095" i="10"/>
  <c r="E3094" i="10"/>
  <c r="D3094" i="10"/>
  <c r="C3094" i="10"/>
  <c r="B3094" i="10"/>
  <c r="A3094" i="10"/>
  <c r="E3093" i="10"/>
  <c r="D3093" i="10"/>
  <c r="C3093" i="10"/>
  <c r="B3093" i="10"/>
  <c r="A3093" i="10"/>
  <c r="E3092" i="10"/>
  <c r="D3092" i="10"/>
  <c r="C3092" i="10"/>
  <c r="B3092" i="10"/>
  <c r="A3092" i="10"/>
  <c r="E3091" i="10"/>
  <c r="D3091" i="10"/>
  <c r="C3091" i="10"/>
  <c r="B3091" i="10"/>
  <c r="A3091" i="10"/>
  <c r="E3090" i="10"/>
  <c r="D3090" i="10"/>
  <c r="C3090" i="10"/>
  <c r="B3090" i="10"/>
  <c r="A3090" i="10"/>
  <c r="E3089" i="10"/>
  <c r="D3089" i="10"/>
  <c r="C3089" i="10"/>
  <c r="B3089" i="10"/>
  <c r="A3089" i="10"/>
  <c r="E3088" i="10"/>
  <c r="D3088" i="10"/>
  <c r="C3088" i="10"/>
  <c r="B3088" i="10"/>
  <c r="A3088" i="10"/>
  <c r="E3087" i="10"/>
  <c r="D3087" i="10"/>
  <c r="C3087" i="10"/>
  <c r="B3087" i="10"/>
  <c r="A3087" i="10"/>
  <c r="E3086" i="10"/>
  <c r="D3086" i="10"/>
  <c r="C3086" i="10"/>
  <c r="B3086" i="10"/>
  <c r="A3086" i="10"/>
  <c r="E3085" i="10"/>
  <c r="D3085" i="10"/>
  <c r="C3085" i="10"/>
  <c r="B3085" i="10"/>
  <c r="A3085" i="10"/>
  <c r="E3084" i="10"/>
  <c r="D3084" i="10"/>
  <c r="C3084" i="10"/>
  <c r="B3084" i="10"/>
  <c r="A3084" i="10"/>
  <c r="E3083" i="10"/>
  <c r="D3083" i="10"/>
  <c r="C3083" i="10"/>
  <c r="B3083" i="10"/>
  <c r="A3083" i="10"/>
  <c r="E3082" i="10"/>
  <c r="D3082" i="10"/>
  <c r="C3082" i="10"/>
  <c r="B3082" i="10"/>
  <c r="A3082" i="10"/>
  <c r="E3081" i="10"/>
  <c r="D3081" i="10"/>
  <c r="C3081" i="10"/>
  <c r="B3081" i="10"/>
  <c r="A3081" i="10"/>
  <c r="E3080" i="10"/>
  <c r="D3080" i="10"/>
  <c r="C3080" i="10"/>
  <c r="B3080" i="10"/>
  <c r="A3080" i="10"/>
  <c r="E3079" i="10"/>
  <c r="D3079" i="10"/>
  <c r="C3079" i="10"/>
  <c r="B3079" i="10"/>
  <c r="A3079" i="10"/>
  <c r="E3078" i="10"/>
  <c r="D3078" i="10"/>
  <c r="C3078" i="10"/>
  <c r="B3078" i="10"/>
  <c r="A3078" i="10"/>
  <c r="E3077" i="10"/>
  <c r="D3077" i="10"/>
  <c r="C3077" i="10"/>
  <c r="B3077" i="10"/>
  <c r="A3077" i="10"/>
  <c r="E3076" i="10"/>
  <c r="D3076" i="10"/>
  <c r="C3076" i="10"/>
  <c r="B3076" i="10"/>
  <c r="A3076" i="10"/>
  <c r="E3075" i="10"/>
  <c r="D3075" i="10"/>
  <c r="C3075" i="10"/>
  <c r="B3075" i="10"/>
  <c r="A3075" i="10"/>
  <c r="E3074" i="10"/>
  <c r="D3074" i="10"/>
  <c r="C3074" i="10"/>
  <c r="B3074" i="10"/>
  <c r="A3074" i="10"/>
  <c r="E3073" i="10"/>
  <c r="D3073" i="10"/>
  <c r="C3073" i="10"/>
  <c r="B3073" i="10"/>
  <c r="A3073" i="10"/>
  <c r="E3072" i="10"/>
  <c r="D3072" i="10"/>
  <c r="C3072" i="10"/>
  <c r="B3072" i="10"/>
  <c r="A3072" i="10"/>
  <c r="E3071" i="10"/>
  <c r="D3071" i="10"/>
  <c r="C3071" i="10"/>
  <c r="B3071" i="10"/>
  <c r="A3071" i="10"/>
  <c r="E3070" i="10"/>
  <c r="D3070" i="10"/>
  <c r="C3070" i="10"/>
  <c r="B3070" i="10"/>
  <c r="A3070" i="10"/>
  <c r="E3069" i="10"/>
  <c r="D3069" i="10"/>
  <c r="C3069" i="10"/>
  <c r="B3069" i="10"/>
  <c r="A3069" i="10"/>
  <c r="E3068" i="10"/>
  <c r="D3068" i="10"/>
  <c r="C3068" i="10"/>
  <c r="B3068" i="10"/>
  <c r="A3068" i="10"/>
  <c r="E3067" i="10"/>
  <c r="D3067" i="10"/>
  <c r="C3067" i="10"/>
  <c r="B3067" i="10"/>
  <c r="A3067" i="10"/>
  <c r="E3066" i="10"/>
  <c r="D3066" i="10"/>
  <c r="C3066" i="10"/>
  <c r="B3066" i="10"/>
  <c r="A3066" i="10"/>
  <c r="E3065" i="10"/>
  <c r="D3065" i="10"/>
  <c r="C3065" i="10"/>
  <c r="B3065" i="10"/>
  <c r="A3065" i="10"/>
  <c r="E3064" i="10"/>
  <c r="D3064" i="10"/>
  <c r="C3064" i="10"/>
  <c r="B3064" i="10"/>
  <c r="A3064" i="10"/>
  <c r="E3063" i="10"/>
  <c r="D3063" i="10"/>
  <c r="C3063" i="10"/>
  <c r="B3063" i="10"/>
  <c r="A3063" i="10"/>
  <c r="E3062" i="10"/>
  <c r="D3062" i="10"/>
  <c r="C3062" i="10"/>
  <c r="B3062" i="10"/>
  <c r="A3062" i="10"/>
  <c r="E3061" i="10"/>
  <c r="D3061" i="10"/>
  <c r="C3061" i="10"/>
  <c r="B3061" i="10"/>
  <c r="A3061" i="10"/>
  <c r="E3060" i="10"/>
  <c r="D3060" i="10"/>
  <c r="C3060" i="10"/>
  <c r="B3060" i="10"/>
  <c r="A3060" i="10"/>
  <c r="E3059" i="10"/>
  <c r="D3059" i="10"/>
  <c r="C3059" i="10"/>
  <c r="B3059" i="10"/>
  <c r="A3059" i="10"/>
  <c r="E3058" i="10"/>
  <c r="D3058" i="10"/>
  <c r="C3058" i="10"/>
  <c r="B3058" i="10"/>
  <c r="A3058" i="10"/>
  <c r="E3057" i="10"/>
  <c r="D3057" i="10"/>
  <c r="C3057" i="10"/>
  <c r="B3057" i="10"/>
  <c r="A3057" i="10"/>
  <c r="E3056" i="10"/>
  <c r="D3056" i="10"/>
  <c r="C3056" i="10"/>
  <c r="B3056" i="10"/>
  <c r="A3056" i="10"/>
  <c r="E3055" i="10"/>
  <c r="D3055" i="10"/>
  <c r="C3055" i="10"/>
  <c r="B3055" i="10"/>
  <c r="A3055" i="10"/>
  <c r="E3054" i="10"/>
  <c r="D3054" i="10"/>
  <c r="C3054" i="10"/>
  <c r="B3054" i="10"/>
  <c r="A3054" i="10"/>
  <c r="E3053" i="10"/>
  <c r="D3053" i="10"/>
  <c r="C3053" i="10"/>
  <c r="B3053" i="10"/>
  <c r="A3053" i="10"/>
  <c r="E3052" i="10"/>
  <c r="D3052" i="10"/>
  <c r="C3052" i="10"/>
  <c r="B3052" i="10"/>
  <c r="A3052" i="10"/>
  <c r="E3051" i="10"/>
  <c r="D3051" i="10"/>
  <c r="C3051" i="10"/>
  <c r="B3051" i="10"/>
  <c r="A3051" i="10"/>
  <c r="E3050" i="10"/>
  <c r="D3050" i="10"/>
  <c r="C3050" i="10"/>
  <c r="B3050" i="10"/>
  <c r="A3050" i="10"/>
  <c r="E3049" i="10"/>
  <c r="D3049" i="10"/>
  <c r="C3049" i="10"/>
  <c r="B3049" i="10"/>
  <c r="A3049" i="10"/>
  <c r="E3048" i="10"/>
  <c r="D3048" i="10"/>
  <c r="C3048" i="10"/>
  <c r="B3048" i="10"/>
  <c r="A3048" i="10"/>
  <c r="E3047" i="10"/>
  <c r="D3047" i="10"/>
  <c r="C3047" i="10"/>
  <c r="B3047" i="10"/>
  <c r="A3047" i="10"/>
  <c r="E3046" i="10"/>
  <c r="D3046" i="10"/>
  <c r="C3046" i="10"/>
  <c r="B3046" i="10"/>
  <c r="A3046" i="10"/>
  <c r="E3045" i="10"/>
  <c r="D3045" i="10"/>
  <c r="C3045" i="10"/>
  <c r="B3045" i="10"/>
  <c r="A3045" i="10"/>
  <c r="E3044" i="10"/>
  <c r="D3044" i="10"/>
  <c r="C3044" i="10"/>
  <c r="B3044" i="10"/>
  <c r="A3044" i="10"/>
  <c r="E3043" i="10"/>
  <c r="D3043" i="10"/>
  <c r="C3043" i="10"/>
  <c r="B3043" i="10"/>
  <c r="A3043" i="10"/>
  <c r="E3042" i="10"/>
  <c r="D3042" i="10"/>
  <c r="C3042" i="10"/>
  <c r="B3042" i="10"/>
  <c r="A3042" i="10"/>
  <c r="E3041" i="10"/>
  <c r="D3041" i="10"/>
  <c r="C3041" i="10"/>
  <c r="B3041" i="10"/>
  <c r="A3041" i="10"/>
  <c r="E3040" i="10"/>
  <c r="D3040" i="10"/>
  <c r="C3040" i="10"/>
  <c r="B3040" i="10"/>
  <c r="A3040" i="10"/>
  <c r="E3039" i="10"/>
  <c r="D3039" i="10"/>
  <c r="C3039" i="10"/>
  <c r="B3039" i="10"/>
  <c r="A3039" i="10"/>
  <c r="E3038" i="10"/>
  <c r="D3038" i="10"/>
  <c r="C3038" i="10"/>
  <c r="B3038" i="10"/>
  <c r="A3038" i="10"/>
  <c r="E3037" i="10"/>
  <c r="D3037" i="10"/>
  <c r="C3037" i="10"/>
  <c r="B3037" i="10"/>
  <c r="A3037" i="10"/>
  <c r="E3036" i="10"/>
  <c r="D3036" i="10"/>
  <c r="C3036" i="10"/>
  <c r="B3036" i="10"/>
  <c r="A3036" i="10"/>
  <c r="E3035" i="10"/>
  <c r="D3035" i="10"/>
  <c r="C3035" i="10"/>
  <c r="B3035" i="10"/>
  <c r="A3035" i="10"/>
  <c r="E3034" i="10"/>
  <c r="D3034" i="10"/>
  <c r="C3034" i="10"/>
  <c r="B3034" i="10"/>
  <c r="A3034" i="10"/>
  <c r="E3033" i="10"/>
  <c r="D3033" i="10"/>
  <c r="C3033" i="10"/>
  <c r="B3033" i="10"/>
  <c r="A3033" i="10"/>
  <c r="E3032" i="10"/>
  <c r="D3032" i="10"/>
  <c r="C3032" i="10"/>
  <c r="B3032" i="10"/>
  <c r="A3032" i="10"/>
  <c r="E3031" i="10"/>
  <c r="D3031" i="10"/>
  <c r="C3031" i="10"/>
  <c r="B3031" i="10"/>
  <c r="A3031" i="10"/>
  <c r="E3030" i="10"/>
  <c r="D3030" i="10"/>
  <c r="C3030" i="10"/>
  <c r="B3030" i="10"/>
  <c r="A3030" i="10"/>
  <c r="E3029" i="10"/>
  <c r="D3029" i="10"/>
  <c r="C3029" i="10"/>
  <c r="B3029" i="10"/>
  <c r="A3029" i="10"/>
  <c r="E3028" i="10"/>
  <c r="D3028" i="10"/>
  <c r="C3028" i="10"/>
  <c r="B3028" i="10"/>
  <c r="A3028" i="10"/>
  <c r="E3027" i="10"/>
  <c r="D3027" i="10"/>
  <c r="C3027" i="10"/>
  <c r="B3027" i="10"/>
  <c r="A3027" i="10"/>
  <c r="E3026" i="10"/>
  <c r="D3026" i="10"/>
  <c r="C3026" i="10"/>
  <c r="B3026" i="10"/>
  <c r="A3026" i="10"/>
  <c r="E3025" i="10"/>
  <c r="D3025" i="10"/>
  <c r="C3025" i="10"/>
  <c r="B3025" i="10"/>
  <c r="A3025" i="10"/>
  <c r="E3024" i="10"/>
  <c r="D3024" i="10"/>
  <c r="C3024" i="10"/>
  <c r="B3024" i="10"/>
  <c r="A3024" i="10"/>
  <c r="E3023" i="10"/>
  <c r="D3023" i="10"/>
  <c r="C3023" i="10"/>
  <c r="B3023" i="10"/>
  <c r="A3023" i="10"/>
  <c r="E3022" i="10"/>
  <c r="D3022" i="10"/>
  <c r="C3022" i="10"/>
  <c r="B3022" i="10"/>
  <c r="A3022" i="10"/>
  <c r="E3021" i="10"/>
  <c r="D3021" i="10"/>
  <c r="C3021" i="10"/>
  <c r="B3021" i="10"/>
  <c r="A3021" i="10"/>
  <c r="E3020" i="10"/>
  <c r="D3020" i="10"/>
  <c r="C3020" i="10"/>
  <c r="B3020" i="10"/>
  <c r="A3020" i="10"/>
  <c r="E3019" i="10"/>
  <c r="D3019" i="10"/>
  <c r="C3019" i="10"/>
  <c r="B3019" i="10"/>
  <c r="A3019" i="10"/>
  <c r="E3018" i="10"/>
  <c r="D3018" i="10"/>
  <c r="C3018" i="10"/>
  <c r="B3018" i="10"/>
  <c r="A3018" i="10"/>
  <c r="E3017" i="10"/>
  <c r="D3017" i="10"/>
  <c r="C3017" i="10"/>
  <c r="B3017" i="10"/>
  <c r="A3017" i="10"/>
  <c r="E3016" i="10"/>
  <c r="D3016" i="10"/>
  <c r="C3016" i="10"/>
  <c r="B3016" i="10"/>
  <c r="A3016" i="10"/>
  <c r="E3015" i="10"/>
  <c r="D3015" i="10"/>
  <c r="C3015" i="10"/>
  <c r="B3015" i="10"/>
  <c r="A3015" i="10"/>
  <c r="E3014" i="10"/>
  <c r="D3014" i="10"/>
  <c r="C3014" i="10"/>
  <c r="B3014" i="10"/>
  <c r="A3014" i="10"/>
  <c r="E3013" i="10"/>
  <c r="D3013" i="10"/>
  <c r="C3013" i="10"/>
  <c r="B3013" i="10"/>
  <c r="A3013" i="10"/>
  <c r="E3012" i="10"/>
  <c r="D3012" i="10"/>
  <c r="C3012" i="10"/>
  <c r="B3012" i="10"/>
  <c r="A3012" i="10"/>
  <c r="E3011" i="10"/>
  <c r="D3011" i="10"/>
  <c r="C3011" i="10"/>
  <c r="B3011" i="10"/>
  <c r="A3011" i="10"/>
  <c r="E3010" i="10"/>
  <c r="D3010" i="10"/>
  <c r="C3010" i="10"/>
  <c r="B3010" i="10"/>
  <c r="A3010" i="10"/>
  <c r="E3009" i="10"/>
  <c r="D3009" i="10"/>
  <c r="C3009" i="10"/>
  <c r="B3009" i="10"/>
  <c r="A3009" i="10"/>
  <c r="E3008" i="10"/>
  <c r="D3008" i="10"/>
  <c r="C3008" i="10"/>
  <c r="B3008" i="10"/>
  <c r="A3008" i="10"/>
  <c r="E3007" i="10"/>
  <c r="D3007" i="10"/>
  <c r="C3007" i="10"/>
  <c r="B3007" i="10"/>
  <c r="A3007" i="10"/>
  <c r="E3006" i="10"/>
  <c r="D3006" i="10"/>
  <c r="C3006" i="10"/>
  <c r="B3006" i="10"/>
  <c r="A3006" i="10"/>
  <c r="E3005" i="10"/>
  <c r="D3005" i="10"/>
  <c r="C3005" i="10"/>
  <c r="B3005" i="10"/>
  <c r="A3005" i="10"/>
  <c r="E3004" i="10"/>
  <c r="D3004" i="10"/>
  <c r="C3004" i="10"/>
  <c r="B3004" i="10"/>
  <c r="A3004" i="10"/>
  <c r="E3003" i="10"/>
  <c r="D3003" i="10"/>
  <c r="C3003" i="10"/>
  <c r="B3003" i="10"/>
  <c r="A3003" i="10"/>
  <c r="E3002" i="10"/>
  <c r="D3002" i="10"/>
  <c r="C3002" i="10"/>
  <c r="B3002" i="10"/>
  <c r="A3002" i="10"/>
  <c r="E3001" i="10"/>
  <c r="D3001" i="10"/>
  <c r="C3001" i="10"/>
  <c r="B3001" i="10"/>
  <c r="A3001" i="10"/>
  <c r="E3000" i="10"/>
  <c r="D3000" i="10"/>
  <c r="C3000" i="10"/>
  <c r="B3000" i="10"/>
  <c r="A3000" i="10"/>
  <c r="E2999" i="10"/>
  <c r="D2999" i="10"/>
  <c r="C2999" i="10"/>
  <c r="B2999" i="10"/>
  <c r="A2999" i="10"/>
  <c r="E2998" i="10"/>
  <c r="D2998" i="10"/>
  <c r="C2998" i="10"/>
  <c r="B2998" i="10"/>
  <c r="A2998" i="10"/>
  <c r="E2997" i="10"/>
  <c r="D2997" i="10"/>
  <c r="C2997" i="10"/>
  <c r="B2997" i="10"/>
  <c r="A2997" i="10"/>
  <c r="E2996" i="10"/>
  <c r="D2996" i="10"/>
  <c r="C2996" i="10"/>
  <c r="B2996" i="10"/>
  <c r="A2996" i="10"/>
  <c r="E2995" i="10"/>
  <c r="D2995" i="10"/>
  <c r="C2995" i="10"/>
  <c r="B2995" i="10"/>
  <c r="A2995" i="10"/>
  <c r="E2994" i="10"/>
  <c r="D2994" i="10"/>
  <c r="C2994" i="10"/>
  <c r="B2994" i="10"/>
  <c r="A2994" i="10"/>
  <c r="E2993" i="10"/>
  <c r="D2993" i="10"/>
  <c r="C2993" i="10"/>
  <c r="B2993" i="10"/>
  <c r="A2993" i="10"/>
  <c r="E2992" i="10"/>
  <c r="D2992" i="10"/>
  <c r="C2992" i="10"/>
  <c r="B2992" i="10"/>
  <c r="A2992" i="10"/>
  <c r="E2991" i="10"/>
  <c r="D2991" i="10"/>
  <c r="C2991" i="10"/>
  <c r="B2991" i="10"/>
  <c r="A2991" i="10"/>
  <c r="E2990" i="10"/>
  <c r="D2990" i="10"/>
  <c r="C2990" i="10"/>
  <c r="B2990" i="10"/>
  <c r="A2990" i="10"/>
  <c r="E2989" i="10"/>
  <c r="D2989" i="10"/>
  <c r="C2989" i="10"/>
  <c r="B2989" i="10"/>
  <c r="A2989" i="10"/>
  <c r="E2988" i="10"/>
  <c r="D2988" i="10"/>
  <c r="C2988" i="10"/>
  <c r="B2988" i="10"/>
  <c r="A2988" i="10"/>
  <c r="E2987" i="10"/>
  <c r="D2987" i="10"/>
  <c r="C2987" i="10"/>
  <c r="B2987" i="10"/>
  <c r="A2987" i="10"/>
  <c r="E2986" i="10"/>
  <c r="D2986" i="10"/>
  <c r="C2986" i="10"/>
  <c r="B2986" i="10"/>
  <c r="A2986" i="10"/>
  <c r="E2985" i="10"/>
  <c r="D2985" i="10"/>
  <c r="C2985" i="10"/>
  <c r="B2985" i="10"/>
  <c r="A2985" i="10"/>
  <c r="E2984" i="10"/>
  <c r="D2984" i="10"/>
  <c r="C2984" i="10"/>
  <c r="B2984" i="10"/>
  <c r="A2984" i="10"/>
  <c r="E2983" i="10"/>
  <c r="D2983" i="10"/>
  <c r="C2983" i="10"/>
  <c r="B2983" i="10"/>
  <c r="A2983" i="10"/>
  <c r="E2982" i="10"/>
  <c r="D2982" i="10"/>
  <c r="C2982" i="10"/>
  <c r="B2982" i="10"/>
  <c r="A2982" i="10"/>
  <c r="E2981" i="10"/>
  <c r="D2981" i="10"/>
  <c r="C2981" i="10"/>
  <c r="B2981" i="10"/>
  <c r="A2981" i="10"/>
  <c r="E2980" i="10"/>
  <c r="D2980" i="10"/>
  <c r="C2980" i="10"/>
  <c r="B2980" i="10"/>
  <c r="A2980" i="10"/>
  <c r="E2979" i="10"/>
  <c r="D2979" i="10"/>
  <c r="C2979" i="10"/>
  <c r="B2979" i="10"/>
  <c r="A2979" i="10"/>
  <c r="E2978" i="10"/>
  <c r="D2978" i="10"/>
  <c r="C2978" i="10"/>
  <c r="B2978" i="10"/>
  <c r="A2978" i="10"/>
  <c r="E2977" i="10"/>
  <c r="D2977" i="10"/>
  <c r="C2977" i="10"/>
  <c r="B2977" i="10"/>
  <c r="A2977" i="10"/>
  <c r="E2976" i="10"/>
  <c r="D2976" i="10"/>
  <c r="C2976" i="10"/>
  <c r="B2976" i="10"/>
  <c r="A2976" i="10"/>
  <c r="E2975" i="10"/>
  <c r="D2975" i="10"/>
  <c r="C2975" i="10"/>
  <c r="B2975" i="10"/>
  <c r="A2975" i="10"/>
  <c r="E2974" i="10"/>
  <c r="D2974" i="10"/>
  <c r="C2974" i="10"/>
  <c r="B2974" i="10"/>
  <c r="A2974" i="10"/>
  <c r="E2973" i="10"/>
  <c r="D2973" i="10"/>
  <c r="C2973" i="10"/>
  <c r="B2973" i="10"/>
  <c r="A2973" i="10"/>
  <c r="E2972" i="10"/>
  <c r="D2972" i="10"/>
  <c r="C2972" i="10"/>
  <c r="B2972" i="10"/>
  <c r="A2972" i="10"/>
  <c r="E2971" i="10"/>
  <c r="D2971" i="10"/>
  <c r="C2971" i="10"/>
  <c r="B2971" i="10"/>
  <c r="A2971" i="10"/>
  <c r="E2970" i="10"/>
  <c r="D2970" i="10"/>
  <c r="C2970" i="10"/>
  <c r="B2970" i="10"/>
  <c r="A2970" i="10"/>
  <c r="E2969" i="10"/>
  <c r="D2969" i="10"/>
  <c r="C2969" i="10"/>
  <c r="B2969" i="10"/>
  <c r="A2969" i="10"/>
  <c r="E2968" i="10"/>
  <c r="D2968" i="10"/>
  <c r="C2968" i="10"/>
  <c r="B2968" i="10"/>
  <c r="A2968" i="10"/>
  <c r="E2967" i="10"/>
  <c r="D2967" i="10"/>
  <c r="C2967" i="10"/>
  <c r="B2967" i="10"/>
  <c r="A2967" i="10"/>
  <c r="E2966" i="10"/>
  <c r="D2966" i="10"/>
  <c r="C2966" i="10"/>
  <c r="B2966" i="10"/>
  <c r="A2966" i="10"/>
  <c r="E2965" i="10"/>
  <c r="D2965" i="10"/>
  <c r="C2965" i="10"/>
  <c r="B2965" i="10"/>
  <c r="A2965" i="10"/>
  <c r="E2964" i="10"/>
  <c r="D2964" i="10"/>
  <c r="C2964" i="10"/>
  <c r="B2964" i="10"/>
  <c r="A2964" i="10"/>
  <c r="E2963" i="10"/>
  <c r="D2963" i="10"/>
  <c r="C2963" i="10"/>
  <c r="B2963" i="10"/>
  <c r="A2963" i="10"/>
  <c r="E2962" i="10"/>
  <c r="D2962" i="10"/>
  <c r="C2962" i="10"/>
  <c r="B2962" i="10"/>
  <c r="A2962" i="10"/>
  <c r="E2961" i="10"/>
  <c r="D2961" i="10"/>
  <c r="C2961" i="10"/>
  <c r="B2961" i="10"/>
  <c r="A2961" i="10"/>
  <c r="E2960" i="10"/>
  <c r="D2960" i="10"/>
  <c r="C2960" i="10"/>
  <c r="B2960" i="10"/>
  <c r="A2960" i="10"/>
  <c r="E2959" i="10"/>
  <c r="D2959" i="10"/>
  <c r="C2959" i="10"/>
  <c r="B2959" i="10"/>
  <c r="A2959" i="10"/>
  <c r="E2958" i="10"/>
  <c r="D2958" i="10"/>
  <c r="C2958" i="10"/>
  <c r="B2958" i="10"/>
  <c r="A2958" i="10"/>
  <c r="E2957" i="10"/>
  <c r="D2957" i="10"/>
  <c r="C2957" i="10"/>
  <c r="B2957" i="10"/>
  <c r="A2957" i="10"/>
  <c r="E2956" i="10"/>
  <c r="D2956" i="10"/>
  <c r="C2956" i="10"/>
  <c r="B2956" i="10"/>
  <c r="A2956" i="10"/>
  <c r="E2955" i="10"/>
  <c r="D2955" i="10"/>
  <c r="C2955" i="10"/>
  <c r="B2955" i="10"/>
  <c r="A2955" i="10"/>
  <c r="E2954" i="10"/>
  <c r="D2954" i="10"/>
  <c r="C2954" i="10"/>
  <c r="B2954" i="10"/>
  <c r="A2954" i="10"/>
  <c r="E2953" i="10"/>
  <c r="D2953" i="10"/>
  <c r="C2953" i="10"/>
  <c r="B2953" i="10"/>
  <c r="A2953" i="10"/>
  <c r="E2952" i="10"/>
  <c r="D2952" i="10"/>
  <c r="C2952" i="10"/>
  <c r="B2952" i="10"/>
  <c r="A2952" i="10"/>
  <c r="E2951" i="10"/>
  <c r="D2951" i="10"/>
  <c r="C2951" i="10"/>
  <c r="B2951" i="10"/>
  <c r="A2951" i="10"/>
  <c r="E2950" i="10"/>
  <c r="D2950" i="10"/>
  <c r="C2950" i="10"/>
  <c r="B2950" i="10"/>
  <c r="A2950" i="10"/>
  <c r="E2949" i="10"/>
  <c r="D2949" i="10"/>
  <c r="C2949" i="10"/>
  <c r="B2949" i="10"/>
  <c r="A2949" i="10"/>
  <c r="E2948" i="10"/>
  <c r="D2948" i="10"/>
  <c r="C2948" i="10"/>
  <c r="B2948" i="10"/>
  <c r="A2948" i="10"/>
  <c r="E2947" i="10"/>
  <c r="D2947" i="10"/>
  <c r="C2947" i="10"/>
  <c r="B2947" i="10"/>
  <c r="A2947" i="10"/>
  <c r="E2946" i="10"/>
  <c r="D2946" i="10"/>
  <c r="C2946" i="10"/>
  <c r="B2946" i="10"/>
  <c r="A2946" i="10"/>
  <c r="E2945" i="10"/>
  <c r="D2945" i="10"/>
  <c r="C2945" i="10"/>
  <c r="B2945" i="10"/>
  <c r="A2945" i="10"/>
  <c r="E2944" i="10"/>
  <c r="D2944" i="10"/>
  <c r="C2944" i="10"/>
  <c r="B2944" i="10"/>
  <c r="A2944" i="10"/>
  <c r="E2943" i="10"/>
  <c r="D2943" i="10"/>
  <c r="C2943" i="10"/>
  <c r="B2943" i="10"/>
  <c r="A2943" i="10"/>
  <c r="E2942" i="10"/>
  <c r="D2942" i="10"/>
  <c r="C2942" i="10"/>
  <c r="B2942" i="10"/>
  <c r="A2942" i="10"/>
  <c r="E2941" i="10"/>
  <c r="D2941" i="10"/>
  <c r="C2941" i="10"/>
  <c r="B2941" i="10"/>
  <c r="A2941" i="10"/>
  <c r="E2940" i="10"/>
  <c r="D2940" i="10"/>
  <c r="C2940" i="10"/>
  <c r="B2940" i="10"/>
  <c r="A2940" i="10"/>
  <c r="E2939" i="10"/>
  <c r="D2939" i="10"/>
  <c r="C2939" i="10"/>
  <c r="B2939" i="10"/>
  <c r="A2939" i="10"/>
  <c r="E2938" i="10"/>
  <c r="D2938" i="10"/>
  <c r="C2938" i="10"/>
  <c r="B2938" i="10"/>
  <c r="A2938" i="10"/>
  <c r="E2937" i="10"/>
  <c r="D2937" i="10"/>
  <c r="C2937" i="10"/>
  <c r="B2937" i="10"/>
  <c r="A2937" i="10"/>
  <c r="E2936" i="10"/>
  <c r="D2936" i="10"/>
  <c r="C2936" i="10"/>
  <c r="B2936" i="10"/>
  <c r="A2936" i="10"/>
  <c r="E2935" i="10"/>
  <c r="D2935" i="10"/>
  <c r="C2935" i="10"/>
  <c r="B2935" i="10"/>
  <c r="A2935" i="10"/>
  <c r="E2934" i="10"/>
  <c r="D2934" i="10"/>
  <c r="C2934" i="10"/>
  <c r="B2934" i="10"/>
  <c r="A2934" i="10"/>
  <c r="E2933" i="10"/>
  <c r="D2933" i="10"/>
  <c r="C2933" i="10"/>
  <c r="B2933" i="10"/>
  <c r="A2933" i="10"/>
  <c r="E2932" i="10"/>
  <c r="D2932" i="10"/>
  <c r="C2932" i="10"/>
  <c r="B2932" i="10"/>
  <c r="A2932" i="10"/>
  <c r="E2931" i="10"/>
  <c r="D2931" i="10"/>
  <c r="C2931" i="10"/>
  <c r="B2931" i="10"/>
  <c r="A2931" i="10"/>
  <c r="E2930" i="10"/>
  <c r="D2930" i="10"/>
  <c r="C2930" i="10"/>
  <c r="B2930" i="10"/>
  <c r="A2930" i="10"/>
  <c r="E2929" i="10"/>
  <c r="D2929" i="10"/>
  <c r="C2929" i="10"/>
  <c r="B2929" i="10"/>
  <c r="A2929" i="10"/>
  <c r="E2928" i="10"/>
  <c r="D2928" i="10"/>
  <c r="C2928" i="10"/>
  <c r="B2928" i="10"/>
  <c r="A2928" i="10"/>
  <c r="E2927" i="10"/>
  <c r="D2927" i="10"/>
  <c r="C2927" i="10"/>
  <c r="B2927" i="10"/>
  <c r="A2927" i="10"/>
  <c r="E2926" i="10"/>
  <c r="D2926" i="10"/>
  <c r="C2926" i="10"/>
  <c r="B2926" i="10"/>
  <c r="A2926" i="10"/>
  <c r="E2925" i="10"/>
  <c r="D2925" i="10"/>
  <c r="C2925" i="10"/>
  <c r="B2925" i="10"/>
  <c r="A2925" i="10"/>
  <c r="E2924" i="10"/>
  <c r="D2924" i="10"/>
  <c r="C2924" i="10"/>
  <c r="B2924" i="10"/>
  <c r="A2924" i="10"/>
  <c r="E2923" i="10"/>
  <c r="D2923" i="10"/>
  <c r="C2923" i="10"/>
  <c r="B2923" i="10"/>
  <c r="A2923" i="10"/>
  <c r="E2922" i="10"/>
  <c r="D2922" i="10"/>
  <c r="C2922" i="10"/>
  <c r="B2922" i="10"/>
  <c r="A2922" i="10"/>
  <c r="E2921" i="10"/>
  <c r="D2921" i="10"/>
  <c r="C2921" i="10"/>
  <c r="B2921" i="10"/>
  <c r="A2921" i="10"/>
  <c r="E2920" i="10"/>
  <c r="D2920" i="10"/>
  <c r="C2920" i="10"/>
  <c r="B2920" i="10"/>
  <c r="A2920" i="10"/>
  <c r="E2919" i="10"/>
  <c r="D2919" i="10"/>
  <c r="C2919" i="10"/>
  <c r="B2919" i="10"/>
  <c r="A2919" i="10"/>
  <c r="E2918" i="10"/>
  <c r="D2918" i="10"/>
  <c r="C2918" i="10"/>
  <c r="B2918" i="10"/>
  <c r="A2918" i="10"/>
  <c r="E2917" i="10"/>
  <c r="D2917" i="10"/>
  <c r="C2917" i="10"/>
  <c r="B2917" i="10"/>
  <c r="A2917" i="10"/>
  <c r="E2916" i="10"/>
  <c r="D2916" i="10"/>
  <c r="C2916" i="10"/>
  <c r="B2916" i="10"/>
  <c r="A2916" i="10"/>
  <c r="E2915" i="10"/>
  <c r="D2915" i="10"/>
  <c r="C2915" i="10"/>
  <c r="B2915" i="10"/>
  <c r="A2915" i="10"/>
  <c r="E2914" i="10"/>
  <c r="D2914" i="10"/>
  <c r="C2914" i="10"/>
  <c r="B2914" i="10"/>
  <c r="A2914" i="10"/>
  <c r="E2913" i="10"/>
  <c r="D2913" i="10"/>
  <c r="C2913" i="10"/>
  <c r="B2913" i="10"/>
  <c r="A2913" i="10"/>
  <c r="E2912" i="10"/>
  <c r="D2912" i="10"/>
  <c r="C2912" i="10"/>
  <c r="B2912" i="10"/>
  <c r="A2912" i="10"/>
  <c r="E2911" i="10"/>
  <c r="D2911" i="10"/>
  <c r="C2911" i="10"/>
  <c r="B2911" i="10"/>
  <c r="A2911" i="10"/>
  <c r="E2910" i="10"/>
  <c r="D2910" i="10"/>
  <c r="C2910" i="10"/>
  <c r="B2910" i="10"/>
  <c r="A2910" i="10"/>
  <c r="E2909" i="10"/>
  <c r="D2909" i="10"/>
  <c r="C2909" i="10"/>
  <c r="B2909" i="10"/>
  <c r="A2909" i="10"/>
  <c r="E2908" i="10"/>
  <c r="D2908" i="10"/>
  <c r="C2908" i="10"/>
  <c r="B2908" i="10"/>
  <c r="A2908" i="10"/>
  <c r="E2907" i="10"/>
  <c r="D2907" i="10"/>
  <c r="C2907" i="10"/>
  <c r="B2907" i="10"/>
  <c r="A2907" i="10"/>
  <c r="E2906" i="10"/>
  <c r="D2906" i="10"/>
  <c r="C2906" i="10"/>
  <c r="B2906" i="10"/>
  <c r="A2906" i="10"/>
  <c r="E2905" i="10"/>
  <c r="D2905" i="10"/>
  <c r="C2905" i="10"/>
  <c r="B2905" i="10"/>
  <c r="A2905" i="10"/>
  <c r="E2904" i="10"/>
  <c r="D2904" i="10"/>
  <c r="C2904" i="10"/>
  <c r="B2904" i="10"/>
  <c r="A2904" i="10"/>
  <c r="E2903" i="10"/>
  <c r="D2903" i="10"/>
  <c r="C2903" i="10"/>
  <c r="B2903" i="10"/>
  <c r="A2903" i="10"/>
  <c r="E2902" i="10"/>
  <c r="D2902" i="10"/>
  <c r="C2902" i="10"/>
  <c r="B2902" i="10"/>
  <c r="A2902" i="10"/>
  <c r="E2901" i="10"/>
  <c r="D2901" i="10"/>
  <c r="C2901" i="10"/>
  <c r="B2901" i="10"/>
  <c r="A2901" i="10"/>
  <c r="E2900" i="10"/>
  <c r="D2900" i="10"/>
  <c r="C2900" i="10"/>
  <c r="B2900" i="10"/>
  <c r="A2900" i="10"/>
  <c r="E2899" i="10"/>
  <c r="D2899" i="10"/>
  <c r="C2899" i="10"/>
  <c r="B2899" i="10"/>
  <c r="A2899" i="10"/>
  <c r="E2898" i="10"/>
  <c r="D2898" i="10"/>
  <c r="C2898" i="10"/>
  <c r="B2898" i="10"/>
  <c r="A2898" i="10"/>
  <c r="E2897" i="10"/>
  <c r="D2897" i="10"/>
  <c r="C2897" i="10"/>
  <c r="B2897" i="10"/>
  <c r="A2897" i="10"/>
  <c r="E2896" i="10"/>
  <c r="D2896" i="10"/>
  <c r="C2896" i="10"/>
  <c r="B2896" i="10"/>
  <c r="A2896" i="10"/>
  <c r="E2895" i="10"/>
  <c r="D2895" i="10"/>
  <c r="C2895" i="10"/>
  <c r="B2895" i="10"/>
  <c r="A2895" i="10"/>
  <c r="E2894" i="10"/>
  <c r="D2894" i="10"/>
  <c r="C2894" i="10"/>
  <c r="B2894" i="10"/>
  <c r="A2894" i="10"/>
  <c r="E2893" i="10"/>
  <c r="D2893" i="10"/>
  <c r="C2893" i="10"/>
  <c r="B2893" i="10"/>
  <c r="A2893" i="10"/>
  <c r="E2892" i="10"/>
  <c r="D2892" i="10"/>
  <c r="C2892" i="10"/>
  <c r="B2892" i="10"/>
  <c r="A2892" i="10"/>
  <c r="E2891" i="10"/>
  <c r="D2891" i="10"/>
  <c r="C2891" i="10"/>
  <c r="B2891" i="10"/>
  <c r="A2891" i="10"/>
  <c r="E2890" i="10"/>
  <c r="D2890" i="10"/>
  <c r="C2890" i="10"/>
  <c r="B2890" i="10"/>
  <c r="A2890" i="10"/>
  <c r="E2889" i="10"/>
  <c r="D2889" i="10"/>
  <c r="C2889" i="10"/>
  <c r="B2889" i="10"/>
  <c r="A2889" i="10"/>
  <c r="E2888" i="10"/>
  <c r="D2888" i="10"/>
  <c r="C2888" i="10"/>
  <c r="B2888" i="10"/>
  <c r="A2888" i="10"/>
  <c r="E2887" i="10"/>
  <c r="D2887" i="10"/>
  <c r="C2887" i="10"/>
  <c r="B2887" i="10"/>
  <c r="A2887" i="10"/>
  <c r="E2886" i="10"/>
  <c r="D2886" i="10"/>
  <c r="C2886" i="10"/>
  <c r="B2886" i="10"/>
  <c r="A2886" i="10"/>
  <c r="E2885" i="10"/>
  <c r="D2885" i="10"/>
  <c r="C2885" i="10"/>
  <c r="B2885" i="10"/>
  <c r="A2885" i="10"/>
  <c r="E2884" i="10"/>
  <c r="D2884" i="10"/>
  <c r="C2884" i="10"/>
  <c r="B2884" i="10"/>
  <c r="A2884" i="10"/>
  <c r="E2883" i="10"/>
  <c r="D2883" i="10"/>
  <c r="C2883" i="10"/>
  <c r="B2883" i="10"/>
  <c r="A2883" i="10"/>
  <c r="E2882" i="10"/>
  <c r="D2882" i="10"/>
  <c r="C2882" i="10"/>
  <c r="B2882" i="10"/>
  <c r="A2882" i="10"/>
  <c r="E2881" i="10"/>
  <c r="D2881" i="10"/>
  <c r="C2881" i="10"/>
  <c r="B2881" i="10"/>
  <c r="A2881" i="10"/>
  <c r="E2880" i="10"/>
  <c r="D2880" i="10"/>
  <c r="C2880" i="10"/>
  <c r="B2880" i="10"/>
  <c r="A2880" i="10"/>
  <c r="E2879" i="10"/>
  <c r="D2879" i="10"/>
  <c r="C2879" i="10"/>
  <c r="B2879" i="10"/>
  <c r="A2879" i="10"/>
  <c r="E2878" i="10"/>
  <c r="D2878" i="10"/>
  <c r="C2878" i="10"/>
  <c r="B2878" i="10"/>
  <c r="A2878" i="10"/>
  <c r="E2877" i="10"/>
  <c r="D2877" i="10"/>
  <c r="C2877" i="10"/>
  <c r="B2877" i="10"/>
  <c r="A2877" i="10"/>
  <c r="E2876" i="10"/>
  <c r="D2876" i="10"/>
  <c r="C2876" i="10"/>
  <c r="B2876" i="10"/>
  <c r="A2876" i="10"/>
  <c r="E2875" i="10"/>
  <c r="D2875" i="10"/>
  <c r="C2875" i="10"/>
  <c r="B2875" i="10"/>
  <c r="A2875" i="10"/>
  <c r="E2874" i="10"/>
  <c r="D2874" i="10"/>
  <c r="C2874" i="10"/>
  <c r="B2874" i="10"/>
  <c r="A2874" i="10"/>
  <c r="E2873" i="10"/>
  <c r="D2873" i="10"/>
  <c r="C2873" i="10"/>
  <c r="B2873" i="10"/>
  <c r="A2873" i="10"/>
  <c r="E2872" i="10"/>
  <c r="D2872" i="10"/>
  <c r="C2872" i="10"/>
  <c r="B2872" i="10"/>
  <c r="A2872" i="10"/>
  <c r="E2871" i="10"/>
  <c r="D2871" i="10"/>
  <c r="C2871" i="10"/>
  <c r="B2871" i="10"/>
  <c r="A2871" i="10"/>
  <c r="E2870" i="10"/>
  <c r="D2870" i="10"/>
  <c r="C2870" i="10"/>
  <c r="B2870" i="10"/>
  <c r="A2870" i="10"/>
  <c r="E2869" i="10"/>
  <c r="D2869" i="10"/>
  <c r="C2869" i="10"/>
  <c r="B2869" i="10"/>
  <c r="A2869" i="10"/>
  <c r="E2868" i="10"/>
  <c r="D2868" i="10"/>
  <c r="C2868" i="10"/>
  <c r="B2868" i="10"/>
  <c r="A2868" i="10"/>
  <c r="E2867" i="10"/>
  <c r="D2867" i="10"/>
  <c r="C2867" i="10"/>
  <c r="B2867" i="10"/>
  <c r="A2867" i="10"/>
  <c r="E2866" i="10"/>
  <c r="D2866" i="10"/>
  <c r="C2866" i="10"/>
  <c r="B2866" i="10"/>
  <c r="A2866" i="10"/>
  <c r="E2865" i="10"/>
  <c r="D2865" i="10"/>
  <c r="C2865" i="10"/>
  <c r="B2865" i="10"/>
  <c r="A2865" i="10"/>
  <c r="E2864" i="10"/>
  <c r="D2864" i="10"/>
  <c r="C2864" i="10"/>
  <c r="B2864" i="10"/>
  <c r="A2864" i="10"/>
  <c r="E2863" i="10"/>
  <c r="D2863" i="10"/>
  <c r="C2863" i="10"/>
  <c r="B2863" i="10"/>
  <c r="A2863" i="10"/>
  <c r="E2862" i="10"/>
  <c r="D2862" i="10"/>
  <c r="C2862" i="10"/>
  <c r="B2862" i="10"/>
  <c r="A2862" i="10"/>
  <c r="E2861" i="10"/>
  <c r="D2861" i="10"/>
  <c r="C2861" i="10"/>
  <c r="B2861" i="10"/>
  <c r="A2861" i="10"/>
  <c r="E2860" i="10"/>
  <c r="D2860" i="10"/>
  <c r="C2860" i="10"/>
  <c r="B2860" i="10"/>
  <c r="A2860" i="10"/>
  <c r="E2859" i="10"/>
  <c r="D2859" i="10"/>
  <c r="C2859" i="10"/>
  <c r="B2859" i="10"/>
  <c r="A2859" i="10"/>
  <c r="E2858" i="10"/>
  <c r="D2858" i="10"/>
  <c r="C2858" i="10"/>
  <c r="B2858" i="10"/>
  <c r="A2858" i="10"/>
  <c r="E2857" i="10"/>
  <c r="D2857" i="10"/>
  <c r="C2857" i="10"/>
  <c r="B2857" i="10"/>
  <c r="A2857" i="10"/>
  <c r="E2856" i="10"/>
  <c r="D2856" i="10"/>
  <c r="C2856" i="10"/>
  <c r="B2856" i="10"/>
  <c r="A2856" i="10"/>
  <c r="E2855" i="10"/>
  <c r="D2855" i="10"/>
  <c r="C2855" i="10"/>
  <c r="B2855" i="10"/>
  <c r="A2855" i="10"/>
  <c r="E2854" i="10"/>
  <c r="D2854" i="10"/>
  <c r="C2854" i="10"/>
  <c r="B2854" i="10"/>
  <c r="A2854" i="10"/>
  <c r="E2853" i="10"/>
  <c r="D2853" i="10"/>
  <c r="C2853" i="10"/>
  <c r="B2853" i="10"/>
  <c r="A2853" i="10"/>
  <c r="E2852" i="10"/>
  <c r="D2852" i="10"/>
  <c r="C2852" i="10"/>
  <c r="B2852" i="10"/>
  <c r="A2852" i="10"/>
  <c r="E2851" i="10"/>
  <c r="D2851" i="10"/>
  <c r="C2851" i="10"/>
  <c r="B2851" i="10"/>
  <c r="A2851" i="10"/>
  <c r="E2850" i="10"/>
  <c r="D2850" i="10"/>
  <c r="C2850" i="10"/>
  <c r="B2850" i="10"/>
  <c r="A2850" i="10"/>
  <c r="E2849" i="10"/>
  <c r="D2849" i="10"/>
  <c r="C2849" i="10"/>
  <c r="B2849" i="10"/>
  <c r="A2849" i="10"/>
  <c r="E2848" i="10"/>
  <c r="D2848" i="10"/>
  <c r="C2848" i="10"/>
  <c r="B2848" i="10"/>
  <c r="A2848" i="10"/>
  <c r="E2847" i="10"/>
  <c r="D2847" i="10"/>
  <c r="C2847" i="10"/>
  <c r="B2847" i="10"/>
  <c r="A2847" i="10"/>
  <c r="E2846" i="10"/>
  <c r="D2846" i="10"/>
  <c r="C2846" i="10"/>
  <c r="B2846" i="10"/>
  <c r="A2846" i="10"/>
  <c r="E2845" i="10"/>
  <c r="D2845" i="10"/>
  <c r="C2845" i="10"/>
  <c r="B2845" i="10"/>
  <c r="A2845" i="10"/>
  <c r="E2844" i="10"/>
  <c r="D2844" i="10"/>
  <c r="C2844" i="10"/>
  <c r="B2844" i="10"/>
  <c r="A2844" i="10"/>
  <c r="E2843" i="10"/>
  <c r="D2843" i="10"/>
  <c r="C2843" i="10"/>
  <c r="B2843" i="10"/>
  <c r="A2843" i="10"/>
  <c r="E2842" i="10"/>
  <c r="D2842" i="10"/>
  <c r="C2842" i="10"/>
  <c r="B2842" i="10"/>
  <c r="A2842" i="10"/>
  <c r="E2841" i="10"/>
  <c r="D2841" i="10"/>
  <c r="C2841" i="10"/>
  <c r="B2841" i="10"/>
  <c r="A2841" i="10"/>
  <c r="E2840" i="10"/>
  <c r="D2840" i="10"/>
  <c r="C2840" i="10"/>
  <c r="B2840" i="10"/>
  <c r="A2840" i="10"/>
  <c r="E2839" i="10"/>
  <c r="D2839" i="10"/>
  <c r="C2839" i="10"/>
  <c r="B2839" i="10"/>
  <c r="A2839" i="10"/>
  <c r="E2838" i="10"/>
  <c r="D2838" i="10"/>
  <c r="C2838" i="10"/>
  <c r="B2838" i="10"/>
  <c r="A2838" i="10"/>
  <c r="E2837" i="10"/>
  <c r="D2837" i="10"/>
  <c r="C2837" i="10"/>
  <c r="B2837" i="10"/>
  <c r="A2837" i="10"/>
  <c r="E2836" i="10"/>
  <c r="D2836" i="10"/>
  <c r="C2836" i="10"/>
  <c r="B2836" i="10"/>
  <c r="A2836" i="10"/>
  <c r="E2835" i="10"/>
  <c r="D2835" i="10"/>
  <c r="C2835" i="10"/>
  <c r="B2835" i="10"/>
  <c r="A2835" i="10"/>
  <c r="E2834" i="10"/>
  <c r="D2834" i="10"/>
  <c r="C2834" i="10"/>
  <c r="B2834" i="10"/>
  <c r="A2834" i="10"/>
  <c r="E2833" i="10"/>
  <c r="D2833" i="10"/>
  <c r="C2833" i="10"/>
  <c r="B2833" i="10"/>
  <c r="A2833" i="10"/>
  <c r="E2832" i="10"/>
  <c r="D2832" i="10"/>
  <c r="C2832" i="10"/>
  <c r="B2832" i="10"/>
  <c r="A2832" i="10"/>
  <c r="E2831" i="10"/>
  <c r="D2831" i="10"/>
  <c r="C2831" i="10"/>
  <c r="B2831" i="10"/>
  <c r="A2831" i="10"/>
  <c r="E2830" i="10"/>
  <c r="D2830" i="10"/>
  <c r="C2830" i="10"/>
  <c r="B2830" i="10"/>
  <c r="A2830" i="10"/>
  <c r="E2829" i="10"/>
  <c r="D2829" i="10"/>
  <c r="C2829" i="10"/>
  <c r="B2829" i="10"/>
  <c r="A2829" i="10"/>
  <c r="E2828" i="10"/>
  <c r="D2828" i="10"/>
  <c r="C2828" i="10"/>
  <c r="B2828" i="10"/>
  <c r="A2828" i="10"/>
  <c r="E2827" i="10"/>
  <c r="D2827" i="10"/>
  <c r="C2827" i="10"/>
  <c r="B2827" i="10"/>
  <c r="A2827" i="10"/>
  <c r="E2826" i="10"/>
  <c r="D2826" i="10"/>
  <c r="C2826" i="10"/>
  <c r="B2826" i="10"/>
  <c r="A2826" i="10"/>
  <c r="E2825" i="10"/>
  <c r="D2825" i="10"/>
  <c r="C2825" i="10"/>
  <c r="B2825" i="10"/>
  <c r="A2825" i="10"/>
  <c r="E2824" i="10"/>
  <c r="D2824" i="10"/>
  <c r="C2824" i="10"/>
  <c r="B2824" i="10"/>
  <c r="A2824" i="10"/>
  <c r="E2823" i="10"/>
  <c r="D2823" i="10"/>
  <c r="C2823" i="10"/>
  <c r="B2823" i="10"/>
  <c r="A2823" i="10"/>
  <c r="E2822" i="10"/>
  <c r="D2822" i="10"/>
  <c r="C2822" i="10"/>
  <c r="B2822" i="10"/>
  <c r="A2822" i="10"/>
  <c r="E2821" i="10"/>
  <c r="D2821" i="10"/>
  <c r="C2821" i="10"/>
  <c r="B2821" i="10"/>
  <c r="A2821" i="10"/>
  <c r="E2820" i="10"/>
  <c r="D2820" i="10"/>
  <c r="C2820" i="10"/>
  <c r="B2820" i="10"/>
  <c r="A2820" i="10"/>
  <c r="E2819" i="10"/>
  <c r="D2819" i="10"/>
  <c r="C2819" i="10"/>
  <c r="B2819" i="10"/>
  <c r="A2819" i="10"/>
  <c r="E2818" i="10"/>
  <c r="D2818" i="10"/>
  <c r="C2818" i="10"/>
  <c r="B2818" i="10"/>
  <c r="A2818" i="10"/>
  <c r="E2817" i="10"/>
  <c r="D2817" i="10"/>
  <c r="C2817" i="10"/>
  <c r="B2817" i="10"/>
  <c r="A2817" i="10"/>
  <c r="E2816" i="10"/>
  <c r="D2816" i="10"/>
  <c r="C2816" i="10"/>
  <c r="B2816" i="10"/>
  <c r="A2816" i="10"/>
  <c r="E2815" i="10"/>
  <c r="D2815" i="10"/>
  <c r="C2815" i="10"/>
  <c r="B2815" i="10"/>
  <c r="A2815" i="10"/>
  <c r="E2814" i="10"/>
  <c r="D2814" i="10"/>
  <c r="C2814" i="10"/>
  <c r="B2814" i="10"/>
  <c r="A2814" i="10"/>
  <c r="E2813" i="10"/>
  <c r="D2813" i="10"/>
  <c r="C2813" i="10"/>
  <c r="B2813" i="10"/>
  <c r="A2813" i="10"/>
  <c r="E2812" i="10"/>
  <c r="D2812" i="10"/>
  <c r="C2812" i="10"/>
  <c r="B2812" i="10"/>
  <c r="A2812" i="10"/>
  <c r="E2811" i="10"/>
  <c r="D2811" i="10"/>
  <c r="C2811" i="10"/>
  <c r="B2811" i="10"/>
  <c r="A2811" i="10"/>
  <c r="E2810" i="10"/>
  <c r="D2810" i="10"/>
  <c r="C2810" i="10"/>
  <c r="B2810" i="10"/>
  <c r="A2810" i="10"/>
  <c r="E2809" i="10"/>
  <c r="D2809" i="10"/>
  <c r="C2809" i="10"/>
  <c r="B2809" i="10"/>
  <c r="A2809" i="10"/>
  <c r="E2808" i="10"/>
  <c r="D2808" i="10"/>
  <c r="C2808" i="10"/>
  <c r="B2808" i="10"/>
  <c r="A2808" i="10"/>
  <c r="E2807" i="10"/>
  <c r="D2807" i="10"/>
  <c r="C2807" i="10"/>
  <c r="B2807" i="10"/>
  <c r="A2807" i="10"/>
  <c r="E2806" i="10"/>
  <c r="D2806" i="10"/>
  <c r="C2806" i="10"/>
  <c r="B2806" i="10"/>
  <c r="A2806" i="10"/>
  <c r="E2805" i="10"/>
  <c r="D2805" i="10"/>
  <c r="C2805" i="10"/>
  <c r="B2805" i="10"/>
  <c r="A2805" i="10"/>
  <c r="E2804" i="10"/>
  <c r="D2804" i="10"/>
  <c r="C2804" i="10"/>
  <c r="B2804" i="10"/>
  <c r="A2804" i="10"/>
  <c r="E2803" i="10"/>
  <c r="D2803" i="10"/>
  <c r="C2803" i="10"/>
  <c r="B2803" i="10"/>
  <c r="A2803" i="10"/>
  <c r="E2802" i="10"/>
  <c r="D2802" i="10"/>
  <c r="C2802" i="10"/>
  <c r="B2802" i="10"/>
  <c r="A2802" i="10"/>
  <c r="E2801" i="10"/>
  <c r="D2801" i="10"/>
  <c r="C2801" i="10"/>
  <c r="B2801" i="10"/>
  <c r="A2801" i="10"/>
  <c r="E2800" i="10"/>
  <c r="D2800" i="10"/>
  <c r="C2800" i="10"/>
  <c r="B2800" i="10"/>
  <c r="A2800" i="10"/>
  <c r="E2799" i="10"/>
  <c r="D2799" i="10"/>
  <c r="C2799" i="10"/>
  <c r="B2799" i="10"/>
  <c r="A2799" i="10"/>
  <c r="E2798" i="10"/>
  <c r="D2798" i="10"/>
  <c r="C2798" i="10"/>
  <c r="B2798" i="10"/>
  <c r="A2798" i="10"/>
  <c r="E2797" i="10"/>
  <c r="D2797" i="10"/>
  <c r="C2797" i="10"/>
  <c r="B2797" i="10"/>
  <c r="A2797" i="10"/>
  <c r="E2796" i="10"/>
  <c r="D2796" i="10"/>
  <c r="C2796" i="10"/>
  <c r="B2796" i="10"/>
  <c r="A2796" i="10"/>
  <c r="E2795" i="10"/>
  <c r="D2795" i="10"/>
  <c r="C2795" i="10"/>
  <c r="B2795" i="10"/>
  <c r="A2795" i="10"/>
  <c r="E2794" i="10"/>
  <c r="D2794" i="10"/>
  <c r="C2794" i="10"/>
  <c r="B2794" i="10"/>
  <c r="A2794" i="10"/>
  <c r="E2793" i="10"/>
  <c r="D2793" i="10"/>
  <c r="C2793" i="10"/>
  <c r="B2793" i="10"/>
  <c r="A2793" i="10"/>
  <c r="E2792" i="10"/>
  <c r="D2792" i="10"/>
  <c r="C2792" i="10"/>
  <c r="B2792" i="10"/>
  <c r="A2792" i="10"/>
  <c r="E2791" i="10"/>
  <c r="D2791" i="10"/>
  <c r="C2791" i="10"/>
  <c r="B2791" i="10"/>
  <c r="A2791" i="10"/>
  <c r="E2790" i="10"/>
  <c r="D2790" i="10"/>
  <c r="C2790" i="10"/>
  <c r="B2790" i="10"/>
  <c r="A2790" i="10"/>
  <c r="E2789" i="10"/>
  <c r="D2789" i="10"/>
  <c r="C2789" i="10"/>
  <c r="B2789" i="10"/>
  <c r="A2789" i="10"/>
  <c r="E2788" i="10"/>
  <c r="D2788" i="10"/>
  <c r="C2788" i="10"/>
  <c r="B2788" i="10"/>
  <c r="A2788" i="10"/>
  <c r="E2787" i="10"/>
  <c r="D2787" i="10"/>
  <c r="C2787" i="10"/>
  <c r="B2787" i="10"/>
  <c r="A2787" i="10"/>
  <c r="E2786" i="10"/>
  <c r="D2786" i="10"/>
  <c r="C2786" i="10"/>
  <c r="B2786" i="10"/>
  <c r="A2786" i="10"/>
  <c r="E2785" i="10"/>
  <c r="D2785" i="10"/>
  <c r="C2785" i="10"/>
  <c r="B2785" i="10"/>
  <c r="A2785" i="10"/>
  <c r="E2784" i="10"/>
  <c r="D2784" i="10"/>
  <c r="C2784" i="10"/>
  <c r="B2784" i="10"/>
  <c r="A2784" i="10"/>
  <c r="E2783" i="10"/>
  <c r="D2783" i="10"/>
  <c r="C2783" i="10"/>
  <c r="B2783" i="10"/>
  <c r="A2783" i="10"/>
  <c r="E2782" i="10"/>
  <c r="D2782" i="10"/>
  <c r="C2782" i="10"/>
  <c r="B2782" i="10"/>
  <c r="A2782" i="10"/>
  <c r="E2781" i="10"/>
  <c r="D2781" i="10"/>
  <c r="C2781" i="10"/>
  <c r="B2781" i="10"/>
  <c r="A2781" i="10"/>
  <c r="E2780" i="10"/>
  <c r="D2780" i="10"/>
  <c r="C2780" i="10"/>
  <c r="B2780" i="10"/>
  <c r="A2780" i="10"/>
  <c r="E2779" i="10"/>
  <c r="D2779" i="10"/>
  <c r="C2779" i="10"/>
  <c r="B2779" i="10"/>
  <c r="A2779" i="10"/>
  <c r="E2778" i="10"/>
  <c r="D2778" i="10"/>
  <c r="C2778" i="10"/>
  <c r="B2778" i="10"/>
  <c r="A2778" i="10"/>
  <c r="E2777" i="10"/>
  <c r="D2777" i="10"/>
  <c r="C2777" i="10"/>
  <c r="B2777" i="10"/>
  <c r="A2777" i="10"/>
  <c r="E2776" i="10"/>
  <c r="D2776" i="10"/>
  <c r="C2776" i="10"/>
  <c r="B2776" i="10"/>
  <c r="A2776" i="10"/>
  <c r="E2775" i="10"/>
  <c r="D2775" i="10"/>
  <c r="C2775" i="10"/>
  <c r="B2775" i="10"/>
  <c r="A2775" i="10"/>
  <c r="E2774" i="10"/>
  <c r="D2774" i="10"/>
  <c r="C2774" i="10"/>
  <c r="B2774" i="10"/>
  <c r="A2774" i="10"/>
  <c r="E2773" i="10"/>
  <c r="D2773" i="10"/>
  <c r="C2773" i="10"/>
  <c r="B2773" i="10"/>
  <c r="A2773" i="10"/>
  <c r="E2772" i="10"/>
  <c r="D2772" i="10"/>
  <c r="C2772" i="10"/>
  <c r="B2772" i="10"/>
  <c r="A2772" i="10"/>
  <c r="E2771" i="10"/>
  <c r="D2771" i="10"/>
  <c r="C2771" i="10"/>
  <c r="B2771" i="10"/>
  <c r="A2771" i="10"/>
  <c r="E2770" i="10"/>
  <c r="D2770" i="10"/>
  <c r="C2770" i="10"/>
  <c r="B2770" i="10"/>
  <c r="A2770" i="10"/>
  <c r="E2769" i="10"/>
  <c r="D2769" i="10"/>
  <c r="C2769" i="10"/>
  <c r="B2769" i="10"/>
  <c r="A2769" i="10"/>
  <c r="E2768" i="10"/>
  <c r="D2768" i="10"/>
  <c r="C2768" i="10"/>
  <c r="B2768" i="10"/>
  <c r="A2768" i="10"/>
  <c r="E2767" i="10"/>
  <c r="D2767" i="10"/>
  <c r="C2767" i="10"/>
  <c r="B2767" i="10"/>
  <c r="A2767" i="10"/>
  <c r="E2766" i="10"/>
  <c r="D2766" i="10"/>
  <c r="C2766" i="10"/>
  <c r="B2766" i="10"/>
  <c r="A2766" i="10"/>
  <c r="E2765" i="10"/>
  <c r="D2765" i="10"/>
  <c r="C2765" i="10"/>
  <c r="B2765" i="10"/>
  <c r="A2765" i="10"/>
  <c r="E2764" i="10"/>
  <c r="D2764" i="10"/>
  <c r="C2764" i="10"/>
  <c r="B2764" i="10"/>
  <c r="A2764" i="10"/>
  <c r="E2763" i="10"/>
  <c r="D2763" i="10"/>
  <c r="C2763" i="10"/>
  <c r="B2763" i="10"/>
  <c r="A2763" i="10"/>
  <c r="E2762" i="10"/>
  <c r="D2762" i="10"/>
  <c r="C2762" i="10"/>
  <c r="B2762" i="10"/>
  <c r="A2762" i="10"/>
  <c r="E2761" i="10"/>
  <c r="D2761" i="10"/>
  <c r="C2761" i="10"/>
  <c r="B2761" i="10"/>
  <c r="A2761" i="10"/>
  <c r="E2760" i="10"/>
  <c r="D2760" i="10"/>
  <c r="C2760" i="10"/>
  <c r="B2760" i="10"/>
  <c r="A2760" i="10"/>
  <c r="E2759" i="10"/>
  <c r="D2759" i="10"/>
  <c r="C2759" i="10"/>
  <c r="B2759" i="10"/>
  <c r="A2759" i="10"/>
  <c r="E2758" i="10"/>
  <c r="D2758" i="10"/>
  <c r="C2758" i="10"/>
  <c r="B2758" i="10"/>
  <c r="A2758" i="10"/>
  <c r="E2757" i="10"/>
  <c r="D2757" i="10"/>
  <c r="C2757" i="10"/>
  <c r="B2757" i="10"/>
  <c r="A2757" i="10"/>
  <c r="E2756" i="10"/>
  <c r="D2756" i="10"/>
  <c r="C2756" i="10"/>
  <c r="B2756" i="10"/>
  <c r="A2756" i="10"/>
  <c r="E2755" i="10"/>
  <c r="D2755" i="10"/>
  <c r="C2755" i="10"/>
  <c r="B2755" i="10"/>
  <c r="A2755" i="10"/>
  <c r="E2754" i="10"/>
  <c r="D2754" i="10"/>
  <c r="C2754" i="10"/>
  <c r="B2754" i="10"/>
  <c r="A2754" i="10"/>
  <c r="E2753" i="10"/>
  <c r="D2753" i="10"/>
  <c r="C2753" i="10"/>
  <c r="B2753" i="10"/>
  <c r="A2753" i="10"/>
  <c r="E2752" i="10"/>
  <c r="D2752" i="10"/>
  <c r="C2752" i="10"/>
  <c r="B2752" i="10"/>
  <c r="A2752" i="10"/>
  <c r="E2751" i="10"/>
  <c r="D2751" i="10"/>
  <c r="C2751" i="10"/>
  <c r="B2751" i="10"/>
  <c r="A2751" i="10"/>
  <c r="E2750" i="10"/>
  <c r="D2750" i="10"/>
  <c r="C2750" i="10"/>
  <c r="B2750" i="10"/>
  <c r="A2750" i="10"/>
  <c r="E2749" i="10"/>
  <c r="D2749" i="10"/>
  <c r="C2749" i="10"/>
  <c r="B2749" i="10"/>
  <c r="A2749" i="10"/>
  <c r="E2748" i="10"/>
  <c r="D2748" i="10"/>
  <c r="C2748" i="10"/>
  <c r="B2748" i="10"/>
  <c r="A2748" i="10"/>
  <c r="E2747" i="10"/>
  <c r="D2747" i="10"/>
  <c r="C2747" i="10"/>
  <c r="B2747" i="10"/>
  <c r="A2747" i="10"/>
  <c r="E2746" i="10"/>
  <c r="D2746" i="10"/>
  <c r="C2746" i="10"/>
  <c r="B2746" i="10"/>
  <c r="A2746" i="10"/>
  <c r="E2745" i="10"/>
  <c r="D2745" i="10"/>
  <c r="C2745" i="10"/>
  <c r="B2745" i="10"/>
  <c r="A2745" i="10"/>
  <c r="E2744" i="10"/>
  <c r="D2744" i="10"/>
  <c r="C2744" i="10"/>
  <c r="B2744" i="10"/>
  <c r="A2744" i="10"/>
  <c r="E2743" i="10"/>
  <c r="D2743" i="10"/>
  <c r="C2743" i="10"/>
  <c r="B2743" i="10"/>
  <c r="A2743" i="10"/>
  <c r="E2742" i="10"/>
  <c r="D2742" i="10"/>
  <c r="C2742" i="10"/>
  <c r="B2742" i="10"/>
  <c r="A2742" i="10"/>
  <c r="E2741" i="10"/>
  <c r="D2741" i="10"/>
  <c r="C2741" i="10"/>
  <c r="B2741" i="10"/>
  <c r="A2741" i="10"/>
  <c r="E2740" i="10"/>
  <c r="D2740" i="10"/>
  <c r="C2740" i="10"/>
  <c r="B2740" i="10"/>
  <c r="A2740" i="10"/>
  <c r="E2739" i="10"/>
  <c r="D2739" i="10"/>
  <c r="C2739" i="10"/>
  <c r="B2739" i="10"/>
  <c r="A2739" i="10"/>
  <c r="E2738" i="10"/>
  <c r="D2738" i="10"/>
  <c r="C2738" i="10"/>
  <c r="B2738" i="10"/>
  <c r="A2738" i="10"/>
  <c r="E2737" i="10"/>
  <c r="D2737" i="10"/>
  <c r="C2737" i="10"/>
  <c r="B2737" i="10"/>
  <c r="A2737" i="10"/>
  <c r="E2736" i="10"/>
  <c r="D2736" i="10"/>
  <c r="C2736" i="10"/>
  <c r="B2736" i="10"/>
  <c r="A2736" i="10"/>
  <c r="E2735" i="10"/>
  <c r="D2735" i="10"/>
  <c r="C2735" i="10"/>
  <c r="B2735" i="10"/>
  <c r="A2735" i="10"/>
  <c r="E2734" i="10"/>
  <c r="D2734" i="10"/>
  <c r="C2734" i="10"/>
  <c r="B2734" i="10"/>
  <c r="A2734" i="10"/>
  <c r="E2733" i="10"/>
  <c r="D2733" i="10"/>
  <c r="C2733" i="10"/>
  <c r="B2733" i="10"/>
  <c r="A2733" i="10"/>
  <c r="E2732" i="10"/>
  <c r="D2732" i="10"/>
  <c r="C2732" i="10"/>
  <c r="B2732" i="10"/>
  <c r="A2732" i="10"/>
  <c r="E2731" i="10"/>
  <c r="D2731" i="10"/>
  <c r="C2731" i="10"/>
  <c r="B2731" i="10"/>
  <c r="A2731" i="10"/>
  <c r="E2730" i="10"/>
  <c r="D2730" i="10"/>
  <c r="C2730" i="10"/>
  <c r="B2730" i="10"/>
  <c r="A2730" i="10"/>
  <c r="E2729" i="10"/>
  <c r="D2729" i="10"/>
  <c r="C2729" i="10"/>
  <c r="B2729" i="10"/>
  <c r="A2729" i="10"/>
  <c r="E2728" i="10"/>
  <c r="D2728" i="10"/>
  <c r="C2728" i="10"/>
  <c r="B2728" i="10"/>
  <c r="A2728" i="10"/>
  <c r="E2727" i="10"/>
  <c r="D2727" i="10"/>
  <c r="C2727" i="10"/>
  <c r="B2727" i="10"/>
  <c r="A2727" i="10"/>
  <c r="E2726" i="10"/>
  <c r="D2726" i="10"/>
  <c r="C2726" i="10"/>
  <c r="B2726" i="10"/>
  <c r="A2726" i="10"/>
  <c r="E2725" i="10"/>
  <c r="D2725" i="10"/>
  <c r="C2725" i="10"/>
  <c r="B2725" i="10"/>
  <c r="A2725" i="10"/>
  <c r="E2724" i="10"/>
  <c r="D2724" i="10"/>
  <c r="C2724" i="10"/>
  <c r="B2724" i="10"/>
  <c r="A2724" i="10"/>
  <c r="E2723" i="10"/>
  <c r="D2723" i="10"/>
  <c r="C2723" i="10"/>
  <c r="B2723" i="10"/>
  <c r="A2723" i="10"/>
  <c r="E2722" i="10"/>
  <c r="D2722" i="10"/>
  <c r="C2722" i="10"/>
  <c r="B2722" i="10"/>
  <c r="A2722" i="10"/>
  <c r="E2721" i="10"/>
  <c r="D2721" i="10"/>
  <c r="C2721" i="10"/>
  <c r="B2721" i="10"/>
  <c r="A2721" i="10"/>
  <c r="E2720" i="10"/>
  <c r="D2720" i="10"/>
  <c r="C2720" i="10"/>
  <c r="B2720" i="10"/>
  <c r="A2720" i="10"/>
  <c r="E2719" i="10"/>
  <c r="D2719" i="10"/>
  <c r="C2719" i="10"/>
  <c r="B2719" i="10"/>
  <c r="A2719" i="10"/>
  <c r="E2718" i="10"/>
  <c r="D2718" i="10"/>
  <c r="C2718" i="10"/>
  <c r="B2718" i="10"/>
  <c r="A2718" i="10"/>
  <c r="E2717" i="10"/>
  <c r="D2717" i="10"/>
  <c r="C2717" i="10"/>
  <c r="B2717" i="10"/>
  <c r="A2717" i="10"/>
  <c r="E2716" i="10"/>
  <c r="D2716" i="10"/>
  <c r="C2716" i="10"/>
  <c r="B2716" i="10"/>
  <c r="A2716" i="10"/>
  <c r="E2715" i="10"/>
  <c r="D2715" i="10"/>
  <c r="C2715" i="10"/>
  <c r="B2715" i="10"/>
  <c r="A2715" i="10"/>
  <c r="E2714" i="10"/>
  <c r="D2714" i="10"/>
  <c r="C2714" i="10"/>
  <c r="B2714" i="10"/>
  <c r="A2714" i="10"/>
  <c r="E2713" i="10"/>
  <c r="D2713" i="10"/>
  <c r="C2713" i="10"/>
  <c r="B2713" i="10"/>
  <c r="A2713" i="10"/>
  <c r="E2712" i="10"/>
  <c r="D2712" i="10"/>
  <c r="C2712" i="10"/>
  <c r="B2712" i="10"/>
  <c r="A2712" i="10"/>
  <c r="E2711" i="10"/>
  <c r="D2711" i="10"/>
  <c r="C2711" i="10"/>
  <c r="B2711" i="10"/>
  <c r="A2711" i="10"/>
  <c r="E2710" i="10"/>
  <c r="D2710" i="10"/>
  <c r="C2710" i="10"/>
  <c r="B2710" i="10"/>
  <c r="A2710" i="10"/>
  <c r="E2709" i="10"/>
  <c r="D2709" i="10"/>
  <c r="C2709" i="10"/>
  <c r="B2709" i="10"/>
  <c r="A2709" i="10"/>
  <c r="E2708" i="10"/>
  <c r="D2708" i="10"/>
  <c r="C2708" i="10"/>
  <c r="B2708" i="10"/>
  <c r="A2708" i="10"/>
  <c r="E2707" i="10"/>
  <c r="D2707" i="10"/>
  <c r="C2707" i="10"/>
  <c r="B2707" i="10"/>
  <c r="A2707" i="10"/>
  <c r="E2706" i="10"/>
  <c r="D2706" i="10"/>
  <c r="C2706" i="10"/>
  <c r="B2706" i="10"/>
  <c r="A2706" i="10"/>
  <c r="E2705" i="10"/>
  <c r="D2705" i="10"/>
  <c r="C2705" i="10"/>
  <c r="B2705" i="10"/>
  <c r="A2705" i="10"/>
  <c r="E2704" i="10"/>
  <c r="D2704" i="10"/>
  <c r="C2704" i="10"/>
  <c r="B2704" i="10"/>
  <c r="A2704" i="10"/>
  <c r="E2703" i="10"/>
  <c r="D2703" i="10"/>
  <c r="C2703" i="10"/>
  <c r="B2703" i="10"/>
  <c r="A2703" i="10"/>
  <c r="E2702" i="10"/>
  <c r="D2702" i="10"/>
  <c r="C2702" i="10"/>
  <c r="B2702" i="10"/>
  <c r="A2702" i="10"/>
  <c r="E2701" i="10"/>
  <c r="D2701" i="10"/>
  <c r="C2701" i="10"/>
  <c r="B2701" i="10"/>
  <c r="A2701" i="10"/>
  <c r="E2700" i="10"/>
  <c r="D2700" i="10"/>
  <c r="C2700" i="10"/>
  <c r="B2700" i="10"/>
  <c r="A2700" i="10"/>
  <c r="E2699" i="10"/>
  <c r="D2699" i="10"/>
  <c r="C2699" i="10"/>
  <c r="B2699" i="10"/>
  <c r="A2699" i="10"/>
  <c r="E2698" i="10"/>
  <c r="D2698" i="10"/>
  <c r="C2698" i="10"/>
  <c r="B2698" i="10"/>
  <c r="A2698" i="10"/>
  <c r="E2697" i="10"/>
  <c r="D2697" i="10"/>
  <c r="C2697" i="10"/>
  <c r="B2697" i="10"/>
  <c r="A2697" i="10"/>
  <c r="E2696" i="10"/>
  <c r="D2696" i="10"/>
  <c r="C2696" i="10"/>
  <c r="B2696" i="10"/>
  <c r="A2696" i="10"/>
  <c r="E2695" i="10"/>
  <c r="D2695" i="10"/>
  <c r="C2695" i="10"/>
  <c r="B2695" i="10"/>
  <c r="A2695" i="10"/>
  <c r="E2694" i="10"/>
  <c r="D2694" i="10"/>
  <c r="C2694" i="10"/>
  <c r="B2694" i="10"/>
  <c r="A2694" i="10"/>
  <c r="E2693" i="10"/>
  <c r="D2693" i="10"/>
  <c r="C2693" i="10"/>
  <c r="B2693" i="10"/>
  <c r="A2693" i="10"/>
  <c r="E2692" i="10"/>
  <c r="D2692" i="10"/>
  <c r="C2692" i="10"/>
  <c r="B2692" i="10"/>
  <c r="A2692" i="10"/>
  <c r="E2691" i="10"/>
  <c r="D2691" i="10"/>
  <c r="C2691" i="10"/>
  <c r="B2691" i="10"/>
  <c r="A2691" i="10"/>
  <c r="E2690" i="10"/>
  <c r="D2690" i="10"/>
  <c r="C2690" i="10"/>
  <c r="B2690" i="10"/>
  <c r="A2690" i="10"/>
  <c r="E2689" i="10"/>
  <c r="D2689" i="10"/>
  <c r="C2689" i="10"/>
  <c r="B2689" i="10"/>
  <c r="A2689" i="10"/>
  <c r="E2688" i="10"/>
  <c r="D2688" i="10"/>
  <c r="C2688" i="10"/>
  <c r="B2688" i="10"/>
  <c r="A2688" i="10"/>
  <c r="E2687" i="10"/>
  <c r="D2687" i="10"/>
  <c r="C2687" i="10"/>
  <c r="B2687" i="10"/>
  <c r="A2687" i="10"/>
  <c r="E2686" i="10"/>
  <c r="D2686" i="10"/>
  <c r="C2686" i="10"/>
  <c r="B2686" i="10"/>
  <c r="A2686" i="10"/>
  <c r="E2685" i="10"/>
  <c r="D2685" i="10"/>
  <c r="C2685" i="10"/>
  <c r="B2685" i="10"/>
  <c r="A2685" i="10"/>
  <c r="E2684" i="10"/>
  <c r="D2684" i="10"/>
  <c r="C2684" i="10"/>
  <c r="B2684" i="10"/>
  <c r="A2684" i="10"/>
  <c r="E2683" i="10"/>
  <c r="D2683" i="10"/>
  <c r="C2683" i="10"/>
  <c r="B2683" i="10"/>
  <c r="A2683" i="10"/>
  <c r="E2682" i="10"/>
  <c r="D2682" i="10"/>
  <c r="C2682" i="10"/>
  <c r="B2682" i="10"/>
  <c r="A2682" i="10"/>
  <c r="E2681" i="10"/>
  <c r="D2681" i="10"/>
  <c r="C2681" i="10"/>
  <c r="B2681" i="10"/>
  <c r="A2681" i="10"/>
  <c r="E2680" i="10"/>
  <c r="D2680" i="10"/>
  <c r="C2680" i="10"/>
  <c r="B2680" i="10"/>
  <c r="A2680" i="10"/>
  <c r="E2679" i="10"/>
  <c r="D2679" i="10"/>
  <c r="C2679" i="10"/>
  <c r="B2679" i="10"/>
  <c r="A2679" i="10"/>
  <c r="E2678" i="10"/>
  <c r="D2678" i="10"/>
  <c r="C2678" i="10"/>
  <c r="B2678" i="10"/>
  <c r="A2678" i="10"/>
  <c r="E2677" i="10"/>
  <c r="D2677" i="10"/>
  <c r="C2677" i="10"/>
  <c r="B2677" i="10"/>
  <c r="A2677" i="10"/>
  <c r="E2676" i="10"/>
  <c r="D2676" i="10"/>
  <c r="C2676" i="10"/>
  <c r="B2676" i="10"/>
  <c r="A2676" i="10"/>
  <c r="E2675" i="10"/>
  <c r="D2675" i="10"/>
  <c r="C2675" i="10"/>
  <c r="B2675" i="10"/>
  <c r="A2675" i="10"/>
  <c r="E2674" i="10"/>
  <c r="D2674" i="10"/>
  <c r="C2674" i="10"/>
  <c r="B2674" i="10"/>
  <c r="A2674" i="10"/>
  <c r="E2673" i="10"/>
  <c r="D2673" i="10"/>
  <c r="C2673" i="10"/>
  <c r="B2673" i="10"/>
  <c r="A2673" i="10"/>
  <c r="E2672" i="10"/>
  <c r="D2672" i="10"/>
  <c r="C2672" i="10"/>
  <c r="B2672" i="10"/>
  <c r="A2672" i="10"/>
  <c r="E2671" i="10"/>
  <c r="D2671" i="10"/>
  <c r="C2671" i="10"/>
  <c r="B2671" i="10"/>
  <c r="A2671" i="10"/>
  <c r="E2670" i="10"/>
  <c r="D2670" i="10"/>
  <c r="C2670" i="10"/>
  <c r="B2670" i="10"/>
  <c r="A2670" i="10"/>
  <c r="E2669" i="10"/>
  <c r="D2669" i="10"/>
  <c r="C2669" i="10"/>
  <c r="B2669" i="10"/>
  <c r="A2669" i="10"/>
  <c r="E2668" i="10"/>
  <c r="D2668" i="10"/>
  <c r="C2668" i="10"/>
  <c r="B2668" i="10"/>
  <c r="A2668" i="10"/>
  <c r="E2667" i="10"/>
  <c r="D2667" i="10"/>
  <c r="C2667" i="10"/>
  <c r="B2667" i="10"/>
  <c r="A2667" i="10"/>
  <c r="E2666" i="10"/>
  <c r="D2666" i="10"/>
  <c r="C2666" i="10"/>
  <c r="B2666" i="10"/>
  <c r="A2666" i="10"/>
  <c r="E2665" i="10"/>
  <c r="D2665" i="10"/>
  <c r="C2665" i="10"/>
  <c r="B2665" i="10"/>
  <c r="A2665" i="10"/>
  <c r="E2664" i="10"/>
  <c r="D2664" i="10"/>
  <c r="C2664" i="10"/>
  <c r="B2664" i="10"/>
  <c r="A2664" i="10"/>
  <c r="E2663" i="10"/>
  <c r="D2663" i="10"/>
  <c r="C2663" i="10"/>
  <c r="B2663" i="10"/>
  <c r="A2663" i="10"/>
  <c r="E2662" i="10"/>
  <c r="D2662" i="10"/>
  <c r="C2662" i="10"/>
  <c r="B2662" i="10"/>
  <c r="A2662" i="10"/>
  <c r="E2661" i="10"/>
  <c r="D2661" i="10"/>
  <c r="C2661" i="10"/>
  <c r="B2661" i="10"/>
  <c r="A2661" i="10"/>
  <c r="E2660" i="10"/>
  <c r="D2660" i="10"/>
  <c r="C2660" i="10"/>
  <c r="B2660" i="10"/>
  <c r="A2660" i="10"/>
  <c r="E2659" i="10"/>
  <c r="D2659" i="10"/>
  <c r="C2659" i="10"/>
  <c r="B2659" i="10"/>
  <c r="A2659" i="10"/>
  <c r="E2658" i="10"/>
  <c r="D2658" i="10"/>
  <c r="C2658" i="10"/>
  <c r="B2658" i="10"/>
  <c r="A2658" i="10"/>
  <c r="E2657" i="10"/>
  <c r="D2657" i="10"/>
  <c r="C2657" i="10"/>
  <c r="B2657" i="10"/>
  <c r="A2657" i="10"/>
  <c r="E2656" i="10"/>
  <c r="D2656" i="10"/>
  <c r="C2656" i="10"/>
  <c r="B2656" i="10"/>
  <c r="A2656" i="10"/>
  <c r="E2655" i="10"/>
  <c r="D2655" i="10"/>
  <c r="C2655" i="10"/>
  <c r="B2655" i="10"/>
  <c r="A2655" i="10"/>
  <c r="E2654" i="10"/>
  <c r="D2654" i="10"/>
  <c r="C2654" i="10"/>
  <c r="B2654" i="10"/>
  <c r="A2654" i="10"/>
  <c r="E2653" i="10"/>
  <c r="D2653" i="10"/>
  <c r="C2653" i="10"/>
  <c r="B2653" i="10"/>
  <c r="A2653" i="10"/>
  <c r="E2652" i="10"/>
  <c r="D2652" i="10"/>
  <c r="C2652" i="10"/>
  <c r="B2652" i="10"/>
  <c r="A2652" i="10"/>
  <c r="E2651" i="10"/>
  <c r="D2651" i="10"/>
  <c r="C2651" i="10"/>
  <c r="B2651" i="10"/>
  <c r="A2651" i="10"/>
  <c r="E2650" i="10"/>
  <c r="D2650" i="10"/>
  <c r="C2650" i="10"/>
  <c r="B2650" i="10"/>
  <c r="A2650" i="10"/>
  <c r="E2649" i="10"/>
  <c r="D2649" i="10"/>
  <c r="C2649" i="10"/>
  <c r="B2649" i="10"/>
  <c r="A2649" i="10"/>
  <c r="E2648" i="10"/>
  <c r="D2648" i="10"/>
  <c r="C2648" i="10"/>
  <c r="B2648" i="10"/>
  <c r="A2648" i="10"/>
  <c r="E2647" i="10"/>
  <c r="D2647" i="10"/>
  <c r="C2647" i="10"/>
  <c r="B2647" i="10"/>
  <c r="A2647" i="10"/>
  <c r="E2646" i="10"/>
  <c r="D2646" i="10"/>
  <c r="C2646" i="10"/>
  <c r="B2646" i="10"/>
  <c r="A2646" i="10"/>
  <c r="E2645" i="10"/>
  <c r="D2645" i="10"/>
  <c r="C2645" i="10"/>
  <c r="B2645" i="10"/>
  <c r="A2645" i="10"/>
  <c r="E2644" i="10"/>
  <c r="D2644" i="10"/>
  <c r="C2644" i="10"/>
  <c r="B2644" i="10"/>
  <c r="A2644" i="10"/>
  <c r="E2643" i="10"/>
  <c r="D2643" i="10"/>
  <c r="C2643" i="10"/>
  <c r="B2643" i="10"/>
  <c r="A2643" i="10"/>
  <c r="E2642" i="10"/>
  <c r="D2642" i="10"/>
  <c r="C2642" i="10"/>
  <c r="B2642" i="10"/>
  <c r="A2642" i="10"/>
  <c r="E2641" i="10"/>
  <c r="D2641" i="10"/>
  <c r="C2641" i="10"/>
  <c r="B2641" i="10"/>
  <c r="A2641" i="10"/>
  <c r="E2640" i="10"/>
  <c r="D2640" i="10"/>
  <c r="C2640" i="10"/>
  <c r="B2640" i="10"/>
  <c r="A2640" i="10"/>
  <c r="E2639" i="10"/>
  <c r="D2639" i="10"/>
  <c r="C2639" i="10"/>
  <c r="B2639" i="10"/>
  <c r="A2639" i="10"/>
  <c r="E2638" i="10"/>
  <c r="D2638" i="10"/>
  <c r="C2638" i="10"/>
  <c r="B2638" i="10"/>
  <c r="A2638" i="10"/>
  <c r="E2637" i="10"/>
  <c r="D2637" i="10"/>
  <c r="C2637" i="10"/>
  <c r="B2637" i="10"/>
  <c r="A2637" i="10"/>
  <c r="E2636" i="10"/>
  <c r="D2636" i="10"/>
  <c r="C2636" i="10"/>
  <c r="B2636" i="10"/>
  <c r="A2636" i="10"/>
  <c r="E2635" i="10"/>
  <c r="D2635" i="10"/>
  <c r="C2635" i="10"/>
  <c r="B2635" i="10"/>
  <c r="A2635" i="10"/>
  <c r="E2634" i="10"/>
  <c r="D2634" i="10"/>
  <c r="C2634" i="10"/>
  <c r="B2634" i="10"/>
  <c r="A2634" i="10"/>
  <c r="E2633" i="10"/>
  <c r="D2633" i="10"/>
  <c r="C2633" i="10"/>
  <c r="B2633" i="10"/>
  <c r="A2633" i="10"/>
  <c r="E2632" i="10"/>
  <c r="D2632" i="10"/>
  <c r="C2632" i="10"/>
  <c r="B2632" i="10"/>
  <c r="A2632" i="10"/>
  <c r="E2631" i="10"/>
  <c r="D2631" i="10"/>
  <c r="C2631" i="10"/>
  <c r="B2631" i="10"/>
  <c r="A2631" i="10"/>
  <c r="E2630" i="10"/>
  <c r="D2630" i="10"/>
  <c r="C2630" i="10"/>
  <c r="B2630" i="10"/>
  <c r="A2630" i="10"/>
  <c r="E2629" i="10"/>
  <c r="D2629" i="10"/>
  <c r="C2629" i="10"/>
  <c r="B2629" i="10"/>
  <c r="A2629" i="10"/>
  <c r="E2628" i="10"/>
  <c r="D2628" i="10"/>
  <c r="C2628" i="10"/>
  <c r="B2628" i="10"/>
  <c r="A2628" i="10"/>
  <c r="E2627" i="10"/>
  <c r="D2627" i="10"/>
  <c r="C2627" i="10"/>
  <c r="B2627" i="10"/>
  <c r="A2627" i="10"/>
  <c r="E2626" i="10"/>
  <c r="D2626" i="10"/>
  <c r="C2626" i="10"/>
  <c r="B2626" i="10"/>
  <c r="A2626" i="10"/>
  <c r="E2625" i="10"/>
  <c r="D2625" i="10"/>
  <c r="C2625" i="10"/>
  <c r="B2625" i="10"/>
  <c r="A2625" i="10"/>
  <c r="E2624" i="10"/>
  <c r="D2624" i="10"/>
  <c r="C2624" i="10"/>
  <c r="B2624" i="10"/>
  <c r="A2624" i="10"/>
  <c r="E2623" i="10"/>
  <c r="D2623" i="10"/>
  <c r="C2623" i="10"/>
  <c r="B2623" i="10"/>
  <c r="A2623" i="10"/>
  <c r="E2622" i="10"/>
  <c r="D2622" i="10"/>
  <c r="C2622" i="10"/>
  <c r="B2622" i="10"/>
  <c r="A2622" i="10"/>
  <c r="E2621" i="10"/>
  <c r="D2621" i="10"/>
  <c r="C2621" i="10"/>
  <c r="B2621" i="10"/>
  <c r="A2621" i="10"/>
  <c r="E2620" i="10"/>
  <c r="D2620" i="10"/>
  <c r="C2620" i="10"/>
  <c r="B2620" i="10"/>
  <c r="A2620" i="10"/>
  <c r="E2619" i="10"/>
  <c r="D2619" i="10"/>
  <c r="C2619" i="10"/>
  <c r="B2619" i="10"/>
  <c r="A2619" i="10"/>
  <c r="E2618" i="10"/>
  <c r="D2618" i="10"/>
  <c r="C2618" i="10"/>
  <c r="B2618" i="10"/>
  <c r="A2618" i="10"/>
  <c r="E2617" i="10"/>
  <c r="D2617" i="10"/>
  <c r="C2617" i="10"/>
  <c r="B2617" i="10"/>
  <c r="A2617" i="10"/>
  <c r="E2616" i="10"/>
  <c r="D2616" i="10"/>
  <c r="C2616" i="10"/>
  <c r="B2616" i="10"/>
  <c r="A2616" i="10"/>
  <c r="E2615" i="10"/>
  <c r="D2615" i="10"/>
  <c r="C2615" i="10"/>
  <c r="B2615" i="10"/>
  <c r="A2615" i="10"/>
  <c r="E2614" i="10"/>
  <c r="D2614" i="10"/>
  <c r="C2614" i="10"/>
  <c r="B2614" i="10"/>
  <c r="A2614" i="10"/>
  <c r="E2613" i="10"/>
  <c r="D2613" i="10"/>
  <c r="C2613" i="10"/>
  <c r="B2613" i="10"/>
  <c r="A2613" i="10"/>
  <c r="E2612" i="10"/>
  <c r="D2612" i="10"/>
  <c r="C2612" i="10"/>
  <c r="B2612" i="10"/>
  <c r="A2612" i="10"/>
  <c r="E2611" i="10"/>
  <c r="D2611" i="10"/>
  <c r="C2611" i="10"/>
  <c r="B2611" i="10"/>
  <c r="A2611" i="10"/>
  <c r="E2610" i="10"/>
  <c r="D2610" i="10"/>
  <c r="C2610" i="10"/>
  <c r="B2610" i="10"/>
  <c r="A2610" i="10"/>
  <c r="E2609" i="10"/>
  <c r="D2609" i="10"/>
  <c r="C2609" i="10"/>
  <c r="B2609" i="10"/>
  <c r="A2609" i="10"/>
  <c r="E2608" i="10"/>
  <c r="D2608" i="10"/>
  <c r="C2608" i="10"/>
  <c r="B2608" i="10"/>
  <c r="A2608" i="10"/>
  <c r="E2607" i="10"/>
  <c r="D2607" i="10"/>
  <c r="C2607" i="10"/>
  <c r="B2607" i="10"/>
  <c r="A2607" i="10"/>
  <c r="E2606" i="10"/>
  <c r="D2606" i="10"/>
  <c r="C2606" i="10"/>
  <c r="B2606" i="10"/>
  <c r="A2606" i="10"/>
  <c r="E2605" i="10"/>
  <c r="D2605" i="10"/>
  <c r="C2605" i="10"/>
  <c r="B2605" i="10"/>
  <c r="A2605" i="10"/>
  <c r="E2604" i="10"/>
  <c r="D2604" i="10"/>
  <c r="C2604" i="10"/>
  <c r="B2604" i="10"/>
  <c r="A2604" i="10"/>
  <c r="E2603" i="10"/>
  <c r="D2603" i="10"/>
  <c r="C2603" i="10"/>
  <c r="B2603" i="10"/>
  <c r="A2603" i="10"/>
  <c r="E2602" i="10"/>
  <c r="D2602" i="10"/>
  <c r="C2602" i="10"/>
  <c r="B2602" i="10"/>
  <c r="A2602" i="10"/>
  <c r="E2601" i="10"/>
  <c r="D2601" i="10"/>
  <c r="C2601" i="10"/>
  <c r="B2601" i="10"/>
  <c r="A2601" i="10"/>
  <c r="E2600" i="10"/>
  <c r="D2600" i="10"/>
  <c r="C2600" i="10"/>
  <c r="B2600" i="10"/>
  <c r="A2600" i="10"/>
  <c r="E2599" i="10"/>
  <c r="D2599" i="10"/>
  <c r="C2599" i="10"/>
  <c r="B2599" i="10"/>
  <c r="A2599" i="10"/>
  <c r="E2598" i="10"/>
  <c r="D2598" i="10"/>
  <c r="C2598" i="10"/>
  <c r="B2598" i="10"/>
  <c r="A2598" i="10"/>
  <c r="E2597" i="10"/>
  <c r="D2597" i="10"/>
  <c r="C2597" i="10"/>
  <c r="B2597" i="10"/>
  <c r="A2597" i="10"/>
  <c r="E2596" i="10"/>
  <c r="D2596" i="10"/>
  <c r="C2596" i="10"/>
  <c r="B2596" i="10"/>
  <c r="A2596" i="10"/>
  <c r="E2595" i="10"/>
  <c r="D2595" i="10"/>
  <c r="C2595" i="10"/>
  <c r="B2595" i="10"/>
  <c r="A2595" i="10"/>
  <c r="E2594" i="10"/>
  <c r="D2594" i="10"/>
  <c r="C2594" i="10"/>
  <c r="B2594" i="10"/>
  <c r="A2594" i="10"/>
  <c r="E2593" i="10"/>
  <c r="D2593" i="10"/>
  <c r="C2593" i="10"/>
  <c r="B2593" i="10"/>
  <c r="A2593" i="10"/>
  <c r="E2592" i="10"/>
  <c r="D2592" i="10"/>
  <c r="C2592" i="10"/>
  <c r="B2592" i="10"/>
  <c r="A2592" i="10"/>
  <c r="E2591" i="10"/>
  <c r="D2591" i="10"/>
  <c r="C2591" i="10"/>
  <c r="B2591" i="10"/>
  <c r="A2591" i="10"/>
  <c r="E2590" i="10"/>
  <c r="D2590" i="10"/>
  <c r="C2590" i="10"/>
  <c r="B2590" i="10"/>
  <c r="A2590" i="10"/>
  <c r="E2589" i="10"/>
  <c r="D2589" i="10"/>
  <c r="C2589" i="10"/>
  <c r="B2589" i="10"/>
  <c r="A2589" i="10"/>
  <c r="E2588" i="10"/>
  <c r="D2588" i="10"/>
  <c r="C2588" i="10"/>
  <c r="B2588" i="10"/>
  <c r="A2588" i="10"/>
  <c r="E2587" i="10"/>
  <c r="D2587" i="10"/>
  <c r="C2587" i="10"/>
  <c r="B2587" i="10"/>
  <c r="A2587" i="10"/>
  <c r="E2586" i="10"/>
  <c r="D2586" i="10"/>
  <c r="C2586" i="10"/>
  <c r="B2586" i="10"/>
  <c r="A2586" i="10"/>
  <c r="E2585" i="10"/>
  <c r="D2585" i="10"/>
  <c r="C2585" i="10"/>
  <c r="B2585" i="10"/>
  <c r="A2585" i="10"/>
  <c r="E2584" i="10"/>
  <c r="D2584" i="10"/>
  <c r="C2584" i="10"/>
  <c r="B2584" i="10"/>
  <c r="A2584" i="10"/>
  <c r="E2583" i="10"/>
  <c r="D2583" i="10"/>
  <c r="C2583" i="10"/>
  <c r="B2583" i="10"/>
  <c r="A2583" i="10"/>
  <c r="E2582" i="10"/>
  <c r="D2582" i="10"/>
  <c r="C2582" i="10"/>
  <c r="B2582" i="10"/>
  <c r="A2582" i="10"/>
  <c r="E2581" i="10"/>
  <c r="D2581" i="10"/>
  <c r="C2581" i="10"/>
  <c r="B2581" i="10"/>
  <c r="A2581" i="10"/>
  <c r="E2580" i="10"/>
  <c r="D2580" i="10"/>
  <c r="C2580" i="10"/>
  <c r="B2580" i="10"/>
  <c r="A2580" i="10"/>
  <c r="E2579" i="10"/>
  <c r="D2579" i="10"/>
  <c r="C2579" i="10"/>
  <c r="B2579" i="10"/>
  <c r="A2579" i="10"/>
  <c r="E2578" i="10"/>
  <c r="D2578" i="10"/>
  <c r="C2578" i="10"/>
  <c r="B2578" i="10"/>
  <c r="A2578" i="10"/>
  <c r="E2577" i="10"/>
  <c r="D2577" i="10"/>
  <c r="C2577" i="10"/>
  <c r="B2577" i="10"/>
  <c r="A2577" i="10"/>
  <c r="E2576" i="10"/>
  <c r="D2576" i="10"/>
  <c r="C2576" i="10"/>
  <c r="B2576" i="10"/>
  <c r="A2576" i="10"/>
  <c r="E2575" i="10"/>
  <c r="D2575" i="10"/>
  <c r="C2575" i="10"/>
  <c r="B2575" i="10"/>
  <c r="A2575" i="10"/>
  <c r="E2574" i="10"/>
  <c r="D2574" i="10"/>
  <c r="C2574" i="10"/>
  <c r="B2574" i="10"/>
  <c r="A2574" i="10"/>
  <c r="E2573" i="10"/>
  <c r="D2573" i="10"/>
  <c r="C2573" i="10"/>
  <c r="B2573" i="10"/>
  <c r="A2573" i="10"/>
  <c r="E2572" i="10"/>
  <c r="D2572" i="10"/>
  <c r="C2572" i="10"/>
  <c r="B2572" i="10"/>
  <c r="A2572" i="10"/>
  <c r="E2571" i="10"/>
  <c r="D2571" i="10"/>
  <c r="C2571" i="10"/>
  <c r="B2571" i="10"/>
  <c r="A2571" i="10"/>
  <c r="E2570" i="10"/>
  <c r="D2570" i="10"/>
  <c r="C2570" i="10"/>
  <c r="B2570" i="10"/>
  <c r="A2570" i="10"/>
  <c r="E2569" i="10"/>
  <c r="D2569" i="10"/>
  <c r="C2569" i="10"/>
  <c r="B2569" i="10"/>
  <c r="A2569" i="10"/>
  <c r="E2568" i="10"/>
  <c r="D2568" i="10"/>
  <c r="C2568" i="10"/>
  <c r="B2568" i="10"/>
  <c r="A2568" i="10"/>
  <c r="E2567" i="10"/>
  <c r="D2567" i="10"/>
  <c r="C2567" i="10"/>
  <c r="B2567" i="10"/>
  <c r="A2567" i="10"/>
  <c r="E2566" i="10"/>
  <c r="D2566" i="10"/>
  <c r="C2566" i="10"/>
  <c r="B2566" i="10"/>
  <c r="A2566" i="10"/>
  <c r="E2565" i="10"/>
  <c r="D2565" i="10"/>
  <c r="C2565" i="10"/>
  <c r="B2565" i="10"/>
  <c r="A2565" i="10"/>
  <c r="E2564" i="10"/>
  <c r="D2564" i="10"/>
  <c r="C2564" i="10"/>
  <c r="B2564" i="10"/>
  <c r="A2564" i="10"/>
  <c r="E2563" i="10"/>
  <c r="D2563" i="10"/>
  <c r="C2563" i="10"/>
  <c r="B2563" i="10"/>
  <c r="A2563" i="10"/>
  <c r="E2562" i="10"/>
  <c r="D2562" i="10"/>
  <c r="C2562" i="10"/>
  <c r="B2562" i="10"/>
  <c r="A2562" i="10"/>
  <c r="E2561" i="10"/>
  <c r="D2561" i="10"/>
  <c r="C2561" i="10"/>
  <c r="B2561" i="10"/>
  <c r="A2561" i="10"/>
  <c r="E2560" i="10"/>
  <c r="D2560" i="10"/>
  <c r="C2560" i="10"/>
  <c r="B2560" i="10"/>
  <c r="A2560" i="10"/>
  <c r="E2559" i="10"/>
  <c r="D2559" i="10"/>
  <c r="C2559" i="10"/>
  <c r="B2559" i="10"/>
  <c r="A2559" i="10"/>
  <c r="E2558" i="10"/>
  <c r="D2558" i="10"/>
  <c r="C2558" i="10"/>
  <c r="B2558" i="10"/>
  <c r="A2558" i="10"/>
  <c r="E2557" i="10"/>
  <c r="D2557" i="10"/>
  <c r="C2557" i="10"/>
  <c r="B2557" i="10"/>
  <c r="A2557" i="10"/>
  <c r="E2556" i="10"/>
  <c r="D2556" i="10"/>
  <c r="C2556" i="10"/>
  <c r="B2556" i="10"/>
  <c r="A2556" i="10"/>
  <c r="E2555" i="10"/>
  <c r="D2555" i="10"/>
  <c r="C2555" i="10"/>
  <c r="B2555" i="10"/>
  <c r="A2555" i="10"/>
  <c r="E2554" i="10"/>
  <c r="D2554" i="10"/>
  <c r="C2554" i="10"/>
  <c r="B2554" i="10"/>
  <c r="A2554" i="10"/>
  <c r="E2553" i="10"/>
  <c r="D2553" i="10"/>
  <c r="C2553" i="10"/>
  <c r="B2553" i="10"/>
  <c r="A2553" i="10"/>
  <c r="E2552" i="10"/>
  <c r="D2552" i="10"/>
  <c r="C2552" i="10"/>
  <c r="B2552" i="10"/>
  <c r="A2552" i="10"/>
  <c r="E2551" i="10"/>
  <c r="D2551" i="10"/>
  <c r="C2551" i="10"/>
  <c r="B2551" i="10"/>
  <c r="A2551" i="10"/>
  <c r="E2550" i="10"/>
  <c r="D2550" i="10"/>
  <c r="C2550" i="10"/>
  <c r="B2550" i="10"/>
  <c r="A2550" i="10"/>
  <c r="E2549" i="10"/>
  <c r="D2549" i="10"/>
  <c r="C2549" i="10"/>
  <c r="B2549" i="10"/>
  <c r="A2549" i="10"/>
  <c r="E2548" i="10"/>
  <c r="D2548" i="10"/>
  <c r="C2548" i="10"/>
  <c r="B2548" i="10"/>
  <c r="A2548" i="10"/>
  <c r="E2547" i="10"/>
  <c r="D2547" i="10"/>
  <c r="C2547" i="10"/>
  <c r="B2547" i="10"/>
  <c r="A2547" i="10"/>
  <c r="E2546" i="10"/>
  <c r="D2546" i="10"/>
  <c r="C2546" i="10"/>
  <c r="B2546" i="10"/>
  <c r="A2546" i="10"/>
  <c r="E2545" i="10"/>
  <c r="D2545" i="10"/>
  <c r="C2545" i="10"/>
  <c r="B2545" i="10"/>
  <c r="A2545" i="10"/>
  <c r="E2544" i="10"/>
  <c r="D2544" i="10"/>
  <c r="C2544" i="10"/>
  <c r="B2544" i="10"/>
  <c r="A2544" i="10"/>
  <c r="E2543" i="10"/>
  <c r="D2543" i="10"/>
  <c r="C2543" i="10"/>
  <c r="B2543" i="10"/>
  <c r="A2543" i="10"/>
  <c r="E2542" i="10"/>
  <c r="D2542" i="10"/>
  <c r="C2542" i="10"/>
  <c r="B2542" i="10"/>
  <c r="A2542" i="10"/>
  <c r="E2541" i="10"/>
  <c r="D2541" i="10"/>
  <c r="C2541" i="10"/>
  <c r="B2541" i="10"/>
  <c r="A2541" i="10"/>
  <c r="E2540" i="10"/>
  <c r="D2540" i="10"/>
  <c r="C2540" i="10"/>
  <c r="B2540" i="10"/>
  <c r="A2540" i="10"/>
  <c r="E2539" i="10"/>
  <c r="D2539" i="10"/>
  <c r="C2539" i="10"/>
  <c r="B2539" i="10"/>
  <c r="A2539" i="10"/>
  <c r="E2538" i="10"/>
  <c r="D2538" i="10"/>
  <c r="C2538" i="10"/>
  <c r="B2538" i="10"/>
  <c r="A2538" i="10"/>
  <c r="E2537" i="10"/>
  <c r="D2537" i="10"/>
  <c r="C2537" i="10"/>
  <c r="B2537" i="10"/>
  <c r="A2537" i="10"/>
  <c r="E2536" i="10"/>
  <c r="D2536" i="10"/>
  <c r="C2536" i="10"/>
  <c r="B2536" i="10"/>
  <c r="A2536" i="10"/>
  <c r="E2535" i="10"/>
  <c r="D2535" i="10"/>
  <c r="C2535" i="10"/>
  <c r="B2535" i="10"/>
  <c r="A2535" i="10"/>
  <c r="E2534" i="10"/>
  <c r="D2534" i="10"/>
  <c r="C2534" i="10"/>
  <c r="B2534" i="10"/>
  <c r="A2534" i="10"/>
  <c r="E2533" i="10"/>
  <c r="D2533" i="10"/>
  <c r="C2533" i="10"/>
  <c r="B2533" i="10"/>
  <c r="A2533" i="10"/>
  <c r="E2532" i="10"/>
  <c r="D2532" i="10"/>
  <c r="C2532" i="10"/>
  <c r="B2532" i="10"/>
  <c r="A2532" i="10"/>
  <c r="E2531" i="10"/>
  <c r="D2531" i="10"/>
  <c r="C2531" i="10"/>
  <c r="B2531" i="10"/>
  <c r="A2531" i="10"/>
  <c r="E2530" i="10"/>
  <c r="D2530" i="10"/>
  <c r="C2530" i="10"/>
  <c r="B2530" i="10"/>
  <c r="A2530" i="10"/>
  <c r="E2529" i="10"/>
  <c r="D2529" i="10"/>
  <c r="C2529" i="10"/>
  <c r="B2529" i="10"/>
  <c r="A2529" i="10"/>
  <c r="E2528" i="10"/>
  <c r="D2528" i="10"/>
  <c r="C2528" i="10"/>
  <c r="B2528" i="10"/>
  <c r="A2528" i="10"/>
  <c r="E2527" i="10"/>
  <c r="D2527" i="10"/>
  <c r="C2527" i="10"/>
  <c r="B2527" i="10"/>
  <c r="A2527" i="10"/>
  <c r="E2526" i="10"/>
  <c r="D2526" i="10"/>
  <c r="C2526" i="10"/>
  <c r="B2526" i="10"/>
  <c r="A2526" i="10"/>
  <c r="E2525" i="10"/>
  <c r="D2525" i="10"/>
  <c r="C2525" i="10"/>
  <c r="B2525" i="10"/>
  <c r="A2525" i="10"/>
  <c r="E2524" i="10"/>
  <c r="D2524" i="10"/>
  <c r="C2524" i="10"/>
  <c r="B2524" i="10"/>
  <c r="A2524" i="10"/>
  <c r="E2523" i="10"/>
  <c r="D2523" i="10"/>
  <c r="C2523" i="10"/>
  <c r="B2523" i="10"/>
  <c r="A2523" i="10"/>
  <c r="E2522" i="10"/>
  <c r="D2522" i="10"/>
  <c r="C2522" i="10"/>
  <c r="B2522" i="10"/>
  <c r="A2522" i="10"/>
  <c r="E2521" i="10"/>
  <c r="D2521" i="10"/>
  <c r="C2521" i="10"/>
  <c r="B2521" i="10"/>
  <c r="A2521" i="10"/>
  <c r="E2520" i="10"/>
  <c r="D2520" i="10"/>
  <c r="C2520" i="10"/>
  <c r="B2520" i="10"/>
  <c r="A2520" i="10"/>
  <c r="E2519" i="10"/>
  <c r="D2519" i="10"/>
  <c r="C2519" i="10"/>
  <c r="B2519" i="10"/>
  <c r="A2519" i="10"/>
  <c r="E2518" i="10"/>
  <c r="D2518" i="10"/>
  <c r="C2518" i="10"/>
  <c r="B2518" i="10"/>
  <c r="A2518" i="10"/>
  <c r="E2517" i="10"/>
  <c r="D2517" i="10"/>
  <c r="C2517" i="10"/>
  <c r="B2517" i="10"/>
  <c r="A2517" i="10"/>
  <c r="E2516" i="10"/>
  <c r="D2516" i="10"/>
  <c r="C2516" i="10"/>
  <c r="B2516" i="10"/>
  <c r="A2516" i="10"/>
  <c r="E2515" i="10"/>
  <c r="D2515" i="10"/>
  <c r="C2515" i="10"/>
  <c r="B2515" i="10"/>
  <c r="A2515" i="10"/>
  <c r="E2514" i="10"/>
  <c r="D2514" i="10"/>
  <c r="C2514" i="10"/>
  <c r="B2514" i="10"/>
  <c r="A2514" i="10"/>
  <c r="E2513" i="10"/>
  <c r="D2513" i="10"/>
  <c r="C2513" i="10"/>
  <c r="B2513" i="10"/>
  <c r="A2513" i="10"/>
  <c r="E2512" i="10"/>
  <c r="D2512" i="10"/>
  <c r="C2512" i="10"/>
  <c r="B2512" i="10"/>
  <c r="A2512" i="10"/>
  <c r="E2511" i="10"/>
  <c r="D2511" i="10"/>
  <c r="C2511" i="10"/>
  <c r="B2511" i="10"/>
  <c r="A2511" i="10"/>
  <c r="E2510" i="10"/>
  <c r="D2510" i="10"/>
  <c r="C2510" i="10"/>
  <c r="B2510" i="10"/>
  <c r="A2510" i="10"/>
  <c r="E2509" i="10"/>
  <c r="D2509" i="10"/>
  <c r="C2509" i="10"/>
  <c r="B2509" i="10"/>
  <c r="A2509" i="10"/>
  <c r="E2508" i="10"/>
  <c r="D2508" i="10"/>
  <c r="C2508" i="10"/>
  <c r="B2508" i="10"/>
  <c r="A2508" i="10"/>
  <c r="E2507" i="10"/>
  <c r="D2507" i="10"/>
  <c r="C2507" i="10"/>
  <c r="B2507" i="10"/>
  <c r="A2507" i="10"/>
  <c r="E2506" i="10"/>
  <c r="D2506" i="10"/>
  <c r="C2506" i="10"/>
  <c r="B2506" i="10"/>
  <c r="A2506" i="10"/>
  <c r="E2505" i="10"/>
  <c r="D2505" i="10"/>
  <c r="C2505" i="10"/>
  <c r="B2505" i="10"/>
  <c r="A2505" i="10"/>
  <c r="E2504" i="10"/>
  <c r="D2504" i="10"/>
  <c r="C2504" i="10"/>
  <c r="B2504" i="10"/>
  <c r="A2504" i="10"/>
  <c r="E2503" i="10"/>
  <c r="D2503" i="10"/>
  <c r="C2503" i="10"/>
  <c r="B2503" i="10"/>
  <c r="A2503" i="10"/>
  <c r="E2502" i="10"/>
  <c r="D2502" i="10"/>
  <c r="C2502" i="10"/>
  <c r="B2502" i="10"/>
  <c r="A2502" i="10"/>
  <c r="E2501" i="10"/>
  <c r="D2501" i="10"/>
  <c r="C2501" i="10"/>
  <c r="B2501" i="10"/>
  <c r="A2501" i="10"/>
  <c r="E2500" i="10"/>
  <c r="D2500" i="10"/>
  <c r="C2500" i="10"/>
  <c r="B2500" i="10"/>
  <c r="A2500" i="10"/>
  <c r="E2499" i="10"/>
  <c r="D2499" i="10"/>
  <c r="C2499" i="10"/>
  <c r="B2499" i="10"/>
  <c r="A2499" i="10"/>
  <c r="E2498" i="10"/>
  <c r="D2498" i="10"/>
  <c r="C2498" i="10"/>
  <c r="B2498" i="10"/>
  <c r="A2498" i="10"/>
  <c r="E2497" i="10"/>
  <c r="D2497" i="10"/>
  <c r="C2497" i="10"/>
  <c r="B2497" i="10"/>
  <c r="A2497" i="10"/>
  <c r="E2496" i="10"/>
  <c r="D2496" i="10"/>
  <c r="C2496" i="10"/>
  <c r="B2496" i="10"/>
  <c r="A2496" i="10"/>
  <c r="E2495" i="10"/>
  <c r="D2495" i="10"/>
  <c r="C2495" i="10"/>
  <c r="B2495" i="10"/>
  <c r="A2495" i="10"/>
  <c r="E2494" i="10"/>
  <c r="D2494" i="10"/>
  <c r="C2494" i="10"/>
  <c r="B2494" i="10"/>
  <c r="A2494" i="10"/>
  <c r="E2493" i="10"/>
  <c r="D2493" i="10"/>
  <c r="C2493" i="10"/>
  <c r="B2493" i="10"/>
  <c r="A2493" i="10"/>
  <c r="E2492" i="10"/>
  <c r="D2492" i="10"/>
  <c r="C2492" i="10"/>
  <c r="B2492" i="10"/>
  <c r="A2492" i="10"/>
  <c r="E2491" i="10"/>
  <c r="D2491" i="10"/>
  <c r="C2491" i="10"/>
  <c r="B2491" i="10"/>
  <c r="A2491" i="10"/>
  <c r="E2490" i="10"/>
  <c r="D2490" i="10"/>
  <c r="C2490" i="10"/>
  <c r="B2490" i="10"/>
  <c r="A2490" i="10"/>
  <c r="E2489" i="10"/>
  <c r="D2489" i="10"/>
  <c r="C2489" i="10"/>
  <c r="B2489" i="10"/>
  <c r="A2489" i="10"/>
  <c r="E2488" i="10"/>
  <c r="D2488" i="10"/>
  <c r="C2488" i="10"/>
  <c r="B2488" i="10"/>
  <c r="A2488" i="10"/>
  <c r="E2487" i="10"/>
  <c r="D2487" i="10"/>
  <c r="C2487" i="10"/>
  <c r="B2487" i="10"/>
  <c r="A2487" i="10"/>
  <c r="E2486" i="10"/>
  <c r="D2486" i="10"/>
  <c r="C2486" i="10"/>
  <c r="B2486" i="10"/>
  <c r="A2486" i="10"/>
  <c r="E2485" i="10"/>
  <c r="D2485" i="10"/>
  <c r="C2485" i="10"/>
  <c r="B2485" i="10"/>
  <c r="A2485" i="10"/>
  <c r="E2484" i="10"/>
  <c r="D2484" i="10"/>
  <c r="C2484" i="10"/>
  <c r="B2484" i="10"/>
  <c r="A2484" i="10"/>
  <c r="E2483" i="10"/>
  <c r="D2483" i="10"/>
  <c r="C2483" i="10"/>
  <c r="B2483" i="10"/>
  <c r="A2483" i="10"/>
  <c r="E2482" i="10"/>
  <c r="D2482" i="10"/>
  <c r="C2482" i="10"/>
  <c r="B2482" i="10"/>
  <c r="A2482" i="10"/>
  <c r="E2481" i="10"/>
  <c r="D2481" i="10"/>
  <c r="C2481" i="10"/>
  <c r="B2481" i="10"/>
  <c r="A2481" i="10"/>
  <c r="E2480" i="10"/>
  <c r="D2480" i="10"/>
  <c r="C2480" i="10"/>
  <c r="B2480" i="10"/>
  <c r="A2480" i="10"/>
  <c r="E2479" i="10"/>
  <c r="D2479" i="10"/>
  <c r="C2479" i="10"/>
  <c r="B2479" i="10"/>
  <c r="A2479" i="10"/>
  <c r="E2478" i="10"/>
  <c r="D2478" i="10"/>
  <c r="C2478" i="10"/>
  <c r="B2478" i="10"/>
  <c r="A2478" i="10"/>
  <c r="E2477" i="10"/>
  <c r="D2477" i="10"/>
  <c r="C2477" i="10"/>
  <c r="B2477" i="10"/>
  <c r="A2477" i="10"/>
  <c r="E2476" i="10"/>
  <c r="D2476" i="10"/>
  <c r="C2476" i="10"/>
  <c r="B2476" i="10"/>
  <c r="A2476" i="10"/>
  <c r="E2475" i="10"/>
  <c r="D2475" i="10"/>
  <c r="C2475" i="10"/>
  <c r="B2475" i="10"/>
  <c r="A2475" i="10"/>
  <c r="E2474" i="10"/>
  <c r="D2474" i="10"/>
  <c r="C2474" i="10"/>
  <c r="B2474" i="10"/>
  <c r="A2474" i="10"/>
  <c r="E2473" i="10"/>
  <c r="D2473" i="10"/>
  <c r="C2473" i="10"/>
  <c r="B2473" i="10"/>
  <c r="A2473" i="10"/>
  <c r="E2472" i="10"/>
  <c r="D2472" i="10"/>
  <c r="C2472" i="10"/>
  <c r="B2472" i="10"/>
  <c r="A2472" i="10"/>
  <c r="E2471" i="10"/>
  <c r="D2471" i="10"/>
  <c r="C2471" i="10"/>
  <c r="B2471" i="10"/>
  <c r="A2471" i="10"/>
  <c r="E2470" i="10"/>
  <c r="D2470" i="10"/>
  <c r="C2470" i="10"/>
  <c r="B2470" i="10"/>
  <c r="A2470" i="10"/>
  <c r="E2469" i="10"/>
  <c r="D2469" i="10"/>
  <c r="C2469" i="10"/>
  <c r="B2469" i="10"/>
  <c r="A2469" i="10"/>
  <c r="E2468" i="10"/>
  <c r="D2468" i="10"/>
  <c r="C2468" i="10"/>
  <c r="B2468" i="10"/>
  <c r="A2468" i="10"/>
  <c r="E2467" i="10"/>
  <c r="D2467" i="10"/>
  <c r="C2467" i="10"/>
  <c r="B2467" i="10"/>
  <c r="A2467" i="10"/>
  <c r="E2466" i="10"/>
  <c r="D2466" i="10"/>
  <c r="C2466" i="10"/>
  <c r="B2466" i="10"/>
  <c r="A2466" i="10"/>
  <c r="E2465" i="10"/>
  <c r="D2465" i="10"/>
  <c r="C2465" i="10"/>
  <c r="B2465" i="10"/>
  <c r="A2465" i="10"/>
  <c r="E2464" i="10"/>
  <c r="D2464" i="10"/>
  <c r="C2464" i="10"/>
  <c r="B2464" i="10"/>
  <c r="A2464" i="10"/>
  <c r="E2463" i="10"/>
  <c r="D2463" i="10"/>
  <c r="C2463" i="10"/>
  <c r="B2463" i="10"/>
  <c r="A2463" i="10"/>
  <c r="E2462" i="10"/>
  <c r="D2462" i="10"/>
  <c r="C2462" i="10"/>
  <c r="B2462" i="10"/>
  <c r="A2462" i="10"/>
  <c r="E2461" i="10"/>
  <c r="D2461" i="10"/>
  <c r="C2461" i="10"/>
  <c r="B2461" i="10"/>
  <c r="A2461" i="10"/>
  <c r="E2460" i="10"/>
  <c r="D2460" i="10"/>
  <c r="C2460" i="10"/>
  <c r="B2460" i="10"/>
  <c r="A2460" i="10"/>
  <c r="E2459" i="10"/>
  <c r="D2459" i="10"/>
  <c r="C2459" i="10"/>
  <c r="B2459" i="10"/>
  <c r="A2459" i="10"/>
  <c r="E2458" i="10"/>
  <c r="D2458" i="10"/>
  <c r="C2458" i="10"/>
  <c r="B2458" i="10"/>
  <c r="A2458" i="10"/>
  <c r="E2457" i="10"/>
  <c r="D2457" i="10"/>
  <c r="C2457" i="10"/>
  <c r="B2457" i="10"/>
  <c r="A2457" i="10"/>
  <c r="E2456" i="10"/>
  <c r="D2456" i="10"/>
  <c r="C2456" i="10"/>
  <c r="B2456" i="10"/>
  <c r="A2456" i="10"/>
  <c r="E2455" i="10"/>
  <c r="D2455" i="10"/>
  <c r="C2455" i="10"/>
  <c r="B2455" i="10"/>
  <c r="A2455" i="10"/>
  <c r="E2454" i="10"/>
  <c r="D2454" i="10"/>
  <c r="C2454" i="10"/>
  <c r="B2454" i="10"/>
  <c r="A2454" i="10"/>
  <c r="E2453" i="10"/>
  <c r="D2453" i="10"/>
  <c r="C2453" i="10"/>
  <c r="B2453" i="10"/>
  <c r="A2453" i="10"/>
  <c r="E2452" i="10"/>
  <c r="D2452" i="10"/>
  <c r="C2452" i="10"/>
  <c r="B2452" i="10"/>
  <c r="A2452" i="10"/>
  <c r="E2451" i="10"/>
  <c r="D2451" i="10"/>
  <c r="C2451" i="10"/>
  <c r="B2451" i="10"/>
  <c r="A2451" i="10"/>
  <c r="E2450" i="10"/>
  <c r="D2450" i="10"/>
  <c r="C2450" i="10"/>
  <c r="B2450" i="10"/>
  <c r="A2450" i="10"/>
  <c r="E2449" i="10"/>
  <c r="D2449" i="10"/>
  <c r="C2449" i="10"/>
  <c r="B2449" i="10"/>
  <c r="A2449" i="10"/>
  <c r="E2448" i="10"/>
  <c r="D2448" i="10"/>
  <c r="C2448" i="10"/>
  <c r="B2448" i="10"/>
  <c r="A2448" i="10"/>
  <c r="E2447" i="10"/>
  <c r="D2447" i="10"/>
  <c r="C2447" i="10"/>
  <c r="B2447" i="10"/>
  <c r="A2447" i="10"/>
  <c r="E2446" i="10"/>
  <c r="D2446" i="10"/>
  <c r="C2446" i="10"/>
  <c r="B2446" i="10"/>
  <c r="A2446" i="10"/>
  <c r="E2445" i="10"/>
  <c r="D2445" i="10"/>
  <c r="C2445" i="10"/>
  <c r="B2445" i="10"/>
  <c r="A2445" i="10"/>
  <c r="E2444" i="10"/>
  <c r="D2444" i="10"/>
  <c r="C2444" i="10"/>
  <c r="B2444" i="10"/>
  <c r="A2444" i="10"/>
  <c r="E2443" i="10"/>
  <c r="D2443" i="10"/>
  <c r="C2443" i="10"/>
  <c r="B2443" i="10"/>
  <c r="A2443" i="10"/>
  <c r="E2442" i="10"/>
  <c r="D2442" i="10"/>
  <c r="C2442" i="10"/>
  <c r="B2442" i="10"/>
  <c r="A2442" i="10"/>
  <c r="E2441" i="10"/>
  <c r="D2441" i="10"/>
  <c r="C2441" i="10"/>
  <c r="B2441" i="10"/>
  <c r="A2441" i="10"/>
  <c r="E2440" i="10"/>
  <c r="D2440" i="10"/>
  <c r="C2440" i="10"/>
  <c r="B2440" i="10"/>
  <c r="A2440" i="10"/>
  <c r="E2439" i="10"/>
  <c r="D2439" i="10"/>
  <c r="C2439" i="10"/>
  <c r="B2439" i="10"/>
  <c r="A2439" i="10"/>
  <c r="E2438" i="10"/>
  <c r="D2438" i="10"/>
  <c r="C2438" i="10"/>
  <c r="B2438" i="10"/>
  <c r="A2438" i="10"/>
  <c r="E2437" i="10"/>
  <c r="D2437" i="10"/>
  <c r="C2437" i="10"/>
  <c r="B2437" i="10"/>
  <c r="A2437" i="10"/>
  <c r="E2436" i="10"/>
  <c r="D2436" i="10"/>
  <c r="C2436" i="10"/>
  <c r="B2436" i="10"/>
  <c r="A2436" i="10"/>
  <c r="E2435" i="10"/>
  <c r="D2435" i="10"/>
  <c r="C2435" i="10"/>
  <c r="B2435" i="10"/>
  <c r="A2435" i="10"/>
  <c r="E2434" i="10"/>
  <c r="D2434" i="10"/>
  <c r="C2434" i="10"/>
  <c r="B2434" i="10"/>
  <c r="A2434" i="10"/>
  <c r="E2433" i="10"/>
  <c r="D2433" i="10"/>
  <c r="C2433" i="10"/>
  <c r="B2433" i="10"/>
  <c r="A2433" i="10"/>
  <c r="E2432" i="10"/>
  <c r="D2432" i="10"/>
  <c r="C2432" i="10"/>
  <c r="B2432" i="10"/>
  <c r="A2432" i="10"/>
  <c r="E2431" i="10"/>
  <c r="D2431" i="10"/>
  <c r="C2431" i="10"/>
  <c r="B2431" i="10"/>
  <c r="A2431" i="10"/>
  <c r="E2430" i="10"/>
  <c r="D2430" i="10"/>
  <c r="C2430" i="10"/>
  <c r="B2430" i="10"/>
  <c r="A2430" i="10"/>
  <c r="E2429" i="10"/>
  <c r="D2429" i="10"/>
  <c r="C2429" i="10"/>
  <c r="B2429" i="10"/>
  <c r="A2429" i="10"/>
  <c r="E2428" i="10"/>
  <c r="D2428" i="10"/>
  <c r="C2428" i="10"/>
  <c r="B2428" i="10"/>
  <c r="A2428" i="10"/>
  <c r="E2427" i="10"/>
  <c r="D2427" i="10"/>
  <c r="C2427" i="10"/>
  <c r="B2427" i="10"/>
  <c r="A2427" i="10"/>
  <c r="E2426" i="10"/>
  <c r="D2426" i="10"/>
  <c r="C2426" i="10"/>
  <c r="B2426" i="10"/>
  <c r="A2426" i="10"/>
  <c r="E2425" i="10"/>
  <c r="D2425" i="10"/>
  <c r="C2425" i="10"/>
  <c r="B2425" i="10"/>
  <c r="A2425" i="10"/>
  <c r="E2424" i="10"/>
  <c r="D2424" i="10"/>
  <c r="C2424" i="10"/>
  <c r="B2424" i="10"/>
  <c r="A2424" i="10"/>
  <c r="E2423" i="10"/>
  <c r="D2423" i="10"/>
  <c r="C2423" i="10"/>
  <c r="B2423" i="10"/>
  <c r="A2423" i="10"/>
  <c r="E2422" i="10"/>
  <c r="D2422" i="10"/>
  <c r="C2422" i="10"/>
  <c r="B2422" i="10"/>
  <c r="A2422" i="10"/>
  <c r="E2421" i="10"/>
  <c r="D2421" i="10"/>
  <c r="C2421" i="10"/>
  <c r="B2421" i="10"/>
  <c r="A2421" i="10"/>
  <c r="E2420" i="10"/>
  <c r="D2420" i="10"/>
  <c r="C2420" i="10"/>
  <c r="B2420" i="10"/>
  <c r="A2420" i="10"/>
  <c r="E2419" i="10"/>
  <c r="D2419" i="10"/>
  <c r="C2419" i="10"/>
  <c r="B2419" i="10"/>
  <c r="A2419" i="10"/>
  <c r="E2418" i="10"/>
  <c r="D2418" i="10"/>
  <c r="C2418" i="10"/>
  <c r="B2418" i="10"/>
  <c r="A2418" i="10"/>
  <c r="E2417" i="10"/>
  <c r="D2417" i="10"/>
  <c r="C2417" i="10"/>
  <c r="B2417" i="10"/>
  <c r="A2417" i="10"/>
  <c r="E2416" i="10"/>
  <c r="D2416" i="10"/>
  <c r="C2416" i="10"/>
  <c r="B2416" i="10"/>
  <c r="A2416" i="10"/>
  <c r="E2415" i="10"/>
  <c r="D2415" i="10"/>
  <c r="C2415" i="10"/>
  <c r="B2415" i="10"/>
  <c r="A2415" i="10"/>
  <c r="E2414" i="10"/>
  <c r="D2414" i="10"/>
  <c r="C2414" i="10"/>
  <c r="B2414" i="10"/>
  <c r="A2414" i="10"/>
  <c r="E2413" i="10"/>
  <c r="D2413" i="10"/>
  <c r="C2413" i="10"/>
  <c r="B2413" i="10"/>
  <c r="A2413" i="10"/>
  <c r="E2412" i="10"/>
  <c r="D2412" i="10"/>
  <c r="C2412" i="10"/>
  <c r="B2412" i="10"/>
  <c r="A2412" i="10"/>
  <c r="E2411" i="10"/>
  <c r="D2411" i="10"/>
  <c r="C2411" i="10"/>
  <c r="B2411" i="10"/>
  <c r="A2411" i="10"/>
  <c r="E2410" i="10"/>
  <c r="D2410" i="10"/>
  <c r="C2410" i="10"/>
  <c r="B2410" i="10"/>
  <c r="A2410" i="10"/>
  <c r="E2409" i="10"/>
  <c r="D2409" i="10"/>
  <c r="C2409" i="10"/>
  <c r="B2409" i="10"/>
  <c r="A2409" i="10"/>
  <c r="E2408" i="10"/>
  <c r="D2408" i="10"/>
  <c r="C2408" i="10"/>
  <c r="B2408" i="10"/>
  <c r="A2408" i="10"/>
  <c r="E2407" i="10"/>
  <c r="D2407" i="10"/>
  <c r="C2407" i="10"/>
  <c r="B2407" i="10"/>
  <c r="A2407" i="10"/>
  <c r="E2406" i="10"/>
  <c r="D2406" i="10"/>
  <c r="C2406" i="10"/>
  <c r="B2406" i="10"/>
  <c r="A2406" i="10"/>
  <c r="E2405" i="10"/>
  <c r="D2405" i="10"/>
  <c r="C2405" i="10"/>
  <c r="B2405" i="10"/>
  <c r="A2405" i="10"/>
  <c r="E2404" i="10"/>
  <c r="D2404" i="10"/>
  <c r="C2404" i="10"/>
  <c r="B2404" i="10"/>
  <c r="A2404" i="10"/>
  <c r="E2403" i="10"/>
  <c r="D2403" i="10"/>
  <c r="C2403" i="10"/>
  <c r="B2403" i="10"/>
  <c r="A2403" i="10"/>
  <c r="E2402" i="10"/>
  <c r="D2402" i="10"/>
  <c r="C2402" i="10"/>
  <c r="B2402" i="10"/>
  <c r="A2402" i="10"/>
  <c r="E2401" i="10"/>
  <c r="D2401" i="10"/>
  <c r="C2401" i="10"/>
  <c r="B2401" i="10"/>
  <c r="A2401" i="10"/>
  <c r="E2400" i="10"/>
  <c r="D2400" i="10"/>
  <c r="C2400" i="10"/>
  <c r="B2400" i="10"/>
  <c r="A2400" i="10"/>
  <c r="E2399" i="10"/>
  <c r="D2399" i="10"/>
  <c r="C2399" i="10"/>
  <c r="B2399" i="10"/>
  <c r="A2399" i="10"/>
  <c r="E2398" i="10"/>
  <c r="D2398" i="10"/>
  <c r="C2398" i="10"/>
  <c r="B2398" i="10"/>
  <c r="A2398" i="10"/>
  <c r="E2397" i="10"/>
  <c r="D2397" i="10"/>
  <c r="C2397" i="10"/>
  <c r="B2397" i="10"/>
  <c r="A2397" i="10"/>
  <c r="E2396" i="10"/>
  <c r="D2396" i="10"/>
  <c r="C2396" i="10"/>
  <c r="B2396" i="10"/>
  <c r="A2396" i="10"/>
  <c r="E2395" i="10"/>
  <c r="D2395" i="10"/>
  <c r="C2395" i="10"/>
  <c r="B2395" i="10"/>
  <c r="A2395" i="10"/>
  <c r="E2394" i="10"/>
  <c r="D2394" i="10"/>
  <c r="C2394" i="10"/>
  <c r="B2394" i="10"/>
  <c r="A2394" i="10"/>
  <c r="E2393" i="10"/>
  <c r="D2393" i="10"/>
  <c r="C2393" i="10"/>
  <c r="B2393" i="10"/>
  <c r="A2393" i="10"/>
  <c r="E2392" i="10"/>
  <c r="D2392" i="10"/>
  <c r="C2392" i="10"/>
  <c r="B2392" i="10"/>
  <c r="A2392" i="10"/>
  <c r="E2391" i="10"/>
  <c r="D2391" i="10"/>
  <c r="C2391" i="10"/>
  <c r="B2391" i="10"/>
  <c r="A2391" i="10"/>
  <c r="E2390" i="10"/>
  <c r="D2390" i="10"/>
  <c r="C2390" i="10"/>
  <c r="B2390" i="10"/>
  <c r="A2390" i="10"/>
  <c r="E2389" i="10"/>
  <c r="D2389" i="10"/>
  <c r="C2389" i="10"/>
  <c r="B2389" i="10"/>
  <c r="A2389" i="10"/>
  <c r="E2388" i="10"/>
  <c r="D2388" i="10"/>
  <c r="C2388" i="10"/>
  <c r="B2388" i="10"/>
  <c r="A2388" i="10"/>
  <c r="E2387" i="10"/>
  <c r="D2387" i="10"/>
  <c r="C2387" i="10"/>
  <c r="B2387" i="10"/>
  <c r="A2387" i="10"/>
  <c r="E2386" i="10"/>
  <c r="D2386" i="10"/>
  <c r="C2386" i="10"/>
  <c r="B2386" i="10"/>
  <c r="A2386" i="10"/>
  <c r="E2385" i="10"/>
  <c r="D2385" i="10"/>
  <c r="C2385" i="10"/>
  <c r="B2385" i="10"/>
  <c r="A2385" i="10"/>
  <c r="E2384" i="10"/>
  <c r="D2384" i="10"/>
  <c r="C2384" i="10"/>
  <c r="B2384" i="10"/>
  <c r="A2384" i="10"/>
  <c r="E2383" i="10"/>
  <c r="D2383" i="10"/>
  <c r="C2383" i="10"/>
  <c r="B2383" i="10"/>
  <c r="A2383" i="10"/>
  <c r="E2382" i="10"/>
  <c r="D2382" i="10"/>
  <c r="C2382" i="10"/>
  <c r="B2382" i="10"/>
  <c r="A2382" i="10"/>
  <c r="E2381" i="10"/>
  <c r="D2381" i="10"/>
  <c r="C2381" i="10"/>
  <c r="B2381" i="10"/>
  <c r="A2381" i="10"/>
  <c r="E2380" i="10"/>
  <c r="D2380" i="10"/>
  <c r="C2380" i="10"/>
  <c r="B2380" i="10"/>
  <c r="A2380" i="10"/>
  <c r="E2379" i="10"/>
  <c r="D2379" i="10"/>
  <c r="C2379" i="10"/>
  <c r="B2379" i="10"/>
  <c r="A2379" i="10"/>
  <c r="E2378" i="10"/>
  <c r="D2378" i="10"/>
  <c r="C2378" i="10"/>
  <c r="B2378" i="10"/>
  <c r="A2378" i="10"/>
  <c r="E2377" i="10"/>
  <c r="D2377" i="10"/>
  <c r="C2377" i="10"/>
  <c r="B2377" i="10"/>
  <c r="A2377" i="10"/>
  <c r="E2376" i="10"/>
  <c r="D2376" i="10"/>
  <c r="C2376" i="10"/>
  <c r="B2376" i="10"/>
  <c r="A2376" i="10"/>
  <c r="E2375" i="10"/>
  <c r="D2375" i="10"/>
  <c r="C2375" i="10"/>
  <c r="B2375" i="10"/>
  <c r="A2375" i="10"/>
  <c r="E2374" i="10"/>
  <c r="D2374" i="10"/>
  <c r="C2374" i="10"/>
  <c r="B2374" i="10"/>
  <c r="A2374" i="10"/>
  <c r="E2373" i="10"/>
  <c r="D2373" i="10"/>
  <c r="C2373" i="10"/>
  <c r="B2373" i="10"/>
  <c r="A2373" i="10"/>
  <c r="E2372" i="10"/>
  <c r="D2372" i="10"/>
  <c r="C2372" i="10"/>
  <c r="B2372" i="10"/>
  <c r="A2372" i="10"/>
  <c r="E2371" i="10"/>
  <c r="D2371" i="10"/>
  <c r="C2371" i="10"/>
  <c r="B2371" i="10"/>
  <c r="A2371" i="10"/>
  <c r="E2370" i="10"/>
  <c r="D2370" i="10"/>
  <c r="C2370" i="10"/>
  <c r="B2370" i="10"/>
  <c r="A2370" i="10"/>
  <c r="E2369" i="10"/>
  <c r="D2369" i="10"/>
  <c r="C2369" i="10"/>
  <c r="B2369" i="10"/>
  <c r="A2369" i="10"/>
  <c r="E2368" i="10"/>
  <c r="D2368" i="10"/>
  <c r="C2368" i="10"/>
  <c r="B2368" i="10"/>
  <c r="A2368" i="10"/>
  <c r="E2367" i="10"/>
  <c r="D2367" i="10"/>
  <c r="C2367" i="10"/>
  <c r="B2367" i="10"/>
  <c r="A2367" i="10"/>
  <c r="E2366" i="10"/>
  <c r="D2366" i="10"/>
  <c r="C2366" i="10"/>
  <c r="B2366" i="10"/>
  <c r="A2366" i="10"/>
  <c r="E2365" i="10"/>
  <c r="D2365" i="10"/>
  <c r="C2365" i="10"/>
  <c r="B2365" i="10"/>
  <c r="A2365" i="10"/>
  <c r="E2364" i="10"/>
  <c r="D2364" i="10"/>
  <c r="C2364" i="10"/>
  <c r="B2364" i="10"/>
  <c r="A2364" i="10"/>
  <c r="E2363" i="10"/>
  <c r="D2363" i="10"/>
  <c r="C2363" i="10"/>
  <c r="B2363" i="10"/>
  <c r="A2363" i="10"/>
  <c r="E2362" i="10"/>
  <c r="D2362" i="10"/>
  <c r="C2362" i="10"/>
  <c r="B2362" i="10"/>
  <c r="A2362" i="10"/>
  <c r="E2361" i="10"/>
  <c r="D2361" i="10"/>
  <c r="C2361" i="10"/>
  <c r="B2361" i="10"/>
  <c r="A2361" i="10"/>
  <c r="E2360" i="10"/>
  <c r="D2360" i="10"/>
  <c r="C2360" i="10"/>
  <c r="B2360" i="10"/>
  <c r="A2360" i="10"/>
  <c r="E2359" i="10"/>
  <c r="D2359" i="10"/>
  <c r="C2359" i="10"/>
  <c r="B2359" i="10"/>
  <c r="A2359" i="10"/>
  <c r="E2358" i="10"/>
  <c r="D2358" i="10"/>
  <c r="C2358" i="10"/>
  <c r="B2358" i="10"/>
  <c r="A2358" i="10"/>
  <c r="E2357" i="10"/>
  <c r="D2357" i="10"/>
  <c r="C2357" i="10"/>
  <c r="B2357" i="10"/>
  <c r="A2357" i="10"/>
  <c r="E2356" i="10"/>
  <c r="D2356" i="10"/>
  <c r="C2356" i="10"/>
  <c r="B2356" i="10"/>
  <c r="A2356" i="10"/>
  <c r="E2355" i="10"/>
  <c r="D2355" i="10"/>
  <c r="C2355" i="10"/>
  <c r="B2355" i="10"/>
  <c r="A2355" i="10"/>
  <c r="E2354" i="10"/>
  <c r="D2354" i="10"/>
  <c r="C2354" i="10"/>
  <c r="B2354" i="10"/>
  <c r="A2354" i="10"/>
  <c r="E2353" i="10"/>
  <c r="D2353" i="10"/>
  <c r="C2353" i="10"/>
  <c r="B2353" i="10"/>
  <c r="A2353" i="10"/>
  <c r="E2352" i="10"/>
  <c r="D2352" i="10"/>
  <c r="C2352" i="10"/>
  <c r="B2352" i="10"/>
  <c r="A2352" i="10"/>
  <c r="E2351" i="10"/>
  <c r="D2351" i="10"/>
  <c r="C2351" i="10"/>
  <c r="B2351" i="10"/>
  <c r="A2351" i="10"/>
  <c r="E2350" i="10"/>
  <c r="D2350" i="10"/>
  <c r="C2350" i="10"/>
  <c r="B2350" i="10"/>
  <c r="A2350" i="10"/>
  <c r="E2349" i="10"/>
  <c r="D2349" i="10"/>
  <c r="C2349" i="10"/>
  <c r="B2349" i="10"/>
  <c r="A2349" i="10"/>
  <c r="E2348" i="10"/>
  <c r="D2348" i="10"/>
  <c r="C2348" i="10"/>
  <c r="B2348" i="10"/>
  <c r="A2348" i="10"/>
  <c r="E2347" i="10"/>
  <c r="D2347" i="10"/>
  <c r="C2347" i="10"/>
  <c r="B2347" i="10"/>
  <c r="A2347" i="10"/>
  <c r="E2346" i="10"/>
  <c r="D2346" i="10"/>
  <c r="C2346" i="10"/>
  <c r="B2346" i="10"/>
  <c r="A2346" i="10"/>
  <c r="E2345" i="10"/>
  <c r="D2345" i="10"/>
  <c r="C2345" i="10"/>
  <c r="B2345" i="10"/>
  <c r="A2345" i="10"/>
  <c r="E2344" i="10"/>
  <c r="D2344" i="10"/>
  <c r="C2344" i="10"/>
  <c r="B2344" i="10"/>
  <c r="A2344" i="10"/>
  <c r="E2343" i="10"/>
  <c r="D2343" i="10"/>
  <c r="C2343" i="10"/>
  <c r="B2343" i="10"/>
  <c r="A2343" i="10"/>
  <c r="E2342" i="10"/>
  <c r="D2342" i="10"/>
  <c r="C2342" i="10"/>
  <c r="B2342" i="10"/>
  <c r="A2342" i="10"/>
  <c r="E2341" i="10"/>
  <c r="D2341" i="10"/>
  <c r="C2341" i="10"/>
  <c r="B2341" i="10"/>
  <c r="A2341" i="10"/>
  <c r="E2340" i="10"/>
  <c r="D2340" i="10"/>
  <c r="C2340" i="10"/>
  <c r="B2340" i="10"/>
  <c r="A2340" i="10"/>
  <c r="E2339" i="10"/>
  <c r="D2339" i="10"/>
  <c r="C2339" i="10"/>
  <c r="B2339" i="10"/>
  <c r="A2339" i="10"/>
  <c r="E2338" i="10"/>
  <c r="D2338" i="10"/>
  <c r="C2338" i="10"/>
  <c r="B2338" i="10"/>
  <c r="A2338" i="10"/>
  <c r="E2337" i="10"/>
  <c r="D2337" i="10"/>
  <c r="C2337" i="10"/>
  <c r="B2337" i="10"/>
  <c r="A2337" i="10"/>
  <c r="E2336" i="10"/>
  <c r="D2336" i="10"/>
  <c r="C2336" i="10"/>
  <c r="B2336" i="10"/>
  <c r="A2336" i="10"/>
  <c r="E2335" i="10"/>
  <c r="D2335" i="10"/>
  <c r="C2335" i="10"/>
  <c r="B2335" i="10"/>
  <c r="A2335" i="10"/>
  <c r="E2334" i="10"/>
  <c r="D2334" i="10"/>
  <c r="C2334" i="10"/>
  <c r="B2334" i="10"/>
  <c r="A2334" i="10"/>
  <c r="E2333" i="10"/>
  <c r="D2333" i="10"/>
  <c r="C2333" i="10"/>
  <c r="B2333" i="10"/>
  <c r="A2333" i="10"/>
  <c r="E2332" i="10"/>
  <c r="D2332" i="10"/>
  <c r="C2332" i="10"/>
  <c r="B2332" i="10"/>
  <c r="A2332" i="10"/>
  <c r="E2331" i="10"/>
  <c r="D2331" i="10"/>
  <c r="C2331" i="10"/>
  <c r="B2331" i="10"/>
  <c r="A2331" i="10"/>
  <c r="E2330" i="10"/>
  <c r="D2330" i="10"/>
  <c r="C2330" i="10"/>
  <c r="B2330" i="10"/>
  <c r="A2330" i="10"/>
  <c r="E2329" i="10"/>
  <c r="D2329" i="10"/>
  <c r="C2329" i="10"/>
  <c r="B2329" i="10"/>
  <c r="A2329" i="10"/>
  <c r="E2328" i="10"/>
  <c r="D2328" i="10"/>
  <c r="C2328" i="10"/>
  <c r="B2328" i="10"/>
  <c r="A2328" i="10"/>
  <c r="E2327" i="10"/>
  <c r="D2327" i="10"/>
  <c r="C2327" i="10"/>
  <c r="B2327" i="10"/>
  <c r="A2327" i="10"/>
  <c r="E2326" i="10"/>
  <c r="D2326" i="10"/>
  <c r="C2326" i="10"/>
  <c r="B2326" i="10"/>
  <c r="A2326" i="10"/>
  <c r="E2325" i="10"/>
  <c r="D2325" i="10"/>
  <c r="C2325" i="10"/>
  <c r="B2325" i="10"/>
  <c r="A2325" i="10"/>
  <c r="E2324" i="10"/>
  <c r="D2324" i="10"/>
  <c r="C2324" i="10"/>
  <c r="B2324" i="10"/>
  <c r="A2324" i="10"/>
  <c r="E2323" i="10"/>
  <c r="D2323" i="10"/>
  <c r="C2323" i="10"/>
  <c r="B2323" i="10"/>
  <c r="A2323" i="10"/>
  <c r="E2322" i="10"/>
  <c r="D2322" i="10"/>
  <c r="C2322" i="10"/>
  <c r="B2322" i="10"/>
  <c r="A2322" i="10"/>
  <c r="E2321" i="10"/>
  <c r="D2321" i="10"/>
  <c r="C2321" i="10"/>
  <c r="B2321" i="10"/>
  <c r="A2321" i="10"/>
  <c r="E2320" i="10"/>
  <c r="D2320" i="10"/>
  <c r="C2320" i="10"/>
  <c r="B2320" i="10"/>
  <c r="A2320" i="10"/>
  <c r="E2319" i="10"/>
  <c r="D2319" i="10"/>
  <c r="C2319" i="10"/>
  <c r="B2319" i="10"/>
  <c r="A2319" i="10"/>
  <c r="E2318" i="10"/>
  <c r="D2318" i="10"/>
  <c r="C2318" i="10"/>
  <c r="B2318" i="10"/>
  <c r="A2318" i="10"/>
  <c r="E2317" i="10"/>
  <c r="D2317" i="10"/>
  <c r="C2317" i="10"/>
  <c r="B2317" i="10"/>
  <c r="A2317" i="10"/>
  <c r="E2316" i="10"/>
  <c r="D2316" i="10"/>
  <c r="C2316" i="10"/>
  <c r="B2316" i="10"/>
  <c r="A2316" i="10"/>
  <c r="E2315" i="10"/>
  <c r="D2315" i="10"/>
  <c r="C2315" i="10"/>
  <c r="B2315" i="10"/>
  <c r="A2315" i="10"/>
  <c r="E2314" i="10"/>
  <c r="D2314" i="10"/>
  <c r="C2314" i="10"/>
  <c r="B2314" i="10"/>
  <c r="A2314" i="10"/>
  <c r="E2313" i="10"/>
  <c r="D2313" i="10"/>
  <c r="C2313" i="10"/>
  <c r="B2313" i="10"/>
  <c r="A2313" i="10"/>
  <c r="E2312" i="10"/>
  <c r="D2312" i="10"/>
  <c r="C2312" i="10"/>
  <c r="B2312" i="10"/>
  <c r="A2312" i="10"/>
  <c r="E2311" i="10"/>
  <c r="D2311" i="10"/>
  <c r="C2311" i="10"/>
  <c r="B2311" i="10"/>
  <c r="A2311" i="10"/>
  <c r="E2310" i="10"/>
  <c r="D2310" i="10"/>
  <c r="C2310" i="10"/>
  <c r="B2310" i="10"/>
  <c r="A2310" i="10"/>
  <c r="E2309" i="10"/>
  <c r="D2309" i="10"/>
  <c r="C2309" i="10"/>
  <c r="B2309" i="10"/>
  <c r="A2309" i="10"/>
  <c r="E2308" i="10"/>
  <c r="D2308" i="10"/>
  <c r="C2308" i="10"/>
  <c r="B2308" i="10"/>
  <c r="A2308" i="10"/>
  <c r="E2307" i="10"/>
  <c r="D2307" i="10"/>
  <c r="C2307" i="10"/>
  <c r="B2307" i="10"/>
  <c r="A2307" i="10"/>
  <c r="E2306" i="10"/>
  <c r="D2306" i="10"/>
  <c r="C2306" i="10"/>
  <c r="B2306" i="10"/>
  <c r="A2306" i="10"/>
  <c r="E2305" i="10"/>
  <c r="D2305" i="10"/>
  <c r="C2305" i="10"/>
  <c r="B2305" i="10"/>
  <c r="A2305" i="10"/>
  <c r="E2304" i="10"/>
  <c r="D2304" i="10"/>
  <c r="C2304" i="10"/>
  <c r="B2304" i="10"/>
  <c r="A2304" i="10"/>
  <c r="E2303" i="10"/>
  <c r="D2303" i="10"/>
  <c r="C2303" i="10"/>
  <c r="B2303" i="10"/>
  <c r="A2303" i="10"/>
  <c r="E2302" i="10"/>
  <c r="D2302" i="10"/>
  <c r="C2302" i="10"/>
  <c r="B2302" i="10"/>
  <c r="A2302" i="10"/>
  <c r="E2301" i="10"/>
  <c r="D2301" i="10"/>
  <c r="C2301" i="10"/>
  <c r="B2301" i="10"/>
  <c r="A2301" i="10"/>
  <c r="E2300" i="10"/>
  <c r="D2300" i="10"/>
  <c r="C2300" i="10"/>
  <c r="B2300" i="10"/>
  <c r="A2300" i="10"/>
  <c r="E2299" i="10"/>
  <c r="D2299" i="10"/>
  <c r="C2299" i="10"/>
  <c r="B2299" i="10"/>
  <c r="A2299" i="10"/>
  <c r="E2298" i="10"/>
  <c r="D2298" i="10"/>
  <c r="C2298" i="10"/>
  <c r="B2298" i="10"/>
  <c r="A2298" i="10"/>
  <c r="E2297" i="10"/>
  <c r="D2297" i="10"/>
  <c r="C2297" i="10"/>
  <c r="B2297" i="10"/>
  <c r="A2297" i="10"/>
  <c r="E2296" i="10"/>
  <c r="D2296" i="10"/>
  <c r="C2296" i="10"/>
  <c r="B2296" i="10"/>
  <c r="A2296" i="10"/>
  <c r="E2295" i="10"/>
  <c r="D2295" i="10"/>
  <c r="C2295" i="10"/>
  <c r="B2295" i="10"/>
  <c r="A2295" i="10"/>
  <c r="E2294" i="10"/>
  <c r="D2294" i="10"/>
  <c r="C2294" i="10"/>
  <c r="B2294" i="10"/>
  <c r="A2294" i="10"/>
  <c r="E2293" i="10"/>
  <c r="D2293" i="10"/>
  <c r="C2293" i="10"/>
  <c r="B2293" i="10"/>
  <c r="A2293" i="10"/>
  <c r="E2292" i="10"/>
  <c r="D2292" i="10"/>
  <c r="C2292" i="10"/>
  <c r="B2292" i="10"/>
  <c r="A2292" i="10"/>
  <c r="E2291" i="10"/>
  <c r="D2291" i="10"/>
  <c r="C2291" i="10"/>
  <c r="B2291" i="10"/>
  <c r="A2291" i="10"/>
  <c r="E2290" i="10"/>
  <c r="D2290" i="10"/>
  <c r="C2290" i="10"/>
  <c r="B2290" i="10"/>
  <c r="A2290" i="10"/>
  <c r="E2289" i="10"/>
  <c r="D2289" i="10"/>
  <c r="C2289" i="10"/>
  <c r="B2289" i="10"/>
  <c r="A2289" i="10"/>
  <c r="E2288" i="10"/>
  <c r="D2288" i="10"/>
  <c r="C2288" i="10"/>
  <c r="B2288" i="10"/>
  <c r="A2288" i="10"/>
  <c r="E2287" i="10"/>
  <c r="D2287" i="10"/>
  <c r="C2287" i="10"/>
  <c r="B2287" i="10"/>
  <c r="A2287" i="10"/>
  <c r="E2286" i="10"/>
  <c r="D2286" i="10"/>
  <c r="C2286" i="10"/>
  <c r="B2286" i="10"/>
  <c r="A2286" i="10"/>
  <c r="E2285" i="10"/>
  <c r="D2285" i="10"/>
  <c r="C2285" i="10"/>
  <c r="B2285" i="10"/>
  <c r="A2285" i="10"/>
  <c r="E2284" i="10"/>
  <c r="D2284" i="10"/>
  <c r="C2284" i="10"/>
  <c r="B2284" i="10"/>
  <c r="A2284" i="10"/>
  <c r="E2283" i="10"/>
  <c r="D2283" i="10"/>
  <c r="C2283" i="10"/>
  <c r="B2283" i="10"/>
  <c r="A2283" i="10"/>
  <c r="E2282" i="10"/>
  <c r="D2282" i="10"/>
  <c r="C2282" i="10"/>
  <c r="B2282" i="10"/>
  <c r="A2282" i="10"/>
  <c r="E2281" i="10"/>
  <c r="D2281" i="10"/>
  <c r="C2281" i="10"/>
  <c r="B2281" i="10"/>
  <c r="A2281" i="10"/>
  <c r="E2280" i="10"/>
  <c r="D2280" i="10"/>
  <c r="C2280" i="10"/>
  <c r="B2280" i="10"/>
  <c r="A2280" i="10"/>
  <c r="E2279" i="10"/>
  <c r="D2279" i="10"/>
  <c r="C2279" i="10"/>
  <c r="B2279" i="10"/>
  <c r="A2279" i="10"/>
  <c r="E2278" i="10"/>
  <c r="D2278" i="10"/>
  <c r="C2278" i="10"/>
  <c r="B2278" i="10"/>
  <c r="A2278" i="10"/>
  <c r="E2277" i="10"/>
  <c r="D2277" i="10"/>
  <c r="C2277" i="10"/>
  <c r="B2277" i="10"/>
  <c r="A2277" i="10"/>
  <c r="E2276" i="10"/>
  <c r="D2276" i="10"/>
  <c r="C2276" i="10"/>
  <c r="B2276" i="10"/>
  <c r="A2276" i="10"/>
  <c r="E2275" i="10"/>
  <c r="D2275" i="10"/>
  <c r="C2275" i="10"/>
  <c r="B2275" i="10"/>
  <c r="A2275" i="10"/>
  <c r="E2274" i="10"/>
  <c r="D2274" i="10"/>
  <c r="C2274" i="10"/>
  <c r="B2274" i="10"/>
  <c r="A2274" i="10"/>
  <c r="E2273" i="10"/>
  <c r="D2273" i="10"/>
  <c r="C2273" i="10"/>
  <c r="B2273" i="10"/>
  <c r="A2273" i="10"/>
  <c r="E2272" i="10"/>
  <c r="D2272" i="10"/>
  <c r="C2272" i="10"/>
  <c r="B2272" i="10"/>
  <c r="A2272" i="10"/>
  <c r="E2271" i="10"/>
  <c r="D2271" i="10"/>
  <c r="C2271" i="10"/>
  <c r="B2271" i="10"/>
  <c r="A2271" i="10"/>
  <c r="E2270" i="10"/>
  <c r="D2270" i="10"/>
  <c r="C2270" i="10"/>
  <c r="B2270" i="10"/>
  <c r="A2270" i="10"/>
  <c r="E2269" i="10"/>
  <c r="D2269" i="10"/>
  <c r="C2269" i="10"/>
  <c r="B2269" i="10"/>
  <c r="A2269" i="10"/>
  <c r="E2268" i="10"/>
  <c r="D2268" i="10"/>
  <c r="C2268" i="10"/>
  <c r="B2268" i="10"/>
  <c r="A2268" i="10"/>
  <c r="E2267" i="10"/>
  <c r="D2267" i="10"/>
  <c r="C2267" i="10"/>
  <c r="B2267" i="10"/>
  <c r="A2267" i="10"/>
  <c r="E2266" i="10"/>
  <c r="D2266" i="10"/>
  <c r="C2266" i="10"/>
  <c r="B2266" i="10"/>
  <c r="A2266" i="10"/>
  <c r="E2265" i="10"/>
  <c r="D2265" i="10"/>
  <c r="C2265" i="10"/>
  <c r="B2265" i="10"/>
  <c r="A2265" i="10"/>
  <c r="E2264" i="10"/>
  <c r="D2264" i="10"/>
  <c r="C2264" i="10"/>
  <c r="B2264" i="10"/>
  <c r="A2264" i="10"/>
  <c r="E2263" i="10"/>
  <c r="D2263" i="10"/>
  <c r="C2263" i="10"/>
  <c r="B2263" i="10"/>
  <c r="A2263" i="10"/>
  <c r="E2262" i="10"/>
  <c r="D2262" i="10"/>
  <c r="C2262" i="10"/>
  <c r="B2262" i="10"/>
  <c r="A2262" i="10"/>
  <c r="E2261" i="10"/>
  <c r="D2261" i="10"/>
  <c r="C2261" i="10"/>
  <c r="B2261" i="10"/>
  <c r="A2261" i="10"/>
  <c r="E2260" i="10"/>
  <c r="D2260" i="10"/>
  <c r="C2260" i="10"/>
  <c r="B2260" i="10"/>
  <c r="A2260" i="10"/>
  <c r="E2259" i="10"/>
  <c r="D2259" i="10"/>
  <c r="C2259" i="10"/>
  <c r="B2259" i="10"/>
  <c r="A2259" i="10"/>
  <c r="E2258" i="10"/>
  <c r="D2258" i="10"/>
  <c r="C2258" i="10"/>
  <c r="B2258" i="10"/>
  <c r="A2258" i="10"/>
  <c r="E2257" i="10"/>
  <c r="D2257" i="10"/>
  <c r="C2257" i="10"/>
  <c r="B2257" i="10"/>
  <c r="A2257" i="10"/>
  <c r="E2256" i="10"/>
  <c r="D2256" i="10"/>
  <c r="C2256" i="10"/>
  <c r="B2256" i="10"/>
  <c r="A2256" i="10"/>
  <c r="E2255" i="10"/>
  <c r="D2255" i="10"/>
  <c r="C2255" i="10"/>
  <c r="B2255" i="10"/>
  <c r="A2255" i="10"/>
  <c r="E2254" i="10"/>
  <c r="D2254" i="10"/>
  <c r="C2254" i="10"/>
  <c r="B2254" i="10"/>
  <c r="A2254" i="10"/>
  <c r="E2253" i="10"/>
  <c r="D2253" i="10"/>
  <c r="C2253" i="10"/>
  <c r="B2253" i="10"/>
  <c r="A2253" i="10"/>
  <c r="E2252" i="10"/>
  <c r="D2252" i="10"/>
  <c r="C2252" i="10"/>
  <c r="B2252" i="10"/>
  <c r="A2252" i="10"/>
  <c r="E2251" i="10"/>
  <c r="D2251" i="10"/>
  <c r="C2251" i="10"/>
  <c r="B2251" i="10"/>
  <c r="A2251" i="10"/>
  <c r="E2250" i="10"/>
  <c r="D2250" i="10"/>
  <c r="C2250" i="10"/>
  <c r="B2250" i="10"/>
  <c r="A2250" i="10"/>
  <c r="E2249" i="10"/>
  <c r="D2249" i="10"/>
  <c r="C2249" i="10"/>
  <c r="B2249" i="10"/>
  <c r="A2249" i="10"/>
  <c r="E2248" i="10"/>
  <c r="D2248" i="10"/>
  <c r="C2248" i="10"/>
  <c r="B2248" i="10"/>
  <c r="A2248" i="10"/>
  <c r="E2247" i="10"/>
  <c r="D2247" i="10"/>
  <c r="C2247" i="10"/>
  <c r="B2247" i="10"/>
  <c r="A2247" i="10"/>
  <c r="E2246" i="10"/>
  <c r="D2246" i="10"/>
  <c r="C2246" i="10"/>
  <c r="B2246" i="10"/>
  <c r="A2246" i="10"/>
  <c r="E2245" i="10"/>
  <c r="D2245" i="10"/>
  <c r="C2245" i="10"/>
  <c r="B2245" i="10"/>
  <c r="A2245" i="10"/>
  <c r="E2244" i="10"/>
  <c r="D2244" i="10"/>
  <c r="C2244" i="10"/>
  <c r="B2244" i="10"/>
  <c r="A2244" i="10"/>
  <c r="E2243" i="10"/>
  <c r="D2243" i="10"/>
  <c r="C2243" i="10"/>
  <c r="B2243" i="10"/>
  <c r="A2243" i="10"/>
  <c r="E2242" i="10"/>
  <c r="D2242" i="10"/>
  <c r="C2242" i="10"/>
  <c r="B2242" i="10"/>
  <c r="A2242" i="10"/>
  <c r="E2241" i="10"/>
  <c r="D2241" i="10"/>
  <c r="C2241" i="10"/>
  <c r="B2241" i="10"/>
  <c r="A2241" i="10"/>
  <c r="E2240" i="10"/>
  <c r="D2240" i="10"/>
  <c r="C2240" i="10"/>
  <c r="B2240" i="10"/>
  <c r="A2240" i="10"/>
  <c r="E2239" i="10"/>
  <c r="D2239" i="10"/>
  <c r="C2239" i="10"/>
  <c r="B2239" i="10"/>
  <c r="A2239" i="10"/>
  <c r="E2238" i="10"/>
  <c r="D2238" i="10"/>
  <c r="C2238" i="10"/>
  <c r="B2238" i="10"/>
  <c r="A2238" i="10"/>
  <c r="E2237" i="10"/>
  <c r="D2237" i="10"/>
  <c r="C2237" i="10"/>
  <c r="B2237" i="10"/>
  <c r="A2237" i="10"/>
  <c r="E2236" i="10"/>
  <c r="D2236" i="10"/>
  <c r="C2236" i="10"/>
  <c r="B2236" i="10"/>
  <c r="A2236" i="10"/>
  <c r="E2235" i="10"/>
  <c r="D2235" i="10"/>
  <c r="C2235" i="10"/>
  <c r="B2235" i="10"/>
  <c r="A2235" i="10"/>
  <c r="E2234" i="10"/>
  <c r="D2234" i="10"/>
  <c r="C2234" i="10"/>
  <c r="B2234" i="10"/>
  <c r="A2234" i="10"/>
  <c r="E2233" i="10"/>
  <c r="D2233" i="10"/>
  <c r="C2233" i="10"/>
  <c r="B2233" i="10"/>
  <c r="A2233" i="10"/>
  <c r="E2232" i="10"/>
  <c r="D2232" i="10"/>
  <c r="C2232" i="10"/>
  <c r="B2232" i="10"/>
  <c r="A2232" i="10"/>
  <c r="E2231" i="10"/>
  <c r="D2231" i="10"/>
  <c r="C2231" i="10"/>
  <c r="B2231" i="10"/>
  <c r="A2231" i="10"/>
  <c r="E2230" i="10"/>
  <c r="D2230" i="10"/>
  <c r="C2230" i="10"/>
  <c r="B2230" i="10"/>
  <c r="A2230" i="10"/>
  <c r="E2229" i="10"/>
  <c r="D2229" i="10"/>
  <c r="C2229" i="10"/>
  <c r="B2229" i="10"/>
  <c r="A2229" i="10"/>
  <c r="E2228" i="10"/>
  <c r="D2228" i="10"/>
  <c r="C2228" i="10"/>
  <c r="B2228" i="10"/>
  <c r="A2228" i="10"/>
  <c r="E2227" i="10"/>
  <c r="D2227" i="10"/>
  <c r="C2227" i="10"/>
  <c r="B2227" i="10"/>
  <c r="A2227" i="10"/>
  <c r="E2226" i="10"/>
  <c r="D2226" i="10"/>
  <c r="C2226" i="10"/>
  <c r="B2226" i="10"/>
  <c r="A2226" i="10"/>
  <c r="E2225" i="10"/>
  <c r="D2225" i="10"/>
  <c r="C2225" i="10"/>
  <c r="B2225" i="10"/>
  <c r="A2225" i="10"/>
  <c r="E2224" i="10"/>
  <c r="D2224" i="10"/>
  <c r="C2224" i="10"/>
  <c r="B2224" i="10"/>
  <c r="A2224" i="10"/>
  <c r="E2223" i="10"/>
  <c r="D2223" i="10"/>
  <c r="C2223" i="10"/>
  <c r="B2223" i="10"/>
  <c r="A2223" i="10"/>
  <c r="E2222" i="10"/>
  <c r="D2222" i="10"/>
  <c r="C2222" i="10"/>
  <c r="B2222" i="10"/>
  <c r="A2222" i="10"/>
  <c r="E2221" i="10"/>
  <c r="D2221" i="10"/>
  <c r="C2221" i="10"/>
  <c r="B2221" i="10"/>
  <c r="A2221" i="10"/>
  <c r="E2220" i="10"/>
  <c r="D2220" i="10"/>
  <c r="C2220" i="10"/>
  <c r="B2220" i="10"/>
  <c r="A2220" i="10"/>
  <c r="E2219" i="10"/>
  <c r="D2219" i="10"/>
  <c r="C2219" i="10"/>
  <c r="B2219" i="10"/>
  <c r="A2219" i="10"/>
  <c r="E2218" i="10"/>
  <c r="D2218" i="10"/>
  <c r="C2218" i="10"/>
  <c r="B2218" i="10"/>
  <c r="A2218" i="10"/>
  <c r="E2217" i="10"/>
  <c r="D2217" i="10"/>
  <c r="C2217" i="10"/>
  <c r="B2217" i="10"/>
  <c r="A2217" i="10"/>
  <c r="E2216" i="10"/>
  <c r="D2216" i="10"/>
  <c r="C2216" i="10"/>
  <c r="B2216" i="10"/>
  <c r="A2216" i="10"/>
  <c r="E2215" i="10"/>
  <c r="D2215" i="10"/>
  <c r="C2215" i="10"/>
  <c r="B2215" i="10"/>
  <c r="A2215" i="10"/>
  <c r="E2214" i="10"/>
  <c r="D2214" i="10"/>
  <c r="C2214" i="10"/>
  <c r="B2214" i="10"/>
  <c r="A2214" i="10"/>
  <c r="E2213" i="10"/>
  <c r="D2213" i="10"/>
  <c r="C2213" i="10"/>
  <c r="B2213" i="10"/>
  <c r="A2213" i="10"/>
  <c r="E2212" i="10"/>
  <c r="D2212" i="10"/>
  <c r="C2212" i="10"/>
  <c r="B2212" i="10"/>
  <c r="A2212" i="10"/>
  <c r="E2211" i="10"/>
  <c r="D2211" i="10"/>
  <c r="C2211" i="10"/>
  <c r="B2211" i="10"/>
  <c r="A2211" i="10"/>
  <c r="E2210" i="10"/>
  <c r="D2210" i="10"/>
  <c r="C2210" i="10"/>
  <c r="B2210" i="10"/>
  <c r="A2210" i="10"/>
  <c r="E2209" i="10"/>
  <c r="D2209" i="10"/>
  <c r="C2209" i="10"/>
  <c r="B2209" i="10"/>
  <c r="A2209" i="10"/>
  <c r="E2208" i="10"/>
  <c r="D2208" i="10"/>
  <c r="C2208" i="10"/>
  <c r="B2208" i="10"/>
  <c r="A2208" i="10"/>
  <c r="E2207" i="10"/>
  <c r="D2207" i="10"/>
  <c r="C2207" i="10"/>
  <c r="B2207" i="10"/>
  <c r="A2207" i="10"/>
  <c r="E2206" i="10"/>
  <c r="D2206" i="10"/>
  <c r="C2206" i="10"/>
  <c r="B2206" i="10"/>
  <c r="A2206" i="10"/>
  <c r="E2205" i="10"/>
  <c r="D2205" i="10"/>
  <c r="C2205" i="10"/>
  <c r="B2205" i="10"/>
  <c r="A2205" i="10"/>
  <c r="E2204" i="10"/>
  <c r="D2204" i="10"/>
  <c r="C2204" i="10"/>
  <c r="B2204" i="10"/>
  <c r="A2204" i="10"/>
  <c r="E2203" i="10"/>
  <c r="D2203" i="10"/>
  <c r="C2203" i="10"/>
  <c r="B2203" i="10"/>
  <c r="A2203" i="10"/>
  <c r="E2202" i="10"/>
  <c r="D2202" i="10"/>
  <c r="C2202" i="10"/>
  <c r="B2202" i="10"/>
  <c r="A2202" i="10"/>
  <c r="E2201" i="10"/>
  <c r="D2201" i="10"/>
  <c r="C2201" i="10"/>
  <c r="B2201" i="10"/>
  <c r="A2201" i="10"/>
  <c r="E2200" i="10"/>
  <c r="D2200" i="10"/>
  <c r="C2200" i="10"/>
  <c r="B2200" i="10"/>
  <c r="A2200" i="10"/>
  <c r="E2199" i="10"/>
  <c r="D2199" i="10"/>
  <c r="C2199" i="10"/>
  <c r="B2199" i="10"/>
  <c r="A2199" i="10"/>
  <c r="E2198" i="10"/>
  <c r="D2198" i="10"/>
  <c r="C2198" i="10"/>
  <c r="B2198" i="10"/>
  <c r="A2198" i="10"/>
  <c r="E2197" i="10"/>
  <c r="D2197" i="10"/>
  <c r="C2197" i="10"/>
  <c r="B2197" i="10"/>
  <c r="A2197" i="10"/>
  <c r="E2196" i="10"/>
  <c r="D2196" i="10"/>
  <c r="C2196" i="10"/>
  <c r="B2196" i="10"/>
  <c r="A2196" i="10"/>
  <c r="E2195" i="10"/>
  <c r="D2195" i="10"/>
  <c r="C2195" i="10"/>
  <c r="B2195" i="10"/>
  <c r="A2195" i="10"/>
  <c r="E2194" i="10"/>
  <c r="D2194" i="10"/>
  <c r="C2194" i="10"/>
  <c r="B2194" i="10"/>
  <c r="A2194" i="10"/>
  <c r="E2193" i="10"/>
  <c r="D2193" i="10"/>
  <c r="C2193" i="10"/>
  <c r="B2193" i="10"/>
  <c r="A2193" i="10"/>
  <c r="E2192" i="10"/>
  <c r="D2192" i="10"/>
  <c r="C2192" i="10"/>
  <c r="B2192" i="10"/>
  <c r="A2192" i="10"/>
  <c r="E2191" i="10"/>
  <c r="D2191" i="10"/>
  <c r="C2191" i="10"/>
  <c r="B2191" i="10"/>
  <c r="A2191" i="10"/>
  <c r="E2190" i="10"/>
  <c r="D2190" i="10"/>
  <c r="C2190" i="10"/>
  <c r="B2190" i="10"/>
  <c r="A2190" i="10"/>
  <c r="E2189" i="10"/>
  <c r="D2189" i="10"/>
  <c r="C2189" i="10"/>
  <c r="B2189" i="10"/>
  <c r="A2189" i="10"/>
  <c r="E2188" i="10"/>
  <c r="D2188" i="10"/>
  <c r="C2188" i="10"/>
  <c r="B2188" i="10"/>
  <c r="A2188" i="10"/>
  <c r="E2187" i="10"/>
  <c r="D2187" i="10"/>
  <c r="C2187" i="10"/>
  <c r="B2187" i="10"/>
  <c r="A2187" i="10"/>
  <c r="E2186" i="10"/>
  <c r="D2186" i="10"/>
  <c r="C2186" i="10"/>
  <c r="B2186" i="10"/>
  <c r="A2186" i="10"/>
  <c r="E2185" i="10"/>
  <c r="D2185" i="10"/>
  <c r="C2185" i="10"/>
  <c r="B2185" i="10"/>
  <c r="A2185" i="10"/>
  <c r="E2184" i="10"/>
  <c r="D2184" i="10"/>
  <c r="C2184" i="10"/>
  <c r="B2184" i="10"/>
  <c r="A2184" i="10"/>
  <c r="E2183" i="10"/>
  <c r="D2183" i="10"/>
  <c r="C2183" i="10"/>
  <c r="B2183" i="10"/>
  <c r="A2183" i="10"/>
  <c r="E2182" i="10"/>
  <c r="D2182" i="10"/>
  <c r="C2182" i="10"/>
  <c r="B2182" i="10"/>
  <c r="A2182" i="10"/>
  <c r="E2181" i="10"/>
  <c r="D2181" i="10"/>
  <c r="C2181" i="10"/>
  <c r="B2181" i="10"/>
  <c r="A2181" i="10"/>
  <c r="E2180" i="10"/>
  <c r="D2180" i="10"/>
  <c r="C2180" i="10"/>
  <c r="B2180" i="10"/>
  <c r="A2180" i="10"/>
  <c r="E2179" i="10"/>
  <c r="D2179" i="10"/>
  <c r="C2179" i="10"/>
  <c r="B2179" i="10"/>
  <c r="A2179" i="10"/>
  <c r="E2178" i="10"/>
  <c r="D2178" i="10"/>
  <c r="C2178" i="10"/>
  <c r="B2178" i="10"/>
  <c r="A2178" i="10"/>
  <c r="E2177" i="10"/>
  <c r="D2177" i="10"/>
  <c r="C2177" i="10"/>
  <c r="B2177" i="10"/>
  <c r="A2177" i="10"/>
  <c r="E2176" i="10"/>
  <c r="D2176" i="10"/>
  <c r="C2176" i="10"/>
  <c r="B2176" i="10"/>
  <c r="A2176" i="10"/>
  <c r="E2175" i="10"/>
  <c r="D2175" i="10"/>
  <c r="C2175" i="10"/>
  <c r="B2175" i="10"/>
  <c r="A2175" i="10"/>
  <c r="E2174" i="10"/>
  <c r="D2174" i="10"/>
  <c r="C2174" i="10"/>
  <c r="B2174" i="10"/>
  <c r="A2174" i="10"/>
  <c r="E2173" i="10"/>
  <c r="D2173" i="10"/>
  <c r="C2173" i="10"/>
  <c r="B2173" i="10"/>
  <c r="A2173" i="10"/>
  <c r="E2172" i="10"/>
  <c r="D2172" i="10"/>
  <c r="C2172" i="10"/>
  <c r="B2172" i="10"/>
  <c r="A2172" i="10"/>
  <c r="E2171" i="10"/>
  <c r="D2171" i="10"/>
  <c r="C2171" i="10"/>
  <c r="B2171" i="10"/>
  <c r="A2171" i="10"/>
  <c r="E2170" i="10"/>
  <c r="D2170" i="10"/>
  <c r="C2170" i="10"/>
  <c r="B2170" i="10"/>
  <c r="A2170" i="10"/>
  <c r="E2169" i="10"/>
  <c r="D2169" i="10"/>
  <c r="C2169" i="10"/>
  <c r="B2169" i="10"/>
  <c r="A2169" i="10"/>
  <c r="E2168" i="10"/>
  <c r="D2168" i="10"/>
  <c r="C2168" i="10"/>
  <c r="B2168" i="10"/>
  <c r="A2168" i="10"/>
  <c r="E2167" i="10"/>
  <c r="D2167" i="10"/>
  <c r="C2167" i="10"/>
  <c r="B2167" i="10"/>
  <c r="A2167" i="10"/>
  <c r="E2166" i="10"/>
  <c r="D2166" i="10"/>
  <c r="C2166" i="10"/>
  <c r="B2166" i="10"/>
  <c r="A2166" i="10"/>
  <c r="E2165" i="10"/>
  <c r="D2165" i="10"/>
  <c r="C2165" i="10"/>
  <c r="B2165" i="10"/>
  <c r="A2165" i="10"/>
  <c r="E2164" i="10"/>
  <c r="D2164" i="10"/>
  <c r="C2164" i="10"/>
  <c r="B2164" i="10"/>
  <c r="A2164" i="10"/>
  <c r="E2163" i="10"/>
  <c r="D2163" i="10"/>
  <c r="C2163" i="10"/>
  <c r="B2163" i="10"/>
  <c r="A2163" i="10"/>
  <c r="E2162" i="10"/>
  <c r="D2162" i="10"/>
  <c r="C2162" i="10"/>
  <c r="B2162" i="10"/>
  <c r="A2162" i="10"/>
  <c r="E2161" i="10"/>
  <c r="D2161" i="10"/>
  <c r="C2161" i="10"/>
  <c r="B2161" i="10"/>
  <c r="A2161" i="10"/>
  <c r="E2160" i="10"/>
  <c r="D2160" i="10"/>
  <c r="C2160" i="10"/>
  <c r="B2160" i="10"/>
  <c r="A2160" i="10"/>
  <c r="E2159" i="10"/>
  <c r="D2159" i="10"/>
  <c r="C2159" i="10"/>
  <c r="B2159" i="10"/>
  <c r="A2159" i="10"/>
  <c r="E2158" i="10"/>
  <c r="D2158" i="10"/>
  <c r="C2158" i="10"/>
  <c r="B2158" i="10"/>
  <c r="A2158" i="10"/>
  <c r="E2157" i="10"/>
  <c r="D2157" i="10"/>
  <c r="C2157" i="10"/>
  <c r="B2157" i="10"/>
  <c r="A2157" i="10"/>
  <c r="E2156" i="10"/>
  <c r="D2156" i="10"/>
  <c r="C2156" i="10"/>
  <c r="B2156" i="10"/>
  <c r="A2156" i="10"/>
  <c r="E2155" i="10"/>
  <c r="D2155" i="10"/>
  <c r="C2155" i="10"/>
  <c r="B2155" i="10"/>
  <c r="A2155" i="10"/>
  <c r="E2154" i="10"/>
  <c r="D2154" i="10"/>
  <c r="C2154" i="10"/>
  <c r="B2154" i="10"/>
  <c r="A2154" i="10"/>
  <c r="E2153" i="10"/>
  <c r="D2153" i="10"/>
  <c r="C2153" i="10"/>
  <c r="B2153" i="10"/>
  <c r="A2153" i="10"/>
  <c r="E2152" i="10"/>
  <c r="D2152" i="10"/>
  <c r="C2152" i="10"/>
  <c r="B2152" i="10"/>
  <c r="A2152" i="10"/>
  <c r="E2151" i="10"/>
  <c r="D2151" i="10"/>
  <c r="C2151" i="10"/>
  <c r="B2151" i="10"/>
  <c r="A2151" i="10"/>
  <c r="E2150" i="10"/>
  <c r="D2150" i="10"/>
  <c r="C2150" i="10"/>
  <c r="B2150" i="10"/>
  <c r="A2150" i="10"/>
  <c r="E2149" i="10"/>
  <c r="D2149" i="10"/>
  <c r="C2149" i="10"/>
  <c r="B2149" i="10"/>
  <c r="A2149" i="10"/>
  <c r="E2148" i="10"/>
  <c r="D2148" i="10"/>
  <c r="C2148" i="10"/>
  <c r="B2148" i="10"/>
  <c r="A2148" i="10"/>
  <c r="E2147" i="10"/>
  <c r="D2147" i="10"/>
  <c r="C2147" i="10"/>
  <c r="B2147" i="10"/>
  <c r="A2147" i="10"/>
  <c r="E2146" i="10"/>
  <c r="D2146" i="10"/>
  <c r="C2146" i="10"/>
  <c r="B2146" i="10"/>
  <c r="A2146" i="10"/>
  <c r="E2145" i="10"/>
  <c r="D2145" i="10"/>
  <c r="C2145" i="10"/>
  <c r="B2145" i="10"/>
  <c r="A2145" i="10"/>
  <c r="E2144" i="10"/>
  <c r="D2144" i="10"/>
  <c r="C2144" i="10"/>
  <c r="B2144" i="10"/>
  <c r="A2144" i="10"/>
  <c r="E2143" i="10"/>
  <c r="D2143" i="10"/>
  <c r="C2143" i="10"/>
  <c r="B2143" i="10"/>
  <c r="A2143" i="10"/>
  <c r="E2142" i="10"/>
  <c r="D2142" i="10"/>
  <c r="C2142" i="10"/>
  <c r="B2142" i="10"/>
  <c r="A2142" i="10"/>
  <c r="E2141" i="10"/>
  <c r="D2141" i="10"/>
  <c r="C2141" i="10"/>
  <c r="B2141" i="10"/>
  <c r="A2141" i="10"/>
  <c r="E2140" i="10"/>
  <c r="D2140" i="10"/>
  <c r="C2140" i="10"/>
  <c r="B2140" i="10"/>
  <c r="A2140" i="10"/>
  <c r="E2139" i="10"/>
  <c r="D2139" i="10"/>
  <c r="C2139" i="10"/>
  <c r="B2139" i="10"/>
  <c r="A2139" i="10"/>
  <c r="E2138" i="10"/>
  <c r="D2138" i="10"/>
  <c r="C2138" i="10"/>
  <c r="B2138" i="10"/>
  <c r="A2138" i="10"/>
  <c r="E2137" i="10"/>
  <c r="D2137" i="10"/>
  <c r="C2137" i="10"/>
  <c r="B2137" i="10"/>
  <c r="A2137" i="10"/>
  <c r="E2136" i="10"/>
  <c r="D2136" i="10"/>
  <c r="C2136" i="10"/>
  <c r="B2136" i="10"/>
  <c r="A2136" i="10"/>
  <c r="E2135" i="10"/>
  <c r="D2135" i="10"/>
  <c r="C2135" i="10"/>
  <c r="B2135" i="10"/>
  <c r="A2135" i="10"/>
  <c r="E2134" i="10"/>
  <c r="D2134" i="10"/>
  <c r="C2134" i="10"/>
  <c r="B2134" i="10"/>
  <c r="A2134" i="10"/>
  <c r="E2133" i="10"/>
  <c r="D2133" i="10"/>
  <c r="C2133" i="10"/>
  <c r="B2133" i="10"/>
  <c r="A2133" i="10"/>
  <c r="E2132" i="10"/>
  <c r="D2132" i="10"/>
  <c r="C2132" i="10"/>
  <c r="B2132" i="10"/>
  <c r="A2132" i="10"/>
  <c r="E2131" i="10"/>
  <c r="D2131" i="10"/>
  <c r="C2131" i="10"/>
  <c r="B2131" i="10"/>
  <c r="A2131" i="10"/>
  <c r="E2130" i="10"/>
  <c r="D2130" i="10"/>
  <c r="C2130" i="10"/>
  <c r="B2130" i="10"/>
  <c r="A2130" i="10"/>
  <c r="E2129" i="10"/>
  <c r="D2129" i="10"/>
  <c r="C2129" i="10"/>
  <c r="B2129" i="10"/>
  <c r="A2129" i="10"/>
  <c r="E2128" i="10"/>
  <c r="D2128" i="10"/>
  <c r="C2128" i="10"/>
  <c r="B2128" i="10"/>
  <c r="A2128" i="10"/>
  <c r="E2127" i="10"/>
  <c r="D2127" i="10"/>
  <c r="C2127" i="10"/>
  <c r="B2127" i="10"/>
  <c r="A2127" i="10"/>
  <c r="E2126" i="10"/>
  <c r="D2126" i="10"/>
  <c r="C2126" i="10"/>
  <c r="B2126" i="10"/>
  <c r="A2126" i="10"/>
  <c r="E2125" i="10"/>
  <c r="D2125" i="10"/>
  <c r="C2125" i="10"/>
  <c r="B2125" i="10"/>
  <c r="A2125" i="10"/>
  <c r="E2124" i="10"/>
  <c r="D2124" i="10"/>
  <c r="C2124" i="10"/>
  <c r="B2124" i="10"/>
  <c r="A2124" i="10"/>
  <c r="E2123" i="10"/>
  <c r="D2123" i="10"/>
  <c r="C2123" i="10"/>
  <c r="B2123" i="10"/>
  <c r="A2123" i="10"/>
  <c r="E2122" i="10"/>
  <c r="D2122" i="10"/>
  <c r="C2122" i="10"/>
  <c r="B2122" i="10"/>
  <c r="A2122" i="10"/>
  <c r="E2121" i="10"/>
  <c r="D2121" i="10"/>
  <c r="C2121" i="10"/>
  <c r="B2121" i="10"/>
  <c r="A2121" i="10"/>
  <c r="E2120" i="10"/>
  <c r="D2120" i="10"/>
  <c r="C2120" i="10"/>
  <c r="B2120" i="10"/>
  <c r="A2120" i="10"/>
  <c r="E2119" i="10"/>
  <c r="D2119" i="10"/>
  <c r="C2119" i="10"/>
  <c r="B2119" i="10"/>
  <c r="A2119" i="10"/>
  <c r="E2118" i="10"/>
  <c r="D2118" i="10"/>
  <c r="C2118" i="10"/>
  <c r="B2118" i="10"/>
  <c r="A2118" i="10"/>
  <c r="E2117" i="10"/>
  <c r="D2117" i="10"/>
  <c r="C2117" i="10"/>
  <c r="B2117" i="10"/>
  <c r="A2117" i="10"/>
  <c r="E2116" i="10"/>
  <c r="D2116" i="10"/>
  <c r="C2116" i="10"/>
  <c r="B2116" i="10"/>
  <c r="A2116" i="10"/>
  <c r="E2115" i="10"/>
  <c r="D2115" i="10"/>
  <c r="C2115" i="10"/>
  <c r="B2115" i="10"/>
  <c r="A2115" i="10"/>
  <c r="E2114" i="10"/>
  <c r="D2114" i="10"/>
  <c r="C2114" i="10"/>
  <c r="B2114" i="10"/>
  <c r="A2114" i="10"/>
  <c r="E2113" i="10"/>
  <c r="D2113" i="10"/>
  <c r="C2113" i="10"/>
  <c r="B2113" i="10"/>
  <c r="A2113" i="10"/>
  <c r="E2112" i="10"/>
  <c r="D2112" i="10"/>
  <c r="C2112" i="10"/>
  <c r="B2112" i="10"/>
  <c r="A2112" i="10"/>
  <c r="E2111" i="10"/>
  <c r="D2111" i="10"/>
  <c r="C2111" i="10"/>
  <c r="B2111" i="10"/>
  <c r="A2111" i="10"/>
  <c r="E2110" i="10"/>
  <c r="D2110" i="10"/>
  <c r="C2110" i="10"/>
  <c r="B2110" i="10"/>
  <c r="A2110" i="10"/>
  <c r="E2109" i="10"/>
  <c r="D2109" i="10"/>
  <c r="C2109" i="10"/>
  <c r="B2109" i="10"/>
  <c r="A2109" i="10"/>
  <c r="E2108" i="10"/>
  <c r="D2108" i="10"/>
  <c r="C2108" i="10"/>
  <c r="B2108" i="10"/>
  <c r="A2108" i="10"/>
  <c r="E2107" i="10"/>
  <c r="D2107" i="10"/>
  <c r="C2107" i="10"/>
  <c r="B2107" i="10"/>
  <c r="A2107" i="10"/>
  <c r="E2106" i="10"/>
  <c r="D2106" i="10"/>
  <c r="C2106" i="10"/>
  <c r="B2106" i="10"/>
  <c r="A2106" i="10"/>
  <c r="E2105" i="10"/>
  <c r="D2105" i="10"/>
  <c r="C2105" i="10"/>
  <c r="B2105" i="10"/>
  <c r="A2105" i="10"/>
  <c r="E2104" i="10"/>
  <c r="D2104" i="10"/>
  <c r="C2104" i="10"/>
  <c r="B2104" i="10"/>
  <c r="A2104" i="10"/>
  <c r="E2103" i="10"/>
  <c r="D2103" i="10"/>
  <c r="C2103" i="10"/>
  <c r="B2103" i="10"/>
  <c r="A2103" i="10"/>
  <c r="E2102" i="10"/>
  <c r="D2102" i="10"/>
  <c r="C2102" i="10"/>
  <c r="B2102" i="10"/>
  <c r="A2102" i="10"/>
  <c r="E2101" i="10"/>
  <c r="D2101" i="10"/>
  <c r="C2101" i="10"/>
  <c r="B2101" i="10"/>
  <c r="A2101" i="10"/>
  <c r="E2100" i="10"/>
  <c r="D2100" i="10"/>
  <c r="C2100" i="10"/>
  <c r="B2100" i="10"/>
  <c r="A2100" i="10"/>
  <c r="E2099" i="10"/>
  <c r="D2099" i="10"/>
  <c r="C2099" i="10"/>
  <c r="B2099" i="10"/>
  <c r="A2099" i="10"/>
  <c r="E2098" i="10"/>
  <c r="D2098" i="10"/>
  <c r="C2098" i="10"/>
  <c r="B2098" i="10"/>
  <c r="A2098" i="10"/>
  <c r="E2097" i="10"/>
  <c r="D2097" i="10"/>
  <c r="C2097" i="10"/>
  <c r="B2097" i="10"/>
  <c r="A2097" i="10"/>
  <c r="E2096" i="10"/>
  <c r="D2096" i="10"/>
  <c r="C2096" i="10"/>
  <c r="B2096" i="10"/>
  <c r="A2096" i="10"/>
  <c r="E2095" i="10"/>
  <c r="D2095" i="10"/>
  <c r="C2095" i="10"/>
  <c r="B2095" i="10"/>
  <c r="A2095" i="10"/>
  <c r="E2094" i="10"/>
  <c r="D2094" i="10"/>
  <c r="C2094" i="10"/>
  <c r="B2094" i="10"/>
  <c r="A2094" i="10"/>
  <c r="E2093" i="10"/>
  <c r="D2093" i="10"/>
  <c r="C2093" i="10"/>
  <c r="B2093" i="10"/>
  <c r="A2093" i="10"/>
  <c r="E2092" i="10"/>
  <c r="D2092" i="10"/>
  <c r="C2092" i="10"/>
  <c r="B2092" i="10"/>
  <c r="A2092" i="10"/>
  <c r="E2091" i="10"/>
  <c r="D2091" i="10"/>
  <c r="C2091" i="10"/>
  <c r="B2091" i="10"/>
  <c r="A2091" i="10"/>
  <c r="E2090" i="10"/>
  <c r="D2090" i="10"/>
  <c r="C2090" i="10"/>
  <c r="B2090" i="10"/>
  <c r="A2090" i="10"/>
  <c r="E2089" i="10"/>
  <c r="D2089" i="10"/>
  <c r="C2089" i="10"/>
  <c r="B2089" i="10"/>
  <c r="A2089" i="10"/>
  <c r="E2088" i="10"/>
  <c r="D2088" i="10"/>
  <c r="C2088" i="10"/>
  <c r="B2088" i="10"/>
  <c r="A2088" i="10"/>
  <c r="E2087" i="10"/>
  <c r="D2087" i="10"/>
  <c r="C2087" i="10"/>
  <c r="B2087" i="10"/>
  <c r="A2087" i="10"/>
  <c r="E2086" i="10"/>
  <c r="D2086" i="10"/>
  <c r="C2086" i="10"/>
  <c r="B2086" i="10"/>
  <c r="A2086" i="10"/>
  <c r="E2085" i="10"/>
  <c r="D2085" i="10"/>
  <c r="C2085" i="10"/>
  <c r="B2085" i="10"/>
  <c r="A2085" i="10"/>
  <c r="E2084" i="10"/>
  <c r="D2084" i="10"/>
  <c r="C2084" i="10"/>
  <c r="B2084" i="10"/>
  <c r="A2084" i="10"/>
  <c r="E2083" i="10"/>
  <c r="D2083" i="10"/>
  <c r="C2083" i="10"/>
  <c r="B2083" i="10"/>
  <c r="A2083" i="10"/>
  <c r="E2082" i="10"/>
  <c r="D2082" i="10"/>
  <c r="C2082" i="10"/>
  <c r="B2082" i="10"/>
  <c r="A2082" i="10"/>
  <c r="E2081" i="10"/>
  <c r="D2081" i="10"/>
  <c r="C2081" i="10"/>
  <c r="B2081" i="10"/>
  <c r="A2081" i="10"/>
  <c r="E2080" i="10"/>
  <c r="D2080" i="10"/>
  <c r="C2080" i="10"/>
  <c r="B2080" i="10"/>
  <c r="A2080" i="10"/>
  <c r="E2079" i="10"/>
  <c r="D2079" i="10"/>
  <c r="C2079" i="10"/>
  <c r="B2079" i="10"/>
  <c r="A2079" i="10"/>
  <c r="E2078" i="10"/>
  <c r="D2078" i="10"/>
  <c r="C2078" i="10"/>
  <c r="B2078" i="10"/>
  <c r="A2078" i="10"/>
  <c r="E2077" i="10"/>
  <c r="D2077" i="10"/>
  <c r="C2077" i="10"/>
  <c r="B2077" i="10"/>
  <c r="A2077" i="10"/>
  <c r="E2076" i="10"/>
  <c r="D2076" i="10"/>
  <c r="C2076" i="10"/>
  <c r="B2076" i="10"/>
  <c r="A2076" i="10"/>
  <c r="E2075" i="10"/>
  <c r="D2075" i="10"/>
  <c r="C2075" i="10"/>
  <c r="B2075" i="10"/>
  <c r="A2075" i="10"/>
  <c r="E2074" i="10"/>
  <c r="D2074" i="10"/>
  <c r="C2074" i="10"/>
  <c r="B2074" i="10"/>
  <c r="A2074" i="10"/>
  <c r="E2073" i="10"/>
  <c r="D2073" i="10"/>
  <c r="C2073" i="10"/>
  <c r="B2073" i="10"/>
  <c r="A2073" i="10"/>
  <c r="E2072" i="10"/>
  <c r="D2072" i="10"/>
  <c r="C2072" i="10"/>
  <c r="B2072" i="10"/>
  <c r="A2072" i="10"/>
  <c r="E2071" i="10"/>
  <c r="D2071" i="10"/>
  <c r="C2071" i="10"/>
  <c r="B2071" i="10"/>
  <c r="A2071" i="10"/>
  <c r="E2070" i="10"/>
  <c r="D2070" i="10"/>
  <c r="C2070" i="10"/>
  <c r="B2070" i="10"/>
  <c r="A2070" i="10"/>
  <c r="E2069" i="10"/>
  <c r="D2069" i="10"/>
  <c r="C2069" i="10"/>
  <c r="B2069" i="10"/>
  <c r="A2069" i="10"/>
  <c r="E2068" i="10"/>
  <c r="D2068" i="10"/>
  <c r="C2068" i="10"/>
  <c r="B2068" i="10"/>
  <c r="A2068" i="10"/>
  <c r="E2067" i="10"/>
  <c r="D2067" i="10"/>
  <c r="C2067" i="10"/>
  <c r="B2067" i="10"/>
  <c r="A2067" i="10"/>
  <c r="E2066" i="10"/>
  <c r="D2066" i="10"/>
  <c r="C2066" i="10"/>
  <c r="B2066" i="10"/>
  <c r="A2066" i="10"/>
  <c r="E2065" i="10"/>
  <c r="D2065" i="10"/>
  <c r="C2065" i="10"/>
  <c r="B2065" i="10"/>
  <c r="A2065" i="10"/>
  <c r="E2064" i="10"/>
  <c r="D2064" i="10"/>
  <c r="C2064" i="10"/>
  <c r="B2064" i="10"/>
  <c r="A2064" i="10"/>
  <c r="E2063" i="10"/>
  <c r="D2063" i="10"/>
  <c r="C2063" i="10"/>
  <c r="B2063" i="10"/>
  <c r="A2063" i="10"/>
  <c r="E2062" i="10"/>
  <c r="D2062" i="10"/>
  <c r="C2062" i="10"/>
  <c r="B2062" i="10"/>
  <c r="A2062" i="10"/>
  <c r="E2061" i="10"/>
  <c r="D2061" i="10"/>
  <c r="C2061" i="10"/>
  <c r="B2061" i="10"/>
  <c r="A2061" i="10"/>
  <c r="E2060" i="10"/>
  <c r="D2060" i="10"/>
  <c r="C2060" i="10"/>
  <c r="B2060" i="10"/>
  <c r="A2060" i="10"/>
  <c r="E2059" i="10"/>
  <c r="D2059" i="10"/>
  <c r="C2059" i="10"/>
  <c r="B2059" i="10"/>
  <c r="A2059" i="10"/>
  <c r="E2058" i="10"/>
  <c r="D2058" i="10"/>
  <c r="C2058" i="10"/>
  <c r="B2058" i="10"/>
  <c r="A2058" i="10"/>
  <c r="E2057" i="10"/>
  <c r="D2057" i="10"/>
  <c r="C2057" i="10"/>
  <c r="B2057" i="10"/>
  <c r="A2057" i="10"/>
  <c r="E2056" i="10"/>
  <c r="D2056" i="10"/>
  <c r="C2056" i="10"/>
  <c r="B2056" i="10"/>
  <c r="A2056" i="10"/>
  <c r="E2055" i="10"/>
  <c r="D2055" i="10"/>
  <c r="C2055" i="10"/>
  <c r="B2055" i="10"/>
  <c r="A2055" i="10"/>
  <c r="E2054" i="10"/>
  <c r="D2054" i="10"/>
  <c r="C2054" i="10"/>
  <c r="B2054" i="10"/>
  <c r="A2054" i="10"/>
  <c r="E2053" i="10"/>
  <c r="D2053" i="10"/>
  <c r="C2053" i="10"/>
  <c r="B2053" i="10"/>
  <c r="A2053" i="10"/>
  <c r="E2052" i="10"/>
  <c r="D2052" i="10"/>
  <c r="C2052" i="10"/>
  <c r="B2052" i="10"/>
  <c r="A2052" i="10"/>
  <c r="E2051" i="10"/>
  <c r="D2051" i="10"/>
  <c r="C2051" i="10"/>
  <c r="B2051" i="10"/>
  <c r="A2051" i="10"/>
  <c r="E2050" i="10"/>
  <c r="D2050" i="10"/>
  <c r="C2050" i="10"/>
  <c r="B2050" i="10"/>
  <c r="A2050" i="10"/>
  <c r="E2049" i="10"/>
  <c r="D2049" i="10"/>
  <c r="C2049" i="10"/>
  <c r="B2049" i="10"/>
  <c r="A2049" i="10"/>
  <c r="E2048" i="10"/>
  <c r="D2048" i="10"/>
  <c r="C2048" i="10"/>
  <c r="B2048" i="10"/>
  <c r="A2048" i="10"/>
  <c r="E2047" i="10"/>
  <c r="D2047" i="10"/>
  <c r="C2047" i="10"/>
  <c r="B2047" i="10"/>
  <c r="A2047" i="10"/>
  <c r="E2046" i="10"/>
  <c r="D2046" i="10"/>
  <c r="C2046" i="10"/>
  <c r="B2046" i="10"/>
  <c r="A2046" i="10"/>
  <c r="E2045" i="10"/>
  <c r="D2045" i="10"/>
  <c r="C2045" i="10"/>
  <c r="B2045" i="10"/>
  <c r="A2045" i="10"/>
  <c r="E2044" i="10"/>
  <c r="D2044" i="10"/>
  <c r="C2044" i="10"/>
  <c r="B2044" i="10"/>
  <c r="A2044" i="10"/>
  <c r="E2043" i="10"/>
  <c r="D2043" i="10"/>
  <c r="C2043" i="10"/>
  <c r="B2043" i="10"/>
  <c r="A2043" i="10"/>
  <c r="E2042" i="10"/>
  <c r="D2042" i="10"/>
  <c r="C2042" i="10"/>
  <c r="B2042" i="10"/>
  <c r="A2042" i="10"/>
  <c r="E2041" i="10"/>
  <c r="D2041" i="10"/>
  <c r="C2041" i="10"/>
  <c r="B2041" i="10"/>
  <c r="A2041" i="10"/>
  <c r="E2040" i="10"/>
  <c r="D2040" i="10"/>
  <c r="C2040" i="10"/>
  <c r="B2040" i="10"/>
  <c r="A2040" i="10"/>
  <c r="E2039" i="10"/>
  <c r="D2039" i="10"/>
  <c r="C2039" i="10"/>
  <c r="B2039" i="10"/>
  <c r="A2039" i="10"/>
  <c r="E2038" i="10"/>
  <c r="D2038" i="10"/>
  <c r="C2038" i="10"/>
  <c r="B2038" i="10"/>
  <c r="A2038" i="10"/>
  <c r="E2037" i="10"/>
  <c r="D2037" i="10"/>
  <c r="C2037" i="10"/>
  <c r="B2037" i="10"/>
  <c r="A2037" i="10"/>
  <c r="E2036" i="10"/>
  <c r="D2036" i="10"/>
  <c r="C2036" i="10"/>
  <c r="B2036" i="10"/>
  <c r="A2036" i="10"/>
  <c r="E2035" i="10"/>
  <c r="D2035" i="10"/>
  <c r="C2035" i="10"/>
  <c r="B2035" i="10"/>
  <c r="A2035" i="10"/>
  <c r="E2034" i="10"/>
  <c r="D2034" i="10"/>
  <c r="C2034" i="10"/>
  <c r="B2034" i="10"/>
  <c r="A2034" i="10"/>
  <c r="E2033" i="10"/>
  <c r="D2033" i="10"/>
  <c r="C2033" i="10"/>
  <c r="B2033" i="10"/>
  <c r="A2033" i="10"/>
  <c r="E2032" i="10"/>
  <c r="D2032" i="10"/>
  <c r="C2032" i="10"/>
  <c r="B2032" i="10"/>
  <c r="A2032" i="10"/>
  <c r="E2031" i="10"/>
  <c r="D2031" i="10"/>
  <c r="C2031" i="10"/>
  <c r="B2031" i="10"/>
  <c r="A2031" i="10"/>
  <c r="E2030" i="10"/>
  <c r="D2030" i="10"/>
  <c r="C2030" i="10"/>
  <c r="B2030" i="10"/>
  <c r="A2030" i="10"/>
  <c r="E2029" i="10"/>
  <c r="D2029" i="10"/>
  <c r="C2029" i="10"/>
  <c r="B2029" i="10"/>
  <c r="A2029" i="10"/>
  <c r="E2028" i="10"/>
  <c r="D2028" i="10"/>
  <c r="C2028" i="10"/>
  <c r="B2028" i="10"/>
  <c r="A2028" i="10"/>
  <c r="E2027" i="10"/>
  <c r="D2027" i="10"/>
  <c r="C2027" i="10"/>
  <c r="B2027" i="10"/>
  <c r="A2027" i="10"/>
  <c r="E2026" i="10"/>
  <c r="D2026" i="10"/>
  <c r="C2026" i="10"/>
  <c r="B2026" i="10"/>
  <c r="A2026" i="10"/>
  <c r="E2025" i="10"/>
  <c r="D2025" i="10"/>
  <c r="C2025" i="10"/>
  <c r="B2025" i="10"/>
  <c r="A2025" i="10"/>
  <c r="E2024" i="10"/>
  <c r="D2024" i="10"/>
  <c r="C2024" i="10"/>
  <c r="B2024" i="10"/>
  <c r="A2024" i="10"/>
  <c r="E2023" i="10"/>
  <c r="D2023" i="10"/>
  <c r="C2023" i="10"/>
  <c r="B2023" i="10"/>
  <c r="A2023" i="10"/>
  <c r="E2022" i="10"/>
  <c r="D2022" i="10"/>
  <c r="C2022" i="10"/>
  <c r="B2022" i="10"/>
  <c r="A2022" i="10"/>
  <c r="E2021" i="10"/>
  <c r="D2021" i="10"/>
  <c r="C2021" i="10"/>
  <c r="B2021" i="10"/>
  <c r="A2021" i="10"/>
  <c r="E2020" i="10"/>
  <c r="D2020" i="10"/>
  <c r="C2020" i="10"/>
  <c r="B2020" i="10"/>
  <c r="A2020" i="10"/>
  <c r="E2019" i="10"/>
  <c r="D2019" i="10"/>
  <c r="C2019" i="10"/>
  <c r="B2019" i="10"/>
  <c r="A2019" i="10"/>
  <c r="E2018" i="10"/>
  <c r="D2018" i="10"/>
  <c r="C2018" i="10"/>
  <c r="B2018" i="10"/>
  <c r="A2018" i="10"/>
  <c r="E2017" i="10"/>
  <c r="D2017" i="10"/>
  <c r="C2017" i="10"/>
  <c r="B2017" i="10"/>
  <c r="A2017" i="10"/>
  <c r="E2016" i="10"/>
  <c r="D2016" i="10"/>
  <c r="C2016" i="10"/>
  <c r="B2016" i="10"/>
  <c r="A2016" i="10"/>
  <c r="E2015" i="10"/>
  <c r="D2015" i="10"/>
  <c r="C2015" i="10"/>
  <c r="B2015" i="10"/>
  <c r="A2015" i="10"/>
  <c r="E2014" i="10"/>
  <c r="D2014" i="10"/>
  <c r="C2014" i="10"/>
  <c r="B2014" i="10"/>
  <c r="A2014" i="10"/>
  <c r="E2013" i="10"/>
  <c r="D2013" i="10"/>
  <c r="C2013" i="10"/>
  <c r="B2013" i="10"/>
  <c r="A2013" i="10"/>
  <c r="E2012" i="10"/>
  <c r="D2012" i="10"/>
  <c r="C2012" i="10"/>
  <c r="B2012" i="10"/>
  <c r="A2012" i="10"/>
  <c r="E2011" i="10"/>
  <c r="D2011" i="10"/>
  <c r="C2011" i="10"/>
  <c r="B2011" i="10"/>
  <c r="A2011" i="10"/>
  <c r="E2010" i="10"/>
  <c r="D2010" i="10"/>
  <c r="C2010" i="10"/>
  <c r="B2010" i="10"/>
  <c r="A2010" i="10"/>
  <c r="E2009" i="10"/>
  <c r="D2009" i="10"/>
  <c r="C2009" i="10"/>
  <c r="B2009" i="10"/>
  <c r="A2009" i="10"/>
  <c r="E2008" i="10"/>
  <c r="D2008" i="10"/>
  <c r="C2008" i="10"/>
  <c r="B2008" i="10"/>
  <c r="A2008" i="10"/>
  <c r="E2007" i="10"/>
  <c r="D2007" i="10"/>
  <c r="C2007" i="10"/>
  <c r="B2007" i="10"/>
  <c r="A2007" i="10"/>
  <c r="E2006" i="10"/>
  <c r="D2006" i="10"/>
  <c r="C2006" i="10"/>
  <c r="B2006" i="10"/>
  <c r="A2006" i="10"/>
  <c r="E2005" i="10"/>
  <c r="D2005" i="10"/>
  <c r="C2005" i="10"/>
  <c r="B2005" i="10"/>
  <c r="A2005" i="10"/>
  <c r="E2004" i="10"/>
  <c r="D2004" i="10"/>
  <c r="C2004" i="10"/>
  <c r="B2004" i="10"/>
  <c r="A2004" i="10"/>
  <c r="E2003" i="10"/>
  <c r="D2003" i="10"/>
  <c r="C2003" i="10"/>
  <c r="B2003" i="10"/>
  <c r="A2003" i="10"/>
  <c r="E2002" i="10"/>
  <c r="D2002" i="10"/>
  <c r="C2002" i="10"/>
  <c r="B2002" i="10"/>
  <c r="A2002" i="10"/>
  <c r="E2001" i="10"/>
  <c r="D2001" i="10"/>
  <c r="C2001" i="10"/>
  <c r="B2001" i="10"/>
  <c r="A2001" i="10"/>
  <c r="E2000" i="10"/>
  <c r="D2000" i="10"/>
  <c r="C2000" i="10"/>
  <c r="B2000" i="10"/>
  <c r="A2000" i="10"/>
  <c r="E1999" i="10"/>
  <c r="D1999" i="10"/>
  <c r="C1999" i="10"/>
  <c r="B1999" i="10"/>
  <c r="A1999" i="10"/>
  <c r="E1998" i="10"/>
  <c r="D1998" i="10"/>
  <c r="C1998" i="10"/>
  <c r="B1998" i="10"/>
  <c r="A1998" i="10"/>
  <c r="E1997" i="10"/>
  <c r="D1997" i="10"/>
  <c r="C1997" i="10"/>
  <c r="B1997" i="10"/>
  <c r="A1997" i="10"/>
  <c r="E1996" i="10"/>
  <c r="D1996" i="10"/>
  <c r="C1996" i="10"/>
  <c r="B1996" i="10"/>
  <c r="A1996" i="10"/>
  <c r="E1995" i="10"/>
  <c r="D1995" i="10"/>
  <c r="C1995" i="10"/>
  <c r="B1995" i="10"/>
  <c r="A1995" i="10"/>
  <c r="E1994" i="10"/>
  <c r="D1994" i="10"/>
  <c r="C1994" i="10"/>
  <c r="B1994" i="10"/>
  <c r="A1994" i="10"/>
  <c r="E1993" i="10"/>
  <c r="D1993" i="10"/>
  <c r="C1993" i="10"/>
  <c r="B1993" i="10"/>
  <c r="A1993" i="10"/>
  <c r="E1992" i="10"/>
  <c r="D1992" i="10"/>
  <c r="C1992" i="10"/>
  <c r="B1992" i="10"/>
  <c r="A1992" i="10"/>
  <c r="E1991" i="10"/>
  <c r="D1991" i="10"/>
  <c r="C1991" i="10"/>
  <c r="B1991" i="10"/>
  <c r="A1991" i="10"/>
  <c r="E1990" i="10"/>
  <c r="D1990" i="10"/>
  <c r="C1990" i="10"/>
  <c r="B1990" i="10"/>
  <c r="A1990" i="10"/>
  <c r="E1989" i="10"/>
  <c r="D1989" i="10"/>
  <c r="C1989" i="10"/>
  <c r="B1989" i="10"/>
  <c r="A1989" i="10"/>
  <c r="E1988" i="10"/>
  <c r="D1988" i="10"/>
  <c r="C1988" i="10"/>
  <c r="B1988" i="10"/>
  <c r="A1988" i="10"/>
  <c r="E1987" i="10"/>
  <c r="D1987" i="10"/>
  <c r="C1987" i="10"/>
  <c r="B1987" i="10"/>
  <c r="A1987" i="10"/>
  <c r="E1986" i="10"/>
  <c r="D1986" i="10"/>
  <c r="C1986" i="10"/>
  <c r="B1986" i="10"/>
  <c r="A1986" i="10"/>
  <c r="E1985" i="10"/>
  <c r="D1985" i="10"/>
  <c r="C1985" i="10"/>
  <c r="B1985" i="10"/>
  <c r="A1985" i="10"/>
  <c r="E1984" i="10"/>
  <c r="D1984" i="10"/>
  <c r="C1984" i="10"/>
  <c r="B1984" i="10"/>
  <c r="A1984" i="10"/>
  <c r="E1983" i="10"/>
  <c r="D1983" i="10"/>
  <c r="C1983" i="10"/>
  <c r="B1983" i="10"/>
  <c r="A1983" i="10"/>
  <c r="E1982" i="10"/>
  <c r="D1982" i="10"/>
  <c r="C1982" i="10"/>
  <c r="B1982" i="10"/>
  <c r="A1982" i="10"/>
  <c r="E1981" i="10"/>
  <c r="D1981" i="10"/>
  <c r="C1981" i="10"/>
  <c r="B1981" i="10"/>
  <c r="A1981" i="10"/>
  <c r="E1980" i="10"/>
  <c r="D1980" i="10"/>
  <c r="C1980" i="10"/>
  <c r="B1980" i="10"/>
  <c r="A1980" i="10"/>
  <c r="E1979" i="10"/>
  <c r="D1979" i="10"/>
  <c r="C1979" i="10"/>
  <c r="B1979" i="10"/>
  <c r="A1979" i="10"/>
  <c r="E1978" i="10"/>
  <c r="D1978" i="10"/>
  <c r="C1978" i="10"/>
  <c r="B1978" i="10"/>
  <c r="A1978" i="10"/>
  <c r="E1977" i="10"/>
  <c r="D1977" i="10"/>
  <c r="C1977" i="10"/>
  <c r="B1977" i="10"/>
  <c r="A1977" i="10"/>
  <c r="E1976" i="10"/>
  <c r="D1976" i="10"/>
  <c r="C1976" i="10"/>
  <c r="B1976" i="10"/>
  <c r="A1976" i="10"/>
  <c r="E1975" i="10"/>
  <c r="D1975" i="10"/>
  <c r="C1975" i="10"/>
  <c r="B1975" i="10"/>
  <c r="A1975" i="10"/>
  <c r="E1974" i="10"/>
  <c r="D1974" i="10"/>
  <c r="C1974" i="10"/>
  <c r="B1974" i="10"/>
  <c r="A1974" i="10"/>
  <c r="E1973" i="10"/>
  <c r="D1973" i="10"/>
  <c r="C1973" i="10"/>
  <c r="B1973" i="10"/>
  <c r="A1973" i="10"/>
  <c r="E1972" i="10"/>
  <c r="D1972" i="10"/>
  <c r="C1972" i="10"/>
  <c r="B1972" i="10"/>
  <c r="A1972" i="10"/>
  <c r="E1971" i="10"/>
  <c r="D1971" i="10"/>
  <c r="C1971" i="10"/>
  <c r="B1971" i="10"/>
  <c r="A1971" i="10"/>
  <c r="E1970" i="10"/>
  <c r="D1970" i="10"/>
  <c r="C1970" i="10"/>
  <c r="B1970" i="10"/>
  <c r="A1970" i="10"/>
  <c r="E1969" i="10"/>
  <c r="D1969" i="10"/>
  <c r="C1969" i="10"/>
  <c r="B1969" i="10"/>
  <c r="A1969" i="10"/>
  <c r="E1968" i="10"/>
  <c r="D1968" i="10"/>
  <c r="C1968" i="10"/>
  <c r="B1968" i="10"/>
  <c r="A1968" i="10"/>
  <c r="E1967" i="10"/>
  <c r="D1967" i="10"/>
  <c r="C1967" i="10"/>
  <c r="B1967" i="10"/>
  <c r="A1967" i="10"/>
  <c r="E1966" i="10"/>
  <c r="D1966" i="10"/>
  <c r="C1966" i="10"/>
  <c r="B1966" i="10"/>
  <c r="A1966" i="10"/>
  <c r="E1965" i="10"/>
  <c r="D1965" i="10"/>
  <c r="C1965" i="10"/>
  <c r="B1965" i="10"/>
  <c r="A1965" i="10"/>
  <c r="E1964" i="10"/>
  <c r="D1964" i="10"/>
  <c r="C1964" i="10"/>
  <c r="B1964" i="10"/>
  <c r="A1964" i="10"/>
  <c r="E1963" i="10"/>
  <c r="D1963" i="10"/>
  <c r="C1963" i="10"/>
  <c r="B1963" i="10"/>
  <c r="A1963" i="10"/>
  <c r="E1962" i="10"/>
  <c r="D1962" i="10"/>
  <c r="C1962" i="10"/>
  <c r="B1962" i="10"/>
  <c r="A1962" i="10"/>
  <c r="E1961" i="10"/>
  <c r="D1961" i="10"/>
  <c r="C1961" i="10"/>
  <c r="B1961" i="10"/>
  <c r="A1961" i="10"/>
  <c r="E1960" i="10"/>
  <c r="D1960" i="10"/>
  <c r="C1960" i="10"/>
  <c r="B1960" i="10"/>
  <c r="A1960" i="10"/>
  <c r="E1959" i="10"/>
  <c r="D1959" i="10"/>
  <c r="C1959" i="10"/>
  <c r="B1959" i="10"/>
  <c r="A1959" i="10"/>
  <c r="E1958" i="10"/>
  <c r="D1958" i="10"/>
  <c r="C1958" i="10"/>
  <c r="B1958" i="10"/>
  <c r="A1958" i="10"/>
  <c r="E1957" i="10"/>
  <c r="D1957" i="10"/>
  <c r="C1957" i="10"/>
  <c r="B1957" i="10"/>
  <c r="A1957" i="10"/>
  <c r="E1956" i="10"/>
  <c r="D1956" i="10"/>
  <c r="C1956" i="10"/>
  <c r="B1956" i="10"/>
  <c r="A1956" i="10"/>
  <c r="E1955" i="10"/>
  <c r="D1955" i="10"/>
  <c r="C1955" i="10"/>
  <c r="B1955" i="10"/>
  <c r="A1955" i="10"/>
  <c r="E1954" i="10"/>
  <c r="D1954" i="10"/>
  <c r="C1954" i="10"/>
  <c r="B1954" i="10"/>
  <c r="A1954" i="10"/>
  <c r="E1953" i="10"/>
  <c r="D1953" i="10"/>
  <c r="C1953" i="10"/>
  <c r="B1953" i="10"/>
  <c r="A1953" i="10"/>
  <c r="E1952" i="10"/>
  <c r="D1952" i="10"/>
  <c r="C1952" i="10"/>
  <c r="B1952" i="10"/>
  <c r="A1952" i="10"/>
  <c r="E1951" i="10"/>
  <c r="D1951" i="10"/>
  <c r="C1951" i="10"/>
  <c r="B1951" i="10"/>
  <c r="A1951" i="10"/>
  <c r="E1950" i="10"/>
  <c r="D1950" i="10"/>
  <c r="C1950" i="10"/>
  <c r="B1950" i="10"/>
  <c r="A1950" i="10"/>
  <c r="E1949" i="10"/>
  <c r="D1949" i="10"/>
  <c r="C1949" i="10"/>
  <c r="B1949" i="10"/>
  <c r="A1949" i="10"/>
  <c r="E1948" i="10"/>
  <c r="D1948" i="10"/>
  <c r="C1948" i="10"/>
  <c r="B1948" i="10"/>
  <c r="A1948" i="10"/>
  <c r="E1947" i="10"/>
  <c r="D1947" i="10"/>
  <c r="C1947" i="10"/>
  <c r="B1947" i="10"/>
  <c r="A1947" i="10"/>
  <c r="E1946" i="10"/>
  <c r="D1946" i="10"/>
  <c r="C1946" i="10"/>
  <c r="B1946" i="10"/>
  <c r="A1946" i="10"/>
  <c r="E1945" i="10"/>
  <c r="D1945" i="10"/>
  <c r="C1945" i="10"/>
  <c r="B1945" i="10"/>
  <c r="A1945" i="10"/>
  <c r="E1944" i="10"/>
  <c r="D1944" i="10"/>
  <c r="C1944" i="10"/>
  <c r="B1944" i="10"/>
  <c r="A1944" i="10"/>
  <c r="E1943" i="10"/>
  <c r="D1943" i="10"/>
  <c r="C1943" i="10"/>
  <c r="B1943" i="10"/>
  <c r="A1943" i="10"/>
  <c r="E1942" i="10"/>
  <c r="D1942" i="10"/>
  <c r="C1942" i="10"/>
  <c r="B1942" i="10"/>
  <c r="A1942" i="10"/>
  <c r="E1941" i="10"/>
  <c r="D1941" i="10"/>
  <c r="C1941" i="10"/>
  <c r="B1941" i="10"/>
  <c r="A1941" i="10"/>
  <c r="E1940" i="10"/>
  <c r="D1940" i="10"/>
  <c r="C1940" i="10"/>
  <c r="B1940" i="10"/>
  <c r="A1940" i="10"/>
  <c r="E1939" i="10"/>
  <c r="D1939" i="10"/>
  <c r="C1939" i="10"/>
  <c r="B1939" i="10"/>
  <c r="A1939" i="10"/>
  <c r="E1938" i="10"/>
  <c r="D1938" i="10"/>
  <c r="C1938" i="10"/>
  <c r="B1938" i="10"/>
  <c r="A1938" i="10"/>
  <c r="E1937" i="10"/>
  <c r="D1937" i="10"/>
  <c r="C1937" i="10"/>
  <c r="B1937" i="10"/>
  <c r="A1937" i="10"/>
  <c r="E1936" i="10"/>
  <c r="D1936" i="10"/>
  <c r="C1936" i="10"/>
  <c r="B1936" i="10"/>
  <c r="A1936" i="10"/>
  <c r="E1935" i="10"/>
  <c r="D1935" i="10"/>
  <c r="C1935" i="10"/>
  <c r="B1935" i="10"/>
  <c r="A1935" i="10"/>
  <c r="E1934" i="10"/>
  <c r="D1934" i="10"/>
  <c r="C1934" i="10"/>
  <c r="B1934" i="10"/>
  <c r="A1934" i="10"/>
  <c r="E1933" i="10"/>
  <c r="D1933" i="10"/>
  <c r="C1933" i="10"/>
  <c r="B1933" i="10"/>
  <c r="A1933" i="10"/>
  <c r="E1932" i="10"/>
  <c r="D1932" i="10"/>
  <c r="C1932" i="10"/>
  <c r="B1932" i="10"/>
  <c r="A1932" i="10"/>
  <c r="E1931" i="10"/>
  <c r="D1931" i="10"/>
  <c r="C1931" i="10"/>
  <c r="B1931" i="10"/>
  <c r="A1931" i="10"/>
  <c r="E1930" i="10"/>
  <c r="D1930" i="10"/>
  <c r="C1930" i="10"/>
  <c r="B1930" i="10"/>
  <c r="A1930" i="10"/>
  <c r="E1929" i="10"/>
  <c r="D1929" i="10"/>
  <c r="C1929" i="10"/>
  <c r="B1929" i="10"/>
  <c r="A1929" i="10"/>
  <c r="E1928" i="10"/>
  <c r="D1928" i="10"/>
  <c r="C1928" i="10"/>
  <c r="B1928" i="10"/>
  <c r="A1928" i="10"/>
  <c r="E1927" i="10"/>
  <c r="D1927" i="10"/>
  <c r="C1927" i="10"/>
  <c r="B1927" i="10"/>
  <c r="A1927" i="10"/>
  <c r="E1926" i="10"/>
  <c r="D1926" i="10"/>
  <c r="C1926" i="10"/>
  <c r="B1926" i="10"/>
  <c r="A1926" i="10"/>
  <c r="E1925" i="10"/>
  <c r="D1925" i="10"/>
  <c r="C1925" i="10"/>
  <c r="B1925" i="10"/>
  <c r="A1925" i="10"/>
  <c r="E1924" i="10"/>
  <c r="D1924" i="10"/>
  <c r="C1924" i="10"/>
  <c r="B1924" i="10"/>
  <c r="A1924" i="10"/>
  <c r="E1923" i="10"/>
  <c r="D1923" i="10"/>
  <c r="C1923" i="10"/>
  <c r="B1923" i="10"/>
  <c r="A1923" i="10"/>
  <c r="E1922" i="10"/>
  <c r="D1922" i="10"/>
  <c r="C1922" i="10"/>
  <c r="B1922" i="10"/>
  <c r="A1922" i="10"/>
  <c r="E1921" i="10"/>
  <c r="D1921" i="10"/>
  <c r="C1921" i="10"/>
  <c r="B1921" i="10"/>
  <c r="A1921" i="10"/>
  <c r="E1920" i="10"/>
  <c r="D1920" i="10"/>
  <c r="C1920" i="10"/>
  <c r="B1920" i="10"/>
  <c r="A1920" i="10"/>
  <c r="E1919" i="10"/>
  <c r="D1919" i="10"/>
  <c r="C1919" i="10"/>
  <c r="B1919" i="10"/>
  <c r="A1919" i="10"/>
  <c r="E1918" i="10"/>
  <c r="D1918" i="10"/>
  <c r="C1918" i="10"/>
  <c r="B1918" i="10"/>
  <c r="A1918" i="10"/>
  <c r="E1917" i="10"/>
  <c r="D1917" i="10"/>
  <c r="C1917" i="10"/>
  <c r="B1917" i="10"/>
  <c r="A1917" i="10"/>
  <c r="E1916" i="10"/>
  <c r="D1916" i="10"/>
  <c r="C1916" i="10"/>
  <c r="B1916" i="10"/>
  <c r="A1916" i="10"/>
  <c r="E1915" i="10"/>
  <c r="D1915" i="10"/>
  <c r="C1915" i="10"/>
  <c r="B1915" i="10"/>
  <c r="A1915" i="10"/>
  <c r="E1914" i="10"/>
  <c r="D1914" i="10"/>
  <c r="C1914" i="10"/>
  <c r="B1914" i="10"/>
  <c r="A1914" i="10"/>
  <c r="E1913" i="10"/>
  <c r="D1913" i="10"/>
  <c r="C1913" i="10"/>
  <c r="B1913" i="10"/>
  <c r="A1913" i="10"/>
  <c r="E1912" i="10"/>
  <c r="D1912" i="10"/>
  <c r="C1912" i="10"/>
  <c r="B1912" i="10"/>
  <c r="A1912" i="10"/>
  <c r="E1911" i="10"/>
  <c r="D1911" i="10"/>
  <c r="C1911" i="10"/>
  <c r="B1911" i="10"/>
  <c r="A1911" i="10"/>
  <c r="E1910" i="10"/>
  <c r="D1910" i="10"/>
  <c r="C1910" i="10"/>
  <c r="B1910" i="10"/>
  <c r="A1910" i="10"/>
  <c r="E1909" i="10"/>
  <c r="D1909" i="10"/>
  <c r="C1909" i="10"/>
  <c r="B1909" i="10"/>
  <c r="A1909" i="10"/>
  <c r="E1908" i="10"/>
  <c r="D1908" i="10"/>
  <c r="C1908" i="10"/>
  <c r="B1908" i="10"/>
  <c r="A1908" i="10"/>
  <c r="E1907" i="10"/>
  <c r="D1907" i="10"/>
  <c r="C1907" i="10"/>
  <c r="B1907" i="10"/>
  <c r="A1907" i="10"/>
  <c r="E1906" i="10"/>
  <c r="D1906" i="10"/>
  <c r="C1906" i="10"/>
  <c r="B1906" i="10"/>
  <c r="A1906" i="10"/>
  <c r="E1905" i="10"/>
  <c r="D1905" i="10"/>
  <c r="C1905" i="10"/>
  <c r="B1905" i="10"/>
  <c r="A1905" i="10"/>
  <c r="E1904" i="10"/>
  <c r="D1904" i="10"/>
  <c r="C1904" i="10"/>
  <c r="B1904" i="10"/>
  <c r="A1904" i="10"/>
  <c r="E1903" i="10"/>
  <c r="D1903" i="10"/>
  <c r="C1903" i="10"/>
  <c r="B1903" i="10"/>
  <c r="A1903" i="10"/>
  <c r="E1902" i="10"/>
  <c r="D1902" i="10"/>
  <c r="C1902" i="10"/>
  <c r="B1902" i="10"/>
  <c r="A1902" i="10"/>
  <c r="E1901" i="10"/>
  <c r="D1901" i="10"/>
  <c r="C1901" i="10"/>
  <c r="B1901" i="10"/>
  <c r="A1901" i="10"/>
  <c r="E1900" i="10"/>
  <c r="D1900" i="10"/>
  <c r="C1900" i="10"/>
  <c r="B1900" i="10"/>
  <c r="A1900" i="10"/>
  <c r="E1899" i="10"/>
  <c r="D1899" i="10"/>
  <c r="C1899" i="10"/>
  <c r="B1899" i="10"/>
  <c r="A1899" i="10"/>
  <c r="E1898" i="10"/>
  <c r="D1898" i="10"/>
  <c r="C1898" i="10"/>
  <c r="B1898" i="10"/>
  <c r="A1898" i="10"/>
  <c r="E1897" i="10"/>
  <c r="D1897" i="10"/>
  <c r="C1897" i="10"/>
  <c r="B1897" i="10"/>
  <c r="A1897" i="10"/>
  <c r="E1896" i="10"/>
  <c r="D1896" i="10"/>
  <c r="C1896" i="10"/>
  <c r="B1896" i="10"/>
  <c r="A1896" i="10"/>
  <c r="E1895" i="10"/>
  <c r="D1895" i="10"/>
  <c r="C1895" i="10"/>
  <c r="B1895" i="10"/>
  <c r="A1895" i="10"/>
  <c r="E1894" i="10"/>
  <c r="D1894" i="10"/>
  <c r="C1894" i="10"/>
  <c r="B1894" i="10"/>
  <c r="A1894" i="10"/>
  <c r="E1893" i="10"/>
  <c r="D1893" i="10"/>
  <c r="C1893" i="10"/>
  <c r="B1893" i="10"/>
  <c r="A1893" i="10"/>
  <c r="E1892" i="10"/>
  <c r="D1892" i="10"/>
  <c r="C1892" i="10"/>
  <c r="B1892" i="10"/>
  <c r="A1892" i="10"/>
  <c r="E1891" i="10"/>
  <c r="D1891" i="10"/>
  <c r="C1891" i="10"/>
  <c r="B1891" i="10"/>
  <c r="A1891" i="10"/>
  <c r="E1890" i="10"/>
  <c r="D1890" i="10"/>
  <c r="C1890" i="10"/>
  <c r="B1890" i="10"/>
  <c r="A1890" i="10"/>
  <c r="E1889" i="10"/>
  <c r="D1889" i="10"/>
  <c r="C1889" i="10"/>
  <c r="B1889" i="10"/>
  <c r="A1889" i="10"/>
  <c r="E1888" i="10"/>
  <c r="D1888" i="10"/>
  <c r="C1888" i="10"/>
  <c r="B1888" i="10"/>
  <c r="A1888" i="10"/>
  <c r="E1887" i="10"/>
  <c r="D1887" i="10"/>
  <c r="C1887" i="10"/>
  <c r="B1887" i="10"/>
  <c r="A1887" i="10"/>
  <c r="E1886" i="10"/>
  <c r="D1886" i="10"/>
  <c r="C1886" i="10"/>
  <c r="B1886" i="10"/>
  <c r="A1886" i="10"/>
  <c r="E1885" i="10"/>
  <c r="D1885" i="10"/>
  <c r="C1885" i="10"/>
  <c r="B1885" i="10"/>
  <c r="A1885" i="10"/>
  <c r="E1884" i="10"/>
  <c r="D1884" i="10"/>
  <c r="C1884" i="10"/>
  <c r="B1884" i="10"/>
  <c r="A1884" i="10"/>
  <c r="E1883" i="10"/>
  <c r="D1883" i="10"/>
  <c r="C1883" i="10"/>
  <c r="B1883" i="10"/>
  <c r="A1883" i="10"/>
  <c r="E1882" i="10"/>
  <c r="D1882" i="10"/>
  <c r="C1882" i="10"/>
  <c r="B1882" i="10"/>
  <c r="A1882" i="10"/>
  <c r="E1881" i="10"/>
  <c r="D1881" i="10"/>
  <c r="C1881" i="10"/>
  <c r="B1881" i="10"/>
  <c r="A1881" i="10"/>
  <c r="E1880" i="10"/>
  <c r="D1880" i="10"/>
  <c r="C1880" i="10"/>
  <c r="B1880" i="10"/>
  <c r="A1880" i="10"/>
  <c r="E1879" i="10"/>
  <c r="D1879" i="10"/>
  <c r="C1879" i="10"/>
  <c r="B1879" i="10"/>
  <c r="A1879" i="10"/>
  <c r="E1878" i="10"/>
  <c r="D1878" i="10"/>
  <c r="C1878" i="10"/>
  <c r="B1878" i="10"/>
  <c r="A1878" i="10"/>
  <c r="E1877" i="10"/>
  <c r="D1877" i="10"/>
  <c r="C1877" i="10"/>
  <c r="B1877" i="10"/>
  <c r="A1877" i="10"/>
  <c r="E1876" i="10"/>
  <c r="D1876" i="10"/>
  <c r="C1876" i="10"/>
  <c r="B1876" i="10"/>
  <c r="A1876" i="10"/>
  <c r="E1875" i="10"/>
  <c r="D1875" i="10"/>
  <c r="C1875" i="10"/>
  <c r="B1875" i="10"/>
  <c r="A1875" i="10"/>
  <c r="E1874" i="10"/>
  <c r="D1874" i="10"/>
  <c r="C1874" i="10"/>
  <c r="B1874" i="10"/>
  <c r="A1874" i="10"/>
  <c r="E1873" i="10"/>
  <c r="D1873" i="10"/>
  <c r="C1873" i="10"/>
  <c r="B1873" i="10"/>
  <c r="A1873" i="10"/>
  <c r="E1872" i="10"/>
  <c r="D1872" i="10"/>
  <c r="C1872" i="10"/>
  <c r="B1872" i="10"/>
  <c r="A1872" i="10"/>
  <c r="E1871" i="10"/>
  <c r="D1871" i="10"/>
  <c r="C1871" i="10"/>
  <c r="B1871" i="10"/>
  <c r="A1871" i="10"/>
  <c r="E1870" i="10"/>
  <c r="D1870" i="10"/>
  <c r="C1870" i="10"/>
  <c r="B1870" i="10"/>
  <c r="A1870" i="10"/>
  <c r="E1869" i="10"/>
  <c r="D1869" i="10"/>
  <c r="C1869" i="10"/>
  <c r="B1869" i="10"/>
  <c r="A1869" i="10"/>
  <c r="E1868" i="10"/>
  <c r="D1868" i="10"/>
  <c r="C1868" i="10"/>
  <c r="B1868" i="10"/>
  <c r="A1868" i="10"/>
  <c r="E1867" i="10"/>
  <c r="D1867" i="10"/>
  <c r="C1867" i="10"/>
  <c r="B1867" i="10"/>
  <c r="A1867" i="10"/>
  <c r="E1866" i="10"/>
  <c r="D1866" i="10"/>
  <c r="C1866" i="10"/>
  <c r="B1866" i="10"/>
  <c r="A1866" i="10"/>
  <c r="E1865" i="10"/>
  <c r="D1865" i="10"/>
  <c r="C1865" i="10"/>
  <c r="B1865" i="10"/>
  <c r="A1865" i="10"/>
  <c r="E1864" i="10"/>
  <c r="D1864" i="10"/>
  <c r="C1864" i="10"/>
  <c r="B1864" i="10"/>
  <c r="A1864" i="10"/>
  <c r="E1863" i="10"/>
  <c r="D1863" i="10"/>
  <c r="C1863" i="10"/>
  <c r="B1863" i="10"/>
  <c r="A1863" i="10"/>
  <c r="E1862" i="10"/>
  <c r="D1862" i="10"/>
  <c r="C1862" i="10"/>
  <c r="B1862" i="10"/>
  <c r="A1862" i="10"/>
  <c r="E1861" i="10"/>
  <c r="D1861" i="10"/>
  <c r="C1861" i="10"/>
  <c r="B1861" i="10"/>
  <c r="A1861" i="10"/>
  <c r="E1860" i="10"/>
  <c r="D1860" i="10"/>
  <c r="C1860" i="10"/>
  <c r="B1860" i="10"/>
  <c r="A1860" i="10"/>
  <c r="E1859" i="10"/>
  <c r="D1859" i="10"/>
  <c r="C1859" i="10"/>
  <c r="B1859" i="10"/>
  <c r="A1859" i="10"/>
  <c r="E1858" i="10"/>
  <c r="D1858" i="10"/>
  <c r="C1858" i="10"/>
  <c r="B1858" i="10"/>
  <c r="A1858" i="10"/>
  <c r="E1857" i="10"/>
  <c r="D1857" i="10"/>
  <c r="C1857" i="10"/>
  <c r="B1857" i="10"/>
  <c r="A1857" i="10"/>
  <c r="E1856" i="10"/>
  <c r="D1856" i="10"/>
  <c r="C1856" i="10"/>
  <c r="B1856" i="10"/>
  <c r="A1856" i="10"/>
  <c r="E1855" i="10"/>
  <c r="D1855" i="10"/>
  <c r="C1855" i="10"/>
  <c r="B1855" i="10"/>
  <c r="A1855" i="10"/>
  <c r="E1854" i="10"/>
  <c r="D1854" i="10"/>
  <c r="C1854" i="10"/>
  <c r="B1854" i="10"/>
  <c r="A1854" i="10"/>
  <c r="E1853" i="10"/>
  <c r="D1853" i="10"/>
  <c r="C1853" i="10"/>
  <c r="B1853" i="10"/>
  <c r="A1853" i="10"/>
  <c r="E1852" i="10"/>
  <c r="D1852" i="10"/>
  <c r="C1852" i="10"/>
  <c r="B1852" i="10"/>
  <c r="A1852" i="10"/>
  <c r="E1851" i="10"/>
  <c r="D1851" i="10"/>
  <c r="C1851" i="10"/>
  <c r="B1851" i="10"/>
  <c r="A1851" i="10"/>
  <c r="E1850" i="10"/>
  <c r="D1850" i="10"/>
  <c r="C1850" i="10"/>
  <c r="B1850" i="10"/>
  <c r="A1850" i="10"/>
  <c r="E1849" i="10"/>
  <c r="D1849" i="10"/>
  <c r="C1849" i="10"/>
  <c r="B1849" i="10"/>
  <c r="A1849" i="10"/>
  <c r="E1848" i="10"/>
  <c r="D1848" i="10"/>
  <c r="C1848" i="10"/>
  <c r="B1848" i="10"/>
  <c r="A1848" i="10"/>
  <c r="E1847" i="10"/>
  <c r="D1847" i="10"/>
  <c r="C1847" i="10"/>
  <c r="B1847" i="10"/>
  <c r="A1847" i="10"/>
  <c r="E1846" i="10"/>
  <c r="D1846" i="10"/>
  <c r="C1846" i="10"/>
  <c r="B1846" i="10"/>
  <c r="A1846" i="10"/>
  <c r="E1845" i="10"/>
  <c r="D1845" i="10"/>
  <c r="C1845" i="10"/>
  <c r="B1845" i="10"/>
  <c r="A1845" i="10"/>
  <c r="E1844" i="10"/>
  <c r="D1844" i="10"/>
  <c r="C1844" i="10"/>
  <c r="B1844" i="10"/>
  <c r="A1844" i="10"/>
  <c r="E1843" i="10"/>
  <c r="D1843" i="10"/>
  <c r="C1843" i="10"/>
  <c r="B1843" i="10"/>
  <c r="A1843" i="10"/>
  <c r="E1842" i="10"/>
  <c r="D1842" i="10"/>
  <c r="C1842" i="10"/>
  <c r="B1842" i="10"/>
  <c r="A1842" i="10"/>
  <c r="E1841" i="10"/>
  <c r="D1841" i="10"/>
  <c r="C1841" i="10"/>
  <c r="B1841" i="10"/>
  <c r="A1841" i="10"/>
  <c r="E1840" i="10"/>
  <c r="D1840" i="10"/>
  <c r="C1840" i="10"/>
  <c r="B1840" i="10"/>
  <c r="A1840" i="10"/>
  <c r="E1839" i="10"/>
  <c r="D1839" i="10"/>
  <c r="C1839" i="10"/>
  <c r="B1839" i="10"/>
  <c r="A1839" i="10"/>
  <c r="E1838" i="10"/>
  <c r="D1838" i="10"/>
  <c r="C1838" i="10"/>
  <c r="B1838" i="10"/>
  <c r="A1838" i="10"/>
  <c r="E1837" i="10"/>
  <c r="D1837" i="10"/>
  <c r="C1837" i="10"/>
  <c r="B1837" i="10"/>
  <c r="A1837" i="10"/>
  <c r="E1836" i="10"/>
  <c r="D1836" i="10"/>
  <c r="C1836" i="10"/>
  <c r="B1836" i="10"/>
  <c r="A1836" i="10"/>
  <c r="E1835" i="10"/>
  <c r="D1835" i="10"/>
  <c r="C1835" i="10"/>
  <c r="B1835" i="10"/>
  <c r="A1835" i="10"/>
  <c r="E1834" i="10"/>
  <c r="D1834" i="10"/>
  <c r="C1834" i="10"/>
  <c r="B1834" i="10"/>
  <c r="A1834" i="10"/>
  <c r="E1833" i="10"/>
  <c r="D1833" i="10"/>
  <c r="C1833" i="10"/>
  <c r="B1833" i="10"/>
  <c r="A1833" i="10"/>
  <c r="E1832" i="10"/>
  <c r="D1832" i="10"/>
  <c r="C1832" i="10"/>
  <c r="B1832" i="10"/>
  <c r="A1832" i="10"/>
  <c r="E1831" i="10"/>
  <c r="D1831" i="10"/>
  <c r="C1831" i="10"/>
  <c r="B1831" i="10"/>
  <c r="A1831" i="10"/>
  <c r="E1830" i="10"/>
  <c r="D1830" i="10"/>
  <c r="C1830" i="10"/>
  <c r="B1830" i="10"/>
  <c r="A1830" i="10"/>
  <c r="E1829" i="10"/>
  <c r="D1829" i="10"/>
  <c r="C1829" i="10"/>
  <c r="B1829" i="10"/>
  <c r="A1829" i="10"/>
  <c r="E1828" i="10"/>
  <c r="D1828" i="10"/>
  <c r="C1828" i="10"/>
  <c r="B1828" i="10"/>
  <c r="A1828" i="10"/>
  <c r="E1827" i="10"/>
  <c r="D1827" i="10"/>
  <c r="C1827" i="10"/>
  <c r="B1827" i="10"/>
  <c r="A1827" i="10"/>
  <c r="E1826" i="10"/>
  <c r="D1826" i="10"/>
  <c r="C1826" i="10"/>
  <c r="B1826" i="10"/>
  <c r="A1826" i="10"/>
  <c r="E1825" i="10"/>
  <c r="D1825" i="10"/>
  <c r="C1825" i="10"/>
  <c r="B1825" i="10"/>
  <c r="A1825" i="10"/>
  <c r="E1824" i="10"/>
  <c r="D1824" i="10"/>
  <c r="C1824" i="10"/>
  <c r="B1824" i="10"/>
  <c r="A1824" i="10"/>
  <c r="E1823" i="10"/>
  <c r="D1823" i="10"/>
  <c r="C1823" i="10"/>
  <c r="B1823" i="10"/>
  <c r="A1823" i="10"/>
  <c r="E1822" i="10"/>
  <c r="D1822" i="10"/>
  <c r="C1822" i="10"/>
  <c r="B1822" i="10"/>
  <c r="A1822" i="10"/>
  <c r="E1821" i="10"/>
  <c r="D1821" i="10"/>
  <c r="C1821" i="10"/>
  <c r="B1821" i="10"/>
  <c r="A1821" i="10"/>
  <c r="E1820" i="10"/>
  <c r="D1820" i="10"/>
  <c r="C1820" i="10"/>
  <c r="B1820" i="10"/>
  <c r="A1820" i="10"/>
  <c r="E1819" i="10"/>
  <c r="D1819" i="10"/>
  <c r="C1819" i="10"/>
  <c r="B1819" i="10"/>
  <c r="A1819" i="10"/>
  <c r="E1818" i="10"/>
  <c r="D1818" i="10"/>
  <c r="C1818" i="10"/>
  <c r="B1818" i="10"/>
  <c r="A1818" i="10"/>
  <c r="E1817" i="10"/>
  <c r="D1817" i="10"/>
  <c r="C1817" i="10"/>
  <c r="B1817" i="10"/>
  <c r="A1817" i="10"/>
  <c r="E1816" i="10"/>
  <c r="D1816" i="10"/>
  <c r="C1816" i="10"/>
  <c r="B1816" i="10"/>
  <c r="A1816" i="10"/>
  <c r="E1815" i="10"/>
  <c r="D1815" i="10"/>
  <c r="C1815" i="10"/>
  <c r="B1815" i="10"/>
  <c r="A1815" i="10"/>
  <c r="E1814" i="10"/>
  <c r="D1814" i="10"/>
  <c r="C1814" i="10"/>
  <c r="B1814" i="10"/>
  <c r="A1814" i="10"/>
  <c r="E1813" i="10"/>
  <c r="D1813" i="10"/>
  <c r="C1813" i="10"/>
  <c r="B1813" i="10"/>
  <c r="A1813" i="10"/>
  <c r="E1812" i="10"/>
  <c r="D1812" i="10"/>
  <c r="C1812" i="10"/>
  <c r="B1812" i="10"/>
  <c r="A1812" i="10"/>
  <c r="E1811" i="10"/>
  <c r="D1811" i="10"/>
  <c r="C1811" i="10"/>
  <c r="B1811" i="10"/>
  <c r="A1811" i="10"/>
  <c r="E1810" i="10"/>
  <c r="D1810" i="10"/>
  <c r="C1810" i="10"/>
  <c r="B1810" i="10"/>
  <c r="A1810" i="10"/>
  <c r="E1809" i="10"/>
  <c r="D1809" i="10"/>
  <c r="C1809" i="10"/>
  <c r="B1809" i="10"/>
  <c r="A1809" i="10"/>
  <c r="E1808" i="10"/>
  <c r="D1808" i="10"/>
  <c r="C1808" i="10"/>
  <c r="B1808" i="10"/>
  <c r="A1808" i="10"/>
  <c r="E1807" i="10"/>
  <c r="D1807" i="10"/>
  <c r="C1807" i="10"/>
  <c r="B1807" i="10"/>
  <c r="A1807" i="10"/>
  <c r="E1806" i="10"/>
  <c r="D1806" i="10"/>
  <c r="C1806" i="10"/>
  <c r="B1806" i="10"/>
  <c r="A1806" i="10"/>
  <c r="E1805" i="10"/>
  <c r="D1805" i="10"/>
  <c r="C1805" i="10"/>
  <c r="B1805" i="10"/>
  <c r="A1805" i="10"/>
  <c r="E1804" i="10"/>
  <c r="D1804" i="10"/>
  <c r="C1804" i="10"/>
  <c r="B1804" i="10"/>
  <c r="A1804" i="10"/>
  <c r="E1803" i="10"/>
  <c r="D1803" i="10"/>
  <c r="C1803" i="10"/>
  <c r="B1803" i="10"/>
  <c r="A1803" i="10"/>
  <c r="E1802" i="10"/>
  <c r="D1802" i="10"/>
  <c r="C1802" i="10"/>
  <c r="B1802" i="10"/>
  <c r="A1802" i="10"/>
  <c r="E1801" i="10"/>
  <c r="D1801" i="10"/>
  <c r="C1801" i="10"/>
  <c r="B1801" i="10"/>
  <c r="A1801" i="10"/>
  <c r="E1800" i="10"/>
  <c r="D1800" i="10"/>
  <c r="C1800" i="10"/>
  <c r="B1800" i="10"/>
  <c r="A1800" i="10"/>
  <c r="E1799" i="10"/>
  <c r="D1799" i="10"/>
  <c r="C1799" i="10"/>
  <c r="B1799" i="10"/>
  <c r="A1799" i="10"/>
  <c r="E1798" i="10"/>
  <c r="D1798" i="10"/>
  <c r="C1798" i="10"/>
  <c r="B1798" i="10"/>
  <c r="A1798" i="10"/>
  <c r="E1797" i="10"/>
  <c r="D1797" i="10"/>
  <c r="C1797" i="10"/>
  <c r="B1797" i="10"/>
  <c r="A1797" i="10"/>
  <c r="E1796" i="10"/>
  <c r="D1796" i="10"/>
  <c r="C1796" i="10"/>
  <c r="B1796" i="10"/>
  <c r="A1796" i="10"/>
  <c r="E1795" i="10"/>
  <c r="D1795" i="10"/>
  <c r="C1795" i="10"/>
  <c r="B1795" i="10"/>
  <c r="A1795" i="10"/>
  <c r="E1794" i="10"/>
  <c r="D1794" i="10"/>
  <c r="C1794" i="10"/>
  <c r="B1794" i="10"/>
  <c r="A1794" i="10"/>
  <c r="E1793" i="10"/>
  <c r="D1793" i="10"/>
  <c r="C1793" i="10"/>
  <c r="B1793" i="10"/>
  <c r="A1793" i="10"/>
  <c r="E1792" i="10"/>
  <c r="D1792" i="10"/>
  <c r="C1792" i="10"/>
  <c r="B1792" i="10"/>
  <c r="A1792" i="10"/>
  <c r="E1791" i="10"/>
  <c r="D1791" i="10"/>
  <c r="C1791" i="10"/>
  <c r="B1791" i="10"/>
  <c r="A1791" i="10"/>
  <c r="E1790" i="10"/>
  <c r="D1790" i="10"/>
  <c r="C1790" i="10"/>
  <c r="B1790" i="10"/>
  <c r="A1790" i="10"/>
  <c r="E1789" i="10"/>
  <c r="D1789" i="10"/>
  <c r="C1789" i="10"/>
  <c r="B1789" i="10"/>
  <c r="A1789" i="10"/>
  <c r="E1788" i="10"/>
  <c r="D1788" i="10"/>
  <c r="C1788" i="10"/>
  <c r="B1788" i="10"/>
  <c r="A1788" i="10"/>
  <c r="E1787" i="10"/>
  <c r="D1787" i="10"/>
  <c r="C1787" i="10"/>
  <c r="B1787" i="10"/>
  <c r="A1787" i="10"/>
  <c r="E1786" i="10"/>
  <c r="D1786" i="10"/>
  <c r="C1786" i="10"/>
  <c r="B1786" i="10"/>
  <c r="A1786" i="10"/>
  <c r="E1785" i="10"/>
  <c r="D1785" i="10"/>
  <c r="C1785" i="10"/>
  <c r="B1785" i="10"/>
  <c r="A1785" i="10"/>
  <c r="E1784" i="10"/>
  <c r="D1784" i="10"/>
  <c r="C1784" i="10"/>
  <c r="B1784" i="10"/>
  <c r="A1784" i="10"/>
  <c r="E1783" i="10"/>
  <c r="D1783" i="10"/>
  <c r="C1783" i="10"/>
  <c r="B1783" i="10"/>
  <c r="A1783" i="10"/>
  <c r="E1782" i="10"/>
  <c r="D1782" i="10"/>
  <c r="C1782" i="10"/>
  <c r="B1782" i="10"/>
  <c r="A1782" i="10"/>
  <c r="E1781" i="10"/>
  <c r="D1781" i="10"/>
  <c r="C1781" i="10"/>
  <c r="B1781" i="10"/>
  <c r="A1781" i="10"/>
  <c r="E1780" i="10"/>
  <c r="D1780" i="10"/>
  <c r="C1780" i="10"/>
  <c r="B1780" i="10"/>
  <c r="A1780" i="10"/>
  <c r="E1779" i="10"/>
  <c r="D1779" i="10"/>
  <c r="C1779" i="10"/>
  <c r="B1779" i="10"/>
  <c r="A1779" i="10"/>
  <c r="E1778" i="10"/>
  <c r="D1778" i="10"/>
  <c r="C1778" i="10"/>
  <c r="B1778" i="10"/>
  <c r="A1778" i="10"/>
  <c r="E1777" i="10"/>
  <c r="D1777" i="10"/>
  <c r="C1777" i="10"/>
  <c r="B1777" i="10"/>
  <c r="A1777" i="10"/>
  <c r="E1776" i="10"/>
  <c r="D1776" i="10"/>
  <c r="C1776" i="10"/>
  <c r="B1776" i="10"/>
  <c r="A1776" i="10"/>
  <c r="E1775" i="10"/>
  <c r="D1775" i="10"/>
  <c r="C1775" i="10"/>
  <c r="B1775" i="10"/>
  <c r="A1775" i="10"/>
  <c r="E1774" i="10"/>
  <c r="D1774" i="10"/>
  <c r="C1774" i="10"/>
  <c r="B1774" i="10"/>
  <c r="A1774" i="10"/>
  <c r="E1773" i="10"/>
  <c r="D1773" i="10"/>
  <c r="C1773" i="10"/>
  <c r="B1773" i="10"/>
  <c r="A1773" i="10"/>
  <c r="E1772" i="10"/>
  <c r="D1772" i="10"/>
  <c r="C1772" i="10"/>
  <c r="B1772" i="10"/>
  <c r="A1772" i="10"/>
  <c r="E1771" i="10"/>
  <c r="D1771" i="10"/>
  <c r="C1771" i="10"/>
  <c r="B1771" i="10"/>
  <c r="A1771" i="10"/>
  <c r="E1770" i="10"/>
  <c r="D1770" i="10"/>
  <c r="C1770" i="10"/>
  <c r="B1770" i="10"/>
  <c r="A1770" i="10"/>
  <c r="E1769" i="10"/>
  <c r="D1769" i="10"/>
  <c r="C1769" i="10"/>
  <c r="B1769" i="10"/>
  <c r="A1769" i="10"/>
  <c r="E1768" i="10"/>
  <c r="D1768" i="10"/>
  <c r="C1768" i="10"/>
  <c r="B1768" i="10"/>
  <c r="A1768" i="10"/>
  <c r="E1767" i="10"/>
  <c r="D1767" i="10"/>
  <c r="C1767" i="10"/>
  <c r="B1767" i="10"/>
  <c r="A1767" i="10"/>
  <c r="E1766" i="10"/>
  <c r="D1766" i="10"/>
  <c r="C1766" i="10"/>
  <c r="B1766" i="10"/>
  <c r="A1766" i="10"/>
  <c r="E1765" i="10"/>
  <c r="D1765" i="10"/>
  <c r="C1765" i="10"/>
  <c r="B1765" i="10"/>
  <c r="A1765" i="10"/>
  <c r="E1764" i="10"/>
  <c r="D1764" i="10"/>
  <c r="C1764" i="10"/>
  <c r="B1764" i="10"/>
  <c r="A1764" i="10"/>
  <c r="E1763" i="10"/>
  <c r="D1763" i="10"/>
  <c r="C1763" i="10"/>
  <c r="B1763" i="10"/>
  <c r="A1763" i="10"/>
  <c r="E1762" i="10"/>
  <c r="D1762" i="10"/>
  <c r="C1762" i="10"/>
  <c r="B1762" i="10"/>
  <c r="A1762" i="10"/>
  <c r="E1761" i="10"/>
  <c r="D1761" i="10"/>
  <c r="C1761" i="10"/>
  <c r="B1761" i="10"/>
  <c r="A1761" i="10"/>
  <c r="E1760" i="10"/>
  <c r="D1760" i="10"/>
  <c r="C1760" i="10"/>
  <c r="B1760" i="10"/>
  <c r="A1760" i="10"/>
  <c r="E1759" i="10"/>
  <c r="D1759" i="10"/>
  <c r="C1759" i="10"/>
  <c r="B1759" i="10"/>
  <c r="A1759" i="10"/>
  <c r="E1758" i="10"/>
  <c r="D1758" i="10"/>
  <c r="C1758" i="10"/>
  <c r="B1758" i="10"/>
  <c r="A1758" i="10"/>
  <c r="E1757" i="10"/>
  <c r="D1757" i="10"/>
  <c r="C1757" i="10"/>
  <c r="B1757" i="10"/>
  <c r="A1757" i="10"/>
  <c r="E1756" i="10"/>
  <c r="D1756" i="10"/>
  <c r="C1756" i="10"/>
  <c r="B1756" i="10"/>
  <c r="A1756" i="10"/>
  <c r="E1755" i="10"/>
  <c r="D1755" i="10"/>
  <c r="C1755" i="10"/>
  <c r="B1755" i="10"/>
  <c r="A1755" i="10"/>
  <c r="E1754" i="10"/>
  <c r="D1754" i="10"/>
  <c r="C1754" i="10"/>
  <c r="B1754" i="10"/>
  <c r="A1754" i="10"/>
  <c r="E1753" i="10"/>
  <c r="D1753" i="10"/>
  <c r="C1753" i="10"/>
  <c r="B1753" i="10"/>
  <c r="A1753" i="10"/>
  <c r="E1752" i="10"/>
  <c r="D1752" i="10"/>
  <c r="C1752" i="10"/>
  <c r="B1752" i="10"/>
  <c r="A1752" i="10"/>
  <c r="E1751" i="10"/>
  <c r="D1751" i="10"/>
  <c r="C1751" i="10"/>
  <c r="B1751" i="10"/>
  <c r="A1751" i="10"/>
  <c r="E1750" i="10"/>
  <c r="D1750" i="10"/>
  <c r="C1750" i="10"/>
  <c r="B1750" i="10"/>
  <c r="A1750" i="10"/>
  <c r="E1749" i="10"/>
  <c r="D1749" i="10"/>
  <c r="C1749" i="10"/>
  <c r="B1749" i="10"/>
  <c r="A1749" i="10"/>
  <c r="E1748" i="10"/>
  <c r="D1748" i="10"/>
  <c r="C1748" i="10"/>
  <c r="B1748" i="10"/>
  <c r="A1748" i="10"/>
  <c r="E1747" i="10"/>
  <c r="D1747" i="10"/>
  <c r="C1747" i="10"/>
  <c r="B1747" i="10"/>
  <c r="A1747" i="10"/>
  <c r="E1746" i="10"/>
  <c r="D1746" i="10"/>
  <c r="C1746" i="10"/>
  <c r="B1746" i="10"/>
  <c r="A1746" i="10"/>
  <c r="E1745" i="10"/>
  <c r="D1745" i="10"/>
  <c r="C1745" i="10"/>
  <c r="B1745" i="10"/>
  <c r="A1745" i="10"/>
  <c r="E1744" i="10"/>
  <c r="D1744" i="10"/>
  <c r="C1744" i="10"/>
  <c r="B1744" i="10"/>
  <c r="A1744" i="10"/>
  <c r="E1743" i="10"/>
  <c r="D1743" i="10"/>
  <c r="C1743" i="10"/>
  <c r="B1743" i="10"/>
  <c r="A1743" i="10"/>
  <c r="E1742" i="10"/>
  <c r="D1742" i="10"/>
  <c r="C1742" i="10"/>
  <c r="B1742" i="10"/>
  <c r="A1742" i="10"/>
  <c r="E1741" i="10"/>
  <c r="D1741" i="10"/>
  <c r="C1741" i="10"/>
  <c r="B1741" i="10"/>
  <c r="A1741" i="10"/>
  <c r="E1740" i="10"/>
  <c r="D1740" i="10"/>
  <c r="C1740" i="10"/>
  <c r="B1740" i="10"/>
  <c r="A1740" i="10"/>
  <c r="E1739" i="10"/>
  <c r="D1739" i="10"/>
  <c r="C1739" i="10"/>
  <c r="B1739" i="10"/>
  <c r="A1739" i="10"/>
  <c r="E1738" i="10"/>
  <c r="D1738" i="10"/>
  <c r="C1738" i="10"/>
  <c r="B1738" i="10"/>
  <c r="A1738" i="10"/>
  <c r="E1737" i="10"/>
  <c r="D1737" i="10"/>
  <c r="C1737" i="10"/>
  <c r="B1737" i="10"/>
  <c r="A1737" i="10"/>
  <c r="E1736" i="10"/>
  <c r="D1736" i="10"/>
  <c r="C1736" i="10"/>
  <c r="B1736" i="10"/>
  <c r="A1736" i="10"/>
  <c r="E1735" i="10"/>
  <c r="D1735" i="10"/>
  <c r="C1735" i="10"/>
  <c r="B1735" i="10"/>
  <c r="A1735" i="10"/>
  <c r="E1734" i="10"/>
  <c r="D1734" i="10"/>
  <c r="C1734" i="10"/>
  <c r="B1734" i="10"/>
  <c r="A1734" i="10"/>
  <c r="E1733" i="10"/>
  <c r="D1733" i="10"/>
  <c r="C1733" i="10"/>
  <c r="B1733" i="10"/>
  <c r="A1733" i="10"/>
  <c r="E1732" i="10"/>
  <c r="D1732" i="10"/>
  <c r="C1732" i="10"/>
  <c r="B1732" i="10"/>
  <c r="A1732" i="10"/>
  <c r="E1731" i="10"/>
  <c r="D1731" i="10"/>
  <c r="C1731" i="10"/>
  <c r="B1731" i="10"/>
  <c r="A1731" i="10"/>
  <c r="E1730" i="10"/>
  <c r="D1730" i="10"/>
  <c r="C1730" i="10"/>
  <c r="B1730" i="10"/>
  <c r="A1730" i="10"/>
  <c r="E1729" i="10"/>
  <c r="D1729" i="10"/>
  <c r="C1729" i="10"/>
  <c r="B1729" i="10"/>
  <c r="A1729" i="10"/>
  <c r="E1728" i="10"/>
  <c r="D1728" i="10"/>
  <c r="C1728" i="10"/>
  <c r="B1728" i="10"/>
  <c r="A1728" i="10"/>
  <c r="E1727" i="10"/>
  <c r="D1727" i="10"/>
  <c r="C1727" i="10"/>
  <c r="B1727" i="10"/>
  <c r="A1727" i="10"/>
  <c r="E1726" i="10"/>
  <c r="D1726" i="10"/>
  <c r="C1726" i="10"/>
  <c r="B1726" i="10"/>
  <c r="A1726" i="10"/>
  <c r="E1725" i="10"/>
  <c r="D1725" i="10"/>
  <c r="C1725" i="10"/>
  <c r="B1725" i="10"/>
  <c r="A1725" i="10"/>
  <c r="E1724" i="10"/>
  <c r="D1724" i="10"/>
  <c r="C1724" i="10"/>
  <c r="B1724" i="10"/>
  <c r="A1724" i="10"/>
  <c r="E1723" i="10"/>
  <c r="D1723" i="10"/>
  <c r="C1723" i="10"/>
  <c r="B1723" i="10"/>
  <c r="A1723" i="10"/>
  <c r="E1722" i="10"/>
  <c r="D1722" i="10"/>
  <c r="C1722" i="10"/>
  <c r="B1722" i="10"/>
  <c r="A1722" i="10"/>
  <c r="E1721" i="10"/>
  <c r="D1721" i="10"/>
  <c r="C1721" i="10"/>
  <c r="B1721" i="10"/>
  <c r="A1721" i="10"/>
  <c r="E1720" i="10"/>
  <c r="D1720" i="10"/>
  <c r="C1720" i="10"/>
  <c r="B1720" i="10"/>
  <c r="A1720" i="10"/>
  <c r="E1719" i="10"/>
  <c r="D1719" i="10"/>
  <c r="C1719" i="10"/>
  <c r="B1719" i="10"/>
  <c r="A1719" i="10"/>
  <c r="E1718" i="10"/>
  <c r="D1718" i="10"/>
  <c r="C1718" i="10"/>
  <c r="B1718" i="10"/>
  <c r="A1718" i="10"/>
  <c r="E1717" i="10"/>
  <c r="D1717" i="10"/>
  <c r="C1717" i="10"/>
  <c r="B1717" i="10"/>
  <c r="A1717" i="10"/>
  <c r="E1716" i="10"/>
  <c r="D1716" i="10"/>
  <c r="C1716" i="10"/>
  <c r="B1716" i="10"/>
  <c r="A1716" i="10"/>
  <c r="E1715" i="10"/>
  <c r="D1715" i="10"/>
  <c r="C1715" i="10"/>
  <c r="B1715" i="10"/>
  <c r="A1715" i="10"/>
  <c r="E1714" i="10"/>
  <c r="D1714" i="10"/>
  <c r="C1714" i="10"/>
  <c r="B1714" i="10"/>
  <c r="A1714" i="10"/>
  <c r="E1713" i="10"/>
  <c r="D1713" i="10"/>
  <c r="C1713" i="10"/>
  <c r="B1713" i="10"/>
  <c r="A1713" i="10"/>
  <c r="E1712" i="10"/>
  <c r="D1712" i="10"/>
  <c r="C1712" i="10"/>
  <c r="B1712" i="10"/>
  <c r="A1712" i="10"/>
  <c r="E1711" i="10"/>
  <c r="D1711" i="10"/>
  <c r="C1711" i="10"/>
  <c r="B1711" i="10"/>
  <c r="A1711" i="10"/>
  <c r="E1710" i="10"/>
  <c r="D1710" i="10"/>
  <c r="C1710" i="10"/>
  <c r="B1710" i="10"/>
  <c r="A1710" i="10"/>
  <c r="E1709" i="10"/>
  <c r="D1709" i="10"/>
  <c r="C1709" i="10"/>
  <c r="B1709" i="10"/>
  <c r="A1709" i="10"/>
  <c r="E1708" i="10"/>
  <c r="D1708" i="10"/>
  <c r="C1708" i="10"/>
  <c r="B1708" i="10"/>
  <c r="A1708" i="10"/>
  <c r="E1707" i="10"/>
  <c r="D1707" i="10"/>
  <c r="C1707" i="10"/>
  <c r="B1707" i="10"/>
  <c r="A1707" i="10"/>
  <c r="E1706" i="10"/>
  <c r="D1706" i="10"/>
  <c r="C1706" i="10"/>
  <c r="B1706" i="10"/>
  <c r="A1706" i="10"/>
  <c r="E1705" i="10"/>
  <c r="D1705" i="10"/>
  <c r="C1705" i="10"/>
  <c r="B1705" i="10"/>
  <c r="A1705" i="10"/>
  <c r="E1704" i="10"/>
  <c r="D1704" i="10"/>
  <c r="C1704" i="10"/>
  <c r="B1704" i="10"/>
  <c r="A1704" i="10"/>
  <c r="E1703" i="10"/>
  <c r="D1703" i="10"/>
  <c r="C1703" i="10"/>
  <c r="B1703" i="10"/>
  <c r="A1703" i="10"/>
  <c r="E1702" i="10"/>
  <c r="D1702" i="10"/>
  <c r="C1702" i="10"/>
  <c r="B1702" i="10"/>
  <c r="A1702" i="10"/>
  <c r="E1701" i="10"/>
  <c r="D1701" i="10"/>
  <c r="C1701" i="10"/>
  <c r="B1701" i="10"/>
  <c r="A1701" i="10"/>
  <c r="E1700" i="10"/>
  <c r="D1700" i="10"/>
  <c r="C1700" i="10"/>
  <c r="B1700" i="10"/>
  <c r="A1700" i="10"/>
  <c r="E1699" i="10"/>
  <c r="D1699" i="10"/>
  <c r="C1699" i="10"/>
  <c r="B1699" i="10"/>
  <c r="A1699" i="10"/>
  <c r="E1698" i="10"/>
  <c r="D1698" i="10"/>
  <c r="C1698" i="10"/>
  <c r="B1698" i="10"/>
  <c r="A1698" i="10"/>
  <c r="E1697" i="10"/>
  <c r="D1697" i="10"/>
  <c r="C1697" i="10"/>
  <c r="B1697" i="10"/>
  <c r="A1697" i="10"/>
  <c r="E1696" i="10"/>
  <c r="D1696" i="10"/>
  <c r="C1696" i="10"/>
  <c r="B1696" i="10"/>
  <c r="A1696" i="10"/>
  <c r="E1695" i="10"/>
  <c r="D1695" i="10"/>
  <c r="C1695" i="10"/>
  <c r="B1695" i="10"/>
  <c r="A1695" i="10"/>
  <c r="E1694" i="10"/>
  <c r="D1694" i="10"/>
  <c r="C1694" i="10"/>
  <c r="B1694" i="10"/>
  <c r="A1694" i="10"/>
  <c r="E1693" i="10"/>
  <c r="D1693" i="10"/>
  <c r="C1693" i="10"/>
  <c r="B1693" i="10"/>
  <c r="A1693" i="10"/>
  <c r="E1692" i="10"/>
  <c r="D1692" i="10"/>
  <c r="C1692" i="10"/>
  <c r="B1692" i="10"/>
  <c r="A1692" i="10"/>
  <c r="E1691" i="10"/>
  <c r="D1691" i="10"/>
  <c r="C1691" i="10"/>
  <c r="B1691" i="10"/>
  <c r="A1691" i="10"/>
  <c r="E1690" i="10"/>
  <c r="D1690" i="10"/>
  <c r="C1690" i="10"/>
  <c r="B1690" i="10"/>
  <c r="A1690" i="10"/>
  <c r="E1689" i="10"/>
  <c r="D1689" i="10"/>
  <c r="C1689" i="10"/>
  <c r="B1689" i="10"/>
  <c r="A1689" i="10"/>
  <c r="E1688" i="10"/>
  <c r="D1688" i="10"/>
  <c r="C1688" i="10"/>
  <c r="B1688" i="10"/>
  <c r="A1688" i="10"/>
  <c r="E1687" i="10"/>
  <c r="D1687" i="10"/>
  <c r="C1687" i="10"/>
  <c r="B1687" i="10"/>
  <c r="A1687" i="10"/>
  <c r="E1686" i="10"/>
  <c r="D1686" i="10"/>
  <c r="C1686" i="10"/>
  <c r="B1686" i="10"/>
  <c r="A1686" i="10"/>
  <c r="E1685" i="10"/>
  <c r="D1685" i="10"/>
  <c r="C1685" i="10"/>
  <c r="B1685" i="10"/>
  <c r="A1685" i="10"/>
  <c r="E1684" i="10"/>
  <c r="D1684" i="10"/>
  <c r="C1684" i="10"/>
  <c r="B1684" i="10"/>
  <c r="A1684" i="10"/>
  <c r="E1683" i="10"/>
  <c r="D1683" i="10"/>
  <c r="C1683" i="10"/>
  <c r="B1683" i="10"/>
  <c r="A1683" i="10"/>
  <c r="E1682" i="10"/>
  <c r="D1682" i="10"/>
  <c r="C1682" i="10"/>
  <c r="B1682" i="10"/>
  <c r="A1682" i="10"/>
  <c r="E1681" i="10"/>
  <c r="D1681" i="10"/>
  <c r="C1681" i="10"/>
  <c r="B1681" i="10"/>
  <c r="A1681" i="10"/>
  <c r="E1680" i="10"/>
  <c r="D1680" i="10"/>
  <c r="C1680" i="10"/>
  <c r="B1680" i="10"/>
  <c r="A1680" i="10"/>
  <c r="E1679" i="10"/>
  <c r="D1679" i="10"/>
  <c r="C1679" i="10"/>
  <c r="B1679" i="10"/>
  <c r="A1679" i="10"/>
  <c r="E1678" i="10"/>
  <c r="D1678" i="10"/>
  <c r="C1678" i="10"/>
  <c r="B1678" i="10"/>
  <c r="A1678" i="10"/>
  <c r="E1677" i="10"/>
  <c r="D1677" i="10"/>
  <c r="C1677" i="10"/>
  <c r="B1677" i="10"/>
  <c r="A1677" i="10"/>
  <c r="E1676" i="10"/>
  <c r="D1676" i="10"/>
  <c r="C1676" i="10"/>
  <c r="B1676" i="10"/>
  <c r="A1676" i="10"/>
  <c r="E1675" i="10"/>
  <c r="D1675" i="10"/>
  <c r="C1675" i="10"/>
  <c r="B1675" i="10"/>
  <c r="A1675" i="10"/>
  <c r="E1674" i="10"/>
  <c r="D1674" i="10"/>
  <c r="C1674" i="10"/>
  <c r="B1674" i="10"/>
  <c r="A1674" i="10"/>
  <c r="E1673" i="10"/>
  <c r="D1673" i="10"/>
  <c r="C1673" i="10"/>
  <c r="B1673" i="10"/>
  <c r="A1673" i="10"/>
  <c r="E1672" i="10"/>
  <c r="D1672" i="10"/>
  <c r="C1672" i="10"/>
  <c r="B1672" i="10"/>
  <c r="A1672" i="10"/>
  <c r="E1671" i="10"/>
  <c r="D1671" i="10"/>
  <c r="C1671" i="10"/>
  <c r="B1671" i="10"/>
  <c r="A1671" i="10"/>
  <c r="E1670" i="10"/>
  <c r="D1670" i="10"/>
  <c r="C1670" i="10"/>
  <c r="B1670" i="10"/>
  <c r="A1670" i="10"/>
  <c r="E1669" i="10"/>
  <c r="D1669" i="10"/>
  <c r="C1669" i="10"/>
  <c r="B1669" i="10"/>
  <c r="A1669" i="10"/>
  <c r="E1668" i="10"/>
  <c r="D1668" i="10"/>
  <c r="C1668" i="10"/>
  <c r="B1668" i="10"/>
  <c r="A1668" i="10"/>
  <c r="E1667" i="10"/>
  <c r="D1667" i="10"/>
  <c r="C1667" i="10"/>
  <c r="B1667" i="10"/>
  <c r="A1667" i="10"/>
  <c r="E1666" i="10"/>
  <c r="D1666" i="10"/>
  <c r="C1666" i="10"/>
  <c r="B1666" i="10"/>
  <c r="A1666" i="10"/>
  <c r="E1665" i="10"/>
  <c r="D1665" i="10"/>
  <c r="C1665" i="10"/>
  <c r="B1665" i="10"/>
  <c r="A1665" i="10"/>
  <c r="E1664" i="10"/>
  <c r="D1664" i="10"/>
  <c r="C1664" i="10"/>
  <c r="B1664" i="10"/>
  <c r="A1664" i="10"/>
  <c r="E1663" i="10"/>
  <c r="D1663" i="10"/>
  <c r="C1663" i="10"/>
  <c r="B1663" i="10"/>
  <c r="A1663" i="10"/>
  <c r="E1662" i="10"/>
  <c r="D1662" i="10"/>
  <c r="C1662" i="10"/>
  <c r="B1662" i="10"/>
  <c r="A1662" i="10"/>
  <c r="E1661" i="10"/>
  <c r="D1661" i="10"/>
  <c r="C1661" i="10"/>
  <c r="B1661" i="10"/>
  <c r="A1661" i="10"/>
  <c r="E1660" i="10"/>
  <c r="D1660" i="10"/>
  <c r="C1660" i="10"/>
  <c r="B1660" i="10"/>
  <c r="A1660" i="10"/>
  <c r="E1659" i="10"/>
  <c r="D1659" i="10"/>
  <c r="C1659" i="10"/>
  <c r="B1659" i="10"/>
  <c r="A1659" i="10"/>
  <c r="E1658" i="10"/>
  <c r="D1658" i="10"/>
  <c r="C1658" i="10"/>
  <c r="B1658" i="10"/>
  <c r="A1658" i="10"/>
  <c r="E1657" i="10"/>
  <c r="D1657" i="10"/>
  <c r="C1657" i="10"/>
  <c r="B1657" i="10"/>
  <c r="A1657" i="10"/>
  <c r="E1656" i="10"/>
  <c r="D1656" i="10"/>
  <c r="C1656" i="10"/>
  <c r="B1656" i="10"/>
  <c r="A1656" i="10"/>
  <c r="E1655" i="10"/>
  <c r="D1655" i="10"/>
  <c r="C1655" i="10"/>
  <c r="B1655" i="10"/>
  <c r="A1655" i="10"/>
  <c r="E1654" i="10"/>
  <c r="D1654" i="10"/>
  <c r="C1654" i="10"/>
  <c r="B1654" i="10"/>
  <c r="A1654" i="10"/>
  <c r="E1653" i="10"/>
  <c r="D1653" i="10"/>
  <c r="C1653" i="10"/>
  <c r="B1653" i="10"/>
  <c r="A1653" i="10"/>
  <c r="E1652" i="10"/>
  <c r="D1652" i="10"/>
  <c r="C1652" i="10"/>
  <c r="B1652" i="10"/>
  <c r="A1652" i="10"/>
  <c r="E1651" i="10"/>
  <c r="D1651" i="10"/>
  <c r="C1651" i="10"/>
  <c r="B1651" i="10"/>
  <c r="A1651" i="10"/>
  <c r="E1650" i="10"/>
  <c r="D1650" i="10"/>
  <c r="C1650" i="10"/>
  <c r="B1650" i="10"/>
  <c r="A1650" i="10"/>
  <c r="E1649" i="10"/>
  <c r="D1649" i="10"/>
  <c r="C1649" i="10"/>
  <c r="B1649" i="10"/>
  <c r="A1649" i="10"/>
  <c r="E1648" i="10"/>
  <c r="D1648" i="10"/>
  <c r="C1648" i="10"/>
  <c r="B1648" i="10"/>
  <c r="A1648" i="10"/>
  <c r="E1647" i="10"/>
  <c r="D1647" i="10"/>
  <c r="C1647" i="10"/>
  <c r="B1647" i="10"/>
  <c r="A1647" i="10"/>
  <c r="E1646" i="10"/>
  <c r="D1646" i="10"/>
  <c r="C1646" i="10"/>
  <c r="B1646" i="10"/>
  <c r="A1646" i="10"/>
  <c r="E1645" i="10"/>
  <c r="D1645" i="10"/>
  <c r="C1645" i="10"/>
  <c r="B1645" i="10"/>
  <c r="A1645" i="10"/>
  <c r="E1644" i="10"/>
  <c r="D1644" i="10"/>
  <c r="C1644" i="10"/>
  <c r="B1644" i="10"/>
  <c r="A1644" i="10"/>
  <c r="E1643" i="10"/>
  <c r="D1643" i="10"/>
  <c r="C1643" i="10"/>
  <c r="B1643" i="10"/>
  <c r="A1643" i="10"/>
  <c r="E1642" i="10"/>
  <c r="D1642" i="10"/>
  <c r="C1642" i="10"/>
  <c r="B1642" i="10"/>
  <c r="A1642" i="10"/>
  <c r="E1641" i="10"/>
  <c r="D1641" i="10"/>
  <c r="C1641" i="10"/>
  <c r="B1641" i="10"/>
  <c r="A1641" i="10"/>
  <c r="E1640" i="10"/>
  <c r="D1640" i="10"/>
  <c r="C1640" i="10"/>
  <c r="B1640" i="10"/>
  <c r="A1640" i="10"/>
  <c r="E1639" i="10"/>
  <c r="D1639" i="10"/>
  <c r="C1639" i="10"/>
  <c r="B1639" i="10"/>
  <c r="A1639" i="10"/>
  <c r="E1638" i="10"/>
  <c r="D1638" i="10"/>
  <c r="C1638" i="10"/>
  <c r="B1638" i="10"/>
  <c r="A1638" i="10"/>
  <c r="E1637" i="10"/>
  <c r="D1637" i="10"/>
  <c r="C1637" i="10"/>
  <c r="B1637" i="10"/>
  <c r="A1637" i="10"/>
  <c r="E1636" i="10"/>
  <c r="D1636" i="10"/>
  <c r="C1636" i="10"/>
  <c r="B1636" i="10"/>
  <c r="A1636" i="10"/>
  <c r="E1635" i="10"/>
  <c r="D1635" i="10"/>
  <c r="C1635" i="10"/>
  <c r="B1635" i="10"/>
  <c r="A1635" i="10"/>
  <c r="E1634" i="10"/>
  <c r="D1634" i="10"/>
  <c r="C1634" i="10"/>
  <c r="B1634" i="10"/>
  <c r="A1634" i="10"/>
  <c r="E1633" i="10"/>
  <c r="D1633" i="10"/>
  <c r="C1633" i="10"/>
  <c r="B1633" i="10"/>
  <c r="A1633" i="10"/>
  <c r="E1632" i="10"/>
  <c r="D1632" i="10"/>
  <c r="C1632" i="10"/>
  <c r="B1632" i="10"/>
  <c r="A1632" i="10"/>
  <c r="E1631" i="10"/>
  <c r="D1631" i="10"/>
  <c r="C1631" i="10"/>
  <c r="B1631" i="10"/>
  <c r="A1631" i="10"/>
  <c r="E1630" i="10"/>
  <c r="D1630" i="10"/>
  <c r="C1630" i="10"/>
  <c r="B1630" i="10"/>
  <c r="A1630" i="10"/>
  <c r="E1629" i="10"/>
  <c r="D1629" i="10"/>
  <c r="C1629" i="10"/>
  <c r="B1629" i="10"/>
  <c r="A1629" i="10"/>
  <c r="E1628" i="10"/>
  <c r="D1628" i="10"/>
  <c r="C1628" i="10"/>
  <c r="B1628" i="10"/>
  <c r="A1628" i="10"/>
  <c r="E1627" i="10"/>
  <c r="D1627" i="10"/>
  <c r="C1627" i="10"/>
  <c r="B1627" i="10"/>
  <c r="A1627" i="10"/>
  <c r="E1626" i="10"/>
  <c r="D1626" i="10"/>
  <c r="C1626" i="10"/>
  <c r="B1626" i="10"/>
  <c r="A1626" i="10"/>
  <c r="E1625" i="10"/>
  <c r="D1625" i="10"/>
  <c r="C1625" i="10"/>
  <c r="B1625" i="10"/>
  <c r="A1625" i="10"/>
  <c r="E1624" i="10"/>
  <c r="D1624" i="10"/>
  <c r="C1624" i="10"/>
  <c r="B1624" i="10"/>
  <c r="A1624" i="10"/>
  <c r="E1623" i="10"/>
  <c r="D1623" i="10"/>
  <c r="C1623" i="10"/>
  <c r="B1623" i="10"/>
  <c r="A1623" i="10"/>
  <c r="E1622" i="10"/>
  <c r="D1622" i="10"/>
  <c r="C1622" i="10"/>
  <c r="B1622" i="10"/>
  <c r="A1622" i="10"/>
  <c r="E1621" i="10"/>
  <c r="D1621" i="10"/>
  <c r="C1621" i="10"/>
  <c r="B1621" i="10"/>
  <c r="A1621" i="10"/>
  <c r="E1620" i="10"/>
  <c r="D1620" i="10"/>
  <c r="C1620" i="10"/>
  <c r="B1620" i="10"/>
  <c r="A1620" i="10"/>
  <c r="E1619" i="10"/>
  <c r="D1619" i="10"/>
  <c r="C1619" i="10"/>
  <c r="B1619" i="10"/>
  <c r="A1619" i="10"/>
  <c r="E1618" i="10"/>
  <c r="D1618" i="10"/>
  <c r="C1618" i="10"/>
  <c r="B1618" i="10"/>
  <c r="A1618" i="10"/>
  <c r="E1617" i="10"/>
  <c r="D1617" i="10"/>
  <c r="C1617" i="10"/>
  <c r="B1617" i="10"/>
  <c r="A1617" i="10"/>
  <c r="E1616" i="10"/>
  <c r="D1616" i="10"/>
  <c r="C1616" i="10"/>
  <c r="B1616" i="10"/>
  <c r="A1616" i="10"/>
  <c r="E1615" i="10"/>
  <c r="D1615" i="10"/>
  <c r="C1615" i="10"/>
  <c r="B1615" i="10"/>
  <c r="A1615" i="10"/>
  <c r="E1614" i="10"/>
  <c r="D1614" i="10"/>
  <c r="C1614" i="10"/>
  <c r="B1614" i="10"/>
  <c r="A1614" i="10"/>
  <c r="E1613" i="10"/>
  <c r="D1613" i="10"/>
  <c r="C1613" i="10"/>
  <c r="B1613" i="10"/>
  <c r="A1613" i="10"/>
  <c r="E1612" i="10"/>
  <c r="D1612" i="10"/>
  <c r="C1612" i="10"/>
  <c r="B1612" i="10"/>
  <c r="A1612" i="10"/>
  <c r="E1611" i="10"/>
  <c r="D1611" i="10"/>
  <c r="C1611" i="10"/>
  <c r="B1611" i="10"/>
  <c r="A1611" i="10"/>
  <c r="E1610" i="10"/>
  <c r="D1610" i="10"/>
  <c r="C1610" i="10"/>
  <c r="B1610" i="10"/>
  <c r="A1610" i="10"/>
  <c r="E1609" i="10"/>
  <c r="D1609" i="10"/>
  <c r="C1609" i="10"/>
  <c r="B1609" i="10"/>
  <c r="A1609" i="10"/>
  <c r="E1608" i="10"/>
  <c r="D1608" i="10"/>
  <c r="C1608" i="10"/>
  <c r="B1608" i="10"/>
  <c r="A1608" i="10"/>
  <c r="E1607" i="10"/>
  <c r="D1607" i="10"/>
  <c r="C1607" i="10"/>
  <c r="B1607" i="10"/>
  <c r="A1607" i="10"/>
  <c r="E1606" i="10"/>
  <c r="D1606" i="10"/>
  <c r="C1606" i="10"/>
  <c r="B1606" i="10"/>
  <c r="A1606" i="10"/>
  <c r="E1605" i="10"/>
  <c r="D1605" i="10"/>
  <c r="C1605" i="10"/>
  <c r="B1605" i="10"/>
  <c r="A1605" i="10"/>
  <c r="E1604" i="10"/>
  <c r="D1604" i="10"/>
  <c r="C1604" i="10"/>
  <c r="B1604" i="10"/>
  <c r="A1604" i="10"/>
  <c r="E1603" i="10"/>
  <c r="D1603" i="10"/>
  <c r="C1603" i="10"/>
  <c r="B1603" i="10"/>
  <c r="A1603" i="10"/>
  <c r="E1602" i="10"/>
  <c r="D1602" i="10"/>
  <c r="C1602" i="10"/>
  <c r="B1602" i="10"/>
  <c r="A1602" i="10"/>
  <c r="E1601" i="10"/>
  <c r="D1601" i="10"/>
  <c r="C1601" i="10"/>
  <c r="B1601" i="10"/>
  <c r="A1601" i="10"/>
  <c r="E1600" i="10"/>
  <c r="D1600" i="10"/>
  <c r="C1600" i="10"/>
  <c r="B1600" i="10"/>
  <c r="A1600" i="10"/>
  <c r="E1599" i="10"/>
  <c r="D1599" i="10"/>
  <c r="C1599" i="10"/>
  <c r="B1599" i="10"/>
  <c r="A1599" i="10"/>
  <c r="E1598" i="10"/>
  <c r="D1598" i="10"/>
  <c r="C1598" i="10"/>
  <c r="B1598" i="10"/>
  <c r="A1598" i="10"/>
  <c r="E1597" i="10"/>
  <c r="D1597" i="10"/>
  <c r="C1597" i="10"/>
  <c r="B1597" i="10"/>
  <c r="A1597" i="10"/>
  <c r="E1596" i="10"/>
  <c r="D1596" i="10"/>
  <c r="C1596" i="10"/>
  <c r="B1596" i="10"/>
  <c r="A1596" i="10"/>
  <c r="E1595" i="10"/>
  <c r="D1595" i="10"/>
  <c r="C1595" i="10"/>
  <c r="B1595" i="10"/>
  <c r="A1595" i="10"/>
  <c r="E1594" i="10"/>
  <c r="D1594" i="10"/>
  <c r="C1594" i="10"/>
  <c r="B1594" i="10"/>
  <c r="A1594" i="10"/>
  <c r="E1593" i="10"/>
  <c r="D1593" i="10"/>
  <c r="C1593" i="10"/>
  <c r="B1593" i="10"/>
  <c r="A1593" i="10"/>
  <c r="E1592" i="10"/>
  <c r="D1592" i="10"/>
  <c r="C1592" i="10"/>
  <c r="B1592" i="10"/>
  <c r="A1592" i="10"/>
  <c r="E1591" i="10"/>
  <c r="D1591" i="10"/>
  <c r="C1591" i="10"/>
  <c r="B1591" i="10"/>
  <c r="A1591" i="10"/>
  <c r="E1590" i="10"/>
  <c r="D1590" i="10"/>
  <c r="C1590" i="10"/>
  <c r="B1590" i="10"/>
  <c r="A1590" i="10"/>
  <c r="E1589" i="10"/>
  <c r="D1589" i="10"/>
  <c r="C1589" i="10"/>
  <c r="B1589" i="10"/>
  <c r="A1589" i="10"/>
  <c r="E1588" i="10"/>
  <c r="D1588" i="10"/>
  <c r="C1588" i="10"/>
  <c r="B1588" i="10"/>
  <c r="A1588" i="10"/>
  <c r="E1587" i="10"/>
  <c r="D1587" i="10"/>
  <c r="C1587" i="10"/>
  <c r="B1587" i="10"/>
  <c r="A1587" i="10"/>
  <c r="E1586" i="10"/>
  <c r="D1586" i="10"/>
  <c r="C1586" i="10"/>
  <c r="B1586" i="10"/>
  <c r="A1586" i="10"/>
  <c r="E1585" i="10"/>
  <c r="D1585" i="10"/>
  <c r="C1585" i="10"/>
  <c r="B1585" i="10"/>
  <c r="A1585" i="10"/>
  <c r="E1584" i="10"/>
  <c r="D1584" i="10"/>
  <c r="C1584" i="10"/>
  <c r="B1584" i="10"/>
  <c r="A1584" i="10"/>
  <c r="E1583" i="10"/>
  <c r="D1583" i="10"/>
  <c r="C1583" i="10"/>
  <c r="B1583" i="10"/>
  <c r="A1583" i="10"/>
  <c r="E1582" i="10"/>
  <c r="D1582" i="10"/>
  <c r="C1582" i="10"/>
  <c r="B1582" i="10"/>
  <c r="A1582" i="10"/>
  <c r="E1581" i="10"/>
  <c r="D1581" i="10"/>
  <c r="C1581" i="10"/>
  <c r="B1581" i="10"/>
  <c r="A1581" i="10"/>
  <c r="E1580" i="10"/>
  <c r="D1580" i="10"/>
  <c r="C1580" i="10"/>
  <c r="B1580" i="10"/>
  <c r="A1580" i="10"/>
  <c r="E1579" i="10"/>
  <c r="D1579" i="10"/>
  <c r="C1579" i="10"/>
  <c r="B1579" i="10"/>
  <c r="A1579" i="10"/>
  <c r="E1578" i="10"/>
  <c r="D1578" i="10"/>
  <c r="C1578" i="10"/>
  <c r="B1578" i="10"/>
  <c r="A1578" i="10"/>
  <c r="E1577" i="10"/>
  <c r="D1577" i="10"/>
  <c r="C1577" i="10"/>
  <c r="B1577" i="10"/>
  <c r="A1577" i="10"/>
  <c r="E1576" i="10"/>
  <c r="D1576" i="10"/>
  <c r="C1576" i="10"/>
  <c r="B1576" i="10"/>
  <c r="A1576" i="10"/>
  <c r="E1575" i="10"/>
  <c r="D1575" i="10"/>
  <c r="C1575" i="10"/>
  <c r="B1575" i="10"/>
  <c r="A1575" i="10"/>
  <c r="E1574" i="10"/>
  <c r="D1574" i="10"/>
  <c r="C1574" i="10"/>
  <c r="B1574" i="10"/>
  <c r="A1574" i="10"/>
  <c r="E1573" i="10"/>
  <c r="D1573" i="10"/>
  <c r="C1573" i="10"/>
  <c r="B1573" i="10"/>
  <c r="A1573" i="10"/>
  <c r="E1572" i="10"/>
  <c r="D1572" i="10"/>
  <c r="C1572" i="10"/>
  <c r="B1572" i="10"/>
  <c r="A1572" i="10"/>
  <c r="E1571" i="10"/>
  <c r="D1571" i="10"/>
  <c r="C1571" i="10"/>
  <c r="B1571" i="10"/>
  <c r="A1571" i="10"/>
  <c r="E1570" i="10"/>
  <c r="D1570" i="10"/>
  <c r="C1570" i="10"/>
  <c r="B1570" i="10"/>
  <c r="A1570" i="10"/>
  <c r="E1569" i="10"/>
  <c r="D1569" i="10"/>
  <c r="C1569" i="10"/>
  <c r="B1569" i="10"/>
  <c r="A1569" i="10"/>
  <c r="E1568" i="10"/>
  <c r="D1568" i="10"/>
  <c r="C1568" i="10"/>
  <c r="B1568" i="10"/>
  <c r="A1568" i="10"/>
  <c r="E1567" i="10"/>
  <c r="D1567" i="10"/>
  <c r="C1567" i="10"/>
  <c r="B1567" i="10"/>
  <c r="A1567" i="10"/>
  <c r="E1566" i="10"/>
  <c r="D1566" i="10"/>
  <c r="C1566" i="10"/>
  <c r="B1566" i="10"/>
  <c r="A1566" i="10"/>
  <c r="E1565" i="10"/>
  <c r="D1565" i="10"/>
  <c r="C1565" i="10"/>
  <c r="B1565" i="10"/>
  <c r="A1565" i="10"/>
  <c r="E1564" i="10"/>
  <c r="D1564" i="10"/>
  <c r="C1564" i="10"/>
  <c r="B1564" i="10"/>
  <c r="A1564" i="10"/>
  <c r="E1563" i="10"/>
  <c r="D1563" i="10"/>
  <c r="C1563" i="10"/>
  <c r="B1563" i="10"/>
  <c r="A1563" i="10"/>
  <c r="E1562" i="10"/>
  <c r="D1562" i="10"/>
  <c r="C1562" i="10"/>
  <c r="B1562" i="10"/>
  <c r="A1562" i="10"/>
  <c r="E1561" i="10"/>
  <c r="D1561" i="10"/>
  <c r="C1561" i="10"/>
  <c r="B1561" i="10"/>
  <c r="A1561" i="10"/>
  <c r="E1560" i="10"/>
  <c r="D1560" i="10"/>
  <c r="C1560" i="10"/>
  <c r="B1560" i="10"/>
  <c r="A1560" i="10"/>
  <c r="E1559" i="10"/>
  <c r="D1559" i="10"/>
  <c r="C1559" i="10"/>
  <c r="B1559" i="10"/>
  <c r="A1559" i="10"/>
  <c r="E1558" i="10"/>
  <c r="D1558" i="10"/>
  <c r="C1558" i="10"/>
  <c r="B1558" i="10"/>
  <c r="A1558" i="10"/>
  <c r="E1557" i="10"/>
  <c r="D1557" i="10"/>
  <c r="C1557" i="10"/>
  <c r="B1557" i="10"/>
  <c r="A1557" i="10"/>
  <c r="E1556" i="10"/>
  <c r="D1556" i="10"/>
  <c r="C1556" i="10"/>
  <c r="B1556" i="10"/>
  <c r="A1556" i="10"/>
  <c r="E1555" i="10"/>
  <c r="D1555" i="10"/>
  <c r="C1555" i="10"/>
  <c r="B1555" i="10"/>
  <c r="A1555" i="10"/>
  <c r="E1554" i="10"/>
  <c r="D1554" i="10"/>
  <c r="C1554" i="10"/>
  <c r="B1554" i="10"/>
  <c r="A1554" i="10"/>
  <c r="E1553" i="10"/>
  <c r="D1553" i="10"/>
  <c r="C1553" i="10"/>
  <c r="B1553" i="10"/>
  <c r="A1553" i="10"/>
  <c r="E1552" i="10"/>
  <c r="D1552" i="10"/>
  <c r="C1552" i="10"/>
  <c r="B1552" i="10"/>
  <c r="A1552" i="10"/>
  <c r="E1551" i="10"/>
  <c r="D1551" i="10"/>
  <c r="C1551" i="10"/>
  <c r="B1551" i="10"/>
  <c r="A1551" i="10"/>
  <c r="E1550" i="10"/>
  <c r="D1550" i="10"/>
  <c r="C1550" i="10"/>
  <c r="B1550" i="10"/>
  <c r="A1550" i="10"/>
  <c r="E1549" i="10"/>
  <c r="D1549" i="10"/>
  <c r="C1549" i="10"/>
  <c r="B1549" i="10"/>
  <c r="A1549" i="10"/>
  <c r="E1548" i="10"/>
  <c r="D1548" i="10"/>
  <c r="C1548" i="10"/>
  <c r="B1548" i="10"/>
  <c r="A1548" i="10"/>
  <c r="E1547" i="10"/>
  <c r="D1547" i="10"/>
  <c r="C1547" i="10"/>
  <c r="B1547" i="10"/>
  <c r="A1547" i="10"/>
  <c r="E1546" i="10"/>
  <c r="D1546" i="10"/>
  <c r="C1546" i="10"/>
  <c r="B1546" i="10"/>
  <c r="A1546" i="10"/>
  <c r="E1545" i="10"/>
  <c r="D1545" i="10"/>
  <c r="C1545" i="10"/>
  <c r="B1545" i="10"/>
  <c r="A1545" i="10"/>
  <c r="E1544" i="10"/>
  <c r="D1544" i="10"/>
  <c r="C1544" i="10"/>
  <c r="B1544" i="10"/>
  <c r="A1544" i="10"/>
  <c r="E1543" i="10"/>
  <c r="D1543" i="10"/>
  <c r="C1543" i="10"/>
  <c r="B1543" i="10"/>
  <c r="A1543" i="10"/>
  <c r="E1542" i="10"/>
  <c r="D1542" i="10"/>
  <c r="C1542" i="10"/>
  <c r="B1542" i="10"/>
  <c r="A1542" i="10"/>
  <c r="E1541" i="10"/>
  <c r="D1541" i="10"/>
  <c r="C1541" i="10"/>
  <c r="B1541" i="10"/>
  <c r="A1541" i="10"/>
  <c r="E1540" i="10"/>
  <c r="D1540" i="10"/>
  <c r="C1540" i="10"/>
  <c r="B1540" i="10"/>
  <c r="A1540" i="10"/>
  <c r="E1539" i="10"/>
  <c r="D1539" i="10"/>
  <c r="C1539" i="10"/>
  <c r="B1539" i="10"/>
  <c r="A1539" i="10"/>
  <c r="E1538" i="10"/>
  <c r="D1538" i="10"/>
  <c r="C1538" i="10"/>
  <c r="B1538" i="10"/>
  <c r="A1538" i="10"/>
  <c r="E1537" i="10"/>
  <c r="D1537" i="10"/>
  <c r="C1537" i="10"/>
  <c r="B1537" i="10"/>
  <c r="A1537" i="10"/>
  <c r="E1536" i="10"/>
  <c r="D1536" i="10"/>
  <c r="C1536" i="10"/>
  <c r="B1536" i="10"/>
  <c r="A1536" i="10"/>
  <c r="E1535" i="10"/>
  <c r="D1535" i="10"/>
  <c r="C1535" i="10"/>
  <c r="B1535" i="10"/>
  <c r="A1535" i="10"/>
  <c r="E1534" i="10"/>
  <c r="D1534" i="10"/>
  <c r="C1534" i="10"/>
  <c r="B1534" i="10"/>
  <c r="A1534" i="10"/>
  <c r="E1533" i="10"/>
  <c r="D1533" i="10"/>
  <c r="C1533" i="10"/>
  <c r="B1533" i="10"/>
  <c r="A1533" i="10"/>
  <c r="E1532" i="10"/>
  <c r="D1532" i="10"/>
  <c r="C1532" i="10"/>
  <c r="B1532" i="10"/>
  <c r="A1532" i="10"/>
  <c r="E1531" i="10"/>
  <c r="D1531" i="10"/>
  <c r="C1531" i="10"/>
  <c r="B1531" i="10"/>
  <c r="A1531" i="10"/>
  <c r="E1530" i="10"/>
  <c r="D1530" i="10"/>
  <c r="C1530" i="10"/>
  <c r="B1530" i="10"/>
  <c r="A1530" i="10"/>
  <c r="E1529" i="10"/>
  <c r="D1529" i="10"/>
  <c r="C1529" i="10"/>
  <c r="B1529" i="10"/>
  <c r="A1529" i="10"/>
  <c r="E1528" i="10"/>
  <c r="D1528" i="10"/>
  <c r="C1528" i="10"/>
  <c r="B1528" i="10"/>
  <c r="A1528" i="10"/>
  <c r="E1527" i="10"/>
  <c r="D1527" i="10"/>
  <c r="C1527" i="10"/>
  <c r="B1527" i="10"/>
  <c r="A1527" i="10"/>
  <c r="E1526" i="10"/>
  <c r="D1526" i="10"/>
  <c r="C1526" i="10"/>
  <c r="B1526" i="10"/>
  <c r="A1526" i="10"/>
  <c r="E1525" i="10"/>
  <c r="D1525" i="10"/>
  <c r="C1525" i="10"/>
  <c r="B1525" i="10"/>
  <c r="A1525" i="10"/>
  <c r="E1524" i="10"/>
  <c r="D1524" i="10"/>
  <c r="C1524" i="10"/>
  <c r="B1524" i="10"/>
  <c r="A1524" i="10"/>
  <c r="E1523" i="10"/>
  <c r="D1523" i="10"/>
  <c r="C1523" i="10"/>
  <c r="B1523" i="10"/>
  <c r="A1523" i="10"/>
  <c r="E1522" i="10"/>
  <c r="D1522" i="10"/>
  <c r="C1522" i="10"/>
  <c r="B1522" i="10"/>
  <c r="A1522" i="10"/>
  <c r="E1521" i="10"/>
  <c r="D1521" i="10"/>
  <c r="C1521" i="10"/>
  <c r="B1521" i="10"/>
  <c r="A1521" i="10"/>
  <c r="E1520" i="10"/>
  <c r="D1520" i="10"/>
  <c r="C1520" i="10"/>
  <c r="B1520" i="10"/>
  <c r="A1520" i="10"/>
  <c r="E1519" i="10"/>
  <c r="D1519" i="10"/>
  <c r="C1519" i="10"/>
  <c r="B1519" i="10"/>
  <c r="A1519" i="10"/>
  <c r="E1518" i="10"/>
  <c r="D1518" i="10"/>
  <c r="C1518" i="10"/>
  <c r="B1518" i="10"/>
  <c r="A1518" i="10"/>
  <c r="E1517" i="10"/>
  <c r="D1517" i="10"/>
  <c r="C1517" i="10"/>
  <c r="B1517" i="10"/>
  <c r="A1517" i="10"/>
  <c r="E1516" i="10"/>
  <c r="D1516" i="10"/>
  <c r="C1516" i="10"/>
  <c r="B1516" i="10"/>
  <c r="A1516" i="10"/>
  <c r="E1515" i="10"/>
  <c r="D1515" i="10"/>
  <c r="C1515" i="10"/>
  <c r="B1515" i="10"/>
  <c r="A1515" i="10"/>
  <c r="E1514" i="10"/>
  <c r="D1514" i="10"/>
  <c r="C1514" i="10"/>
  <c r="B1514" i="10"/>
  <c r="A1514" i="10"/>
  <c r="E1513" i="10"/>
  <c r="D1513" i="10"/>
  <c r="C1513" i="10"/>
  <c r="B1513" i="10"/>
  <c r="A1513" i="10"/>
  <c r="E1512" i="10"/>
  <c r="D1512" i="10"/>
  <c r="C1512" i="10"/>
  <c r="B1512" i="10"/>
  <c r="A1512" i="10"/>
  <c r="E1511" i="10"/>
  <c r="D1511" i="10"/>
  <c r="C1511" i="10"/>
  <c r="B1511" i="10"/>
  <c r="A1511" i="10"/>
  <c r="E1510" i="10"/>
  <c r="D1510" i="10"/>
  <c r="C1510" i="10"/>
  <c r="B1510" i="10"/>
  <c r="A1510" i="10"/>
  <c r="E1509" i="10"/>
  <c r="D1509" i="10"/>
  <c r="C1509" i="10"/>
  <c r="B1509" i="10"/>
  <c r="A1509" i="10"/>
  <c r="E1508" i="10"/>
  <c r="D1508" i="10"/>
  <c r="C1508" i="10"/>
  <c r="B1508" i="10"/>
  <c r="A1508" i="10"/>
  <c r="E1507" i="10"/>
  <c r="D1507" i="10"/>
  <c r="C1507" i="10"/>
  <c r="B1507" i="10"/>
  <c r="A1507" i="10"/>
  <c r="E1506" i="10"/>
  <c r="D1506" i="10"/>
  <c r="C1506" i="10"/>
  <c r="B1506" i="10"/>
  <c r="A1506" i="10"/>
  <c r="E1505" i="10"/>
  <c r="D1505" i="10"/>
  <c r="C1505" i="10"/>
  <c r="B1505" i="10"/>
  <c r="A1505" i="10"/>
  <c r="E1504" i="10"/>
  <c r="D1504" i="10"/>
  <c r="C1504" i="10"/>
  <c r="B1504" i="10"/>
  <c r="A1504" i="10"/>
  <c r="E1503" i="10"/>
  <c r="D1503" i="10"/>
  <c r="C1503" i="10"/>
  <c r="B1503" i="10"/>
  <c r="A1503" i="10"/>
  <c r="E1502" i="10"/>
  <c r="D1502" i="10"/>
  <c r="C1502" i="10"/>
  <c r="B1502" i="10"/>
  <c r="A1502" i="10"/>
  <c r="E1501" i="10"/>
  <c r="D1501" i="10"/>
  <c r="C1501" i="10"/>
  <c r="B1501" i="10"/>
  <c r="A1501" i="10"/>
  <c r="E1500" i="10"/>
  <c r="D1500" i="10"/>
  <c r="C1500" i="10"/>
  <c r="B1500" i="10"/>
  <c r="A1500" i="10"/>
  <c r="E1499" i="10"/>
  <c r="D1499" i="10"/>
  <c r="C1499" i="10"/>
  <c r="B1499" i="10"/>
  <c r="A1499" i="10"/>
  <c r="E1498" i="10"/>
  <c r="D1498" i="10"/>
  <c r="C1498" i="10"/>
  <c r="B1498" i="10"/>
  <c r="A1498" i="10"/>
  <c r="E1497" i="10"/>
  <c r="D1497" i="10"/>
  <c r="C1497" i="10"/>
  <c r="B1497" i="10"/>
  <c r="A1497" i="10"/>
  <c r="E1496" i="10"/>
  <c r="D1496" i="10"/>
  <c r="C1496" i="10"/>
  <c r="B1496" i="10"/>
  <c r="A1496" i="10"/>
  <c r="E1495" i="10"/>
  <c r="D1495" i="10"/>
  <c r="C1495" i="10"/>
  <c r="B1495" i="10"/>
  <c r="A1495" i="10"/>
  <c r="E1494" i="10"/>
  <c r="D1494" i="10"/>
  <c r="C1494" i="10"/>
  <c r="B1494" i="10"/>
  <c r="A1494" i="10"/>
  <c r="E1493" i="10"/>
  <c r="D1493" i="10"/>
  <c r="C1493" i="10"/>
  <c r="B1493" i="10"/>
  <c r="A1493" i="10"/>
  <c r="E1492" i="10"/>
  <c r="D1492" i="10"/>
  <c r="C1492" i="10"/>
  <c r="B1492" i="10"/>
  <c r="A1492" i="10"/>
  <c r="E1491" i="10"/>
  <c r="D1491" i="10"/>
  <c r="C1491" i="10"/>
  <c r="B1491" i="10"/>
  <c r="A1491" i="10"/>
  <c r="E1490" i="10"/>
  <c r="D1490" i="10"/>
  <c r="C1490" i="10"/>
  <c r="B1490" i="10"/>
  <c r="A1490" i="10"/>
  <c r="E1489" i="10"/>
  <c r="D1489" i="10"/>
  <c r="C1489" i="10"/>
  <c r="B1489" i="10"/>
  <c r="A1489" i="10"/>
  <c r="E1488" i="10"/>
  <c r="D1488" i="10"/>
  <c r="C1488" i="10"/>
  <c r="B1488" i="10"/>
  <c r="A1488" i="10"/>
  <c r="E1487" i="10"/>
  <c r="D1487" i="10"/>
  <c r="C1487" i="10"/>
  <c r="B1487" i="10"/>
  <c r="A1487" i="10"/>
  <c r="E1486" i="10"/>
  <c r="D1486" i="10"/>
  <c r="C1486" i="10"/>
  <c r="B1486" i="10"/>
  <c r="A1486" i="10"/>
  <c r="E1485" i="10"/>
  <c r="D1485" i="10"/>
  <c r="C1485" i="10"/>
  <c r="B1485" i="10"/>
  <c r="A1485" i="10"/>
  <c r="E1484" i="10"/>
  <c r="D1484" i="10"/>
  <c r="C1484" i="10"/>
  <c r="B1484" i="10"/>
  <c r="A1484" i="10"/>
  <c r="E1483" i="10"/>
  <c r="D1483" i="10"/>
  <c r="C1483" i="10"/>
  <c r="B1483" i="10"/>
  <c r="A1483" i="10"/>
  <c r="E1482" i="10"/>
  <c r="D1482" i="10"/>
  <c r="C1482" i="10"/>
  <c r="B1482" i="10"/>
  <c r="A1482" i="10"/>
  <c r="E1481" i="10"/>
  <c r="D1481" i="10"/>
  <c r="C1481" i="10"/>
  <c r="B1481" i="10"/>
  <c r="A1481" i="10"/>
  <c r="E1480" i="10"/>
  <c r="D1480" i="10"/>
  <c r="C1480" i="10"/>
  <c r="B1480" i="10"/>
  <c r="A1480" i="10"/>
  <c r="E1479" i="10"/>
  <c r="D1479" i="10"/>
  <c r="C1479" i="10"/>
  <c r="B1479" i="10"/>
  <c r="A1479" i="10"/>
  <c r="E1478" i="10"/>
  <c r="D1478" i="10"/>
  <c r="C1478" i="10"/>
  <c r="B1478" i="10"/>
  <c r="A1478" i="10"/>
  <c r="E1477" i="10"/>
  <c r="D1477" i="10"/>
  <c r="C1477" i="10"/>
  <c r="B1477" i="10"/>
  <c r="A1477" i="10"/>
  <c r="E1476" i="10"/>
  <c r="D1476" i="10"/>
  <c r="C1476" i="10"/>
  <c r="B1476" i="10"/>
  <c r="A1476" i="10"/>
  <c r="E1475" i="10"/>
  <c r="D1475" i="10"/>
  <c r="C1475" i="10"/>
  <c r="B1475" i="10"/>
  <c r="A1475" i="10"/>
  <c r="E1474" i="10"/>
  <c r="D1474" i="10"/>
  <c r="C1474" i="10"/>
  <c r="B1474" i="10"/>
  <c r="A1474" i="10"/>
  <c r="E1473" i="10"/>
  <c r="D1473" i="10"/>
  <c r="C1473" i="10"/>
  <c r="B1473" i="10"/>
  <c r="A1473" i="10"/>
  <c r="E1472" i="10"/>
  <c r="D1472" i="10"/>
  <c r="C1472" i="10"/>
  <c r="B1472" i="10"/>
  <c r="A1472" i="10"/>
  <c r="E1471" i="10"/>
  <c r="D1471" i="10"/>
  <c r="C1471" i="10"/>
  <c r="B1471" i="10"/>
  <c r="A1471" i="10"/>
  <c r="E1470" i="10"/>
  <c r="D1470" i="10"/>
  <c r="C1470" i="10"/>
  <c r="B1470" i="10"/>
  <c r="A1470" i="10"/>
  <c r="E1469" i="10"/>
  <c r="D1469" i="10"/>
  <c r="C1469" i="10"/>
  <c r="B1469" i="10"/>
  <c r="A1469" i="10"/>
  <c r="E1468" i="10"/>
  <c r="D1468" i="10"/>
  <c r="C1468" i="10"/>
  <c r="B1468" i="10"/>
  <c r="A1468" i="10"/>
  <c r="E1467" i="10"/>
  <c r="D1467" i="10"/>
  <c r="C1467" i="10"/>
  <c r="B1467" i="10"/>
  <c r="A1467" i="10"/>
  <c r="E1466" i="10"/>
  <c r="D1466" i="10"/>
  <c r="C1466" i="10"/>
  <c r="B1466" i="10"/>
  <c r="A1466" i="10"/>
  <c r="E1465" i="10"/>
  <c r="D1465" i="10"/>
  <c r="C1465" i="10"/>
  <c r="B1465" i="10"/>
  <c r="A1465" i="10"/>
  <c r="E1464" i="10"/>
  <c r="D1464" i="10"/>
  <c r="C1464" i="10"/>
  <c r="B1464" i="10"/>
  <c r="A1464" i="10"/>
  <c r="E1463" i="10"/>
  <c r="D1463" i="10"/>
  <c r="C1463" i="10"/>
  <c r="B1463" i="10"/>
  <c r="A1463" i="10"/>
  <c r="E1462" i="10"/>
  <c r="D1462" i="10"/>
  <c r="C1462" i="10"/>
  <c r="B1462" i="10"/>
  <c r="A1462" i="10"/>
  <c r="E1461" i="10"/>
  <c r="D1461" i="10"/>
  <c r="C1461" i="10"/>
  <c r="B1461" i="10"/>
  <c r="A1461" i="10"/>
  <c r="E1460" i="10"/>
  <c r="D1460" i="10"/>
  <c r="C1460" i="10"/>
  <c r="B1460" i="10"/>
  <c r="A1460" i="10"/>
  <c r="E1459" i="10"/>
  <c r="D1459" i="10"/>
  <c r="C1459" i="10"/>
  <c r="B1459" i="10"/>
  <c r="A1459" i="10"/>
  <c r="E1458" i="10"/>
  <c r="D1458" i="10"/>
  <c r="C1458" i="10"/>
  <c r="B1458" i="10"/>
  <c r="A1458" i="10"/>
  <c r="E1457" i="10"/>
  <c r="D1457" i="10"/>
  <c r="C1457" i="10"/>
  <c r="B1457" i="10"/>
  <c r="A1457" i="10"/>
  <c r="E1456" i="10"/>
  <c r="D1456" i="10"/>
  <c r="C1456" i="10"/>
  <c r="B1456" i="10"/>
  <c r="A1456" i="10"/>
  <c r="E1455" i="10"/>
  <c r="D1455" i="10"/>
  <c r="C1455" i="10"/>
  <c r="B1455" i="10"/>
  <c r="A1455" i="10"/>
  <c r="E1454" i="10"/>
  <c r="D1454" i="10"/>
  <c r="C1454" i="10"/>
  <c r="B1454" i="10"/>
  <c r="A1454" i="10"/>
  <c r="E1453" i="10"/>
  <c r="D1453" i="10"/>
  <c r="C1453" i="10"/>
  <c r="B1453" i="10"/>
  <c r="A1453" i="10"/>
  <c r="E1452" i="10"/>
  <c r="D1452" i="10"/>
  <c r="C1452" i="10"/>
  <c r="B1452" i="10"/>
  <c r="A1452" i="10"/>
  <c r="E1451" i="10"/>
  <c r="D1451" i="10"/>
  <c r="C1451" i="10"/>
  <c r="B1451" i="10"/>
  <c r="A1451" i="10"/>
  <c r="E1450" i="10"/>
  <c r="D1450" i="10"/>
  <c r="C1450" i="10"/>
  <c r="B1450" i="10"/>
  <c r="A1450" i="10"/>
  <c r="E1449" i="10"/>
  <c r="D1449" i="10"/>
  <c r="C1449" i="10"/>
  <c r="B1449" i="10"/>
  <c r="A1449" i="10"/>
  <c r="E1448" i="10"/>
  <c r="D1448" i="10"/>
  <c r="C1448" i="10"/>
  <c r="B1448" i="10"/>
  <c r="A1448" i="10"/>
  <c r="E1447" i="10"/>
  <c r="D1447" i="10"/>
  <c r="C1447" i="10"/>
  <c r="B1447" i="10"/>
  <c r="A1447" i="10"/>
  <c r="E1446" i="10"/>
  <c r="D1446" i="10"/>
  <c r="C1446" i="10"/>
  <c r="B1446" i="10"/>
  <c r="A1446" i="10"/>
  <c r="E1445" i="10"/>
  <c r="D1445" i="10"/>
  <c r="C1445" i="10"/>
  <c r="B1445" i="10"/>
  <c r="A1445" i="10"/>
  <c r="E1444" i="10"/>
  <c r="D1444" i="10"/>
  <c r="C1444" i="10"/>
  <c r="B1444" i="10"/>
  <c r="A1444" i="10"/>
  <c r="E1443" i="10"/>
  <c r="D1443" i="10"/>
  <c r="C1443" i="10"/>
  <c r="B1443" i="10"/>
  <c r="A1443" i="10"/>
  <c r="E1442" i="10"/>
  <c r="D1442" i="10"/>
  <c r="C1442" i="10"/>
  <c r="B1442" i="10"/>
  <c r="A1442" i="10"/>
  <c r="E1441" i="10"/>
  <c r="D1441" i="10"/>
  <c r="C1441" i="10"/>
  <c r="B1441" i="10"/>
  <c r="A1441" i="10"/>
  <c r="E1440" i="10"/>
  <c r="D1440" i="10"/>
  <c r="C1440" i="10"/>
  <c r="B1440" i="10"/>
  <c r="A1440" i="10"/>
  <c r="E1439" i="10"/>
  <c r="D1439" i="10"/>
  <c r="C1439" i="10"/>
  <c r="B1439" i="10"/>
  <c r="A1439" i="10"/>
  <c r="E1438" i="10"/>
  <c r="D1438" i="10"/>
  <c r="C1438" i="10"/>
  <c r="B1438" i="10"/>
  <c r="A1438" i="10"/>
  <c r="E1437" i="10"/>
  <c r="D1437" i="10"/>
  <c r="C1437" i="10"/>
  <c r="B1437" i="10"/>
  <c r="A1437" i="10"/>
  <c r="E1436" i="10"/>
  <c r="D1436" i="10"/>
  <c r="C1436" i="10"/>
  <c r="B1436" i="10"/>
  <c r="A1436" i="10"/>
  <c r="E1435" i="10"/>
  <c r="D1435" i="10"/>
  <c r="C1435" i="10"/>
  <c r="B1435" i="10"/>
  <c r="A1435" i="10"/>
  <c r="E1434" i="10"/>
  <c r="D1434" i="10"/>
  <c r="C1434" i="10"/>
  <c r="B1434" i="10"/>
  <c r="A1434" i="10"/>
  <c r="E1433" i="10"/>
  <c r="D1433" i="10"/>
  <c r="C1433" i="10"/>
  <c r="B1433" i="10"/>
  <c r="A1433" i="10"/>
  <c r="E1432" i="10"/>
  <c r="D1432" i="10"/>
  <c r="C1432" i="10"/>
  <c r="B1432" i="10"/>
  <c r="A1432" i="10"/>
  <c r="E1431" i="10"/>
  <c r="D1431" i="10"/>
  <c r="C1431" i="10"/>
  <c r="B1431" i="10"/>
  <c r="A1431" i="10"/>
  <c r="E1430" i="10"/>
  <c r="D1430" i="10"/>
  <c r="C1430" i="10"/>
  <c r="B1430" i="10"/>
  <c r="A1430" i="10"/>
  <c r="E1429" i="10"/>
  <c r="D1429" i="10"/>
  <c r="C1429" i="10"/>
  <c r="B1429" i="10"/>
  <c r="A1429" i="10"/>
  <c r="E1428" i="10"/>
  <c r="D1428" i="10"/>
  <c r="C1428" i="10"/>
  <c r="B1428" i="10"/>
  <c r="A1428" i="10"/>
  <c r="E1427" i="10"/>
  <c r="D1427" i="10"/>
  <c r="C1427" i="10"/>
  <c r="B1427" i="10"/>
  <c r="A1427" i="10"/>
  <c r="E1426" i="10"/>
  <c r="D1426" i="10"/>
  <c r="C1426" i="10"/>
  <c r="B1426" i="10"/>
  <c r="A1426" i="10"/>
  <c r="E1425" i="10"/>
  <c r="D1425" i="10"/>
  <c r="C1425" i="10"/>
  <c r="B1425" i="10"/>
  <c r="A1425" i="10"/>
  <c r="E1424" i="10"/>
  <c r="D1424" i="10"/>
  <c r="C1424" i="10"/>
  <c r="B1424" i="10"/>
  <c r="A1424" i="10"/>
  <c r="E1423" i="10"/>
  <c r="D1423" i="10"/>
  <c r="C1423" i="10"/>
  <c r="B1423" i="10"/>
  <c r="A1423" i="10"/>
  <c r="E1422" i="10"/>
  <c r="D1422" i="10"/>
  <c r="C1422" i="10"/>
  <c r="B1422" i="10"/>
  <c r="A1422" i="10"/>
  <c r="E1421" i="10"/>
  <c r="D1421" i="10"/>
  <c r="C1421" i="10"/>
  <c r="B1421" i="10"/>
  <c r="A1421" i="10"/>
  <c r="E1420" i="10"/>
  <c r="D1420" i="10"/>
  <c r="C1420" i="10"/>
  <c r="B1420" i="10"/>
  <c r="A1420" i="10"/>
  <c r="E1419" i="10"/>
  <c r="D1419" i="10"/>
  <c r="C1419" i="10"/>
  <c r="B1419" i="10"/>
  <c r="A1419" i="10"/>
  <c r="E1418" i="10"/>
  <c r="D1418" i="10"/>
  <c r="C1418" i="10"/>
  <c r="B1418" i="10"/>
  <c r="A1418" i="10"/>
  <c r="E1417" i="10"/>
  <c r="D1417" i="10"/>
  <c r="C1417" i="10"/>
  <c r="B1417" i="10"/>
  <c r="A1417" i="10"/>
  <c r="E1416" i="10"/>
  <c r="D1416" i="10"/>
  <c r="C1416" i="10"/>
  <c r="B1416" i="10"/>
  <c r="A1416" i="10"/>
  <c r="E1415" i="10"/>
  <c r="D1415" i="10"/>
  <c r="C1415" i="10"/>
  <c r="B1415" i="10"/>
  <c r="A1415" i="10"/>
  <c r="E1414" i="10"/>
  <c r="D1414" i="10"/>
  <c r="C1414" i="10"/>
  <c r="B1414" i="10"/>
  <c r="A1414" i="10"/>
  <c r="E1413" i="10"/>
  <c r="D1413" i="10"/>
  <c r="C1413" i="10"/>
  <c r="B1413" i="10"/>
  <c r="A1413" i="10"/>
  <c r="E1412" i="10"/>
  <c r="D1412" i="10"/>
  <c r="C1412" i="10"/>
  <c r="B1412" i="10"/>
  <c r="A1412" i="10"/>
  <c r="E1411" i="10"/>
  <c r="D1411" i="10"/>
  <c r="C1411" i="10"/>
  <c r="B1411" i="10"/>
  <c r="A1411" i="10"/>
  <c r="E1410" i="10"/>
  <c r="D1410" i="10"/>
  <c r="C1410" i="10"/>
  <c r="B1410" i="10"/>
  <c r="A1410" i="10"/>
  <c r="E1409" i="10"/>
  <c r="D1409" i="10"/>
  <c r="C1409" i="10"/>
  <c r="B1409" i="10"/>
  <c r="A1409" i="10"/>
  <c r="E1408" i="10"/>
  <c r="D1408" i="10"/>
  <c r="C1408" i="10"/>
  <c r="B1408" i="10"/>
  <c r="A1408" i="10"/>
  <c r="E1407" i="10"/>
  <c r="D1407" i="10"/>
  <c r="C1407" i="10"/>
  <c r="B1407" i="10"/>
  <c r="A1407" i="10"/>
  <c r="E1406" i="10"/>
  <c r="D1406" i="10"/>
  <c r="C1406" i="10"/>
  <c r="B1406" i="10"/>
  <c r="A1406" i="10"/>
  <c r="E1405" i="10"/>
  <c r="D1405" i="10"/>
  <c r="C1405" i="10"/>
  <c r="B1405" i="10"/>
  <c r="A1405" i="10"/>
  <c r="E1404" i="10"/>
  <c r="D1404" i="10"/>
  <c r="C1404" i="10"/>
  <c r="B1404" i="10"/>
  <c r="A1404" i="10"/>
  <c r="E1403" i="10"/>
  <c r="D1403" i="10"/>
  <c r="C1403" i="10"/>
  <c r="B1403" i="10"/>
  <c r="A1403" i="10"/>
  <c r="E1402" i="10"/>
  <c r="D1402" i="10"/>
  <c r="C1402" i="10"/>
  <c r="B1402" i="10"/>
  <c r="A1402" i="10"/>
  <c r="E1401" i="10"/>
  <c r="D1401" i="10"/>
  <c r="C1401" i="10"/>
  <c r="B1401" i="10"/>
  <c r="A1401" i="10"/>
  <c r="E1400" i="10"/>
  <c r="D1400" i="10"/>
  <c r="C1400" i="10"/>
  <c r="B1400" i="10"/>
  <c r="A1400" i="10"/>
  <c r="E1399" i="10"/>
  <c r="D1399" i="10"/>
  <c r="C1399" i="10"/>
  <c r="B1399" i="10"/>
  <c r="A1399" i="10"/>
  <c r="E1398" i="10"/>
  <c r="D1398" i="10"/>
  <c r="C1398" i="10"/>
  <c r="B1398" i="10"/>
  <c r="A1398" i="10"/>
  <c r="E1397" i="10"/>
  <c r="D1397" i="10"/>
  <c r="C1397" i="10"/>
  <c r="B1397" i="10"/>
  <c r="A1397" i="10"/>
  <c r="E1396" i="10"/>
  <c r="D1396" i="10"/>
  <c r="C1396" i="10"/>
  <c r="B1396" i="10"/>
  <c r="A1396" i="10"/>
  <c r="E1395" i="10"/>
  <c r="D1395" i="10"/>
  <c r="C1395" i="10"/>
  <c r="B1395" i="10"/>
  <c r="A1395" i="10"/>
  <c r="E1394" i="10"/>
  <c r="D1394" i="10"/>
  <c r="C1394" i="10"/>
  <c r="B1394" i="10"/>
  <c r="A1394" i="10"/>
  <c r="E1393" i="10"/>
  <c r="D1393" i="10"/>
  <c r="C1393" i="10"/>
  <c r="B1393" i="10"/>
  <c r="A1393" i="10"/>
  <c r="E1392" i="10"/>
  <c r="D1392" i="10"/>
  <c r="C1392" i="10"/>
  <c r="B1392" i="10"/>
  <c r="A1392" i="10"/>
  <c r="E1391" i="10"/>
  <c r="D1391" i="10"/>
  <c r="C1391" i="10"/>
  <c r="B1391" i="10"/>
  <c r="A1391" i="10"/>
  <c r="E1390" i="10"/>
  <c r="D1390" i="10"/>
  <c r="C1390" i="10"/>
  <c r="B1390" i="10"/>
  <c r="A1390" i="10"/>
  <c r="E1389" i="10"/>
  <c r="D1389" i="10"/>
  <c r="C1389" i="10"/>
  <c r="B1389" i="10"/>
  <c r="A1389" i="10"/>
  <c r="E1388" i="10"/>
  <c r="D1388" i="10"/>
  <c r="C1388" i="10"/>
  <c r="B1388" i="10"/>
  <c r="A1388" i="10"/>
  <c r="E1387" i="10"/>
  <c r="D1387" i="10"/>
  <c r="C1387" i="10"/>
  <c r="B1387" i="10"/>
  <c r="A1387" i="10"/>
  <c r="E1386" i="10"/>
  <c r="D1386" i="10"/>
  <c r="C1386" i="10"/>
  <c r="B1386" i="10"/>
  <c r="A1386" i="10"/>
  <c r="E1385" i="10"/>
  <c r="D1385" i="10"/>
  <c r="C1385" i="10"/>
  <c r="B1385" i="10"/>
  <c r="A1385" i="10"/>
  <c r="E1384" i="10"/>
  <c r="D1384" i="10"/>
  <c r="C1384" i="10"/>
  <c r="B1384" i="10"/>
  <c r="A1384" i="10"/>
  <c r="E1383" i="10"/>
  <c r="D1383" i="10"/>
  <c r="C1383" i="10"/>
  <c r="B1383" i="10"/>
  <c r="A1383" i="10"/>
  <c r="E1382" i="10"/>
  <c r="D1382" i="10"/>
  <c r="C1382" i="10"/>
  <c r="B1382" i="10"/>
  <c r="A1382" i="10"/>
  <c r="E1381" i="10"/>
  <c r="D1381" i="10"/>
  <c r="C1381" i="10"/>
  <c r="B1381" i="10"/>
  <c r="A1381" i="10"/>
  <c r="E1380" i="10"/>
  <c r="D1380" i="10"/>
  <c r="C1380" i="10"/>
  <c r="B1380" i="10"/>
  <c r="A1380" i="10"/>
  <c r="E1379" i="10"/>
  <c r="D1379" i="10"/>
  <c r="C1379" i="10"/>
  <c r="B1379" i="10"/>
  <c r="A1379" i="10"/>
  <c r="E1378" i="10"/>
  <c r="D1378" i="10"/>
  <c r="C1378" i="10"/>
  <c r="B1378" i="10"/>
  <c r="A1378" i="10"/>
  <c r="E1377" i="10"/>
  <c r="D1377" i="10"/>
  <c r="C1377" i="10"/>
  <c r="B1377" i="10"/>
  <c r="A1377" i="10"/>
  <c r="E1376" i="10"/>
  <c r="D1376" i="10"/>
  <c r="C1376" i="10"/>
  <c r="B1376" i="10"/>
  <c r="A1376" i="10"/>
  <c r="E1375" i="10"/>
  <c r="D1375" i="10"/>
  <c r="C1375" i="10"/>
  <c r="B1375" i="10"/>
  <c r="A1375" i="10"/>
  <c r="E1374" i="10"/>
  <c r="D1374" i="10"/>
  <c r="C1374" i="10"/>
  <c r="B1374" i="10"/>
  <c r="A1374" i="10"/>
  <c r="E1373" i="10"/>
  <c r="D1373" i="10"/>
  <c r="C1373" i="10"/>
  <c r="B1373" i="10"/>
  <c r="A1373" i="10"/>
  <c r="E1372" i="10"/>
  <c r="D1372" i="10"/>
  <c r="C1372" i="10"/>
  <c r="B1372" i="10"/>
  <c r="A1372" i="10"/>
  <c r="E1371" i="10"/>
  <c r="D1371" i="10"/>
  <c r="C1371" i="10"/>
  <c r="B1371" i="10"/>
  <c r="A1371" i="10"/>
  <c r="E1370" i="10"/>
  <c r="D1370" i="10"/>
  <c r="C1370" i="10"/>
  <c r="B1370" i="10"/>
  <c r="A1370" i="10"/>
  <c r="E1369" i="10"/>
  <c r="D1369" i="10"/>
  <c r="C1369" i="10"/>
  <c r="B1369" i="10"/>
  <c r="A1369" i="10"/>
  <c r="E1368" i="10"/>
  <c r="D1368" i="10"/>
  <c r="C1368" i="10"/>
  <c r="B1368" i="10"/>
  <c r="A1368" i="10"/>
  <c r="E1367" i="10"/>
  <c r="D1367" i="10"/>
  <c r="C1367" i="10"/>
  <c r="B1367" i="10"/>
  <c r="A1367" i="10"/>
  <c r="E1366" i="10"/>
  <c r="D1366" i="10"/>
  <c r="C1366" i="10"/>
  <c r="B1366" i="10"/>
  <c r="A1366" i="10"/>
  <c r="E1365" i="10"/>
  <c r="D1365" i="10"/>
  <c r="C1365" i="10"/>
  <c r="B1365" i="10"/>
  <c r="A1365" i="10"/>
  <c r="E1364" i="10"/>
  <c r="D1364" i="10"/>
  <c r="C1364" i="10"/>
  <c r="B1364" i="10"/>
  <c r="A1364" i="10"/>
  <c r="E1363" i="10"/>
  <c r="D1363" i="10"/>
  <c r="C1363" i="10"/>
  <c r="B1363" i="10"/>
  <c r="A1363" i="10"/>
  <c r="E1362" i="10"/>
  <c r="D1362" i="10"/>
  <c r="C1362" i="10"/>
  <c r="B1362" i="10"/>
  <c r="A1362" i="10"/>
  <c r="E1361" i="10"/>
  <c r="D1361" i="10"/>
  <c r="C1361" i="10"/>
  <c r="B1361" i="10"/>
  <c r="A1361" i="10"/>
  <c r="E1360" i="10"/>
  <c r="D1360" i="10"/>
  <c r="C1360" i="10"/>
  <c r="B1360" i="10"/>
  <c r="A1360" i="10"/>
  <c r="E1359" i="10"/>
  <c r="D1359" i="10"/>
  <c r="C1359" i="10"/>
  <c r="B1359" i="10"/>
  <c r="A1359" i="10"/>
  <c r="E1358" i="10"/>
  <c r="D1358" i="10"/>
  <c r="C1358" i="10"/>
  <c r="B1358" i="10"/>
  <c r="A1358" i="10"/>
  <c r="E1357" i="10"/>
  <c r="D1357" i="10"/>
  <c r="C1357" i="10"/>
  <c r="B1357" i="10"/>
  <c r="A1357" i="10"/>
  <c r="E1356" i="10"/>
  <c r="D1356" i="10"/>
  <c r="C1356" i="10"/>
  <c r="B1356" i="10"/>
  <c r="A1356" i="10"/>
  <c r="E1355" i="10"/>
  <c r="D1355" i="10"/>
  <c r="C1355" i="10"/>
  <c r="B1355" i="10"/>
  <c r="A1355" i="10"/>
  <c r="E1354" i="10"/>
  <c r="D1354" i="10"/>
  <c r="C1354" i="10"/>
  <c r="B1354" i="10"/>
  <c r="A1354" i="10"/>
  <c r="E1353" i="10"/>
  <c r="D1353" i="10"/>
  <c r="C1353" i="10"/>
  <c r="B1353" i="10"/>
  <c r="A1353" i="10"/>
  <c r="E1352" i="10"/>
  <c r="D1352" i="10"/>
  <c r="C1352" i="10"/>
  <c r="B1352" i="10"/>
  <c r="A1352" i="10"/>
  <c r="E1351" i="10"/>
  <c r="D1351" i="10"/>
  <c r="C1351" i="10"/>
  <c r="B1351" i="10"/>
  <c r="A1351" i="10"/>
  <c r="E1350" i="10"/>
  <c r="D1350" i="10"/>
  <c r="C1350" i="10"/>
  <c r="B1350" i="10"/>
  <c r="A1350" i="10"/>
  <c r="E1349" i="10"/>
  <c r="D1349" i="10"/>
  <c r="C1349" i="10"/>
  <c r="B1349" i="10"/>
  <c r="A1349" i="10"/>
  <c r="E1348" i="10"/>
  <c r="D1348" i="10"/>
  <c r="C1348" i="10"/>
  <c r="B1348" i="10"/>
  <c r="A1348" i="10"/>
  <c r="E1347" i="10"/>
  <c r="D1347" i="10"/>
  <c r="C1347" i="10"/>
  <c r="B1347" i="10"/>
  <c r="A1347" i="10"/>
  <c r="E1346" i="10"/>
  <c r="D1346" i="10"/>
  <c r="C1346" i="10"/>
  <c r="B1346" i="10"/>
  <c r="A1346" i="10"/>
  <c r="E1345" i="10"/>
  <c r="D1345" i="10"/>
  <c r="C1345" i="10"/>
  <c r="B1345" i="10"/>
  <c r="A1345" i="10"/>
  <c r="E1344" i="10"/>
  <c r="D1344" i="10"/>
  <c r="C1344" i="10"/>
  <c r="B1344" i="10"/>
  <c r="A1344" i="10"/>
  <c r="E1343" i="10"/>
  <c r="D1343" i="10"/>
  <c r="C1343" i="10"/>
  <c r="B1343" i="10"/>
  <c r="A1343" i="10"/>
  <c r="E1342" i="10"/>
  <c r="D1342" i="10"/>
  <c r="C1342" i="10"/>
  <c r="B1342" i="10"/>
  <c r="A1342" i="10"/>
  <c r="E1341" i="10"/>
  <c r="D1341" i="10"/>
  <c r="C1341" i="10"/>
  <c r="B1341" i="10"/>
  <c r="A1341" i="10"/>
  <c r="E1340" i="10"/>
  <c r="D1340" i="10"/>
  <c r="C1340" i="10"/>
  <c r="B1340" i="10"/>
  <c r="A1340" i="10"/>
  <c r="E1339" i="10"/>
  <c r="D1339" i="10"/>
  <c r="C1339" i="10"/>
  <c r="B1339" i="10"/>
  <c r="A1339" i="10"/>
  <c r="E1338" i="10"/>
  <c r="D1338" i="10"/>
  <c r="C1338" i="10"/>
  <c r="B1338" i="10"/>
  <c r="A1338" i="10"/>
  <c r="E1337" i="10"/>
  <c r="D1337" i="10"/>
  <c r="C1337" i="10"/>
  <c r="B1337" i="10"/>
  <c r="A1337" i="10"/>
  <c r="E1336" i="10"/>
  <c r="D1336" i="10"/>
  <c r="C1336" i="10"/>
  <c r="B1336" i="10"/>
  <c r="A1336" i="10"/>
  <c r="E1335" i="10"/>
  <c r="D1335" i="10"/>
  <c r="C1335" i="10"/>
  <c r="B1335" i="10"/>
  <c r="A1335" i="10"/>
  <c r="E1334" i="10"/>
  <c r="D1334" i="10"/>
  <c r="C1334" i="10"/>
  <c r="B1334" i="10"/>
  <c r="A1334" i="10"/>
  <c r="E1333" i="10"/>
  <c r="D1333" i="10"/>
  <c r="C1333" i="10"/>
  <c r="B1333" i="10"/>
  <c r="A1333" i="10"/>
  <c r="E1332" i="10"/>
  <c r="D1332" i="10"/>
  <c r="C1332" i="10"/>
  <c r="B1332" i="10"/>
  <c r="A1332" i="10"/>
  <c r="E1331" i="10"/>
  <c r="D1331" i="10"/>
  <c r="C1331" i="10"/>
  <c r="B1331" i="10"/>
  <c r="A1331" i="10"/>
  <c r="E1330" i="10"/>
  <c r="D1330" i="10"/>
  <c r="C1330" i="10"/>
  <c r="B1330" i="10"/>
  <c r="A1330" i="10"/>
  <c r="E1329" i="10"/>
  <c r="D1329" i="10"/>
  <c r="C1329" i="10"/>
  <c r="B1329" i="10"/>
  <c r="A1329" i="10"/>
  <c r="E1328" i="10"/>
  <c r="D1328" i="10"/>
  <c r="C1328" i="10"/>
  <c r="B1328" i="10"/>
  <c r="A1328" i="10"/>
  <c r="E1327" i="10"/>
  <c r="D1327" i="10"/>
  <c r="C1327" i="10"/>
  <c r="B1327" i="10"/>
  <c r="A1327" i="10"/>
  <c r="E1326" i="10"/>
  <c r="D1326" i="10"/>
  <c r="C1326" i="10"/>
  <c r="B1326" i="10"/>
  <c r="A1326" i="10"/>
  <c r="E1325" i="10"/>
  <c r="D1325" i="10"/>
  <c r="C1325" i="10"/>
  <c r="B1325" i="10"/>
  <c r="A1325" i="10"/>
  <c r="E1324" i="10"/>
  <c r="D1324" i="10"/>
  <c r="C1324" i="10"/>
  <c r="B1324" i="10"/>
  <c r="A1324" i="10"/>
  <c r="E1323" i="10"/>
  <c r="D1323" i="10"/>
  <c r="C1323" i="10"/>
  <c r="B1323" i="10"/>
  <c r="A1323" i="10"/>
  <c r="E1322" i="10"/>
  <c r="D1322" i="10"/>
  <c r="C1322" i="10"/>
  <c r="B1322" i="10"/>
  <c r="A1322" i="10"/>
  <c r="E1321" i="10"/>
  <c r="D1321" i="10"/>
  <c r="C1321" i="10"/>
  <c r="B1321" i="10"/>
  <c r="A1321" i="10"/>
  <c r="E1320" i="10"/>
  <c r="D1320" i="10"/>
  <c r="C1320" i="10"/>
  <c r="B1320" i="10"/>
  <c r="A1320" i="10"/>
  <c r="E1319" i="10"/>
  <c r="D1319" i="10"/>
  <c r="C1319" i="10"/>
  <c r="B1319" i="10"/>
  <c r="A1319" i="10"/>
  <c r="E1318" i="10"/>
  <c r="D1318" i="10"/>
  <c r="C1318" i="10"/>
  <c r="B1318" i="10"/>
  <c r="A1318" i="10"/>
  <c r="E1317" i="10"/>
  <c r="D1317" i="10"/>
  <c r="C1317" i="10"/>
  <c r="B1317" i="10"/>
  <c r="A1317" i="10"/>
  <c r="E1316" i="10"/>
  <c r="D1316" i="10"/>
  <c r="C1316" i="10"/>
  <c r="B1316" i="10"/>
  <c r="A1316" i="10"/>
  <c r="E1315" i="10"/>
  <c r="D1315" i="10"/>
  <c r="C1315" i="10"/>
  <c r="B1315" i="10"/>
  <c r="A1315" i="10"/>
  <c r="E1314" i="10"/>
  <c r="D1314" i="10"/>
  <c r="C1314" i="10"/>
  <c r="B1314" i="10"/>
  <c r="A1314" i="10"/>
  <c r="E1313" i="10"/>
  <c r="D1313" i="10"/>
  <c r="C1313" i="10"/>
  <c r="B1313" i="10"/>
  <c r="A1313" i="10"/>
  <c r="E1312" i="10"/>
  <c r="D1312" i="10"/>
  <c r="C1312" i="10"/>
  <c r="B1312" i="10"/>
  <c r="A1312" i="10"/>
  <c r="E1311" i="10"/>
  <c r="D1311" i="10"/>
  <c r="C1311" i="10"/>
  <c r="B1311" i="10"/>
  <c r="A1311" i="10"/>
  <c r="E1310" i="10"/>
  <c r="D1310" i="10"/>
  <c r="C1310" i="10"/>
  <c r="B1310" i="10"/>
  <c r="A1310" i="10"/>
  <c r="E1309" i="10"/>
  <c r="D1309" i="10"/>
  <c r="C1309" i="10"/>
  <c r="B1309" i="10"/>
  <c r="A1309" i="10"/>
  <c r="E1308" i="10"/>
  <c r="D1308" i="10"/>
  <c r="C1308" i="10"/>
  <c r="B1308" i="10"/>
  <c r="A1308" i="10"/>
  <c r="E1307" i="10"/>
  <c r="D1307" i="10"/>
  <c r="C1307" i="10"/>
  <c r="B1307" i="10"/>
  <c r="A1307" i="10"/>
  <c r="E1306" i="10"/>
  <c r="D1306" i="10"/>
  <c r="C1306" i="10"/>
  <c r="B1306" i="10"/>
  <c r="A1306" i="10"/>
  <c r="E1305" i="10"/>
  <c r="D1305" i="10"/>
  <c r="C1305" i="10"/>
  <c r="B1305" i="10"/>
  <c r="A1305" i="10"/>
  <c r="E1304" i="10"/>
  <c r="D1304" i="10"/>
  <c r="C1304" i="10"/>
  <c r="B1304" i="10"/>
  <c r="A1304" i="10"/>
  <c r="E1303" i="10"/>
  <c r="D1303" i="10"/>
  <c r="C1303" i="10"/>
  <c r="B1303" i="10"/>
  <c r="A1303" i="10"/>
  <c r="E1302" i="10"/>
  <c r="D1302" i="10"/>
  <c r="C1302" i="10"/>
  <c r="B1302" i="10"/>
  <c r="A1302" i="10"/>
  <c r="E1301" i="10"/>
  <c r="D1301" i="10"/>
  <c r="C1301" i="10"/>
  <c r="B1301" i="10"/>
  <c r="A1301" i="10"/>
  <c r="E1300" i="10"/>
  <c r="D1300" i="10"/>
  <c r="C1300" i="10"/>
  <c r="B1300" i="10"/>
  <c r="A1300" i="10"/>
  <c r="E1299" i="10"/>
  <c r="D1299" i="10"/>
  <c r="C1299" i="10"/>
  <c r="B1299" i="10"/>
  <c r="A1299" i="10"/>
  <c r="E1298" i="10"/>
  <c r="D1298" i="10"/>
  <c r="C1298" i="10"/>
  <c r="B1298" i="10"/>
  <c r="A1298" i="10"/>
  <c r="E1297" i="10"/>
  <c r="D1297" i="10"/>
  <c r="C1297" i="10"/>
  <c r="B1297" i="10"/>
  <c r="A1297" i="10"/>
  <c r="E1296" i="10"/>
  <c r="D1296" i="10"/>
  <c r="C1296" i="10"/>
  <c r="B1296" i="10"/>
  <c r="A1296" i="10"/>
  <c r="E1295" i="10"/>
  <c r="D1295" i="10"/>
  <c r="C1295" i="10"/>
  <c r="B1295" i="10"/>
  <c r="A1295" i="10"/>
  <c r="E1294" i="10"/>
  <c r="D1294" i="10"/>
  <c r="C1294" i="10"/>
  <c r="B1294" i="10"/>
  <c r="A1294" i="10"/>
  <c r="E1293" i="10"/>
  <c r="D1293" i="10"/>
  <c r="C1293" i="10"/>
  <c r="B1293" i="10"/>
  <c r="A1293" i="10"/>
  <c r="E1292" i="10"/>
  <c r="D1292" i="10"/>
  <c r="C1292" i="10"/>
  <c r="B1292" i="10"/>
  <c r="A1292" i="10"/>
  <c r="E1291" i="10"/>
  <c r="D1291" i="10"/>
  <c r="C1291" i="10"/>
  <c r="B1291" i="10"/>
  <c r="A1291" i="10"/>
  <c r="E1290" i="10"/>
  <c r="D1290" i="10"/>
  <c r="C1290" i="10"/>
  <c r="B1290" i="10"/>
  <c r="A1290" i="10"/>
  <c r="E1289" i="10"/>
  <c r="D1289" i="10"/>
  <c r="C1289" i="10"/>
  <c r="B1289" i="10"/>
  <c r="A1289" i="10"/>
  <c r="E1288" i="10"/>
  <c r="D1288" i="10"/>
  <c r="C1288" i="10"/>
  <c r="B1288" i="10"/>
  <c r="A1288" i="10"/>
  <c r="E1287" i="10"/>
  <c r="D1287" i="10"/>
  <c r="C1287" i="10"/>
  <c r="B1287" i="10"/>
  <c r="A1287" i="10"/>
  <c r="E1286" i="10"/>
  <c r="D1286" i="10"/>
  <c r="C1286" i="10"/>
  <c r="B1286" i="10"/>
  <c r="A1286" i="10"/>
  <c r="E1285" i="10"/>
  <c r="D1285" i="10"/>
  <c r="C1285" i="10"/>
  <c r="B1285" i="10"/>
  <c r="A1285" i="10"/>
  <c r="E1284" i="10"/>
  <c r="D1284" i="10"/>
  <c r="C1284" i="10"/>
  <c r="B1284" i="10"/>
  <c r="A1284" i="10"/>
  <c r="E1283" i="10"/>
  <c r="D1283" i="10"/>
  <c r="C1283" i="10"/>
  <c r="B1283" i="10"/>
  <c r="A1283" i="10"/>
  <c r="E1282" i="10"/>
  <c r="D1282" i="10"/>
  <c r="C1282" i="10"/>
  <c r="B1282" i="10"/>
  <c r="A1282" i="10"/>
  <c r="E1281" i="10"/>
  <c r="D1281" i="10"/>
  <c r="C1281" i="10"/>
  <c r="B1281" i="10"/>
  <c r="A1281" i="10"/>
  <c r="E1280" i="10"/>
  <c r="D1280" i="10"/>
  <c r="C1280" i="10"/>
  <c r="B1280" i="10"/>
  <c r="A1280" i="10"/>
  <c r="E1279" i="10"/>
  <c r="D1279" i="10"/>
  <c r="C1279" i="10"/>
  <c r="B1279" i="10"/>
  <c r="A1279" i="10"/>
  <c r="E1278" i="10"/>
  <c r="D1278" i="10"/>
  <c r="C1278" i="10"/>
  <c r="B1278" i="10"/>
  <c r="A1278" i="10"/>
  <c r="E1277" i="10"/>
  <c r="D1277" i="10"/>
  <c r="C1277" i="10"/>
  <c r="B1277" i="10"/>
  <c r="A1277" i="10"/>
  <c r="E1276" i="10"/>
  <c r="D1276" i="10"/>
  <c r="C1276" i="10"/>
  <c r="B1276" i="10"/>
  <c r="A1276" i="10"/>
  <c r="E1275" i="10"/>
  <c r="D1275" i="10"/>
  <c r="C1275" i="10"/>
  <c r="B1275" i="10"/>
  <c r="A1275" i="10"/>
  <c r="E1274" i="10"/>
  <c r="D1274" i="10"/>
  <c r="C1274" i="10"/>
  <c r="B1274" i="10"/>
  <c r="A1274" i="10"/>
  <c r="E1273" i="10"/>
  <c r="D1273" i="10"/>
  <c r="C1273" i="10"/>
  <c r="B1273" i="10"/>
  <c r="A1273" i="10"/>
  <c r="E1272" i="10"/>
  <c r="D1272" i="10"/>
  <c r="C1272" i="10"/>
  <c r="B1272" i="10"/>
  <c r="A1272" i="10"/>
  <c r="E1271" i="10"/>
  <c r="D1271" i="10"/>
  <c r="C1271" i="10"/>
  <c r="B1271" i="10"/>
  <c r="A1271" i="10"/>
  <c r="E1270" i="10"/>
  <c r="D1270" i="10"/>
  <c r="C1270" i="10"/>
  <c r="B1270" i="10"/>
  <c r="A1270" i="10"/>
  <c r="E1269" i="10"/>
  <c r="D1269" i="10"/>
  <c r="C1269" i="10"/>
  <c r="B1269" i="10"/>
  <c r="A1269" i="10"/>
  <c r="E1268" i="10"/>
  <c r="D1268" i="10"/>
  <c r="C1268" i="10"/>
  <c r="B1268" i="10"/>
  <c r="A1268" i="10"/>
  <c r="E1267" i="10"/>
  <c r="D1267" i="10"/>
  <c r="C1267" i="10"/>
  <c r="B1267" i="10"/>
  <c r="A1267" i="10"/>
  <c r="E1266" i="10"/>
  <c r="D1266" i="10"/>
  <c r="C1266" i="10"/>
  <c r="B1266" i="10"/>
  <c r="A1266" i="10"/>
  <c r="E1265" i="10"/>
  <c r="D1265" i="10"/>
  <c r="C1265" i="10"/>
  <c r="B1265" i="10"/>
  <c r="A1265" i="10"/>
  <c r="E1264" i="10"/>
  <c r="D1264" i="10"/>
  <c r="C1264" i="10"/>
  <c r="B1264" i="10"/>
  <c r="A1264" i="10"/>
  <c r="E1263" i="10"/>
  <c r="D1263" i="10"/>
  <c r="C1263" i="10"/>
  <c r="B1263" i="10"/>
  <c r="A1263" i="10"/>
  <c r="E1262" i="10"/>
  <c r="D1262" i="10"/>
  <c r="C1262" i="10"/>
  <c r="B1262" i="10"/>
  <c r="A1262" i="10"/>
  <c r="E1261" i="10"/>
  <c r="D1261" i="10"/>
  <c r="C1261" i="10"/>
  <c r="B1261" i="10"/>
  <c r="A1261" i="10"/>
  <c r="E1260" i="10"/>
  <c r="D1260" i="10"/>
  <c r="C1260" i="10"/>
  <c r="B1260" i="10"/>
  <c r="A1260" i="10"/>
  <c r="E1259" i="10"/>
  <c r="D1259" i="10"/>
  <c r="C1259" i="10"/>
  <c r="B1259" i="10"/>
  <c r="A1259" i="10"/>
  <c r="E1258" i="10"/>
  <c r="D1258" i="10"/>
  <c r="C1258" i="10"/>
  <c r="B1258" i="10"/>
  <c r="A1258" i="10"/>
  <c r="E1257" i="10"/>
  <c r="D1257" i="10"/>
  <c r="C1257" i="10"/>
  <c r="B1257" i="10"/>
  <c r="A1257" i="10"/>
  <c r="E1256" i="10"/>
  <c r="D1256" i="10"/>
  <c r="C1256" i="10"/>
  <c r="B1256" i="10"/>
  <c r="A1256" i="10"/>
  <c r="E1255" i="10"/>
  <c r="D1255" i="10"/>
  <c r="C1255" i="10"/>
  <c r="B1255" i="10"/>
  <c r="A1255" i="10"/>
  <c r="E1254" i="10"/>
  <c r="D1254" i="10"/>
  <c r="C1254" i="10"/>
  <c r="B1254" i="10"/>
  <c r="A1254" i="10"/>
  <c r="E1253" i="10"/>
  <c r="D1253" i="10"/>
  <c r="C1253" i="10"/>
  <c r="B1253" i="10"/>
  <c r="A1253" i="10"/>
  <c r="E1252" i="10"/>
  <c r="D1252" i="10"/>
  <c r="C1252" i="10"/>
  <c r="B1252" i="10"/>
  <c r="A1252" i="10"/>
  <c r="E1251" i="10"/>
  <c r="D1251" i="10"/>
  <c r="C1251" i="10"/>
  <c r="B1251" i="10"/>
  <c r="A1251" i="10"/>
  <c r="E1250" i="10"/>
  <c r="D1250" i="10"/>
  <c r="C1250" i="10"/>
  <c r="B1250" i="10"/>
  <c r="A1250" i="10"/>
  <c r="E1249" i="10"/>
  <c r="D1249" i="10"/>
  <c r="C1249" i="10"/>
  <c r="B1249" i="10"/>
  <c r="A1249" i="10"/>
  <c r="E1248" i="10"/>
  <c r="D1248" i="10"/>
  <c r="C1248" i="10"/>
  <c r="B1248" i="10"/>
  <c r="A1248" i="10"/>
  <c r="E1247" i="10"/>
  <c r="D1247" i="10"/>
  <c r="C1247" i="10"/>
  <c r="B1247" i="10"/>
  <c r="A1247" i="10"/>
  <c r="E1246" i="10"/>
  <c r="D1246" i="10"/>
  <c r="C1246" i="10"/>
  <c r="B1246" i="10"/>
  <c r="A1246" i="10"/>
  <c r="E1245" i="10"/>
  <c r="D1245" i="10"/>
  <c r="C1245" i="10"/>
  <c r="B1245" i="10"/>
  <c r="A1245" i="10"/>
  <c r="E1244" i="10"/>
  <c r="D1244" i="10"/>
  <c r="C1244" i="10"/>
  <c r="B1244" i="10"/>
  <c r="A1244" i="10"/>
  <c r="E1243" i="10"/>
  <c r="D1243" i="10"/>
  <c r="C1243" i="10"/>
  <c r="B1243" i="10"/>
  <c r="A1243" i="10"/>
  <c r="E1242" i="10"/>
  <c r="D1242" i="10"/>
  <c r="C1242" i="10"/>
  <c r="B1242" i="10"/>
  <c r="A1242" i="10"/>
  <c r="E1241" i="10"/>
  <c r="D1241" i="10"/>
  <c r="C1241" i="10"/>
  <c r="B1241" i="10"/>
  <c r="A1241" i="10"/>
  <c r="E1240" i="10"/>
  <c r="D1240" i="10"/>
  <c r="C1240" i="10"/>
  <c r="B1240" i="10"/>
  <c r="A1240" i="10"/>
  <c r="E1239" i="10"/>
  <c r="D1239" i="10"/>
  <c r="C1239" i="10"/>
  <c r="B1239" i="10"/>
  <c r="A1239" i="10"/>
  <c r="E1238" i="10"/>
  <c r="D1238" i="10"/>
  <c r="C1238" i="10"/>
  <c r="B1238" i="10"/>
  <c r="A1238" i="10"/>
  <c r="E1237" i="10"/>
  <c r="D1237" i="10"/>
  <c r="C1237" i="10"/>
  <c r="B1237" i="10"/>
  <c r="A1237" i="10"/>
  <c r="E1236" i="10"/>
  <c r="D1236" i="10"/>
  <c r="C1236" i="10"/>
  <c r="B1236" i="10"/>
  <c r="A1236" i="10"/>
  <c r="E1235" i="10"/>
  <c r="D1235" i="10"/>
  <c r="C1235" i="10"/>
  <c r="B1235" i="10"/>
  <c r="A1235" i="10"/>
  <c r="E1234" i="10"/>
  <c r="D1234" i="10"/>
  <c r="C1234" i="10"/>
  <c r="B1234" i="10"/>
  <c r="A1234" i="10"/>
  <c r="E1233" i="10"/>
  <c r="D1233" i="10"/>
  <c r="C1233" i="10"/>
  <c r="B1233" i="10"/>
  <c r="A1233" i="10"/>
  <c r="E1232" i="10"/>
  <c r="D1232" i="10"/>
  <c r="C1232" i="10"/>
  <c r="B1232" i="10"/>
  <c r="A1232" i="10"/>
  <c r="E1231" i="10"/>
  <c r="D1231" i="10"/>
  <c r="C1231" i="10"/>
  <c r="B1231" i="10"/>
  <c r="A1231" i="10"/>
  <c r="E1230" i="10"/>
  <c r="D1230" i="10"/>
  <c r="C1230" i="10"/>
  <c r="B1230" i="10"/>
  <c r="A1230" i="10"/>
  <c r="E1229" i="10"/>
  <c r="D1229" i="10"/>
  <c r="C1229" i="10"/>
  <c r="B1229" i="10"/>
  <c r="A1229" i="10"/>
  <c r="E1228" i="10"/>
  <c r="D1228" i="10"/>
  <c r="C1228" i="10"/>
  <c r="B1228" i="10"/>
  <c r="A1228" i="10"/>
  <c r="E1227" i="10"/>
  <c r="D1227" i="10"/>
  <c r="C1227" i="10"/>
  <c r="B1227" i="10"/>
  <c r="A1227" i="10"/>
  <c r="E1226" i="10"/>
  <c r="D1226" i="10"/>
  <c r="C1226" i="10"/>
  <c r="B1226" i="10"/>
  <c r="A1226" i="10"/>
  <c r="E1225" i="10"/>
  <c r="D1225" i="10"/>
  <c r="C1225" i="10"/>
  <c r="B1225" i="10"/>
  <c r="A1225" i="10"/>
  <c r="E1224" i="10"/>
  <c r="D1224" i="10"/>
  <c r="C1224" i="10"/>
  <c r="B1224" i="10"/>
  <c r="A1224" i="10"/>
  <c r="E1223" i="10"/>
  <c r="D1223" i="10"/>
  <c r="C1223" i="10"/>
  <c r="B1223" i="10"/>
  <c r="A1223" i="10"/>
  <c r="E1222" i="10"/>
  <c r="D1222" i="10"/>
  <c r="C1222" i="10"/>
  <c r="B1222" i="10"/>
  <c r="A1222" i="10"/>
  <c r="E1221" i="10"/>
  <c r="D1221" i="10"/>
  <c r="C1221" i="10"/>
  <c r="B1221" i="10"/>
  <c r="A1221" i="10"/>
  <c r="E1220" i="10"/>
  <c r="D1220" i="10"/>
  <c r="C1220" i="10"/>
  <c r="B1220" i="10"/>
  <c r="A1220" i="10"/>
  <c r="E1219" i="10"/>
  <c r="D1219" i="10"/>
  <c r="C1219" i="10"/>
  <c r="B1219" i="10"/>
  <c r="A1219" i="10"/>
  <c r="E1218" i="10"/>
  <c r="D1218" i="10"/>
  <c r="C1218" i="10"/>
  <c r="B1218" i="10"/>
  <c r="A1218" i="10"/>
  <c r="E1217" i="10"/>
  <c r="D1217" i="10"/>
  <c r="C1217" i="10"/>
  <c r="B1217" i="10"/>
  <c r="A1217" i="10"/>
  <c r="E1216" i="10"/>
  <c r="D1216" i="10"/>
  <c r="C1216" i="10"/>
  <c r="B1216" i="10"/>
  <c r="A1216" i="10"/>
  <c r="E1215" i="10"/>
  <c r="D1215" i="10"/>
  <c r="C1215" i="10"/>
  <c r="B1215" i="10"/>
  <c r="A1215" i="10"/>
  <c r="E1214" i="10"/>
  <c r="D1214" i="10"/>
  <c r="C1214" i="10"/>
  <c r="B1214" i="10"/>
  <c r="A1214" i="10"/>
  <c r="E1213" i="10"/>
  <c r="D1213" i="10"/>
  <c r="C1213" i="10"/>
  <c r="B1213" i="10"/>
  <c r="A1213" i="10"/>
  <c r="E1212" i="10"/>
  <c r="D1212" i="10"/>
  <c r="C1212" i="10"/>
  <c r="B1212" i="10"/>
  <c r="A1212" i="10"/>
  <c r="E1211" i="10"/>
  <c r="D1211" i="10"/>
  <c r="C1211" i="10"/>
  <c r="B1211" i="10"/>
  <c r="A1211" i="10"/>
  <c r="E1210" i="10"/>
  <c r="D1210" i="10"/>
  <c r="C1210" i="10"/>
  <c r="B1210" i="10"/>
  <c r="A1210" i="10"/>
  <c r="E1209" i="10"/>
  <c r="D1209" i="10"/>
  <c r="C1209" i="10"/>
  <c r="B1209" i="10"/>
  <c r="A1209" i="10"/>
  <c r="E1208" i="10"/>
  <c r="D1208" i="10"/>
  <c r="C1208" i="10"/>
  <c r="B1208" i="10"/>
  <c r="A1208" i="10"/>
  <c r="E1207" i="10"/>
  <c r="D1207" i="10"/>
  <c r="C1207" i="10"/>
  <c r="B1207" i="10"/>
  <c r="A1207" i="10"/>
  <c r="E1206" i="10"/>
  <c r="D1206" i="10"/>
  <c r="C1206" i="10"/>
  <c r="B1206" i="10"/>
  <c r="A1206" i="10"/>
  <c r="E1205" i="10"/>
  <c r="D1205" i="10"/>
  <c r="C1205" i="10"/>
  <c r="B1205" i="10"/>
  <c r="A1205" i="10"/>
  <c r="E1204" i="10"/>
  <c r="D1204" i="10"/>
  <c r="C1204" i="10"/>
  <c r="B1204" i="10"/>
  <c r="A1204" i="10"/>
  <c r="E1203" i="10"/>
  <c r="D1203" i="10"/>
  <c r="C1203" i="10"/>
  <c r="B1203" i="10"/>
  <c r="A1203" i="10"/>
  <c r="E1202" i="10"/>
  <c r="D1202" i="10"/>
  <c r="C1202" i="10"/>
  <c r="B1202" i="10"/>
  <c r="A1202" i="10"/>
  <c r="E1201" i="10"/>
  <c r="D1201" i="10"/>
  <c r="C1201" i="10"/>
  <c r="B1201" i="10"/>
  <c r="A1201" i="10"/>
  <c r="E1200" i="10"/>
  <c r="D1200" i="10"/>
  <c r="C1200" i="10"/>
  <c r="B1200" i="10"/>
  <c r="A1200" i="10"/>
  <c r="E1199" i="10"/>
  <c r="D1199" i="10"/>
  <c r="C1199" i="10"/>
  <c r="B1199" i="10"/>
  <c r="A1199" i="10"/>
  <c r="E1198" i="10"/>
  <c r="D1198" i="10"/>
  <c r="C1198" i="10"/>
  <c r="B1198" i="10"/>
  <c r="A1198" i="10"/>
  <c r="E1197" i="10"/>
  <c r="D1197" i="10"/>
  <c r="C1197" i="10"/>
  <c r="B1197" i="10"/>
  <c r="A1197" i="10"/>
  <c r="E1196" i="10"/>
  <c r="D1196" i="10"/>
  <c r="C1196" i="10"/>
  <c r="B1196" i="10"/>
  <c r="A1196" i="10"/>
  <c r="E1195" i="10"/>
  <c r="D1195" i="10"/>
  <c r="C1195" i="10"/>
  <c r="B1195" i="10"/>
  <c r="A1195" i="10"/>
  <c r="E1194" i="10"/>
  <c r="D1194" i="10"/>
  <c r="C1194" i="10"/>
  <c r="B1194" i="10"/>
  <c r="A1194" i="10"/>
  <c r="E1193" i="10"/>
  <c r="D1193" i="10"/>
  <c r="C1193" i="10"/>
  <c r="B1193" i="10"/>
  <c r="A1193" i="10"/>
  <c r="E1192" i="10"/>
  <c r="D1192" i="10"/>
  <c r="C1192" i="10"/>
  <c r="B1192" i="10"/>
  <c r="A1192" i="10"/>
  <c r="E1191" i="10"/>
  <c r="D1191" i="10"/>
  <c r="C1191" i="10"/>
  <c r="B1191" i="10"/>
  <c r="A1191" i="10"/>
  <c r="E1190" i="10"/>
  <c r="D1190" i="10"/>
  <c r="C1190" i="10"/>
  <c r="B1190" i="10"/>
  <c r="A1190" i="10"/>
  <c r="E1189" i="10"/>
  <c r="D1189" i="10"/>
  <c r="C1189" i="10"/>
  <c r="B1189" i="10"/>
  <c r="A1189" i="10"/>
  <c r="E1188" i="10"/>
  <c r="D1188" i="10"/>
  <c r="C1188" i="10"/>
  <c r="B1188" i="10"/>
  <c r="A1188" i="10"/>
  <c r="E1187" i="10"/>
  <c r="D1187" i="10"/>
  <c r="C1187" i="10"/>
  <c r="B1187" i="10"/>
  <c r="A1187" i="10"/>
  <c r="E1186" i="10"/>
  <c r="D1186" i="10"/>
  <c r="C1186" i="10"/>
  <c r="B1186" i="10"/>
  <c r="A1186" i="10"/>
  <c r="E1185" i="10"/>
  <c r="D1185" i="10"/>
  <c r="C1185" i="10"/>
  <c r="B1185" i="10"/>
  <c r="A1185" i="10"/>
  <c r="E1184" i="10"/>
  <c r="D1184" i="10"/>
  <c r="C1184" i="10"/>
  <c r="B1184" i="10"/>
  <c r="A1184" i="10"/>
  <c r="E1183" i="10"/>
  <c r="D1183" i="10"/>
  <c r="C1183" i="10"/>
  <c r="B1183" i="10"/>
  <c r="A1183" i="10"/>
  <c r="E1182" i="10"/>
  <c r="D1182" i="10"/>
  <c r="C1182" i="10"/>
  <c r="B1182" i="10"/>
  <c r="A1182" i="10"/>
  <c r="E1181" i="10"/>
  <c r="D1181" i="10"/>
  <c r="C1181" i="10"/>
  <c r="B1181" i="10"/>
  <c r="A1181" i="10"/>
  <c r="E1180" i="10"/>
  <c r="D1180" i="10"/>
  <c r="C1180" i="10"/>
  <c r="B1180" i="10"/>
  <c r="A1180" i="10"/>
  <c r="E1179" i="10"/>
  <c r="D1179" i="10"/>
  <c r="C1179" i="10"/>
  <c r="B1179" i="10"/>
  <c r="A1179" i="10"/>
  <c r="E1178" i="10"/>
  <c r="D1178" i="10"/>
  <c r="C1178" i="10"/>
  <c r="B1178" i="10"/>
  <c r="A1178" i="10"/>
  <c r="E1177" i="10"/>
  <c r="D1177" i="10"/>
  <c r="C1177" i="10"/>
  <c r="B1177" i="10"/>
  <c r="A1177" i="10"/>
  <c r="E1176" i="10"/>
  <c r="D1176" i="10"/>
  <c r="C1176" i="10"/>
  <c r="B1176" i="10"/>
  <c r="A1176" i="10"/>
  <c r="E1175" i="10"/>
  <c r="D1175" i="10"/>
  <c r="C1175" i="10"/>
  <c r="B1175" i="10"/>
  <c r="A1175" i="10"/>
  <c r="E1174" i="10"/>
  <c r="D1174" i="10"/>
  <c r="C1174" i="10"/>
  <c r="B1174" i="10"/>
  <c r="A1174" i="10"/>
  <c r="E1173" i="10"/>
  <c r="D1173" i="10"/>
  <c r="C1173" i="10"/>
  <c r="B1173" i="10"/>
  <c r="A1173" i="10"/>
  <c r="E1172" i="10"/>
  <c r="D1172" i="10"/>
  <c r="C1172" i="10"/>
  <c r="B1172" i="10"/>
  <c r="A1172" i="10"/>
  <c r="E1171" i="10"/>
  <c r="D1171" i="10"/>
  <c r="C1171" i="10"/>
  <c r="B1171" i="10"/>
  <c r="A1171" i="10"/>
  <c r="E1170" i="10"/>
  <c r="D1170" i="10"/>
  <c r="C1170" i="10"/>
  <c r="B1170" i="10"/>
  <c r="A1170" i="10"/>
  <c r="E1169" i="10"/>
  <c r="D1169" i="10"/>
  <c r="C1169" i="10"/>
  <c r="B1169" i="10"/>
  <c r="A1169" i="10"/>
  <c r="E1168" i="10"/>
  <c r="D1168" i="10"/>
  <c r="C1168" i="10"/>
  <c r="B1168" i="10"/>
  <c r="A1168" i="10"/>
  <c r="E1167" i="10"/>
  <c r="D1167" i="10"/>
  <c r="C1167" i="10"/>
  <c r="B1167" i="10"/>
  <c r="A1167" i="10"/>
  <c r="E1166" i="10"/>
  <c r="D1166" i="10"/>
  <c r="C1166" i="10"/>
  <c r="B1166" i="10"/>
  <c r="A1166" i="10"/>
  <c r="E1165" i="10"/>
  <c r="D1165" i="10"/>
  <c r="C1165" i="10"/>
  <c r="B1165" i="10"/>
  <c r="A1165" i="10"/>
  <c r="E1164" i="10"/>
  <c r="D1164" i="10"/>
  <c r="C1164" i="10"/>
  <c r="B1164" i="10"/>
  <c r="A1164" i="10"/>
  <c r="E1163" i="10"/>
  <c r="D1163" i="10"/>
  <c r="C1163" i="10"/>
  <c r="B1163" i="10"/>
  <c r="A1163" i="10"/>
  <c r="E1162" i="10"/>
  <c r="D1162" i="10"/>
  <c r="C1162" i="10"/>
  <c r="B1162" i="10"/>
  <c r="A1162" i="10"/>
  <c r="E1161" i="10"/>
  <c r="D1161" i="10"/>
  <c r="C1161" i="10"/>
  <c r="B1161" i="10"/>
  <c r="A1161" i="10"/>
  <c r="E1160" i="10"/>
  <c r="D1160" i="10"/>
  <c r="C1160" i="10"/>
  <c r="B1160" i="10"/>
  <c r="A1160" i="10"/>
  <c r="E1159" i="10"/>
  <c r="D1159" i="10"/>
  <c r="C1159" i="10"/>
  <c r="B1159" i="10"/>
  <c r="A1159" i="10"/>
  <c r="E1158" i="10"/>
  <c r="D1158" i="10"/>
  <c r="C1158" i="10"/>
  <c r="B1158" i="10"/>
  <c r="A1158" i="10"/>
  <c r="E1157" i="10"/>
  <c r="D1157" i="10"/>
  <c r="C1157" i="10"/>
  <c r="B1157" i="10"/>
  <c r="A1157" i="10"/>
  <c r="E1156" i="10"/>
  <c r="D1156" i="10"/>
  <c r="C1156" i="10"/>
  <c r="B1156" i="10"/>
  <c r="A1156" i="10"/>
  <c r="E1155" i="10"/>
  <c r="D1155" i="10"/>
  <c r="C1155" i="10"/>
  <c r="B1155" i="10"/>
  <c r="A1155" i="10"/>
  <c r="E1154" i="10"/>
  <c r="D1154" i="10"/>
  <c r="C1154" i="10"/>
  <c r="B1154" i="10"/>
  <c r="A1154" i="10"/>
  <c r="E1153" i="10"/>
  <c r="D1153" i="10"/>
  <c r="C1153" i="10"/>
  <c r="B1153" i="10"/>
  <c r="A1153" i="10"/>
  <c r="E1152" i="10"/>
  <c r="D1152" i="10"/>
  <c r="C1152" i="10"/>
  <c r="B1152" i="10"/>
  <c r="A1152" i="10"/>
  <c r="E1151" i="10"/>
  <c r="D1151" i="10"/>
  <c r="C1151" i="10"/>
  <c r="B1151" i="10"/>
  <c r="A1151" i="10"/>
  <c r="E1150" i="10"/>
  <c r="D1150" i="10"/>
  <c r="C1150" i="10"/>
  <c r="B1150" i="10"/>
  <c r="A1150" i="10"/>
  <c r="E1149" i="10"/>
  <c r="D1149" i="10"/>
  <c r="C1149" i="10"/>
  <c r="B1149" i="10"/>
  <c r="A1149" i="10"/>
  <c r="E1148" i="10"/>
  <c r="D1148" i="10"/>
  <c r="C1148" i="10"/>
  <c r="B1148" i="10"/>
  <c r="A1148" i="10"/>
  <c r="E1147" i="10"/>
  <c r="D1147" i="10"/>
  <c r="C1147" i="10"/>
  <c r="B1147" i="10"/>
  <c r="A1147" i="10"/>
  <c r="E1146" i="10"/>
  <c r="D1146" i="10"/>
  <c r="C1146" i="10"/>
  <c r="B1146" i="10"/>
  <c r="A1146" i="10"/>
  <c r="E1145" i="10"/>
  <c r="D1145" i="10"/>
  <c r="C1145" i="10"/>
  <c r="B1145" i="10"/>
  <c r="A1145" i="10"/>
  <c r="E1144" i="10"/>
  <c r="D1144" i="10"/>
  <c r="C1144" i="10"/>
  <c r="B1144" i="10"/>
  <c r="A1144" i="10"/>
  <c r="E1143" i="10"/>
  <c r="D1143" i="10"/>
  <c r="C1143" i="10"/>
  <c r="B1143" i="10"/>
  <c r="A1143" i="10"/>
  <c r="E1142" i="10"/>
  <c r="D1142" i="10"/>
  <c r="C1142" i="10"/>
  <c r="B1142" i="10"/>
  <c r="A1142" i="10"/>
  <c r="E1141" i="10"/>
  <c r="D1141" i="10"/>
  <c r="C1141" i="10"/>
  <c r="B1141" i="10"/>
  <c r="A1141" i="10"/>
  <c r="E1140" i="10"/>
  <c r="D1140" i="10"/>
  <c r="C1140" i="10"/>
  <c r="B1140" i="10"/>
  <c r="A1140" i="10"/>
  <c r="E1139" i="10"/>
  <c r="D1139" i="10"/>
  <c r="C1139" i="10"/>
  <c r="B1139" i="10"/>
  <c r="A1139" i="10"/>
  <c r="E1138" i="10"/>
  <c r="D1138" i="10"/>
  <c r="C1138" i="10"/>
  <c r="B1138" i="10"/>
  <c r="A1138" i="10"/>
  <c r="E1137" i="10"/>
  <c r="D1137" i="10"/>
  <c r="C1137" i="10"/>
  <c r="B1137" i="10"/>
  <c r="A1137" i="10"/>
  <c r="E1136" i="10"/>
  <c r="D1136" i="10"/>
  <c r="C1136" i="10"/>
  <c r="B1136" i="10"/>
  <c r="A1136" i="10"/>
  <c r="E1135" i="10"/>
  <c r="D1135" i="10"/>
  <c r="C1135" i="10"/>
  <c r="B1135" i="10"/>
  <c r="A1135" i="10"/>
  <c r="E1134" i="10"/>
  <c r="D1134" i="10"/>
  <c r="C1134" i="10"/>
  <c r="B1134" i="10"/>
  <c r="A1134" i="10"/>
  <c r="E1133" i="10"/>
  <c r="D1133" i="10"/>
  <c r="C1133" i="10"/>
  <c r="B1133" i="10"/>
  <c r="A1133" i="10"/>
  <c r="E1132" i="10"/>
  <c r="D1132" i="10"/>
  <c r="C1132" i="10"/>
  <c r="B1132" i="10"/>
  <c r="A1132" i="10"/>
  <c r="E1131" i="10"/>
  <c r="D1131" i="10"/>
  <c r="C1131" i="10"/>
  <c r="B1131" i="10"/>
  <c r="A1131" i="10"/>
  <c r="E1130" i="10"/>
  <c r="D1130" i="10"/>
  <c r="C1130" i="10"/>
  <c r="B1130" i="10"/>
  <c r="A1130" i="10"/>
  <c r="E1129" i="10"/>
  <c r="D1129" i="10"/>
  <c r="C1129" i="10"/>
  <c r="B1129" i="10"/>
  <c r="A1129" i="10"/>
  <c r="E1128" i="10"/>
  <c r="D1128" i="10"/>
  <c r="C1128" i="10"/>
  <c r="B1128" i="10"/>
  <c r="A1128" i="10"/>
  <c r="E1127" i="10"/>
  <c r="D1127" i="10"/>
  <c r="C1127" i="10"/>
  <c r="B1127" i="10"/>
  <c r="A1127" i="10"/>
  <c r="E1126" i="10"/>
  <c r="D1126" i="10"/>
  <c r="C1126" i="10"/>
  <c r="B1126" i="10"/>
  <c r="A1126" i="10"/>
  <c r="E1125" i="10"/>
  <c r="D1125" i="10"/>
  <c r="C1125" i="10"/>
  <c r="B1125" i="10"/>
  <c r="A1125" i="10"/>
  <c r="E1124" i="10"/>
  <c r="D1124" i="10"/>
  <c r="C1124" i="10"/>
  <c r="B1124" i="10"/>
  <c r="A1124" i="10"/>
  <c r="E1123" i="10"/>
  <c r="D1123" i="10"/>
  <c r="C1123" i="10"/>
  <c r="B1123" i="10"/>
  <c r="A1123" i="10"/>
  <c r="E1122" i="10"/>
  <c r="D1122" i="10"/>
  <c r="C1122" i="10"/>
  <c r="B1122" i="10"/>
  <c r="A1122" i="10"/>
  <c r="E1121" i="10"/>
  <c r="D1121" i="10"/>
  <c r="C1121" i="10"/>
  <c r="B1121" i="10"/>
  <c r="A1121" i="10"/>
  <c r="E1120" i="10"/>
  <c r="D1120" i="10"/>
  <c r="C1120" i="10"/>
  <c r="B1120" i="10"/>
  <c r="A1120" i="10"/>
  <c r="E1119" i="10"/>
  <c r="D1119" i="10"/>
  <c r="C1119" i="10"/>
  <c r="B1119" i="10"/>
  <c r="A1119" i="10"/>
  <c r="E1118" i="10"/>
  <c r="D1118" i="10"/>
  <c r="C1118" i="10"/>
  <c r="B1118" i="10"/>
  <c r="A1118" i="10"/>
  <c r="E1117" i="10"/>
  <c r="D1117" i="10"/>
  <c r="C1117" i="10"/>
  <c r="B1117" i="10"/>
  <c r="A1117" i="10"/>
  <c r="E1116" i="10"/>
  <c r="D1116" i="10"/>
  <c r="C1116" i="10"/>
  <c r="B1116" i="10"/>
  <c r="A1116" i="10"/>
  <c r="E1115" i="10"/>
  <c r="D1115" i="10"/>
  <c r="C1115" i="10"/>
  <c r="B1115" i="10"/>
  <c r="A1115" i="10"/>
  <c r="E1114" i="10"/>
  <c r="D1114" i="10"/>
  <c r="C1114" i="10"/>
  <c r="B1114" i="10"/>
  <c r="A1114" i="10"/>
  <c r="E1113" i="10"/>
  <c r="D1113" i="10"/>
  <c r="C1113" i="10"/>
  <c r="B1113" i="10"/>
  <c r="A1113" i="10"/>
  <c r="E1112" i="10"/>
  <c r="D1112" i="10"/>
  <c r="C1112" i="10"/>
  <c r="B1112" i="10"/>
  <c r="A1112" i="10"/>
  <c r="E1111" i="10"/>
  <c r="D1111" i="10"/>
  <c r="C1111" i="10"/>
  <c r="B1111" i="10"/>
  <c r="A1111" i="10"/>
  <c r="E1110" i="10"/>
  <c r="D1110" i="10"/>
  <c r="C1110" i="10"/>
  <c r="B1110" i="10"/>
  <c r="A1110" i="10"/>
  <c r="E1109" i="10"/>
  <c r="D1109" i="10"/>
  <c r="C1109" i="10"/>
  <c r="B1109" i="10"/>
  <c r="A1109" i="10"/>
  <c r="E1108" i="10"/>
  <c r="D1108" i="10"/>
  <c r="C1108" i="10"/>
  <c r="B1108" i="10"/>
  <c r="A1108" i="10"/>
  <c r="E1107" i="10"/>
  <c r="D1107" i="10"/>
  <c r="C1107" i="10"/>
  <c r="B1107" i="10"/>
  <c r="A1107" i="10"/>
  <c r="E1106" i="10"/>
  <c r="D1106" i="10"/>
  <c r="C1106" i="10"/>
  <c r="B1106" i="10"/>
  <c r="A1106" i="10"/>
  <c r="E1105" i="10"/>
  <c r="D1105" i="10"/>
  <c r="C1105" i="10"/>
  <c r="B1105" i="10"/>
  <c r="A1105" i="10"/>
  <c r="E1104" i="10"/>
  <c r="D1104" i="10"/>
  <c r="C1104" i="10"/>
  <c r="B1104" i="10"/>
  <c r="A1104" i="10"/>
  <c r="E1103" i="10"/>
  <c r="D1103" i="10"/>
  <c r="C1103" i="10"/>
  <c r="B1103" i="10"/>
  <c r="A1103" i="10"/>
  <c r="E1102" i="10"/>
  <c r="D1102" i="10"/>
  <c r="C1102" i="10"/>
  <c r="B1102" i="10"/>
  <c r="A1102" i="10"/>
  <c r="E1101" i="10"/>
  <c r="D1101" i="10"/>
  <c r="C1101" i="10"/>
  <c r="B1101" i="10"/>
  <c r="A1101" i="10"/>
  <c r="E1100" i="10"/>
  <c r="D1100" i="10"/>
  <c r="C1100" i="10"/>
  <c r="B1100" i="10"/>
  <c r="A1100" i="10"/>
  <c r="E1099" i="10"/>
  <c r="D1099" i="10"/>
  <c r="C1099" i="10"/>
  <c r="B1099" i="10"/>
  <c r="A1099" i="10"/>
  <c r="E1098" i="10"/>
  <c r="D1098" i="10"/>
  <c r="C1098" i="10"/>
  <c r="B1098" i="10"/>
  <c r="A1098" i="10"/>
  <c r="E1097" i="10"/>
  <c r="D1097" i="10"/>
  <c r="C1097" i="10"/>
  <c r="B1097" i="10"/>
  <c r="A1097" i="10"/>
  <c r="E1096" i="10"/>
  <c r="D1096" i="10"/>
  <c r="C1096" i="10"/>
  <c r="B1096" i="10"/>
  <c r="A1096" i="10"/>
  <c r="E1095" i="10"/>
  <c r="D1095" i="10"/>
  <c r="C1095" i="10"/>
  <c r="B1095" i="10"/>
  <c r="A1095" i="10"/>
  <c r="E1094" i="10"/>
  <c r="D1094" i="10"/>
  <c r="C1094" i="10"/>
  <c r="B1094" i="10"/>
  <c r="A1094" i="10"/>
  <c r="E1093" i="10"/>
  <c r="D1093" i="10"/>
  <c r="C1093" i="10"/>
  <c r="B1093" i="10"/>
  <c r="A1093" i="10"/>
  <c r="E1092" i="10"/>
  <c r="D1092" i="10"/>
  <c r="C1092" i="10"/>
  <c r="B1092" i="10"/>
  <c r="A1092" i="10"/>
  <c r="E1091" i="10"/>
  <c r="D1091" i="10"/>
  <c r="C1091" i="10"/>
  <c r="B1091" i="10"/>
  <c r="A1091" i="10"/>
  <c r="E1090" i="10"/>
  <c r="D1090" i="10"/>
  <c r="C1090" i="10"/>
  <c r="B1090" i="10"/>
  <c r="A1090" i="10"/>
  <c r="E1089" i="10"/>
  <c r="D1089" i="10"/>
  <c r="C1089" i="10"/>
  <c r="B1089" i="10"/>
  <c r="A1089" i="10"/>
  <c r="E1088" i="10"/>
  <c r="D1088" i="10"/>
  <c r="C1088" i="10"/>
  <c r="B1088" i="10"/>
  <c r="A1088" i="10"/>
  <c r="E1087" i="10"/>
  <c r="D1087" i="10"/>
  <c r="C1087" i="10"/>
  <c r="B1087" i="10"/>
  <c r="A1087" i="10"/>
  <c r="E1086" i="10"/>
  <c r="D1086" i="10"/>
  <c r="C1086" i="10"/>
  <c r="B1086" i="10"/>
  <c r="A1086" i="10"/>
  <c r="E1085" i="10"/>
  <c r="D1085" i="10"/>
  <c r="C1085" i="10"/>
  <c r="B1085" i="10"/>
  <c r="A1085" i="10"/>
  <c r="E1084" i="10"/>
  <c r="D1084" i="10"/>
  <c r="C1084" i="10"/>
  <c r="B1084" i="10"/>
  <c r="A1084" i="10"/>
  <c r="E1083" i="10"/>
  <c r="D1083" i="10"/>
  <c r="C1083" i="10"/>
  <c r="B1083" i="10"/>
  <c r="A1083" i="10"/>
  <c r="E1082" i="10"/>
  <c r="D1082" i="10"/>
  <c r="C1082" i="10"/>
  <c r="B1082" i="10"/>
  <c r="A1082" i="10"/>
  <c r="E1081" i="10"/>
  <c r="D1081" i="10"/>
  <c r="C1081" i="10"/>
  <c r="B1081" i="10"/>
  <c r="A1081" i="10"/>
  <c r="E1080" i="10"/>
  <c r="D1080" i="10"/>
  <c r="C1080" i="10"/>
  <c r="B1080" i="10"/>
  <c r="A1080" i="10"/>
  <c r="E1079" i="10"/>
  <c r="D1079" i="10"/>
  <c r="C1079" i="10"/>
  <c r="B1079" i="10"/>
  <c r="A1079" i="10"/>
  <c r="E1078" i="10"/>
  <c r="D1078" i="10"/>
  <c r="C1078" i="10"/>
  <c r="B1078" i="10"/>
  <c r="A1078" i="10"/>
  <c r="E1077" i="10"/>
  <c r="D1077" i="10"/>
  <c r="C1077" i="10"/>
  <c r="B1077" i="10"/>
  <c r="A1077" i="10"/>
  <c r="E1076" i="10"/>
  <c r="D1076" i="10"/>
  <c r="C1076" i="10"/>
  <c r="B1076" i="10"/>
  <c r="A1076" i="10"/>
  <c r="E1075" i="10"/>
  <c r="D1075" i="10"/>
  <c r="C1075" i="10"/>
  <c r="B1075" i="10"/>
  <c r="A1075" i="10"/>
  <c r="E1074" i="10"/>
  <c r="D1074" i="10"/>
  <c r="C1074" i="10"/>
  <c r="B1074" i="10"/>
  <c r="A1074" i="10"/>
  <c r="E1073" i="10"/>
  <c r="D1073" i="10"/>
  <c r="C1073" i="10"/>
  <c r="B1073" i="10"/>
  <c r="A1073" i="10"/>
  <c r="E1072" i="10"/>
  <c r="D1072" i="10"/>
  <c r="C1072" i="10"/>
  <c r="B1072" i="10"/>
  <c r="A1072" i="10"/>
  <c r="E1071" i="10"/>
  <c r="D1071" i="10"/>
  <c r="C1071" i="10"/>
  <c r="B1071" i="10"/>
  <c r="A1071" i="10"/>
  <c r="E1070" i="10"/>
  <c r="D1070" i="10"/>
  <c r="C1070" i="10"/>
  <c r="B1070" i="10"/>
  <c r="A1070" i="10"/>
  <c r="E1069" i="10"/>
  <c r="D1069" i="10"/>
  <c r="C1069" i="10"/>
  <c r="B1069" i="10"/>
  <c r="A1069" i="10"/>
  <c r="E1068" i="10"/>
  <c r="D1068" i="10"/>
  <c r="C1068" i="10"/>
  <c r="B1068" i="10"/>
  <c r="A1068" i="10"/>
  <c r="E1067" i="10"/>
  <c r="D1067" i="10"/>
  <c r="C1067" i="10"/>
  <c r="B1067" i="10"/>
  <c r="A1067" i="10"/>
  <c r="E1066" i="10"/>
  <c r="D1066" i="10"/>
  <c r="C1066" i="10"/>
  <c r="B1066" i="10"/>
  <c r="A1066" i="10"/>
  <c r="E1065" i="10"/>
  <c r="D1065" i="10"/>
  <c r="C1065" i="10"/>
  <c r="B1065" i="10"/>
  <c r="A1065" i="10"/>
  <c r="E1064" i="10"/>
  <c r="D1064" i="10"/>
  <c r="C1064" i="10"/>
  <c r="B1064" i="10"/>
  <c r="A1064" i="10"/>
  <c r="E1063" i="10"/>
  <c r="D1063" i="10"/>
  <c r="C1063" i="10"/>
  <c r="B1063" i="10"/>
  <c r="A1063" i="10"/>
  <c r="E1062" i="10"/>
  <c r="D1062" i="10"/>
  <c r="C1062" i="10"/>
  <c r="B1062" i="10"/>
  <c r="A1062" i="10"/>
  <c r="E1061" i="10"/>
  <c r="D1061" i="10"/>
  <c r="C1061" i="10"/>
  <c r="B1061" i="10"/>
  <c r="A1061" i="10"/>
  <c r="E1060" i="10"/>
  <c r="D1060" i="10"/>
  <c r="C1060" i="10"/>
  <c r="B1060" i="10"/>
  <c r="A1060" i="10"/>
  <c r="E1059" i="10"/>
  <c r="D1059" i="10"/>
  <c r="C1059" i="10"/>
  <c r="B1059" i="10"/>
  <c r="A1059" i="10"/>
  <c r="E1058" i="10"/>
  <c r="D1058" i="10"/>
  <c r="C1058" i="10"/>
  <c r="B1058" i="10"/>
  <c r="A1058" i="10"/>
  <c r="E1057" i="10"/>
  <c r="D1057" i="10"/>
  <c r="C1057" i="10"/>
  <c r="B1057" i="10"/>
  <c r="A1057" i="10"/>
  <c r="E1056" i="10"/>
  <c r="D1056" i="10"/>
  <c r="C1056" i="10"/>
  <c r="B1056" i="10"/>
  <c r="A1056" i="10"/>
  <c r="E1055" i="10"/>
  <c r="D1055" i="10"/>
  <c r="C1055" i="10"/>
  <c r="B1055" i="10"/>
  <c r="A1055" i="10"/>
  <c r="E1054" i="10"/>
  <c r="D1054" i="10"/>
  <c r="C1054" i="10"/>
  <c r="B1054" i="10"/>
  <c r="A1054" i="10"/>
  <c r="E1053" i="10"/>
  <c r="D1053" i="10"/>
  <c r="C1053" i="10"/>
  <c r="B1053" i="10"/>
  <c r="A1053" i="10"/>
  <c r="E1052" i="10"/>
  <c r="D1052" i="10"/>
  <c r="C1052" i="10"/>
  <c r="B1052" i="10"/>
  <c r="A1052" i="10"/>
  <c r="E1051" i="10"/>
  <c r="D1051" i="10"/>
  <c r="C1051" i="10"/>
  <c r="B1051" i="10"/>
  <c r="A1051" i="10"/>
  <c r="E1050" i="10"/>
  <c r="D1050" i="10"/>
  <c r="C1050" i="10"/>
  <c r="B1050" i="10"/>
  <c r="A1050" i="10"/>
  <c r="E1049" i="10"/>
  <c r="D1049" i="10"/>
  <c r="C1049" i="10"/>
  <c r="B1049" i="10"/>
  <c r="A1049" i="10"/>
  <c r="E1048" i="10"/>
  <c r="D1048" i="10"/>
  <c r="C1048" i="10"/>
  <c r="B1048" i="10"/>
  <c r="A1048" i="10"/>
  <c r="E1047" i="10"/>
  <c r="D1047" i="10"/>
  <c r="C1047" i="10"/>
  <c r="B1047" i="10"/>
  <c r="A1047" i="10"/>
  <c r="E1046" i="10"/>
  <c r="D1046" i="10"/>
  <c r="C1046" i="10"/>
  <c r="B1046" i="10"/>
  <c r="A1046" i="10"/>
  <c r="E1045" i="10"/>
  <c r="D1045" i="10"/>
  <c r="C1045" i="10"/>
  <c r="B1045" i="10"/>
  <c r="A1045" i="10"/>
  <c r="E1044" i="10"/>
  <c r="D1044" i="10"/>
  <c r="C1044" i="10"/>
  <c r="B1044" i="10"/>
  <c r="A1044" i="10"/>
  <c r="E1043" i="10"/>
  <c r="D1043" i="10"/>
  <c r="C1043" i="10"/>
  <c r="B1043" i="10"/>
  <c r="A1043" i="10"/>
  <c r="E1042" i="10"/>
  <c r="D1042" i="10"/>
  <c r="C1042" i="10"/>
  <c r="B1042" i="10"/>
  <c r="A1042" i="10"/>
  <c r="E1041" i="10"/>
  <c r="D1041" i="10"/>
  <c r="C1041" i="10"/>
  <c r="B1041" i="10"/>
  <c r="A1041" i="10"/>
  <c r="E1040" i="10"/>
  <c r="D1040" i="10"/>
  <c r="C1040" i="10"/>
  <c r="B1040" i="10"/>
  <c r="A1040" i="10"/>
  <c r="E1039" i="10"/>
  <c r="D1039" i="10"/>
  <c r="C1039" i="10"/>
  <c r="B1039" i="10"/>
  <c r="A1039" i="10"/>
  <c r="E1038" i="10"/>
  <c r="D1038" i="10"/>
  <c r="C1038" i="10"/>
  <c r="B1038" i="10"/>
  <c r="A1038" i="10"/>
  <c r="E1037" i="10"/>
  <c r="D1037" i="10"/>
  <c r="C1037" i="10"/>
  <c r="B1037" i="10"/>
  <c r="A1037" i="10"/>
  <c r="E1036" i="10"/>
  <c r="D1036" i="10"/>
  <c r="C1036" i="10"/>
  <c r="B1036" i="10"/>
  <c r="A1036" i="10"/>
  <c r="E1035" i="10"/>
  <c r="D1035" i="10"/>
  <c r="C1035" i="10"/>
  <c r="B1035" i="10"/>
  <c r="A1035" i="10"/>
  <c r="E1034" i="10"/>
  <c r="D1034" i="10"/>
  <c r="C1034" i="10"/>
  <c r="B1034" i="10"/>
  <c r="A1034" i="10"/>
  <c r="E1033" i="10"/>
  <c r="D1033" i="10"/>
  <c r="C1033" i="10"/>
  <c r="B1033" i="10"/>
  <c r="A1033" i="10"/>
  <c r="E1032" i="10"/>
  <c r="D1032" i="10"/>
  <c r="C1032" i="10"/>
  <c r="B1032" i="10"/>
  <c r="A1032" i="10"/>
  <c r="E1031" i="10"/>
  <c r="D1031" i="10"/>
  <c r="C1031" i="10"/>
  <c r="B1031" i="10"/>
  <c r="A1031" i="10"/>
  <c r="E1030" i="10"/>
  <c r="D1030" i="10"/>
  <c r="C1030" i="10"/>
  <c r="B1030" i="10"/>
  <c r="A1030" i="10"/>
  <c r="E1029" i="10"/>
  <c r="D1029" i="10"/>
  <c r="C1029" i="10"/>
  <c r="B1029" i="10"/>
  <c r="A1029" i="10"/>
  <c r="E1028" i="10"/>
  <c r="D1028" i="10"/>
  <c r="C1028" i="10"/>
  <c r="B1028" i="10"/>
  <c r="A1028" i="10"/>
  <c r="E1027" i="10"/>
  <c r="D1027" i="10"/>
  <c r="C1027" i="10"/>
  <c r="B1027" i="10"/>
  <c r="A1027" i="10"/>
  <c r="E1026" i="10"/>
  <c r="D1026" i="10"/>
  <c r="C1026" i="10"/>
  <c r="B1026" i="10"/>
  <c r="A1026" i="10"/>
  <c r="E1025" i="10"/>
  <c r="D1025" i="10"/>
  <c r="C1025" i="10"/>
  <c r="B1025" i="10"/>
  <c r="A1025" i="10"/>
  <c r="E1024" i="10"/>
  <c r="D1024" i="10"/>
  <c r="C1024" i="10"/>
  <c r="B1024" i="10"/>
  <c r="A1024" i="10"/>
  <c r="E1023" i="10"/>
  <c r="D1023" i="10"/>
  <c r="C1023" i="10"/>
  <c r="B1023" i="10"/>
  <c r="A1023" i="10"/>
  <c r="E1022" i="10"/>
  <c r="D1022" i="10"/>
  <c r="C1022" i="10"/>
  <c r="B1022" i="10"/>
  <c r="A1022" i="10"/>
  <c r="E1021" i="10"/>
  <c r="D1021" i="10"/>
  <c r="C1021" i="10"/>
  <c r="B1021" i="10"/>
  <c r="A1021" i="10"/>
  <c r="E1020" i="10"/>
  <c r="D1020" i="10"/>
  <c r="C1020" i="10"/>
  <c r="B1020" i="10"/>
  <c r="A1020" i="10"/>
  <c r="E1019" i="10"/>
  <c r="D1019" i="10"/>
  <c r="C1019" i="10"/>
  <c r="B1019" i="10"/>
  <c r="A1019" i="10"/>
  <c r="E1018" i="10"/>
  <c r="D1018" i="10"/>
  <c r="C1018" i="10"/>
  <c r="B1018" i="10"/>
  <c r="A1018" i="10"/>
  <c r="E1017" i="10"/>
  <c r="D1017" i="10"/>
  <c r="C1017" i="10"/>
  <c r="B1017" i="10"/>
  <c r="A1017" i="10"/>
  <c r="E1016" i="10"/>
  <c r="D1016" i="10"/>
  <c r="C1016" i="10"/>
  <c r="B1016" i="10"/>
  <c r="A1016" i="10"/>
  <c r="E1015" i="10"/>
  <c r="D1015" i="10"/>
  <c r="C1015" i="10"/>
  <c r="B1015" i="10"/>
  <c r="A1015" i="10"/>
  <c r="E1014" i="10"/>
  <c r="D1014" i="10"/>
  <c r="C1014" i="10"/>
  <c r="B1014" i="10"/>
  <c r="A1014" i="10"/>
  <c r="E1013" i="10"/>
  <c r="D1013" i="10"/>
  <c r="C1013" i="10"/>
  <c r="B1013" i="10"/>
  <c r="A1013" i="10"/>
  <c r="E1012" i="10"/>
  <c r="D1012" i="10"/>
  <c r="C1012" i="10"/>
  <c r="B1012" i="10"/>
  <c r="A1012" i="10"/>
  <c r="E1011" i="10"/>
  <c r="D1011" i="10"/>
  <c r="C1011" i="10"/>
  <c r="B1011" i="10"/>
  <c r="A1011" i="10"/>
  <c r="E1010" i="10"/>
  <c r="D1010" i="10"/>
  <c r="C1010" i="10"/>
  <c r="B1010" i="10"/>
  <c r="A1010" i="10"/>
  <c r="E1009" i="10"/>
  <c r="D1009" i="10"/>
  <c r="C1009" i="10"/>
  <c r="B1009" i="10"/>
  <c r="A1009" i="10"/>
  <c r="E1008" i="10"/>
  <c r="D1008" i="10"/>
  <c r="C1008" i="10"/>
  <c r="B1008" i="10"/>
  <c r="A1008" i="10"/>
  <c r="E1007" i="10"/>
  <c r="D1007" i="10"/>
  <c r="C1007" i="10"/>
  <c r="B1007" i="10"/>
  <c r="A1007" i="10"/>
  <c r="E1006" i="10"/>
  <c r="D1006" i="10"/>
  <c r="C1006" i="10"/>
  <c r="B1006" i="10"/>
  <c r="A1006" i="10"/>
  <c r="E1005" i="10"/>
  <c r="D1005" i="10"/>
  <c r="C1005" i="10"/>
  <c r="B1005" i="10"/>
  <c r="A1005" i="10"/>
  <c r="E1004" i="10"/>
  <c r="D1004" i="10"/>
  <c r="C1004" i="10"/>
  <c r="B1004" i="10"/>
  <c r="A1004" i="10"/>
  <c r="E1003" i="10"/>
  <c r="D1003" i="10"/>
  <c r="C1003" i="10"/>
  <c r="B1003" i="10"/>
  <c r="A1003" i="10"/>
  <c r="E1002" i="10"/>
  <c r="D1002" i="10"/>
  <c r="C1002" i="10"/>
  <c r="B1002" i="10"/>
  <c r="A1002" i="10"/>
  <c r="E1001" i="10"/>
  <c r="D1001" i="10"/>
  <c r="C1001" i="10"/>
  <c r="B1001" i="10"/>
  <c r="A1001" i="10"/>
  <c r="E1000" i="10"/>
  <c r="D1000" i="10"/>
  <c r="C1000" i="10"/>
  <c r="B1000" i="10"/>
  <c r="A1000" i="10"/>
  <c r="E999" i="10"/>
  <c r="D999" i="10"/>
  <c r="C999" i="10"/>
  <c r="B999" i="10"/>
  <c r="A999" i="10"/>
  <c r="E998" i="10"/>
  <c r="D998" i="10"/>
  <c r="C998" i="10"/>
  <c r="B998" i="10"/>
  <c r="A998" i="10"/>
  <c r="E997" i="10"/>
  <c r="D997" i="10"/>
  <c r="C997" i="10"/>
  <c r="B997" i="10"/>
  <c r="A997" i="10"/>
  <c r="E996" i="10"/>
  <c r="D996" i="10"/>
  <c r="C996" i="10"/>
  <c r="B996" i="10"/>
  <c r="A996" i="10"/>
  <c r="E995" i="10"/>
  <c r="D995" i="10"/>
  <c r="C995" i="10"/>
  <c r="B995" i="10"/>
  <c r="A995" i="10"/>
  <c r="E994" i="10"/>
  <c r="D994" i="10"/>
  <c r="C994" i="10"/>
  <c r="B994" i="10"/>
  <c r="A994" i="10"/>
  <c r="E993" i="10"/>
  <c r="D993" i="10"/>
  <c r="C993" i="10"/>
  <c r="B993" i="10"/>
  <c r="A993" i="10"/>
  <c r="E992" i="10"/>
  <c r="D992" i="10"/>
  <c r="C992" i="10"/>
  <c r="B992" i="10"/>
  <c r="A992" i="10"/>
  <c r="E991" i="10"/>
  <c r="D991" i="10"/>
  <c r="C991" i="10"/>
  <c r="B991" i="10"/>
  <c r="A991" i="10"/>
  <c r="E990" i="10"/>
  <c r="D990" i="10"/>
  <c r="C990" i="10"/>
  <c r="B990" i="10"/>
  <c r="A990" i="10"/>
  <c r="E989" i="10"/>
  <c r="D989" i="10"/>
  <c r="C989" i="10"/>
  <c r="B989" i="10"/>
  <c r="A989" i="10"/>
  <c r="E988" i="10"/>
  <c r="D988" i="10"/>
  <c r="C988" i="10"/>
  <c r="B988" i="10"/>
  <c r="A988" i="10"/>
  <c r="E987" i="10"/>
  <c r="D987" i="10"/>
  <c r="C987" i="10"/>
  <c r="B987" i="10"/>
  <c r="A987" i="10"/>
  <c r="E986" i="10"/>
  <c r="D986" i="10"/>
  <c r="C986" i="10"/>
  <c r="B986" i="10"/>
  <c r="A986" i="10"/>
  <c r="E985" i="10"/>
  <c r="D985" i="10"/>
  <c r="C985" i="10"/>
  <c r="B985" i="10"/>
  <c r="A985" i="10"/>
  <c r="E984" i="10"/>
  <c r="D984" i="10"/>
  <c r="C984" i="10"/>
  <c r="B984" i="10"/>
  <c r="A984" i="10"/>
  <c r="E983" i="10"/>
  <c r="D983" i="10"/>
  <c r="C983" i="10"/>
  <c r="B983" i="10"/>
  <c r="A983" i="10"/>
  <c r="E982" i="10"/>
  <c r="D982" i="10"/>
  <c r="C982" i="10"/>
  <c r="B982" i="10"/>
  <c r="A982" i="10"/>
  <c r="E981" i="10"/>
  <c r="D981" i="10"/>
  <c r="C981" i="10"/>
  <c r="B981" i="10"/>
  <c r="A981" i="10"/>
  <c r="E980" i="10"/>
  <c r="D980" i="10"/>
  <c r="C980" i="10"/>
  <c r="B980" i="10"/>
  <c r="A980" i="10"/>
  <c r="E979" i="10"/>
  <c r="D979" i="10"/>
  <c r="C979" i="10"/>
  <c r="B979" i="10"/>
  <c r="A979" i="10"/>
  <c r="E978" i="10"/>
  <c r="D978" i="10"/>
  <c r="C978" i="10"/>
  <c r="B978" i="10"/>
  <c r="A978" i="10"/>
  <c r="E977" i="10"/>
  <c r="D977" i="10"/>
  <c r="C977" i="10"/>
  <c r="B977" i="10"/>
  <c r="A977" i="10"/>
  <c r="E976" i="10"/>
  <c r="D976" i="10"/>
  <c r="C976" i="10"/>
  <c r="B976" i="10"/>
  <c r="A976" i="10"/>
  <c r="E975" i="10"/>
  <c r="D975" i="10"/>
  <c r="C975" i="10"/>
  <c r="B975" i="10"/>
  <c r="A975" i="10"/>
  <c r="E974" i="10"/>
  <c r="D974" i="10"/>
  <c r="C974" i="10"/>
  <c r="B974" i="10"/>
  <c r="A974" i="10"/>
  <c r="E973" i="10"/>
  <c r="D973" i="10"/>
  <c r="C973" i="10"/>
  <c r="B973" i="10"/>
  <c r="A973" i="10"/>
  <c r="E972" i="10"/>
  <c r="D972" i="10"/>
  <c r="C972" i="10"/>
  <c r="B972" i="10"/>
  <c r="A972" i="10"/>
  <c r="E971" i="10"/>
  <c r="D971" i="10"/>
  <c r="C971" i="10"/>
  <c r="B971" i="10"/>
  <c r="A971" i="10"/>
  <c r="E970" i="10"/>
  <c r="D970" i="10"/>
  <c r="C970" i="10"/>
  <c r="B970" i="10"/>
  <c r="A970" i="10"/>
  <c r="E969" i="10"/>
  <c r="D969" i="10"/>
  <c r="C969" i="10"/>
  <c r="B969" i="10"/>
  <c r="A969" i="10"/>
  <c r="E968" i="10"/>
  <c r="D968" i="10"/>
  <c r="C968" i="10"/>
  <c r="B968" i="10"/>
  <c r="A968" i="10"/>
  <c r="E967" i="10"/>
  <c r="D967" i="10"/>
  <c r="C967" i="10"/>
  <c r="B967" i="10"/>
  <c r="A967" i="10"/>
  <c r="E966" i="10"/>
  <c r="D966" i="10"/>
  <c r="C966" i="10"/>
  <c r="B966" i="10"/>
  <c r="A966" i="10"/>
  <c r="E965" i="10"/>
  <c r="D965" i="10"/>
  <c r="C965" i="10"/>
  <c r="B965" i="10"/>
  <c r="A965" i="10"/>
  <c r="E964" i="10"/>
  <c r="D964" i="10"/>
  <c r="C964" i="10"/>
  <c r="B964" i="10"/>
  <c r="A964" i="10"/>
  <c r="E963" i="10"/>
  <c r="D963" i="10"/>
  <c r="C963" i="10"/>
  <c r="B963" i="10"/>
  <c r="A963" i="10"/>
  <c r="E962" i="10"/>
  <c r="D962" i="10"/>
  <c r="C962" i="10"/>
  <c r="B962" i="10"/>
  <c r="A962" i="10"/>
  <c r="E961" i="10"/>
  <c r="D961" i="10"/>
  <c r="C961" i="10"/>
  <c r="B961" i="10"/>
  <c r="A961" i="10"/>
  <c r="E960" i="10"/>
  <c r="D960" i="10"/>
  <c r="C960" i="10"/>
  <c r="B960" i="10"/>
  <c r="A960" i="10"/>
  <c r="E959" i="10"/>
  <c r="D959" i="10"/>
  <c r="C959" i="10"/>
  <c r="B959" i="10"/>
  <c r="A959" i="10"/>
  <c r="E958" i="10"/>
  <c r="D958" i="10"/>
  <c r="C958" i="10"/>
  <c r="B958" i="10"/>
  <c r="A958" i="10"/>
  <c r="E957" i="10"/>
  <c r="D957" i="10"/>
  <c r="C957" i="10"/>
  <c r="B957" i="10"/>
  <c r="A957" i="10"/>
  <c r="E956" i="10"/>
  <c r="D956" i="10"/>
  <c r="C956" i="10"/>
  <c r="B956" i="10"/>
  <c r="A956" i="10"/>
  <c r="E955" i="10"/>
  <c r="D955" i="10"/>
  <c r="C955" i="10"/>
  <c r="B955" i="10"/>
  <c r="A955" i="10"/>
  <c r="E954" i="10"/>
  <c r="D954" i="10"/>
  <c r="C954" i="10"/>
  <c r="B954" i="10"/>
  <c r="A954" i="10"/>
  <c r="E953" i="10"/>
  <c r="D953" i="10"/>
  <c r="C953" i="10"/>
  <c r="B953" i="10"/>
  <c r="A953" i="10"/>
  <c r="E952" i="10"/>
  <c r="D952" i="10"/>
  <c r="C952" i="10"/>
  <c r="B952" i="10"/>
  <c r="A952" i="10"/>
  <c r="E951" i="10"/>
  <c r="D951" i="10"/>
  <c r="C951" i="10"/>
  <c r="B951" i="10"/>
  <c r="A951" i="10"/>
  <c r="E950" i="10"/>
  <c r="D950" i="10"/>
  <c r="C950" i="10"/>
  <c r="B950" i="10"/>
  <c r="A950" i="10"/>
  <c r="E949" i="10"/>
  <c r="D949" i="10"/>
  <c r="C949" i="10"/>
  <c r="B949" i="10"/>
  <c r="A949" i="10"/>
  <c r="E948" i="10"/>
  <c r="D948" i="10"/>
  <c r="C948" i="10"/>
  <c r="B948" i="10"/>
  <c r="A948" i="10"/>
  <c r="E947" i="10"/>
  <c r="D947" i="10"/>
  <c r="C947" i="10"/>
  <c r="B947" i="10"/>
  <c r="A947" i="10"/>
  <c r="E946" i="10"/>
  <c r="D946" i="10"/>
  <c r="C946" i="10"/>
  <c r="B946" i="10"/>
  <c r="A946" i="10"/>
  <c r="E945" i="10"/>
  <c r="D945" i="10"/>
  <c r="C945" i="10"/>
  <c r="B945" i="10"/>
  <c r="A945" i="10"/>
  <c r="E944" i="10"/>
  <c r="D944" i="10"/>
  <c r="C944" i="10"/>
  <c r="B944" i="10"/>
  <c r="A944" i="10"/>
  <c r="E943" i="10"/>
  <c r="D943" i="10"/>
  <c r="C943" i="10"/>
  <c r="B943" i="10"/>
  <c r="A943" i="10"/>
  <c r="E942" i="10"/>
  <c r="D942" i="10"/>
  <c r="C942" i="10"/>
  <c r="B942" i="10"/>
  <c r="A942" i="10"/>
  <c r="E941" i="10"/>
  <c r="D941" i="10"/>
  <c r="C941" i="10"/>
  <c r="B941" i="10"/>
  <c r="A941" i="10"/>
  <c r="E940" i="10"/>
  <c r="D940" i="10"/>
  <c r="C940" i="10"/>
  <c r="B940" i="10"/>
  <c r="A940" i="10"/>
  <c r="E939" i="10"/>
  <c r="D939" i="10"/>
  <c r="C939" i="10"/>
  <c r="B939" i="10"/>
  <c r="A939" i="10"/>
  <c r="E938" i="10"/>
  <c r="D938" i="10"/>
  <c r="C938" i="10"/>
  <c r="B938" i="10"/>
  <c r="A938" i="10"/>
  <c r="E937" i="10"/>
  <c r="D937" i="10"/>
  <c r="C937" i="10"/>
  <c r="B937" i="10"/>
  <c r="A937" i="10"/>
  <c r="E936" i="10"/>
  <c r="D936" i="10"/>
  <c r="C936" i="10"/>
  <c r="B936" i="10"/>
  <c r="A936" i="10"/>
  <c r="E935" i="10"/>
  <c r="D935" i="10"/>
  <c r="C935" i="10"/>
  <c r="B935" i="10"/>
  <c r="A935" i="10"/>
  <c r="E934" i="10"/>
  <c r="D934" i="10"/>
  <c r="C934" i="10"/>
  <c r="B934" i="10"/>
  <c r="A934" i="10"/>
  <c r="E933" i="10"/>
  <c r="D933" i="10"/>
  <c r="C933" i="10"/>
  <c r="B933" i="10"/>
  <c r="A933" i="10"/>
  <c r="E932" i="10"/>
  <c r="D932" i="10"/>
  <c r="C932" i="10"/>
  <c r="B932" i="10"/>
  <c r="A932" i="10"/>
  <c r="E931" i="10"/>
  <c r="D931" i="10"/>
  <c r="C931" i="10"/>
  <c r="B931" i="10"/>
  <c r="A931" i="10"/>
  <c r="E930" i="10"/>
  <c r="D930" i="10"/>
  <c r="C930" i="10"/>
  <c r="B930" i="10"/>
  <c r="A930" i="10"/>
  <c r="E929" i="10"/>
  <c r="D929" i="10"/>
  <c r="C929" i="10"/>
  <c r="B929" i="10"/>
  <c r="A929" i="10"/>
  <c r="E928" i="10"/>
  <c r="D928" i="10"/>
  <c r="C928" i="10"/>
  <c r="B928" i="10"/>
  <c r="A928" i="10"/>
  <c r="E927" i="10"/>
  <c r="D927" i="10"/>
  <c r="C927" i="10"/>
  <c r="B927" i="10"/>
  <c r="A927" i="10"/>
  <c r="E926" i="10"/>
  <c r="D926" i="10"/>
  <c r="C926" i="10"/>
  <c r="B926" i="10"/>
  <c r="A926" i="10"/>
  <c r="E925" i="10"/>
  <c r="D925" i="10"/>
  <c r="C925" i="10"/>
  <c r="B925" i="10"/>
  <c r="A925" i="10"/>
  <c r="E924" i="10"/>
  <c r="D924" i="10"/>
  <c r="C924" i="10"/>
  <c r="B924" i="10"/>
  <c r="A924" i="10"/>
  <c r="E923" i="10"/>
  <c r="D923" i="10"/>
  <c r="C923" i="10"/>
  <c r="B923" i="10"/>
  <c r="A923" i="10"/>
  <c r="E922" i="10"/>
  <c r="D922" i="10"/>
  <c r="C922" i="10"/>
  <c r="B922" i="10"/>
  <c r="A922" i="10"/>
  <c r="E921" i="10"/>
  <c r="D921" i="10"/>
  <c r="C921" i="10"/>
  <c r="B921" i="10"/>
  <c r="A921" i="10"/>
  <c r="E920" i="10"/>
  <c r="D920" i="10"/>
  <c r="C920" i="10"/>
  <c r="B920" i="10"/>
  <c r="A920" i="10"/>
  <c r="E919" i="10"/>
  <c r="D919" i="10"/>
  <c r="C919" i="10"/>
  <c r="B919" i="10"/>
  <c r="A919" i="10"/>
  <c r="E918" i="10"/>
  <c r="D918" i="10"/>
  <c r="C918" i="10"/>
  <c r="B918" i="10"/>
  <c r="A918" i="10"/>
  <c r="E917" i="10"/>
  <c r="D917" i="10"/>
  <c r="C917" i="10"/>
  <c r="B917" i="10"/>
  <c r="A917" i="10"/>
  <c r="E916" i="10"/>
  <c r="D916" i="10"/>
  <c r="C916" i="10"/>
  <c r="B916" i="10"/>
  <c r="A916" i="10"/>
  <c r="E915" i="10"/>
  <c r="D915" i="10"/>
  <c r="C915" i="10"/>
  <c r="B915" i="10"/>
  <c r="A915" i="10"/>
  <c r="E914" i="10"/>
  <c r="D914" i="10"/>
  <c r="C914" i="10"/>
  <c r="B914" i="10"/>
  <c r="A914" i="10"/>
  <c r="E913" i="10"/>
  <c r="D913" i="10"/>
  <c r="C913" i="10"/>
  <c r="B913" i="10"/>
  <c r="A913" i="10"/>
  <c r="E912" i="10"/>
  <c r="D912" i="10"/>
  <c r="C912" i="10"/>
  <c r="B912" i="10"/>
  <c r="A912" i="10"/>
  <c r="E911" i="10"/>
  <c r="D911" i="10"/>
  <c r="C911" i="10"/>
  <c r="B911" i="10"/>
  <c r="A911" i="10"/>
  <c r="E910" i="10"/>
  <c r="D910" i="10"/>
  <c r="C910" i="10"/>
  <c r="B910" i="10"/>
  <c r="A910" i="10"/>
  <c r="E909" i="10"/>
  <c r="D909" i="10"/>
  <c r="C909" i="10"/>
  <c r="B909" i="10"/>
  <c r="A909" i="10"/>
  <c r="E908" i="10"/>
  <c r="D908" i="10"/>
  <c r="C908" i="10"/>
  <c r="B908" i="10"/>
  <c r="A908" i="10"/>
  <c r="E907" i="10"/>
  <c r="D907" i="10"/>
  <c r="C907" i="10"/>
  <c r="B907" i="10"/>
  <c r="A907" i="10"/>
  <c r="E906" i="10"/>
  <c r="D906" i="10"/>
  <c r="C906" i="10"/>
  <c r="B906" i="10"/>
  <c r="A906" i="10"/>
  <c r="E905" i="10"/>
  <c r="D905" i="10"/>
  <c r="C905" i="10"/>
  <c r="B905" i="10"/>
  <c r="A905" i="10"/>
  <c r="E904" i="10"/>
  <c r="D904" i="10"/>
  <c r="C904" i="10"/>
  <c r="B904" i="10"/>
  <c r="A904" i="10"/>
  <c r="E903" i="10"/>
  <c r="D903" i="10"/>
  <c r="C903" i="10"/>
  <c r="B903" i="10"/>
  <c r="A903" i="10"/>
  <c r="E902" i="10"/>
  <c r="D902" i="10"/>
  <c r="C902" i="10"/>
  <c r="B902" i="10"/>
  <c r="A902" i="10"/>
  <c r="E901" i="10"/>
  <c r="D901" i="10"/>
  <c r="C901" i="10"/>
  <c r="B901" i="10"/>
  <c r="A901" i="10"/>
  <c r="E900" i="10"/>
  <c r="D900" i="10"/>
  <c r="C900" i="10"/>
  <c r="B900" i="10"/>
  <c r="A900" i="10"/>
  <c r="E899" i="10"/>
  <c r="D899" i="10"/>
  <c r="C899" i="10"/>
  <c r="B899" i="10"/>
  <c r="A899" i="10"/>
  <c r="E898" i="10"/>
  <c r="D898" i="10"/>
  <c r="C898" i="10"/>
  <c r="B898" i="10"/>
  <c r="A898" i="10"/>
  <c r="E897" i="10"/>
  <c r="D897" i="10"/>
  <c r="C897" i="10"/>
  <c r="B897" i="10"/>
  <c r="A897" i="10"/>
  <c r="E896" i="10"/>
  <c r="D896" i="10"/>
  <c r="C896" i="10"/>
  <c r="B896" i="10"/>
  <c r="A896" i="10"/>
  <c r="E895" i="10"/>
  <c r="D895" i="10"/>
  <c r="C895" i="10"/>
  <c r="B895" i="10"/>
  <c r="A895" i="10"/>
  <c r="E894" i="10"/>
  <c r="D894" i="10"/>
  <c r="C894" i="10"/>
  <c r="B894" i="10"/>
  <c r="A894" i="10"/>
  <c r="E893" i="10"/>
  <c r="D893" i="10"/>
  <c r="C893" i="10"/>
  <c r="B893" i="10"/>
  <c r="A893" i="10"/>
  <c r="E892" i="10"/>
  <c r="D892" i="10"/>
  <c r="C892" i="10"/>
  <c r="B892" i="10"/>
  <c r="A892" i="10"/>
  <c r="E891" i="10"/>
  <c r="D891" i="10"/>
  <c r="C891" i="10"/>
  <c r="B891" i="10"/>
  <c r="A891" i="10"/>
  <c r="E890" i="10"/>
  <c r="D890" i="10"/>
  <c r="C890" i="10"/>
  <c r="B890" i="10"/>
  <c r="A890" i="10"/>
  <c r="E889" i="10"/>
  <c r="D889" i="10"/>
  <c r="C889" i="10"/>
  <c r="B889" i="10"/>
  <c r="A889" i="10"/>
  <c r="E888" i="10"/>
  <c r="D888" i="10"/>
  <c r="C888" i="10"/>
  <c r="B888" i="10"/>
  <c r="A888" i="10"/>
  <c r="E887" i="10"/>
  <c r="D887" i="10"/>
  <c r="C887" i="10"/>
  <c r="B887" i="10"/>
  <c r="A887" i="10"/>
  <c r="E886" i="10"/>
  <c r="D886" i="10"/>
  <c r="C886" i="10"/>
  <c r="B886" i="10"/>
  <c r="A886" i="10"/>
  <c r="E885" i="10"/>
  <c r="D885" i="10"/>
  <c r="C885" i="10"/>
  <c r="B885" i="10"/>
  <c r="A885" i="10"/>
  <c r="E884" i="10"/>
  <c r="D884" i="10"/>
  <c r="C884" i="10"/>
  <c r="B884" i="10"/>
  <c r="A884" i="10"/>
  <c r="E883" i="10"/>
  <c r="D883" i="10"/>
  <c r="C883" i="10"/>
  <c r="B883" i="10"/>
  <c r="A883" i="10"/>
  <c r="E882" i="10"/>
  <c r="D882" i="10"/>
  <c r="C882" i="10"/>
  <c r="B882" i="10"/>
  <c r="A882" i="10"/>
  <c r="E881" i="10"/>
  <c r="D881" i="10"/>
  <c r="C881" i="10"/>
  <c r="B881" i="10"/>
  <c r="A881" i="10"/>
  <c r="E880" i="10"/>
  <c r="D880" i="10"/>
  <c r="C880" i="10"/>
  <c r="B880" i="10"/>
  <c r="A880" i="10"/>
  <c r="E879" i="10"/>
  <c r="D879" i="10"/>
  <c r="C879" i="10"/>
  <c r="B879" i="10"/>
  <c r="A879" i="10"/>
  <c r="E878" i="10"/>
  <c r="D878" i="10"/>
  <c r="C878" i="10"/>
  <c r="B878" i="10"/>
  <c r="A878" i="10"/>
  <c r="E877" i="10"/>
  <c r="D877" i="10"/>
  <c r="C877" i="10"/>
  <c r="B877" i="10"/>
  <c r="A877" i="10"/>
  <c r="E876" i="10"/>
  <c r="D876" i="10"/>
  <c r="C876" i="10"/>
  <c r="B876" i="10"/>
  <c r="A876" i="10"/>
  <c r="E875" i="10"/>
  <c r="D875" i="10"/>
  <c r="C875" i="10"/>
  <c r="B875" i="10"/>
  <c r="A875" i="10"/>
  <c r="E874" i="10"/>
  <c r="D874" i="10"/>
  <c r="C874" i="10"/>
  <c r="B874" i="10"/>
  <c r="A874" i="10"/>
  <c r="E873" i="10"/>
  <c r="D873" i="10"/>
  <c r="C873" i="10"/>
  <c r="B873" i="10"/>
  <c r="A873" i="10"/>
  <c r="E872" i="10"/>
  <c r="D872" i="10"/>
  <c r="C872" i="10"/>
  <c r="B872" i="10"/>
  <c r="A872" i="10"/>
  <c r="E871" i="10"/>
  <c r="D871" i="10"/>
  <c r="C871" i="10"/>
  <c r="B871" i="10"/>
  <c r="A871" i="10"/>
  <c r="E870" i="10"/>
  <c r="D870" i="10"/>
  <c r="C870" i="10"/>
  <c r="B870" i="10"/>
  <c r="A870" i="10"/>
  <c r="E869" i="10"/>
  <c r="D869" i="10"/>
  <c r="C869" i="10"/>
  <c r="B869" i="10"/>
  <c r="A869" i="10"/>
  <c r="E868" i="10"/>
  <c r="D868" i="10"/>
  <c r="C868" i="10"/>
  <c r="B868" i="10"/>
  <c r="A868" i="10"/>
  <c r="E867" i="10"/>
  <c r="D867" i="10"/>
  <c r="C867" i="10"/>
  <c r="B867" i="10"/>
  <c r="A867" i="10"/>
  <c r="E866" i="10"/>
  <c r="D866" i="10"/>
  <c r="C866" i="10"/>
  <c r="B866" i="10"/>
  <c r="A866" i="10"/>
  <c r="E865" i="10"/>
  <c r="D865" i="10"/>
  <c r="C865" i="10"/>
  <c r="B865" i="10"/>
  <c r="A865" i="10"/>
  <c r="E864" i="10"/>
  <c r="D864" i="10"/>
  <c r="C864" i="10"/>
  <c r="B864" i="10"/>
  <c r="A864" i="10"/>
  <c r="E863" i="10"/>
  <c r="D863" i="10"/>
  <c r="C863" i="10"/>
  <c r="B863" i="10"/>
  <c r="A863" i="10"/>
  <c r="E862" i="10"/>
  <c r="D862" i="10"/>
  <c r="C862" i="10"/>
  <c r="B862" i="10"/>
  <c r="A862" i="10"/>
  <c r="E861" i="10"/>
  <c r="D861" i="10"/>
  <c r="C861" i="10"/>
  <c r="B861" i="10"/>
  <c r="A861" i="10"/>
  <c r="E860" i="10"/>
  <c r="D860" i="10"/>
  <c r="C860" i="10"/>
  <c r="B860" i="10"/>
  <c r="A860" i="10"/>
  <c r="E859" i="10"/>
  <c r="D859" i="10"/>
  <c r="C859" i="10"/>
  <c r="B859" i="10"/>
  <c r="A859" i="10"/>
  <c r="E858" i="10"/>
  <c r="D858" i="10"/>
  <c r="C858" i="10"/>
  <c r="B858" i="10"/>
  <c r="A858" i="10"/>
  <c r="E857" i="10"/>
  <c r="D857" i="10"/>
  <c r="C857" i="10"/>
  <c r="B857" i="10"/>
  <c r="A857" i="10"/>
  <c r="E856" i="10"/>
  <c r="D856" i="10"/>
  <c r="C856" i="10"/>
  <c r="B856" i="10"/>
  <c r="A856" i="10"/>
  <c r="E855" i="10"/>
  <c r="D855" i="10"/>
  <c r="C855" i="10"/>
  <c r="B855" i="10"/>
  <c r="A855" i="10"/>
  <c r="E854" i="10"/>
  <c r="D854" i="10"/>
  <c r="C854" i="10"/>
  <c r="B854" i="10"/>
  <c r="A854" i="10"/>
  <c r="E853" i="10"/>
  <c r="D853" i="10"/>
  <c r="C853" i="10"/>
  <c r="B853" i="10"/>
  <c r="A853" i="10"/>
  <c r="E852" i="10"/>
  <c r="D852" i="10"/>
  <c r="C852" i="10"/>
  <c r="B852" i="10"/>
  <c r="A852" i="10"/>
  <c r="E851" i="10"/>
  <c r="D851" i="10"/>
  <c r="C851" i="10"/>
  <c r="B851" i="10"/>
  <c r="A851" i="10"/>
  <c r="E850" i="10"/>
  <c r="D850" i="10"/>
  <c r="C850" i="10"/>
  <c r="B850" i="10"/>
  <c r="A850" i="10"/>
  <c r="E849" i="10"/>
  <c r="D849" i="10"/>
  <c r="C849" i="10"/>
  <c r="B849" i="10"/>
  <c r="A849" i="10"/>
  <c r="E848" i="10"/>
  <c r="D848" i="10"/>
  <c r="C848" i="10"/>
  <c r="B848" i="10"/>
  <c r="A848" i="10"/>
  <c r="E847" i="10"/>
  <c r="D847" i="10"/>
  <c r="C847" i="10"/>
  <c r="B847" i="10"/>
  <c r="A847" i="10"/>
  <c r="E846" i="10"/>
  <c r="D846" i="10"/>
  <c r="C846" i="10"/>
  <c r="B846" i="10"/>
  <c r="A846" i="10"/>
  <c r="E845" i="10"/>
  <c r="D845" i="10"/>
  <c r="C845" i="10"/>
  <c r="B845" i="10"/>
  <c r="A845" i="10"/>
  <c r="E844" i="10"/>
  <c r="D844" i="10"/>
  <c r="C844" i="10"/>
  <c r="B844" i="10"/>
  <c r="A844" i="10"/>
  <c r="E843" i="10"/>
  <c r="D843" i="10"/>
  <c r="C843" i="10"/>
  <c r="B843" i="10"/>
  <c r="A843" i="10"/>
  <c r="E842" i="10"/>
  <c r="D842" i="10"/>
  <c r="C842" i="10"/>
  <c r="B842" i="10"/>
  <c r="A842" i="10"/>
  <c r="E841" i="10"/>
  <c r="D841" i="10"/>
  <c r="C841" i="10"/>
  <c r="B841" i="10"/>
  <c r="A841" i="10"/>
  <c r="E840" i="10"/>
  <c r="D840" i="10"/>
  <c r="C840" i="10"/>
  <c r="B840" i="10"/>
  <c r="A840" i="10"/>
  <c r="E839" i="10"/>
  <c r="D839" i="10"/>
  <c r="C839" i="10"/>
  <c r="B839" i="10"/>
  <c r="A839" i="10"/>
  <c r="E838" i="10"/>
  <c r="D838" i="10"/>
  <c r="C838" i="10"/>
  <c r="B838" i="10"/>
  <c r="A838" i="10"/>
  <c r="E837" i="10"/>
  <c r="D837" i="10"/>
  <c r="C837" i="10"/>
  <c r="B837" i="10"/>
  <c r="A837" i="10"/>
  <c r="E836" i="10"/>
  <c r="D836" i="10"/>
  <c r="C836" i="10"/>
  <c r="B836" i="10"/>
  <c r="A836" i="10"/>
  <c r="E835" i="10"/>
  <c r="D835" i="10"/>
  <c r="C835" i="10"/>
  <c r="B835" i="10"/>
  <c r="A835" i="10"/>
  <c r="E834" i="10"/>
  <c r="D834" i="10"/>
  <c r="C834" i="10"/>
  <c r="B834" i="10"/>
  <c r="A834" i="10"/>
  <c r="E833" i="10"/>
  <c r="D833" i="10"/>
  <c r="C833" i="10"/>
  <c r="B833" i="10"/>
  <c r="A833" i="10"/>
  <c r="E832" i="10"/>
  <c r="D832" i="10"/>
  <c r="C832" i="10"/>
  <c r="B832" i="10"/>
  <c r="A832" i="10"/>
  <c r="E831" i="10"/>
  <c r="D831" i="10"/>
  <c r="C831" i="10"/>
  <c r="B831" i="10"/>
  <c r="A831" i="10"/>
  <c r="E830" i="10"/>
  <c r="D830" i="10"/>
  <c r="C830" i="10"/>
  <c r="B830" i="10"/>
  <c r="A830" i="10"/>
  <c r="E829" i="10"/>
  <c r="D829" i="10"/>
  <c r="C829" i="10"/>
  <c r="B829" i="10"/>
  <c r="A829" i="10"/>
  <c r="E828" i="10"/>
  <c r="D828" i="10"/>
  <c r="C828" i="10"/>
  <c r="B828" i="10"/>
  <c r="A828" i="10"/>
  <c r="E827" i="10"/>
  <c r="D827" i="10"/>
  <c r="C827" i="10"/>
  <c r="B827" i="10"/>
  <c r="A827" i="10"/>
  <c r="E826" i="10"/>
  <c r="D826" i="10"/>
  <c r="C826" i="10"/>
  <c r="B826" i="10"/>
  <c r="A826" i="10"/>
  <c r="E825" i="10"/>
  <c r="D825" i="10"/>
  <c r="C825" i="10"/>
  <c r="B825" i="10"/>
  <c r="A825" i="10"/>
  <c r="E824" i="10"/>
  <c r="D824" i="10"/>
  <c r="C824" i="10"/>
  <c r="B824" i="10"/>
  <c r="A824" i="10"/>
  <c r="E823" i="10"/>
  <c r="D823" i="10"/>
  <c r="C823" i="10"/>
  <c r="B823" i="10"/>
  <c r="A823" i="10"/>
  <c r="E822" i="10"/>
  <c r="D822" i="10"/>
  <c r="C822" i="10"/>
  <c r="B822" i="10"/>
  <c r="A822" i="10"/>
  <c r="E821" i="10"/>
  <c r="D821" i="10"/>
  <c r="C821" i="10"/>
  <c r="B821" i="10"/>
  <c r="A821" i="10"/>
  <c r="E820" i="10"/>
  <c r="D820" i="10"/>
  <c r="C820" i="10"/>
  <c r="B820" i="10"/>
  <c r="A820" i="10"/>
  <c r="E819" i="10"/>
  <c r="D819" i="10"/>
  <c r="C819" i="10"/>
  <c r="B819" i="10"/>
  <c r="A819" i="10"/>
  <c r="E818" i="10"/>
  <c r="D818" i="10"/>
  <c r="C818" i="10"/>
  <c r="B818" i="10"/>
  <c r="A818" i="10"/>
  <c r="E817" i="10"/>
  <c r="D817" i="10"/>
  <c r="C817" i="10"/>
  <c r="B817" i="10"/>
  <c r="A817" i="10"/>
  <c r="E816" i="10"/>
  <c r="D816" i="10"/>
  <c r="C816" i="10"/>
  <c r="B816" i="10"/>
  <c r="A816" i="10"/>
  <c r="E815" i="10"/>
  <c r="D815" i="10"/>
  <c r="C815" i="10"/>
  <c r="B815" i="10"/>
  <c r="A815" i="10"/>
  <c r="E814" i="10"/>
  <c r="D814" i="10"/>
  <c r="C814" i="10"/>
  <c r="B814" i="10"/>
  <c r="A814" i="10"/>
  <c r="E813" i="10"/>
  <c r="D813" i="10"/>
  <c r="C813" i="10"/>
  <c r="B813" i="10"/>
  <c r="A813" i="10"/>
  <c r="E812" i="10"/>
  <c r="D812" i="10"/>
  <c r="C812" i="10"/>
  <c r="B812" i="10"/>
  <c r="A812" i="10"/>
  <c r="E811" i="10"/>
  <c r="D811" i="10"/>
  <c r="C811" i="10"/>
  <c r="B811" i="10"/>
  <c r="A811" i="10"/>
  <c r="E810" i="10"/>
  <c r="D810" i="10"/>
  <c r="C810" i="10"/>
  <c r="B810" i="10"/>
  <c r="A810" i="10"/>
  <c r="E809" i="10"/>
  <c r="D809" i="10"/>
  <c r="C809" i="10"/>
  <c r="B809" i="10"/>
  <c r="A809" i="10"/>
  <c r="E808" i="10"/>
  <c r="D808" i="10"/>
  <c r="C808" i="10"/>
  <c r="B808" i="10"/>
  <c r="A808" i="10"/>
  <c r="E807" i="10"/>
  <c r="D807" i="10"/>
  <c r="C807" i="10"/>
  <c r="B807" i="10"/>
  <c r="A807" i="10"/>
  <c r="E806" i="10"/>
  <c r="D806" i="10"/>
  <c r="C806" i="10"/>
  <c r="B806" i="10"/>
  <c r="A806" i="10"/>
  <c r="E805" i="10"/>
  <c r="D805" i="10"/>
  <c r="C805" i="10"/>
  <c r="B805" i="10"/>
  <c r="A805" i="10"/>
  <c r="E804" i="10"/>
  <c r="D804" i="10"/>
  <c r="C804" i="10"/>
  <c r="B804" i="10"/>
  <c r="A804" i="10"/>
  <c r="E803" i="10"/>
  <c r="D803" i="10"/>
  <c r="C803" i="10"/>
  <c r="B803" i="10"/>
  <c r="A803" i="10"/>
  <c r="E802" i="10"/>
  <c r="D802" i="10"/>
  <c r="C802" i="10"/>
  <c r="B802" i="10"/>
  <c r="A802" i="10"/>
  <c r="E801" i="10"/>
  <c r="D801" i="10"/>
  <c r="C801" i="10"/>
  <c r="B801" i="10"/>
  <c r="A801" i="10"/>
  <c r="E800" i="10"/>
  <c r="D800" i="10"/>
  <c r="C800" i="10"/>
  <c r="B800" i="10"/>
  <c r="A800" i="10"/>
  <c r="E799" i="10"/>
  <c r="D799" i="10"/>
  <c r="C799" i="10"/>
  <c r="B799" i="10"/>
  <c r="A799" i="10"/>
  <c r="E798" i="10"/>
  <c r="D798" i="10"/>
  <c r="C798" i="10"/>
  <c r="B798" i="10"/>
  <c r="A798" i="10"/>
  <c r="E797" i="10"/>
  <c r="D797" i="10"/>
  <c r="C797" i="10"/>
  <c r="B797" i="10"/>
  <c r="A797" i="10"/>
  <c r="E796" i="10"/>
  <c r="D796" i="10"/>
  <c r="C796" i="10"/>
  <c r="B796" i="10"/>
  <c r="A796" i="10"/>
  <c r="E795" i="10"/>
  <c r="D795" i="10"/>
  <c r="C795" i="10"/>
  <c r="B795" i="10"/>
  <c r="A795" i="10"/>
  <c r="E794" i="10"/>
  <c r="D794" i="10"/>
  <c r="C794" i="10"/>
  <c r="B794" i="10"/>
  <c r="A794" i="10"/>
  <c r="E793" i="10"/>
  <c r="D793" i="10"/>
  <c r="C793" i="10"/>
  <c r="B793" i="10"/>
  <c r="A793" i="10"/>
  <c r="E792" i="10"/>
  <c r="D792" i="10"/>
  <c r="C792" i="10"/>
  <c r="B792" i="10"/>
  <c r="A792" i="10"/>
  <c r="E791" i="10"/>
  <c r="D791" i="10"/>
  <c r="C791" i="10"/>
  <c r="B791" i="10"/>
  <c r="A791" i="10"/>
  <c r="E790" i="10"/>
  <c r="D790" i="10"/>
  <c r="C790" i="10"/>
  <c r="B790" i="10"/>
  <c r="A790" i="10"/>
  <c r="E789" i="10"/>
  <c r="D789" i="10"/>
  <c r="C789" i="10"/>
  <c r="B789" i="10"/>
  <c r="A789" i="10"/>
  <c r="E788" i="10"/>
  <c r="D788" i="10"/>
  <c r="C788" i="10"/>
  <c r="B788" i="10"/>
  <c r="A788" i="10"/>
  <c r="E787" i="10"/>
  <c r="D787" i="10"/>
  <c r="C787" i="10"/>
  <c r="B787" i="10"/>
  <c r="A787" i="10"/>
  <c r="E786" i="10"/>
  <c r="D786" i="10"/>
  <c r="C786" i="10"/>
  <c r="B786" i="10"/>
  <c r="A786" i="10"/>
  <c r="E785" i="10"/>
  <c r="D785" i="10"/>
  <c r="C785" i="10"/>
  <c r="B785" i="10"/>
  <c r="A785" i="10"/>
  <c r="E784" i="10"/>
  <c r="D784" i="10"/>
  <c r="C784" i="10"/>
  <c r="B784" i="10"/>
  <c r="A784" i="10"/>
  <c r="E783" i="10"/>
  <c r="D783" i="10"/>
  <c r="C783" i="10"/>
  <c r="B783" i="10"/>
  <c r="A783" i="10"/>
  <c r="E782" i="10"/>
  <c r="D782" i="10"/>
  <c r="C782" i="10"/>
  <c r="B782" i="10"/>
  <c r="A782" i="10"/>
  <c r="E781" i="10"/>
  <c r="D781" i="10"/>
  <c r="C781" i="10"/>
  <c r="B781" i="10"/>
  <c r="A781" i="10"/>
  <c r="E780" i="10"/>
  <c r="D780" i="10"/>
  <c r="C780" i="10"/>
  <c r="B780" i="10"/>
  <c r="A780" i="10"/>
  <c r="E779" i="10"/>
  <c r="D779" i="10"/>
  <c r="C779" i="10"/>
  <c r="B779" i="10"/>
  <c r="A779" i="10"/>
  <c r="E778" i="10"/>
  <c r="D778" i="10"/>
  <c r="C778" i="10"/>
  <c r="B778" i="10"/>
  <c r="A778" i="10"/>
  <c r="E777" i="10"/>
  <c r="D777" i="10"/>
  <c r="C777" i="10"/>
  <c r="B777" i="10"/>
  <c r="A777" i="10"/>
  <c r="E776" i="10"/>
  <c r="D776" i="10"/>
  <c r="C776" i="10"/>
  <c r="B776" i="10"/>
  <c r="A776" i="10"/>
  <c r="E775" i="10"/>
  <c r="D775" i="10"/>
  <c r="C775" i="10"/>
  <c r="B775" i="10"/>
  <c r="A775" i="10"/>
  <c r="E774" i="10"/>
  <c r="D774" i="10"/>
  <c r="C774" i="10"/>
  <c r="B774" i="10"/>
  <c r="A774" i="10"/>
  <c r="E773" i="10"/>
  <c r="D773" i="10"/>
  <c r="C773" i="10"/>
  <c r="B773" i="10"/>
  <c r="A773" i="10"/>
  <c r="E772" i="10"/>
  <c r="D772" i="10"/>
  <c r="C772" i="10"/>
  <c r="B772" i="10"/>
  <c r="A772" i="10"/>
  <c r="E771" i="10"/>
  <c r="D771" i="10"/>
  <c r="C771" i="10"/>
  <c r="B771" i="10"/>
  <c r="A771" i="10"/>
  <c r="E770" i="10"/>
  <c r="D770" i="10"/>
  <c r="C770" i="10"/>
  <c r="B770" i="10"/>
  <c r="A770" i="10"/>
  <c r="E769" i="10"/>
  <c r="D769" i="10"/>
  <c r="C769" i="10"/>
  <c r="B769" i="10"/>
  <c r="A769" i="10"/>
  <c r="E768" i="10"/>
  <c r="D768" i="10"/>
  <c r="C768" i="10"/>
  <c r="B768" i="10"/>
  <c r="A768" i="10"/>
  <c r="E767" i="10"/>
  <c r="D767" i="10"/>
  <c r="C767" i="10"/>
  <c r="B767" i="10"/>
  <c r="A767" i="10"/>
  <c r="E766" i="10"/>
  <c r="D766" i="10"/>
  <c r="C766" i="10"/>
  <c r="B766" i="10"/>
  <c r="A766" i="10"/>
  <c r="E765" i="10"/>
  <c r="D765" i="10"/>
  <c r="C765" i="10"/>
  <c r="B765" i="10"/>
  <c r="A765" i="10"/>
  <c r="E764" i="10"/>
  <c r="D764" i="10"/>
  <c r="C764" i="10"/>
  <c r="B764" i="10"/>
  <c r="A764" i="10"/>
  <c r="E763" i="10"/>
  <c r="D763" i="10"/>
  <c r="C763" i="10"/>
  <c r="B763" i="10"/>
  <c r="A763" i="10"/>
  <c r="E762" i="10"/>
  <c r="D762" i="10"/>
  <c r="C762" i="10"/>
  <c r="B762" i="10"/>
  <c r="A762" i="10"/>
  <c r="E761" i="10"/>
  <c r="D761" i="10"/>
  <c r="C761" i="10"/>
  <c r="B761" i="10"/>
  <c r="A761" i="10"/>
  <c r="E760" i="10"/>
  <c r="D760" i="10"/>
  <c r="C760" i="10"/>
  <c r="B760" i="10"/>
  <c r="A760" i="10"/>
  <c r="E759" i="10"/>
  <c r="D759" i="10"/>
  <c r="C759" i="10"/>
  <c r="B759" i="10"/>
  <c r="A759" i="10"/>
  <c r="E758" i="10"/>
  <c r="D758" i="10"/>
  <c r="C758" i="10"/>
  <c r="B758" i="10"/>
  <c r="A758" i="10"/>
  <c r="E757" i="10"/>
  <c r="D757" i="10"/>
  <c r="C757" i="10"/>
  <c r="B757" i="10"/>
  <c r="A757" i="10"/>
  <c r="E756" i="10"/>
  <c r="D756" i="10"/>
  <c r="C756" i="10"/>
  <c r="B756" i="10"/>
  <c r="A756" i="10"/>
  <c r="E755" i="10"/>
  <c r="D755" i="10"/>
  <c r="C755" i="10"/>
  <c r="B755" i="10"/>
  <c r="A755" i="10"/>
  <c r="E754" i="10"/>
  <c r="D754" i="10"/>
  <c r="C754" i="10"/>
  <c r="B754" i="10"/>
  <c r="A754" i="10"/>
  <c r="E753" i="10"/>
  <c r="D753" i="10"/>
  <c r="C753" i="10"/>
  <c r="B753" i="10"/>
  <c r="A753" i="10"/>
  <c r="E752" i="10"/>
  <c r="D752" i="10"/>
  <c r="C752" i="10"/>
  <c r="B752" i="10"/>
  <c r="A752" i="10"/>
  <c r="E751" i="10"/>
  <c r="D751" i="10"/>
  <c r="C751" i="10"/>
  <c r="B751" i="10"/>
  <c r="A751" i="10"/>
  <c r="E750" i="10"/>
  <c r="D750" i="10"/>
  <c r="C750" i="10"/>
  <c r="B750" i="10"/>
  <c r="A750" i="10"/>
  <c r="E749" i="10"/>
  <c r="D749" i="10"/>
  <c r="C749" i="10"/>
  <c r="B749" i="10"/>
  <c r="A749" i="10"/>
  <c r="E748" i="10"/>
  <c r="D748" i="10"/>
  <c r="C748" i="10"/>
  <c r="B748" i="10"/>
  <c r="A748" i="10"/>
  <c r="E747" i="10"/>
  <c r="D747" i="10"/>
  <c r="C747" i="10"/>
  <c r="B747" i="10"/>
  <c r="A747" i="10"/>
  <c r="E746" i="10"/>
  <c r="D746" i="10"/>
  <c r="C746" i="10"/>
  <c r="B746" i="10"/>
  <c r="A746" i="10"/>
  <c r="E745" i="10"/>
  <c r="D745" i="10"/>
  <c r="C745" i="10"/>
  <c r="B745" i="10"/>
  <c r="A745" i="10"/>
  <c r="E744" i="10"/>
  <c r="D744" i="10"/>
  <c r="C744" i="10"/>
  <c r="B744" i="10"/>
  <c r="A744" i="10"/>
  <c r="E743" i="10"/>
  <c r="D743" i="10"/>
  <c r="C743" i="10"/>
  <c r="B743" i="10"/>
  <c r="A743" i="10"/>
  <c r="E742" i="10"/>
  <c r="D742" i="10"/>
  <c r="C742" i="10"/>
  <c r="B742" i="10"/>
  <c r="A742" i="10"/>
  <c r="E741" i="10"/>
  <c r="D741" i="10"/>
  <c r="C741" i="10"/>
  <c r="B741" i="10"/>
  <c r="A741" i="10"/>
  <c r="E740" i="10"/>
  <c r="D740" i="10"/>
  <c r="C740" i="10"/>
  <c r="B740" i="10"/>
  <c r="A740" i="10"/>
  <c r="E739" i="10"/>
  <c r="D739" i="10"/>
  <c r="C739" i="10"/>
  <c r="B739" i="10"/>
  <c r="A739" i="10"/>
  <c r="E738" i="10"/>
  <c r="D738" i="10"/>
  <c r="C738" i="10"/>
  <c r="B738" i="10"/>
  <c r="A738" i="10"/>
  <c r="E737" i="10"/>
  <c r="D737" i="10"/>
  <c r="C737" i="10"/>
  <c r="B737" i="10"/>
  <c r="A737" i="10"/>
  <c r="E736" i="10"/>
  <c r="D736" i="10"/>
  <c r="C736" i="10"/>
  <c r="B736" i="10"/>
  <c r="A736" i="10"/>
  <c r="E735" i="10"/>
  <c r="D735" i="10"/>
  <c r="C735" i="10"/>
  <c r="B735" i="10"/>
  <c r="A735" i="10"/>
  <c r="E734" i="10"/>
  <c r="D734" i="10"/>
  <c r="C734" i="10"/>
  <c r="B734" i="10"/>
  <c r="A734" i="10"/>
  <c r="E733" i="10"/>
  <c r="D733" i="10"/>
  <c r="C733" i="10"/>
  <c r="B733" i="10"/>
  <c r="A733" i="10"/>
  <c r="E732" i="10"/>
  <c r="D732" i="10"/>
  <c r="C732" i="10"/>
  <c r="B732" i="10"/>
  <c r="A732" i="10"/>
  <c r="E731" i="10"/>
  <c r="D731" i="10"/>
  <c r="C731" i="10"/>
  <c r="B731" i="10"/>
  <c r="A731" i="10"/>
  <c r="E730" i="10"/>
  <c r="D730" i="10"/>
  <c r="C730" i="10"/>
  <c r="B730" i="10"/>
  <c r="A730" i="10"/>
  <c r="E729" i="10"/>
  <c r="D729" i="10"/>
  <c r="C729" i="10"/>
  <c r="B729" i="10"/>
  <c r="A729" i="10"/>
  <c r="E728" i="10"/>
  <c r="D728" i="10"/>
  <c r="C728" i="10"/>
  <c r="B728" i="10"/>
  <c r="A728" i="10"/>
  <c r="E727" i="10"/>
  <c r="D727" i="10"/>
  <c r="C727" i="10"/>
  <c r="B727" i="10"/>
  <c r="A727" i="10"/>
  <c r="E726" i="10"/>
  <c r="D726" i="10"/>
  <c r="C726" i="10"/>
  <c r="B726" i="10"/>
  <c r="A726" i="10"/>
  <c r="E725" i="10"/>
  <c r="D725" i="10"/>
  <c r="C725" i="10"/>
  <c r="B725" i="10"/>
  <c r="A725" i="10"/>
  <c r="E724" i="10"/>
  <c r="D724" i="10"/>
  <c r="C724" i="10"/>
  <c r="B724" i="10"/>
  <c r="A724" i="10"/>
  <c r="E723" i="10"/>
  <c r="D723" i="10"/>
  <c r="C723" i="10"/>
  <c r="B723" i="10"/>
  <c r="A723" i="10"/>
  <c r="E722" i="10"/>
  <c r="D722" i="10"/>
  <c r="C722" i="10"/>
  <c r="B722" i="10"/>
  <c r="A722" i="10"/>
  <c r="E721" i="10"/>
  <c r="D721" i="10"/>
  <c r="C721" i="10"/>
  <c r="B721" i="10"/>
  <c r="A721" i="10"/>
  <c r="E720" i="10"/>
  <c r="D720" i="10"/>
  <c r="C720" i="10"/>
  <c r="B720" i="10"/>
  <c r="A720" i="10"/>
  <c r="E719" i="10"/>
  <c r="D719" i="10"/>
  <c r="C719" i="10"/>
  <c r="B719" i="10"/>
  <c r="A719" i="10"/>
  <c r="E718" i="10"/>
  <c r="D718" i="10"/>
  <c r="C718" i="10"/>
  <c r="B718" i="10"/>
  <c r="A718" i="10"/>
  <c r="E717" i="10"/>
  <c r="D717" i="10"/>
  <c r="C717" i="10"/>
  <c r="B717" i="10"/>
  <c r="A717" i="10"/>
  <c r="E716" i="10"/>
  <c r="D716" i="10"/>
  <c r="C716" i="10"/>
  <c r="B716" i="10"/>
  <c r="A716" i="10"/>
  <c r="E715" i="10"/>
  <c r="D715" i="10"/>
  <c r="C715" i="10"/>
  <c r="B715" i="10"/>
  <c r="A715" i="10"/>
  <c r="E714" i="10"/>
  <c r="D714" i="10"/>
  <c r="C714" i="10"/>
  <c r="B714" i="10"/>
  <c r="A714" i="10"/>
  <c r="E713" i="10"/>
  <c r="D713" i="10"/>
  <c r="C713" i="10"/>
  <c r="B713" i="10"/>
  <c r="A713" i="10"/>
  <c r="E712" i="10"/>
  <c r="D712" i="10"/>
  <c r="C712" i="10"/>
  <c r="B712" i="10"/>
  <c r="A712" i="10"/>
  <c r="E711" i="10"/>
  <c r="D711" i="10"/>
  <c r="C711" i="10"/>
  <c r="B711" i="10"/>
  <c r="A711" i="10"/>
  <c r="E710" i="10"/>
  <c r="D710" i="10"/>
  <c r="C710" i="10"/>
  <c r="B710" i="10"/>
  <c r="A710" i="10"/>
  <c r="E709" i="10"/>
  <c r="D709" i="10"/>
  <c r="C709" i="10"/>
  <c r="B709" i="10"/>
  <c r="A709" i="10"/>
  <c r="E708" i="10"/>
  <c r="D708" i="10"/>
  <c r="C708" i="10"/>
  <c r="B708" i="10"/>
  <c r="A708" i="10"/>
  <c r="E707" i="10"/>
  <c r="D707" i="10"/>
  <c r="C707" i="10"/>
  <c r="B707" i="10"/>
  <c r="A707" i="10"/>
  <c r="E706" i="10"/>
  <c r="D706" i="10"/>
  <c r="C706" i="10"/>
  <c r="B706" i="10"/>
  <c r="A706" i="10"/>
  <c r="E705" i="10"/>
  <c r="D705" i="10"/>
  <c r="C705" i="10"/>
  <c r="B705" i="10"/>
  <c r="A705" i="10"/>
  <c r="E704" i="10"/>
  <c r="D704" i="10"/>
  <c r="C704" i="10"/>
  <c r="B704" i="10"/>
  <c r="A704" i="10"/>
  <c r="E703" i="10"/>
  <c r="D703" i="10"/>
  <c r="C703" i="10"/>
  <c r="B703" i="10"/>
  <c r="A703" i="10"/>
  <c r="E702" i="10"/>
  <c r="D702" i="10"/>
  <c r="C702" i="10"/>
  <c r="B702" i="10"/>
  <c r="A702" i="10"/>
  <c r="E701" i="10"/>
  <c r="D701" i="10"/>
  <c r="C701" i="10"/>
  <c r="B701" i="10"/>
  <c r="A701" i="10"/>
  <c r="E700" i="10"/>
  <c r="D700" i="10"/>
  <c r="C700" i="10"/>
  <c r="B700" i="10"/>
  <c r="A700" i="10"/>
  <c r="E699" i="10"/>
  <c r="D699" i="10"/>
  <c r="C699" i="10"/>
  <c r="B699" i="10"/>
  <c r="A699" i="10"/>
  <c r="E698" i="10"/>
  <c r="D698" i="10"/>
  <c r="C698" i="10"/>
  <c r="B698" i="10"/>
  <c r="A698" i="10"/>
  <c r="E697" i="10"/>
  <c r="D697" i="10"/>
  <c r="C697" i="10"/>
  <c r="B697" i="10"/>
  <c r="A697" i="10"/>
  <c r="E696" i="10"/>
  <c r="D696" i="10"/>
  <c r="C696" i="10"/>
  <c r="B696" i="10"/>
  <c r="A696" i="10"/>
  <c r="E695" i="10"/>
  <c r="D695" i="10"/>
  <c r="C695" i="10"/>
  <c r="B695" i="10"/>
  <c r="A695" i="10"/>
  <c r="E694" i="10"/>
  <c r="D694" i="10"/>
  <c r="C694" i="10"/>
  <c r="B694" i="10"/>
  <c r="A694" i="10"/>
  <c r="E693" i="10"/>
  <c r="D693" i="10"/>
  <c r="C693" i="10"/>
  <c r="B693" i="10"/>
  <c r="A693" i="10"/>
  <c r="E692" i="10"/>
  <c r="D692" i="10"/>
  <c r="C692" i="10"/>
  <c r="B692" i="10"/>
  <c r="A692" i="10"/>
  <c r="E691" i="10"/>
  <c r="D691" i="10"/>
  <c r="C691" i="10"/>
  <c r="B691" i="10"/>
  <c r="A691" i="10"/>
  <c r="E690" i="10"/>
  <c r="D690" i="10"/>
  <c r="C690" i="10"/>
  <c r="B690" i="10"/>
  <c r="A690" i="10"/>
  <c r="E689" i="10"/>
  <c r="D689" i="10"/>
  <c r="C689" i="10"/>
  <c r="B689" i="10"/>
  <c r="A689" i="10"/>
  <c r="E688" i="10"/>
  <c r="D688" i="10"/>
  <c r="C688" i="10"/>
  <c r="B688" i="10"/>
  <c r="A688" i="10"/>
  <c r="E687" i="10"/>
  <c r="D687" i="10"/>
  <c r="C687" i="10"/>
  <c r="B687" i="10"/>
  <c r="A687" i="10"/>
  <c r="E686" i="10"/>
  <c r="D686" i="10"/>
  <c r="C686" i="10"/>
  <c r="B686" i="10"/>
  <c r="A686" i="10"/>
  <c r="E685" i="10"/>
  <c r="D685" i="10"/>
  <c r="C685" i="10"/>
  <c r="B685" i="10"/>
  <c r="A685" i="10"/>
  <c r="E684" i="10"/>
  <c r="D684" i="10"/>
  <c r="C684" i="10"/>
  <c r="B684" i="10"/>
  <c r="A684" i="10"/>
  <c r="E683" i="10"/>
  <c r="D683" i="10"/>
  <c r="C683" i="10"/>
  <c r="B683" i="10"/>
  <c r="A683" i="10"/>
  <c r="E682" i="10"/>
  <c r="D682" i="10"/>
  <c r="C682" i="10"/>
  <c r="B682" i="10"/>
  <c r="A682" i="10"/>
  <c r="E681" i="10"/>
  <c r="D681" i="10"/>
  <c r="C681" i="10"/>
  <c r="B681" i="10"/>
  <c r="A681" i="10"/>
  <c r="E680" i="10"/>
  <c r="D680" i="10"/>
  <c r="C680" i="10"/>
  <c r="B680" i="10"/>
  <c r="A680" i="10"/>
  <c r="E679" i="10"/>
  <c r="D679" i="10"/>
  <c r="C679" i="10"/>
  <c r="B679" i="10"/>
  <c r="A679" i="10"/>
  <c r="E678" i="10"/>
  <c r="D678" i="10"/>
  <c r="C678" i="10"/>
  <c r="B678" i="10"/>
  <c r="A678" i="10"/>
  <c r="E677" i="10"/>
  <c r="D677" i="10"/>
  <c r="C677" i="10"/>
  <c r="B677" i="10"/>
  <c r="A677" i="10"/>
  <c r="E676" i="10"/>
  <c r="D676" i="10"/>
  <c r="C676" i="10"/>
  <c r="B676" i="10"/>
  <c r="A676" i="10"/>
  <c r="E675" i="10"/>
  <c r="D675" i="10"/>
  <c r="C675" i="10"/>
  <c r="B675" i="10"/>
  <c r="A675" i="10"/>
  <c r="E674" i="10"/>
  <c r="D674" i="10"/>
  <c r="C674" i="10"/>
  <c r="B674" i="10"/>
  <c r="A674" i="10"/>
  <c r="E673" i="10"/>
  <c r="D673" i="10"/>
  <c r="C673" i="10"/>
  <c r="B673" i="10"/>
  <c r="A673" i="10"/>
  <c r="E672" i="10"/>
  <c r="D672" i="10"/>
  <c r="C672" i="10"/>
  <c r="B672" i="10"/>
  <c r="A672" i="10"/>
  <c r="E671" i="10"/>
  <c r="D671" i="10"/>
  <c r="C671" i="10"/>
  <c r="B671" i="10"/>
  <c r="A671" i="10"/>
  <c r="E670" i="10"/>
  <c r="D670" i="10"/>
  <c r="C670" i="10"/>
  <c r="B670" i="10"/>
  <c r="A670" i="10"/>
  <c r="E669" i="10"/>
  <c r="D669" i="10"/>
  <c r="C669" i="10"/>
  <c r="B669" i="10"/>
  <c r="A669" i="10"/>
  <c r="E668" i="10"/>
  <c r="D668" i="10"/>
  <c r="C668" i="10"/>
  <c r="B668" i="10"/>
  <c r="A668" i="10"/>
  <c r="E667" i="10"/>
  <c r="D667" i="10"/>
  <c r="C667" i="10"/>
  <c r="B667" i="10"/>
  <c r="A667" i="10"/>
  <c r="E666" i="10"/>
  <c r="D666" i="10"/>
  <c r="C666" i="10"/>
  <c r="B666" i="10"/>
  <c r="A666" i="10"/>
  <c r="E665" i="10"/>
  <c r="D665" i="10"/>
  <c r="C665" i="10"/>
  <c r="B665" i="10"/>
  <c r="A665" i="10"/>
  <c r="E664" i="10"/>
  <c r="D664" i="10"/>
  <c r="C664" i="10"/>
  <c r="B664" i="10"/>
  <c r="A664" i="10"/>
  <c r="E663" i="10"/>
  <c r="D663" i="10"/>
  <c r="C663" i="10"/>
  <c r="B663" i="10"/>
  <c r="A663" i="10"/>
  <c r="E662" i="10"/>
  <c r="D662" i="10"/>
  <c r="C662" i="10"/>
  <c r="B662" i="10"/>
  <c r="A662" i="10"/>
  <c r="E661" i="10"/>
  <c r="D661" i="10"/>
  <c r="C661" i="10"/>
  <c r="B661" i="10"/>
  <c r="A661" i="10"/>
  <c r="E660" i="10"/>
  <c r="D660" i="10"/>
  <c r="C660" i="10"/>
  <c r="B660" i="10"/>
  <c r="A660" i="10"/>
  <c r="E659" i="10"/>
  <c r="D659" i="10"/>
  <c r="C659" i="10"/>
  <c r="B659" i="10"/>
  <c r="A659" i="10"/>
  <c r="E658" i="10"/>
  <c r="D658" i="10"/>
  <c r="C658" i="10"/>
  <c r="B658" i="10"/>
  <c r="A658" i="10"/>
  <c r="E657" i="10"/>
  <c r="D657" i="10"/>
  <c r="C657" i="10"/>
  <c r="B657" i="10"/>
  <c r="A657" i="10"/>
  <c r="E656" i="10"/>
  <c r="D656" i="10"/>
  <c r="C656" i="10"/>
  <c r="B656" i="10"/>
  <c r="A656" i="10"/>
  <c r="E655" i="10"/>
  <c r="D655" i="10"/>
  <c r="C655" i="10"/>
  <c r="B655" i="10"/>
  <c r="A655" i="10"/>
  <c r="E654" i="10"/>
  <c r="D654" i="10"/>
  <c r="C654" i="10"/>
  <c r="B654" i="10"/>
  <c r="A654" i="10"/>
  <c r="E653" i="10"/>
  <c r="D653" i="10"/>
  <c r="C653" i="10"/>
  <c r="B653" i="10"/>
  <c r="A653" i="10"/>
  <c r="E652" i="10"/>
  <c r="D652" i="10"/>
  <c r="C652" i="10"/>
  <c r="B652" i="10"/>
  <c r="A652" i="10"/>
  <c r="E651" i="10"/>
  <c r="D651" i="10"/>
  <c r="C651" i="10"/>
  <c r="B651" i="10"/>
  <c r="A651" i="10"/>
  <c r="E650" i="10"/>
  <c r="D650" i="10"/>
  <c r="C650" i="10"/>
  <c r="B650" i="10"/>
  <c r="A650" i="10"/>
  <c r="E649" i="10"/>
  <c r="D649" i="10"/>
  <c r="C649" i="10"/>
  <c r="B649" i="10"/>
  <c r="A649" i="10"/>
  <c r="E648" i="10"/>
  <c r="D648" i="10"/>
  <c r="C648" i="10"/>
  <c r="B648" i="10"/>
  <c r="A648" i="10"/>
  <c r="E647" i="10"/>
  <c r="D647" i="10"/>
  <c r="C647" i="10"/>
  <c r="B647" i="10"/>
  <c r="A647" i="10"/>
  <c r="E646" i="10"/>
  <c r="D646" i="10"/>
  <c r="C646" i="10"/>
  <c r="B646" i="10"/>
  <c r="A646" i="10"/>
  <c r="E645" i="10"/>
  <c r="D645" i="10"/>
  <c r="C645" i="10"/>
  <c r="B645" i="10"/>
  <c r="A645" i="10"/>
  <c r="E644" i="10"/>
  <c r="D644" i="10"/>
  <c r="C644" i="10"/>
  <c r="B644" i="10"/>
  <c r="A644" i="10"/>
  <c r="E643" i="10"/>
  <c r="D643" i="10"/>
  <c r="C643" i="10"/>
  <c r="B643" i="10"/>
  <c r="A643" i="10"/>
  <c r="E642" i="10"/>
  <c r="D642" i="10"/>
  <c r="C642" i="10"/>
  <c r="B642" i="10"/>
  <c r="A642" i="10"/>
  <c r="E641" i="10"/>
  <c r="D641" i="10"/>
  <c r="C641" i="10"/>
  <c r="B641" i="10"/>
  <c r="A641" i="10"/>
  <c r="E640" i="10"/>
  <c r="D640" i="10"/>
  <c r="C640" i="10"/>
  <c r="B640" i="10"/>
  <c r="A640" i="10"/>
  <c r="E639" i="10"/>
  <c r="D639" i="10"/>
  <c r="C639" i="10"/>
  <c r="B639" i="10"/>
  <c r="A639" i="10"/>
  <c r="E638" i="10"/>
  <c r="D638" i="10"/>
  <c r="C638" i="10"/>
  <c r="B638" i="10"/>
  <c r="A638" i="10"/>
  <c r="E637" i="10"/>
  <c r="D637" i="10"/>
  <c r="C637" i="10"/>
  <c r="B637" i="10"/>
  <c r="A637" i="10"/>
  <c r="E636" i="10"/>
  <c r="D636" i="10"/>
  <c r="C636" i="10"/>
  <c r="B636" i="10"/>
  <c r="A636" i="10"/>
  <c r="E635" i="10"/>
  <c r="D635" i="10"/>
  <c r="C635" i="10"/>
  <c r="B635" i="10"/>
  <c r="A635" i="10"/>
  <c r="E634" i="10"/>
  <c r="D634" i="10"/>
  <c r="C634" i="10"/>
  <c r="B634" i="10"/>
  <c r="A634" i="10"/>
  <c r="E633" i="10"/>
  <c r="D633" i="10"/>
  <c r="C633" i="10"/>
  <c r="B633" i="10"/>
  <c r="A633" i="10"/>
  <c r="E632" i="10"/>
  <c r="D632" i="10"/>
  <c r="C632" i="10"/>
  <c r="B632" i="10"/>
  <c r="A632" i="10"/>
  <c r="E631" i="10"/>
  <c r="D631" i="10"/>
  <c r="C631" i="10"/>
  <c r="B631" i="10"/>
  <c r="A631" i="10"/>
  <c r="E630" i="10"/>
  <c r="D630" i="10"/>
  <c r="C630" i="10"/>
  <c r="B630" i="10"/>
  <c r="A630" i="10"/>
  <c r="E629" i="10"/>
  <c r="D629" i="10"/>
  <c r="C629" i="10"/>
  <c r="B629" i="10"/>
  <c r="A629" i="10"/>
  <c r="E628" i="10"/>
  <c r="D628" i="10"/>
  <c r="C628" i="10"/>
  <c r="B628" i="10"/>
  <c r="A628" i="10"/>
  <c r="E627" i="10"/>
  <c r="D627" i="10"/>
  <c r="C627" i="10"/>
  <c r="B627" i="10"/>
  <c r="A627" i="10"/>
  <c r="E626" i="10"/>
  <c r="D626" i="10"/>
  <c r="C626" i="10"/>
  <c r="B626" i="10"/>
  <c r="A626" i="10"/>
  <c r="E625" i="10"/>
  <c r="D625" i="10"/>
  <c r="C625" i="10"/>
  <c r="B625" i="10"/>
  <c r="A625" i="10"/>
  <c r="E624" i="10"/>
  <c r="D624" i="10"/>
  <c r="C624" i="10"/>
  <c r="B624" i="10"/>
  <c r="A624" i="10"/>
  <c r="E623" i="10"/>
  <c r="D623" i="10"/>
  <c r="C623" i="10"/>
  <c r="B623" i="10"/>
  <c r="A623" i="10"/>
  <c r="E622" i="10"/>
  <c r="D622" i="10"/>
  <c r="C622" i="10"/>
  <c r="B622" i="10"/>
  <c r="A622" i="10"/>
  <c r="E621" i="10"/>
  <c r="D621" i="10"/>
  <c r="C621" i="10"/>
  <c r="B621" i="10"/>
  <c r="A621" i="10"/>
  <c r="E620" i="10"/>
  <c r="D620" i="10"/>
  <c r="C620" i="10"/>
  <c r="B620" i="10"/>
  <c r="A620" i="10"/>
  <c r="E619" i="10"/>
  <c r="D619" i="10"/>
  <c r="C619" i="10"/>
  <c r="B619" i="10"/>
  <c r="A619" i="10"/>
  <c r="E618" i="10"/>
  <c r="D618" i="10"/>
  <c r="C618" i="10"/>
  <c r="B618" i="10"/>
  <c r="A618" i="10"/>
  <c r="E617" i="10"/>
  <c r="D617" i="10"/>
  <c r="C617" i="10"/>
  <c r="B617" i="10"/>
  <c r="A617" i="10"/>
  <c r="E616" i="10"/>
  <c r="D616" i="10"/>
  <c r="C616" i="10"/>
  <c r="B616" i="10"/>
  <c r="A616" i="10"/>
  <c r="E615" i="10"/>
  <c r="D615" i="10"/>
  <c r="C615" i="10"/>
  <c r="B615" i="10"/>
  <c r="A615" i="10"/>
  <c r="E614" i="10"/>
  <c r="D614" i="10"/>
  <c r="C614" i="10"/>
  <c r="B614" i="10"/>
  <c r="A614" i="10"/>
  <c r="E613" i="10"/>
  <c r="D613" i="10"/>
  <c r="C613" i="10"/>
  <c r="B613" i="10"/>
  <c r="A613" i="10"/>
  <c r="E612" i="10"/>
  <c r="D612" i="10"/>
  <c r="C612" i="10"/>
  <c r="B612" i="10"/>
  <c r="A612" i="10"/>
  <c r="E611" i="10"/>
  <c r="D611" i="10"/>
  <c r="C611" i="10"/>
  <c r="B611" i="10"/>
  <c r="A611" i="10"/>
  <c r="E610" i="10"/>
  <c r="D610" i="10"/>
  <c r="C610" i="10"/>
  <c r="B610" i="10"/>
  <c r="A610" i="10"/>
  <c r="E609" i="10"/>
  <c r="D609" i="10"/>
  <c r="C609" i="10"/>
  <c r="B609" i="10"/>
  <c r="A609" i="10"/>
  <c r="E608" i="10"/>
  <c r="D608" i="10"/>
  <c r="C608" i="10"/>
  <c r="B608" i="10"/>
  <c r="A608" i="10"/>
  <c r="E607" i="10"/>
  <c r="D607" i="10"/>
  <c r="C607" i="10"/>
  <c r="B607" i="10"/>
  <c r="A607" i="10"/>
  <c r="E606" i="10"/>
  <c r="D606" i="10"/>
  <c r="C606" i="10"/>
  <c r="B606" i="10"/>
  <c r="A606" i="10"/>
  <c r="E605" i="10"/>
  <c r="D605" i="10"/>
  <c r="C605" i="10"/>
  <c r="B605" i="10"/>
  <c r="A605" i="10"/>
  <c r="E604" i="10"/>
  <c r="D604" i="10"/>
  <c r="C604" i="10"/>
  <c r="B604" i="10"/>
  <c r="A604" i="10"/>
  <c r="E603" i="10"/>
  <c r="D603" i="10"/>
  <c r="C603" i="10"/>
  <c r="B603" i="10"/>
  <c r="A603" i="10"/>
  <c r="E602" i="10"/>
  <c r="D602" i="10"/>
  <c r="C602" i="10"/>
  <c r="B602" i="10"/>
  <c r="A602" i="10"/>
  <c r="E601" i="10"/>
  <c r="D601" i="10"/>
  <c r="C601" i="10"/>
  <c r="B601" i="10"/>
  <c r="A601" i="10"/>
  <c r="E600" i="10"/>
  <c r="D600" i="10"/>
  <c r="C600" i="10"/>
  <c r="B600" i="10"/>
  <c r="A600" i="10"/>
  <c r="E599" i="10"/>
  <c r="D599" i="10"/>
  <c r="C599" i="10"/>
  <c r="B599" i="10"/>
  <c r="A599" i="10"/>
  <c r="E598" i="10"/>
  <c r="D598" i="10"/>
  <c r="C598" i="10"/>
  <c r="B598" i="10"/>
  <c r="A598" i="10"/>
  <c r="E597" i="10"/>
  <c r="D597" i="10"/>
  <c r="C597" i="10"/>
  <c r="B597" i="10"/>
  <c r="A597" i="10"/>
  <c r="E596" i="10"/>
  <c r="D596" i="10"/>
  <c r="C596" i="10"/>
  <c r="B596" i="10"/>
  <c r="A596" i="10"/>
  <c r="E595" i="10"/>
  <c r="D595" i="10"/>
  <c r="C595" i="10"/>
  <c r="B595" i="10"/>
  <c r="A595" i="10"/>
  <c r="E594" i="10"/>
  <c r="D594" i="10"/>
  <c r="C594" i="10"/>
  <c r="B594" i="10"/>
  <c r="A594" i="10"/>
  <c r="E593" i="10"/>
  <c r="D593" i="10"/>
  <c r="C593" i="10"/>
  <c r="B593" i="10"/>
  <c r="A593" i="10"/>
  <c r="E592" i="10"/>
  <c r="D592" i="10"/>
  <c r="C592" i="10"/>
  <c r="B592" i="10"/>
  <c r="A592" i="10"/>
  <c r="E591" i="10"/>
  <c r="D591" i="10"/>
  <c r="C591" i="10"/>
  <c r="B591" i="10"/>
  <c r="A591" i="10"/>
  <c r="E590" i="10"/>
  <c r="D590" i="10"/>
  <c r="C590" i="10"/>
  <c r="B590" i="10"/>
  <c r="A590" i="10"/>
  <c r="E589" i="10"/>
  <c r="D589" i="10"/>
  <c r="C589" i="10"/>
  <c r="B589" i="10"/>
  <c r="A589" i="10"/>
  <c r="E588" i="10"/>
  <c r="D588" i="10"/>
  <c r="C588" i="10"/>
  <c r="B588" i="10"/>
  <c r="A588" i="10"/>
  <c r="E587" i="10"/>
  <c r="D587" i="10"/>
  <c r="C587" i="10"/>
  <c r="B587" i="10"/>
  <c r="A587" i="10"/>
  <c r="E586" i="10"/>
  <c r="D586" i="10"/>
  <c r="C586" i="10"/>
  <c r="B586" i="10"/>
  <c r="A586" i="10"/>
  <c r="E585" i="10"/>
  <c r="D585" i="10"/>
  <c r="C585" i="10"/>
  <c r="B585" i="10"/>
  <c r="A585" i="10"/>
  <c r="E584" i="10"/>
  <c r="D584" i="10"/>
  <c r="C584" i="10"/>
  <c r="B584" i="10"/>
  <c r="A584" i="10"/>
  <c r="E583" i="10"/>
  <c r="D583" i="10"/>
  <c r="C583" i="10"/>
  <c r="B583" i="10"/>
  <c r="A583" i="10"/>
  <c r="E582" i="10"/>
  <c r="D582" i="10"/>
  <c r="C582" i="10"/>
  <c r="B582" i="10"/>
  <c r="A582" i="10"/>
  <c r="E581" i="10"/>
  <c r="D581" i="10"/>
  <c r="C581" i="10"/>
  <c r="B581" i="10"/>
  <c r="A581" i="10"/>
  <c r="E580" i="10"/>
  <c r="D580" i="10"/>
  <c r="C580" i="10"/>
  <c r="B580" i="10"/>
  <c r="A580" i="10"/>
  <c r="E579" i="10"/>
  <c r="D579" i="10"/>
  <c r="C579" i="10"/>
  <c r="B579" i="10"/>
  <c r="A579" i="10"/>
  <c r="E578" i="10"/>
  <c r="D578" i="10"/>
  <c r="C578" i="10"/>
  <c r="B578" i="10"/>
  <c r="A578" i="10"/>
  <c r="E577" i="10"/>
  <c r="D577" i="10"/>
  <c r="C577" i="10"/>
  <c r="B577" i="10"/>
  <c r="A577" i="10"/>
  <c r="E576" i="10"/>
  <c r="D576" i="10"/>
  <c r="C576" i="10"/>
  <c r="B576" i="10"/>
  <c r="A576" i="10"/>
  <c r="E575" i="10"/>
  <c r="D575" i="10"/>
  <c r="C575" i="10"/>
  <c r="B575" i="10"/>
  <c r="A575" i="10"/>
  <c r="E574" i="10"/>
  <c r="D574" i="10"/>
  <c r="C574" i="10"/>
  <c r="B574" i="10"/>
  <c r="A574" i="10"/>
  <c r="E573" i="10"/>
  <c r="D573" i="10"/>
  <c r="C573" i="10"/>
  <c r="B573" i="10"/>
  <c r="A573" i="10"/>
  <c r="E572" i="10"/>
  <c r="D572" i="10"/>
  <c r="C572" i="10"/>
  <c r="B572" i="10"/>
  <c r="A572" i="10"/>
  <c r="E571" i="10"/>
  <c r="D571" i="10"/>
  <c r="C571" i="10"/>
  <c r="B571" i="10"/>
  <c r="A571" i="10"/>
  <c r="E570" i="10"/>
  <c r="D570" i="10"/>
  <c r="C570" i="10"/>
  <c r="B570" i="10"/>
  <c r="A570" i="10"/>
  <c r="E569" i="10"/>
  <c r="D569" i="10"/>
  <c r="C569" i="10"/>
  <c r="B569" i="10"/>
  <c r="A569" i="10"/>
  <c r="E568" i="10"/>
  <c r="D568" i="10"/>
  <c r="C568" i="10"/>
  <c r="B568" i="10"/>
  <c r="A568" i="10"/>
  <c r="E567" i="10"/>
  <c r="D567" i="10"/>
  <c r="C567" i="10"/>
  <c r="B567" i="10"/>
  <c r="A567" i="10"/>
  <c r="E566" i="10"/>
  <c r="D566" i="10"/>
  <c r="C566" i="10"/>
  <c r="B566" i="10"/>
  <c r="A566" i="10"/>
  <c r="E565" i="10"/>
  <c r="D565" i="10"/>
  <c r="C565" i="10"/>
  <c r="B565" i="10"/>
  <c r="A565" i="10"/>
  <c r="E564" i="10"/>
  <c r="D564" i="10"/>
  <c r="C564" i="10"/>
  <c r="B564" i="10"/>
  <c r="A564" i="10"/>
  <c r="E563" i="10"/>
  <c r="D563" i="10"/>
  <c r="C563" i="10"/>
  <c r="B563" i="10"/>
  <c r="A563" i="10"/>
  <c r="E562" i="10"/>
  <c r="D562" i="10"/>
  <c r="C562" i="10"/>
  <c r="B562" i="10"/>
  <c r="A562" i="10"/>
  <c r="E561" i="10"/>
  <c r="D561" i="10"/>
  <c r="C561" i="10"/>
  <c r="B561" i="10"/>
  <c r="A561" i="10"/>
  <c r="E560" i="10"/>
  <c r="D560" i="10"/>
  <c r="C560" i="10"/>
  <c r="B560" i="10"/>
  <c r="A560" i="10"/>
  <c r="E559" i="10"/>
  <c r="D559" i="10"/>
  <c r="C559" i="10"/>
  <c r="B559" i="10"/>
  <c r="A559" i="10"/>
  <c r="E558" i="10"/>
  <c r="D558" i="10"/>
  <c r="C558" i="10"/>
  <c r="B558" i="10"/>
  <c r="A558" i="10"/>
  <c r="E557" i="10"/>
  <c r="D557" i="10"/>
  <c r="C557" i="10"/>
  <c r="B557" i="10"/>
  <c r="A557" i="10"/>
  <c r="E556" i="10"/>
  <c r="D556" i="10"/>
  <c r="C556" i="10"/>
  <c r="B556" i="10"/>
  <c r="A556" i="10"/>
  <c r="E555" i="10"/>
  <c r="D555" i="10"/>
  <c r="C555" i="10"/>
  <c r="B555" i="10"/>
  <c r="A555" i="10"/>
  <c r="E554" i="10"/>
  <c r="D554" i="10"/>
  <c r="C554" i="10"/>
  <c r="B554" i="10"/>
  <c r="A554" i="10"/>
  <c r="E553" i="10"/>
  <c r="D553" i="10"/>
  <c r="C553" i="10"/>
  <c r="B553" i="10"/>
  <c r="A553" i="10"/>
  <c r="E552" i="10"/>
  <c r="D552" i="10"/>
  <c r="C552" i="10"/>
  <c r="B552" i="10"/>
  <c r="A552" i="10"/>
  <c r="E551" i="10"/>
  <c r="D551" i="10"/>
  <c r="C551" i="10"/>
  <c r="B551" i="10"/>
  <c r="A551" i="10"/>
  <c r="E550" i="10"/>
  <c r="D550" i="10"/>
  <c r="C550" i="10"/>
  <c r="B550" i="10"/>
  <c r="A550" i="10"/>
  <c r="E549" i="10"/>
  <c r="D549" i="10"/>
  <c r="C549" i="10"/>
  <c r="B549" i="10"/>
  <c r="A549" i="10"/>
  <c r="E548" i="10"/>
  <c r="D548" i="10"/>
  <c r="C548" i="10"/>
  <c r="B548" i="10"/>
  <c r="A548" i="10"/>
  <c r="E547" i="10"/>
  <c r="D547" i="10"/>
  <c r="C547" i="10"/>
  <c r="B547" i="10"/>
  <c r="A547" i="10"/>
  <c r="E546" i="10"/>
  <c r="D546" i="10"/>
  <c r="C546" i="10"/>
  <c r="B546" i="10"/>
  <c r="A546" i="10"/>
  <c r="E545" i="10"/>
  <c r="D545" i="10"/>
  <c r="C545" i="10"/>
  <c r="B545" i="10"/>
  <c r="A545" i="10"/>
  <c r="E544" i="10"/>
  <c r="D544" i="10"/>
  <c r="C544" i="10"/>
  <c r="B544" i="10"/>
  <c r="A544" i="10"/>
  <c r="E543" i="10"/>
  <c r="D543" i="10"/>
  <c r="C543" i="10"/>
  <c r="B543" i="10"/>
  <c r="A543" i="10"/>
  <c r="E542" i="10"/>
  <c r="D542" i="10"/>
  <c r="C542" i="10"/>
  <c r="B542" i="10"/>
  <c r="A542" i="10"/>
  <c r="E541" i="10"/>
  <c r="D541" i="10"/>
  <c r="C541" i="10"/>
  <c r="B541" i="10"/>
  <c r="A541" i="10"/>
  <c r="E540" i="10"/>
  <c r="D540" i="10"/>
  <c r="C540" i="10"/>
  <c r="B540" i="10"/>
  <c r="A540" i="10"/>
  <c r="E539" i="10"/>
  <c r="D539" i="10"/>
  <c r="C539" i="10"/>
  <c r="B539" i="10"/>
  <c r="A539" i="10"/>
  <c r="E538" i="10"/>
  <c r="D538" i="10"/>
  <c r="C538" i="10"/>
  <c r="B538" i="10"/>
  <c r="A538" i="10"/>
  <c r="E537" i="10"/>
  <c r="D537" i="10"/>
  <c r="C537" i="10"/>
  <c r="B537" i="10"/>
  <c r="A537" i="10"/>
  <c r="E536" i="10"/>
  <c r="D536" i="10"/>
  <c r="C536" i="10"/>
  <c r="B536" i="10"/>
  <c r="A536" i="10"/>
  <c r="E535" i="10"/>
  <c r="D535" i="10"/>
  <c r="C535" i="10"/>
  <c r="B535" i="10"/>
  <c r="A535" i="10"/>
  <c r="E534" i="10"/>
  <c r="D534" i="10"/>
  <c r="C534" i="10"/>
  <c r="B534" i="10"/>
  <c r="A534" i="10"/>
  <c r="E533" i="10"/>
  <c r="D533" i="10"/>
  <c r="C533" i="10"/>
  <c r="B533" i="10"/>
  <c r="A533" i="10"/>
  <c r="E532" i="10"/>
  <c r="D532" i="10"/>
  <c r="C532" i="10"/>
  <c r="B532" i="10"/>
  <c r="A532" i="10"/>
  <c r="E531" i="10"/>
  <c r="D531" i="10"/>
  <c r="C531" i="10"/>
  <c r="B531" i="10"/>
  <c r="A531" i="10"/>
  <c r="E530" i="10"/>
  <c r="D530" i="10"/>
  <c r="C530" i="10"/>
  <c r="B530" i="10"/>
  <c r="A530" i="10"/>
  <c r="E529" i="10"/>
  <c r="D529" i="10"/>
  <c r="C529" i="10"/>
  <c r="B529" i="10"/>
  <c r="A529" i="10"/>
  <c r="E528" i="10"/>
  <c r="D528" i="10"/>
  <c r="C528" i="10"/>
  <c r="B528" i="10"/>
  <c r="A528" i="10"/>
  <c r="E527" i="10"/>
  <c r="D527" i="10"/>
  <c r="C527" i="10"/>
  <c r="B527" i="10"/>
  <c r="A527" i="10"/>
  <c r="E526" i="10"/>
  <c r="D526" i="10"/>
  <c r="C526" i="10"/>
  <c r="B526" i="10"/>
  <c r="A526" i="10"/>
  <c r="E525" i="10"/>
  <c r="D525" i="10"/>
  <c r="C525" i="10"/>
  <c r="B525" i="10"/>
  <c r="A525" i="10"/>
  <c r="E524" i="10"/>
  <c r="D524" i="10"/>
  <c r="C524" i="10"/>
  <c r="B524" i="10"/>
  <c r="A524" i="10"/>
  <c r="E523" i="10"/>
  <c r="D523" i="10"/>
  <c r="C523" i="10"/>
  <c r="B523" i="10"/>
  <c r="A523" i="10"/>
  <c r="E522" i="10"/>
  <c r="D522" i="10"/>
  <c r="C522" i="10"/>
  <c r="B522" i="10"/>
  <c r="A522" i="10"/>
  <c r="E521" i="10"/>
  <c r="D521" i="10"/>
  <c r="C521" i="10"/>
  <c r="B521" i="10"/>
  <c r="A521" i="10"/>
  <c r="E520" i="10"/>
  <c r="D520" i="10"/>
  <c r="C520" i="10"/>
  <c r="B520" i="10"/>
  <c r="A520" i="10"/>
  <c r="E519" i="10"/>
  <c r="D519" i="10"/>
  <c r="C519" i="10"/>
  <c r="B519" i="10"/>
  <c r="A519" i="10"/>
  <c r="E518" i="10"/>
  <c r="D518" i="10"/>
  <c r="C518" i="10"/>
  <c r="B518" i="10"/>
  <c r="A518" i="10"/>
  <c r="E517" i="10"/>
  <c r="D517" i="10"/>
  <c r="C517" i="10"/>
  <c r="B517" i="10"/>
  <c r="A517" i="10"/>
  <c r="E516" i="10"/>
  <c r="D516" i="10"/>
  <c r="C516" i="10"/>
  <c r="B516" i="10"/>
  <c r="A516" i="10"/>
  <c r="E515" i="10"/>
  <c r="D515" i="10"/>
  <c r="C515" i="10"/>
  <c r="B515" i="10"/>
  <c r="A515" i="10"/>
  <c r="E514" i="10"/>
  <c r="D514" i="10"/>
  <c r="C514" i="10"/>
  <c r="B514" i="10"/>
  <c r="A514" i="10"/>
  <c r="E513" i="10"/>
  <c r="D513" i="10"/>
  <c r="C513" i="10"/>
  <c r="B513" i="10"/>
  <c r="A513" i="10"/>
  <c r="E512" i="10"/>
  <c r="D512" i="10"/>
  <c r="C512" i="10"/>
  <c r="B512" i="10"/>
  <c r="A512" i="10"/>
  <c r="E511" i="10"/>
  <c r="D511" i="10"/>
  <c r="C511" i="10"/>
  <c r="B511" i="10"/>
  <c r="A511" i="10"/>
  <c r="E510" i="10"/>
  <c r="D510" i="10"/>
  <c r="C510" i="10"/>
  <c r="B510" i="10"/>
  <c r="A510" i="10"/>
  <c r="E509" i="10"/>
  <c r="D509" i="10"/>
  <c r="C509" i="10"/>
  <c r="B509" i="10"/>
  <c r="A509" i="10"/>
  <c r="E508" i="10"/>
  <c r="D508" i="10"/>
  <c r="C508" i="10"/>
  <c r="B508" i="10"/>
  <c r="A508" i="10"/>
  <c r="E507" i="10"/>
  <c r="D507" i="10"/>
  <c r="C507" i="10"/>
  <c r="B507" i="10"/>
  <c r="A507" i="10"/>
  <c r="E506" i="10"/>
  <c r="D506" i="10"/>
  <c r="C506" i="10"/>
  <c r="B506" i="10"/>
  <c r="A506" i="10"/>
  <c r="E505" i="10"/>
  <c r="D505" i="10"/>
  <c r="C505" i="10"/>
  <c r="B505" i="10"/>
  <c r="A505" i="10"/>
  <c r="E504" i="10"/>
  <c r="D504" i="10"/>
  <c r="C504" i="10"/>
  <c r="B504" i="10"/>
  <c r="A504" i="10"/>
  <c r="E503" i="10"/>
  <c r="D503" i="10"/>
  <c r="C503" i="10"/>
  <c r="B503" i="10"/>
  <c r="A503" i="10"/>
  <c r="E502" i="10"/>
  <c r="D502" i="10"/>
  <c r="C502" i="10"/>
  <c r="B502" i="10"/>
  <c r="A502" i="10"/>
  <c r="E501" i="10"/>
  <c r="D501" i="10"/>
  <c r="C501" i="10"/>
  <c r="B501" i="10"/>
  <c r="A501" i="10"/>
  <c r="E500" i="10"/>
  <c r="D500" i="10"/>
  <c r="C500" i="10"/>
  <c r="B500" i="10"/>
  <c r="A500" i="10"/>
  <c r="E499" i="10"/>
  <c r="D499" i="10"/>
  <c r="C499" i="10"/>
  <c r="B499" i="10"/>
  <c r="A499" i="10"/>
  <c r="E498" i="10"/>
  <c r="D498" i="10"/>
  <c r="C498" i="10"/>
  <c r="B498" i="10"/>
  <c r="A498" i="10"/>
  <c r="E497" i="10"/>
  <c r="D497" i="10"/>
  <c r="C497" i="10"/>
  <c r="B497" i="10"/>
  <c r="A497" i="10"/>
  <c r="E496" i="10"/>
  <c r="D496" i="10"/>
  <c r="C496" i="10"/>
  <c r="B496" i="10"/>
  <c r="A496" i="10"/>
  <c r="E495" i="10"/>
  <c r="D495" i="10"/>
  <c r="C495" i="10"/>
  <c r="B495" i="10"/>
  <c r="A495" i="10"/>
  <c r="E494" i="10"/>
  <c r="D494" i="10"/>
  <c r="C494" i="10"/>
  <c r="B494" i="10"/>
  <c r="A494" i="10"/>
  <c r="E493" i="10"/>
  <c r="D493" i="10"/>
  <c r="C493" i="10"/>
  <c r="B493" i="10"/>
  <c r="A493" i="10"/>
  <c r="E492" i="10"/>
  <c r="D492" i="10"/>
  <c r="C492" i="10"/>
  <c r="B492" i="10"/>
  <c r="A492" i="10"/>
  <c r="E491" i="10"/>
  <c r="D491" i="10"/>
  <c r="C491" i="10"/>
  <c r="B491" i="10"/>
  <c r="A491" i="10"/>
  <c r="E490" i="10"/>
  <c r="D490" i="10"/>
  <c r="C490" i="10"/>
  <c r="B490" i="10"/>
  <c r="A490" i="10"/>
  <c r="E489" i="10"/>
  <c r="D489" i="10"/>
  <c r="C489" i="10"/>
  <c r="B489" i="10"/>
  <c r="A489" i="10"/>
  <c r="E488" i="10"/>
  <c r="D488" i="10"/>
  <c r="C488" i="10"/>
  <c r="B488" i="10"/>
  <c r="A488" i="10"/>
  <c r="E487" i="10"/>
  <c r="D487" i="10"/>
  <c r="C487" i="10"/>
  <c r="B487" i="10"/>
  <c r="A487" i="10"/>
  <c r="E486" i="10"/>
  <c r="D486" i="10"/>
  <c r="C486" i="10"/>
  <c r="B486" i="10"/>
  <c r="A486" i="10"/>
  <c r="E485" i="10"/>
  <c r="D485" i="10"/>
  <c r="C485" i="10"/>
  <c r="B485" i="10"/>
  <c r="A485" i="10"/>
  <c r="E484" i="10"/>
  <c r="D484" i="10"/>
  <c r="C484" i="10"/>
  <c r="B484" i="10"/>
  <c r="A484" i="10"/>
  <c r="E483" i="10"/>
  <c r="D483" i="10"/>
  <c r="C483" i="10"/>
  <c r="B483" i="10"/>
  <c r="A483" i="10"/>
  <c r="E482" i="10"/>
  <c r="D482" i="10"/>
  <c r="C482" i="10"/>
  <c r="B482" i="10"/>
  <c r="A482" i="10"/>
  <c r="E481" i="10"/>
  <c r="D481" i="10"/>
  <c r="C481" i="10"/>
  <c r="B481" i="10"/>
  <c r="A481" i="10"/>
  <c r="E480" i="10"/>
  <c r="D480" i="10"/>
  <c r="C480" i="10"/>
  <c r="B480" i="10"/>
  <c r="A480" i="10"/>
  <c r="E479" i="10"/>
  <c r="D479" i="10"/>
  <c r="C479" i="10"/>
  <c r="B479" i="10"/>
  <c r="A479" i="10"/>
  <c r="E478" i="10"/>
  <c r="D478" i="10"/>
  <c r="C478" i="10"/>
  <c r="B478" i="10"/>
  <c r="A478" i="10"/>
  <c r="E477" i="10"/>
  <c r="D477" i="10"/>
  <c r="C477" i="10"/>
  <c r="B477" i="10"/>
  <c r="A477" i="10"/>
  <c r="E476" i="10"/>
  <c r="D476" i="10"/>
  <c r="C476" i="10"/>
  <c r="B476" i="10"/>
  <c r="A476" i="10"/>
  <c r="E475" i="10"/>
  <c r="D475" i="10"/>
  <c r="C475" i="10"/>
  <c r="B475" i="10"/>
  <c r="A475" i="10"/>
  <c r="E474" i="10"/>
  <c r="D474" i="10"/>
  <c r="C474" i="10"/>
  <c r="B474" i="10"/>
  <c r="A474" i="10"/>
  <c r="E473" i="10"/>
  <c r="D473" i="10"/>
  <c r="C473" i="10"/>
  <c r="B473" i="10"/>
  <c r="A473" i="10"/>
  <c r="E472" i="10"/>
  <c r="D472" i="10"/>
  <c r="C472" i="10"/>
  <c r="B472" i="10"/>
  <c r="A472" i="10"/>
  <c r="E471" i="10"/>
  <c r="D471" i="10"/>
  <c r="C471" i="10"/>
  <c r="B471" i="10"/>
  <c r="A471" i="10"/>
  <c r="E470" i="10"/>
  <c r="D470" i="10"/>
  <c r="C470" i="10"/>
  <c r="B470" i="10"/>
  <c r="A470" i="10"/>
  <c r="E469" i="10"/>
  <c r="D469" i="10"/>
  <c r="C469" i="10"/>
  <c r="B469" i="10"/>
  <c r="A469" i="10"/>
  <c r="E468" i="10"/>
  <c r="D468" i="10"/>
  <c r="C468" i="10"/>
  <c r="B468" i="10"/>
  <c r="A468" i="10"/>
  <c r="E467" i="10"/>
  <c r="D467" i="10"/>
  <c r="C467" i="10"/>
  <c r="B467" i="10"/>
  <c r="A467" i="10"/>
  <c r="E466" i="10"/>
  <c r="D466" i="10"/>
  <c r="C466" i="10"/>
  <c r="B466" i="10"/>
  <c r="A466" i="10"/>
  <c r="E465" i="10"/>
  <c r="D465" i="10"/>
  <c r="C465" i="10"/>
  <c r="B465" i="10"/>
  <c r="A465" i="10"/>
  <c r="E464" i="10"/>
  <c r="D464" i="10"/>
  <c r="C464" i="10"/>
  <c r="B464" i="10"/>
  <c r="A464" i="10"/>
  <c r="E463" i="10"/>
  <c r="D463" i="10"/>
  <c r="C463" i="10"/>
  <c r="B463" i="10"/>
  <c r="A463" i="10"/>
  <c r="E462" i="10"/>
  <c r="D462" i="10"/>
  <c r="C462" i="10"/>
  <c r="B462" i="10"/>
  <c r="A462" i="10"/>
  <c r="E461" i="10"/>
  <c r="D461" i="10"/>
  <c r="C461" i="10"/>
  <c r="B461" i="10"/>
  <c r="A461" i="10"/>
  <c r="E460" i="10"/>
  <c r="D460" i="10"/>
  <c r="C460" i="10"/>
  <c r="B460" i="10"/>
  <c r="A460" i="10"/>
  <c r="E459" i="10"/>
  <c r="D459" i="10"/>
  <c r="C459" i="10"/>
  <c r="B459" i="10"/>
  <c r="A459" i="10"/>
  <c r="E458" i="10"/>
  <c r="D458" i="10"/>
  <c r="C458" i="10"/>
  <c r="B458" i="10"/>
  <c r="A458" i="10"/>
  <c r="E457" i="10"/>
  <c r="D457" i="10"/>
  <c r="C457" i="10"/>
  <c r="B457" i="10"/>
  <c r="A457" i="10"/>
  <c r="E456" i="10"/>
  <c r="D456" i="10"/>
  <c r="C456" i="10"/>
  <c r="B456" i="10"/>
  <c r="A456" i="10"/>
  <c r="E455" i="10"/>
  <c r="D455" i="10"/>
  <c r="C455" i="10"/>
  <c r="B455" i="10"/>
  <c r="A455" i="10"/>
  <c r="E454" i="10"/>
  <c r="D454" i="10"/>
  <c r="C454" i="10"/>
  <c r="B454" i="10"/>
  <c r="A454" i="10"/>
  <c r="E453" i="10"/>
  <c r="D453" i="10"/>
  <c r="C453" i="10"/>
  <c r="B453" i="10"/>
  <c r="A453" i="10"/>
  <c r="E452" i="10"/>
  <c r="D452" i="10"/>
  <c r="C452" i="10"/>
  <c r="B452" i="10"/>
  <c r="A452" i="10"/>
  <c r="E451" i="10"/>
  <c r="D451" i="10"/>
  <c r="C451" i="10"/>
  <c r="B451" i="10"/>
  <c r="A451" i="10"/>
  <c r="E450" i="10"/>
  <c r="D450" i="10"/>
  <c r="C450" i="10"/>
  <c r="B450" i="10"/>
  <c r="A450" i="10"/>
  <c r="E449" i="10"/>
  <c r="D449" i="10"/>
  <c r="C449" i="10"/>
  <c r="B449" i="10"/>
  <c r="A449" i="10"/>
  <c r="E448" i="10"/>
  <c r="D448" i="10"/>
  <c r="C448" i="10"/>
  <c r="B448" i="10"/>
  <c r="A448" i="10"/>
  <c r="E447" i="10"/>
  <c r="D447" i="10"/>
  <c r="C447" i="10"/>
  <c r="B447" i="10"/>
  <c r="A447" i="10"/>
  <c r="E446" i="10"/>
  <c r="D446" i="10"/>
  <c r="C446" i="10"/>
  <c r="B446" i="10"/>
  <c r="A446" i="10"/>
  <c r="E445" i="10"/>
  <c r="D445" i="10"/>
  <c r="C445" i="10"/>
  <c r="B445" i="10"/>
  <c r="A445" i="10"/>
  <c r="E444" i="10"/>
  <c r="D444" i="10"/>
  <c r="C444" i="10"/>
  <c r="B444" i="10"/>
  <c r="A444" i="10"/>
  <c r="E443" i="10"/>
  <c r="D443" i="10"/>
  <c r="C443" i="10"/>
  <c r="B443" i="10"/>
  <c r="A443" i="10"/>
  <c r="E442" i="10"/>
  <c r="D442" i="10"/>
  <c r="C442" i="10"/>
  <c r="B442" i="10"/>
  <c r="A442" i="10"/>
  <c r="E441" i="10"/>
  <c r="D441" i="10"/>
  <c r="C441" i="10"/>
  <c r="B441" i="10"/>
  <c r="A441" i="10"/>
  <c r="E440" i="10"/>
  <c r="D440" i="10"/>
  <c r="C440" i="10"/>
  <c r="B440" i="10"/>
  <c r="A440" i="10"/>
  <c r="E439" i="10"/>
  <c r="D439" i="10"/>
  <c r="C439" i="10"/>
  <c r="B439" i="10"/>
  <c r="A439" i="10"/>
  <c r="E438" i="10"/>
  <c r="D438" i="10"/>
  <c r="C438" i="10"/>
  <c r="B438" i="10"/>
  <c r="A438" i="10"/>
  <c r="E437" i="10"/>
  <c r="D437" i="10"/>
  <c r="C437" i="10"/>
  <c r="B437" i="10"/>
  <c r="A437" i="10"/>
  <c r="E436" i="10"/>
  <c r="D436" i="10"/>
  <c r="C436" i="10"/>
  <c r="B436" i="10"/>
  <c r="A436" i="10"/>
  <c r="E435" i="10"/>
  <c r="D435" i="10"/>
  <c r="C435" i="10"/>
  <c r="B435" i="10"/>
  <c r="A435" i="10"/>
  <c r="E434" i="10"/>
  <c r="D434" i="10"/>
  <c r="C434" i="10"/>
  <c r="B434" i="10"/>
  <c r="A434" i="10"/>
  <c r="E433" i="10"/>
  <c r="D433" i="10"/>
  <c r="C433" i="10"/>
  <c r="B433" i="10"/>
  <c r="A433" i="10"/>
  <c r="E432" i="10"/>
  <c r="D432" i="10"/>
  <c r="C432" i="10"/>
  <c r="B432" i="10"/>
  <c r="A432" i="10"/>
  <c r="E431" i="10"/>
  <c r="D431" i="10"/>
  <c r="C431" i="10"/>
  <c r="B431" i="10"/>
  <c r="A431" i="10"/>
  <c r="E430" i="10"/>
  <c r="D430" i="10"/>
  <c r="C430" i="10"/>
  <c r="B430" i="10"/>
  <c r="A430" i="10"/>
  <c r="E429" i="10"/>
  <c r="D429" i="10"/>
  <c r="C429" i="10"/>
  <c r="B429" i="10"/>
  <c r="A429" i="10"/>
  <c r="E428" i="10"/>
  <c r="D428" i="10"/>
  <c r="C428" i="10"/>
  <c r="B428" i="10"/>
  <c r="A428" i="10"/>
  <c r="E427" i="10"/>
  <c r="D427" i="10"/>
  <c r="C427" i="10"/>
  <c r="B427" i="10"/>
  <c r="A427" i="10"/>
  <c r="E426" i="10"/>
  <c r="D426" i="10"/>
  <c r="C426" i="10"/>
  <c r="B426" i="10"/>
  <c r="A426" i="10"/>
  <c r="E425" i="10"/>
  <c r="D425" i="10"/>
  <c r="C425" i="10"/>
  <c r="B425" i="10"/>
  <c r="A425" i="10"/>
  <c r="E424" i="10"/>
  <c r="D424" i="10"/>
  <c r="C424" i="10"/>
  <c r="B424" i="10"/>
  <c r="A424" i="10"/>
  <c r="E423" i="10"/>
  <c r="D423" i="10"/>
  <c r="C423" i="10"/>
  <c r="B423" i="10"/>
  <c r="A423" i="10"/>
  <c r="E422" i="10"/>
  <c r="D422" i="10"/>
  <c r="C422" i="10"/>
  <c r="B422" i="10"/>
  <c r="A422" i="10"/>
  <c r="E421" i="10"/>
  <c r="D421" i="10"/>
  <c r="C421" i="10"/>
  <c r="B421" i="10"/>
  <c r="A421" i="10"/>
  <c r="E420" i="10"/>
  <c r="D420" i="10"/>
  <c r="C420" i="10"/>
  <c r="B420" i="10"/>
  <c r="A420" i="10"/>
  <c r="E419" i="10"/>
  <c r="D419" i="10"/>
  <c r="C419" i="10"/>
  <c r="B419" i="10"/>
  <c r="A419" i="10"/>
  <c r="E418" i="10"/>
  <c r="D418" i="10"/>
  <c r="C418" i="10"/>
  <c r="B418" i="10"/>
  <c r="A418" i="10"/>
  <c r="E417" i="10"/>
  <c r="D417" i="10"/>
  <c r="C417" i="10"/>
  <c r="B417" i="10"/>
  <c r="A417" i="10"/>
  <c r="E416" i="10"/>
  <c r="D416" i="10"/>
  <c r="C416" i="10"/>
  <c r="B416" i="10"/>
  <c r="A416" i="10"/>
  <c r="E415" i="10"/>
  <c r="D415" i="10"/>
  <c r="C415" i="10"/>
  <c r="B415" i="10"/>
  <c r="A415" i="10"/>
  <c r="E414" i="10"/>
  <c r="D414" i="10"/>
  <c r="C414" i="10"/>
  <c r="B414" i="10"/>
  <c r="A414" i="10"/>
  <c r="E413" i="10"/>
  <c r="D413" i="10"/>
  <c r="C413" i="10"/>
  <c r="B413" i="10"/>
  <c r="A413" i="10"/>
  <c r="E412" i="10"/>
  <c r="D412" i="10"/>
  <c r="C412" i="10"/>
  <c r="B412" i="10"/>
  <c r="A412" i="10"/>
  <c r="E411" i="10"/>
  <c r="D411" i="10"/>
  <c r="C411" i="10"/>
  <c r="B411" i="10"/>
  <c r="A411" i="10"/>
  <c r="E410" i="10"/>
  <c r="D410" i="10"/>
  <c r="C410" i="10"/>
  <c r="B410" i="10"/>
  <c r="A410" i="10"/>
  <c r="E409" i="10"/>
  <c r="D409" i="10"/>
  <c r="C409" i="10"/>
  <c r="B409" i="10"/>
  <c r="A409" i="10"/>
  <c r="E408" i="10"/>
  <c r="D408" i="10"/>
  <c r="C408" i="10"/>
  <c r="B408" i="10"/>
  <c r="A408" i="10"/>
  <c r="E407" i="10"/>
  <c r="D407" i="10"/>
  <c r="C407" i="10"/>
  <c r="B407" i="10"/>
  <c r="A407" i="10"/>
  <c r="E406" i="10"/>
  <c r="D406" i="10"/>
  <c r="C406" i="10"/>
  <c r="B406" i="10"/>
  <c r="A406" i="10"/>
  <c r="E405" i="10"/>
  <c r="D405" i="10"/>
  <c r="C405" i="10"/>
  <c r="B405" i="10"/>
  <c r="A405" i="10"/>
  <c r="E404" i="10"/>
  <c r="D404" i="10"/>
  <c r="C404" i="10"/>
  <c r="B404" i="10"/>
  <c r="A404" i="10"/>
  <c r="E403" i="10"/>
  <c r="D403" i="10"/>
  <c r="C403" i="10"/>
  <c r="B403" i="10"/>
  <c r="A403" i="10"/>
  <c r="E402" i="10"/>
  <c r="D402" i="10"/>
  <c r="C402" i="10"/>
  <c r="B402" i="10"/>
  <c r="A402" i="10"/>
  <c r="E401" i="10"/>
  <c r="D401" i="10"/>
  <c r="C401" i="10"/>
  <c r="B401" i="10"/>
  <c r="A401" i="10"/>
  <c r="E400" i="10"/>
  <c r="D400" i="10"/>
  <c r="C400" i="10"/>
  <c r="B400" i="10"/>
  <c r="A400" i="10"/>
  <c r="E399" i="10"/>
  <c r="D399" i="10"/>
  <c r="C399" i="10"/>
  <c r="B399" i="10"/>
  <c r="A399" i="10"/>
  <c r="E398" i="10"/>
  <c r="D398" i="10"/>
  <c r="C398" i="10"/>
  <c r="B398" i="10"/>
  <c r="A398" i="10"/>
  <c r="E397" i="10"/>
  <c r="D397" i="10"/>
  <c r="C397" i="10"/>
  <c r="B397" i="10"/>
  <c r="A397" i="10"/>
  <c r="E396" i="10"/>
  <c r="D396" i="10"/>
  <c r="C396" i="10"/>
  <c r="B396" i="10"/>
  <c r="A396" i="10"/>
  <c r="E395" i="10"/>
  <c r="D395" i="10"/>
  <c r="C395" i="10"/>
  <c r="B395" i="10"/>
  <c r="A395" i="10"/>
  <c r="E394" i="10"/>
  <c r="D394" i="10"/>
  <c r="C394" i="10"/>
  <c r="B394" i="10"/>
  <c r="A394" i="10"/>
  <c r="E393" i="10"/>
  <c r="D393" i="10"/>
  <c r="C393" i="10"/>
  <c r="B393" i="10"/>
  <c r="A393" i="10"/>
  <c r="E392" i="10"/>
  <c r="D392" i="10"/>
  <c r="C392" i="10"/>
  <c r="B392" i="10"/>
  <c r="A392" i="10"/>
  <c r="E391" i="10"/>
  <c r="D391" i="10"/>
  <c r="C391" i="10"/>
  <c r="B391" i="10"/>
  <c r="A391" i="10"/>
  <c r="E390" i="10"/>
  <c r="D390" i="10"/>
  <c r="C390" i="10"/>
  <c r="B390" i="10"/>
  <c r="A390" i="10"/>
  <c r="E389" i="10"/>
  <c r="D389" i="10"/>
  <c r="C389" i="10"/>
  <c r="B389" i="10"/>
  <c r="A389" i="10"/>
  <c r="E388" i="10"/>
  <c r="D388" i="10"/>
  <c r="C388" i="10"/>
  <c r="B388" i="10"/>
  <c r="A388" i="10"/>
  <c r="E387" i="10"/>
  <c r="D387" i="10"/>
  <c r="C387" i="10"/>
  <c r="B387" i="10"/>
  <c r="A387" i="10"/>
  <c r="E386" i="10"/>
  <c r="D386" i="10"/>
  <c r="C386" i="10"/>
  <c r="B386" i="10"/>
  <c r="A386" i="10"/>
  <c r="E385" i="10"/>
  <c r="D385" i="10"/>
  <c r="C385" i="10"/>
  <c r="B385" i="10"/>
  <c r="A385" i="10"/>
  <c r="E384" i="10"/>
  <c r="D384" i="10"/>
  <c r="C384" i="10"/>
  <c r="B384" i="10"/>
  <c r="A384" i="10"/>
  <c r="E383" i="10"/>
  <c r="D383" i="10"/>
  <c r="C383" i="10"/>
  <c r="B383" i="10"/>
  <c r="A383" i="10"/>
  <c r="E382" i="10"/>
  <c r="D382" i="10"/>
  <c r="C382" i="10"/>
  <c r="B382" i="10"/>
  <c r="A382" i="10"/>
  <c r="E381" i="10"/>
  <c r="D381" i="10"/>
  <c r="C381" i="10"/>
  <c r="B381" i="10"/>
  <c r="A381" i="10"/>
  <c r="E380" i="10"/>
  <c r="D380" i="10"/>
  <c r="C380" i="10"/>
  <c r="B380" i="10"/>
  <c r="A380" i="10"/>
  <c r="E379" i="10"/>
  <c r="D379" i="10"/>
  <c r="C379" i="10"/>
  <c r="B379" i="10"/>
  <c r="A379" i="10"/>
  <c r="E378" i="10"/>
  <c r="D378" i="10"/>
  <c r="C378" i="10"/>
  <c r="B378" i="10"/>
  <c r="A378" i="10"/>
  <c r="E377" i="10"/>
  <c r="D377" i="10"/>
  <c r="C377" i="10"/>
  <c r="B377" i="10"/>
  <c r="A377" i="10"/>
  <c r="E376" i="10"/>
  <c r="D376" i="10"/>
  <c r="C376" i="10"/>
  <c r="B376" i="10"/>
  <c r="A376" i="10"/>
  <c r="E375" i="10"/>
  <c r="D375" i="10"/>
  <c r="C375" i="10"/>
  <c r="B375" i="10"/>
  <c r="A375" i="10"/>
  <c r="E374" i="10"/>
  <c r="D374" i="10"/>
  <c r="C374" i="10"/>
  <c r="B374" i="10"/>
  <c r="A374" i="10"/>
  <c r="E373" i="10"/>
  <c r="D373" i="10"/>
  <c r="C373" i="10"/>
  <c r="B373" i="10"/>
  <c r="A373" i="10"/>
  <c r="E372" i="10"/>
  <c r="D372" i="10"/>
  <c r="C372" i="10"/>
  <c r="B372" i="10"/>
  <c r="A372" i="10"/>
  <c r="E371" i="10"/>
  <c r="D371" i="10"/>
  <c r="C371" i="10"/>
  <c r="B371" i="10"/>
  <c r="A371" i="10"/>
  <c r="E370" i="10"/>
  <c r="D370" i="10"/>
  <c r="C370" i="10"/>
  <c r="B370" i="10"/>
  <c r="A370" i="10"/>
  <c r="E369" i="10"/>
  <c r="D369" i="10"/>
  <c r="C369" i="10"/>
  <c r="B369" i="10"/>
  <c r="A369" i="10"/>
  <c r="E368" i="10"/>
  <c r="D368" i="10"/>
  <c r="C368" i="10"/>
  <c r="B368" i="10"/>
  <c r="A368" i="10"/>
  <c r="E367" i="10"/>
  <c r="D367" i="10"/>
  <c r="C367" i="10"/>
  <c r="B367" i="10"/>
  <c r="A367" i="10"/>
  <c r="E366" i="10"/>
  <c r="D366" i="10"/>
  <c r="C366" i="10"/>
  <c r="B366" i="10"/>
  <c r="A366" i="10"/>
  <c r="E365" i="10"/>
  <c r="D365" i="10"/>
  <c r="C365" i="10"/>
  <c r="B365" i="10"/>
  <c r="A365" i="10"/>
  <c r="E364" i="10"/>
  <c r="D364" i="10"/>
  <c r="C364" i="10"/>
  <c r="B364" i="10"/>
  <c r="A364" i="10"/>
  <c r="E363" i="10"/>
  <c r="D363" i="10"/>
  <c r="C363" i="10"/>
  <c r="B363" i="10"/>
  <c r="A363" i="10"/>
  <c r="E362" i="10"/>
  <c r="D362" i="10"/>
  <c r="C362" i="10"/>
  <c r="B362" i="10"/>
  <c r="A362" i="10"/>
  <c r="E361" i="10"/>
  <c r="D361" i="10"/>
  <c r="C361" i="10"/>
  <c r="B361" i="10"/>
  <c r="A361" i="10"/>
  <c r="E360" i="10"/>
  <c r="D360" i="10"/>
  <c r="C360" i="10"/>
  <c r="B360" i="10"/>
  <c r="A360" i="10"/>
  <c r="E359" i="10"/>
  <c r="D359" i="10"/>
  <c r="C359" i="10"/>
  <c r="B359" i="10"/>
  <c r="A359" i="10"/>
  <c r="E358" i="10"/>
  <c r="D358" i="10"/>
  <c r="C358" i="10"/>
  <c r="B358" i="10"/>
  <c r="A358" i="10"/>
  <c r="E357" i="10"/>
  <c r="D357" i="10"/>
  <c r="C357" i="10"/>
  <c r="B357" i="10"/>
  <c r="A357" i="10"/>
  <c r="E356" i="10"/>
  <c r="D356" i="10"/>
  <c r="C356" i="10"/>
  <c r="B356" i="10"/>
  <c r="A356" i="10"/>
  <c r="E355" i="10"/>
  <c r="D355" i="10"/>
  <c r="C355" i="10"/>
  <c r="B355" i="10"/>
  <c r="A355" i="10"/>
  <c r="E354" i="10"/>
  <c r="D354" i="10"/>
  <c r="C354" i="10"/>
  <c r="B354" i="10"/>
  <c r="A354" i="10"/>
  <c r="E353" i="10"/>
  <c r="D353" i="10"/>
  <c r="C353" i="10"/>
  <c r="B353" i="10"/>
  <c r="A353" i="10"/>
  <c r="E352" i="10"/>
  <c r="D352" i="10"/>
  <c r="C352" i="10"/>
  <c r="B352" i="10"/>
  <c r="A352" i="10"/>
  <c r="E351" i="10"/>
  <c r="D351" i="10"/>
  <c r="C351" i="10"/>
  <c r="B351" i="10"/>
  <c r="A351" i="10"/>
  <c r="E350" i="10"/>
  <c r="D350" i="10"/>
  <c r="C350" i="10"/>
  <c r="B350" i="10"/>
  <c r="A350" i="10"/>
  <c r="E349" i="10"/>
  <c r="D349" i="10"/>
  <c r="C349" i="10"/>
  <c r="B349" i="10"/>
  <c r="A349" i="10"/>
  <c r="E348" i="10"/>
  <c r="D348" i="10"/>
  <c r="C348" i="10"/>
  <c r="B348" i="10"/>
  <c r="A348" i="10"/>
  <c r="E347" i="10"/>
  <c r="D347" i="10"/>
  <c r="C347" i="10"/>
  <c r="B347" i="10"/>
  <c r="A347" i="10"/>
  <c r="E346" i="10"/>
  <c r="D346" i="10"/>
  <c r="C346" i="10"/>
  <c r="B346" i="10"/>
  <c r="A346" i="10"/>
  <c r="E345" i="10"/>
  <c r="D345" i="10"/>
  <c r="C345" i="10"/>
  <c r="B345" i="10"/>
  <c r="A345" i="10"/>
  <c r="E344" i="10"/>
  <c r="D344" i="10"/>
  <c r="C344" i="10"/>
  <c r="B344" i="10"/>
  <c r="A344" i="10"/>
  <c r="E343" i="10"/>
  <c r="D343" i="10"/>
  <c r="C343" i="10"/>
  <c r="B343" i="10"/>
  <c r="A343" i="10"/>
  <c r="E342" i="10"/>
  <c r="D342" i="10"/>
  <c r="C342" i="10"/>
  <c r="B342" i="10"/>
  <c r="A342" i="10"/>
  <c r="E341" i="10"/>
  <c r="D341" i="10"/>
  <c r="C341" i="10"/>
  <c r="B341" i="10"/>
  <c r="A341" i="10"/>
  <c r="E340" i="10"/>
  <c r="D340" i="10"/>
  <c r="C340" i="10"/>
  <c r="B340" i="10"/>
  <c r="A340" i="10"/>
  <c r="E339" i="10"/>
  <c r="D339" i="10"/>
  <c r="C339" i="10"/>
  <c r="B339" i="10"/>
  <c r="A339" i="10"/>
  <c r="E338" i="10"/>
  <c r="D338" i="10"/>
  <c r="C338" i="10"/>
  <c r="B338" i="10"/>
  <c r="A338" i="10"/>
  <c r="E337" i="10"/>
  <c r="D337" i="10"/>
  <c r="C337" i="10"/>
  <c r="B337" i="10"/>
  <c r="A337" i="10"/>
  <c r="E336" i="10"/>
  <c r="D336" i="10"/>
  <c r="C336" i="10"/>
  <c r="B336" i="10"/>
  <c r="A336" i="10"/>
  <c r="E335" i="10"/>
  <c r="D335" i="10"/>
  <c r="C335" i="10"/>
  <c r="B335" i="10"/>
  <c r="A335" i="10"/>
  <c r="E334" i="10"/>
  <c r="D334" i="10"/>
  <c r="C334" i="10"/>
  <c r="B334" i="10"/>
  <c r="A334" i="10"/>
  <c r="E333" i="10"/>
  <c r="D333" i="10"/>
  <c r="C333" i="10"/>
  <c r="B333" i="10"/>
  <c r="A333" i="10"/>
  <c r="E332" i="10"/>
  <c r="D332" i="10"/>
  <c r="C332" i="10"/>
  <c r="B332" i="10"/>
  <c r="A332" i="10"/>
  <c r="E331" i="10"/>
  <c r="D331" i="10"/>
  <c r="C331" i="10"/>
  <c r="B331" i="10"/>
  <c r="A331" i="10"/>
  <c r="E330" i="10"/>
  <c r="D330" i="10"/>
  <c r="C330" i="10"/>
  <c r="B330" i="10"/>
  <c r="A330" i="10"/>
  <c r="E329" i="10"/>
  <c r="D329" i="10"/>
  <c r="C329" i="10"/>
  <c r="B329" i="10"/>
  <c r="A329" i="10"/>
  <c r="E328" i="10"/>
  <c r="D328" i="10"/>
  <c r="C328" i="10"/>
  <c r="B328" i="10"/>
  <c r="A328" i="10"/>
  <c r="E327" i="10"/>
  <c r="D327" i="10"/>
  <c r="C327" i="10"/>
  <c r="B327" i="10"/>
  <c r="A327" i="10"/>
  <c r="E326" i="10"/>
  <c r="D326" i="10"/>
  <c r="C326" i="10"/>
  <c r="B326" i="10"/>
  <c r="A326" i="10"/>
  <c r="E325" i="10"/>
  <c r="D325" i="10"/>
  <c r="C325" i="10"/>
  <c r="B325" i="10"/>
  <c r="A325" i="10"/>
  <c r="E324" i="10"/>
  <c r="D324" i="10"/>
  <c r="C324" i="10"/>
  <c r="B324" i="10"/>
  <c r="A324" i="10"/>
  <c r="E323" i="10"/>
  <c r="D323" i="10"/>
  <c r="C323" i="10"/>
  <c r="B323" i="10"/>
  <c r="A323" i="10"/>
  <c r="E322" i="10"/>
  <c r="D322" i="10"/>
  <c r="C322" i="10"/>
  <c r="B322" i="10"/>
  <c r="A322" i="10"/>
  <c r="E321" i="10"/>
  <c r="D321" i="10"/>
  <c r="C321" i="10"/>
  <c r="B321" i="10"/>
  <c r="A321" i="10"/>
  <c r="E320" i="10"/>
  <c r="D320" i="10"/>
  <c r="C320" i="10"/>
  <c r="B320" i="10"/>
  <c r="A320" i="10"/>
  <c r="E319" i="10"/>
  <c r="D319" i="10"/>
  <c r="C319" i="10"/>
  <c r="B319" i="10"/>
  <c r="A319" i="10"/>
  <c r="E318" i="10"/>
  <c r="D318" i="10"/>
  <c r="C318" i="10"/>
  <c r="B318" i="10"/>
  <c r="A318" i="10"/>
  <c r="E317" i="10"/>
  <c r="D317" i="10"/>
  <c r="C317" i="10"/>
  <c r="B317" i="10"/>
  <c r="A317" i="10"/>
  <c r="E316" i="10"/>
  <c r="D316" i="10"/>
  <c r="C316" i="10"/>
  <c r="B316" i="10"/>
  <c r="A316" i="10"/>
  <c r="E315" i="10"/>
  <c r="D315" i="10"/>
  <c r="C315" i="10"/>
  <c r="B315" i="10"/>
  <c r="A315" i="10"/>
  <c r="E314" i="10"/>
  <c r="D314" i="10"/>
  <c r="C314" i="10"/>
  <c r="B314" i="10"/>
  <c r="A314" i="10"/>
  <c r="E313" i="10"/>
  <c r="D313" i="10"/>
  <c r="C313" i="10"/>
  <c r="B313" i="10"/>
  <c r="A313" i="10"/>
  <c r="E312" i="10"/>
  <c r="D312" i="10"/>
  <c r="C312" i="10"/>
  <c r="B312" i="10"/>
  <c r="A312" i="10"/>
  <c r="E311" i="10"/>
  <c r="D311" i="10"/>
  <c r="C311" i="10"/>
  <c r="B311" i="10"/>
  <c r="A311" i="10"/>
  <c r="E310" i="10"/>
  <c r="D310" i="10"/>
  <c r="C310" i="10"/>
  <c r="B310" i="10"/>
  <c r="A310" i="10"/>
  <c r="E309" i="10"/>
  <c r="D309" i="10"/>
  <c r="C309" i="10"/>
  <c r="B309" i="10"/>
  <c r="A309" i="10"/>
  <c r="E308" i="10"/>
  <c r="D308" i="10"/>
  <c r="C308" i="10"/>
  <c r="B308" i="10"/>
  <c r="A308" i="10"/>
  <c r="E307" i="10"/>
  <c r="D307" i="10"/>
  <c r="C307" i="10"/>
  <c r="B307" i="10"/>
  <c r="A307" i="10"/>
  <c r="E306" i="10"/>
  <c r="D306" i="10"/>
  <c r="C306" i="10"/>
  <c r="B306" i="10"/>
  <c r="A306" i="10"/>
  <c r="E305" i="10"/>
  <c r="D305" i="10"/>
  <c r="C305" i="10"/>
  <c r="B305" i="10"/>
  <c r="A305" i="10"/>
  <c r="E304" i="10"/>
  <c r="D304" i="10"/>
  <c r="C304" i="10"/>
  <c r="B304" i="10"/>
  <c r="A304" i="10"/>
  <c r="E303" i="10"/>
  <c r="D303" i="10"/>
  <c r="C303" i="10"/>
  <c r="B303" i="10"/>
  <c r="A303" i="10"/>
  <c r="E302" i="10"/>
  <c r="D302" i="10"/>
  <c r="C302" i="10"/>
  <c r="B302" i="10"/>
  <c r="A302" i="10"/>
  <c r="E301" i="10"/>
  <c r="D301" i="10"/>
  <c r="C301" i="10"/>
  <c r="B301" i="10"/>
  <c r="A301" i="10"/>
  <c r="E300" i="10"/>
  <c r="D300" i="10"/>
  <c r="C300" i="10"/>
  <c r="B300" i="10"/>
  <c r="A300" i="10"/>
  <c r="E299" i="10"/>
  <c r="D299" i="10"/>
  <c r="C299" i="10"/>
  <c r="B299" i="10"/>
  <c r="A299" i="10"/>
  <c r="E298" i="10"/>
  <c r="D298" i="10"/>
  <c r="C298" i="10"/>
  <c r="B298" i="10"/>
  <c r="A298" i="10"/>
  <c r="E297" i="10"/>
  <c r="D297" i="10"/>
  <c r="C297" i="10"/>
  <c r="B297" i="10"/>
  <c r="A297" i="10"/>
  <c r="E296" i="10"/>
  <c r="D296" i="10"/>
  <c r="C296" i="10"/>
  <c r="B296" i="10"/>
  <c r="A296" i="10"/>
  <c r="E295" i="10"/>
  <c r="D295" i="10"/>
  <c r="C295" i="10"/>
  <c r="B295" i="10"/>
  <c r="A295" i="10"/>
  <c r="E294" i="10"/>
  <c r="D294" i="10"/>
  <c r="C294" i="10"/>
  <c r="B294" i="10"/>
  <c r="A294" i="10"/>
  <c r="E293" i="10"/>
  <c r="D293" i="10"/>
  <c r="C293" i="10"/>
  <c r="B293" i="10"/>
  <c r="A293" i="10"/>
  <c r="E292" i="10"/>
  <c r="D292" i="10"/>
  <c r="C292" i="10"/>
  <c r="B292" i="10"/>
  <c r="A292" i="10"/>
  <c r="E291" i="10"/>
  <c r="D291" i="10"/>
  <c r="C291" i="10"/>
  <c r="B291" i="10"/>
  <c r="A291" i="10"/>
  <c r="E290" i="10"/>
  <c r="D290" i="10"/>
  <c r="C290" i="10"/>
  <c r="B290" i="10"/>
  <c r="A290" i="10"/>
  <c r="E289" i="10"/>
  <c r="D289" i="10"/>
  <c r="C289" i="10"/>
  <c r="B289" i="10"/>
  <c r="A289" i="10"/>
  <c r="E288" i="10"/>
  <c r="D288" i="10"/>
  <c r="C288" i="10"/>
  <c r="B288" i="10"/>
  <c r="A288" i="10"/>
  <c r="E287" i="10"/>
  <c r="D287" i="10"/>
  <c r="C287" i="10"/>
  <c r="B287" i="10"/>
  <c r="A287" i="10"/>
  <c r="E286" i="10"/>
  <c r="D286" i="10"/>
  <c r="C286" i="10"/>
  <c r="B286" i="10"/>
  <c r="A286" i="10"/>
  <c r="E285" i="10"/>
  <c r="D285" i="10"/>
  <c r="C285" i="10"/>
  <c r="B285" i="10"/>
  <c r="A285" i="10"/>
  <c r="E284" i="10"/>
  <c r="D284" i="10"/>
  <c r="C284" i="10"/>
  <c r="B284" i="10"/>
  <c r="A284" i="10"/>
  <c r="E283" i="10"/>
  <c r="D283" i="10"/>
  <c r="C283" i="10"/>
  <c r="B283" i="10"/>
  <c r="A283" i="10"/>
  <c r="E282" i="10"/>
  <c r="D282" i="10"/>
  <c r="C282" i="10"/>
  <c r="B282" i="10"/>
  <c r="A282" i="10"/>
  <c r="E281" i="10"/>
  <c r="D281" i="10"/>
  <c r="C281" i="10"/>
  <c r="B281" i="10"/>
  <c r="A281" i="10"/>
  <c r="E280" i="10"/>
  <c r="D280" i="10"/>
  <c r="C280" i="10"/>
  <c r="B280" i="10"/>
  <c r="A280" i="10"/>
  <c r="E279" i="10"/>
  <c r="D279" i="10"/>
  <c r="C279" i="10"/>
  <c r="B279" i="10"/>
  <c r="A279" i="10"/>
  <c r="E278" i="10"/>
  <c r="D278" i="10"/>
  <c r="C278" i="10"/>
  <c r="B278" i="10"/>
  <c r="A278" i="10"/>
  <c r="E277" i="10"/>
  <c r="D277" i="10"/>
  <c r="C277" i="10"/>
  <c r="B277" i="10"/>
  <c r="A277" i="10"/>
  <c r="E276" i="10"/>
  <c r="D276" i="10"/>
  <c r="C276" i="10"/>
  <c r="B276" i="10"/>
  <c r="A276" i="10"/>
  <c r="E275" i="10"/>
  <c r="D275" i="10"/>
  <c r="C275" i="10"/>
  <c r="B275" i="10"/>
  <c r="A275" i="10"/>
  <c r="E274" i="10"/>
  <c r="D274" i="10"/>
  <c r="C274" i="10"/>
  <c r="B274" i="10"/>
  <c r="A274" i="10"/>
  <c r="E273" i="10"/>
  <c r="D273" i="10"/>
  <c r="C273" i="10"/>
  <c r="B273" i="10"/>
  <c r="A273" i="10"/>
  <c r="E272" i="10"/>
  <c r="D272" i="10"/>
  <c r="C272" i="10"/>
  <c r="B272" i="10"/>
  <c r="A272" i="10"/>
  <c r="E271" i="10"/>
  <c r="D271" i="10"/>
  <c r="C271" i="10"/>
  <c r="B271" i="10"/>
  <c r="A271" i="10"/>
  <c r="E270" i="10"/>
  <c r="D270" i="10"/>
  <c r="C270" i="10"/>
  <c r="B270" i="10"/>
  <c r="A270" i="10"/>
  <c r="E269" i="10"/>
  <c r="D269" i="10"/>
  <c r="C269" i="10"/>
  <c r="B269" i="10"/>
  <c r="A269" i="10"/>
  <c r="E268" i="10"/>
  <c r="D268" i="10"/>
  <c r="C268" i="10"/>
  <c r="B268" i="10"/>
  <c r="A268" i="10"/>
  <c r="E267" i="10"/>
  <c r="D267" i="10"/>
  <c r="C267" i="10"/>
  <c r="B267" i="10"/>
  <c r="A267" i="10"/>
  <c r="E266" i="10"/>
  <c r="D266" i="10"/>
  <c r="C266" i="10"/>
  <c r="B266" i="10"/>
  <c r="A266" i="10"/>
  <c r="E265" i="10"/>
  <c r="D265" i="10"/>
  <c r="C265" i="10"/>
  <c r="B265" i="10"/>
  <c r="A265" i="10"/>
  <c r="E264" i="10"/>
  <c r="D264" i="10"/>
  <c r="C264" i="10"/>
  <c r="B264" i="10"/>
  <c r="A264" i="10"/>
  <c r="E263" i="10"/>
  <c r="D263" i="10"/>
  <c r="C263" i="10"/>
  <c r="B263" i="10"/>
  <c r="A263" i="10"/>
  <c r="E262" i="10"/>
  <c r="D262" i="10"/>
  <c r="C262" i="10"/>
  <c r="B262" i="10"/>
  <c r="A262" i="10"/>
  <c r="E261" i="10"/>
  <c r="D261" i="10"/>
  <c r="C261" i="10"/>
  <c r="B261" i="10"/>
  <c r="A261" i="10"/>
  <c r="E260" i="10"/>
  <c r="D260" i="10"/>
  <c r="C260" i="10"/>
  <c r="B260" i="10"/>
  <c r="A260" i="10"/>
  <c r="E259" i="10"/>
  <c r="D259" i="10"/>
  <c r="C259" i="10"/>
  <c r="B259" i="10"/>
  <c r="A259" i="10"/>
  <c r="E258" i="10"/>
  <c r="D258" i="10"/>
  <c r="C258" i="10"/>
  <c r="B258" i="10"/>
  <c r="A258" i="10"/>
  <c r="E257" i="10"/>
  <c r="D257" i="10"/>
  <c r="C257" i="10"/>
  <c r="B257" i="10"/>
  <c r="A257" i="10"/>
  <c r="E256" i="10"/>
  <c r="D256" i="10"/>
  <c r="C256" i="10"/>
  <c r="B256" i="10"/>
  <c r="A256" i="10"/>
  <c r="E255" i="10"/>
  <c r="D255" i="10"/>
  <c r="C255" i="10"/>
  <c r="B255" i="10"/>
  <c r="A255" i="10"/>
  <c r="E254" i="10"/>
  <c r="D254" i="10"/>
  <c r="C254" i="10"/>
  <c r="B254" i="10"/>
  <c r="A254" i="10"/>
  <c r="E253" i="10"/>
  <c r="D253" i="10"/>
  <c r="C253" i="10"/>
  <c r="B253" i="10"/>
  <c r="A253" i="10"/>
  <c r="E252" i="10"/>
  <c r="D252" i="10"/>
  <c r="C252" i="10"/>
  <c r="B252" i="10"/>
  <c r="A252" i="10"/>
  <c r="E251" i="10"/>
  <c r="D251" i="10"/>
  <c r="C251" i="10"/>
  <c r="B251" i="10"/>
  <c r="A251" i="10"/>
  <c r="E250" i="10"/>
  <c r="D250" i="10"/>
  <c r="C250" i="10"/>
  <c r="B250" i="10"/>
  <c r="A250" i="10"/>
  <c r="E249" i="10"/>
  <c r="D249" i="10"/>
  <c r="C249" i="10"/>
  <c r="B249" i="10"/>
  <c r="A249" i="10"/>
  <c r="E248" i="10"/>
  <c r="D248" i="10"/>
  <c r="C248" i="10"/>
  <c r="B248" i="10"/>
  <c r="A248" i="10"/>
  <c r="E247" i="10"/>
  <c r="D247" i="10"/>
  <c r="C247" i="10"/>
  <c r="B247" i="10"/>
  <c r="A247" i="10"/>
  <c r="E246" i="10"/>
  <c r="D246" i="10"/>
  <c r="C246" i="10"/>
  <c r="B246" i="10"/>
  <c r="A246" i="10"/>
  <c r="E245" i="10"/>
  <c r="D245" i="10"/>
  <c r="C245" i="10"/>
  <c r="B245" i="10"/>
  <c r="A245" i="10"/>
  <c r="E244" i="10"/>
  <c r="D244" i="10"/>
  <c r="C244" i="10"/>
  <c r="B244" i="10"/>
  <c r="A244" i="10"/>
  <c r="E243" i="10"/>
  <c r="D243" i="10"/>
  <c r="C243" i="10"/>
  <c r="B243" i="10"/>
  <c r="A243" i="10"/>
  <c r="E242" i="10"/>
  <c r="D242" i="10"/>
  <c r="C242" i="10"/>
  <c r="B242" i="10"/>
  <c r="A242" i="10"/>
  <c r="E241" i="10"/>
  <c r="D241" i="10"/>
  <c r="C241" i="10"/>
  <c r="B241" i="10"/>
  <c r="A241" i="10"/>
  <c r="E240" i="10"/>
  <c r="D240" i="10"/>
  <c r="C240" i="10"/>
  <c r="B240" i="10"/>
  <c r="A240" i="10"/>
  <c r="E239" i="10"/>
  <c r="D239" i="10"/>
  <c r="C239" i="10"/>
  <c r="B239" i="10"/>
  <c r="A239" i="10"/>
  <c r="E238" i="10"/>
  <c r="D238" i="10"/>
  <c r="C238" i="10"/>
  <c r="B238" i="10"/>
  <c r="A238" i="10"/>
  <c r="E237" i="10"/>
  <c r="D237" i="10"/>
  <c r="C237" i="10"/>
  <c r="B237" i="10"/>
  <c r="A237" i="10"/>
  <c r="E236" i="10"/>
  <c r="D236" i="10"/>
  <c r="C236" i="10"/>
  <c r="B236" i="10"/>
  <c r="A236" i="10"/>
  <c r="E235" i="10"/>
  <c r="D235" i="10"/>
  <c r="C235" i="10"/>
  <c r="B235" i="10"/>
  <c r="A235" i="10"/>
  <c r="E234" i="10"/>
  <c r="D234" i="10"/>
  <c r="C234" i="10"/>
  <c r="B234" i="10"/>
  <c r="A234" i="10"/>
  <c r="E233" i="10"/>
  <c r="D233" i="10"/>
  <c r="C233" i="10"/>
  <c r="B233" i="10"/>
  <c r="A233" i="10"/>
  <c r="E232" i="10"/>
  <c r="D232" i="10"/>
  <c r="C232" i="10"/>
  <c r="B232" i="10"/>
  <c r="A232" i="10"/>
  <c r="E231" i="10"/>
  <c r="D231" i="10"/>
  <c r="C231" i="10"/>
  <c r="B231" i="10"/>
  <c r="A231" i="10"/>
  <c r="E230" i="10"/>
  <c r="D230" i="10"/>
  <c r="C230" i="10"/>
  <c r="B230" i="10"/>
  <c r="A230" i="10"/>
  <c r="E229" i="10"/>
  <c r="D229" i="10"/>
  <c r="C229" i="10"/>
  <c r="B229" i="10"/>
  <c r="A229" i="10"/>
  <c r="E228" i="10"/>
  <c r="D228" i="10"/>
  <c r="C228" i="10"/>
  <c r="B228" i="10"/>
  <c r="A228" i="10"/>
  <c r="E227" i="10"/>
  <c r="D227" i="10"/>
  <c r="C227" i="10"/>
  <c r="B227" i="10"/>
  <c r="A227" i="10"/>
  <c r="E226" i="10"/>
  <c r="D226" i="10"/>
  <c r="C226" i="10"/>
  <c r="B226" i="10"/>
  <c r="A226" i="10"/>
  <c r="E225" i="10"/>
  <c r="D225" i="10"/>
  <c r="C225" i="10"/>
  <c r="B225" i="10"/>
  <c r="A225" i="10"/>
  <c r="E224" i="10"/>
  <c r="D224" i="10"/>
  <c r="C224" i="10"/>
  <c r="B224" i="10"/>
  <c r="A224" i="10"/>
  <c r="E223" i="10"/>
  <c r="D223" i="10"/>
  <c r="C223" i="10"/>
  <c r="B223" i="10"/>
  <c r="A223" i="10"/>
  <c r="E222" i="10"/>
  <c r="D222" i="10"/>
  <c r="C222" i="10"/>
  <c r="B222" i="10"/>
  <c r="A222" i="10"/>
  <c r="E221" i="10"/>
  <c r="D221" i="10"/>
  <c r="C221" i="10"/>
  <c r="B221" i="10"/>
  <c r="A221" i="10"/>
  <c r="E220" i="10"/>
  <c r="D220" i="10"/>
  <c r="C220" i="10"/>
  <c r="B220" i="10"/>
  <c r="A220" i="10"/>
  <c r="E219" i="10"/>
  <c r="D219" i="10"/>
  <c r="C219" i="10"/>
  <c r="B219" i="10"/>
  <c r="A219" i="10"/>
  <c r="E218" i="10"/>
  <c r="D218" i="10"/>
  <c r="C218" i="10"/>
  <c r="B218" i="10"/>
  <c r="A218" i="10"/>
  <c r="E217" i="10"/>
  <c r="D217" i="10"/>
  <c r="C217" i="10"/>
  <c r="B217" i="10"/>
  <c r="A217" i="10"/>
  <c r="E216" i="10"/>
  <c r="D216" i="10"/>
  <c r="C216" i="10"/>
  <c r="B216" i="10"/>
  <c r="A216" i="10"/>
  <c r="E215" i="10"/>
  <c r="D215" i="10"/>
  <c r="C215" i="10"/>
  <c r="B215" i="10"/>
  <c r="A215" i="10"/>
  <c r="E214" i="10"/>
  <c r="D214" i="10"/>
  <c r="C214" i="10"/>
  <c r="B214" i="10"/>
  <c r="A214" i="10"/>
  <c r="E213" i="10"/>
  <c r="D213" i="10"/>
  <c r="C213" i="10"/>
  <c r="B213" i="10"/>
  <c r="A213" i="10"/>
  <c r="E212" i="10"/>
  <c r="D212" i="10"/>
  <c r="C212" i="10"/>
  <c r="B212" i="10"/>
  <c r="A212" i="10"/>
  <c r="E211" i="10"/>
  <c r="D211" i="10"/>
  <c r="C211" i="10"/>
  <c r="B211" i="10"/>
  <c r="A211" i="10"/>
  <c r="E210" i="10"/>
  <c r="D210" i="10"/>
  <c r="C210" i="10"/>
  <c r="B210" i="10"/>
  <c r="A210" i="10"/>
  <c r="E209" i="10"/>
  <c r="D209" i="10"/>
  <c r="C209" i="10"/>
  <c r="B209" i="10"/>
  <c r="A209" i="10"/>
  <c r="E208" i="10"/>
  <c r="D208" i="10"/>
  <c r="C208" i="10"/>
  <c r="B208" i="10"/>
  <c r="A208" i="10"/>
  <c r="E207" i="10"/>
  <c r="D207" i="10"/>
  <c r="C207" i="10"/>
  <c r="B207" i="10"/>
  <c r="A207" i="10"/>
  <c r="E206" i="10"/>
  <c r="D206" i="10"/>
  <c r="C206" i="10"/>
  <c r="B206" i="10"/>
  <c r="A206" i="10"/>
  <c r="E205" i="10"/>
  <c r="D205" i="10"/>
  <c r="C205" i="10"/>
  <c r="B205" i="10"/>
  <c r="A205" i="10"/>
  <c r="E204" i="10"/>
  <c r="D204" i="10"/>
  <c r="C204" i="10"/>
  <c r="B204" i="10"/>
  <c r="A204" i="10"/>
  <c r="E203" i="10"/>
  <c r="D203" i="10"/>
  <c r="C203" i="10"/>
  <c r="B203" i="10"/>
  <c r="A203" i="10"/>
  <c r="E202" i="10"/>
  <c r="D202" i="10"/>
  <c r="C202" i="10"/>
  <c r="B202" i="10"/>
  <c r="A202" i="10"/>
  <c r="E201" i="10"/>
  <c r="D201" i="10"/>
  <c r="C201" i="10"/>
  <c r="B201" i="10"/>
  <c r="A201" i="10"/>
  <c r="E200" i="10"/>
  <c r="D200" i="10"/>
  <c r="C200" i="10"/>
  <c r="B200" i="10"/>
  <c r="A200" i="10"/>
  <c r="E199" i="10"/>
  <c r="D199" i="10"/>
  <c r="C199" i="10"/>
  <c r="B199" i="10"/>
  <c r="A199" i="10"/>
  <c r="E198" i="10"/>
  <c r="D198" i="10"/>
  <c r="C198" i="10"/>
  <c r="B198" i="10"/>
  <c r="A198" i="10"/>
  <c r="E197" i="10"/>
  <c r="D197" i="10"/>
  <c r="C197" i="10"/>
  <c r="B197" i="10"/>
  <c r="A197" i="10"/>
  <c r="E196" i="10"/>
  <c r="D196" i="10"/>
  <c r="C196" i="10"/>
  <c r="B196" i="10"/>
  <c r="A196" i="10"/>
  <c r="E195" i="10"/>
  <c r="D195" i="10"/>
  <c r="C195" i="10"/>
  <c r="B195" i="10"/>
  <c r="A195" i="10"/>
  <c r="E194" i="10"/>
  <c r="D194" i="10"/>
  <c r="C194" i="10"/>
  <c r="B194" i="10"/>
  <c r="A194" i="10"/>
  <c r="E193" i="10"/>
  <c r="D193" i="10"/>
  <c r="C193" i="10"/>
  <c r="B193" i="10"/>
  <c r="A193" i="10"/>
  <c r="E192" i="10"/>
  <c r="D192" i="10"/>
  <c r="C192" i="10"/>
  <c r="B192" i="10"/>
  <c r="A192" i="10"/>
  <c r="E191" i="10"/>
  <c r="D191" i="10"/>
  <c r="C191" i="10"/>
  <c r="B191" i="10"/>
  <c r="A191" i="10"/>
  <c r="E190" i="10"/>
  <c r="D190" i="10"/>
  <c r="C190" i="10"/>
  <c r="B190" i="10"/>
  <c r="A190" i="10"/>
  <c r="E189" i="10"/>
  <c r="D189" i="10"/>
  <c r="C189" i="10"/>
  <c r="B189" i="10"/>
  <c r="A189" i="10"/>
  <c r="E188" i="10"/>
  <c r="D188" i="10"/>
  <c r="C188" i="10"/>
  <c r="B188" i="10"/>
  <c r="A188" i="10"/>
  <c r="E187" i="10"/>
  <c r="D187" i="10"/>
  <c r="C187" i="10"/>
  <c r="B187" i="10"/>
  <c r="A187" i="10"/>
  <c r="E186" i="10"/>
  <c r="D186" i="10"/>
  <c r="C186" i="10"/>
  <c r="B186" i="10"/>
  <c r="A186" i="10"/>
  <c r="E185" i="10"/>
  <c r="D185" i="10"/>
  <c r="C185" i="10"/>
  <c r="B185" i="10"/>
  <c r="A185" i="10"/>
  <c r="E184" i="10"/>
  <c r="D184" i="10"/>
  <c r="C184" i="10"/>
  <c r="B184" i="10"/>
  <c r="A184" i="10"/>
  <c r="E183" i="10"/>
  <c r="D183" i="10"/>
  <c r="C183" i="10"/>
  <c r="B183" i="10"/>
  <c r="A183" i="10"/>
  <c r="E182" i="10"/>
  <c r="D182" i="10"/>
  <c r="C182" i="10"/>
  <c r="B182" i="10"/>
  <c r="A182" i="10"/>
  <c r="E181" i="10"/>
  <c r="D181" i="10"/>
  <c r="C181" i="10"/>
  <c r="B181" i="10"/>
  <c r="A181" i="10"/>
  <c r="E180" i="10"/>
  <c r="D180" i="10"/>
  <c r="C180" i="10"/>
  <c r="B180" i="10"/>
  <c r="A180" i="10"/>
  <c r="E179" i="10"/>
  <c r="D179" i="10"/>
  <c r="C179" i="10"/>
  <c r="B179" i="10"/>
  <c r="A179" i="10"/>
  <c r="E178" i="10"/>
  <c r="D178" i="10"/>
  <c r="C178" i="10"/>
  <c r="B178" i="10"/>
  <c r="A178" i="10"/>
  <c r="E177" i="10"/>
  <c r="D177" i="10"/>
  <c r="C177" i="10"/>
  <c r="B177" i="10"/>
  <c r="A177" i="10"/>
  <c r="E176" i="10"/>
  <c r="D176" i="10"/>
  <c r="C176" i="10"/>
  <c r="B176" i="10"/>
  <c r="A176" i="10"/>
  <c r="E175" i="10"/>
  <c r="D175" i="10"/>
  <c r="C175" i="10"/>
  <c r="B175" i="10"/>
  <c r="A175" i="10"/>
  <c r="E174" i="10"/>
  <c r="D174" i="10"/>
  <c r="C174" i="10"/>
  <c r="B174" i="10"/>
  <c r="A174" i="10"/>
  <c r="E173" i="10"/>
  <c r="D173" i="10"/>
  <c r="C173" i="10"/>
  <c r="B173" i="10"/>
  <c r="A173" i="10"/>
  <c r="E172" i="10"/>
  <c r="D172" i="10"/>
  <c r="C172" i="10"/>
  <c r="B172" i="10"/>
  <c r="A172" i="10"/>
  <c r="E171" i="10"/>
  <c r="D171" i="10"/>
  <c r="C171" i="10"/>
  <c r="B171" i="10"/>
  <c r="A171" i="10"/>
  <c r="E170" i="10"/>
  <c r="D170" i="10"/>
  <c r="C170" i="10"/>
  <c r="B170" i="10"/>
  <c r="A170" i="10"/>
  <c r="E169" i="10"/>
  <c r="D169" i="10"/>
  <c r="C169" i="10"/>
  <c r="B169" i="10"/>
  <c r="A169" i="10"/>
  <c r="E168" i="10"/>
  <c r="D168" i="10"/>
  <c r="C168" i="10"/>
  <c r="B168" i="10"/>
  <c r="A168" i="10"/>
  <c r="E167" i="10"/>
  <c r="D167" i="10"/>
  <c r="C167" i="10"/>
  <c r="B167" i="10"/>
  <c r="A167" i="10"/>
  <c r="E166" i="10"/>
  <c r="D166" i="10"/>
  <c r="C166" i="10"/>
  <c r="B166" i="10"/>
  <c r="A166" i="10"/>
  <c r="E165" i="10"/>
  <c r="D165" i="10"/>
  <c r="C165" i="10"/>
  <c r="B165" i="10"/>
  <c r="A165" i="10"/>
  <c r="E164" i="10"/>
  <c r="D164" i="10"/>
  <c r="C164" i="10"/>
  <c r="B164" i="10"/>
  <c r="A164" i="10"/>
  <c r="E163" i="10"/>
  <c r="D163" i="10"/>
  <c r="C163" i="10"/>
  <c r="B163" i="10"/>
  <c r="A163" i="10"/>
  <c r="E162" i="10"/>
  <c r="D162" i="10"/>
  <c r="C162" i="10"/>
  <c r="B162" i="10"/>
  <c r="A162" i="10"/>
  <c r="E161" i="10"/>
  <c r="D161" i="10"/>
  <c r="C161" i="10"/>
  <c r="B161" i="10"/>
  <c r="A161" i="10"/>
  <c r="E160" i="10"/>
  <c r="D160" i="10"/>
  <c r="C160" i="10"/>
  <c r="B160" i="10"/>
  <c r="A160" i="10"/>
  <c r="E159" i="10"/>
  <c r="D159" i="10"/>
  <c r="C159" i="10"/>
  <c r="B159" i="10"/>
  <c r="A159" i="10"/>
  <c r="E158" i="10"/>
  <c r="D158" i="10"/>
  <c r="C158" i="10"/>
  <c r="B158" i="10"/>
  <c r="A158" i="10"/>
  <c r="E157" i="10"/>
  <c r="D157" i="10"/>
  <c r="C157" i="10"/>
  <c r="B157" i="10"/>
  <c r="A157" i="10"/>
  <c r="E156" i="10"/>
  <c r="D156" i="10"/>
  <c r="C156" i="10"/>
  <c r="B156" i="10"/>
  <c r="A156" i="10"/>
  <c r="E155" i="10"/>
  <c r="D155" i="10"/>
  <c r="C155" i="10"/>
  <c r="B155" i="10"/>
  <c r="A155" i="10"/>
  <c r="E154" i="10"/>
  <c r="D154" i="10"/>
  <c r="C154" i="10"/>
  <c r="B154" i="10"/>
  <c r="A154" i="10"/>
  <c r="E153" i="10"/>
  <c r="D153" i="10"/>
  <c r="C153" i="10"/>
  <c r="B153" i="10"/>
  <c r="A153" i="10"/>
  <c r="E152" i="10"/>
  <c r="D152" i="10"/>
  <c r="C152" i="10"/>
  <c r="B152" i="10"/>
  <c r="A152" i="10"/>
  <c r="E151" i="10"/>
  <c r="D151" i="10"/>
  <c r="C151" i="10"/>
  <c r="B151" i="10"/>
  <c r="A151" i="10"/>
  <c r="E150" i="10"/>
  <c r="D150" i="10"/>
  <c r="C150" i="10"/>
  <c r="B150" i="10"/>
  <c r="A150" i="10"/>
  <c r="E149" i="10"/>
  <c r="D149" i="10"/>
  <c r="C149" i="10"/>
  <c r="B149" i="10"/>
  <c r="A149" i="10"/>
  <c r="E148" i="10"/>
  <c r="D148" i="10"/>
  <c r="C148" i="10"/>
  <c r="B148" i="10"/>
  <c r="A148" i="10"/>
  <c r="E147" i="10"/>
  <c r="D147" i="10"/>
  <c r="C147" i="10"/>
  <c r="B147" i="10"/>
  <c r="A147" i="10"/>
  <c r="E146" i="10"/>
  <c r="D146" i="10"/>
  <c r="C146" i="10"/>
  <c r="B146" i="10"/>
  <c r="A146" i="10"/>
  <c r="E145" i="10"/>
  <c r="D145" i="10"/>
  <c r="C145" i="10"/>
  <c r="B145" i="10"/>
  <c r="A145" i="10"/>
  <c r="E144" i="10"/>
  <c r="D144" i="10"/>
  <c r="C144" i="10"/>
  <c r="B144" i="10"/>
  <c r="A144" i="10"/>
  <c r="E143" i="10"/>
  <c r="D143" i="10"/>
  <c r="C143" i="10"/>
  <c r="B143" i="10"/>
  <c r="A143" i="10"/>
  <c r="E142" i="10"/>
  <c r="D142" i="10"/>
  <c r="C142" i="10"/>
  <c r="B142" i="10"/>
  <c r="A142" i="10"/>
  <c r="E141" i="10"/>
  <c r="D141" i="10"/>
  <c r="C141" i="10"/>
  <c r="B141" i="10"/>
  <c r="A141" i="10"/>
  <c r="E140" i="10"/>
  <c r="D140" i="10"/>
  <c r="C140" i="10"/>
  <c r="B140" i="10"/>
  <c r="A140" i="10"/>
  <c r="E139" i="10"/>
  <c r="D139" i="10"/>
  <c r="C139" i="10"/>
  <c r="B139" i="10"/>
  <c r="A139" i="10"/>
  <c r="E138" i="10"/>
  <c r="D138" i="10"/>
  <c r="C138" i="10"/>
  <c r="B138" i="10"/>
  <c r="A138" i="10"/>
  <c r="E137" i="10"/>
  <c r="D137" i="10"/>
  <c r="C137" i="10"/>
  <c r="B137" i="10"/>
  <c r="A137" i="10"/>
  <c r="E136" i="10"/>
  <c r="D136" i="10"/>
  <c r="C136" i="10"/>
  <c r="B136" i="10"/>
  <c r="A136" i="10"/>
  <c r="E135" i="10"/>
  <c r="D135" i="10"/>
  <c r="C135" i="10"/>
  <c r="B135" i="10"/>
  <c r="A135" i="10"/>
  <c r="E134" i="10"/>
  <c r="D134" i="10"/>
  <c r="C134" i="10"/>
  <c r="B134" i="10"/>
  <c r="A134" i="10"/>
  <c r="E133" i="10"/>
  <c r="D133" i="10"/>
  <c r="C133" i="10"/>
  <c r="B133" i="10"/>
  <c r="A133" i="10"/>
  <c r="E132" i="10"/>
  <c r="D132" i="10"/>
  <c r="C132" i="10"/>
  <c r="B132" i="10"/>
  <c r="A132" i="10"/>
  <c r="E131" i="10"/>
  <c r="D131" i="10"/>
  <c r="C131" i="10"/>
  <c r="B131" i="10"/>
  <c r="A131" i="10"/>
  <c r="E130" i="10"/>
  <c r="D130" i="10"/>
  <c r="C130" i="10"/>
  <c r="B130" i="10"/>
  <c r="A130" i="10"/>
  <c r="E129" i="10"/>
  <c r="D129" i="10"/>
  <c r="C129" i="10"/>
  <c r="B129" i="10"/>
  <c r="A129" i="10"/>
  <c r="E128" i="10"/>
  <c r="D128" i="10"/>
  <c r="C128" i="10"/>
  <c r="B128" i="10"/>
  <c r="A128" i="10"/>
  <c r="E127" i="10"/>
  <c r="D127" i="10"/>
  <c r="C127" i="10"/>
  <c r="B127" i="10"/>
  <c r="A127" i="10"/>
  <c r="E126" i="10"/>
  <c r="D126" i="10"/>
  <c r="C126" i="10"/>
  <c r="B126" i="10"/>
  <c r="A126" i="10"/>
  <c r="E125" i="10"/>
  <c r="D125" i="10"/>
  <c r="C125" i="10"/>
  <c r="B125" i="10"/>
  <c r="A125" i="10"/>
  <c r="E124" i="10"/>
  <c r="D124" i="10"/>
  <c r="C124" i="10"/>
  <c r="B124" i="10"/>
  <c r="A124" i="10"/>
  <c r="E123" i="10"/>
  <c r="D123" i="10"/>
  <c r="C123" i="10"/>
  <c r="B123" i="10"/>
  <c r="A123" i="10"/>
  <c r="E122" i="10"/>
  <c r="D122" i="10"/>
  <c r="C122" i="10"/>
  <c r="B122" i="10"/>
  <c r="A122" i="10"/>
  <c r="E121" i="10"/>
  <c r="D121" i="10"/>
  <c r="C121" i="10"/>
  <c r="B121" i="10"/>
  <c r="A121" i="10"/>
  <c r="E120" i="10"/>
  <c r="D120" i="10"/>
  <c r="C120" i="10"/>
  <c r="B120" i="10"/>
  <c r="A120" i="10"/>
  <c r="E119" i="10"/>
  <c r="D119" i="10"/>
  <c r="C119" i="10"/>
  <c r="B119" i="10"/>
  <c r="A119" i="10"/>
  <c r="E118" i="10"/>
  <c r="D118" i="10"/>
  <c r="C118" i="10"/>
  <c r="B118" i="10"/>
  <c r="A118" i="10"/>
  <c r="E117" i="10"/>
  <c r="D117" i="10"/>
  <c r="C117" i="10"/>
  <c r="B117" i="10"/>
  <c r="A117" i="10"/>
  <c r="E116" i="10"/>
  <c r="D116" i="10"/>
  <c r="C116" i="10"/>
  <c r="B116" i="10"/>
  <c r="A116" i="10"/>
  <c r="E115" i="10"/>
  <c r="D115" i="10"/>
  <c r="C115" i="10"/>
  <c r="B115" i="10"/>
  <c r="A115" i="10"/>
  <c r="E114" i="10"/>
  <c r="D114" i="10"/>
  <c r="C114" i="10"/>
  <c r="B114" i="10"/>
  <c r="A114" i="10"/>
  <c r="E113" i="10"/>
  <c r="D113" i="10"/>
  <c r="C113" i="10"/>
  <c r="B113" i="10"/>
  <c r="A113" i="10"/>
  <c r="E112" i="10"/>
  <c r="D112" i="10"/>
  <c r="C112" i="10"/>
  <c r="B112" i="10"/>
  <c r="A112" i="10"/>
  <c r="E111" i="10"/>
  <c r="D111" i="10"/>
  <c r="C111" i="10"/>
  <c r="B111" i="10"/>
  <c r="A111" i="10"/>
  <c r="E110" i="10"/>
  <c r="D110" i="10"/>
  <c r="C110" i="10"/>
  <c r="B110" i="10"/>
  <c r="A110" i="10"/>
  <c r="E109" i="10"/>
  <c r="D109" i="10"/>
  <c r="C109" i="10"/>
  <c r="B109" i="10"/>
  <c r="A109" i="10"/>
  <c r="E108" i="10"/>
  <c r="D108" i="10"/>
  <c r="C108" i="10"/>
  <c r="B108" i="10"/>
  <c r="A108" i="10"/>
  <c r="E107" i="10"/>
  <c r="D107" i="10"/>
  <c r="C107" i="10"/>
  <c r="B107" i="10"/>
  <c r="A107" i="10"/>
  <c r="E106" i="10"/>
  <c r="D106" i="10"/>
  <c r="C106" i="10"/>
  <c r="B106" i="10"/>
  <c r="A106" i="10"/>
  <c r="E105" i="10"/>
  <c r="D105" i="10"/>
  <c r="C105" i="10"/>
  <c r="B105" i="10"/>
  <c r="A105" i="10"/>
  <c r="E104" i="10"/>
  <c r="D104" i="10"/>
  <c r="C104" i="10"/>
  <c r="B104" i="10"/>
  <c r="A104" i="10"/>
  <c r="E103" i="10"/>
  <c r="D103" i="10"/>
  <c r="C103" i="10"/>
  <c r="B103" i="10"/>
  <c r="A103" i="10"/>
  <c r="E102" i="10"/>
  <c r="D102" i="10"/>
  <c r="C102" i="10"/>
  <c r="B102" i="10"/>
  <c r="A102" i="10"/>
  <c r="E101" i="10"/>
  <c r="D101" i="10"/>
  <c r="C101" i="10"/>
  <c r="B101" i="10"/>
  <c r="A101" i="10"/>
  <c r="E100" i="10"/>
  <c r="D100" i="10"/>
  <c r="C100" i="10"/>
  <c r="B100" i="10"/>
  <c r="A100" i="10"/>
  <c r="E99" i="10"/>
  <c r="D99" i="10"/>
  <c r="C99" i="10"/>
  <c r="B99" i="10"/>
  <c r="A99" i="10"/>
  <c r="E98" i="10"/>
  <c r="D98" i="10"/>
  <c r="C98" i="10"/>
  <c r="B98" i="10"/>
  <c r="A98" i="10"/>
  <c r="E97" i="10"/>
  <c r="D97" i="10"/>
  <c r="C97" i="10"/>
  <c r="B97" i="10"/>
  <c r="A97" i="10"/>
  <c r="E96" i="10"/>
  <c r="D96" i="10"/>
  <c r="C96" i="10"/>
  <c r="B96" i="10"/>
  <c r="A96" i="10"/>
  <c r="E95" i="10"/>
  <c r="D95" i="10"/>
  <c r="C95" i="10"/>
  <c r="B95" i="10"/>
  <c r="A95" i="10"/>
  <c r="E94" i="10"/>
  <c r="D94" i="10"/>
  <c r="C94" i="10"/>
  <c r="B94" i="10"/>
  <c r="A94" i="10"/>
  <c r="E93" i="10"/>
  <c r="D93" i="10"/>
  <c r="C93" i="10"/>
  <c r="B93" i="10"/>
  <c r="A93" i="10"/>
  <c r="E92" i="10"/>
  <c r="D92" i="10"/>
  <c r="C92" i="10"/>
  <c r="B92" i="10"/>
  <c r="A92" i="10"/>
  <c r="E91" i="10"/>
  <c r="D91" i="10"/>
  <c r="C91" i="10"/>
  <c r="B91" i="10"/>
  <c r="A91" i="10"/>
  <c r="E90" i="10"/>
  <c r="D90" i="10"/>
  <c r="C90" i="10"/>
  <c r="B90" i="10"/>
  <c r="A90" i="10"/>
  <c r="E89" i="10"/>
  <c r="D89" i="10"/>
  <c r="C89" i="10"/>
  <c r="B89" i="10"/>
  <c r="A89" i="10"/>
  <c r="E88" i="10"/>
  <c r="D88" i="10"/>
  <c r="C88" i="10"/>
  <c r="B88" i="10"/>
  <c r="A88" i="10"/>
  <c r="E87" i="10"/>
  <c r="D87" i="10"/>
  <c r="C87" i="10"/>
  <c r="B87" i="10"/>
  <c r="A87" i="10"/>
  <c r="E86" i="10"/>
  <c r="D86" i="10"/>
  <c r="C86" i="10"/>
  <c r="B86" i="10"/>
  <c r="A86" i="10"/>
  <c r="E85" i="10"/>
  <c r="D85" i="10"/>
  <c r="C85" i="10"/>
  <c r="B85" i="10"/>
  <c r="A85" i="10"/>
  <c r="E84" i="10"/>
  <c r="D84" i="10"/>
  <c r="C84" i="10"/>
  <c r="B84" i="10"/>
  <c r="A84" i="10"/>
  <c r="E83" i="10"/>
  <c r="D83" i="10"/>
  <c r="C83" i="10"/>
  <c r="B83" i="10"/>
  <c r="A83" i="10"/>
  <c r="E82" i="10"/>
  <c r="D82" i="10"/>
  <c r="C82" i="10"/>
  <c r="B82" i="10"/>
  <c r="A82" i="10"/>
  <c r="E81" i="10"/>
  <c r="D81" i="10"/>
  <c r="C81" i="10"/>
  <c r="B81" i="10"/>
  <c r="A81" i="10"/>
  <c r="E80" i="10"/>
  <c r="D80" i="10"/>
  <c r="C80" i="10"/>
  <c r="B80" i="10"/>
  <c r="A80" i="10"/>
  <c r="E79" i="10"/>
  <c r="D79" i="10"/>
  <c r="C79" i="10"/>
  <c r="B79" i="10"/>
  <c r="A79" i="10"/>
  <c r="E78" i="10"/>
  <c r="D78" i="10"/>
  <c r="C78" i="10"/>
  <c r="B78" i="10"/>
  <c r="A78" i="10"/>
  <c r="E77" i="10"/>
  <c r="D77" i="10"/>
  <c r="C77" i="10"/>
  <c r="B77" i="10"/>
  <c r="A77" i="10"/>
  <c r="E76" i="10"/>
  <c r="D76" i="10"/>
  <c r="C76" i="10"/>
  <c r="B76" i="10"/>
  <c r="A76" i="10"/>
  <c r="E75" i="10"/>
  <c r="D75" i="10"/>
  <c r="C75" i="10"/>
  <c r="B75" i="10"/>
  <c r="A75" i="10"/>
  <c r="E74" i="10"/>
  <c r="D74" i="10"/>
  <c r="C74" i="10"/>
  <c r="B74" i="10"/>
  <c r="A74" i="10"/>
  <c r="E73" i="10"/>
  <c r="D73" i="10"/>
  <c r="C73" i="10"/>
  <c r="B73" i="10"/>
  <c r="A73" i="10"/>
  <c r="E72" i="10"/>
  <c r="D72" i="10"/>
  <c r="C72" i="10"/>
  <c r="B72" i="10"/>
  <c r="A72" i="10"/>
  <c r="E71" i="10"/>
  <c r="D71" i="10"/>
  <c r="C71" i="10"/>
  <c r="B71" i="10"/>
  <c r="A71" i="10"/>
  <c r="E70" i="10"/>
  <c r="D70" i="10"/>
  <c r="C70" i="10"/>
  <c r="B70" i="10"/>
  <c r="A70" i="10"/>
  <c r="E69" i="10"/>
  <c r="D69" i="10"/>
  <c r="C69" i="10"/>
  <c r="B69" i="10"/>
  <c r="A69" i="10"/>
  <c r="E68" i="10"/>
  <c r="D68" i="10"/>
  <c r="C68" i="10"/>
  <c r="B68" i="10"/>
  <c r="A68" i="10"/>
  <c r="E67" i="10"/>
  <c r="D67" i="10"/>
  <c r="C67" i="10"/>
  <c r="B67" i="10"/>
  <c r="A67" i="10"/>
  <c r="E66" i="10"/>
  <c r="D66" i="10"/>
  <c r="C66" i="10"/>
  <c r="B66" i="10"/>
  <c r="A66" i="10"/>
  <c r="E65" i="10"/>
  <c r="D65" i="10"/>
  <c r="C65" i="10"/>
  <c r="B65" i="10"/>
  <c r="A65" i="10"/>
  <c r="E64" i="10"/>
  <c r="D64" i="10"/>
  <c r="C64" i="10"/>
  <c r="B64" i="10"/>
  <c r="A64" i="10"/>
  <c r="E63" i="10"/>
  <c r="D63" i="10"/>
  <c r="C63" i="10"/>
  <c r="B63" i="10"/>
  <c r="A63" i="10"/>
  <c r="E62" i="10"/>
  <c r="D62" i="10"/>
  <c r="C62" i="10"/>
  <c r="B62" i="10"/>
  <c r="A62" i="10"/>
  <c r="E61" i="10"/>
  <c r="D61" i="10"/>
  <c r="C61" i="10"/>
  <c r="B61" i="10"/>
  <c r="A61" i="10"/>
  <c r="E60" i="10"/>
  <c r="D60" i="10"/>
  <c r="C60" i="10"/>
  <c r="B60" i="10"/>
  <c r="A60" i="10"/>
  <c r="E59" i="10"/>
  <c r="D59" i="10"/>
  <c r="C59" i="10"/>
  <c r="B59" i="10"/>
  <c r="A59" i="10"/>
  <c r="E58" i="10"/>
  <c r="D58" i="10"/>
  <c r="C58" i="10"/>
  <c r="B58" i="10"/>
  <c r="A58" i="10"/>
  <c r="E57" i="10"/>
  <c r="D57" i="10"/>
  <c r="C57" i="10"/>
  <c r="B57" i="10"/>
  <c r="A57" i="10"/>
  <c r="E56" i="10"/>
  <c r="D56" i="10"/>
  <c r="C56" i="10"/>
  <c r="B56" i="10"/>
  <c r="A56" i="10"/>
  <c r="E55" i="10"/>
  <c r="D55" i="10"/>
  <c r="C55" i="10"/>
  <c r="B55" i="10"/>
  <c r="A55" i="10"/>
  <c r="E54" i="10"/>
  <c r="D54" i="10"/>
  <c r="C54" i="10"/>
  <c r="B54" i="10"/>
  <c r="A54" i="10"/>
  <c r="E53" i="10"/>
  <c r="D53" i="10"/>
  <c r="C53" i="10"/>
  <c r="B53" i="10"/>
  <c r="A53" i="10"/>
  <c r="E52" i="10"/>
  <c r="D52" i="10"/>
  <c r="C52" i="10"/>
  <c r="B52" i="10"/>
  <c r="A52" i="10"/>
  <c r="E51" i="10"/>
  <c r="D51" i="10"/>
  <c r="C51" i="10"/>
  <c r="B51" i="10"/>
  <c r="A51" i="10"/>
  <c r="E50" i="10"/>
  <c r="D50" i="10"/>
  <c r="C50" i="10"/>
  <c r="B50" i="10"/>
  <c r="A50" i="10"/>
  <c r="E49" i="10"/>
  <c r="D49" i="10"/>
  <c r="C49" i="10"/>
  <c r="B49" i="10"/>
  <c r="A49" i="10"/>
  <c r="E48" i="10"/>
  <c r="D48" i="10"/>
  <c r="C48" i="10"/>
  <c r="B48" i="10"/>
  <c r="A48" i="10"/>
  <c r="E47" i="10"/>
  <c r="D47" i="10"/>
  <c r="C47" i="10"/>
  <c r="B47" i="10"/>
  <c r="A47" i="10"/>
  <c r="E46" i="10"/>
  <c r="D46" i="10"/>
  <c r="C46" i="10"/>
  <c r="B46" i="10"/>
  <c r="A46" i="10"/>
  <c r="E45" i="10"/>
  <c r="D45" i="10"/>
  <c r="C45" i="10"/>
  <c r="B45" i="10"/>
  <c r="A45" i="10"/>
  <c r="E44" i="10"/>
  <c r="D44" i="10"/>
  <c r="C44" i="10"/>
  <c r="B44" i="10"/>
  <c r="A44" i="10"/>
  <c r="E43" i="10"/>
  <c r="D43" i="10"/>
  <c r="C43" i="10"/>
  <c r="B43" i="10"/>
  <c r="A43" i="10"/>
  <c r="E42" i="10"/>
  <c r="D42" i="10"/>
  <c r="C42" i="10"/>
  <c r="B42" i="10"/>
  <c r="A42" i="10"/>
  <c r="E41" i="10"/>
  <c r="D41" i="10"/>
  <c r="C41" i="10"/>
  <c r="B41" i="10"/>
  <c r="A41" i="10"/>
  <c r="E40" i="10"/>
  <c r="D40" i="10"/>
  <c r="C40" i="10"/>
  <c r="B40" i="10"/>
  <c r="A40" i="10"/>
  <c r="E39" i="10"/>
  <c r="D39" i="10"/>
  <c r="C39" i="10"/>
  <c r="B39" i="10"/>
  <c r="A39" i="10"/>
  <c r="E38" i="10"/>
  <c r="D38" i="10"/>
  <c r="C38" i="10"/>
  <c r="B38" i="10"/>
  <c r="A38" i="10"/>
  <c r="E37" i="10"/>
  <c r="D37" i="10"/>
  <c r="C37" i="10"/>
  <c r="B37" i="10"/>
  <c r="A37" i="10"/>
  <c r="E36" i="10"/>
  <c r="D36" i="10"/>
  <c r="C36" i="10"/>
  <c r="B36" i="10"/>
  <c r="A36" i="10"/>
  <c r="E35" i="10"/>
  <c r="D35" i="10"/>
  <c r="C35" i="10"/>
  <c r="B35" i="10"/>
  <c r="A35" i="10"/>
  <c r="E34" i="10"/>
  <c r="D34" i="10"/>
  <c r="C34" i="10"/>
  <c r="B34" i="10"/>
  <c r="A34" i="10"/>
  <c r="E33" i="10"/>
  <c r="D33" i="10"/>
  <c r="C33" i="10"/>
  <c r="B33" i="10"/>
  <c r="A33" i="10"/>
  <c r="E32" i="10"/>
  <c r="D32" i="10"/>
  <c r="C32" i="10"/>
  <c r="B32" i="10"/>
  <c r="A32" i="10"/>
  <c r="E31" i="10"/>
  <c r="D31" i="10"/>
  <c r="C31" i="10"/>
  <c r="B31" i="10"/>
  <c r="A31" i="10"/>
  <c r="E30" i="10"/>
  <c r="D30" i="10"/>
  <c r="C30" i="10"/>
  <c r="B30" i="10"/>
  <c r="A30" i="10"/>
  <c r="E29" i="10"/>
  <c r="D29" i="10"/>
  <c r="C29" i="10"/>
  <c r="B29" i="10"/>
  <c r="A29" i="10"/>
  <c r="E28" i="10"/>
  <c r="D28" i="10"/>
  <c r="C28" i="10"/>
  <c r="B28" i="10"/>
  <c r="A28" i="10"/>
  <c r="E27" i="10"/>
  <c r="D27" i="10"/>
  <c r="C27" i="10"/>
  <c r="B27" i="10"/>
  <c r="A27" i="10"/>
  <c r="E26" i="10"/>
  <c r="D26" i="10"/>
  <c r="C26" i="10"/>
  <c r="B26" i="10"/>
  <c r="A26" i="10"/>
  <c r="E25" i="10"/>
  <c r="D25" i="10"/>
  <c r="C25" i="10"/>
  <c r="B25" i="10"/>
  <c r="A25" i="10"/>
  <c r="E24" i="10"/>
  <c r="D24" i="10"/>
  <c r="C24" i="10"/>
  <c r="B24" i="10"/>
  <c r="A24" i="10"/>
  <c r="E23" i="10"/>
  <c r="D23" i="10"/>
  <c r="C23" i="10"/>
  <c r="B23" i="10"/>
  <c r="A23" i="10"/>
  <c r="E22" i="10"/>
  <c r="D22" i="10"/>
  <c r="C22" i="10"/>
  <c r="B22" i="10"/>
  <c r="A22" i="10"/>
  <c r="E21" i="10"/>
  <c r="D21" i="10"/>
  <c r="C21" i="10"/>
  <c r="B21" i="10"/>
  <c r="A21" i="10"/>
  <c r="E20" i="10"/>
  <c r="D20" i="10"/>
  <c r="C20" i="10"/>
  <c r="B20" i="10"/>
  <c r="A20" i="10"/>
  <c r="E19" i="10"/>
  <c r="D19" i="10"/>
  <c r="C19" i="10"/>
  <c r="B19" i="10"/>
  <c r="A19" i="10"/>
  <c r="E18" i="10"/>
  <c r="D18" i="10"/>
  <c r="C18" i="10"/>
  <c r="B18" i="10"/>
  <c r="A18" i="10"/>
  <c r="E17" i="10"/>
  <c r="D17" i="10"/>
  <c r="C17" i="10"/>
  <c r="B17" i="10"/>
  <c r="A17" i="10"/>
  <c r="E16" i="10"/>
  <c r="D16" i="10"/>
  <c r="C16" i="10"/>
  <c r="B16" i="10"/>
  <c r="A16" i="10"/>
  <c r="E15" i="10"/>
  <c r="D15" i="10"/>
  <c r="C15" i="10"/>
  <c r="B15" i="10"/>
  <c r="A15" i="10"/>
  <c r="E14" i="10"/>
  <c r="D14" i="10"/>
  <c r="C14" i="10"/>
  <c r="B14" i="10"/>
  <c r="A14" i="10"/>
  <c r="E13" i="10"/>
  <c r="D13" i="10"/>
  <c r="C13" i="10"/>
  <c r="B13" i="10"/>
  <c r="A13" i="10"/>
  <c r="E12" i="10"/>
  <c r="D12" i="10"/>
  <c r="C12" i="10"/>
  <c r="B12" i="10"/>
  <c r="A12" i="10"/>
  <c r="E11" i="10"/>
  <c r="D11" i="10"/>
  <c r="C11" i="10"/>
  <c r="B11" i="10"/>
  <c r="A11" i="10"/>
  <c r="E10" i="10"/>
  <c r="D10" i="10"/>
  <c r="C10" i="10"/>
  <c r="B10" i="10"/>
  <c r="A10" i="10"/>
  <c r="E9" i="10"/>
  <c r="D9" i="10"/>
  <c r="C9" i="10"/>
  <c r="B9" i="10"/>
  <c r="A9" i="10"/>
  <c r="E8" i="10"/>
  <c r="D8" i="10"/>
  <c r="C8" i="10"/>
  <c r="B8" i="10"/>
  <c r="A8" i="10"/>
  <c r="E7" i="10"/>
  <c r="D7" i="10"/>
  <c r="C7" i="10"/>
  <c r="B7" i="10"/>
  <c r="A7" i="10"/>
  <c r="E6" i="10"/>
  <c r="D6" i="10"/>
  <c r="C6" i="10"/>
  <c r="B6" i="10"/>
  <c r="A6" i="10"/>
  <c r="E5" i="10"/>
  <c r="D5" i="10"/>
  <c r="C5" i="10"/>
  <c r="B5" i="10"/>
  <c r="A5" i="10"/>
  <c r="E4" i="10"/>
  <c r="D4" i="10"/>
  <c r="C4" i="10"/>
  <c r="B4" i="10"/>
  <c r="A4" i="10"/>
  <c r="E3" i="10"/>
  <c r="D3" i="10"/>
  <c r="C3" i="10"/>
  <c r="B3" i="10"/>
  <c r="A3" i="10"/>
  <c r="E2" i="10"/>
  <c r="D2" i="10"/>
  <c r="C2" i="10"/>
  <c r="B2" i="10"/>
  <c r="A2" i="10"/>
  <c r="E1" i="10"/>
  <c r="D1" i="10"/>
  <c r="C1" i="10"/>
  <c r="B1" i="10"/>
  <c r="A1" i="10"/>
</calcChain>
</file>

<file path=xl/sharedStrings.xml><?xml version="1.0" encoding="utf-8"?>
<sst xmlns="http://schemas.openxmlformats.org/spreadsheetml/2006/main" count="18558" uniqueCount="5158">
  <si>
    <t>Spring 2025</t>
  </si>
  <si>
    <t>Fall 2022</t>
  </si>
  <si>
    <t>Spring 2023</t>
  </si>
  <si>
    <t>Fall 2023</t>
  </si>
  <si>
    <t>Spring 2024</t>
  </si>
  <si>
    <t>Fall 2024</t>
  </si>
  <si>
    <t>Recital</t>
  </si>
  <si>
    <t>Ensemble</t>
  </si>
  <si>
    <t>Chamber</t>
  </si>
  <si>
    <t>Semester</t>
  </si>
  <si>
    <t>Concert #</t>
  </si>
  <si>
    <t>Performer</t>
  </si>
  <si>
    <t>Date</t>
  </si>
  <si>
    <t>Instrument</t>
  </si>
  <si>
    <t>Index</t>
  </si>
  <si>
    <t>Composer</t>
  </si>
  <si>
    <t>Ugly</t>
  </si>
  <si>
    <t>Arranger</t>
  </si>
  <si>
    <t>Piece</t>
  </si>
  <si>
    <t>Veligan, Fukasawa, &amp; Shands</t>
  </si>
  <si>
    <t>Faculty</t>
  </si>
  <si>
    <t>Faculty Recital</t>
  </si>
  <si>
    <t>Katherine Hoover</t>
  </si>
  <si>
    <t>Images for Clarinet, Violin, and Piano (1981)</t>
  </si>
  <si>
    <t>Galina Ustvolskaya</t>
  </si>
  <si>
    <t>Trio for Clarinet, Violin, and Piano (1949)</t>
  </si>
  <si>
    <t>Alfred Uhl</t>
  </si>
  <si>
    <t>Kleines Konzert for Viola, Clarinet, and Piano (1937; 1988)</t>
  </si>
  <si>
    <t>Splinter Reeds Recital</t>
  </si>
  <si>
    <t>Guest</t>
  </si>
  <si>
    <t>Guest Artist Recital</t>
  </si>
  <si>
    <t>Mario Godoy</t>
  </si>
  <si>
    <t>create. process. (2018)</t>
  </si>
  <si>
    <t>Michael Gordon</t>
  </si>
  <si>
    <t>Tall Grass (2022)</t>
  </si>
  <si>
    <t>Laura Cetilia</t>
  </si>
  <si>
    <t>adrift (2019)</t>
  </si>
  <si>
    <t>Sam Pluta</t>
  </si>
  <si>
    <t>Atens (2022)</t>
  </si>
  <si>
    <t>Andrew Conklin</t>
  </si>
  <si>
    <t>Ground I (2022)</t>
  </si>
  <si>
    <t>Niloufar Nourbakhsh</t>
  </si>
  <si>
    <t>Firing Squad (2018)</t>
  </si>
  <si>
    <t>Pacific Tiger Ensemble</t>
  </si>
  <si>
    <t>Multiple</t>
  </si>
  <si>
    <t>Pacific Woodwind Day</t>
  </si>
  <si>
    <t>Edvard Grieg</t>
  </si>
  <si>
    <t>M. Orriss</t>
  </si>
  <si>
    <t>In the Hall of the Mountain King</t>
  </si>
  <si>
    <t>Elmer Bernstein</t>
  </si>
  <si>
    <t>A. Cooper/A. Pugh</t>
  </si>
  <si>
    <t>The Magnificent Seven (1960)</t>
  </si>
  <si>
    <t>Fred Onovwerosuoke</t>
  </si>
  <si>
    <t>Three Pieces for Woodwind Trio</t>
  </si>
  <si>
    <t>Mauricio Murcia Bedoya</t>
  </si>
  <si>
    <t>Colombian Dances</t>
  </si>
  <si>
    <t>Marc Mellits</t>
  </si>
  <si>
    <t>Splinter (2014)</t>
  </si>
  <si>
    <t>FOCM: Adaskin String Trio</t>
  </si>
  <si>
    <t>Ludwig van Beethoven</t>
  </si>
  <si>
    <t>Beethoven, Ludwig van</t>
  </si>
  <si>
    <t>String trio in d major, op. 9, no. 2 (1797-98)</t>
  </si>
  <si>
    <t>Gideon Klein</t>
  </si>
  <si>
    <t>String trio (1944)</t>
  </si>
  <si>
    <t>Joseph Haydn</t>
  </si>
  <si>
    <t>String trio in d major, op. 32, no. 1, hob. xi:74</t>
  </si>
  <si>
    <t>Alexis Roland-Manuel</t>
  </si>
  <si>
    <t>String trio (1922)</t>
  </si>
  <si>
    <t>Featuring Ashlin Parker, trumpet</t>
  </si>
  <si>
    <t>Student</t>
  </si>
  <si>
    <t>Oliver Nelson</t>
  </si>
  <si>
    <t>Critic’s Choice (1966)</t>
  </si>
  <si>
    <t>Harold Battiste</t>
  </si>
  <si>
    <t>Edward Petersen</t>
  </si>
  <si>
    <t>Beautiful Old Ladies (2015)</t>
  </si>
  <si>
    <t>Stevie Wonder</t>
  </si>
  <si>
    <t>Golden Lady (2020)</t>
  </si>
  <si>
    <t>Herbie Hancock/Stevie Wonder</t>
  </si>
  <si>
    <t>Hancock, Herbie</t>
  </si>
  <si>
    <t>Chan’s Song (2020)</t>
  </si>
  <si>
    <t>Harlis Laughing (2020)</t>
  </si>
  <si>
    <t>Nat Perilliat</t>
  </si>
  <si>
    <t>Little Joy (2020)</t>
  </si>
  <si>
    <t>Miller &amp; Leong</t>
  </si>
  <si>
    <t>Violin &amp; Piano</t>
  </si>
  <si>
    <t>Reena Esmail</t>
  </si>
  <si>
    <t>Charukeshi from Darshan (2019–20)</t>
  </si>
  <si>
    <t>Violin Sonata in C minor, op. 30, no. 2 (1802)</t>
  </si>
  <si>
    <t>George Walker</t>
  </si>
  <si>
    <t>Violin Sonata No. 1 (1958)</t>
  </si>
  <si>
    <t>John Corigliano</t>
  </si>
  <si>
    <t>Violin Sonata (1964)</t>
  </si>
  <si>
    <t>Concert Hour</t>
  </si>
  <si>
    <t>Antonio Vivaldi</t>
  </si>
  <si>
    <t>Bassoon Concerto in A minor, RV 499</t>
  </si>
  <si>
    <t>Giuseppe Tartini</t>
  </si>
  <si>
    <t>Gordon Jacob</t>
  </si>
  <si>
    <t>Concertino IV (after movements from Violin Sonatas, op. 1)</t>
  </si>
  <si>
    <t>Richard Strauss</t>
  </si>
  <si>
    <t>Horn Concerto No. 1 in E-flat major, op. 11</t>
  </si>
  <si>
    <t>Jeffery Meyer, conductor-in-residence</t>
  </si>
  <si>
    <t>Ruth Crawford Seeger</t>
  </si>
  <si>
    <t>Rissolty Rossolty (1939)</t>
  </si>
  <si>
    <t>Missy Mazzoli</t>
  </si>
  <si>
    <t>Sinfonia (for Orbiting Spheres) (2014; 2016)</t>
  </si>
  <si>
    <t>Antonín Dvořák</t>
  </si>
  <si>
    <t>Symphony No. 8 in G major, op. 88 (1889)</t>
  </si>
  <si>
    <t>University Chorus and Pacific Singers</t>
  </si>
  <si>
    <t>George Frideric Handel</t>
  </si>
  <si>
    <t>Handel, George Frideric</t>
  </si>
  <si>
    <t>Exceeding Glad Shall He Be (1727)</t>
  </si>
  <si>
    <t>Yosef Hadar</t>
  </si>
  <si>
    <t>Jack Klevanow</t>
  </si>
  <si>
    <t>Erev shel shoshanim (1986)</t>
  </si>
  <si>
    <t>Traditional Indian Raga</t>
  </si>
  <si>
    <t>Ethan Sperry b. 1971</t>
  </si>
  <si>
    <t>Desh (2006)</t>
  </si>
  <si>
    <t>Shawn Kirchner</t>
  </si>
  <si>
    <t>I’ll Be on My Way (2011)</t>
  </si>
  <si>
    <t>P.D.Q. Bach/Peter Schickele</t>
  </si>
  <si>
    <t>Schickele, Peter</t>
  </si>
  <si>
    <t>Liebeslieder Polkas (1981)</t>
  </si>
  <si>
    <t>Aaron Copland</t>
  </si>
  <si>
    <t>Copland, Aaron</t>
  </si>
  <si>
    <t>Glenn Koponen</t>
  </si>
  <si>
    <t>Zion’s Walls (1954)</t>
  </si>
  <si>
    <t>African Prayer for Peace</t>
  </si>
  <si>
    <t>Traditional African Folk Song</t>
  </si>
  <si>
    <t>André van der Merwe</t>
  </si>
  <si>
    <t>Ukuthula (2011)</t>
  </si>
  <si>
    <t>Adams</t>
  </si>
  <si>
    <t>Student Recital</t>
  </si>
  <si>
    <t>Bass</t>
  </si>
  <si>
    <t>César Franck</t>
  </si>
  <si>
    <t>Eugene Levinson</t>
  </si>
  <si>
    <t>Violin Sonata in A major (1886)</t>
  </si>
  <si>
    <t>Giovanni Bottesini</t>
  </si>
  <si>
    <t>Grande allegro di concerto “à la Mendelssohn”</t>
  </si>
  <si>
    <t>Giovanni Santos, guest conductor, composer-in-residence</t>
  </si>
  <si>
    <t>Björk Guðmundsdóttir</t>
  </si>
  <si>
    <t>Overture from Dancer in the Dark (2002)</t>
  </si>
  <si>
    <t>James David</t>
  </si>
  <si>
    <t>David, James M.</t>
  </si>
  <si>
    <t>Urban Light (2021)</t>
  </si>
  <si>
    <t>Giovanni Santos</t>
  </si>
  <si>
    <t>Three Latin American Dances (2019)</t>
  </si>
  <si>
    <t>Gustav Holst</t>
  </si>
  <si>
    <t>Suite No. 2 for Military Band in F major, op. 28, no. 2 (1911)</t>
  </si>
  <si>
    <t>Mark Camphouse</t>
  </si>
  <si>
    <t>A Movement for Rosa (1992)</t>
  </si>
  <si>
    <t>Martín Camps/Emilio Martínez</t>
  </si>
  <si>
    <t>Poetry Reading: No ceses, César Chávez</t>
  </si>
  <si>
    <t>Chávez, 1927* (2022) (World Premiere)</t>
  </si>
  <si>
    <t>Pacific Prism</t>
  </si>
  <si>
    <t>13-1</t>
  </si>
  <si>
    <t>Billy Joel</t>
  </si>
  <si>
    <t>Allentown (1982)</t>
  </si>
  <si>
    <t>13-10</t>
  </si>
  <si>
    <t>Sonny Burke/Paul F. Webster</t>
  </si>
  <si>
    <t>Black Coffee (1949)</t>
  </si>
  <si>
    <t>13-11</t>
  </si>
  <si>
    <t>Dancer in the Dark (2000)</t>
  </si>
  <si>
    <t>13-12</t>
  </si>
  <si>
    <t>Darshan-Charukeshi (2019)</t>
  </si>
  <si>
    <t>13-13</t>
  </si>
  <si>
    <t>Benj Pasek/Justin Paul</t>
  </si>
  <si>
    <t>Pasek, Benj and Paul, Justin</t>
  </si>
  <si>
    <t>This Is Me (2017)</t>
  </si>
  <si>
    <t>13-2</t>
  </si>
  <si>
    <t>Emmanuel Séjourné</t>
  </si>
  <si>
    <t>Akadinda Trio (2002)</t>
  </si>
  <si>
    <t>13-3</t>
  </si>
  <si>
    <t>I’ll Be on My Way (2006)</t>
  </si>
  <si>
    <t>13-4</t>
  </si>
  <si>
    <t>Ellis Marsalis</t>
  </si>
  <si>
    <t>Swingin’ at the Hagen (1992)</t>
  </si>
  <si>
    <t>13-5</t>
  </si>
  <si>
    <t>Antonio Machado y Ruiz</t>
  </si>
  <si>
    <t>Machado y Ruiz, Antonio</t>
  </si>
  <si>
    <t>La plaza tiene una torre</t>
  </si>
  <si>
    <t>13-6</t>
  </si>
  <si>
    <t>Miguel del Aguila</t>
  </si>
  <si>
    <t>Invisibles, op. 124 (2019)</t>
  </si>
  <si>
    <t>13-7</t>
  </si>
  <si>
    <t>Three Pieces for Woodwind Trio (2018)</t>
  </si>
  <si>
    <t>13-8</t>
  </si>
  <si>
    <t>Jelani Brown</t>
  </si>
  <si>
    <t>How Could I Forget (2020)</t>
  </si>
  <si>
    <t>13-9</t>
  </si>
  <si>
    <t>José Hernández</t>
  </si>
  <si>
    <t>El Rey de la Huasteca (2004)</t>
  </si>
  <si>
    <t>Bruckmann</t>
  </si>
  <si>
    <t>Oboe/English horn</t>
  </si>
  <si>
    <t>Daniel Cueto</t>
  </si>
  <si>
    <t>La peña y la luna I (2020)</t>
  </si>
  <si>
    <t>Grażyna Bacewicz</t>
  </si>
  <si>
    <t>Sonatina for Oboe and Piano (1955)</t>
  </si>
  <si>
    <t>Ulysses Kay</t>
  </si>
  <si>
    <t>Pietá (1950)</t>
  </si>
  <si>
    <t>Christopher Burns/Kyle Bruckmann</t>
  </si>
  <si>
    <t>Hide Self, View (2021)</t>
  </si>
  <si>
    <t>Jessie Cox</t>
  </si>
  <si>
    <t>AT(ou)M (2020)</t>
  </si>
  <si>
    <t>Dana Reason</t>
  </si>
  <si>
    <t>Chanson de fleurs: Eleanor of Aquitaine (2017)</t>
  </si>
  <si>
    <t>La peña y la luna II (2020)</t>
  </si>
  <si>
    <t>Aleksandr Goedicke</t>
  </si>
  <si>
    <t>Goedicke, Alexander</t>
  </si>
  <si>
    <t>Trumpet Concerto in B-flat minor, op. 41 (1930)</t>
  </si>
  <si>
    <t>Carl Reinecke</t>
  </si>
  <si>
    <t>Trio for Piano, Oboe, and Horn in A major, op. 188 (1887)</t>
  </si>
  <si>
    <t>Cuarteto Latinoamericano</t>
  </si>
  <si>
    <t>Heitor Villa-Lobos</t>
  </si>
  <si>
    <t>String quartet no. 17, w537 (1957)</t>
  </si>
  <si>
    <t>Carlos Gardel</t>
  </si>
  <si>
    <t>Volver (1934)</t>
  </si>
  <si>
    <t>Gardel</t>
  </si>
  <si>
    <t>Gardel, Carlos</t>
  </si>
  <si>
    <t>por una cabeza (1935)</t>
  </si>
  <si>
    <t>Gabriela Ortiz</t>
  </si>
  <si>
    <t>La Calaca (1997)</t>
  </si>
  <si>
    <t>Francisco mignone</t>
  </si>
  <si>
    <t>Ensaio no. 1, in b♭ minor (1958)</t>
  </si>
  <si>
    <t>Alberto Ginastera</t>
  </si>
  <si>
    <t>String quartet no. 1, op. 20 (1948)</t>
  </si>
  <si>
    <t>Pacific Opera Theatre</t>
  </si>
  <si>
    <t>19-13</t>
  </si>
  <si>
    <t>Frank Churchill</t>
  </si>
  <si>
    <t>Someday My Prince Will Come from Snow White (1937)</t>
  </si>
  <si>
    <t>29-1</t>
  </si>
  <si>
    <t>Frederick Loewe</t>
  </si>
  <si>
    <t>Follow Me from Camelot (1960)</t>
  </si>
  <si>
    <t>29-10</t>
  </si>
  <si>
    <t>Mack David (1912–1993); Al Hoffman (1902–1960); Jerry Livingston (1909–1987)</t>
  </si>
  <si>
    <t>Various Composers</t>
  </si>
  <si>
    <t>A Dream Is a Wish Your Heart Makes from Cinderella (1950)</t>
  </si>
  <si>
    <t>29-11</t>
  </si>
  <si>
    <t>Stephen Sondheim</t>
  </si>
  <si>
    <t>A Very Nice Prince from Into the Woods (1987)</t>
  </si>
  <si>
    <t>29-12</t>
  </si>
  <si>
    <t>Agony from Into the Woods (1987)</t>
  </si>
  <si>
    <t>29-14</t>
  </si>
  <si>
    <t>Alan Menken</t>
  </si>
  <si>
    <t>Prince Ali from Aladdin (1992)</t>
  </si>
  <si>
    <t>29-15</t>
  </si>
  <si>
    <t>Sammy Fain</t>
  </si>
  <si>
    <t>Once Upon a Dream from Sleeping Beauty (1959)</t>
  </si>
  <si>
    <t>29-16</t>
  </si>
  <si>
    <t>Richard Rodgers</t>
  </si>
  <si>
    <t>Some Enchanted Evening from South Pacific (1949)</t>
  </si>
  <si>
    <t>29-17</t>
  </si>
  <si>
    <t>Leigh Harline (1907–1969)</t>
  </si>
  <si>
    <t>Harline, Leigh</t>
  </si>
  <si>
    <t>When You Wish Upon a Star from Pinocchio (1940)</t>
  </si>
  <si>
    <t>29-18</t>
  </si>
  <si>
    <t>Claude-Michel Schönberg</t>
  </si>
  <si>
    <t>Castle on a Cloud from Les Misérables (1985)</t>
  </si>
  <si>
    <t>29-19</t>
  </si>
  <si>
    <t>Come to Me, Bend to Me from Brigadoon (1947)</t>
  </si>
  <si>
    <t>29-2</t>
  </si>
  <si>
    <t>Prologue from Into the Woods (1987)</t>
  </si>
  <si>
    <t>29-20</t>
  </si>
  <si>
    <t>Engelbert Humperdinck</t>
  </si>
  <si>
    <t>Gingerbread Castle Scene from Hänsel und Gretel (1893)</t>
  </si>
  <si>
    <t>29-21</t>
  </si>
  <si>
    <t>Franz Lehár</t>
  </si>
  <si>
    <t>Vilja from The Merry Widow (1907)</t>
  </si>
  <si>
    <t>29-22</t>
  </si>
  <si>
    <t>It Takes Two from Into the Woods (1987)</t>
  </si>
  <si>
    <t>29-23</t>
  </si>
  <si>
    <t>Robert Emmett Dolan</t>
  </si>
  <si>
    <t>Dolan, Robert Emmett</t>
  </si>
  <si>
    <t>That Old Black Magic from Star Spangled Rhythm (1942)</t>
  </si>
  <si>
    <t>29-24</t>
  </si>
  <si>
    <t>Bewitched, Bothered and Bewildered from Pal Joey (1940)</t>
  </si>
  <si>
    <t>29-25</t>
  </si>
  <si>
    <t>Jay Hawkins</t>
  </si>
  <si>
    <t>I Put a Spell on You from Nina Simone’s album I Put a Spell on You (1965)</t>
  </si>
  <si>
    <t>29-26</t>
  </si>
  <si>
    <t>The Last Midnight from Into the Woods (1987)</t>
  </si>
  <si>
    <t>29-27</t>
  </si>
  <si>
    <t>No One Is Alone from Into the Woods (1987)</t>
  </si>
  <si>
    <t>29-28</t>
  </si>
  <si>
    <t>Charlie Smalls</t>
  </si>
  <si>
    <t>If You Believe from The Wiz (1978)</t>
  </si>
  <si>
    <t>29-29</t>
  </si>
  <si>
    <t>Jenny Bicks</t>
  </si>
  <si>
    <t>This Is Me from The Greatest Showman (2017)</t>
  </si>
  <si>
    <t>29-3</t>
  </si>
  <si>
    <t>Belle from Beauty and the Beast (1991)</t>
  </si>
  <si>
    <t>29-4</t>
  </si>
  <si>
    <t>Be Our Guest from Beauty and the Beast (1991)</t>
  </si>
  <si>
    <t>29-5</t>
  </si>
  <si>
    <t>A Whole New World from Aladdin (2014)</t>
  </si>
  <si>
    <t>29-6</t>
  </si>
  <si>
    <t>Randy Newman</t>
  </si>
  <si>
    <t>You’ve Got a Friend in Me from Toy Story (1995)</t>
  </si>
  <si>
    <t>29-7</t>
  </si>
  <si>
    <t>29-8</t>
  </si>
  <si>
    <t>Germaine Franco</t>
  </si>
  <si>
    <t>Waiting on a Miracle from Encanto (2021)</t>
  </si>
  <si>
    <t>29-9</t>
  </si>
  <si>
    <t>Camila Cabello</t>
  </si>
  <si>
    <t>Million to One from Cinderella (2015)</t>
  </si>
  <si>
    <t>Bill Condon</t>
  </si>
  <si>
    <t>Oscar Hammerstein II</t>
  </si>
  <si>
    <t>Hammerstein, Oscar</t>
  </si>
  <si>
    <t>Scott Harris</t>
  </si>
  <si>
    <t>Lorenz Hart</t>
  </si>
  <si>
    <t>Jack Lawrence</t>
  </si>
  <si>
    <t>Ned Washington (1901–1976)</t>
  </si>
  <si>
    <t>Washington, Ned</t>
  </si>
  <si>
    <t>Franz Liszt</t>
  </si>
  <si>
    <t>Sonetto del Petrarca No. 104, LW A55/5 (c. 1846)</t>
  </si>
  <si>
    <t>Davis Robinson</t>
  </si>
  <si>
    <t>Gloom</t>
  </si>
  <si>
    <t>Benny Golson</t>
  </si>
  <si>
    <t>Whisper Not (1956)</t>
  </si>
  <si>
    <t>Bart Howard</t>
  </si>
  <si>
    <t>Fly Me to the Moon (1954)</t>
  </si>
  <si>
    <t>Dmitri Shostakovich</t>
  </si>
  <si>
    <t>String Quartet No. 7 in F-sharp minor, op. 108 (1960)</t>
  </si>
  <si>
    <t>Kuster &amp; Latta</t>
  </si>
  <si>
    <t>Bassoon &amp; Percussion</t>
  </si>
  <si>
    <t>Gene Koshinski</t>
  </si>
  <si>
    <t>Get It! for bassoon and percussion (2007)</t>
  </si>
  <si>
    <t>Andrew Beall</t>
  </si>
  <si>
    <t>Song of ‘Almah for marimba and voice (2006, arr. for cello 2007)</t>
  </si>
  <si>
    <t>Nansi Carroll</t>
  </si>
  <si>
    <t>Prelude and Reflections on Regina caeli</t>
  </si>
  <si>
    <t>Keiko Abe</t>
  </si>
  <si>
    <t>Wind in the Bamboo Grove (1987)</t>
  </si>
  <si>
    <t>Vinicio A. Mesa</t>
  </si>
  <si>
    <t xml:space="preserve">Mesa, Vinicio A. </t>
  </si>
  <si>
    <t>Motivos for two bassoons and marimba (2000)</t>
  </si>
  <si>
    <t>Pacific Wind Bands</t>
  </si>
  <si>
    <t>John Williams</t>
  </si>
  <si>
    <t>Jay Bocook</t>
  </si>
  <si>
    <t>Symphonic Suite from Star Wars: The Force Awakens (2016)</t>
  </si>
  <si>
    <t>Omar Thomas</t>
  </si>
  <si>
    <t>Shenandoah (2019)</t>
  </si>
  <si>
    <t>Lincoln Portrait (1942)</t>
  </si>
  <si>
    <t>Cait Nishimura</t>
  </si>
  <si>
    <t>Chasing Sunlight (2016)</t>
  </si>
  <si>
    <t>Kimberly Archer</t>
  </si>
  <si>
    <t>Fanfare Politeia (2021)</t>
  </si>
  <si>
    <t>Steven Bryant</t>
  </si>
  <si>
    <t>Ecstatic Waters (2008)</t>
  </si>
  <si>
    <t>Walter Smith III, saxophone</t>
  </si>
  <si>
    <t>Pacific Jazz Ensemble</t>
  </si>
  <si>
    <t>Walter Smith III</t>
  </si>
  <si>
    <t>Joe Mazzaferro</t>
  </si>
  <si>
    <t>High Schoolish (2010)</t>
  </si>
  <si>
    <t>Kurt Weill</t>
  </si>
  <si>
    <t>Speak Low (1943)</t>
  </si>
  <si>
    <t>John Coltrane</t>
  </si>
  <si>
    <t>John Fedchock</t>
  </si>
  <si>
    <t>Central Park West (1964)</t>
  </si>
  <si>
    <t>July (2019)</t>
  </si>
  <si>
    <t>Donald Brown</t>
  </si>
  <si>
    <t>Bill Mobley</t>
  </si>
  <si>
    <t>Affaire d’Amour (1995)</t>
  </si>
  <si>
    <t>Joe Henderson</t>
  </si>
  <si>
    <t>Isotope (1964)</t>
  </si>
  <si>
    <t>Thelonious Monk</t>
  </si>
  <si>
    <t>Eric Reed</t>
  </si>
  <si>
    <t>Ask Me Now (1951)</t>
  </si>
  <si>
    <t>Russell Davis</t>
  </si>
  <si>
    <t>Apollo (2014)</t>
  </si>
  <si>
    <t>Torres</t>
  </si>
  <si>
    <t>Cello</t>
  </si>
  <si>
    <t>Johann Sebastian Bach</t>
  </si>
  <si>
    <t>Bach, Johann Sebastian</t>
  </si>
  <si>
    <t>Suite for Unaccompanied Cello No. 6 in D major, BWV 1012</t>
  </si>
  <si>
    <t>Sergei Rachmaninoff</t>
  </si>
  <si>
    <t>Cello Sonata in G minor, op. 19</t>
  </si>
  <si>
    <t>Mark Summer</t>
  </si>
  <si>
    <t>Julie-O</t>
  </si>
  <si>
    <t>Trio Zimbalist</t>
  </si>
  <si>
    <t>Friends of Chamber Music</t>
  </si>
  <si>
    <t>Anton Arensky</t>
  </si>
  <si>
    <t>Piano trio in d minor, op. 32 (1894)</t>
  </si>
  <si>
    <t>Piano trio in b♭ major, op. 79, “archduke” (1811)</t>
  </si>
  <si>
    <t>28/78 New Music Ensemble</t>
  </si>
  <si>
    <t>Angélique Kidjo</t>
  </si>
  <si>
    <t>Jacob Garchik b. 1976</t>
  </si>
  <si>
    <t>YanYanKliYan Senamido #1* (2020)</t>
  </si>
  <si>
    <t>Franghiz Ali-Zadeh</t>
  </si>
  <si>
    <t>Rəqs (Dance)* (2015)</t>
  </si>
  <si>
    <t>Evan Williams</t>
  </si>
  <si>
    <t>Beautiful Death (2014)</t>
  </si>
  <si>
    <t>Jace Clayton a.k.a. DJ /rupture</t>
  </si>
  <si>
    <t>Lethe’s Children (2015)</t>
  </si>
  <si>
    <t>Yaz Lancaster</t>
  </si>
  <si>
    <t>Björk Cute (2019) (28/78 commission)</t>
  </si>
  <si>
    <t>Pacific Brass Chamber</t>
  </si>
  <si>
    <t>Brass</t>
  </si>
  <si>
    <t>George Greshwin</t>
  </si>
  <si>
    <t>Gershwin, George</t>
  </si>
  <si>
    <t>Do It Again (1922)</t>
  </si>
  <si>
    <t>James Stephenson</t>
  </si>
  <si>
    <t>Fanfare for an Angel (2010)</t>
  </si>
  <si>
    <t>Wolfgang Amadè Mozart</t>
  </si>
  <si>
    <t>Mozart, Wolfgang Amadeus</t>
  </si>
  <si>
    <t>Horn Quintet in E-flat major, K. 386c (K. 407)</t>
  </si>
  <si>
    <t>Joshua Hauser</t>
  </si>
  <si>
    <t>Grooves (2007)</t>
  </si>
  <si>
    <t>Pérez Prado</t>
  </si>
  <si>
    <t>Meredith Brown</t>
  </si>
  <si>
    <t>Mambo No. 5 ( 1949; 2021)</t>
  </si>
  <si>
    <t>Paul Dukas</t>
  </si>
  <si>
    <t>Marie Speziale</t>
  </si>
  <si>
    <t>Fanfare from La Péri (1912; 2002)</t>
  </si>
  <si>
    <t>Jeffry Kirschen</t>
  </si>
  <si>
    <t>Prelude-Chorale from Hansel and Gretel 1893; 1981</t>
  </si>
  <si>
    <t>Hans Zimmer</t>
  </si>
  <si>
    <t>Andrew P. Haig</t>
  </si>
  <si>
    <t>Honor from The Pacific (2010)</t>
  </si>
  <si>
    <t>James Naigus</t>
  </si>
  <si>
    <t>Starboard (2012)</t>
  </si>
  <si>
    <t>Eric Ewazen</t>
  </si>
  <si>
    <t>A Western Fanfare (1997)</t>
  </si>
  <si>
    <t>Veligan</t>
  </si>
  <si>
    <t>Violin/Viola</t>
  </si>
  <si>
    <t>Leoš Janáček</t>
  </si>
  <si>
    <t>Violin Sonata (1914)</t>
  </si>
  <si>
    <t>Richard Cionco</t>
  </si>
  <si>
    <t>Today’s Verse - Milonga (2022)</t>
  </si>
  <si>
    <t>Invisibles, after a Poem by Antonio Machado, op. 124</t>
  </si>
  <si>
    <t>Chanell Crichlow</t>
  </si>
  <si>
    <t>When Dark Clouds Linger (2022)</t>
  </si>
  <si>
    <t>Johannes Brahms</t>
  </si>
  <si>
    <t>Violin Sonata No. 3 in D minor, op. 108 (1886–88)</t>
  </si>
  <si>
    <t>Kruse</t>
  </si>
  <si>
    <t>Piano</t>
  </si>
  <si>
    <t>Fanny Mendelssohn Hensel</t>
  </si>
  <si>
    <t>Hensel, Fanny Mendelssohn</t>
  </si>
  <si>
    <t>Vier Lieder fur das Pianoforte, op. 8 (1846)</t>
  </si>
  <si>
    <t>Piano Sonata in C major, Hob. XVI/48 (1789)</t>
  </si>
  <si>
    <t>Olivier Messiaen</t>
  </si>
  <si>
    <t>Vingt regards sur l’Enfant-Jésus (1944)</t>
  </si>
  <si>
    <t>Toccata in G major, BWV 916 (1714)</t>
  </si>
  <si>
    <t>Preludes (1903)</t>
  </si>
  <si>
    <t>Gustav Mahler</t>
  </si>
  <si>
    <t>Blumine (1884)</t>
  </si>
  <si>
    <t>Alma Mahler</t>
  </si>
  <si>
    <t>Nicolas Waldvogel</t>
  </si>
  <si>
    <t>Four Songs</t>
  </si>
  <si>
    <t>Totenfeier (1888)</t>
  </si>
  <si>
    <t>Varied Ensemble</t>
  </si>
  <si>
    <t>Damian Montano</t>
  </si>
  <si>
    <t>Suite for Bassoon and Bass (2002)</t>
  </si>
  <si>
    <t>François René Gebauer</t>
  </si>
  <si>
    <t>Gebauer, François René</t>
  </si>
  <si>
    <t>Quatour concertant in C major, op. 27, no. 1 (c. 1800)</t>
  </si>
  <si>
    <t>Rosemary Sugden Waltzer</t>
  </si>
  <si>
    <t>Waltzer, Rosemary Sugden</t>
  </si>
  <si>
    <t>Suite for Trumpet and Horn (2002)</t>
  </si>
  <si>
    <t>Theodor Blumer</t>
  </si>
  <si>
    <t>Wind Quintet, op. 52 (1924)</t>
  </si>
  <si>
    <t>Hui</t>
  </si>
  <si>
    <t>Yiruma</t>
  </si>
  <si>
    <t>Lord . . . Hold My Hand (2006)</t>
  </si>
  <si>
    <t>Joe Hisaichi</t>
  </si>
  <si>
    <t>Hisaishi, Joe</t>
  </si>
  <si>
    <t>Nostalgia (1998)</t>
  </si>
  <si>
    <t>VK 克</t>
  </si>
  <si>
    <t>Blue Moon Shadow 藍月流影 (2019)</t>
  </si>
  <si>
    <t>The Fetter 結 (2019)</t>
  </si>
  <si>
    <t>Reminiscent (2011)</t>
  </si>
  <si>
    <t>Günter Raphael</t>
  </si>
  <si>
    <t>Duo for Violin and Clarinet in E-flat major, op. 47, no. 6 (1941)</t>
  </si>
  <si>
    <t>Claude Debussy</t>
  </si>
  <si>
    <t>String Quartet in G minor, op. 10 (1893)</t>
  </si>
  <si>
    <t>Trio for Piano, Oboe, and Horn in A minor, op. 188 (1887)</t>
  </si>
  <si>
    <t>Percussion Ensemble</t>
  </si>
  <si>
    <t>Tumbao de Carlitos (2020)</t>
  </si>
  <si>
    <t>Vince Wallace</t>
  </si>
  <si>
    <t>Pulse (2012)</t>
  </si>
  <si>
    <t>Zoom Stomp! (2020)</t>
  </si>
  <si>
    <t>Nell Shaw Cohen</t>
  </si>
  <si>
    <t>Three Decorations for Percussion Trio (2013)</t>
  </si>
  <si>
    <t>Anders Åstrand</t>
  </si>
  <si>
    <t>Norrsken (2001/2002)</t>
  </si>
  <si>
    <t>Gregory Jackson</t>
  </si>
  <si>
    <t>Hokkaido Jishin, op. 37 (2010)</t>
  </si>
  <si>
    <t>Johann Nepomuk Hummel</t>
  </si>
  <si>
    <t>Hummel, Johann Nepomuk</t>
  </si>
  <si>
    <t>Bassoon Concerto in F major, S. 63, WoO 23 (c. 1805)</t>
  </si>
  <si>
    <t>Samuel Barber</t>
  </si>
  <si>
    <t>Violin Concerto, op. 14 (1939)</t>
  </si>
  <si>
    <t>Suite for Trumpet and Horn (“Ott’s Thorns” Duet) (2002)</t>
  </si>
  <si>
    <t>Bassoon Concerto in B-flat major, K. 186e (191) (1774)</t>
  </si>
  <si>
    <t>17-1</t>
  </si>
  <si>
    <t>German Tune</t>
  </si>
  <si>
    <t>Traditional - German Folk Song</t>
  </si>
  <si>
    <t>Lara Hoggard (1915–2007)</t>
  </si>
  <si>
    <t>Personent hodie (2001)</t>
  </si>
  <si>
    <t>17-10</t>
  </si>
  <si>
    <t>Theodore Kountz</t>
  </si>
  <si>
    <t>Grace Helen Nash</t>
  </si>
  <si>
    <t>The Sleigh (à la Russe) (1926)</t>
  </si>
  <si>
    <t>17-11</t>
  </si>
  <si>
    <t>Swedish Folksong</t>
  </si>
  <si>
    <t>Traditional Swedish Folkson</t>
  </si>
  <si>
    <t>Per-Erik Moraeus</t>
  </si>
  <si>
    <t>Koppången (1998)</t>
  </si>
  <si>
    <t>17-12</t>
  </si>
  <si>
    <t>Hassidic Melody</t>
  </si>
  <si>
    <t>Hassidic Song</t>
  </si>
  <si>
    <t>A. W. Binder</t>
  </si>
  <si>
    <t>Shirat Ha-Chag (1957)</t>
  </si>
  <si>
    <t>17-13</t>
  </si>
  <si>
    <t>Francis Poulenc</t>
  </si>
  <si>
    <t>O magnum mysterium (1952)</t>
  </si>
  <si>
    <t>17-14</t>
  </si>
  <si>
    <t>none</t>
  </si>
  <si>
    <t>Craig Courtney (b. 1954)</t>
  </si>
  <si>
    <t>Mary Had a Baby (2004)</t>
  </si>
  <si>
    <t>17-15</t>
  </si>
  <si>
    <t>Felix Bernard</t>
  </si>
  <si>
    <t>Yejee Choi</t>
  </si>
  <si>
    <t>Winter Wonderland (1934)</t>
  </si>
  <si>
    <t>17-16</t>
  </si>
  <si>
    <t>Brad Holmes (b. 1956)</t>
  </si>
  <si>
    <t>Noel (2002)</t>
  </si>
  <si>
    <t>17-17</t>
  </si>
  <si>
    <t>Adolphe Adam</t>
  </si>
  <si>
    <t>Gary Fry</t>
  </si>
  <si>
    <t>O Holy Night (2007)</t>
  </si>
  <si>
    <t>17-2</t>
  </si>
  <si>
    <t>Lloyd Pfautsch</t>
  </si>
  <si>
    <t>Musicks Empire (1968)</t>
  </si>
  <si>
    <t>17-3</t>
  </si>
  <si>
    <t>Ching-a-Ring Chaw (1954)</t>
  </si>
  <si>
    <t>17-4</t>
  </si>
  <si>
    <t>Medieval Chant</t>
  </si>
  <si>
    <t>Traditional - Medieval</t>
  </si>
  <si>
    <t>Michael Engelhardt</t>
  </si>
  <si>
    <t>Gaudete (2014)</t>
  </si>
  <si>
    <t>17-5</t>
  </si>
  <si>
    <t>Irish Folksong</t>
  </si>
  <si>
    <t>Traditional - Irish Folk Song</t>
  </si>
  <si>
    <t>Pittsburgh Symphony Brass</t>
  </si>
  <si>
    <t>Wexford Carol (2000)</t>
  </si>
  <si>
    <t>17-6</t>
  </si>
  <si>
    <t>French Carol</t>
  </si>
  <si>
    <t>Traditional - French Folk Song</t>
  </si>
  <si>
    <t>Harry Robert Wilson (1901–1968) and Walter Ehret (1918–2009)</t>
  </si>
  <si>
    <t>Masters in This Hall</t>
  </si>
  <si>
    <t>17-7</t>
  </si>
  <si>
    <t>Natalie Sleeth</t>
  </si>
  <si>
    <t>Jazz Gloria (1970)</t>
  </si>
  <si>
    <t>17-8</t>
  </si>
  <si>
    <t>Ahrens and Flaherty</t>
  </si>
  <si>
    <t>Flaherty, Stephen</t>
  </si>
  <si>
    <t>Once upon a December (1996)</t>
  </si>
  <si>
    <t>17-9</t>
  </si>
  <si>
    <t>Audrey Snyder (b. 1953)</t>
  </si>
  <si>
    <t>Il est né le divin enfant</t>
  </si>
  <si>
    <t>Varied Ensemble III</t>
  </si>
  <si>
    <t>Lori Laitman</t>
  </si>
  <si>
    <t>I Never Saw Another Butterfly for Soprano and Clarinet (1996)</t>
  </si>
  <si>
    <t>Clara Schumann</t>
  </si>
  <si>
    <t>Aribert Reimann b. 1936</t>
  </si>
  <si>
    <t>from Three Lieder (1840, 1841; 2018)</t>
  </si>
  <si>
    <t>Luna (2016; 2020)</t>
  </si>
  <si>
    <t>Alyssa Morris</t>
  </si>
  <si>
    <t>Brush Strokes (2014)</t>
  </si>
  <si>
    <t>Mahoney</t>
  </si>
  <si>
    <t>Voice</t>
  </si>
  <si>
    <t>Henry Purcell</t>
  </si>
  <si>
    <t>I’ll Sail upon the Dog Star A Fool’s Preferment, or The Dukes of Dunstable (1688)</t>
  </si>
  <si>
    <t>Gerald Finzi</t>
  </si>
  <si>
    <t>Let Us Garlands Bring (1942)</t>
  </si>
  <si>
    <t>Christoph Willibald Gluck</t>
  </si>
  <si>
    <t>Glück, Christoph Willibald</t>
  </si>
  <si>
    <t>O del mio dolce ardor from Paride ed Yelena (1780)</t>
  </si>
  <si>
    <t>Giuseppe Sarti</t>
  </si>
  <si>
    <t>Lungi dal caro benè from Giulio Sabino (1781)</t>
  </si>
  <si>
    <t>Gaetano Donizetti</t>
  </si>
  <si>
    <t>Bella sicomme un angelo from Don Pasquale (1842)</t>
  </si>
  <si>
    <t>Betrachte meine Seel from St. John’s Passion, BWV 245 (1724)</t>
  </si>
  <si>
    <t>Abendempfindung, K. 523 (1787)</t>
  </si>
  <si>
    <t>Ralph Vaughan Williams</t>
  </si>
  <si>
    <t>Excerpts from Songs of Travel (1904)</t>
  </si>
  <si>
    <t>Franz Strauss</t>
  </si>
  <si>
    <t>Nocturno, op. 7 (1864)</t>
  </si>
  <si>
    <t>Sonata for Unaccompanied Violin No. 1 in G minor,</t>
  </si>
  <si>
    <t>David Maslanka</t>
  </si>
  <si>
    <t>My Lady White (1980)</t>
  </si>
  <si>
    <t>Musical Theatre</t>
  </si>
  <si>
    <t>Derthick</t>
  </si>
  <si>
    <t>Double Bass</t>
  </si>
  <si>
    <t>FromThe Limpid Stream, op. 39 (1934–35) - Adagio</t>
  </si>
  <si>
    <t>Vocalise, op. 34, no. 14 (1912)</t>
  </si>
  <si>
    <t>Serge Koussevitzky</t>
  </si>
  <si>
    <t>Valse minature, op. 1, no. 2 (c. 1900)</t>
  </si>
  <si>
    <t>Chanson triste, op. 2 (c. 1900)</t>
  </si>
  <si>
    <t>Humoresque, op. 4 (c. 1900)</t>
  </si>
  <si>
    <t>Thomas Derthick</t>
  </si>
  <si>
    <t>To Be Determined (2022)</t>
  </si>
  <si>
    <t>Morton Gould</t>
  </si>
  <si>
    <t>Benny’s Gig: Eight Duos for Clarinet and Double Bass (1962; 1979)</t>
  </si>
  <si>
    <t>Kong</t>
  </si>
  <si>
    <t>Franz Schubert</t>
  </si>
  <si>
    <t>Impromptus, D. 935, op. 142 (1827) No. 4 - in F minor: Allegro scherzando</t>
  </si>
  <si>
    <t>Preludes: La puerta del vino</t>
  </si>
  <si>
    <t>Les collines d’Anacapri</t>
  </si>
  <si>
    <t>Suite de danzas criollas, op. 15 (1946)</t>
  </si>
  <si>
    <t>Cating Costa</t>
  </si>
  <si>
    <t>Florence Price</t>
  </si>
  <si>
    <t>To a White Rose, Version B (1949)</t>
  </si>
  <si>
    <t>Dream Boat (date unknown)</t>
  </si>
  <si>
    <t>On a Quiet Lake (1929)</t>
  </si>
  <si>
    <t>Eight Klavierstücke, op. 76 (1871–78)</t>
  </si>
  <si>
    <t>Fanny Mendelssohn-Hensel</t>
  </si>
  <si>
    <t>Four Lieder for Piano, op. 2</t>
  </si>
  <si>
    <t>Murillo</t>
  </si>
  <si>
    <t>Trumpet</t>
  </si>
  <si>
    <t>Trio for Trumpet, Violin, and Piano in E-flat major (1992)</t>
  </si>
  <si>
    <t>Eugene Bozza</t>
  </si>
  <si>
    <t>Bozza, Eugène</t>
  </si>
  <si>
    <t>Rustiques (1955)</t>
  </si>
  <si>
    <t>Fuentes, Rubén</t>
  </si>
  <si>
    <t>El son del cuatro</t>
  </si>
  <si>
    <t>North, Alex and Zaret, Hy</t>
  </si>
  <si>
    <t>Lopez, Eddie</t>
  </si>
  <si>
    <t>Unchained Melody (1955; 2020)</t>
  </si>
  <si>
    <t>Benjamin Sánchez Mota</t>
  </si>
  <si>
    <t>Mota, Benjamin Sánchez</t>
  </si>
  <si>
    <t>El adiós a la vida (1979)</t>
  </si>
  <si>
    <t>Homenaje a Miguel Martínez (2016)</t>
  </si>
  <si>
    <t>Miller</t>
  </si>
  <si>
    <t>Clarinet</t>
  </si>
  <si>
    <t>Robert Schumann</t>
  </si>
  <si>
    <t>Fantasiestücke, op. 73 (1849)</t>
  </si>
  <si>
    <t>Laura Jackson, conductor-in-residence</t>
  </si>
  <si>
    <t>University Symphony Orchestra</t>
  </si>
  <si>
    <t>Jimmy López Bellido</t>
  </si>
  <si>
    <t>Fiesta! (2007) - IV. Techno</t>
  </si>
  <si>
    <t>Carlos Simon</t>
  </si>
  <si>
    <t>Tales: A Folklore Symphony (2021) - II. Flying Africans, IV. John Henry</t>
  </si>
  <si>
    <t>Symphony No. 1 in E minor (1931–32)</t>
  </si>
  <si>
    <t>Dover Quartet</t>
  </si>
  <si>
    <t>Joseph Hayden</t>
  </si>
  <si>
    <t>Haydn, Franz Joseph</t>
  </si>
  <si>
    <t>QUARTET IN E♭ MAJOR, HOB.III:38, OP. 33, NO. 2 (1781)</t>
  </si>
  <si>
    <t>Amy Beach</t>
  </si>
  <si>
    <t>QUARTET FOR STRINGS IN ONE MOVEMENT, OP. 89 (1929)</t>
  </si>
  <si>
    <t>Antonin Dvorak</t>
  </si>
  <si>
    <t>QUARTET NO. 10 IN E♭ MAJOR, OP. 51 (1878-79)</t>
  </si>
  <si>
    <t>Ikegaya &amp; Martinez</t>
  </si>
  <si>
    <t>Guest Artist Series</t>
  </si>
  <si>
    <t>Saxophone</t>
  </si>
  <si>
    <t>Nina Shekhar</t>
  </si>
  <si>
    <t>Urban Development (2017)</t>
  </si>
  <si>
    <t>David N. Baker</t>
  </si>
  <si>
    <t>Baker, David N.</t>
  </si>
  <si>
    <t>Duet for Alto Saxophones (1990)</t>
  </si>
  <si>
    <t>Rolando Budini</t>
  </si>
  <si>
    <t>Canon en aire de joropo (2011)</t>
  </si>
  <si>
    <t>Lucie Robert</t>
  </si>
  <si>
    <t>Rythmes lyriques (1982)</t>
  </si>
  <si>
    <t>Takashi Yoshimatsub. 1953</t>
  </si>
  <si>
    <t>Yoshimatsu, Takashi</t>
  </si>
  <si>
    <t>Fuzzy Bird Sonata (1991)</t>
  </si>
  <si>
    <t>Ennio Morricone</t>
  </si>
  <si>
    <t>Morricone Paradiso (1988; 2012)</t>
  </si>
  <si>
    <t>Choir</t>
  </si>
  <si>
    <t>Wolfgang Amadeus Mozart</t>
  </si>
  <si>
    <t>Missa brevis in D major, K. 186h (K. 194) (1774)</t>
  </si>
  <si>
    <t>Rick Bjella</t>
  </si>
  <si>
    <t>Idumea (1991)</t>
  </si>
  <si>
    <t>Paul Basler</t>
  </si>
  <si>
    <t>Alleluia (2014)</t>
  </si>
  <si>
    <t>Kim André Arnesen</t>
  </si>
  <si>
    <t>Arnesen, Kim Andre</t>
  </si>
  <si>
    <t>Flight Song (2014)</t>
  </si>
  <si>
    <t>Traditional</t>
  </si>
  <si>
    <t>City Called Heaven (1994)</t>
  </si>
  <si>
    <t>Honors Recital</t>
  </si>
  <si>
    <t>Russell Pinkston</t>
  </si>
  <si>
    <t>Zylamander for Horn and Max/MSP (2011)</t>
  </si>
  <si>
    <t>Willson Osborne</t>
  </si>
  <si>
    <t>Rhapsody for Clarinet (1958)</t>
  </si>
  <si>
    <t>Preludes, Book 1 (1909–10) - VI. Des pas sur la neige, IX. La sérénade interrompue</t>
  </si>
  <si>
    <t>Allerseelen, op. 10, no. 8 (1885)</t>
  </si>
  <si>
    <t>Max Bruch</t>
  </si>
  <si>
    <t>Romance, op. 85 (1911)</t>
  </si>
  <si>
    <t>I Never Saw Another Butterfly for Soprano and Clarinet (1996) - III. Birdsong</t>
  </si>
  <si>
    <t>Jules Demersseman</t>
  </si>
  <si>
    <t>Le carnaval de Venise (1860)</t>
  </si>
  <si>
    <t>Von ewiger Liebe, op. 43, no. 1 (1864)</t>
  </si>
  <si>
    <t>Manuel de Falla</t>
  </si>
  <si>
    <t>Siete canciones populares españolas (1914) - V. Nana</t>
  </si>
  <si>
    <t>Aram Khachaturian</t>
  </si>
  <si>
    <t>Flute (Violin) Concerto (1940) (arr. by the composer) - III. Allegro vivace</t>
  </si>
  <si>
    <t>Burke-Baker</t>
  </si>
  <si>
    <t>Violin</t>
  </si>
  <si>
    <t>Astor Piazzolla</t>
  </si>
  <si>
    <t>Street Tango (1987; 2006)</t>
  </si>
  <si>
    <t>Violin Sonata (Sonatina) in D major, D. 384,</t>
  </si>
  <si>
    <t>Violin Sonatina in G major, op. 100 (1893)</t>
  </si>
  <si>
    <t>Juan Neri-Mancilla</t>
  </si>
  <si>
    <t>Pajaro cú (1961)</t>
  </si>
  <si>
    <t>Trio Ellas</t>
  </si>
  <si>
    <t>Ódiame (2012)</t>
  </si>
  <si>
    <t>Valadez, Alberto Aguilera</t>
  </si>
  <si>
    <t>No vale la peña (1986)</t>
  </si>
  <si>
    <t>El rey de la Huasteca (2016)</t>
  </si>
  <si>
    <t>Pacifc Wind Bands</t>
  </si>
  <si>
    <t>David Biedenbender</t>
  </si>
  <si>
    <t>Ghost Apparatus (2017)</t>
  </si>
  <si>
    <t>Joel Puckett</t>
  </si>
  <si>
    <t>A Proper Goodbye (2020) - 1. a good rain, 2. a proper goodbye</t>
  </si>
  <si>
    <t>Marie Douglas</t>
  </si>
  <si>
    <t>Flute Concerto (2022) (Consortium Premiere)</t>
  </si>
  <si>
    <t>Rossano Galante</t>
  </si>
  <si>
    <t>Nostalgia (2017)</t>
  </si>
  <si>
    <t>Norman Dello Joio</t>
  </si>
  <si>
    <t>Scenes from the Louvre (1966)</t>
  </si>
  <si>
    <t>Valerie Coleman</t>
  </si>
  <si>
    <t>Umoja (2001; 2008)</t>
  </si>
  <si>
    <t>Incitatus (2019)</t>
  </si>
  <si>
    <t>Erwin Schulhoff</t>
  </si>
  <si>
    <t>Five Pieces for String Quartet (1923) - I, II, III</t>
  </si>
  <si>
    <t>Sarah Shin</t>
  </si>
  <si>
    <t>Flute</t>
  </si>
  <si>
    <t>Isang Yun</t>
  </si>
  <si>
    <t>Etude No. 5 (1974)</t>
  </si>
  <si>
    <t>Adolphus Hailstork</t>
  </si>
  <si>
    <t>Yuhwa (2019)</t>
  </si>
  <si>
    <t>Shumalit Ran</t>
  </si>
  <si>
    <t>Ran, Shulamit</t>
  </si>
  <si>
    <t>East Wind (1988)</t>
  </si>
  <si>
    <t>Georg Philipp Telemann</t>
  </si>
  <si>
    <t>Telemann, Georg Philipp</t>
  </si>
  <si>
    <t>Fantasie No. 10 in F-sharp minor (1733)</t>
  </si>
  <si>
    <t>Sigfrid Karg-Elert</t>
  </si>
  <si>
    <t>Chaconne (1918)</t>
  </si>
  <si>
    <t>Adina Izarra</t>
  </si>
  <si>
    <t>El Amolador (1992)</t>
  </si>
  <si>
    <t>Frank Wiens</t>
  </si>
  <si>
    <t>Impromptu in G-flat major, D. 899, op. 90, no. 3 (1827)</t>
  </si>
  <si>
    <t>Piano Sonata No. 3 in C major, op. 2, no. 3 (1794–95)</t>
  </si>
  <si>
    <t>Gabriel Fauré</t>
  </si>
  <si>
    <t>Nocturne in D-flat major, op. 63 (1894)</t>
  </si>
  <si>
    <t>L’isle joyeuse (1903–04)</t>
  </si>
  <si>
    <t>Piano Sonata No. 1 in C-sharp minor (1953; 1991)</t>
  </si>
  <si>
    <t>Fryderyck Chopin</t>
  </si>
  <si>
    <t>Chopin, Frédéric</t>
  </si>
  <si>
    <t>Nocturne in C minor, op. 48, no. 1 (1841)</t>
  </si>
  <si>
    <t>Polonaise in A-flat major, op. 53 (1842–53)</t>
  </si>
  <si>
    <t>Hebrard</t>
  </si>
  <si>
    <t>Basson</t>
  </si>
  <si>
    <t>Breczinski, Stuart</t>
  </si>
  <si>
    <t>Fantasie for Bassoon and Electronics (2019)</t>
  </si>
  <si>
    <t>Hummel Johann, Nepomuk</t>
  </si>
  <si>
    <t>Bassoon Concerto (1805)</t>
  </si>
  <si>
    <t>Leah Paul</t>
  </si>
  <si>
    <t>Tornado Lullaby (2010)</t>
  </si>
  <si>
    <t>Ovals (2010)</t>
  </si>
  <si>
    <t>Tiêt, Tôn-Thât</t>
  </si>
  <si>
    <t>Jeu des cinq éléments II (1982)</t>
  </si>
  <si>
    <t>Alexandre Tansman</t>
  </si>
  <si>
    <t>Bassoon Sonatine (1952)</t>
  </si>
  <si>
    <t>Zoey Cutler</t>
  </si>
  <si>
    <t>Slap my B[ass]oon (2018)</t>
  </si>
  <si>
    <t>Slapslap</t>
  </si>
  <si>
    <t>Neon Pink Fax Machine (2019)</t>
  </si>
  <si>
    <t>Han</t>
  </si>
  <si>
    <t>Jennifer Higdon</t>
  </si>
  <si>
    <t>String Poetic (2006)</t>
  </si>
  <si>
    <t>Camille Saint-Saëns</t>
  </si>
  <si>
    <t>Danse macabre, op. 40 (1874)</t>
  </si>
  <si>
    <t>Zhan Hao He and Gang Chen</t>
  </si>
  <si>
    <t>The Butterfly Lovers’ Violin Concerto</t>
  </si>
  <si>
    <t>Charlotte Han</t>
  </si>
  <si>
    <t>21 (2023)</t>
  </si>
  <si>
    <t>Stone-Fox</t>
  </si>
  <si>
    <t>Arcangelo Corelli</t>
  </si>
  <si>
    <t>F. O. Dessoff</t>
  </si>
  <si>
    <t>Violin Sonata in D major, op. 5, no. 1 (1700)</t>
  </si>
  <si>
    <t>Trio Sonata in A minor, TWV 42:a4 (1739–40)</t>
  </si>
  <si>
    <t>Melissa Aldana (Guest Saxophone)</t>
  </si>
  <si>
    <t>Student/Guest</t>
  </si>
  <si>
    <t>Jazz Ensemble</t>
  </si>
  <si>
    <t>Chick Corea</t>
  </si>
  <si>
    <t>Mike Tomaro</t>
  </si>
  <si>
    <t>Windows (1966; 1978)</t>
  </si>
  <si>
    <t>Mary Lou Williams</t>
  </si>
  <si>
    <t>Williams, Mary Lou</t>
  </si>
  <si>
    <t>Walkin’ and Swingin’ (1936)</t>
  </si>
  <si>
    <t>Full Nelson (1962)</t>
  </si>
  <si>
    <t>Punjab (1964)</t>
  </si>
  <si>
    <t>Mark Taylor</t>
  </si>
  <si>
    <t>Overjoyed (1979; 1983)</t>
  </si>
  <si>
    <t>Crystal Silence (1972; 1978)</t>
  </si>
  <si>
    <t>Joey Calderazzo</t>
  </si>
  <si>
    <t>Alan Baylock</t>
  </si>
  <si>
    <t>Midnight Voyage (1996; 2009)</t>
  </si>
  <si>
    <t>Jazz Ambassadors</t>
  </si>
  <si>
    <t>Herbie Hancock</t>
  </si>
  <si>
    <t>I Have a Dream (1968–69)</t>
  </si>
  <si>
    <t>Round Midnight (1943)</t>
  </si>
  <si>
    <t>Wynton Marsalis</t>
  </si>
  <si>
    <t>Delfeayo’s Dilemma (1985)</t>
  </si>
  <si>
    <t>Aquino</t>
  </si>
  <si>
    <t>Amanda Maier</t>
  </si>
  <si>
    <t>Six Pieces for Violin and Piano (1879)</t>
  </si>
  <si>
    <t>Amy Cheney Beach</t>
  </si>
  <si>
    <t>Beach, Amy</t>
  </si>
  <si>
    <t>Romance for Violin and Piano, op. 23 (1893)</t>
  </si>
  <si>
    <t>Violin Concerto No. 1 in D major (1939)</t>
  </si>
  <si>
    <t>Castillo</t>
  </si>
  <si>
    <t>Castillo, Nicandro</t>
  </si>
  <si>
    <t>Stephen M. Carrillo</t>
  </si>
  <si>
    <t>Las tres Huastecas (1970)</t>
  </si>
  <si>
    <t>Marco Antonio Solís</t>
  </si>
  <si>
    <t>Jorge Contreras</t>
  </si>
  <si>
    <t>Se va muriendo mi alma (1999)</t>
  </si>
  <si>
    <t>José Gorgonio Cortés Carrasco</t>
  </si>
  <si>
    <t>Carrasco, José Gorgonio Cortés</t>
  </si>
  <si>
    <t>Felix Garay</t>
  </si>
  <si>
    <t>Rondinella (1955)</t>
  </si>
  <si>
    <t>Tse</t>
  </si>
  <si>
    <t>Viola</t>
  </si>
  <si>
    <t>Suite for Unaccompanied Viola (Cello) No. 4 in E-flat major, BWV 1010 (1717–23)</t>
  </si>
  <si>
    <t>Béla Bartók</t>
  </si>
  <si>
    <t>Viola Concerto (1945)</t>
  </si>
  <si>
    <t>Rəqs (Dance) (2015)</t>
  </si>
  <si>
    <t>Sadie Glass</t>
  </si>
  <si>
    <t>French Horn</t>
  </si>
  <si>
    <t>Lionheart’s Call (2020)</t>
  </si>
  <si>
    <t>Hermann Baumann</t>
  </si>
  <si>
    <t>Elegia für Natürhorn (1984)</t>
  </si>
  <si>
    <t>Aleksandr Glazunov</t>
  </si>
  <si>
    <t>Glazunov, Alexander</t>
  </si>
  <si>
    <t>Reverie</t>
  </si>
  <si>
    <t>Cloudbreak (2021)</t>
  </si>
  <si>
    <t>Gina Gillie</t>
  </si>
  <si>
    <t>Reverie for Horn and Piano (2019)</t>
  </si>
  <si>
    <t>Franz Danzi</t>
  </si>
  <si>
    <t>Horn Sonata in E-flat major, op. 28</t>
  </si>
  <si>
    <t>Gonzales</t>
  </si>
  <si>
    <t>Elegy No. 1 in D major (1870)</t>
  </si>
  <si>
    <t>Edward Elgar</t>
  </si>
  <si>
    <t>Salut d’amour (1888)</t>
  </si>
  <si>
    <t>Salut Serge Koussevitzky</t>
  </si>
  <si>
    <t>Koussevitzky, Serge</t>
  </si>
  <si>
    <t>Bass Concerto, op. 3 (1902)</t>
  </si>
  <si>
    <t>Reinhold Glière</t>
  </si>
  <si>
    <t>Deux morceaux pour contrebasse et piano, op. 9 (1902)</t>
  </si>
  <si>
    <t>Romance, op. 23 (1893)</t>
  </si>
  <si>
    <t>Božo Paradžik</t>
  </si>
  <si>
    <t>Themes from Cinema paradiso (1988)</t>
  </si>
  <si>
    <t>Pedregon</t>
  </si>
  <si>
    <t>Gianna Pedregon</t>
  </si>
  <si>
    <t>Leona (2023)</t>
  </si>
  <si>
    <t>You’re Everything (1973)</t>
  </si>
  <si>
    <t>Herb Ellis</t>
  </si>
  <si>
    <t>Detour Ahead (1948)</t>
  </si>
  <si>
    <t>Billy Childs</t>
  </si>
  <si>
    <t>Backwards Bop (2017)</t>
  </si>
  <si>
    <t>Huen</t>
  </si>
  <si>
    <t>Violin Concerto No. 5 in A major, “Turkish’’ (1775)</t>
  </si>
  <si>
    <t>String Quartet No. 12 in F major, op. 96, “American” (1893)</t>
  </si>
  <si>
    <t>Havanaise, op. 83 (1887)</t>
  </si>
  <si>
    <t>Farris</t>
  </si>
  <si>
    <t>To Greet the Sun (2005)</t>
  </si>
  <si>
    <t>Flute Concerto No. 1 in G major, K. 285c (K. 313) (1778)</t>
  </si>
  <si>
    <t>Paul Taffanel</t>
  </si>
  <si>
    <t>Andante pastoral et Scherzettino (1907)</t>
  </si>
  <si>
    <t>Flute Sonata (1928)</t>
  </si>
  <si>
    <t>Liaw</t>
  </si>
  <si>
    <t>Piano Sonata in A major, D. 664, op. 120 (1819)</t>
  </si>
  <si>
    <t>Preludes, Book 1 (1912–13)</t>
  </si>
  <si>
    <t>William Grant Still</t>
  </si>
  <si>
    <t>Still, William Grant</t>
  </si>
  <si>
    <t>Seven Traceries (1940)</t>
  </si>
  <si>
    <t>Grace Liaw</t>
  </si>
  <si>
    <t>With Peace (2022)</t>
  </si>
  <si>
    <t>Northcutt</t>
  </si>
  <si>
    <t>Lera Auerbach</t>
  </si>
  <si>
    <t>24 Preludes for Violin and Piano (1999) - 1, 11, 15</t>
  </si>
  <si>
    <t>Partita No. 2 for Unaccompanied Violin in D minor, BWV 1004 (1717–20) - V. Chaconne</t>
  </si>
  <si>
    <t>Opera Theatre</t>
  </si>
  <si>
    <t>Into the Woods</t>
  </si>
  <si>
    <t>Ghpmoma</t>
  </si>
  <si>
    <t>Lionel Louke</t>
  </si>
  <si>
    <t>Loueke, Lionel</t>
  </si>
  <si>
    <t>Benny’s Tune (2008)</t>
  </si>
  <si>
    <t>Wes Montgomery</t>
  </si>
  <si>
    <t>Fried Pies (1963)</t>
  </si>
  <si>
    <t>Jesse Greer</t>
  </si>
  <si>
    <t>Just You, Just Me (1938)</t>
  </si>
  <si>
    <t>Billy Strayhorn</t>
  </si>
  <si>
    <t>Isfahan (1967)</t>
  </si>
  <si>
    <t>I Have a Dream (1969)</t>
  </si>
  <si>
    <t>Piano Sonata No. 17 in D minor, op. 31, no. 2 (1802)</t>
  </si>
  <si>
    <t>Brush Strokes (2015) III. Van Gogh</t>
  </si>
  <si>
    <t>Ian Orejana</t>
  </si>
  <si>
    <t>Three Short Pieces (2023)</t>
  </si>
  <si>
    <t>Piano Sonata No. 12 in A-flat major, op. 26 (1800–01)</t>
  </si>
  <si>
    <t>Kowalski</t>
  </si>
  <si>
    <t>Joachim Andersen</t>
  </si>
  <si>
    <t>24 Etudes for Flute, op. 15, no. 1 (1885)</t>
  </si>
  <si>
    <t>Ian Clarke</t>
  </si>
  <si>
    <t>maya (2000)</t>
  </si>
  <si>
    <t>Tzigane for Wind Quintet (2011)</t>
  </si>
  <si>
    <t>Flute (Violin) Concerto (1940) (arr. by the composer)</t>
  </si>
  <si>
    <t>Romero</t>
  </si>
  <si>
    <t>Horn</t>
  </si>
  <si>
    <t>Leone Sinigaglia</t>
  </si>
  <si>
    <t>Zweistücke, Op. 10 (1903)</t>
  </si>
  <si>
    <t>Alec Wilder</t>
  </si>
  <si>
    <t>Horn Sonata No. 3 (1970)</t>
  </si>
  <si>
    <t>Graeme Rosner</t>
  </si>
  <si>
    <t>Manhunt for Horn and Electronics (2020)</t>
  </si>
  <si>
    <t>Lopez</t>
  </si>
  <si>
    <t>Clarinet Sonata in E-flat major, op. 167 (1921)</t>
  </si>
  <si>
    <t>Ross</t>
  </si>
  <si>
    <t>Vocalise-Waltz (1996)</t>
  </si>
  <si>
    <t>Jean-Michel Damase</t>
  </si>
  <si>
    <t>Trio for Oboe, Horn and Piano (1993)</t>
  </si>
  <si>
    <t>Cloudbreak for Two Horns and Fixed Media 2021</t>
  </si>
  <si>
    <t>Adagio and Allegro, op. 70 (1849)</t>
  </si>
  <si>
    <t>Dorothy Gates</t>
  </si>
  <si>
    <t>Imaginings (2017)</t>
  </si>
  <si>
    <t>Herbers</t>
  </si>
  <si>
    <t>Stduent</t>
  </si>
  <si>
    <t>Percussion</t>
  </si>
  <si>
    <t>Dream of the Cherry Blossoms (1983)</t>
  </si>
  <si>
    <t>Áskell Másson</t>
  </si>
  <si>
    <t>Prím (1984)</t>
  </si>
  <si>
    <t>Ney Rosauro</t>
  </si>
  <si>
    <t>Marimba Concerto No. 1 (1986)</t>
  </si>
  <si>
    <t>Slap My B[ass]oon (2018)</t>
  </si>
  <si>
    <t>Ivan Trevino</t>
  </si>
  <si>
    <t>Open Your Eyes (2013)</t>
  </si>
  <si>
    <t>Michele Mangani</t>
  </si>
  <si>
    <t>Blues from An American in Paris (2003)</t>
  </si>
  <si>
    <t>Arturo Márquez</t>
  </si>
  <si>
    <t>Zarabandeo (2005)</t>
  </si>
  <si>
    <t>Bernhard Henrik Crusell</t>
  </si>
  <si>
    <t>Crusell, Bernhard</t>
  </si>
  <si>
    <t>Clarinet Concerto No. 2 in F minor, op. 5 (1815)</t>
  </si>
  <si>
    <t>Wind Quintet No. 1 (1984)</t>
  </si>
  <si>
    <t>Gene Kavadlo</t>
  </si>
  <si>
    <t>Klezmer Dances (2005)</t>
  </si>
  <si>
    <t>John Bergamo</t>
  </si>
  <si>
    <t>Piru Bole (1986)</t>
  </si>
  <si>
    <t>Jane Damon</t>
  </si>
  <si>
    <t>Kugelblitz (2022)</t>
  </si>
  <si>
    <t>Mary M. Denney</t>
  </si>
  <si>
    <t>Denney, Mary M.</t>
  </si>
  <si>
    <t>Lullaby (2022)</t>
  </si>
  <si>
    <t>Orlando Jacinto García</t>
  </si>
  <si>
    <t>García, Orlando Jacinto</t>
  </si>
  <si>
    <t>Una luz an la neblina distante (1994/2000)</t>
  </si>
  <si>
    <t>Batucada</t>
  </si>
  <si>
    <t>Frediere</t>
  </si>
  <si>
    <t>Giuseppe Verdi</t>
  </si>
  <si>
    <t>Sul fil d’un soffio etesio, from Falstaff (1893)</t>
  </si>
  <si>
    <t>Ich wollt ein Sträusslein binden, from Sechs Lieder, op. 68 , no. 2 (1918)</t>
  </si>
  <si>
    <t>Green, from Ariettes oubliées, L. 60:5 (1885–87)</t>
  </si>
  <si>
    <t>Deh, vieni, non tardar, from Le nozze di Figaro K. 492 (1786)</t>
  </si>
  <si>
    <t>Ach, ich fühl’s, from Die Zauberflöte, K. 620 (1791)</t>
  </si>
  <si>
    <t>Léo Delibes</t>
  </si>
  <si>
    <t>Viens, Mallika, les lianes en fleurs (Flower Duet) from Lakmé (1881–82)</t>
  </si>
  <si>
    <t>Henri Vieuxtemps</t>
  </si>
  <si>
    <t>Violin Concerto No. 4 in D minor (c. 1850)</t>
  </si>
  <si>
    <t>Nancy Galbraith</t>
  </si>
  <si>
    <t>Bassoon Sonata (2004)</t>
  </si>
  <si>
    <t>Violin Sonata in A minor, op. 23 (1801)</t>
  </si>
  <si>
    <t>Brush Strokes (2014) - III. Van Gogh</t>
  </si>
  <si>
    <t>Wind Bands (Kevin Day)</t>
  </si>
  <si>
    <t>Wind Bands</t>
  </si>
  <si>
    <t>Serenade in C minor, K. 384a (K. 388) (1783)</t>
  </si>
  <si>
    <t>Katherine Bergman</t>
  </si>
  <si>
    <t>Dream Machine (2016)</t>
  </si>
  <si>
    <t>Marie A. Douglas</t>
  </si>
  <si>
    <t>Douglas, Marie</t>
  </si>
  <si>
    <t>I Am Enough (2023) (Consortium Premiere)</t>
  </si>
  <si>
    <t>Logan Feece</t>
  </si>
  <si>
    <t>The Rise of the Sun God (2023) (World Premiere)</t>
  </si>
  <si>
    <t>Nubia Jaime Donjuan</t>
  </si>
  <si>
    <t>Donjuan, Nubia Jaime</t>
  </si>
  <si>
    <t>Little Mexican Suite (2022)</t>
  </si>
  <si>
    <t>Kevin Day</t>
  </si>
  <si>
    <t>Requiem for the Unarmed (2020)</t>
  </si>
  <si>
    <t>Shimmering Sunshine (2019)</t>
  </si>
  <si>
    <t>Stollard</t>
  </si>
  <si>
    <t>Samuel Coleridge‑Taylor</t>
  </si>
  <si>
    <t>Coleridge-Taylor, Samuel</t>
  </si>
  <si>
    <t>Four African Dances, op. 58 (1904)</t>
  </si>
  <si>
    <t>Partita No. 2 for Unaccompanied Violin in D minor, BWV 1004 (1717–20)</t>
  </si>
  <si>
    <t>Polish Capriccio (1949)</t>
  </si>
  <si>
    <t>Violin Concerto No. 3 in B minor, op. 61 (1880)</t>
  </si>
  <si>
    <t>New Music Ensemble</t>
  </si>
  <si>
    <t>Lauren Bernofsky</t>
  </si>
  <si>
    <t>Quintet for Horn and Strings (2021)</t>
  </si>
  <si>
    <t>Jeff Scott</t>
  </si>
  <si>
    <t>Trio for Brass (2002)</t>
  </si>
  <si>
    <t>Donald Parker</t>
  </si>
  <si>
    <t>Homage to Duke (2005)</t>
  </si>
  <si>
    <t>Thea Musgrave</t>
  </si>
  <si>
    <t>Voices (2023)</t>
  </si>
  <si>
    <t>Timo Andres</t>
  </si>
  <si>
    <t>Power Play (2015)</t>
  </si>
  <si>
    <t>Adcock</t>
  </si>
  <si>
    <t>oboe</t>
  </si>
  <si>
    <t>Four Personalities (2007)</t>
  </si>
  <si>
    <t>American Vein (2019)</t>
  </si>
  <si>
    <t>Viet Cuong</t>
  </si>
  <si>
    <t>Six Canadian Scenes (2009)</t>
  </si>
  <si>
    <t>Jun Ishikawa</t>
  </si>
  <si>
    <t>Dream a New Dream for Tomorrow</t>
  </si>
  <si>
    <t>Five Pieces for String Quartet (1923)</t>
  </si>
  <si>
    <t>Felix Mendelssohn</t>
  </si>
  <si>
    <t>String Quartet No. 2 in A minor, op. 13</t>
  </si>
  <si>
    <t>Ann Kearns</t>
  </si>
  <si>
    <t>Six Poems of Mary Oliver</t>
  </si>
  <si>
    <t>Antonin Dvorák</t>
  </si>
  <si>
    <t>Dvorak, Antonin</t>
  </si>
  <si>
    <t>String Quartet No. 14 in D minor, D 810, Death and the Maiden 1824</t>
  </si>
  <si>
    <t>Bosnick</t>
  </si>
  <si>
    <t>Oboe</t>
  </si>
  <si>
    <t>Handel, George Friedrich</t>
  </si>
  <si>
    <t>Sonata in G minor, op. 1, no. 6 (1722)</t>
  </si>
  <si>
    <t>Oboe Sonata in D major, op. 166 (1921)</t>
  </si>
  <si>
    <t>Finley</t>
  </si>
  <si>
    <t>Gioachino Rossini</t>
  </si>
  <si>
    <t>Una voce poco fa, from Il barbiere di Siviglia (1816)</t>
  </si>
  <si>
    <t>Allerseelen, op. 10, no. 2 (1885)</t>
  </si>
  <si>
    <t>Banalités (1940)</t>
  </si>
  <si>
    <t>Benjamin Britten</t>
  </si>
  <si>
    <t>Cabaret Songs</t>
  </si>
  <si>
    <t>Jimmy McHugh</t>
  </si>
  <si>
    <t>I’m in the Mood for Love (1935)</t>
  </si>
  <si>
    <t>Irving Berlin</t>
  </si>
  <si>
    <t>Cheek to Cheek (1934–35)</t>
  </si>
  <si>
    <t>Jalacy “Screamin’ Jay” Hawkins</t>
  </si>
  <si>
    <t>Hawkins, Jay</t>
  </si>
  <si>
    <t>I Put a Spell on You (1956)</t>
  </si>
  <si>
    <t>Erroll Garner</t>
  </si>
  <si>
    <t>Misty (1954)</t>
  </si>
  <si>
    <t>Marcy Heisler and Zina Goldrich</t>
  </si>
  <si>
    <t>Taylor, the Latte Boy (2004)</t>
  </si>
  <si>
    <t>Baluyot</t>
  </si>
  <si>
    <t>Manuel María Ponce</t>
  </si>
  <si>
    <t>Ponce, Manuel</t>
  </si>
  <si>
    <t>Intermezzo No. 1 (1909)</t>
  </si>
  <si>
    <t>Piano Sonata in F major, K. 300k (K. 332) (1781–83)</t>
  </si>
  <si>
    <t>Alexander Tcherepnin</t>
  </si>
  <si>
    <t>Expressions, op. 81 (1951)</t>
  </si>
  <si>
    <t>Jean Sibelius</t>
  </si>
  <si>
    <t>Five Pieces for Piano, op. 75 (1914)</t>
  </si>
  <si>
    <t>Eraserheads</t>
  </si>
  <si>
    <t>Myke Salomon</t>
  </si>
  <si>
    <t>Alapaap/Overdrive</t>
  </si>
  <si>
    <t>Reese Lansangan</t>
  </si>
  <si>
    <t>Huwag kang matakot</t>
  </si>
  <si>
    <t>Repertoire Orchstra</t>
  </si>
  <si>
    <t>Student-Run Ensemble</t>
  </si>
  <si>
    <t>Louise Farrenc</t>
  </si>
  <si>
    <t>Nonet Op. 38 (1849)</t>
  </si>
  <si>
    <t>Adoration (1951)</t>
  </si>
  <si>
    <t>Vado, my dove? (1789)</t>
  </si>
  <si>
    <t>Piano Concerto No. 15 in B-flat major, K.450 (1784)</t>
  </si>
  <si>
    <t>Siragusa</t>
  </si>
  <si>
    <t>Student Recital - Jazz</t>
  </si>
  <si>
    <t>Trombone</t>
  </si>
  <si>
    <t>Have You Met Miss Jones? (1937)</t>
  </si>
  <si>
    <t>Daniel Siragusa</t>
  </si>
  <si>
    <t>Wolf Waltz (2023)</t>
  </si>
  <si>
    <t>George Gershwin</t>
  </si>
  <si>
    <t>J. J. Johnson</t>
  </si>
  <si>
    <t>Our Love Is Here to Stay (1937)</t>
  </si>
  <si>
    <t>Shadow (2023)</t>
  </si>
  <si>
    <t>Antônio Carlos Jobim</t>
  </si>
  <si>
    <t>Jobim, Antonio Carlos</t>
  </si>
  <si>
    <t>Wave (1967)</t>
  </si>
  <si>
    <t>Curtis Fuller</t>
  </si>
  <si>
    <t>Da-Baby (1958)</t>
  </si>
  <si>
    <t>Machado</t>
  </si>
  <si>
    <t>Bronisław Kaper</t>
  </si>
  <si>
    <t>Reyna Machado</t>
  </si>
  <si>
    <t>Invitation (1950)</t>
  </si>
  <si>
    <t>Petal Three (2023)</t>
  </si>
  <si>
    <t>Cole Porter</t>
  </si>
  <si>
    <t>Cannonball Adderley</t>
  </si>
  <si>
    <t>What Is This Thing Called Love? (1929)</t>
  </si>
  <si>
    <t>Edwin Bonilla</t>
  </si>
  <si>
    <t>Recordando las descargas (Remembering the Jams)</t>
  </si>
  <si>
    <t>Joseph Rheinberger</t>
  </si>
  <si>
    <t>Rheinberger, Josef</t>
  </si>
  <si>
    <t>Six Pieces for Violin and Organ, op. 150 (1888)</t>
  </si>
  <si>
    <t>Requiem, op. 48 (1893)</t>
  </si>
  <si>
    <t>Shaughnessy</t>
  </si>
  <si>
    <t>Sonata Unaccompanied Violin No. 1 in G minor BWV 1001 (1720</t>
  </si>
  <si>
    <t>Violin Concerto in D minor, op. 47 (1905)</t>
  </si>
  <si>
    <t>Sergei Prokofiev</t>
  </si>
  <si>
    <t>Prokofiev, Sergey</t>
  </si>
  <si>
    <t>Violin Sonata No. 2 in D major, op. 94a (1943)</t>
  </si>
  <si>
    <t>String Quartet No. 2 in A minor, op. 13 (1827)</t>
  </si>
  <si>
    <t>Varied Ensemble - II</t>
  </si>
  <si>
    <t>Charles Evans</t>
  </si>
  <si>
    <t>Sonata da chiesa, op. 3, no. 7 (c. 1689)</t>
  </si>
  <si>
    <t>Walter Piston</t>
  </si>
  <si>
    <t>Three Pieces (1929)</t>
  </si>
  <si>
    <t>Syria, A Fractal of WE (2015)</t>
  </si>
  <si>
    <t>Sonata for Horn, Trumpet, and Trombone (1922; 1945)</t>
  </si>
  <si>
    <t>Tabbaa</t>
  </si>
  <si>
    <t>Bassoon</t>
  </si>
  <si>
    <t>Camille Saint-Saens</t>
  </si>
  <si>
    <t>Saint-Saëns, Camille</t>
  </si>
  <si>
    <t>Bassoon Sonata in G major, op. 168 (1921)</t>
  </si>
  <si>
    <t>Maurice Ravel</t>
  </si>
  <si>
    <t>Mason Jones</t>
  </si>
  <si>
    <t>Le tombeau de Couperin (1917)</t>
  </si>
  <si>
    <t>Zinfandel (2010)</t>
  </si>
  <si>
    <t>Duet-Concertino for Clarinet, Bassoon, and Piano Clarinet, Bassoon, and Piano,
 TrV 293 (1947)</t>
  </si>
  <si>
    <t>Diggs</t>
  </si>
  <si>
    <t>Vado, ma dove, K. 583 (1789)</t>
  </si>
  <si>
    <t>Vergebliches Ständchen, from 5 Romances and Songs, op. 84, no. 4 (1881)</t>
  </si>
  <si>
    <t>Giacomo Puccini</t>
  </si>
  <si>
    <t>Mi chiamano Mimi, from La Bohème (1895)</t>
  </si>
  <si>
    <t>Siete canciones populares españolas (1914)</t>
  </si>
  <si>
    <t>Les chemins de l’amour (1940)</t>
  </si>
  <si>
    <t>Ebid</t>
  </si>
  <si>
    <t>Soirées musicales (1835)</t>
  </si>
  <si>
    <t>Hugo Wolf</t>
  </si>
  <si>
    <t>Verborgenheit (1888)</t>
  </si>
  <si>
    <t>Intermezzo, from Liederkreis, op. 39, no. 2 (1840)</t>
  </si>
  <si>
    <t>Es muss ein Wunderbares sein (1857)</t>
  </si>
  <si>
    <t>Ich baue ganz, from Die Entführung aus dem Serail, K. 384 (1782)</t>
  </si>
  <si>
    <t>Mandoline, op. 58, no. 1 (1891)</t>
  </si>
  <si>
    <t>Ernest Chausson</t>
  </si>
  <si>
    <t>Sérénade italienne, op. 2, no. 5 (1883)</t>
  </si>
  <si>
    <t>Les gars qui vont à la fête (1942)</t>
  </si>
  <si>
    <t>Bleuet (1939)</t>
  </si>
  <si>
    <t>Lucy Simon and Marsha Norman</t>
  </si>
  <si>
    <t>How Could I Ever Know, from The Secret Garden 1989</t>
  </si>
  <si>
    <t>Piano Sonata No. 17 in D minor, op. 31, no. 2 (1801)</t>
  </si>
  <si>
    <t>Jordan Hendrickson</t>
  </si>
  <si>
    <t>Sea Madness (2023)</t>
  </si>
  <si>
    <t>Amber Ferenz</t>
  </si>
  <si>
    <t>Songs for Wicked Children (2009)</t>
  </si>
  <si>
    <t>Toru Kitajima</t>
  </si>
  <si>
    <t>Unravel (2014)</t>
  </si>
  <si>
    <t>Vladimir Peskin</t>
  </si>
  <si>
    <t>Josephine Poelinitz</t>
  </si>
  <si>
    <t>Trumpet Concerto No. 1 in C minor (1958)</t>
  </si>
  <si>
    <t>Fryderyk Chopin</t>
  </si>
  <si>
    <t>Ballade No. 3 in A-flat major (1841)</t>
  </si>
  <si>
    <t>Yang</t>
  </si>
  <si>
    <t>Be Kind and Courteous, from A Midsummer Night’s Dream (1959–60)</t>
  </si>
  <si>
    <t>Vincenzo Bellini</t>
  </si>
  <si>
    <t>Oh! quante volte, from I Capuleti e i Montecchi (1830)</t>
  </si>
  <si>
    <t>from Italienische Liederbuch - Auch kleine dinge (1891); Auch kleine dinge (1891); Ich hab in Penna (1896); Verschwiegene Liebe (1888)</t>
  </si>
  <si>
    <t>from Gedichte von Eduard Mörike - Elfenlied (1888)</t>
  </si>
  <si>
    <t>Dans le forêt de septembre, op. 85, no. 1 (1902); Notre amour, op. 23, no. 2 (c. 1879); Après un rêve, op. 7, no. 1 (1877)</t>
  </si>
  <si>
    <t>Dominick Argento</t>
  </si>
  <si>
    <t>from Six Elizabethan Songs (1957) - Spring, Sleep, Winter</t>
  </si>
  <si>
    <t>McGann</t>
  </si>
  <si>
    <t>Darius Milhaud</t>
  </si>
  <si>
    <t>Caprice, op. 335 (1954)</t>
  </si>
  <si>
    <t>Caroline von Schleicher-Krähmer</t>
  </si>
  <si>
    <t>Larghetto (1825)</t>
  </si>
  <si>
    <t>Ignacio Cervantes</t>
  </si>
  <si>
    <t>arr. John Gibson</t>
  </si>
  <si>
    <t>Four Cuban Dances for Clarinet and Piano (1899; 2015)</t>
  </si>
  <si>
    <t>Amazing Grace for Unaccompanied Clarinet (2001)</t>
  </si>
  <si>
    <t>Concerto Competition Winners</t>
  </si>
  <si>
    <t>Symphony Orchestra</t>
  </si>
  <si>
    <t>Unsuk Chin</t>
  </si>
  <si>
    <t>Mad Tea Party, from Alice in Wonderland (2007)</t>
  </si>
  <si>
    <t>Horn Concerto, op. 91 (1951)</t>
  </si>
  <si>
    <t>Bassoon Concerto, K. 186e (K. 191) (1774)</t>
  </si>
  <si>
    <t>Non so più cosa son cosa faccio, from Le nozze di Figaro, K. 492 (1786)</t>
  </si>
  <si>
    <t>Les filles de Cadix (1874)</t>
  </si>
  <si>
    <t>Symphony No. 3 in E-flat major, op. 55, “Eroica” (1803)</t>
  </si>
  <si>
    <t>Ebbers</t>
  </si>
  <si>
    <t>Antonio Caldara</t>
  </si>
  <si>
    <t>Come raggio di sol (ca. 1911–17)</t>
  </si>
  <si>
    <t>Giovanni Legrenzi</t>
  </si>
  <si>
    <t>Che fiero costume, from Eteocle e Polinice 1674</t>
  </si>
  <si>
    <t>Christoph Willibald von Glück</t>
  </si>
  <si>
    <t>Gluck, Christoph</t>
  </si>
  <si>
    <t>O del mio dolce ardor, from Paride ed Elena 1769</t>
  </si>
  <si>
    <t>An ein Veilchen, from Fünf Lieder, op. 49, no. 2 (1868)</t>
  </si>
  <si>
    <t>Auf dem Kirchhofe, from Fünf Lieder op. 105, no. 4 (1887–88)</t>
  </si>
  <si>
    <t>Botschaft, from Fünf Lieder, op. 47, no. 1, 1868</t>
  </si>
  <si>
    <t>Canticle I (1947)</t>
  </si>
  <si>
    <t>Old American Songs</t>
  </si>
  <si>
    <t>Marian Anderson String Quartet</t>
  </si>
  <si>
    <t>Rhiannon Giddens</t>
  </si>
  <si>
    <t>At the purchaser’s option</t>
  </si>
  <si>
    <t>Jonathan Mcnair</t>
  </si>
  <si>
    <t>Follow the drinking gourd</t>
  </si>
  <si>
    <t>Samuel Adler</t>
  </si>
  <si>
    <t>Crucifixion/In memoriam: Marian Anderson</t>
  </si>
  <si>
    <t>David Wallace</t>
  </si>
  <si>
    <t>Wayfaring Stranger</t>
  </si>
  <si>
    <t>John Rosamond Johnson</t>
  </si>
  <si>
    <t>Johnson, John Rosamond</t>
  </si>
  <si>
    <t>J. W. Johnson</t>
  </si>
  <si>
    <t>Lift ev’ry voice and sing</t>
  </si>
  <si>
    <t>Along the Field (1927)</t>
  </si>
  <si>
    <t>Arthur Frackenpohl</t>
  </si>
  <si>
    <t>Quartet for Oboe, Clarinet, Alto Saxophone, and Bassoon (1969)</t>
  </si>
  <si>
    <t>Gilbert Galindo</t>
  </si>
  <si>
    <t>A Path Out of Chaos (2010)</t>
  </si>
  <si>
    <t>Leonard Bernstein</t>
  </si>
  <si>
    <t>I Hate Music! (1942)</t>
  </si>
  <si>
    <t>Trio for Oboe, Horn, and Piano (1993)</t>
  </si>
  <si>
    <t>Pacific Arts Woodwind Quintet</t>
  </si>
  <si>
    <t>Tango for woodwind quintet (2020)</t>
  </si>
  <si>
    <t>La cheminée du roi René, Op. 205 (1939)</t>
  </si>
  <si>
    <t>Tour Bus (2021) World premiere</t>
  </si>
  <si>
    <t>Nicole Chamberlain</t>
  </si>
  <si>
    <t>Everything is Fine for Woodwind Quintet (2020)</t>
  </si>
  <si>
    <t>Marc Eyechenne</t>
  </si>
  <si>
    <t>Sextuor pour flute, hautbois, clarinette en Sib, saxophone, Cor en Fa et Basson</t>
  </si>
  <si>
    <t>Martinez</t>
  </si>
  <si>
    <t>Andy Scott (b. 1966)</t>
  </si>
  <si>
    <t>Scott, Andy</t>
  </si>
  <si>
    <t xml:space="preserve">Three Letter Word </t>
  </si>
  <si>
    <t>Roberto Molinelli (b. 1963)</t>
  </si>
  <si>
    <t>Molinelli, Roberto</t>
  </si>
  <si>
    <t xml:space="preserve">Four Pictures of New York </t>
  </si>
  <si>
    <t>John Williams (b. 1932)</t>
  </si>
  <si>
    <t>Williams, John</t>
  </si>
  <si>
    <t xml:space="preserve">Escapades </t>
  </si>
  <si>
    <t>Fujiko</t>
  </si>
  <si>
    <t>Guest Artist</t>
  </si>
  <si>
    <t>Guest Artist Recital - Yuuka Nakamura</t>
  </si>
  <si>
    <t>Pierre Lantier (1910–1998)</t>
  </si>
  <si>
    <t>Lantier, Pierre</t>
  </si>
  <si>
    <t xml:space="preserve">Sicilienne </t>
  </si>
  <si>
    <t>Fernande Decruck (1896–1954)</t>
  </si>
  <si>
    <t>Decruck, Fernande</t>
  </si>
  <si>
    <t xml:space="preserve">Sonata in C-Sharp </t>
  </si>
  <si>
    <t>Joe Hisaishi (b. 1950)</t>
  </si>
  <si>
    <t>Mizuki Yanagawa</t>
  </si>
  <si>
    <t>One Summer’s Day (arr. Mizuki Yanagawa)</t>
  </si>
  <si>
    <t>You Nishimura (b. 1966)</t>
  </si>
  <si>
    <t>Nishimura, You</t>
  </si>
  <si>
    <t xml:space="preserve">Suite for Saxophone Duo </t>
  </si>
  <si>
    <t>Pedro Iturralde (1929-2020)</t>
  </si>
  <si>
    <t>Iturralde, Pedro</t>
  </si>
  <si>
    <t xml:space="preserve">Pequeña Czarda </t>
  </si>
  <si>
    <t>Nguyen</t>
  </si>
  <si>
    <t>Wind Band - "Resilience"</t>
  </si>
  <si>
    <t>Wind Band</t>
  </si>
  <si>
    <t>Ralph Vaughan Williams (1872-1958)</t>
  </si>
  <si>
    <t>Vaughan Williams, Ralph</t>
  </si>
  <si>
    <t xml:space="preserve">English Folk Song Suite </t>
  </si>
  <si>
    <t>Hailstork, Adolphus</t>
  </si>
  <si>
    <t>Brent Levine</t>
  </si>
  <si>
    <t xml:space="preserve">American Guernica </t>
  </si>
  <si>
    <t>David Gillingham</t>
  </si>
  <si>
    <t>Gillingham, David</t>
  </si>
  <si>
    <t xml:space="preserve">Be Thou My Vision </t>
  </si>
  <si>
    <t>Coleman, Valerie</t>
  </si>
  <si>
    <t xml:space="preserve">Roma </t>
  </si>
  <si>
    <t>Edwin Franko Goldman</t>
  </si>
  <si>
    <t>Goldman, Edwin Franko</t>
  </si>
  <si>
    <t>Edward Lisk</t>
  </si>
  <si>
    <t xml:space="preserve">On the Mall </t>
  </si>
  <si>
    <t>Shands</t>
  </si>
  <si>
    <t>Guest Artist Recital - Dr. José Manuel Lezcano</t>
  </si>
  <si>
    <t>Guitar</t>
  </si>
  <si>
    <t>Wonder, Stevie</t>
  </si>
  <si>
    <t xml:space="preserve">Overjoyed </t>
  </si>
  <si>
    <t>José Lezcano</t>
  </si>
  <si>
    <t>Lezcano, José</t>
  </si>
  <si>
    <t xml:space="preserve">Etudes in time of Covid </t>
  </si>
  <si>
    <t>Federico Moreno Torroba</t>
  </si>
  <si>
    <t>Torroba, Federico Moreno</t>
  </si>
  <si>
    <t xml:space="preserve">Madroños </t>
  </si>
  <si>
    <t>Piazzolla, Astor</t>
  </si>
  <si>
    <t>Ausencias (post. 2008)</t>
  </si>
  <si>
    <t>Cervantes, Ignacio</t>
  </si>
  <si>
    <t xml:space="preserve">Three Cuban Contradanzas </t>
  </si>
  <si>
    <t>Marco Pereira</t>
  </si>
  <si>
    <t>Pereira, Marco</t>
  </si>
  <si>
    <t xml:space="preserve">O Choros de Juliana  and Plainte </t>
  </si>
  <si>
    <t>Carlos Silva Pareja</t>
  </si>
  <si>
    <t>Pareja, Carlos Silva</t>
  </si>
  <si>
    <t xml:space="preserve">El Ultimo Beso </t>
  </si>
  <si>
    <t>J.S. Bach</t>
  </si>
  <si>
    <t xml:space="preserve">Prelude from Cello Suite in No. 1, BWV 1007 </t>
  </si>
  <si>
    <t>Domenico Scarlatti</t>
  </si>
  <si>
    <t>Scarlatti, Domenico</t>
  </si>
  <si>
    <t xml:space="preserve">Sonata, K. 178 </t>
  </si>
  <si>
    <t xml:space="preserve">Sonata, K. 11 </t>
  </si>
  <si>
    <t xml:space="preserve">Key West Suite </t>
  </si>
  <si>
    <t>Compay Segundo</t>
  </si>
  <si>
    <t>Segundo, Compay</t>
  </si>
  <si>
    <t xml:space="preserve">Chan Chan </t>
  </si>
  <si>
    <t>Isolina Carillo</t>
  </si>
  <si>
    <t>Carillo, Isolina</t>
  </si>
  <si>
    <t xml:space="preserve">Dos gardenias </t>
  </si>
  <si>
    <t>Maria Teresa Vera</t>
  </si>
  <si>
    <t>Vera, Maria Teresa</t>
  </si>
  <si>
    <t xml:space="preserve">Veinte años </t>
  </si>
  <si>
    <t>Roland Dyens</t>
  </si>
  <si>
    <t>Dyens, Roland</t>
  </si>
  <si>
    <t xml:space="preserve">Tango en skaï </t>
  </si>
  <si>
    <t xml:space="preserve">Un habano y un mojito </t>
  </si>
  <si>
    <t>Seth</t>
  </si>
  <si>
    <t xml:space="preserve">Choir - "Atmospheric Rivers" </t>
  </si>
  <si>
    <t>Carly Simon</t>
  </si>
  <si>
    <t>Simon, Carly</t>
  </si>
  <si>
    <t>Let The River Run</t>
  </si>
  <si>
    <t>Traditional Taiwanese</t>
  </si>
  <si>
    <t>Traditional - Taiwanese</t>
  </si>
  <si>
    <t xml:space="preserve">太湖船 Boat on Tai Lake </t>
  </si>
  <si>
    <t>An Wasserflüssen Babylon</t>
  </si>
  <si>
    <t>Joni Mitchell</t>
  </si>
  <si>
    <t>Mitchell, Joni</t>
  </si>
  <si>
    <t>River</t>
  </si>
  <si>
    <t>Ben Allaway</t>
  </si>
  <si>
    <t>Allaway, Ben</t>
  </si>
  <si>
    <t>My Soul Is A River</t>
  </si>
  <si>
    <t>Eric Whitacre</t>
  </si>
  <si>
    <t>Whitacre, Eric</t>
  </si>
  <si>
    <t>Water Night</t>
  </si>
  <si>
    <t>Jake Runestad</t>
  </si>
  <si>
    <t>Runestad, Jake</t>
  </si>
  <si>
    <t>Lament, from Earth Symphony</t>
  </si>
  <si>
    <t>Eriks Esenvalds</t>
  </si>
  <si>
    <t>Esenvalds, Eriks</t>
  </si>
  <si>
    <t>Rivers of Light</t>
  </si>
  <si>
    <t>Saro Lynch-Thomason</t>
  </si>
  <si>
    <t>Lynch-Thomason, Saro</t>
  </si>
  <si>
    <t>More Waters Rising</t>
  </si>
  <si>
    <t>Traditional Spiritual</t>
  </si>
  <si>
    <t>Traditional - African American Spiritual</t>
  </si>
  <si>
    <t xml:space="preserve">I’ve Been In The Storm So Long </t>
  </si>
  <si>
    <t>Robert Lowry</t>
  </si>
  <si>
    <t>Lowry, Robert</t>
  </si>
  <si>
    <t>Gather At The River</t>
  </si>
  <si>
    <t>Faculty Recital - Ann Miller, violin, and Sonia Leong, piano</t>
  </si>
  <si>
    <t>Grieg, Edvard</t>
  </si>
  <si>
    <t xml:space="preserve">Sonata No. 2 for Violin and Piano in G Minor, Op. 13 </t>
  </si>
  <si>
    <t>Eugène Ysaÿe</t>
  </si>
  <si>
    <t>Ysaÿe, Eugène</t>
  </si>
  <si>
    <t xml:space="preserve">Sonata No. 6 in E Major </t>
  </si>
  <si>
    <t>Debussy, Claude</t>
  </si>
  <si>
    <t xml:space="preserve">Sonata for Violin and Piano </t>
  </si>
  <si>
    <t>Higdon, Jennifer</t>
  </si>
  <si>
    <t xml:space="preserve">String Poetic </t>
  </si>
  <si>
    <t>Waldvogel</t>
  </si>
  <si>
    <t>University Symphony Orchestra and Jazz Ensemble</t>
  </si>
  <si>
    <t>Orchestra &amp; Jazz Ensemble</t>
  </si>
  <si>
    <t>Johanne Brahms</t>
  </si>
  <si>
    <t>Brahms, Johannes</t>
  </si>
  <si>
    <t>Serenade no. 1 in D major</t>
  </si>
  <si>
    <t>Mazzaferro, Joe</t>
  </si>
  <si>
    <t>With Malice Toward None (premiere)</t>
  </si>
  <si>
    <t>Duke Ellington</t>
  </si>
  <si>
    <t>Ellington, Duke</t>
  </si>
  <si>
    <t>Three Black Kings</t>
  </si>
  <si>
    <t>Lue</t>
  </si>
  <si>
    <t>Conservatory Concert Hour</t>
  </si>
  <si>
    <t>Vieuxtemps, Henri</t>
  </si>
  <si>
    <t>Violin Concerto No. 4, Mvmt 3</t>
  </si>
  <si>
    <t>Bedrich Smetana</t>
  </si>
  <si>
    <t>Smetana, Bedřich</t>
  </si>
  <si>
    <t>Trio in G minor; 1. Moderato assai</t>
  </si>
  <si>
    <t>Myint</t>
  </si>
  <si>
    <t>Bedřich Smetana</t>
  </si>
  <si>
    <t>Piano Trio in G Minor Op. 15; I. Moderato Assai</t>
  </si>
  <si>
    <t>Kyle Bruckmann, oboe and English horn</t>
  </si>
  <si>
    <t>Oboe &amp; English Horn</t>
  </si>
  <si>
    <t>Dorothy Chang</t>
  </si>
  <si>
    <t>Chang, Dorothy</t>
  </si>
  <si>
    <t xml:space="preserve">Still </t>
  </si>
  <si>
    <t>Samuel Coleridge-Taylor</t>
  </si>
  <si>
    <t>Katherine Needleman</t>
  </si>
  <si>
    <t>Three Silhouettes, Op. 38 (1904; arr. 2022)</t>
  </si>
  <si>
    <t>Esmail, Reena</t>
  </si>
  <si>
    <t xml:space="preserve">RE|Member </t>
  </si>
  <si>
    <t>Andrea Clearfield</t>
  </si>
  <si>
    <t>Clearfield, Andrea</t>
  </si>
  <si>
    <t xml:space="preserve">Love Song </t>
  </si>
  <si>
    <t>Adam Zolty</t>
  </si>
  <si>
    <t>Zolty, Adam</t>
  </si>
  <si>
    <t xml:space="preserve">Rise </t>
  </si>
  <si>
    <t>Kyle Bruckmann</t>
  </si>
  <si>
    <t>Bruckmann, Kyle</t>
  </si>
  <si>
    <t>Sift (New No Normal) (2021; rev. 2023)</t>
  </si>
  <si>
    <t>Cuong, Viet</t>
  </si>
  <si>
    <t xml:space="preserve">Suite </t>
  </si>
  <si>
    <t>Vang</t>
  </si>
  <si>
    <t>Cellist Brian Schuldt and Violinist Rebecca Hang</t>
  </si>
  <si>
    <t>Cello &amp; Violin</t>
  </si>
  <si>
    <t>Beethoven</t>
  </si>
  <si>
    <t>Serenade in D Major Op. 8 1797</t>
  </si>
  <si>
    <t>Dvorak</t>
  </si>
  <si>
    <t>Dvořák, Antonín</t>
  </si>
  <si>
    <t xml:space="preserve">Piano Trio No. 4 in E minor Dumky </t>
  </si>
  <si>
    <t>Schubert</t>
  </si>
  <si>
    <t>Schubert, Franz</t>
  </si>
  <si>
    <t xml:space="preserve">String Quintet in C Major, D 956, Op. 163 </t>
  </si>
  <si>
    <t>Mendoza</t>
  </si>
  <si>
    <t>Ludwig Van Beethoven</t>
  </si>
  <si>
    <t>Beethoven, Ludwig Van</t>
  </si>
  <si>
    <t>Romance in F major, Op. 50</t>
  </si>
  <si>
    <t>Shimokawa</t>
  </si>
  <si>
    <t>Johann Baptist Georg Neruda</t>
  </si>
  <si>
    <t>Neruda, Johann Baptist Georg</t>
  </si>
  <si>
    <t>Trumpet Concerto in Eb; I. Allegro; II. Largo</t>
  </si>
  <si>
    <t>Concerto no. 1 in D Major; 1. Andantino</t>
  </si>
  <si>
    <t>Haffner</t>
  </si>
  <si>
    <t>Opera Follies / An Opera Extravaganza</t>
  </si>
  <si>
    <t>Opera</t>
  </si>
  <si>
    <t>Sondheim, Stephen</t>
  </si>
  <si>
    <t xml:space="preserve">A Little Night Music </t>
  </si>
  <si>
    <t>Lehár, Franz</t>
  </si>
  <si>
    <t xml:space="preserve">Meine Lippen, sie küssen so heiβ from Giudita </t>
  </si>
  <si>
    <t>Rodgers, Richard</t>
  </si>
  <si>
    <t xml:space="preserve">My Own Little Corner from Cinderella </t>
  </si>
  <si>
    <t>Loewe, Frederick</t>
  </si>
  <si>
    <t xml:space="preserve">he Lusty Month of May from Camelot </t>
  </si>
  <si>
    <t xml:space="preserve">Take Me to the Fair from Camelot </t>
  </si>
  <si>
    <t xml:space="preserve">Send in the Clowns from A Little Night Music </t>
  </si>
  <si>
    <t>Johann Strauss II</t>
  </si>
  <si>
    <t>Strauss, Johann, Jr.</t>
  </si>
  <si>
    <t xml:space="preserve">Ich lade gern mir Gäste ein from Die Fledermaus </t>
  </si>
  <si>
    <t xml:space="preserve">The Night They Invented Champagne from Gigi </t>
  </si>
  <si>
    <t xml:space="preserve">Champagne Trio from Die Fledermaus </t>
  </si>
  <si>
    <t xml:space="preserve">Da geh’ ich zu Maxim from Die lustige Witwe </t>
  </si>
  <si>
    <t xml:space="preserve">The Miller’s Son from A Little Night Music </t>
  </si>
  <si>
    <t>Jerome Kern</t>
  </si>
  <si>
    <t>Kern, Jerome</t>
  </si>
  <si>
    <t xml:space="preserve">Life Upon the Wicked Stage from Show Boat </t>
  </si>
  <si>
    <t>13-14</t>
  </si>
  <si>
    <t>Andrew Lloyd Webber</t>
  </si>
  <si>
    <t>Webber, Andrew Lloyd</t>
  </si>
  <si>
    <t xml:space="preserve">Prima Donna from Phantom of the Opera </t>
  </si>
  <si>
    <t>13-15</t>
  </si>
  <si>
    <t>Victor Herbert</t>
  </si>
  <si>
    <t>Herbert, Victor</t>
  </si>
  <si>
    <t xml:space="preserve">I Want to be a Prima Donna from The Enchantress </t>
  </si>
  <si>
    <t>13-16</t>
  </si>
  <si>
    <t xml:space="preserve">Agony from Into the Woods </t>
  </si>
  <si>
    <t>Jacques Offenbach</t>
  </si>
  <si>
    <t>Offenbach, Jacques</t>
  </si>
  <si>
    <t xml:space="preserve">I’ve Dined So Well from La Périchole </t>
  </si>
  <si>
    <t>14-17</t>
  </si>
  <si>
    <t>Arthur Sullivan</t>
  </si>
  <si>
    <t>Sullivan, Arthur</t>
  </si>
  <si>
    <t xml:space="preserve">Now to the Banquet We Press from The Sorcerer </t>
  </si>
  <si>
    <t>14-18</t>
  </si>
  <si>
    <t xml:space="preserve">Dinner Is Served from La vie parisienne </t>
  </si>
  <si>
    <t>14-19</t>
  </si>
  <si>
    <t xml:space="preserve">La petenera from La marchenera </t>
  </si>
  <si>
    <t>14-20</t>
  </si>
  <si>
    <t>Manuel Penella</t>
  </si>
  <si>
    <t>Penella, Manuel</t>
  </si>
  <si>
    <t xml:space="preserve">Torero quiero sé from El gato montés </t>
  </si>
  <si>
    <t>14-21</t>
  </si>
  <si>
    <t>José Serrano</t>
  </si>
  <si>
    <t>Serrano, José</t>
  </si>
  <si>
    <t xml:space="preserve">Qué te importa que no venga from Los claveles </t>
  </si>
  <si>
    <t>14-22</t>
  </si>
  <si>
    <t xml:space="preserve">Fly Duet from Orpheus in the Underworld </t>
  </si>
  <si>
    <t>14-23</t>
  </si>
  <si>
    <t xml:space="preserve">Kurt Weill
Ira Gershwin </t>
  </si>
  <si>
    <t>Weill, Kurt</t>
  </si>
  <si>
    <t xml:space="preserve">Tchaikovsky from Lady in the Dark </t>
  </si>
  <si>
    <t>14-24</t>
  </si>
  <si>
    <t>Joseph Bologne, Chevalier de Saint-Georges</t>
  </si>
  <si>
    <t>Bologne, Chevalier de Saint-Georges, Joseph</t>
  </si>
  <si>
    <t xml:space="preserve">Ah! Quel trouble m’agite  from L’amant anonyme </t>
  </si>
  <si>
    <t>14-25</t>
  </si>
  <si>
    <t xml:space="preserve">Unworthy of Your Love from Assassins </t>
  </si>
  <si>
    <t>15-26</t>
  </si>
  <si>
    <t xml:space="preserve">Summertime from Porgy and Bess </t>
  </si>
  <si>
    <t>15-27</t>
  </si>
  <si>
    <t>Jerry Herman</t>
  </si>
  <si>
    <t>Herman, Jerry</t>
  </si>
  <si>
    <t xml:space="preserve">It Only Takes a Moment from Hello, Dolly! </t>
  </si>
  <si>
    <t>15-28</t>
  </si>
  <si>
    <t xml:space="preserve">People Will Say We’re in Love  from Oklahoma! </t>
  </si>
  <si>
    <t>15-29</t>
  </si>
  <si>
    <t xml:space="preserve">The Saga of Jenny from Lady in the Dark </t>
  </si>
  <si>
    <t>15-30</t>
  </si>
  <si>
    <t xml:space="preserve">My Ship from Lady in the Dark </t>
  </si>
  <si>
    <t>15-31</t>
  </si>
  <si>
    <t>Meredith Willson</t>
  </si>
  <si>
    <t>Wilson, Meredith</t>
  </si>
  <si>
    <t xml:space="preserve">Goodnight, My Someone  from The Music Man </t>
  </si>
  <si>
    <t>15-32</t>
  </si>
  <si>
    <t>Robert Stolz</t>
  </si>
  <si>
    <t>Stolz, Robert</t>
  </si>
  <si>
    <t xml:space="preserve">Zwei Herzen im Dreivierteltakt from Venus in Seide </t>
  </si>
  <si>
    <t>15-33</t>
  </si>
  <si>
    <t xml:space="preserve">Dance a Cachucha from Gondoliers </t>
  </si>
  <si>
    <t>15-34</t>
  </si>
  <si>
    <t xml:space="preserve">The Threatened Cloud Has Passed Away from Il ducato </t>
  </si>
  <si>
    <t>16-1</t>
  </si>
  <si>
    <t>Bottesini</t>
  </si>
  <si>
    <t>Bottesini, Giovanni</t>
  </si>
  <si>
    <t>Duo Concertant on Themes of Bellini's "I Puritani" (Mvt. I) (~1850)</t>
  </si>
  <si>
    <t>16-2</t>
  </si>
  <si>
    <t>Handel (1685-1759)</t>
  </si>
  <si>
    <t>Johan Halvorsen</t>
  </si>
  <si>
    <t>Passacaglia in G minor on a Theme by George Frideric Handel (~1720 &amp; arr. 1897)</t>
  </si>
  <si>
    <t>16-3</t>
  </si>
  <si>
    <t>Logan Adams</t>
  </si>
  <si>
    <t>Adams, Logan</t>
  </si>
  <si>
    <t xml:space="preserve">Heaven's Road Under Night </t>
  </si>
  <si>
    <t>Guest Composer: Chamber Music of Viet Cuong</t>
  </si>
  <si>
    <t xml:space="preserve">Cymbalisms </t>
  </si>
  <si>
    <t xml:space="preserve">Six Canadian Scenes </t>
  </si>
  <si>
    <t xml:space="preserve">Mist Fantasy </t>
  </si>
  <si>
    <t xml:space="preserve">Well-Groomed </t>
  </si>
  <si>
    <t xml:space="preserve">Lacquer and Grit </t>
  </si>
  <si>
    <t xml:space="preserve">Extra Fancy </t>
  </si>
  <si>
    <t>18-1</t>
  </si>
  <si>
    <t>Traditional; Arr. by Brian Bùi (b. 1999)</t>
  </si>
  <si>
    <t>Bùi, Brian</t>
  </si>
  <si>
    <t xml:space="preserve">Vietnamese Folk Medley </t>
  </si>
  <si>
    <t>18-2</t>
  </si>
  <si>
    <t xml:space="preserve">Autumn Triptych </t>
  </si>
  <si>
    <t>18-3</t>
  </si>
  <si>
    <t>John Mackey</t>
  </si>
  <si>
    <t>Mackey, John</t>
  </si>
  <si>
    <t xml:space="preserve">This Cruel Moon </t>
  </si>
  <si>
    <t>18-4</t>
  </si>
  <si>
    <t>Yukiko Nishimura</t>
  </si>
  <si>
    <t>Nishimura, Yukiko</t>
  </si>
  <si>
    <t xml:space="preserve">Merry Go Round </t>
  </si>
  <si>
    <t>18-5</t>
  </si>
  <si>
    <t xml:space="preserve">Deciduous </t>
  </si>
  <si>
    <t>18-6</t>
  </si>
  <si>
    <t>John Barnes Chance</t>
  </si>
  <si>
    <t>Chance, John Barnes</t>
  </si>
  <si>
    <t xml:space="preserve">Variations on a Korean Folk Song </t>
  </si>
  <si>
    <t>Clarinet, Bassoon, Piano</t>
  </si>
  <si>
    <t>19-1</t>
  </si>
  <si>
    <t>Galbraith, Nancy</t>
  </si>
  <si>
    <t>Aeolian Muses</t>
  </si>
  <si>
    <t>19-2</t>
  </si>
  <si>
    <t>Jessie Montgomery</t>
  </si>
  <si>
    <t>Montgomery, Jessie</t>
  </si>
  <si>
    <t>Peace</t>
  </si>
  <si>
    <t>Kim</t>
  </si>
  <si>
    <t>19-3</t>
  </si>
  <si>
    <t>Nutturno, H.337 in g minor</t>
  </si>
  <si>
    <t>Silva</t>
  </si>
  <si>
    <t>19-4</t>
  </si>
  <si>
    <t>Bassoon Concerto in B-flat major, K. 191</t>
  </si>
  <si>
    <t>Trotter</t>
  </si>
  <si>
    <t>Elise Blatchford, flute</t>
  </si>
  <si>
    <t>20-1</t>
  </si>
  <si>
    <t>G.P. Telemann</t>
  </si>
  <si>
    <t>Fantasia no. 11 in G major for solo flute</t>
  </si>
  <si>
    <t>20-2</t>
  </si>
  <si>
    <t>Raimundo Pineda</t>
  </si>
  <si>
    <t>Pineda, Raimundo</t>
  </si>
  <si>
    <t>El Bachiano</t>
  </si>
  <si>
    <t>20-3</t>
  </si>
  <si>
    <t>Raminta Šerkšnytė</t>
  </si>
  <si>
    <t>Šerkšnytė, Raminta</t>
  </si>
  <si>
    <t>Glimpses for solo flute</t>
  </si>
  <si>
    <t>20-4</t>
  </si>
  <si>
    <t>Danza de la Mariposa</t>
  </si>
  <si>
    <t>20-5</t>
  </si>
  <si>
    <t>Fantasia no. 2 in a minor for solo flute</t>
  </si>
  <si>
    <t>20-6</t>
  </si>
  <si>
    <t>Shulamit Ran</t>
  </si>
  <si>
    <t>East Wind</t>
  </si>
  <si>
    <t>20-7</t>
  </si>
  <si>
    <t>Tango Etude No. 3  &amp; No. 4</t>
  </si>
  <si>
    <t>Scottie Wright and Linli Wang</t>
  </si>
  <si>
    <t>na</t>
  </si>
  <si>
    <t>21-1</t>
  </si>
  <si>
    <t>Victor Morosco</t>
  </si>
  <si>
    <t>Morosco, Victor</t>
  </si>
  <si>
    <t xml:space="preserve">Blue Caprice </t>
  </si>
  <si>
    <t>21-2</t>
  </si>
  <si>
    <t>Robert Muczynski</t>
  </si>
  <si>
    <t>Muczynski, Robert</t>
  </si>
  <si>
    <t xml:space="preserve">Sonata, Op. 29 </t>
  </si>
  <si>
    <t>21-3</t>
  </si>
  <si>
    <t xml:space="preserve">Mark Kilstofte </t>
  </si>
  <si>
    <t>Kilstofte, Mark</t>
  </si>
  <si>
    <t xml:space="preserve">Sonata </t>
  </si>
  <si>
    <t>21-4</t>
  </si>
  <si>
    <t>Jacob ter Veldhuis</t>
  </si>
  <si>
    <t>Veldhuis, Jacob ter</t>
  </si>
  <si>
    <t xml:space="preserve">Billie </t>
  </si>
  <si>
    <t>21-5</t>
  </si>
  <si>
    <t>Barry Cockcroft</t>
  </si>
  <si>
    <t>Cockcroft, Barry</t>
  </si>
  <si>
    <t xml:space="preserve">Beat Me </t>
  </si>
  <si>
    <t>Conklin</t>
  </si>
  <si>
    <t>"Live Structures"</t>
  </si>
  <si>
    <t>22-1</t>
  </si>
  <si>
    <t>Linda Bouchard</t>
  </si>
  <si>
    <t>Bouchard, Linda</t>
  </si>
  <si>
    <t xml:space="preserve">Pandemonium </t>
  </si>
  <si>
    <t>22-2</t>
  </si>
  <si>
    <t xml:space="preserve">Murmure à Trois </t>
  </si>
  <si>
    <t>22-3</t>
  </si>
  <si>
    <t xml:space="preserve">Gathering </t>
  </si>
  <si>
    <t>Mahler At Pacific</t>
  </si>
  <si>
    <t>Orchestra</t>
  </si>
  <si>
    <t>23-1</t>
  </si>
  <si>
    <t>Mahler, Gustav</t>
  </si>
  <si>
    <t>Symphony no. 1 in D major</t>
  </si>
  <si>
    <t>Kaleidoscope Chamber Orchestra</t>
  </si>
  <si>
    <t>24-1</t>
  </si>
  <si>
    <t>Jenni Brandon</t>
  </si>
  <si>
    <t>Brandon, Jenni</t>
  </si>
  <si>
    <t xml:space="preserve">Shades of Violet </t>
  </si>
  <si>
    <t>24-2</t>
  </si>
  <si>
    <t>Quartet for Oboe, Violin, Viola, and Cello in F Major, K. 370</t>
  </si>
  <si>
    <t>24-3</t>
  </si>
  <si>
    <t>Matthew Hetz</t>
  </si>
  <si>
    <t>Hetz, Matthew</t>
  </si>
  <si>
    <t xml:space="preserve">Elegy for the Victims and Survivors of School Shootings </t>
  </si>
  <si>
    <t>24-4</t>
  </si>
  <si>
    <t>Chad Cannon</t>
  </si>
  <si>
    <t>Cannon, Chad</t>
  </si>
  <si>
    <t xml:space="preserve">You Become Numb </t>
  </si>
  <si>
    <t>24-5</t>
  </si>
  <si>
    <t>Reinecke, Carl</t>
  </si>
  <si>
    <t>Trio for Oboe, Horn, and Piano in A Minor, Op. 188</t>
  </si>
  <si>
    <t>24-6</t>
  </si>
  <si>
    <t>Octet in F Major, D. 803</t>
  </si>
  <si>
    <t>24-7</t>
  </si>
  <si>
    <t>Libby Larsen</t>
  </si>
  <si>
    <t>Larsen, Libby</t>
  </si>
  <si>
    <t xml:space="preserve">Black Birds, Red Hills for Clarinet, Viola, and Piano </t>
  </si>
  <si>
    <t>Langham</t>
  </si>
  <si>
    <t>25-1</t>
  </si>
  <si>
    <t>Johnny Mercer</t>
  </si>
  <si>
    <t>Mercer, Johnny</t>
  </si>
  <si>
    <t xml:space="preserve">Autumn Leaves </t>
  </si>
  <si>
    <t>Jazz</t>
  </si>
  <si>
    <t>25-2</t>
  </si>
  <si>
    <t>Jimmy Dorsey</t>
  </si>
  <si>
    <t>Dorsey, Jimmy</t>
  </si>
  <si>
    <t xml:space="preserve">I’m Glad There Is You </t>
  </si>
  <si>
    <t>25-3</t>
  </si>
  <si>
    <t>Eric Alexander</t>
  </si>
  <si>
    <t>Alexander, Eric</t>
  </si>
  <si>
    <t xml:space="preserve">Little Lucas </t>
  </si>
  <si>
    <t>25-4</t>
  </si>
  <si>
    <t>Jason Marshall</t>
  </si>
  <si>
    <t>Marshall, Jason</t>
  </si>
  <si>
    <t xml:space="preserve">Ms. Garvey, Ms. Garvey </t>
  </si>
  <si>
    <t>25-5</t>
  </si>
  <si>
    <t>Coltrane, John</t>
  </si>
  <si>
    <t xml:space="preserve">Giant Steps </t>
  </si>
  <si>
    <t>25-6</t>
  </si>
  <si>
    <t>Michael Dease</t>
  </si>
  <si>
    <t>Dease, Michael</t>
  </si>
  <si>
    <t xml:space="preserve">Lee Force </t>
  </si>
  <si>
    <t>25-7</t>
  </si>
  <si>
    <t>John Lewis</t>
  </si>
  <si>
    <t>Lewis, John</t>
  </si>
  <si>
    <t xml:space="preserve">Two Bass Hit </t>
  </si>
  <si>
    <t>25-8</t>
  </si>
  <si>
    <t xml:space="preserve">Such Sweet Sorrow </t>
  </si>
  <si>
    <t>Leong</t>
  </si>
  <si>
    <t>Adriana Magdovski, piano</t>
  </si>
  <si>
    <t>26-1</t>
  </si>
  <si>
    <t>Ravel, Maurice</t>
  </si>
  <si>
    <t>Le Tombeau de Couperin</t>
  </si>
  <si>
    <t>26-2</t>
  </si>
  <si>
    <t>S. Rachmaninoff</t>
  </si>
  <si>
    <t>Rachmaninoff, Sergei</t>
  </si>
  <si>
    <t>Variations on a Theme of Corelli Op. 42</t>
  </si>
  <si>
    <t>26-3</t>
  </si>
  <si>
    <t>Piotr Tchaikovsky</t>
  </si>
  <si>
    <t>Tchaikovsky, Peter Ilich</t>
  </si>
  <si>
    <t>The Nutcracker Suite, Op. 71a</t>
  </si>
  <si>
    <t>27-1</t>
  </si>
  <si>
    <t>Mark Ford</t>
  </si>
  <si>
    <t>Ford, Mark</t>
  </si>
  <si>
    <t xml:space="preserve">Polaris </t>
  </si>
  <si>
    <t>27-2</t>
  </si>
  <si>
    <t>Finzi, Gerald</t>
  </si>
  <si>
    <t>Five Bagatelles, op. 23 (1920s; 1941–43)</t>
  </si>
  <si>
    <t>27-3</t>
  </si>
  <si>
    <t>Confutatis maledictis et Lacrymosa from Mozart’s Requiem (1791</t>
  </si>
  <si>
    <t>27-4</t>
  </si>
  <si>
    <t>Henryk Wieniawski</t>
  </si>
  <si>
    <t>Wieniawski, Henryk</t>
  </si>
  <si>
    <t xml:space="preserve">Violin Concerto No. 2 in D minor, op. 22 </t>
  </si>
  <si>
    <t>27-5</t>
  </si>
  <si>
    <t>Ewazen, Eric</t>
  </si>
  <si>
    <t xml:space="preserve">Ballade, Pastorale, and Dance </t>
  </si>
  <si>
    <t>27-6</t>
  </si>
  <si>
    <t>Giovanni Battista Grazioli</t>
  </si>
  <si>
    <t>Grazioli, Giovanni Battista</t>
  </si>
  <si>
    <t>Harpsichord Sonata in G major, op. 1 (c. 1780)</t>
  </si>
  <si>
    <t>27-7</t>
  </si>
  <si>
    <t>Violin Concerto No. 1 in D major, op. 19 (1916–17)</t>
  </si>
  <si>
    <t>Abigail Miller/Diversifying Pedagogical Repertoire for the Clarinet</t>
  </si>
  <si>
    <t>28-1</t>
  </si>
  <si>
    <t>Cynthia Van Maanen</t>
  </si>
  <si>
    <t>Van Maanen, Cynthia</t>
  </si>
  <si>
    <t xml:space="preserve">cat tales </t>
  </si>
  <si>
    <t>28-2</t>
  </si>
  <si>
    <t>Ruth Bures</t>
  </si>
  <si>
    <t>Bures, Ruth</t>
  </si>
  <si>
    <t xml:space="preserve">Floral Fantasy </t>
  </si>
  <si>
    <t>28-3</t>
  </si>
  <si>
    <t>Zenobia Powell Perry</t>
  </si>
  <si>
    <t>Perry, Zenobia Powell</t>
  </si>
  <si>
    <t xml:space="preserve">Sonatine for Clarinet and Piano </t>
  </si>
  <si>
    <t>28-4</t>
  </si>
  <si>
    <t>Regina Harris Baiocchi</t>
  </si>
  <si>
    <t>Baiocchi, Regina Harris</t>
  </si>
  <si>
    <t xml:space="preserve">Karibu </t>
  </si>
  <si>
    <t>28-5</t>
  </si>
  <si>
    <t xml:space="preserve">Peace </t>
  </si>
  <si>
    <t>Downing</t>
  </si>
  <si>
    <t>Gavin Downing</t>
  </si>
  <si>
    <t>Bruch, Max</t>
  </si>
  <si>
    <t xml:space="preserve">Double Concerto for Violin and Viola in E minor, Op. 88, Mvmt. 1 &amp; 2 </t>
  </si>
  <si>
    <t>Cello Suite 6 iii Courante arr. Viola</t>
  </si>
  <si>
    <t>Crichlow, Chanell</t>
  </si>
  <si>
    <t>When Dark Clouds Linger</t>
  </si>
  <si>
    <t>Berryhill</t>
  </si>
  <si>
    <t>Ainsley Berryhill</t>
  </si>
  <si>
    <t>30-1</t>
  </si>
  <si>
    <t>Trygve Torjussen</t>
  </si>
  <si>
    <t>Torjussen, Trygve</t>
  </si>
  <si>
    <t xml:space="preserve">Dance in the Vale (Dag’s Melody), op. 16 no. 4 </t>
  </si>
  <si>
    <t>30-2</t>
  </si>
  <si>
    <t>Blithe Bells (ramble on “Sheep May Safely Graze”) (1713/1931)</t>
  </si>
  <si>
    <t>30-3</t>
  </si>
  <si>
    <t xml:space="preserve">Penta Metrics </t>
  </si>
  <si>
    <t>30-4</t>
  </si>
  <si>
    <t>Elgar, Edward</t>
  </si>
  <si>
    <t>Nimrod (“Enigma” Variations on an Original Theme, op. 36) (1898-9)</t>
  </si>
  <si>
    <t>30-5</t>
  </si>
  <si>
    <t>Confutatis Maledictis et Lacrymosa from Mozart’s Requiem (1791/1865)</t>
  </si>
  <si>
    <t>Juarez</t>
  </si>
  <si>
    <t>Maggie Juarez</t>
  </si>
  <si>
    <t>31-1</t>
  </si>
  <si>
    <t>Bacewicz, Grażyna</t>
  </si>
  <si>
    <t xml:space="preserve">Five Pieces for Clarinet and Piano </t>
  </si>
  <si>
    <t>31-2</t>
  </si>
  <si>
    <t xml:space="preserve">Sonata No. 2 in Eb Major for Clarinet and Piano, Op. 120 </t>
  </si>
  <si>
    <t>31-3</t>
  </si>
  <si>
    <t xml:space="preserve">Duetto for Clarinet, String Bass, and Piano </t>
  </si>
  <si>
    <t>Mazzaferro</t>
  </si>
  <si>
    <t xml:space="preserve">Tamir Hendelman (Piano) &amp; Ralph Moore (Sax) </t>
  </si>
  <si>
    <t>Saxophone &amp; Piano</t>
  </si>
  <si>
    <t>32-1</t>
  </si>
  <si>
    <t>Artists will announce tunes from the stage</t>
  </si>
  <si>
    <t>Artists will announce tunes from the stage.</t>
  </si>
  <si>
    <t>Varied Ensembles Recital I</t>
  </si>
  <si>
    <t>33-1</t>
  </si>
  <si>
    <t>Biedenbender, David</t>
  </si>
  <si>
    <t xml:space="preserve">Refraction </t>
  </si>
  <si>
    <t>33-2</t>
  </si>
  <si>
    <t>Trio in G Minor, Opus 15 (1855, rev. 1858)</t>
  </si>
  <si>
    <t>33-3</t>
  </si>
  <si>
    <t>33-4</t>
  </si>
  <si>
    <t>Victor Ewald</t>
  </si>
  <si>
    <t>Ewald, Victor</t>
  </si>
  <si>
    <t>Brass Quintet No. 1, Opus 5 (c. 1890)</t>
  </si>
  <si>
    <t>Parish Mitchell</t>
  </si>
  <si>
    <t>Apollo Parish Mitchell</t>
  </si>
  <si>
    <t>34-1</t>
  </si>
  <si>
    <t>Britten, Benjamin</t>
  </si>
  <si>
    <t xml:space="preserve">Six Metamorphoses After Ovid </t>
  </si>
  <si>
    <t>34-2</t>
  </si>
  <si>
    <t>Onovwerosuoke, Fred</t>
  </si>
  <si>
    <t xml:space="preserve">Six Sketches for Oboe and Piano </t>
  </si>
  <si>
    <t>34-3</t>
  </si>
  <si>
    <t>Peteris Vasks</t>
  </si>
  <si>
    <t>Vasks, Peteris</t>
  </si>
  <si>
    <t xml:space="preserve">Concerto for English Horn </t>
  </si>
  <si>
    <t>34-4</t>
  </si>
  <si>
    <t>Milhaud, Darius</t>
  </si>
  <si>
    <t xml:space="preserve">Sonatina for Oboe and Piano </t>
  </si>
  <si>
    <t>34-5</t>
  </si>
  <si>
    <t>Varied Ensembles Recital II</t>
  </si>
  <si>
    <t>35-1</t>
  </si>
  <si>
    <t>Megan Vinther</t>
  </si>
  <si>
    <t>Vinther, Megan</t>
  </si>
  <si>
    <t xml:space="preserve">Rising Hope: A Prayer for Ellen </t>
  </si>
  <si>
    <t>35-2</t>
  </si>
  <si>
    <t>Daniel Kelley</t>
  </si>
  <si>
    <t>Kelley, Daniel</t>
  </si>
  <si>
    <t xml:space="preserve">An Arc of Convergence </t>
  </si>
  <si>
    <t>35-3</t>
  </si>
  <si>
    <t>Sonata in B-flat major</t>
  </si>
  <si>
    <t>35-4</t>
  </si>
  <si>
    <t xml:space="preserve">Aeolian Muses </t>
  </si>
  <si>
    <t>Latta</t>
  </si>
  <si>
    <t>Pacific Percussion Ensemble</t>
  </si>
  <si>
    <t>36-1</t>
  </si>
  <si>
    <t>Nathan Daughtrey</t>
  </si>
  <si>
    <t>Daughtrey, Nathan</t>
  </si>
  <si>
    <t xml:space="preserve">Unleash the Fury </t>
  </si>
  <si>
    <t>36-2</t>
  </si>
  <si>
    <t>Li Tao</t>
  </si>
  <si>
    <t>Tao, Li</t>
  </si>
  <si>
    <t>Chou Xi</t>
  </si>
  <si>
    <t>36-3</t>
  </si>
  <si>
    <t>John Moss</t>
  </si>
  <si>
    <t>Moss, John</t>
  </si>
  <si>
    <t xml:space="preserve">Twisted </t>
  </si>
  <si>
    <t>36-4</t>
  </si>
  <si>
    <t>Rina Yoshioka</t>
  </si>
  <si>
    <t>Yoshioka, Rina</t>
  </si>
  <si>
    <t xml:space="preserve">Synchronized </t>
  </si>
  <si>
    <t>36-5</t>
  </si>
  <si>
    <t>36-6</t>
  </si>
  <si>
    <t>Daiki Kato</t>
  </si>
  <si>
    <t>Kato, Daiki</t>
  </si>
  <si>
    <t xml:space="preserve">Liz </t>
  </si>
  <si>
    <t>36-7</t>
  </si>
  <si>
    <t>Zequinha de Abreu</t>
  </si>
  <si>
    <t>Abreu, Zequinha de</t>
  </si>
  <si>
    <t xml:space="preserve">Tico Tico </t>
  </si>
  <si>
    <t>Glass</t>
  </si>
  <si>
    <t>Pacific Horn Ensemble and Studio Recita</t>
  </si>
  <si>
    <t>37-1</t>
  </si>
  <si>
    <t>Robert Nathaniel Dett</t>
  </si>
  <si>
    <t>Dett, Robert Nathaniel</t>
  </si>
  <si>
    <t xml:space="preserve">Ave Maria </t>
  </si>
  <si>
    <t>37-10</t>
  </si>
  <si>
    <t>37-11</t>
  </si>
  <si>
    <t>Dámaso Pérez Prado</t>
  </si>
  <si>
    <t>Pérez Prado, Dámaso</t>
  </si>
  <si>
    <t>Qué rico el mambo</t>
  </si>
  <si>
    <t>37-2</t>
  </si>
  <si>
    <t>Mary D. Watkins</t>
  </si>
  <si>
    <t>Watkins, Mary D.</t>
  </si>
  <si>
    <t>Old St. John</t>
  </si>
  <si>
    <t>37-3</t>
  </si>
  <si>
    <t>Adagio cantabile from Cinnamon Grove Suite</t>
  </si>
  <si>
    <t>37-4</t>
  </si>
  <si>
    <t>Price, Florence</t>
  </si>
  <si>
    <t>Sympathy (To Florence) My Daughter</t>
  </si>
  <si>
    <t>37-5</t>
  </si>
  <si>
    <t>Francis Johnson</t>
  </si>
  <si>
    <t>Johnson, Francis</t>
  </si>
  <si>
    <t>American Girl</t>
  </si>
  <si>
    <t>37-6</t>
  </si>
  <si>
    <t>David A. Eastmond</t>
  </si>
  <si>
    <t>Eastmond, David</t>
  </si>
  <si>
    <t>The First Solo Flight</t>
  </si>
  <si>
    <t>37-7</t>
  </si>
  <si>
    <t>African American Spiritual</t>
  </si>
  <si>
    <t>Deep River</t>
  </si>
  <si>
    <t>37-8</t>
  </si>
  <si>
    <t>Stewart Goodyear</t>
  </si>
  <si>
    <t>Goodyear, Stewart</t>
  </si>
  <si>
    <t>Eulogy</t>
  </si>
  <si>
    <t>37-9</t>
  </si>
  <si>
    <t>Scott, Jeff</t>
  </si>
  <si>
    <t>Pesadelos 1</t>
  </si>
  <si>
    <t>Wang</t>
  </si>
  <si>
    <t>Trio 180</t>
  </si>
  <si>
    <t>38-1</t>
  </si>
  <si>
    <t>Auerbach, Lera</t>
  </si>
  <si>
    <t>Piano Trio No. 1 (1992; 1994)</t>
  </si>
  <si>
    <t>38-2</t>
  </si>
  <si>
    <t>Eric Wood</t>
  </si>
  <si>
    <t>Wood, Eric</t>
  </si>
  <si>
    <t xml:space="preserve">Elgin Movements for Piano Trio </t>
  </si>
  <si>
    <t>38-3</t>
  </si>
  <si>
    <t>Shostakovich, Dmitri</t>
  </si>
  <si>
    <t xml:space="preserve">Piano Trio No. 2 in E minor, op. 67 </t>
  </si>
  <si>
    <t>Hogue</t>
  </si>
  <si>
    <t>Student Philanthropy Week Fundraiser</t>
  </si>
  <si>
    <t>39-1</t>
  </si>
  <si>
    <t>Duets TWV 40:107 in B flat</t>
  </si>
  <si>
    <t>Leyva</t>
  </si>
  <si>
    <t>39-2</t>
  </si>
  <si>
    <t>Joshua Davis &amp; Yuniet Lombida</t>
  </si>
  <si>
    <t>Rondo Alla Mambo</t>
  </si>
  <si>
    <t>39-3</t>
  </si>
  <si>
    <t>Alice Shields</t>
  </si>
  <si>
    <t>Shields, Alice</t>
  </si>
  <si>
    <t>Aurora</t>
  </si>
  <si>
    <t>Denney</t>
  </si>
  <si>
    <t>Natural Horn</t>
  </si>
  <si>
    <t>39-4</t>
  </si>
  <si>
    <t>Horn Concerto No. 1 in D Major, K. 412</t>
  </si>
  <si>
    <t>Warren</t>
  </si>
  <si>
    <t>39-5</t>
  </si>
  <si>
    <t>Morceau de Concert</t>
  </si>
  <si>
    <t>Holiday Choral Concert</t>
  </si>
  <si>
    <t>40-1</t>
  </si>
  <si>
    <t>Justin Hurwitz</t>
  </si>
  <si>
    <t>Hurwitz, Justin</t>
  </si>
  <si>
    <t>City of Stars, from La La Land (2016; 2023)</t>
  </si>
  <si>
    <t>40-10</t>
  </si>
  <si>
    <t>Ryan Cayabyab</t>
  </si>
  <si>
    <t>Cayabyab, Ryan</t>
  </si>
  <si>
    <t xml:space="preserve">Kumukutikutitap </t>
  </si>
  <si>
    <t>40-11</t>
  </si>
  <si>
    <t>James Pierpont</t>
  </si>
  <si>
    <t>Pierpont, James</t>
  </si>
  <si>
    <t xml:space="preserve">Jingle Bells </t>
  </si>
  <si>
    <t>40-12</t>
  </si>
  <si>
    <t>Mia Makaroff, Anna-Mari Kähärä</t>
  </si>
  <si>
    <t>Anna-Mari, Mia Makaroff,</t>
  </si>
  <si>
    <t xml:space="preserve">Butterfly </t>
  </si>
  <si>
    <t>40-13</t>
  </si>
  <si>
    <t>Philip Springer</t>
  </si>
  <si>
    <t>Springer, Philip</t>
  </si>
  <si>
    <t>Santa Baby (1953; 2019)</t>
  </si>
  <si>
    <t>40-14</t>
  </si>
  <si>
    <t>Robert Wells, Mel Tormé</t>
  </si>
  <si>
    <t>Tormé, Mel/Wells, Robert</t>
  </si>
  <si>
    <t xml:space="preserve">The Christmas Song </t>
  </si>
  <si>
    <t>40-15</t>
  </si>
  <si>
    <t>Audra Mae, Scott Hoying, Mitch Grassi for Pentatonix</t>
  </si>
  <si>
    <t>Scott, Audra Mae,</t>
  </si>
  <si>
    <t>Light in the Hallway (2015; 2017)</t>
  </si>
  <si>
    <t>40-16</t>
  </si>
  <si>
    <t>Lanny Wolfe</t>
  </si>
  <si>
    <t>Wolfe, Lanny</t>
  </si>
  <si>
    <t xml:space="preserve">Rejoice with Exceeding Great Joy </t>
  </si>
  <si>
    <t>40-17</t>
  </si>
  <si>
    <t xml:space="preserve">River </t>
  </si>
  <si>
    <t>40-18</t>
  </si>
  <si>
    <t>Leigh Harline</t>
  </si>
  <si>
    <t xml:space="preserve">When You Wish upon a Star </t>
  </si>
  <si>
    <t>40-19</t>
  </si>
  <si>
    <t>various composers</t>
  </si>
  <si>
    <t>Jennings, Joseph</t>
  </si>
  <si>
    <t>Joseph Jennings</t>
  </si>
  <si>
    <t xml:space="preserve">Christmas Spiritual Medley </t>
  </si>
  <si>
    <t>40-2</t>
  </si>
  <si>
    <t>Eternal Source of Light Divine (c. 1713; 2023)</t>
  </si>
  <si>
    <t>40-20</t>
  </si>
  <si>
    <t>Glenn McClure, Wes Kennison</t>
  </si>
  <si>
    <t>McClure, Glenn</t>
  </si>
  <si>
    <t xml:space="preserve">One Sweet Little Baby </t>
  </si>
  <si>
    <t>40-21</t>
  </si>
  <si>
    <t>Franz Gruber</t>
  </si>
  <si>
    <t>Gruber, Franz</t>
  </si>
  <si>
    <t>Silent Night (1818; 2010)</t>
  </si>
  <si>
    <t>40-3</t>
  </si>
  <si>
    <t>Let Their Celestial Concerts All Unite, from Samson (1741–42; 2023)</t>
  </si>
  <si>
    <t>40-4</t>
  </si>
  <si>
    <t>India.Arie Simpson</t>
  </si>
  <si>
    <t>Simpson, India.Arie</t>
  </si>
  <si>
    <t>I Am Light (2013; 2021)</t>
  </si>
  <si>
    <t>40-5</t>
  </si>
  <si>
    <t>Ēriks Ešenvalds</t>
  </si>
  <si>
    <t>Ešenvalds, Ēriks</t>
  </si>
  <si>
    <t xml:space="preserve">Stars </t>
  </si>
  <si>
    <t>40-6</t>
  </si>
  <si>
    <t>Craig Courtney</t>
  </si>
  <si>
    <t>Courtney, Craig</t>
  </si>
  <si>
    <t xml:space="preserve">Ancient Nova </t>
  </si>
  <si>
    <t>40-7</t>
  </si>
  <si>
    <t>Schönberg, Claude-Michel</t>
  </si>
  <si>
    <t xml:space="preserve">Stars, from Les Misérables </t>
  </si>
  <si>
    <t>40-8</t>
  </si>
  <si>
    <t>Kate Rusby</t>
  </si>
  <si>
    <t>Rusby, Kate</t>
  </si>
  <si>
    <t xml:space="preserve">Underneath the Stars </t>
  </si>
  <si>
    <t>40-9</t>
  </si>
  <si>
    <t>Mendelssohn, Felix</t>
  </si>
  <si>
    <t xml:space="preserve">There Shall a Star, from Christus, op. 97 </t>
  </si>
  <si>
    <t>Isabelle Knittle</t>
  </si>
  <si>
    <t>41-1</t>
  </si>
  <si>
    <t>Violin Sonata in A Minor, Op. 34</t>
  </si>
  <si>
    <t>41-2</t>
  </si>
  <si>
    <t xml:space="preserve">Violin Concerto No. 2 in D minor Op. 22 </t>
  </si>
  <si>
    <t>41-3</t>
  </si>
  <si>
    <t>Guzman, Jesus "Chuy"</t>
  </si>
  <si>
    <t>Jesus "Chuy" Guzman</t>
  </si>
  <si>
    <t>El Gustito</t>
  </si>
  <si>
    <t>41-4</t>
  </si>
  <si>
    <t>Alirio Díaz</t>
  </si>
  <si>
    <t>Díaz, Alirio</t>
  </si>
  <si>
    <t>El Diablo Suelto</t>
  </si>
  <si>
    <t>41-5</t>
  </si>
  <si>
    <t>Jerónimo Giménez y Bellido</t>
  </si>
  <si>
    <t>Giménez, Gerónimo</t>
  </si>
  <si>
    <t xml:space="preserve">La Boda De Luis Alonso </t>
  </si>
  <si>
    <t>Norman</t>
  </si>
  <si>
    <t>Mallory Norman</t>
  </si>
  <si>
    <t>42-1</t>
  </si>
  <si>
    <t>Abe, Keiko</t>
  </si>
  <si>
    <t xml:space="preserve">Frogs </t>
  </si>
  <si>
    <t>42-2</t>
  </si>
  <si>
    <t>William L. Cahn</t>
  </si>
  <si>
    <t>Cahn, William L.</t>
  </si>
  <si>
    <t xml:space="preserve">Raga No. 1 </t>
  </si>
  <si>
    <t>42-3</t>
  </si>
  <si>
    <t xml:space="preserve">Violin Concerto in A Minor, Mvm. 1 </t>
  </si>
  <si>
    <t>42-4</t>
  </si>
  <si>
    <t>Eckhard Kopetzki</t>
  </si>
  <si>
    <t>Kopetzki, Eckhard</t>
  </si>
  <si>
    <t xml:space="preserve">Concert Suite for Snare Drum </t>
  </si>
  <si>
    <t>42-5</t>
  </si>
  <si>
    <t>42-6</t>
  </si>
  <si>
    <t xml:space="preserve">Chou Xi </t>
  </si>
  <si>
    <t>Olivia Gideon</t>
  </si>
  <si>
    <t>43-1</t>
  </si>
  <si>
    <t xml:space="preserve">Horn Concerto No. 3 in E-flat major, K. 447 </t>
  </si>
  <si>
    <t>Eileen Clews</t>
  </si>
  <si>
    <t>Clews, Eileen</t>
  </si>
  <si>
    <t xml:space="preserve">Partita </t>
  </si>
  <si>
    <t>43-2</t>
  </si>
  <si>
    <t xml:space="preserve">The American Girl </t>
  </si>
  <si>
    <t>43-3</t>
  </si>
  <si>
    <t>Sofia Gubaidulina</t>
  </si>
  <si>
    <t>Gubaidulina, Sofia</t>
  </si>
  <si>
    <t xml:space="preserve">Two Pieces </t>
  </si>
  <si>
    <t>Varied Ensembles III</t>
  </si>
  <si>
    <t>44-1</t>
  </si>
  <si>
    <t>Morris, Alyssa</t>
  </si>
  <si>
    <t xml:space="preserve">Brushstrokes </t>
  </si>
  <si>
    <t>44-2</t>
  </si>
  <si>
    <t xml:space="preserve">Aurora </t>
  </si>
  <si>
    <t>44-3</t>
  </si>
  <si>
    <t xml:space="preserve">Ballade, Pastorale and Dance  </t>
  </si>
  <si>
    <t>44-4</t>
  </si>
  <si>
    <t>Bela Bartok</t>
  </si>
  <si>
    <t>Bartok, Bela</t>
  </si>
  <si>
    <t>Trios (arr. Endre Szervanszky)</t>
  </si>
  <si>
    <t>Pacific Composers: Fall Premieres</t>
  </si>
  <si>
    <t>Composition</t>
  </si>
  <si>
    <t>45-1</t>
  </si>
  <si>
    <t>Miranda Duarte (’26)</t>
  </si>
  <si>
    <t>Duarte, Miranda</t>
  </si>
  <si>
    <t>Writer’s Block Trio</t>
  </si>
  <si>
    <t>45-10</t>
  </si>
  <si>
    <t>Alayna Ontai (’26)</t>
  </si>
  <si>
    <t>Ontai, Alayna</t>
  </si>
  <si>
    <t>Aeris</t>
  </si>
  <si>
    <t>45-11</t>
  </si>
  <si>
    <t>Ian Orejana (’26)</t>
  </si>
  <si>
    <t>Orejana, Ian</t>
  </si>
  <si>
    <t>give me time and i'll write something out</t>
  </si>
  <si>
    <t>45-12</t>
  </si>
  <si>
    <t>Jordan Wier (‘25)</t>
  </si>
  <si>
    <t>Wier, Jordan</t>
  </si>
  <si>
    <t>Adventure in Alondra</t>
  </si>
  <si>
    <t>45-2</t>
  </si>
  <si>
    <t>Skylar Warren (’25)</t>
  </si>
  <si>
    <t>Warren, Skylar</t>
  </si>
  <si>
    <t>A Missing Piece</t>
  </si>
  <si>
    <t>45-3</t>
  </si>
  <si>
    <t>Kamron Qasimi (‘27)</t>
  </si>
  <si>
    <t>Qasimi, Kamron</t>
  </si>
  <si>
    <t>Trek into the Wild</t>
  </si>
  <si>
    <t>45-4</t>
  </si>
  <si>
    <t>Logan Adams (‘24)</t>
  </si>
  <si>
    <t>Moode</t>
  </si>
  <si>
    <t>45-5</t>
  </si>
  <si>
    <t>Marcus Rudes (’27)</t>
  </si>
  <si>
    <t>Rudes, Marcus</t>
  </si>
  <si>
    <t>Trio for Flute, Oboe and Bassoon</t>
  </si>
  <si>
    <t>45-6</t>
  </si>
  <si>
    <t>Bailey LaBrie (’25)</t>
  </si>
  <si>
    <t>LaBrie, Bailey</t>
  </si>
  <si>
    <t>Requiem for the Restless</t>
  </si>
  <si>
    <t>45-7</t>
  </si>
  <si>
    <t>Don Parker (’26)</t>
  </si>
  <si>
    <t>Parker, Don</t>
  </si>
  <si>
    <t>Pathways</t>
  </si>
  <si>
    <t>45-8</t>
  </si>
  <si>
    <t>Amethyst</t>
  </si>
  <si>
    <t>45-9</t>
  </si>
  <si>
    <t>Lilac Robertson (’24)</t>
  </si>
  <si>
    <t>Robertson, Lilac</t>
  </si>
  <si>
    <t>Beautiful Voice</t>
  </si>
  <si>
    <t>Sam Perrego</t>
  </si>
  <si>
    <t>Voice, Soprano</t>
  </si>
  <si>
    <t>46-1</t>
  </si>
  <si>
    <t>Francesco Bartolomeo Conti</t>
  </si>
  <si>
    <t>Conti, Francesco Bartolomeo</t>
  </si>
  <si>
    <t>Il mio bel foco</t>
  </si>
  <si>
    <t>46-2</t>
  </si>
  <si>
    <t xml:space="preserve">‘Vedrai, carino’ from Don Giovanni </t>
  </si>
  <si>
    <t>46-3</t>
  </si>
  <si>
    <t>Stefano Donaudy</t>
  </si>
  <si>
    <t>Donaudy, Stefano</t>
  </si>
  <si>
    <t xml:space="preserve">‘Ah, mai non cessate’ from Arie di Stile Antico, Vol. I </t>
  </si>
  <si>
    <t>46-4</t>
  </si>
  <si>
    <t xml:space="preserve">‘Nachtwanderer’ from Lieder Op. 7, No. 1 </t>
  </si>
  <si>
    <t>46-5</t>
  </si>
  <si>
    <t xml:space="preserve">‘An April Day’ </t>
  </si>
  <si>
    <t>46-6</t>
  </si>
  <si>
    <t>George Gershwin Ira Gershwin</t>
  </si>
  <si>
    <t>Gershwin, George / Gershwin, Ira</t>
  </si>
  <si>
    <t xml:space="preserve">‘(I’ve Got) Beginner’s Luck’ </t>
  </si>
  <si>
    <t>46-7</t>
  </si>
  <si>
    <t>Purcell, Henry</t>
  </si>
  <si>
    <t xml:space="preserve">‘I see, she flies me’ </t>
  </si>
  <si>
    <t>46-8</t>
  </si>
  <si>
    <t xml:space="preserve">Anaïs Mitchell </t>
  </si>
  <si>
    <t>Mitchell, Anaïs</t>
  </si>
  <si>
    <t>Flowers from Hadestown</t>
  </si>
  <si>
    <t>Pacific Jazz Combos</t>
  </si>
  <si>
    <t>47-1</t>
  </si>
  <si>
    <t>Montgomery, Wes</t>
  </si>
  <si>
    <t xml:space="preserve">Full House </t>
  </si>
  <si>
    <t>47-10</t>
  </si>
  <si>
    <t xml:space="preserve">Afternoon In Paris </t>
  </si>
  <si>
    <t>47-11</t>
  </si>
  <si>
    <t>Turner Layton</t>
  </si>
  <si>
    <t>Layton, Turner</t>
  </si>
  <si>
    <t xml:space="preserve">After You’ve Gone </t>
  </si>
  <si>
    <t>47-12</t>
  </si>
  <si>
    <t xml:space="preserve">Saga of Jenny </t>
  </si>
  <si>
    <t>47-13</t>
  </si>
  <si>
    <t>Antonio Carlos Jobim</t>
  </si>
  <si>
    <t xml:space="preserve">Triste </t>
  </si>
  <si>
    <t>47-14</t>
  </si>
  <si>
    <t>Milt Jackson</t>
  </si>
  <si>
    <t>Jackson, Milt</t>
  </si>
  <si>
    <t xml:space="preserve">Bag’s Groove </t>
  </si>
  <si>
    <t>47-2</t>
  </si>
  <si>
    <t>Clifford Brown</t>
  </si>
  <si>
    <t>Brown, Clliford</t>
  </si>
  <si>
    <t xml:space="preserve">Joy Spring </t>
  </si>
  <si>
    <t>47-3</t>
  </si>
  <si>
    <t>Ben Webster</t>
  </si>
  <si>
    <t>Webster, Ben</t>
  </si>
  <si>
    <t xml:space="preserve">Did You Call Her Today? </t>
  </si>
  <si>
    <t>47-4</t>
  </si>
  <si>
    <t>Freddie Hubbard</t>
  </si>
  <si>
    <t>Hubbard, Freddie</t>
  </si>
  <si>
    <t xml:space="preserve">Open Sesame </t>
  </si>
  <si>
    <t>47-5</t>
  </si>
  <si>
    <t>Oscar Pettiford</t>
  </si>
  <si>
    <t>Pettiford, Oscar</t>
  </si>
  <si>
    <t xml:space="preserve">Tricotism </t>
  </si>
  <si>
    <t>47-6</t>
  </si>
  <si>
    <t>Tony Crombie</t>
  </si>
  <si>
    <t>Crombie, Tony</t>
  </si>
  <si>
    <t xml:space="preserve">So Near, So Far </t>
  </si>
  <si>
    <t>47-7</t>
  </si>
  <si>
    <t>Robert Wells &amp; Mel Tormé</t>
  </si>
  <si>
    <t>47-8</t>
  </si>
  <si>
    <t xml:space="preserve">Moment’s Notice </t>
  </si>
  <si>
    <t>47-9</t>
  </si>
  <si>
    <t>Henderson, Joe</t>
  </si>
  <si>
    <t xml:space="preserve">Recorda me </t>
  </si>
  <si>
    <t>Kuster</t>
  </si>
  <si>
    <t>48-1</t>
  </si>
  <si>
    <t>Toru Takemitsu</t>
  </si>
  <si>
    <t>Takemitsu, Toru</t>
  </si>
  <si>
    <t xml:space="preserve">Rain Tree Sketch II </t>
  </si>
  <si>
    <t>48-2</t>
  </si>
  <si>
    <t>Gilles Silvestrini</t>
  </si>
  <si>
    <t>Silvestrini, Gilles</t>
  </si>
  <si>
    <t xml:space="preserve">Six études </t>
  </si>
  <si>
    <t>48-3</t>
  </si>
  <si>
    <t>George Enescu</t>
  </si>
  <si>
    <t>Enescu, George</t>
  </si>
  <si>
    <t xml:space="preserve">Légende </t>
  </si>
  <si>
    <t>Daniel Hui, cello</t>
  </si>
  <si>
    <t>Senior Student recital</t>
  </si>
  <si>
    <t>1.1</t>
  </si>
  <si>
    <t>Une Larme (1858)</t>
  </si>
  <si>
    <t>1.2</t>
  </si>
  <si>
    <t>David Popper</t>
  </si>
  <si>
    <t>Requiem for Three Cellos and Piano (1891)</t>
  </si>
  <si>
    <t>1.3</t>
  </si>
  <si>
    <t>Pyotr Ilyich Tchaikovsky</t>
  </si>
  <si>
    <t>Variations on a Rococo Theme (1877)</t>
  </si>
  <si>
    <t>Linda Oh, double bass</t>
  </si>
  <si>
    <t>Guest artist recital</t>
  </si>
  <si>
    <t>3.1</t>
  </si>
  <si>
    <t>Linda May Han Oh</t>
  </si>
  <si>
    <t>Various (announced from the stage)</t>
  </si>
  <si>
    <t>Large Ensemble</t>
  </si>
  <si>
    <t>2.1</t>
  </si>
  <si>
    <t>Folk Dances (1942/1979)</t>
  </si>
  <si>
    <t>2.2</t>
  </si>
  <si>
    <t>Vicente Lusitano</t>
  </si>
  <si>
    <t>Emendemus in melius (1551/2024)</t>
  </si>
  <si>
    <t>2.3</t>
  </si>
  <si>
    <t>Dolores, American: Symphony for Band (2023)</t>
  </si>
  <si>
    <t>Joshua Gutierrez, double bass</t>
  </si>
  <si>
    <t>4.2</t>
  </si>
  <si>
    <t>The Saga of Jenny</t>
  </si>
  <si>
    <t>4.3</t>
  </si>
  <si>
    <t>Five Tangos</t>
  </si>
  <si>
    <t>4.4</t>
  </si>
  <si>
    <t>Charles-Camille Saint-Saëns</t>
  </si>
  <si>
    <t>Le cygne</t>
  </si>
  <si>
    <t>4.5</t>
  </si>
  <si>
    <t>Vocalise-étude en forme de Habanera</t>
  </si>
  <si>
    <t>4.6</t>
  </si>
  <si>
    <t>Václav Pichel</t>
  </si>
  <si>
    <t>Concerto in D major for Double Bass</t>
  </si>
  <si>
    <t>Abigail Van de Water, viola</t>
  </si>
  <si>
    <t>5.1</t>
  </si>
  <si>
    <t>William Herschel</t>
  </si>
  <si>
    <t>Concerto for Viola in D minor (1759)</t>
  </si>
  <si>
    <t>5.2</t>
  </si>
  <si>
    <t>Brahms Sonata in Eb major No. 2(1894)</t>
  </si>
  <si>
    <t>5.3</t>
  </si>
  <si>
    <t>Bohuslav Martinu</t>
  </si>
  <si>
    <t>Martinů, Bohuslav</t>
  </si>
  <si>
    <t>Three Madrigals for Violin and Viola (1947)</t>
  </si>
  <si>
    <t>The Lehmann Duo with Trio 180</t>
  </si>
  <si>
    <t>Violin &amp; Viola</t>
  </si>
  <si>
    <t>6.1</t>
  </si>
  <si>
    <t>Manuel Ponce</t>
  </si>
  <si>
    <t>Sonata en Duo, para violin y viola</t>
  </si>
  <si>
    <t>6.2</t>
  </si>
  <si>
    <t>Robert Fuchs</t>
  </si>
  <si>
    <t>Duette für Violine und Viola, Op. 60</t>
  </si>
  <si>
    <t>6.3</t>
  </si>
  <si>
    <t>Piano Quintet, G minor, Op. 57</t>
  </si>
  <si>
    <t>Mereth Niemoeller, violin</t>
  </si>
  <si>
    <t>Junior Student Recital</t>
  </si>
  <si>
    <t>7.1</t>
  </si>
  <si>
    <t>Violin Sonata No.3 in C major, BWV 1005 (1720)</t>
  </si>
  <si>
    <t>7.2</t>
  </si>
  <si>
    <t>Arvo Pärt</t>
  </si>
  <si>
    <t>Pärt, Arvo</t>
  </si>
  <si>
    <t>Fratres for violin and piano (1980)</t>
  </si>
  <si>
    <t>7.3</t>
  </si>
  <si>
    <t>Violin Concerto, Op. 14 (1939)</t>
  </si>
  <si>
    <t>7.4</t>
  </si>
  <si>
    <t>Niccolò Paganini</t>
  </si>
  <si>
    <t>Paganini, Niccolò</t>
  </si>
  <si>
    <t>Caprice in A major, Op. 1, No. 21 (1805)</t>
  </si>
  <si>
    <t>Kathryn Schulmeister, double bass</t>
  </si>
  <si>
    <t>Faculty artist recital</t>
  </si>
  <si>
    <t>8.1</t>
  </si>
  <si>
    <t>Francois Rabbath</t>
  </si>
  <si>
    <t>Rabbath, François</t>
  </si>
  <si>
    <t>Ibérique Péninsuliare (1979)</t>
  </si>
  <si>
    <t>8.2</t>
  </si>
  <si>
    <t>Leilehua Lanzilotti</t>
  </si>
  <si>
    <t>Lanzilotti, Anne Leilehua</t>
  </si>
  <si>
    <t>with their I you your fuse (2016)</t>
  </si>
  <si>
    <t>8.3</t>
  </si>
  <si>
    <t>AnneNe Kruisbrink</t>
  </si>
  <si>
    <t>Five Dances (1986)</t>
  </si>
  <si>
    <t>8.4</t>
  </si>
  <si>
    <t>Nick Sanders</t>
  </si>
  <si>
    <t>Stained Glass Memory (2020)</t>
  </si>
  <si>
    <t>8.5</t>
  </si>
  <si>
    <t>Kathryn Schulmeister</t>
  </si>
  <si>
    <t>Afer the Sun (2019)</t>
  </si>
  <si>
    <t>8.6</t>
  </si>
  <si>
    <t>Nadia Boulanger</t>
  </si>
  <si>
    <t>rois Pièces (1911/1914)</t>
  </si>
  <si>
    <t>8.7</t>
  </si>
  <si>
    <t>Kamau Kenyatta</t>
  </si>
  <si>
    <t>The Elegant Sadness (2015)</t>
  </si>
  <si>
    <t>8.8</t>
  </si>
  <si>
    <t>Kicho (1970)</t>
  </si>
  <si>
    <t>University Symphony Orchestra with Kalena Bovell</t>
  </si>
  <si>
    <t>9.1</t>
  </si>
  <si>
    <t>Quinn Mason</t>
  </si>
  <si>
    <t>Mason, Quinn</t>
  </si>
  <si>
    <t>Toast of the Town Overture (2016-2020)</t>
  </si>
  <si>
    <t>9.2</t>
  </si>
  <si>
    <t>Gabriela Lena Frank</t>
  </si>
  <si>
    <t>Elegia Andina (2000)</t>
  </si>
  <si>
    <t>9.3</t>
  </si>
  <si>
    <t>Symphony in A minor, Op. 8 (1896)</t>
  </si>
  <si>
    <t>Jordan Wier, bassoon</t>
  </si>
  <si>
    <t>12.1</t>
  </si>
  <si>
    <t>Eugène Bozza</t>
  </si>
  <si>
    <t>Récit, Sicilienne et Rondo (1936)</t>
  </si>
  <si>
    <t>12.2</t>
  </si>
  <si>
    <t>Dai Fujikura</t>
  </si>
  <si>
    <t>Secret Leaves (2011/2019)</t>
  </si>
  <si>
    <t>12.3</t>
  </si>
  <si>
    <t>Durwynne Hsieh</t>
  </si>
  <si>
    <t>Various Pieces for Bassoon and Piano</t>
  </si>
  <si>
    <t>12.4</t>
  </si>
  <si>
    <t>Deborah J. Anderson</t>
  </si>
  <si>
    <t>Anderson, Deborah</t>
  </si>
  <si>
    <t>Out of Bounds (2004)</t>
  </si>
  <si>
    <t>Miramontes and Neves, trombones</t>
  </si>
  <si>
    <t>11.1</t>
  </si>
  <si>
    <t>Emily Horton</t>
  </si>
  <si>
    <t>Fantasy in G Minor (2021)</t>
  </si>
  <si>
    <t>11.10</t>
  </si>
  <si>
    <t>No More Blues (1957)</t>
  </si>
  <si>
    <t>11.2</t>
  </si>
  <si>
    <t>Launy Grøndahl</t>
  </si>
  <si>
    <t>Grøndahl, Launy</t>
  </si>
  <si>
    <t>Trombone Concerto (1924)</t>
  </si>
  <si>
    <t>11.3</t>
  </si>
  <si>
    <t>Paul Hindemith</t>
  </si>
  <si>
    <t>Trombone Sonata (1941)</t>
  </si>
  <si>
    <t>11.4</t>
  </si>
  <si>
    <t>Elegy for Mippy II (1959)</t>
  </si>
  <si>
    <t>11.5</t>
  </si>
  <si>
    <t>Carlo Gesualdo</t>
  </si>
  <si>
    <t>Moro, lasso, al mio duolo (1611)</t>
  </si>
  <si>
    <t>11.6</t>
  </si>
  <si>
    <t>Nikolai Rimsky-Korsakov</t>
  </si>
  <si>
    <t>Rimsky-Korsakov, Nikolay</t>
  </si>
  <si>
    <t>Trombone Concerto in B–flat major (1877)</t>
  </si>
  <si>
    <t>11.7</t>
  </si>
  <si>
    <t>Romance, op.36 (1874)</t>
  </si>
  <si>
    <t>11.8</t>
  </si>
  <si>
    <t>Axel Jørgensen</t>
  </si>
  <si>
    <t>Jørgensen, Axel</t>
  </si>
  <si>
    <t>Romance, op. 21 (1916)</t>
  </si>
  <si>
    <t>11.9</t>
  </si>
  <si>
    <t>Arthur Pryor</t>
  </si>
  <si>
    <t>Thoughts of Love (1904)</t>
  </si>
  <si>
    <t>Robin Bisho, percusiion</t>
  </si>
  <si>
    <t>10.1</t>
  </si>
  <si>
    <t>Caleidoscópio (2013)</t>
  </si>
  <si>
    <t>10.2</t>
  </si>
  <si>
    <t>William Kraft</t>
  </si>
  <si>
    <t>French Suite for Percussion Solo (1962)</t>
  </si>
  <si>
    <t>10.3</t>
  </si>
  <si>
    <t>Jan Freicher</t>
  </si>
  <si>
    <t>Soaring in the sky (2014)</t>
  </si>
  <si>
    <t>10.4</t>
  </si>
  <si>
    <t>Synchronized (2016)</t>
  </si>
  <si>
    <t>10.5</t>
  </si>
  <si>
    <t>Darin Kamstra</t>
  </si>
  <si>
    <t>Bateria (2011)</t>
  </si>
  <si>
    <t>10.6</t>
  </si>
  <si>
    <t>Arnor Chu</t>
  </si>
  <si>
    <t>Embers Above (2022)</t>
  </si>
  <si>
    <t>Conservatory Honors Recital</t>
  </si>
  <si>
    <t>Student Showcase</t>
  </si>
  <si>
    <t>Various Performers</t>
  </si>
  <si>
    <t>13.1</t>
  </si>
  <si>
    <t>Overjoyed (1985)</t>
  </si>
  <si>
    <t>13.10</t>
  </si>
  <si>
    <t>José Elizando</t>
  </si>
  <si>
    <t>Elizondo, José</t>
  </si>
  <si>
    <t>Danzas latinamericos (2017)</t>
  </si>
  <si>
    <t>13.11</t>
  </si>
  <si>
    <t>Ballade No. 2 in F major, op. 38 (1839)</t>
  </si>
  <si>
    <t>13.2</t>
  </si>
  <si>
    <t>Fantasia IV (2021)</t>
  </si>
  <si>
    <t>13.3</t>
  </si>
  <si>
    <t>Piano Sonata No. 1, Op. 1 (1909)</t>
  </si>
  <si>
    <t>13.4</t>
  </si>
  <si>
    <t>Jules Massenet</t>
  </si>
  <si>
    <t>Frère, voyez from Werther (1892)</t>
  </si>
  <si>
    <t>13.5</t>
  </si>
  <si>
    <t>Peace (2020)</t>
  </si>
  <si>
    <t>13.6</t>
  </si>
  <si>
    <t>Fetes Galantes (1891)</t>
  </si>
  <si>
    <t>13.7</t>
  </si>
  <si>
    <t>attr. Henri Eccles</t>
  </si>
  <si>
    <t>Eccles, Henry</t>
  </si>
  <si>
    <t>Sonata in G minor (by 1720)</t>
  </si>
  <si>
    <t>13.8</t>
  </si>
  <si>
    <t>Hector Berlioz</t>
  </si>
  <si>
    <t>Les nuits d’été (1841)</t>
  </si>
  <si>
    <t>13.9</t>
  </si>
  <si>
    <t>Wolfgang Amadé Mozart</t>
  </si>
  <si>
    <t>Bassoon Concerto in B-flat major K. 186e K. 191 (1774)</t>
  </si>
  <si>
    <t>Magdalene Myint, piano</t>
  </si>
  <si>
    <t>14.1</t>
  </si>
  <si>
    <t>Piano Sonata No. 2 in G minor, Op. 22 (1839)</t>
  </si>
  <si>
    <t>14.2</t>
  </si>
  <si>
    <t>Adolphe Blanc</t>
  </si>
  <si>
    <t>Romance Op. 43b for Oboe, Horn, and Piano (1862)</t>
  </si>
  <si>
    <t>14.3</t>
  </si>
  <si>
    <t>Suite No. 2 for two pianos, Op. 17 (1901)</t>
  </si>
  <si>
    <t>14.4</t>
  </si>
  <si>
    <t>Bacewicz, Grazyna</t>
  </si>
  <si>
    <t>Scherzo (1999)</t>
  </si>
  <si>
    <t>14.5</t>
  </si>
  <si>
    <t>Piano Sonata No. 1 in F minor, Op. 1 (1909)</t>
  </si>
  <si>
    <t>15.1</t>
  </si>
  <si>
    <t>15.2</t>
  </si>
  <si>
    <t>Image, op. 38 (1940)</t>
  </si>
  <si>
    <t>15.3</t>
  </si>
  <si>
    <t>Frank, Gabriela Lena</t>
  </si>
  <si>
    <t>Khazn’s Recitative: Elu D’vorim (2003)</t>
  </si>
  <si>
    <t>15.4</t>
  </si>
  <si>
    <t>Piano Trio in D major, op. 70, no. 1, “Ghost” (2014)</t>
  </si>
  <si>
    <t>Frank Wiens, piano</t>
  </si>
  <si>
    <t>Faculty Emeritus Recital</t>
  </si>
  <si>
    <t>16.1</t>
  </si>
  <si>
    <t>Rondo in A Minor, KV 511</t>
  </si>
  <si>
    <t>16.2</t>
  </si>
  <si>
    <t>Sonata in C Minor, Opus 13</t>
  </si>
  <si>
    <t>16.3</t>
  </si>
  <si>
    <t>Margaret Bonds</t>
  </si>
  <si>
    <t>Troubled Water</t>
  </si>
  <si>
    <t>16.4</t>
  </si>
  <si>
    <t>Frederic Chopin</t>
  </si>
  <si>
    <t>Nocturne in F# Major, Opus 15, #3</t>
  </si>
  <si>
    <t>16.5</t>
  </si>
  <si>
    <t>Scherzo in C# Minor, Opus 39</t>
  </si>
  <si>
    <t>16.6</t>
  </si>
  <si>
    <t>Sonata in B Minor</t>
  </si>
  <si>
    <t>Pacific Choirs</t>
  </si>
  <si>
    <t>17.1</t>
  </si>
  <si>
    <t>J. Rosamond Johnson</t>
  </si>
  <si>
    <t>Johnson, J. Rosamond</t>
  </si>
  <si>
    <t>Lift Ev’ry Voice and Sing (1900)</t>
  </si>
  <si>
    <t>17.10</t>
  </si>
  <si>
    <t>We Can Mend the Sky (2014)</t>
  </si>
  <si>
    <t>17.2</t>
  </si>
  <si>
    <t>Richard Burchard</t>
  </si>
  <si>
    <t>Sitivit Anima Mea (2014)</t>
  </si>
  <si>
    <t>17.3</t>
  </si>
  <si>
    <t>Rollo Dilworth</t>
  </si>
  <si>
    <t>When Dreams Take Flight (2017)</t>
  </si>
  <si>
    <t>17.4</t>
  </si>
  <si>
    <t>Craig Carnelia</t>
  </si>
  <si>
    <t>Flight (1992)</t>
  </si>
  <si>
    <t>17.5</t>
  </si>
  <si>
    <t>Kim Andre Arnesen</t>
  </si>
  <si>
    <t>17.6</t>
  </si>
  <si>
    <t>Richard Smallwood</t>
  </si>
  <si>
    <t>Total Praise (1996)</t>
  </si>
  <si>
    <t>17.7</t>
  </si>
  <si>
    <t>John Lennon/Paul McCartney (b. 1942)</t>
  </si>
  <si>
    <t>Lennon, John / McCartney, Paul</t>
  </si>
  <si>
    <t>Blackbird (1968)</t>
  </si>
  <si>
    <t>17.8</t>
  </si>
  <si>
    <t>Matthew Lyon Hazzard</t>
  </si>
  <si>
    <t>Flight (2020)</t>
  </si>
  <si>
    <t>17.9</t>
  </si>
  <si>
    <t>Elaine Hagenberg</t>
  </si>
  <si>
    <t>Measure Me, Sky! (2022)</t>
  </si>
  <si>
    <t>Sabine Klein, piano</t>
  </si>
  <si>
    <t>18.1</t>
  </si>
  <si>
    <t>Peter Feuchtwanger</t>
  </si>
  <si>
    <t>Tariqa I (1982)</t>
  </si>
  <si>
    <t>18.2</t>
  </si>
  <si>
    <t>Concert Rondo A major, K.386 (1782)</t>
  </si>
  <si>
    <t>18.3</t>
  </si>
  <si>
    <t>Prelude and Fugue d minor op.87/24 (1950-51)</t>
  </si>
  <si>
    <t>18.4</t>
  </si>
  <si>
    <t>Symphonic Etudes op.13</t>
  </si>
  <si>
    <t>Faculty Artists</t>
  </si>
  <si>
    <t>Gabriela Lena Frank's Chamber Music</t>
  </si>
  <si>
    <t>19.1</t>
  </si>
  <si>
    <t>Zapatos de chincha for violin and violoncello (2010)</t>
  </si>
  <si>
    <t>19.2</t>
  </si>
  <si>
    <t>Soliloquio Serrano No. 2 for viola (2020)</t>
  </si>
  <si>
    <t>19.3</t>
  </si>
  <si>
    <t>Five Andean Improvisations for flute and piano (2019)</t>
  </si>
  <si>
    <t>19.4</t>
  </si>
  <si>
    <t>Khazn’s Recitative: Elu D’vorim for solo violin (2003)</t>
  </si>
  <si>
    <t>19.5</t>
  </si>
  <si>
    <t>Four Folk Songs for violin, cello, and piano (2012)</t>
  </si>
  <si>
    <t>Jordan Bell Souza, voice</t>
  </si>
  <si>
    <t>20.1</t>
  </si>
  <si>
    <t>What Can We Poor Females Do? (1945)</t>
  </si>
  <si>
    <t>20.2</t>
  </si>
  <si>
    <t>Heidenroslein (1815)</t>
  </si>
  <si>
    <t>20.3</t>
  </si>
  <si>
    <t>Abendstern (1824)</t>
  </si>
  <si>
    <t>20.4</t>
  </si>
  <si>
    <t>S’altro che lacrime from La clemenza di Tito, K. 621 (1791)</t>
  </si>
  <si>
    <t>20.5</t>
  </si>
  <si>
    <t>Nuit D'étoiles (1880)</t>
  </si>
  <si>
    <t>20.6</t>
  </si>
  <si>
    <t>L'âme évaporée' (1885)</t>
  </si>
  <si>
    <t>20.7</t>
  </si>
  <si>
    <t>Fantoches (1891)</t>
  </si>
  <si>
    <t>20.8</t>
  </si>
  <si>
    <t>Three Cowboy Songs (1994)</t>
  </si>
  <si>
    <t>Pacific Wind Bands with Kevin Bobo, marimba</t>
  </si>
  <si>
    <t>21.1</t>
  </si>
  <si>
    <t>Alayna Ontai</t>
  </si>
  <si>
    <t>Radiance (2024)</t>
  </si>
  <si>
    <t>21.2</t>
  </si>
  <si>
    <t>James Syler</t>
  </si>
  <si>
    <t>Congo Square (2014)</t>
  </si>
  <si>
    <t>21.3</t>
  </si>
  <si>
    <t>Jodie Blackshaw</t>
  </si>
  <si>
    <t>Vulnerable Joy (2022)</t>
  </si>
  <si>
    <t>21.4</t>
  </si>
  <si>
    <t>Kevin Bobo</t>
  </si>
  <si>
    <t>Architecture of a Dream (2016)</t>
  </si>
  <si>
    <t>Hassina Torres, cello</t>
  </si>
  <si>
    <t>22.1</t>
  </si>
  <si>
    <t>Antonio Dvorak</t>
  </si>
  <si>
    <t>Rondo op. 94</t>
  </si>
  <si>
    <t>22.2</t>
  </si>
  <si>
    <t>Cello Concerto in D major</t>
  </si>
  <si>
    <t>22.3</t>
  </si>
  <si>
    <t>Beřich Smetana</t>
  </si>
  <si>
    <t>Piano Trio in G minor op 15</t>
  </si>
  <si>
    <t>22.4</t>
  </si>
  <si>
    <t>José L. Elizondo</t>
  </si>
  <si>
    <t>Danzas Lationoamericanas - Otoño en Buenos Aries</t>
  </si>
  <si>
    <t>Matthew Kulm, percussion</t>
  </si>
  <si>
    <t>23.1</t>
  </si>
  <si>
    <t>Michael Colgrass</t>
  </si>
  <si>
    <t>Six Unaccompanied Solos for Snare Drum 3-Adagio (1957)</t>
  </si>
  <si>
    <t>23.2</t>
  </si>
  <si>
    <t>Eugene Novotney</t>
  </si>
  <si>
    <t>A Minute of News (1990)</t>
  </si>
  <si>
    <t>23.3</t>
  </si>
  <si>
    <t>Stevie Wonder arr. Vibemother</t>
  </si>
  <si>
    <t>Vibemother</t>
  </si>
  <si>
    <t>Overjoyed (2021)</t>
  </si>
  <si>
    <t>23.4</t>
  </si>
  <si>
    <t>Zach Zubow</t>
  </si>
  <si>
    <t>Hiking the Cascade Creek Trail (2011)</t>
  </si>
  <si>
    <t>23.5</t>
  </si>
  <si>
    <t>Kristen Shiner</t>
  </si>
  <si>
    <t>Declaration, Song, and Dance for Solo Timpani (1991)</t>
  </si>
  <si>
    <t>23.6</t>
  </si>
  <si>
    <t>Polaris (1996)</t>
  </si>
  <si>
    <t>Pacific Jazz Ensemble with Keith Brown</t>
  </si>
  <si>
    <t>24.1</t>
  </si>
  <si>
    <t>Keith Brown</t>
  </si>
  <si>
    <t>Queen (2021)</t>
  </si>
  <si>
    <t>24.2</t>
  </si>
  <si>
    <t>512 Arkansas Street (2021)</t>
  </si>
  <si>
    <t>24.3</t>
  </si>
  <si>
    <t>James Williams</t>
  </si>
  <si>
    <t>Four Play (1984)</t>
  </si>
  <si>
    <t>24.4</t>
  </si>
  <si>
    <t>Affaire D'Amour (1985)</t>
  </si>
  <si>
    <t>24.5</t>
  </si>
  <si>
    <t>Michael Philip Mossman</t>
  </si>
  <si>
    <t>Cubauza (2010)</t>
  </si>
  <si>
    <t>24.6</t>
  </si>
  <si>
    <t>Central Park West (1977)</t>
  </si>
  <si>
    <t>Sadie Glass with guest artis Natalie Douglass Grana, horns</t>
  </si>
  <si>
    <t>25.1</t>
  </si>
  <si>
    <t>W A Mozart</t>
  </si>
  <si>
    <t>Rondo in E-Flat Major, K. 371</t>
  </si>
  <si>
    <t>25.2</t>
  </si>
  <si>
    <t>Skylar Warren</t>
  </si>
  <si>
    <t>Daylight, Duet for Alphorn and Natural Horn</t>
  </si>
  <si>
    <t>25.3</t>
  </si>
  <si>
    <t>John Humphries</t>
  </si>
  <si>
    <t>Concerto in D Major</t>
  </si>
  <si>
    <t>25.4</t>
  </si>
  <si>
    <t>William Rose</t>
  </si>
  <si>
    <t>A Gentle Yodel</t>
  </si>
  <si>
    <t>25.5</t>
  </si>
  <si>
    <t>Land of Fire and Ice, for horn and piano</t>
  </si>
  <si>
    <t>25.6</t>
  </si>
  <si>
    <t>Saga, for horn and mixed media</t>
  </si>
  <si>
    <t>25.7</t>
  </si>
  <si>
    <t>Laura Nelson</t>
  </si>
  <si>
    <t>A Suite of Laura Nelson Alphorn Pieces</t>
  </si>
  <si>
    <t>Jonathan Latta, percussion</t>
  </si>
  <si>
    <t>26.1</t>
  </si>
  <si>
    <t>Robert Maggio</t>
  </si>
  <si>
    <t>Songs from the Wood</t>
  </si>
  <si>
    <t>26.2</t>
  </si>
  <si>
    <t>Well-Groomed (2019)</t>
  </si>
  <si>
    <t>26.3</t>
  </si>
  <si>
    <t>Brett William Dietz</t>
  </si>
  <si>
    <t>Metamorphosis (2004)</t>
  </si>
  <si>
    <t>26.4</t>
  </si>
  <si>
    <t>Jonathan Latta</t>
  </si>
  <si>
    <t>To Consider... (2024)</t>
  </si>
  <si>
    <t>26.5</t>
  </si>
  <si>
    <t>Memories of the Seashore (1986)</t>
  </si>
  <si>
    <t>26.6</t>
  </si>
  <si>
    <t>Sarah Hennies</t>
  </si>
  <si>
    <t>Psalm 3 for woodblock (2009)</t>
  </si>
  <si>
    <t>26.7</t>
  </si>
  <si>
    <t>Osnat Netzer</t>
  </si>
  <si>
    <t>Taksim (2008)</t>
  </si>
  <si>
    <t>26.8</t>
  </si>
  <si>
    <t>Echoes (2008)</t>
  </si>
  <si>
    <t>Kylie Ward, trumpet</t>
  </si>
  <si>
    <t>27.1</t>
  </si>
  <si>
    <t>Rhapsody in Blue (1924)</t>
  </si>
  <si>
    <t>27.2</t>
  </si>
  <si>
    <t>Herbert L. Clarke</t>
  </si>
  <si>
    <t>Clarke, Herbert L.</t>
  </si>
  <si>
    <t>Cousins (1904)</t>
  </si>
  <si>
    <t>27.3</t>
  </si>
  <si>
    <t>Nicholas Payton</t>
  </si>
  <si>
    <t>The Three Trumpeteers (1998)</t>
  </si>
  <si>
    <t>27.4</t>
  </si>
  <si>
    <t>Carlos Martínez</t>
  </si>
  <si>
    <t>Martínez, Carlos</t>
  </si>
  <si>
    <t>Mi Amor es una Trompeta (2006)</t>
  </si>
  <si>
    <t>27.5</t>
  </si>
  <si>
    <t>Armando Manzanero</t>
  </si>
  <si>
    <t>Somos Novios (1968)</t>
  </si>
  <si>
    <t>27.6</t>
  </si>
  <si>
    <t>Rigoberto Alfaro, Jesús Rodríguez de Híjar</t>
  </si>
  <si>
    <t>Alfaro, Rigoberto</t>
  </si>
  <si>
    <t>La Fuente (1970)</t>
  </si>
  <si>
    <t>27.7</t>
  </si>
  <si>
    <t>Traditional Song (composer unknown)</t>
  </si>
  <si>
    <t>7. El Gavilán</t>
  </si>
  <si>
    <t>Marwan Ghonima, double bass</t>
  </si>
  <si>
    <t>28.1</t>
  </si>
  <si>
    <t>Christian McBride</t>
  </si>
  <si>
    <t>Shake N’ Blake (2011)</t>
  </si>
  <si>
    <t>28.2</t>
  </si>
  <si>
    <t>Thelonious Sphere Monk</t>
  </si>
  <si>
    <t>Monk, Thelonious</t>
  </si>
  <si>
    <t>Misterioso</t>
  </si>
  <si>
    <t>28.3</t>
  </si>
  <si>
    <t>Marwan Ghonima</t>
  </si>
  <si>
    <t>The Crossing (2022)</t>
  </si>
  <si>
    <t>28.4</t>
  </si>
  <si>
    <t>Isu Ichi (2022)</t>
  </si>
  <si>
    <t>28.5</t>
  </si>
  <si>
    <t>The Lamb (2023)</t>
  </si>
  <si>
    <t>28.6</t>
  </si>
  <si>
    <t>Victor Lewis</t>
  </si>
  <si>
    <t>Hey, It’s Me You’re Talking To</t>
  </si>
  <si>
    <t>Handel's Alcina</t>
  </si>
  <si>
    <t>29.1</t>
  </si>
  <si>
    <t>Alcina</t>
  </si>
  <si>
    <t>Pacific Double Bass Studio</t>
  </si>
  <si>
    <t>30.1</t>
  </si>
  <si>
    <t>Jan Alm</t>
  </si>
  <si>
    <t>Quartet for Doublebasses no 2 (2002)</t>
  </si>
  <si>
    <t>30.2</t>
  </si>
  <si>
    <t>Xavier Foley</t>
  </si>
  <si>
    <t>Etude No. 1 “Little Foot” (2020)</t>
  </si>
  <si>
    <t>30.3</t>
  </si>
  <si>
    <t>Vittorio Monti</t>
  </si>
  <si>
    <t>Pierce, Lauren</t>
  </si>
  <si>
    <t>Czardas (1904 / 2019)</t>
  </si>
  <si>
    <t>30.4</t>
  </si>
  <si>
    <t>Etude No.8 “Heaven” (2020)</t>
  </si>
  <si>
    <t>30.5</t>
  </si>
  <si>
    <t>Chuang, Wan-Ling</t>
  </si>
  <si>
    <t>Danse Macabre, Op. 40 (1875 / 2020)</t>
  </si>
  <si>
    <t>30.6</t>
  </si>
  <si>
    <t>Summertime (1935)</t>
  </si>
  <si>
    <t>30.7</t>
  </si>
  <si>
    <t>Ambler (2022)</t>
  </si>
  <si>
    <t>30.8</t>
  </si>
  <si>
    <t>Andrew Mell</t>
  </si>
  <si>
    <t>Late Fall (2023)</t>
  </si>
  <si>
    <t>30.9</t>
  </si>
  <si>
    <t>Mark Dresser</t>
  </si>
  <si>
    <t>Subtonium for Bass Ensemble (2019)</t>
  </si>
  <si>
    <t>31.1</t>
  </si>
  <si>
    <t>Roma (2010)</t>
  </si>
  <si>
    <t>31.2</t>
  </si>
  <si>
    <t>Deciduous (2022)</t>
  </si>
  <si>
    <t>31.3</t>
  </si>
  <si>
    <t>This Cruel Moon (2017)</t>
  </si>
  <si>
    <t>31.4</t>
  </si>
  <si>
    <t>Dolores, AmeriCan: Symphony for Band (2023)</t>
  </si>
  <si>
    <t>31.5</t>
  </si>
  <si>
    <t>Autumn Triptych (2023)</t>
  </si>
  <si>
    <t>32.1</t>
  </si>
  <si>
    <t>Ständchen, D. 957, no. 4 (1826)</t>
  </si>
  <si>
    <t>32.2</t>
  </si>
  <si>
    <t>Piano Sonata in F major, op. 10, no. 2 (1796–98)</t>
  </si>
  <si>
    <t>32.3</t>
  </si>
  <si>
    <t>Violin Concerto No. 1 in D major (1917)</t>
  </si>
  <si>
    <t>32.4</t>
  </si>
  <si>
    <t>Messiaen, Olivier</t>
  </si>
  <si>
    <t>Emma Northcutt, violin</t>
  </si>
  <si>
    <t>34.1</t>
  </si>
  <si>
    <t>Khazn's Recitative: Elu D'vorim (2003)</t>
  </si>
  <si>
    <t>34.2</t>
  </si>
  <si>
    <t>Niccolo Paganini</t>
  </si>
  <si>
    <t>Caprice no. 10 (1817)</t>
  </si>
  <si>
    <t>34.3</t>
  </si>
  <si>
    <t>Violin Sonata no. 5, Op. 24 (1801)</t>
  </si>
  <si>
    <t>34.4</t>
  </si>
  <si>
    <t>Violin Concerto no. 1 in D Major (1917)</t>
  </si>
  <si>
    <t>Mateo Ruiz, saxophone</t>
  </si>
  <si>
    <t>33.1</t>
  </si>
  <si>
    <t>Humpty Dumpty</t>
  </si>
  <si>
    <t>33.2</t>
  </si>
  <si>
    <t>Thelonius Monk</t>
  </si>
  <si>
    <t>Evidence</t>
  </si>
  <si>
    <t>33.3</t>
  </si>
  <si>
    <t>Round Midnight</t>
  </si>
  <si>
    <t>33.4</t>
  </si>
  <si>
    <t>One Finger Snap</t>
  </si>
  <si>
    <t>33.5</t>
  </si>
  <si>
    <t>Claire Fischer</t>
  </si>
  <si>
    <t>Pensativa</t>
  </si>
  <si>
    <t>Huey Chan, piano</t>
  </si>
  <si>
    <t>35.1</t>
  </si>
  <si>
    <t>Bagatelles, Op. 126 (1823)</t>
  </si>
  <si>
    <t>35.2</t>
  </si>
  <si>
    <t>3 Romances, Op. 11 (1839)</t>
  </si>
  <si>
    <t>35.3</t>
  </si>
  <si>
    <t>Sonatine (1905)</t>
  </si>
  <si>
    <t>Andie Reposa, voice</t>
  </si>
  <si>
    <t>36.1</t>
  </si>
  <si>
    <t>The Ladies Who Lunch (1970)</t>
  </si>
  <si>
    <t>36.10</t>
  </si>
  <si>
    <t>Sammy Rae</t>
  </si>
  <si>
    <t>Coming Home Song (2024)</t>
  </si>
  <si>
    <t>36.11</t>
  </si>
  <si>
    <t>Sherman Kelly</t>
  </si>
  <si>
    <t>Dancing in the Moonlight (1973)</t>
  </si>
  <si>
    <t>36.2</t>
  </si>
  <si>
    <t>Stay With Me (1986)</t>
  </si>
  <si>
    <t>36.3</t>
  </si>
  <si>
    <t>The Miller's Son (1973)</t>
  </si>
  <si>
    <t>36.4</t>
  </si>
  <si>
    <t>A Little Priest from Sweeney Todd (1978)</t>
  </si>
  <si>
    <t>36.5</t>
  </si>
  <si>
    <t>Jason Robert Brown</t>
  </si>
  <si>
    <t>Climbing Uphill from The Last Five Years (2002)</t>
  </si>
  <si>
    <t>36.6</t>
  </si>
  <si>
    <t>Benj Pasek &amp; Justin Paul</t>
  </si>
  <si>
    <t>Pasek, Benj / Paul, Justin</t>
  </si>
  <si>
    <t>So Big/So Small from Dear Evan Hansen (2017)</t>
  </si>
  <si>
    <t>36.7</t>
  </si>
  <si>
    <t>Sara Bareilles</t>
  </si>
  <si>
    <t>I Didn’t Plan It from Waitress (2015)</t>
  </si>
  <si>
    <t>36.8</t>
  </si>
  <si>
    <t>Doc Pomus, Mort Shuman</t>
  </si>
  <si>
    <t>Schuman, Mort / Pomus, Doc</t>
  </si>
  <si>
    <t>This Magic Moment (2012)</t>
  </si>
  <si>
    <t>36.9</t>
  </si>
  <si>
    <t>Theo Katzman</t>
  </si>
  <si>
    <t>Love is a Beautiful Thing (2018)</t>
  </si>
  <si>
    <t>Judy Kim, piano</t>
  </si>
  <si>
    <t>37.1</t>
  </si>
  <si>
    <t>Notturno in g minor, H.337 (1838)</t>
  </si>
  <si>
    <t>37.2</t>
  </si>
  <si>
    <t>Frédéric Chopin</t>
  </si>
  <si>
    <t>Ballade No. 2 in F Major Op. 38 (1839)</t>
  </si>
  <si>
    <t>37.3</t>
  </si>
  <si>
    <t>Jean Françaix</t>
  </si>
  <si>
    <t>Françaix, Jean</t>
  </si>
  <si>
    <t>Cinq portraits de jeune filles (1936)</t>
  </si>
  <si>
    <t>37.4</t>
  </si>
  <si>
    <t>Isaac Albéniz</t>
  </si>
  <si>
    <t>Albéniz, Isaac</t>
  </si>
  <si>
    <t>Book 1: Iberia (1906)</t>
  </si>
  <si>
    <t>Skylar Warren, horn</t>
  </si>
  <si>
    <t>38.1</t>
  </si>
  <si>
    <t>Romance, op. 67 (1866)</t>
  </si>
  <si>
    <t>38.2</t>
  </si>
  <si>
    <t>Horn Sonata, op. 43 (1861)</t>
  </si>
  <si>
    <t>38.3</t>
  </si>
  <si>
    <t>Reinhold Gliere</t>
  </si>
  <si>
    <t>Glière, Reinhold</t>
  </si>
  <si>
    <t>4 Pieces, op. 35 (1908)</t>
  </si>
  <si>
    <t>38.4</t>
  </si>
  <si>
    <t>Parallel Strands (2024)</t>
  </si>
  <si>
    <t>38.5</t>
  </si>
  <si>
    <t>Bernhard Crussell</t>
  </si>
  <si>
    <t>Three Quartets for Four Horns (1810)</t>
  </si>
  <si>
    <t>38.6</t>
  </si>
  <si>
    <t>Danilo Mezzadri, Flute</t>
  </si>
  <si>
    <t>39.1</t>
  </si>
  <si>
    <t>Reynaldo Hahn</t>
  </si>
  <si>
    <t>Sonata in C Major for flute and piano (1926)</t>
  </si>
  <si>
    <t>39.2</t>
  </si>
  <si>
    <t>César Guerra-Peixe</t>
  </si>
  <si>
    <t>Guerra-Peixe, César</t>
  </si>
  <si>
    <t>Em Duas Flautas (1981)</t>
  </si>
  <si>
    <t>39.3</t>
  </si>
  <si>
    <t>Donald Draganski</t>
  </si>
  <si>
    <t>The Bestiary (2015)</t>
  </si>
  <si>
    <t>39.4</t>
  </si>
  <si>
    <t>Cláudio Santoro</t>
  </si>
  <si>
    <t>Santoro, Cláudio</t>
  </si>
  <si>
    <t>Fantasia Sul America (1983)</t>
  </si>
  <si>
    <t>39.5</t>
  </si>
  <si>
    <t>Osvaldo Lacerda</t>
  </si>
  <si>
    <t>Improviso No. 2 (1999)</t>
  </si>
  <si>
    <t>39.6</t>
  </si>
  <si>
    <t>Luigi Zaninelli</t>
  </si>
  <si>
    <t>Ghostly Visions for flute and piano (2023)</t>
  </si>
  <si>
    <t>39.7</t>
  </si>
  <si>
    <t>Elainie Lillios</t>
  </si>
  <si>
    <t>Among Fireflies for alto flute and live electronics (2010)</t>
  </si>
  <si>
    <t>39.8</t>
  </si>
  <si>
    <t>Orlan Charles</t>
  </si>
  <si>
    <t>Contrastes for flute and piano (2012)</t>
  </si>
  <si>
    <t>Ria Patel, soprano</t>
  </si>
  <si>
    <t>Soprano</t>
  </si>
  <si>
    <t>40.1</t>
  </si>
  <si>
    <t>L’abbandono (1835)</t>
  </si>
  <si>
    <t>40.2</t>
  </si>
  <si>
    <t>Enrique Granados</t>
  </si>
  <si>
    <t>Tonadillas en estilo antiguo, H. 136</t>
  </si>
  <si>
    <t>40.3</t>
  </si>
  <si>
    <t>Eden Ahbez</t>
  </si>
  <si>
    <t>Nature Boy (1948)</t>
  </si>
  <si>
    <t>40.4</t>
  </si>
  <si>
    <t>जूता (Joota), from Chuti hui jagah (2015)</t>
  </si>
  <si>
    <t>40.5</t>
  </si>
  <si>
    <t>Fiançailles pour rire , FP 101 (1839)</t>
  </si>
  <si>
    <t>40.6</t>
  </si>
  <si>
    <t>Charles Gounod</t>
  </si>
  <si>
    <t>Je veux vivre from Roméo et Juliette (1867)</t>
  </si>
  <si>
    <t>40.7</t>
  </si>
  <si>
    <t>Harry Warren</t>
  </si>
  <si>
    <t>There Will Never Be Another You (1942)</t>
  </si>
  <si>
    <t>Hannah Estrella, oboe</t>
  </si>
  <si>
    <t>41.1</t>
  </si>
  <si>
    <t>Jeffrey Agrell</t>
  </si>
  <si>
    <t>Blues for D.D. (1993)</t>
  </si>
  <si>
    <t>41.2</t>
  </si>
  <si>
    <t>Marie Jocelyn U. Marfil</t>
  </si>
  <si>
    <t>Marfil, Marie Jocelyn</t>
  </si>
  <si>
    <t>Ili-Ili Tulog Anay (2024)</t>
  </si>
  <si>
    <t>41.3</t>
  </si>
  <si>
    <t>Coping (2018)</t>
  </si>
  <si>
    <t>41.4</t>
  </si>
  <si>
    <t>Anthony Braxton</t>
  </si>
  <si>
    <t>*See Program Document, it is a Diagram (2002)</t>
  </si>
  <si>
    <t>41.5</t>
  </si>
  <si>
    <t>Sonata per due clarinetti (2017)</t>
  </si>
  <si>
    <t>41.6</t>
  </si>
  <si>
    <t>Jorge Calleja</t>
  </si>
  <si>
    <t>Tequila Saxiana (2002)</t>
  </si>
  <si>
    <t>41.7</t>
  </si>
  <si>
    <t>Don’t You Worry ‘Bout a Thing</t>
  </si>
  <si>
    <t>Apollo Mitchell, oboe</t>
  </si>
  <si>
    <t>42.1</t>
  </si>
  <si>
    <t>Suite for Oboe and Piano (1931)</t>
  </si>
  <si>
    <t>42.2</t>
  </si>
  <si>
    <t>Florent Schmitt</t>
  </si>
  <si>
    <t>A Tour D'anches (1943)</t>
  </si>
  <si>
    <t>42.3</t>
  </si>
  <si>
    <t>Piano Concerto in G Major (1931)</t>
  </si>
  <si>
    <t>42.4</t>
  </si>
  <si>
    <t>Canzonetta for Oboe and Strings (1978)</t>
  </si>
  <si>
    <t>42.5</t>
  </si>
  <si>
    <t>Miguel del Águila</t>
  </si>
  <si>
    <t>Aguila, Miguel del</t>
  </si>
  <si>
    <t>Summer Song (1988, rev. 1996)</t>
  </si>
  <si>
    <t>43.1</t>
  </si>
  <si>
    <t>Bach Cello Suite no.3 in C major (1717-23)</t>
  </si>
  <si>
    <t>43.2</t>
  </si>
  <si>
    <t>Air (“on the G String”) from Orchestral Suite No. 3 in D major, BWV 1068 (1731)</t>
  </si>
  <si>
    <t>43.3</t>
  </si>
  <si>
    <t>Oleg Miroshnikov</t>
  </si>
  <si>
    <t>Scherzo in G minor (1948)</t>
  </si>
  <si>
    <t>43.4</t>
  </si>
  <si>
    <t>Trumpet Concerto in E-flat (1803)</t>
  </si>
  <si>
    <t>43.5</t>
  </si>
  <si>
    <t>Séjourné, Emmanuel</t>
  </si>
  <si>
    <t>Katamiya (1995)</t>
  </si>
  <si>
    <t>Mia Janosik and Michael Meggenney, mezzo-soprano; tenor</t>
  </si>
  <si>
    <t>Mezzo-Soprano &amp; Tenor</t>
  </si>
  <si>
    <t>44.1</t>
  </si>
  <si>
    <t>Voi Che Sapete, from Le Nozze di Figaro (1786)</t>
  </si>
  <si>
    <t>44.10</t>
  </si>
  <si>
    <t>Edouard Lalo</t>
  </si>
  <si>
    <t>Lalo, Édouard</t>
  </si>
  <si>
    <t>Vainement, ma bien-aimee, from Le Roi D’Y’s</t>
  </si>
  <si>
    <t>44.11</t>
  </si>
  <si>
    <t>Les amants de Séville (Tirana pour deux voix)</t>
  </si>
  <si>
    <t>44.2</t>
  </si>
  <si>
    <t>Paolo Tosti</t>
  </si>
  <si>
    <t>Tosti, Francesco Paolo</t>
  </si>
  <si>
    <t>Luna D’estate (1911)</t>
  </si>
  <si>
    <t>44.3</t>
  </si>
  <si>
    <t>La Serenata (1888)</t>
  </si>
  <si>
    <t>44.4</t>
  </si>
  <si>
    <t>Marechiare (1886)</t>
  </si>
  <si>
    <t>44.5</t>
  </si>
  <si>
    <t>Des Fischers Liebesglück (1827)</t>
  </si>
  <si>
    <t>44.6</t>
  </si>
  <si>
    <t>Die Schöne Müllerin (1823)</t>
  </si>
  <si>
    <t>44.7</t>
  </si>
  <si>
    <t>A Charm of Lullabies (1947)</t>
  </si>
  <si>
    <t>44.8</t>
  </si>
  <si>
    <t>From the Diary of Virginia Woolf (1974)</t>
  </si>
  <si>
    <t>44.9</t>
  </si>
  <si>
    <t>Fauré, Gabriel</t>
  </si>
  <si>
    <t>Lydia Op. 4 No. 2 (1870); Mandoline Op. 58 No. 1 (1867)</t>
  </si>
  <si>
    <t>Gianna Pedregon, violin</t>
  </si>
  <si>
    <t>46.1</t>
  </si>
  <si>
    <t>Grand Ave. (2021)</t>
  </si>
  <si>
    <t>46.2</t>
  </si>
  <si>
    <t>Other Times, It Goes Like This (2024)</t>
  </si>
  <si>
    <t>46.3</t>
  </si>
  <si>
    <t>Melissa Aldana</t>
  </si>
  <si>
    <t>Emilia (2022)</t>
  </si>
  <si>
    <t>46.4</t>
  </si>
  <si>
    <t>Guy Wood</t>
  </si>
  <si>
    <t>My One And Only Love (1947)</t>
  </si>
  <si>
    <t>46.5</t>
  </si>
  <si>
    <t>Mulgrew Miller</t>
  </si>
  <si>
    <t>Holding Hands (2002)</t>
  </si>
  <si>
    <t>46.6</t>
  </si>
  <si>
    <t>Toninho Horta</t>
  </si>
  <si>
    <t>Aqui, Oh! (1969)</t>
  </si>
  <si>
    <t>Justin Silva, bassoon</t>
  </si>
  <si>
    <t>45.1</t>
  </si>
  <si>
    <t>Jacques Ibert</t>
  </si>
  <si>
    <t>Carignane (1953)</t>
  </si>
  <si>
    <t>45.2</t>
  </si>
  <si>
    <t>Sonata for Bassoon and Piano (2005)</t>
  </si>
  <si>
    <t>45.3</t>
  </si>
  <si>
    <t>Willard Elliot</t>
  </si>
  <si>
    <t>Sonata for Bassoon and Piano (1998)</t>
  </si>
  <si>
    <t>Mary Denney, composer</t>
  </si>
  <si>
    <t>48.1</t>
  </si>
  <si>
    <t>Mary Denney</t>
  </si>
  <si>
    <t>Cloud Cover (2021)</t>
  </si>
  <si>
    <t>48.2</t>
  </si>
  <si>
    <t>Heart Trio (2023)</t>
  </si>
  <si>
    <t>48.3</t>
  </si>
  <si>
    <t>Bright (2023)</t>
  </si>
  <si>
    <t>48.4</t>
  </si>
  <si>
    <t>Satellite Radio (2024)</t>
  </si>
  <si>
    <t>48.5</t>
  </si>
  <si>
    <t>Huntress (2024)</t>
  </si>
  <si>
    <t>48.6</t>
  </si>
  <si>
    <t>Voice Memories (2024)</t>
  </si>
  <si>
    <t>Reyna Machado, drum set</t>
  </si>
  <si>
    <t>Drum Set</t>
  </si>
  <si>
    <t>47.1</t>
  </si>
  <si>
    <t>Horace Silver</t>
  </si>
  <si>
    <t>Safari (1953)</t>
  </si>
  <si>
    <t>47.2</t>
  </si>
  <si>
    <t>Just Some Time (2023)</t>
  </si>
  <si>
    <t>47.3</t>
  </si>
  <si>
    <t>Sara Cassey</t>
  </si>
  <si>
    <t>Wind Flower</t>
  </si>
  <si>
    <t>47.4</t>
  </si>
  <si>
    <t>To My 4-Legged Friend (2024)</t>
  </si>
  <si>
    <t>47.5</t>
  </si>
  <si>
    <t>João Theodoro Meirelles</t>
  </si>
  <si>
    <t>Meirelles, João Theodoro</t>
  </si>
  <si>
    <t>Solo (1964)</t>
  </si>
  <si>
    <t>47.6</t>
  </si>
  <si>
    <t>Coke Escovedo, Tom Harrell, Errol Knowles</t>
  </si>
  <si>
    <t>Someday We’ll Get By (1973)</t>
  </si>
  <si>
    <t>Ealaph Tabbaa, composer</t>
  </si>
  <si>
    <t>52.10</t>
  </si>
  <si>
    <t>Syrian Traditional, Arr. Ealaph Tabbaa</t>
  </si>
  <si>
    <t>Traditional Syrian</t>
  </si>
  <si>
    <t>Ealaph Tabbaa</t>
  </si>
  <si>
    <t>Syrian Folk Suite (2023-24)</t>
  </si>
  <si>
    <t>52.8</t>
  </si>
  <si>
    <t>Trio for Clarinet, Viola and Piano (2023)</t>
  </si>
  <si>
    <t>52.9</t>
  </si>
  <si>
    <t>String Quartet “Undergraduate Imitations” (2022-24)</t>
  </si>
  <si>
    <t>Jamie Lue, violin</t>
  </si>
  <si>
    <t>49.1</t>
  </si>
  <si>
    <t>Piazzola</t>
  </si>
  <si>
    <t>5 tangoes for violin and bass</t>
  </si>
  <si>
    <t>49.2</t>
  </si>
  <si>
    <t>Vieuxtemps</t>
  </si>
  <si>
    <t>violin concerto no. 4</t>
  </si>
  <si>
    <t>Leonard Cox, composer</t>
  </si>
  <si>
    <t>51.3</t>
  </si>
  <si>
    <t>Leonard RR Cox</t>
  </si>
  <si>
    <t>4 and 3 Dirt (2024)</t>
  </si>
  <si>
    <t>51.4</t>
  </si>
  <si>
    <t>Momento Mori (Original Motion Picture Soundtrack)(2021)</t>
  </si>
  <si>
    <t>51.5</t>
  </si>
  <si>
    <t>Going Home(2023)</t>
  </si>
  <si>
    <t>51.6</t>
  </si>
  <si>
    <t>UOP McGeorge Documentary (Original Motion Picture Soundtrack)(2024) (</t>
  </si>
  <si>
    <t>51.7</t>
  </si>
  <si>
    <t>Bridget (2023)</t>
  </si>
  <si>
    <t>Samson Hulett, Drum set</t>
  </si>
  <si>
    <t>53.1</t>
  </si>
  <si>
    <t>Kenny Dorham</t>
  </si>
  <si>
    <t>Lotus Blossom (1957)</t>
  </si>
  <si>
    <t>53.2</t>
  </si>
  <si>
    <t>Samson Hulett</t>
  </si>
  <si>
    <t>It Goes On (2022)</t>
  </si>
  <si>
    <t>53.3</t>
  </si>
  <si>
    <t>The Secret Life of Plants (1979), Arranged by Samson Hulett</t>
  </si>
  <si>
    <t>53.4</t>
  </si>
  <si>
    <t>Joshua Redman</t>
  </si>
  <si>
    <t>Blues on Sunday (1992)</t>
  </si>
  <si>
    <t>53.5</t>
  </si>
  <si>
    <t>118th &amp; 8th (2021)</t>
  </si>
  <si>
    <t>53.6</t>
  </si>
  <si>
    <t>Ode to Burns (2024)</t>
  </si>
  <si>
    <t>53.7</t>
  </si>
  <si>
    <t>Caribbean Jazz Project</t>
  </si>
  <si>
    <t>Bemsha Swing (1952), Arranged by Caribbean Jazz Project</t>
  </si>
  <si>
    <t>Varied ensembles</t>
  </si>
  <si>
    <t>Varied Ensemble Concert I</t>
  </si>
  <si>
    <t>Varied Ensembles</t>
  </si>
  <si>
    <t>54.1</t>
  </si>
  <si>
    <t>Heinrich von Herzogenberg</t>
  </si>
  <si>
    <t>Trio for Piano, Oboe and Horn, Op. 61 (1889)</t>
  </si>
  <si>
    <t>54.2</t>
  </si>
  <si>
    <t>Zoltan Kodaly</t>
  </si>
  <si>
    <t>Kodály, Zoltán</t>
  </si>
  <si>
    <t>Duo for Violin and Cello, Op. 7 (1914)</t>
  </si>
  <si>
    <t>54.3</t>
  </si>
  <si>
    <t>Refraction (2015)</t>
  </si>
  <si>
    <t>54.4</t>
  </si>
  <si>
    <t>String Quartet in A Minor (1935)</t>
  </si>
  <si>
    <t>Charlize Price, soprano</t>
  </si>
  <si>
    <t>55.1</t>
  </si>
  <si>
    <t>Batti Batti, o bel Masetto (1787)</t>
  </si>
  <si>
    <t>55.10</t>
  </si>
  <si>
    <t>The Tale of The Oyster (1929)</t>
  </si>
  <si>
    <t>55.2</t>
  </si>
  <si>
    <t>Diaphenia (1962)</t>
  </si>
  <si>
    <t>55.3</t>
  </si>
  <si>
    <t>Spring (1962)</t>
  </si>
  <si>
    <t>55.4</t>
  </si>
  <si>
    <t>Ned Rorem</t>
  </si>
  <si>
    <t>Early in the Morning (1957),</t>
  </si>
  <si>
    <t>55.5</t>
  </si>
  <si>
    <t>Erik Satie</t>
  </si>
  <si>
    <t>Je te Veux (1897)</t>
  </si>
  <si>
    <t>55.6</t>
  </si>
  <si>
    <t>Le Statue De Bronze (1916)</t>
  </si>
  <si>
    <t>55.7</t>
  </si>
  <si>
    <t>“L’absence” Les Nuite D’ete (1843)</t>
  </si>
  <si>
    <t>55.8</t>
  </si>
  <si>
    <t>Someone to Watch Over Me (1926)</t>
  </si>
  <si>
    <t>55.9</t>
  </si>
  <si>
    <t>I Hate Men (1948)</t>
  </si>
  <si>
    <t>PacificJazz Ensemble/Stephon Harris</t>
  </si>
  <si>
    <t>Bob Thiele</t>
  </si>
  <si>
    <t>Thiele, Bob</t>
  </si>
  <si>
    <t>What A Wonderful World 1967</t>
  </si>
  <si>
    <t>Cape Verdean Blues 1965</t>
  </si>
  <si>
    <t>Stefon Harris</t>
  </si>
  <si>
    <t>Ellison’s Song 2010</t>
  </si>
  <si>
    <t>Summertime 1934</t>
  </si>
  <si>
    <t>Devil in the Details 2010</t>
  </si>
  <si>
    <t>Bourbon Street Jingling Jollies 1970</t>
  </si>
  <si>
    <t>Igor Veligan, viola, and Natsuki Fukasawa, piano</t>
  </si>
  <si>
    <t>Two Nocturnes, FP 56</t>
  </si>
  <si>
    <t>Sonate, FP 119</t>
  </si>
  <si>
    <t>Sonata in Eb Major, Op.18 1887</t>
  </si>
  <si>
    <t>An Einsamer Quelle, OP. 9 Nº 2</t>
  </si>
  <si>
    <t>Jordan Yang, soprano</t>
  </si>
  <si>
    <t>I attempt from love's sickness to fly (1695)</t>
  </si>
  <si>
    <t>48.10</t>
  </si>
  <si>
    <t>Green (1885)</t>
  </si>
  <si>
    <t>48.11</t>
  </si>
  <si>
    <t>Chevaux de bois (1885)</t>
  </si>
  <si>
    <t>48.12</t>
  </si>
  <si>
    <t>Fairy lullaby Op. 37, No. 3 (1897)</t>
  </si>
  <si>
    <t>48.13</t>
  </si>
  <si>
    <t>Ah, Love, but a day! Op. 44, No. 2 (1899)</t>
  </si>
  <si>
    <t>48.14</t>
  </si>
  <si>
    <t>The Year’s at the Spring Op. 44, No. 1 (1899)</t>
  </si>
  <si>
    <t>Sweeter than roses (1695)</t>
  </si>
  <si>
    <t>George Fredric Händel</t>
  </si>
  <si>
    <t>Lascia ch'io pianga (1731)</t>
  </si>
  <si>
    <t>Bel piacere (1709)</t>
  </si>
  <si>
    <t>Liebst du um schönheit (1841)</t>
  </si>
  <si>
    <t>Das Veilchen (1853)</t>
  </si>
  <si>
    <t>48.7</t>
  </si>
  <si>
    <t>Mein stern (1846)</t>
  </si>
  <si>
    <t>48.8</t>
  </si>
  <si>
    <t>Frère! Voyez! (1887)</t>
  </si>
  <si>
    <t>48.9</t>
  </si>
  <si>
    <t>C’est l’extase langoureuse (1885)</t>
  </si>
  <si>
    <t>Abigail Miller, clarinet</t>
  </si>
  <si>
    <t>Peace for Clarinet and Piano (2020)</t>
  </si>
  <si>
    <t>Sonata no. 1 in f minor for Clarinet and Piano, Op. 120 (1894)</t>
  </si>
  <si>
    <t>49.3</t>
  </si>
  <si>
    <t>Set for Clarinet (1978)</t>
  </si>
  <si>
    <t>49.4</t>
  </si>
  <si>
    <t>Yvonne Desportes</t>
  </si>
  <si>
    <t>French Suite for Four Bb Clarinets (1967)</t>
  </si>
  <si>
    <t>Vocal Jazz Ensemble, "Scat's Outta the Bag"</t>
  </si>
  <si>
    <t>Vocal Jazz Ensemble</t>
  </si>
  <si>
    <t>50.1</t>
  </si>
  <si>
    <t>Charlie Parker, Dizzy Gillespie</t>
  </si>
  <si>
    <t>Parker, Charlie</t>
  </si>
  <si>
    <t>Hoagy Carmichael, Ned Washington</t>
  </si>
  <si>
    <t>50.10</t>
  </si>
  <si>
    <t>Billie Eilish</t>
  </si>
  <si>
    <t>i love you (2019; 2019)</t>
  </si>
  <si>
    <t>50.11</t>
  </si>
  <si>
    <t>Harry Warren, Mack Gordon</t>
  </si>
  <si>
    <t>Warren, Harry</t>
  </si>
  <si>
    <t>50.2</t>
  </si>
  <si>
    <t>Carmichael, Hoagy / Washington, Ned</t>
  </si>
  <si>
    <t>The Nearness of You (1937)</t>
  </si>
  <si>
    <t>50.3</t>
  </si>
  <si>
    <t>Jerry Bock, George David Weiss, Larry Holofcener</t>
  </si>
  <si>
    <t>Bock, Jerry</t>
  </si>
  <si>
    <t>Too Close for Comfort (1956)</t>
  </si>
  <si>
    <t>50.4</t>
  </si>
  <si>
    <t>Nature Boy (1947)</t>
  </si>
  <si>
    <t>50.5</t>
  </si>
  <si>
    <t>Marion Sunshine</t>
  </si>
  <si>
    <t>When I Get Low, I Get High (1947)</t>
  </si>
  <si>
    <t>50.6</t>
  </si>
  <si>
    <t>Bob Dorough</t>
  </si>
  <si>
    <t>Ready or Not, Here I Come! (1973)</t>
  </si>
  <si>
    <t>50.7</t>
  </si>
  <si>
    <t>Pat Metheny</t>
  </si>
  <si>
    <t>Crooked Road (Last Train Home) (1993)</t>
  </si>
  <si>
    <t>50.8</t>
  </si>
  <si>
    <t>Laura Nyro</t>
  </si>
  <si>
    <t>Stoned Soul Picnic (1968)</t>
  </si>
  <si>
    <t>50.9</t>
  </si>
  <si>
    <t>Jerome Kern, Oscar Hammerstein II</t>
  </si>
  <si>
    <t>The Song Is You (1932)</t>
  </si>
  <si>
    <t>Bobby Singh &amp; Jessica Jenkins, flutes</t>
  </si>
  <si>
    <t>Melanie Bonis</t>
  </si>
  <si>
    <t>Bonis, Mélanie</t>
  </si>
  <si>
    <t>Sonate for flute and piano</t>
  </si>
  <si>
    <t>Piece for solo flute</t>
  </si>
  <si>
    <t>Fanmi Imen for flute and piano (2018)</t>
  </si>
  <si>
    <t>coping trio for flute, oboe, and piano (2018)</t>
  </si>
  <si>
    <t>James Taylor</t>
  </si>
  <si>
    <t>Stevie Nicks</t>
  </si>
  <si>
    <t>Landslide</t>
  </si>
  <si>
    <t>Jazz Combo Concert</t>
  </si>
  <si>
    <t>Varied Jazz Combos</t>
  </si>
  <si>
    <t>52.1</t>
  </si>
  <si>
    <t>Bobby Timmopns</t>
  </si>
  <si>
    <t>Timmons, Bobby</t>
  </si>
  <si>
    <t>Dat Dere (1960)</t>
  </si>
  <si>
    <t>52.2</t>
  </si>
  <si>
    <t>St. James Infirmary</t>
  </si>
  <si>
    <t>52.3</t>
  </si>
  <si>
    <t>It’s De-Lovely (1936)</t>
  </si>
  <si>
    <t>52.4</t>
  </si>
  <si>
    <t>Peace (1959)</t>
  </si>
  <si>
    <t>52.5</t>
  </si>
  <si>
    <t>Nica’s Dream (1954)</t>
  </si>
  <si>
    <t>52.6</t>
  </si>
  <si>
    <t>Strollin’ (1960)</t>
  </si>
  <si>
    <t>52.7</t>
  </si>
  <si>
    <t>Roy Hargrove</t>
  </si>
  <si>
    <t>Depth (1989)</t>
  </si>
  <si>
    <t>Henry Mancini</t>
  </si>
  <si>
    <t>Days of Wine and Roses (1962)</t>
  </si>
  <si>
    <t>Charlie Parker</t>
  </si>
  <si>
    <t>Anthropology (1946)</t>
  </si>
  <si>
    <t>Kyle Chang, clarinet</t>
  </si>
  <si>
    <t>51.1</t>
  </si>
  <si>
    <t>Five Bagatelles, op. 23 (1945)</t>
  </si>
  <si>
    <t>51.2</t>
  </si>
  <si>
    <t>Viktor's Tale (2004)</t>
  </si>
  <si>
    <t>Carlos Guastavino</t>
  </si>
  <si>
    <t>Tonada y Cueca (1965)</t>
  </si>
  <si>
    <t>Libertango (1974)</t>
  </si>
  <si>
    <t>Varied Ensemble Concert II</t>
  </si>
  <si>
    <t>Morley Calvert</t>
  </si>
  <si>
    <t>Suite – From the Monteregian Hills (1962)</t>
  </si>
  <si>
    <t>Zoltán Kodály</t>
  </si>
  <si>
    <t>Peter Schickele</t>
  </si>
  <si>
    <t>Commedia (1977)</t>
  </si>
  <si>
    <t>Chaz Cisneros and Marcus Rudes</t>
  </si>
  <si>
    <t>Steam (2024)</t>
  </si>
  <si>
    <t>54.5</t>
  </si>
  <si>
    <t>Piano Trio No. 5, Op. 70 No. 1 – Ghost (1809)</t>
  </si>
  <si>
    <t>Jenna Bosnick, oboe</t>
  </si>
  <si>
    <t>56.1</t>
  </si>
  <si>
    <t>Vaughan Williams</t>
  </si>
  <si>
    <t>Oboe Concerto (1944)</t>
  </si>
  <si>
    <t>56.2</t>
  </si>
  <si>
    <t>English Horn Sonata (1941)</t>
  </si>
  <si>
    <t>56.3</t>
  </si>
  <si>
    <t>Sheyenne Leonard</t>
  </si>
  <si>
    <t>Distant Spring (2023)</t>
  </si>
  <si>
    <t>56.4</t>
  </si>
  <si>
    <t>Trio for Oboe, Horn and Piano Op.61 (1889)</t>
  </si>
  <si>
    <t>Varied ensemble recital</t>
  </si>
  <si>
    <t>Caroline Shaw</t>
  </si>
  <si>
    <t>Taxidermy</t>
  </si>
  <si>
    <t>Bob Becker</t>
  </si>
  <si>
    <t>Away Without Leave</t>
  </si>
  <si>
    <t>Emma Lou Diemer</t>
  </si>
  <si>
    <t>Aria</t>
  </si>
  <si>
    <t>Kjell Samkopf</t>
  </si>
  <si>
    <t>Vairations on a Parang Chant</t>
  </si>
  <si>
    <t>Leonard Cox</t>
  </si>
  <si>
    <t>Cox, Leonard RR</t>
  </si>
  <si>
    <t>4 and 3 Dirt</t>
  </si>
  <si>
    <t>Terry Riley</t>
  </si>
  <si>
    <t>In C</t>
  </si>
  <si>
    <t>David J Long</t>
  </si>
  <si>
    <t>Long, David J.</t>
  </si>
  <si>
    <t>Essences of the 4 Signs</t>
  </si>
  <si>
    <t>Piano Trio</t>
  </si>
  <si>
    <t>57.1</t>
  </si>
  <si>
    <t>Piano Trio Op. 17 (1846)</t>
  </si>
  <si>
    <t>57.2</t>
  </si>
  <si>
    <t>Piano quintet in e flat Major op. 44 (1842)</t>
  </si>
  <si>
    <t>Juliette Frediere, soprano</t>
  </si>
  <si>
    <t>59.1</t>
  </si>
  <si>
    <t>W.A. Mozart</t>
  </si>
  <si>
    <t>“Padre, germani, addio!”</t>
  </si>
  <si>
    <t>59.10</t>
  </si>
  <si>
    <t>John Duke</t>
  </si>
  <si>
    <t>i carry your heart (1960)</t>
  </si>
  <si>
    <t>59.11</t>
  </si>
  <si>
    <t>Harvey Schmidt</t>
  </si>
  <si>
    <t>Much More from The Fantasticks (1960)</t>
  </si>
  <si>
    <t>59.12</t>
  </si>
  <si>
    <t>Harold Arlen</t>
  </si>
  <si>
    <t>This Time the Dream’s on Me from the film Blues in the Night (1941)</t>
  </si>
  <si>
    <t>59.13</t>
  </si>
  <si>
    <t>“Night and Day” from Gay Divorce (1932)</t>
  </si>
  <si>
    <t>59.14</t>
  </si>
  <si>
    <t>“Nice Work If You Can Get It” from the film A Damsel in Distress (1937)</t>
  </si>
  <si>
    <t>59.15</t>
  </si>
  <si>
    <t>William Bolcom</t>
  </si>
  <si>
    <t>“Toothbrush Time,” Cabaret Songs, Vol. 2 (1985)</t>
  </si>
  <si>
    <t>59.16</t>
  </si>
  <si>
    <t>“George,” Cabaret Songs, Vol. 2 (1985)</t>
  </si>
  <si>
    <t>59.17</t>
  </si>
  <si>
    <t>“I Can Cook Too,” from On the Town</t>
  </si>
  <si>
    <t>59.18</t>
  </si>
  <si>
    <t>William Finn</t>
  </si>
  <si>
    <t>“I’m Breaking Down,” from Falsettos (1992)</t>
  </si>
  <si>
    <t>59.2</t>
  </si>
  <si>
    <t>Der Mond kommt still gegangen (1844)</t>
  </si>
  <si>
    <t>59.3</t>
  </si>
  <si>
    <t>Mein Stern (1846)</t>
  </si>
  <si>
    <t>59.4</t>
  </si>
  <si>
    <t>Er ist gekommen in Sturm und Regen (1841)</t>
  </si>
  <si>
    <t>59.5</t>
  </si>
  <si>
    <t>Violon (1939)</t>
  </si>
  <si>
    <t>59.6</t>
  </si>
  <si>
    <t>Fleurs (1939)</t>
  </si>
  <si>
    <t>59.7</t>
  </si>
  <si>
    <t>Pantomime (1882/1883)</t>
  </si>
  <si>
    <t>59.8</t>
  </si>
  <si>
    <t>H. Leslie Adams</t>
  </si>
  <si>
    <t>Adams, H. Leslie</t>
  </si>
  <si>
    <t>For You There is No Song, Five Millay Songs (1960)</t>
  </si>
  <si>
    <t>59.9</t>
  </si>
  <si>
    <t>Richard Hundley</t>
  </si>
  <si>
    <t>Sweet Suffolk Owl, Eight Songs (1979)</t>
  </si>
  <si>
    <t>Various</t>
  </si>
  <si>
    <t>60.1</t>
  </si>
  <si>
    <t>String Quartet in C minor, op. 18, no. 4 (1799)</t>
  </si>
  <si>
    <t>60.2</t>
  </si>
  <si>
    <t>Pièce for Solo Flute (1936)</t>
  </si>
  <si>
    <t>60.3</t>
  </si>
  <si>
    <t>Alexander Glazunov</t>
  </si>
  <si>
    <t>Violin Concerto in A minor, op. 82 (1904)</t>
  </si>
  <si>
    <t>60.4</t>
  </si>
  <si>
    <t>Cabaret Songs, vol. 2 (2012)</t>
  </si>
  <si>
    <t>60.5</t>
  </si>
  <si>
    <t>Sigurd Berge</t>
  </si>
  <si>
    <t>Horn-Lokk (1988)</t>
  </si>
  <si>
    <t>60.6</t>
  </si>
  <si>
    <t>Édouard Lalo</t>
  </si>
  <si>
    <t>Symphonie espagnole, op. 21 (1873)</t>
  </si>
  <si>
    <t>University Symphony Orchestra and Pacific Choral Ensembles</t>
  </si>
  <si>
    <t>61.1</t>
  </si>
  <si>
    <t>Violin Concerto No 1 in D Major</t>
  </si>
  <si>
    <t>61.2</t>
  </si>
  <si>
    <t>Otto Nicolai</t>
  </si>
  <si>
    <t>Nun Eilt Herbei” from the Merry Wives of Windsor</t>
  </si>
  <si>
    <t>61.3</t>
  </si>
  <si>
    <t>Johann Hummel</t>
  </si>
  <si>
    <t>Trumpet Concerto in Eb major</t>
  </si>
  <si>
    <t>61.4</t>
  </si>
  <si>
    <t>Gloria</t>
  </si>
  <si>
    <t>Lilac Robertson, composer</t>
  </si>
  <si>
    <t>62.1</t>
  </si>
  <si>
    <t>Lilac Robertson</t>
  </si>
  <si>
    <t>Introduction (2024)</t>
  </si>
  <si>
    <t>62.2</t>
  </si>
  <si>
    <t>Forest Animalia (2024)</t>
  </si>
  <si>
    <t>62.3</t>
  </si>
  <si>
    <t>Echo Field (2024)</t>
  </si>
  <si>
    <t>62.4</t>
  </si>
  <si>
    <t>Sunset Station (2021)</t>
  </si>
  <si>
    <t>62.5</t>
  </si>
  <si>
    <t>Orbital Observatory (2024)</t>
  </si>
  <si>
    <t>62.6</t>
  </si>
  <si>
    <t>Cosmic Suite (2024)</t>
  </si>
  <si>
    <t>62.7</t>
  </si>
  <si>
    <t>Dreaming River V2 (2024)</t>
  </si>
  <si>
    <t>62.8</t>
  </si>
  <si>
    <t>Nebula Wastes (2024)</t>
  </si>
  <si>
    <t>Varied Ensemble Concert III</t>
  </si>
  <si>
    <t>63.1</t>
  </si>
  <si>
    <t>French Suite (1939)</t>
  </si>
  <si>
    <t>63.2</t>
  </si>
  <si>
    <t>Johann Joachim Quantz</t>
  </si>
  <si>
    <t>Sonata for three flutes in D Major , QV 3:3</t>
  </si>
  <si>
    <t>63.3</t>
  </si>
  <si>
    <t>Christian Ludwig Dietter</t>
  </si>
  <si>
    <t>Romance</t>
  </si>
  <si>
    <t>63.4</t>
  </si>
  <si>
    <t>Johann Baptist Wanhal</t>
  </si>
  <si>
    <t>Vanhal, Johann Baptist</t>
  </si>
  <si>
    <t>Allegretto</t>
  </si>
  <si>
    <t>63.5</t>
  </si>
  <si>
    <t>String Quartet in C Minor, Op. 18, No. 4</t>
  </si>
  <si>
    <t>63.6</t>
  </si>
  <si>
    <t>A tour d’anches, op. 97 (1939-1943)</t>
  </si>
  <si>
    <t>Pacific Composers: Spring Premiers</t>
  </si>
  <si>
    <t>64.1</t>
  </si>
  <si>
    <t>64.2</t>
  </si>
  <si>
    <t>Jordan Wier</t>
  </si>
  <si>
    <t>Interwoven (2024)</t>
  </si>
  <si>
    <t>64.3</t>
  </si>
  <si>
    <t>Kamron Qasimi</t>
  </si>
  <si>
    <t>7777777 (2024)</t>
  </si>
  <si>
    <t>64.4</t>
  </si>
  <si>
    <t>Marcus Rudes</t>
  </si>
  <si>
    <t>Brass Quintet No. 1 (2024)</t>
  </si>
  <si>
    <t>64.5</t>
  </si>
  <si>
    <t>Bonnie &amp; Clyde (2024)</t>
  </si>
  <si>
    <t>64.6</t>
  </si>
  <si>
    <t>Miranda Duarte</t>
  </si>
  <si>
    <t>water lilies (2024)</t>
  </si>
  <si>
    <t>Kailey Diggs, soprano</t>
  </si>
  <si>
    <t>65.1</t>
  </si>
  <si>
    <t>Ottorino Respighi</t>
  </si>
  <si>
    <t>Invito alla danza (1906)</t>
  </si>
  <si>
    <t>65.10</t>
  </si>
  <si>
    <t>Lee Hoiby</t>
  </si>
  <si>
    <t>Lady of the Harbor, from Three Women, no. 2 (1985)</t>
  </si>
  <si>
    <t>65.11</t>
  </si>
  <si>
    <t>She Sleeps as a Rose, from The Rape of Lucretia, Op. 37 (1946)</t>
  </si>
  <si>
    <t>65.12</t>
  </si>
  <si>
    <t>Fish in the Unruffled lakes, from Fish in the Unruffled Lakes, no. 4 (1937)</t>
  </si>
  <si>
    <t>65.13</t>
  </si>
  <si>
    <t>Frank Bridge</t>
  </si>
  <si>
    <t>Love Went A-Riding, H. 114 (1916)</t>
  </si>
  <si>
    <t>65.2</t>
  </si>
  <si>
    <t>Bella porta di Rubini, from 5 Cantio all’antica, P. 71 no. 4 (1906)</t>
  </si>
  <si>
    <t>65.3</t>
  </si>
  <si>
    <t>Nebbie (1906)</t>
  </si>
  <si>
    <t>65.4</t>
  </si>
  <si>
    <t>Dove sono, from Le nozze di Figaro, K. 492 (1786)</t>
  </si>
  <si>
    <t>65.5</t>
  </si>
  <si>
    <t>Morgen!, from 4 Lieder, Op. 27 no. 4 (1894)</t>
  </si>
  <si>
    <t>65.6</t>
  </si>
  <si>
    <t>Breit über mein Haupt, from 6 Lieder aus ‘Lotosblätter’, Op. 19 no. 2 (1888)</t>
  </si>
  <si>
    <t>65.7</t>
  </si>
  <si>
    <t>Zueignung, from 8 Gedichte aus “Letzte Blätter”, Op. 10 no. 1 (1885)</t>
  </si>
  <si>
    <t>65.8</t>
  </si>
  <si>
    <t>Florence Beatrice Price</t>
  </si>
  <si>
    <t>Night (1946)</t>
  </si>
  <si>
    <t>65.9</t>
  </si>
  <si>
    <t>John Woods Duke</t>
  </si>
  <si>
    <t>Bells in the Rain (1945)</t>
  </si>
  <si>
    <t>Strauss, Richard</t>
  </si>
  <si>
    <t>Granados, Enrique</t>
  </si>
  <si>
    <t>Bach, J.S.</t>
  </si>
  <si>
    <t>Bernstein, Leonard</t>
  </si>
  <si>
    <t>Vivaldi, Antonio</t>
  </si>
  <si>
    <t>Kapustin, Nikolai</t>
  </si>
  <si>
    <t>Schumann, Robert</t>
  </si>
  <si>
    <t>Foley, Xavier</t>
  </si>
  <si>
    <t>Asherov, Ayala</t>
  </si>
  <si>
    <t>Franck, César</t>
  </si>
  <si>
    <t>Brown, Jason Robert</t>
  </si>
  <si>
    <t>Schumann, Clara</t>
  </si>
  <si>
    <t>Menken, Alan</t>
  </si>
  <si>
    <t>Benj Pasek and Justin Paul</t>
  </si>
  <si>
    <t>Carl Maria von Weber</t>
  </si>
  <si>
    <t>Hindemith, Paul</t>
  </si>
  <si>
    <t>Poulenc, Francis</t>
  </si>
  <si>
    <t>Pedro Iturralde</t>
  </si>
  <si>
    <t>Villa-Lobos, Heitor</t>
  </si>
  <si>
    <t>Biliana Voutchkova</t>
  </si>
  <si>
    <t>Violin/Voice</t>
  </si>
  <si>
    <t>improvisations</t>
  </si>
  <si>
    <t>unknown</t>
  </si>
  <si>
    <t>NA</t>
  </si>
  <si>
    <t>Trois beaux oiseaux du Paradis (1916)</t>
  </si>
  <si>
    <t>USAF Band of the Golden West Chamber Players</t>
  </si>
  <si>
    <t>Ricardo Martinez</t>
  </si>
  <si>
    <t>Brass Sextet in Eb Minor, op. 30 (1911)</t>
  </si>
  <si>
    <t>Oskar Böhme</t>
  </si>
  <si>
    <t>Variations on a Theme by Haydn,</t>
  </si>
  <si>
    <t>2.4</t>
  </si>
  <si>
    <t>Still (2019)</t>
  </si>
  <si>
    <t>Lousie Farrenc</t>
  </si>
  <si>
    <t>Farrenc, Louise</t>
  </si>
  <si>
    <t>Pavane (1887)</t>
  </si>
  <si>
    <t>3.2</t>
  </si>
  <si>
    <t>Clarice Assad</t>
  </si>
  <si>
    <t>Me Renovare from Songs of Renewal (2017)</t>
  </si>
  <si>
    <t>3.3</t>
  </si>
  <si>
    <t>Claudia Montero</t>
  </si>
  <si>
    <t>Angels in the Architecture (2009)</t>
  </si>
  <si>
    <t>Chamber Ensembles</t>
  </si>
  <si>
    <t>4.1</t>
  </si>
  <si>
    <t>Catherine Likhuta</t>
  </si>
  <si>
    <t>Pequeña Czarda (1949, 2005)</t>
  </si>
  <si>
    <t>Bassoon Sonata in G, Op. 168 (1921)</t>
  </si>
  <si>
    <t>Feu De Paille (1986)</t>
  </si>
  <si>
    <t>Memorias (tríptico) (2004)</t>
  </si>
  <si>
    <t>Le Caraval de Venise (1860, 1986)</t>
  </si>
  <si>
    <t>4.7</t>
  </si>
  <si>
    <t>Serenade for Strings in C major, op. 48 (1880)</t>
  </si>
  <si>
    <t>Pacific Choirs &amp; Pacific Wind Bands</t>
  </si>
  <si>
    <t>Jonathan Latta &amp; Vu Nguyen</t>
  </si>
  <si>
    <t>Ola Gjeilo</t>
  </si>
  <si>
    <t>Adagio from Symphony No. 2 in E minor, op. 27 (1907)</t>
  </si>
  <si>
    <t>Aurora Aksnes, Odd Martin Skaalnes, Magnus Skylstad</t>
  </si>
  <si>
    <t>Skålnes, Odd Martin</t>
  </si>
  <si>
    <t>Arioso and Presto, op. 108 (2000)</t>
  </si>
  <si>
    <t>New Cinema Paradise Medley (1988)</t>
  </si>
  <si>
    <t>5.4</t>
  </si>
  <si>
    <t>Will Todd</t>
  </si>
  <si>
    <t>Carmen Fantasy (1900/1993)</t>
  </si>
  <si>
    <t>5.5</t>
  </si>
  <si>
    <t>Frank Ticheli</t>
  </si>
  <si>
    <t>Laboryinth (2023) for English horn, percussion and electronics</t>
  </si>
  <si>
    <t>5.6</t>
  </si>
  <si>
    <t>57th Street Mambo (1993)</t>
  </si>
  <si>
    <t>5.7</t>
  </si>
  <si>
    <t>Scherzo No. 4 in E major, op. 54 (1842)</t>
  </si>
  <si>
    <t>5.8</t>
  </si>
  <si>
    <t>Tarik O'Regan</t>
  </si>
  <si>
    <t>Cello Suite No. 2</t>
  </si>
  <si>
    <t>5.9</t>
  </si>
  <si>
    <t>Hyo-Won Woo</t>
  </si>
  <si>
    <t>Suite Cantado (2006)</t>
  </si>
  <si>
    <t>5.10</t>
  </si>
  <si>
    <t>Jingle Bells</t>
  </si>
  <si>
    <t>Tristan McMichael</t>
  </si>
  <si>
    <t>Sonata No. 2 for Violin and Piano in A Major, Op. 100 (1886)</t>
  </si>
  <si>
    <t>Sonata No. 2 for Violin and Piano (1927)</t>
  </si>
  <si>
    <t>Pierre Max Dubois</t>
  </si>
  <si>
    <t>Carignane for Bassoon and Piano (1953)</t>
  </si>
  <si>
    <t>6.4</t>
  </si>
  <si>
    <t>6.5</t>
  </si>
  <si>
    <t>Sea Songs (1924)</t>
  </si>
  <si>
    <t>6.6</t>
  </si>
  <si>
    <t>Sleep (2000/2002)</t>
  </si>
  <si>
    <t>6.7</t>
  </si>
  <si>
    <t>Linda Kernohan</t>
  </si>
  <si>
    <t>Shadow Rituals (2006)</t>
  </si>
  <si>
    <t>6.8</t>
  </si>
  <si>
    <t>Dance of the Skeletons (1901)</t>
  </si>
  <si>
    <t>6.9</t>
  </si>
  <si>
    <t>Dolf de Kinkelder</t>
  </si>
  <si>
    <t>Graceful Ghost Rag (1970/2011)</t>
  </si>
  <si>
    <t>Pacific Strings</t>
  </si>
  <si>
    <t>Ann Miller &amp; Jonathan Latta</t>
  </si>
  <si>
    <t>Pyotr Il’yich Tchaikovsky</t>
  </si>
  <si>
    <t>City of Ghosts (2015/2019)</t>
  </si>
  <si>
    <t>Godzilla Eats Las Vegas! (1996)</t>
  </si>
  <si>
    <t>‘When I Have Sung My Songs’ (1934)</t>
  </si>
  <si>
    <t>Otis Murphy, saxophone; Haruko Murphy, piano</t>
  </si>
  <si>
    <t>‘I Am What I Am,’ from La Cage aux Folles (1983),</t>
  </si>
  <si>
    <t>‘Not a Day Goes By’ from Merrily We Roll Along (1981)</t>
  </si>
  <si>
    <t>‘Cancion de Cuna’ (Cradle Song) (1945)</t>
  </si>
  <si>
    <t>François Borne</t>
  </si>
  <si>
    <t>Lullaby, from The Consul (1950)</t>
  </si>
  <si>
    <t>Denis Bédard</t>
  </si>
  <si>
    <t>‘Anybody Have a Map?’ from Dear Evan Hansen (2015)</t>
  </si>
  <si>
    <t>Ryota Ishikawa</t>
  </si>
  <si>
    <t>‘Make Our Garden Grow,’ Finale from Candide (1956)</t>
  </si>
  <si>
    <t>Kyle Bruckmann &amp; Jonathan Latta</t>
  </si>
  <si>
    <t>Lament from Into the Woods (1986)</t>
  </si>
  <si>
    <t>Stay with Me from Into the Woods (1986)</t>
  </si>
  <si>
    <t>Du Yun</t>
  </si>
  <si>
    <t>Somewhere from West Side Story (1957)</t>
  </si>
  <si>
    <t>9.4</t>
  </si>
  <si>
    <t>Wilfrido Terrazas</t>
  </si>
  <si>
    <t>Corner of the Sky from Pippin (1972)</t>
  </si>
  <si>
    <t>9.5</t>
  </si>
  <si>
    <t>Wilhelm Killmayer</t>
  </si>
  <si>
    <t>Vocalise, op. 34, No. 14 (1915)</t>
  </si>
  <si>
    <t>9.6</t>
  </si>
  <si>
    <t>Grace Coberly</t>
  </si>
  <si>
    <t>Fair Robin I Love from Tartuffe (1980)</t>
  </si>
  <si>
    <t>9.7</t>
  </si>
  <si>
    <t>Nailah Nombeko</t>
  </si>
  <si>
    <t>Violin Sonata No. 3 in D minor, op. 108</t>
  </si>
  <si>
    <t>Patrick Langham</t>
  </si>
  <si>
    <t>Bassoon Sonata, op. 9 (1887)</t>
  </si>
  <si>
    <t>Devil’s Waltz (2014)</t>
  </si>
  <si>
    <t>Cruda sorte! Amor tiranno! from L'italiana in Algeri (1813)</t>
  </si>
  <si>
    <t>Kím (2001)</t>
  </si>
  <si>
    <t>Thad Jones</t>
  </si>
  <si>
    <t>Piano Sonata in A minor, D. 784 (1822)</t>
  </si>
  <si>
    <t>Hoyt Curtin</t>
  </si>
  <si>
    <t>So In Love (1948)</t>
  </si>
  <si>
    <t>Nic Kuster</t>
  </si>
  <si>
    <t>Prelude and Fugue from Suite BWV 997</t>
  </si>
  <si>
    <t>Porgi, amor from The Marriage of Figaro (1786)</t>
  </si>
  <si>
    <t>Bill Douglas</t>
  </si>
  <si>
    <t>Steal Me, Sweet Thief from The Old Maid and the Thief (1939)</t>
  </si>
  <si>
    <t>James Pierpoint</t>
  </si>
  <si>
    <t>Addio del passato from La Traviata (1853)</t>
  </si>
  <si>
    <t>traditional</t>
  </si>
  <si>
    <t>Symphony No. 41 in C major, KV 551 “Jupiter” (1788)</t>
  </si>
  <si>
    <t>Anne Miller, violin; Sonia Leong, piano</t>
  </si>
  <si>
    <t>Ann Miller</t>
  </si>
  <si>
    <t>Momentum (2023)</t>
  </si>
  <si>
    <t>Mallet Quartet (2009)</t>
  </si>
  <si>
    <t>Vivian Fung</t>
  </si>
  <si>
    <t>Earth Moves (2024)</t>
  </si>
  <si>
    <t>Justin Silva</t>
  </si>
  <si>
    <t>Stagger (2024)</t>
  </si>
  <si>
    <t>Andante e rondo ongarese, op. 35 (1813)</t>
  </si>
  <si>
    <t>Fantaisie brillante sur Carmen (1875)</t>
  </si>
  <si>
    <t>Pacific Wind Bands &amp; LHS Wind Ensemble</t>
  </si>
  <si>
    <t>Vu Nguyen</t>
  </si>
  <si>
    <t>Flute Concerto No. 161 in G major, QV 5:174 (1745)</t>
  </si>
  <si>
    <t>Katahj Copley</t>
  </si>
  <si>
    <t>Piano Sonata in A minor, D. 784 (1823)</t>
  </si>
  <si>
    <t>Eduard Holst</t>
  </si>
  <si>
    <t>Suite for Four Horns (1952)</t>
  </si>
  <si>
    <t>Hans Engelmann</t>
  </si>
  <si>
    <t>Introduction et variations sur une ronde populaire (1936)</t>
  </si>
  <si>
    <t>Piano Trio No. 4 in E minor, op. 90, B. 166 (“Dumky”) (1891)</t>
  </si>
  <si>
    <t>14.6</t>
  </si>
  <si>
    <t>Michael Markowski</t>
  </si>
  <si>
    <t>“E” for Eleanora (2017)</t>
  </si>
  <si>
    <t>14.7</t>
  </si>
  <si>
    <t>Thomas Allen</t>
  </si>
  <si>
    <t>There Is No Greater Love (1936)</t>
  </si>
  <si>
    <t>14.8</t>
  </si>
  <si>
    <t>Fields of Green (2011)</t>
  </si>
  <si>
    <t>14.9</t>
  </si>
  <si>
    <t>Alex Turley</t>
  </si>
  <si>
    <t>The Nearness of You (1937/2007)</t>
  </si>
  <si>
    <t>14.10</t>
  </si>
  <si>
    <t>Cassandra (1966)</t>
  </si>
  <si>
    <t>14.11</t>
  </si>
  <si>
    <t>Ruth Brittin</t>
  </si>
  <si>
    <t>Beautiful Love (1931)</t>
  </si>
  <si>
    <t>14.12</t>
  </si>
  <si>
    <t>Alex Shapiro</t>
  </si>
  <si>
    <t>Lost &amp; Found Music Theatre</t>
  </si>
  <si>
    <t>Eric Dudley</t>
  </si>
  <si>
    <t>Ernest Charles</t>
  </si>
  <si>
    <t>Violin Sonata No. 1 in G minor, BWV 1001 (1720)</t>
  </si>
  <si>
    <t>Stephen Schwartz</t>
  </si>
  <si>
    <t>Passacaglia (1893)</t>
  </si>
  <si>
    <t>15.5</t>
  </si>
  <si>
    <t>Kirke Mechem</t>
  </si>
  <si>
    <t>15.6</t>
  </si>
  <si>
    <t>Largo e Allegro</t>
  </si>
  <si>
    <t>15.7</t>
  </si>
  <si>
    <t>Alan Menken, Tim Rice</t>
  </si>
  <si>
    <t>Menken, Alan &amp; Rice, Tim</t>
  </si>
  <si>
    <t>Sonata No. 1, op.16 (1805)</t>
  </si>
  <si>
    <t>15.8</t>
  </si>
  <si>
    <t>Trio No. 1 in D major, op. 13 (1814)</t>
  </si>
  <si>
    <t>15.9</t>
  </si>
  <si>
    <t>Kevin Murphy, Laurence O’Keefe</t>
  </si>
  <si>
    <t>O'Keefe, Laurence &amp; Murphy, Kevin</t>
  </si>
  <si>
    <t>Konzertstück No. 1, op. 113 (1832)</t>
  </si>
  <si>
    <t>15.10</t>
  </si>
  <si>
    <t>Charles Samuel Brown</t>
  </si>
  <si>
    <t>24 Preludes, op. 34 (1933)</t>
  </si>
  <si>
    <t>15.11</t>
  </si>
  <si>
    <t>Deux Arabesques (1888)</t>
  </si>
  <si>
    <t>15.12</t>
  </si>
  <si>
    <t>A Summer in Ohio (2001)</t>
  </si>
  <si>
    <t>15.13</t>
  </si>
  <si>
    <t>Youkali (1935)</t>
  </si>
  <si>
    <t>15.14</t>
  </si>
  <si>
    <t>Xavier Montsalvatge</t>
  </si>
  <si>
    <t>I’ll Be Home for Christmas (1943)</t>
  </si>
  <si>
    <t>15.15</t>
  </si>
  <si>
    <t>Gian Carlo Menotti</t>
  </si>
  <si>
    <t>Canonic Suite (1939)</t>
  </si>
  <si>
    <t>15.16</t>
  </si>
  <si>
    <t>Clarinet Trio in A minor, op. 114 (1891)</t>
  </si>
  <si>
    <t>15.17</t>
  </si>
  <si>
    <t>Piano Trio No. 3 in C minor, op. 1 (1793–1795)</t>
  </si>
  <si>
    <t>15.18</t>
  </si>
  <si>
    <t>Divertissement, op. 126 (2015)</t>
  </si>
  <si>
    <t>15.19</t>
  </si>
  <si>
    <t>Cello Concerto No. 1, op. 33 (1872)</t>
  </si>
  <si>
    <t>Horn Concerto No. 3 in E flat major (1787)</t>
  </si>
  <si>
    <t>Aria (1936)</t>
  </si>
  <si>
    <t>Drei Klavierstücke, op. 11 (rev. 1924)</t>
  </si>
  <si>
    <t>Sonata No. 1, op. 16 (ca. 1805)</t>
  </si>
  <si>
    <t>En Foret (1941)</t>
  </si>
  <si>
    <t>Gustav Schreck</t>
  </si>
  <si>
    <t>Variations sérieuses (1841)</t>
  </si>
  <si>
    <t>Steven Verhelst</t>
  </si>
  <si>
    <t>O Radiant Dawn (2008)</t>
  </si>
  <si>
    <t>Noel (2002/2004)</t>
  </si>
  <si>
    <t>Luminous Night of the Soul (2012)</t>
  </si>
  <si>
    <t>Away in a Manger (2012)</t>
  </si>
  <si>
    <t>Pacific Vocal Jazz Ensemble</t>
  </si>
  <si>
    <t>Melissa Fulkerson</t>
  </si>
  <si>
    <t>Symphony No. 2 in D Major, Op. 35 (1845)</t>
  </si>
  <si>
    <t>Count Basie</t>
  </si>
  <si>
    <t>Basie, William "Count"</t>
  </si>
  <si>
    <t>Rondo (2001/2017)</t>
  </si>
  <si>
    <t>Peter Sprague</t>
  </si>
  <si>
    <t>Long Journey from Planet Zeno (2024)</t>
  </si>
  <si>
    <t>Kurt Elling</t>
  </si>
  <si>
    <t>Hard to Argue (2015)</t>
  </si>
  <si>
    <t>18.5</t>
  </si>
  <si>
    <t>Johnaye Kendrick</t>
  </si>
  <si>
    <t>Apex Predators (2015)</t>
  </si>
  <si>
    <t>18.6</t>
  </si>
  <si>
    <t>Johnny Mandel, Johnny Mandel</t>
  </si>
  <si>
    <t>Mandel, Johnny</t>
  </si>
  <si>
    <t>Special Someone (2020)</t>
  </si>
  <si>
    <t>18.7</t>
  </si>
  <si>
    <t>Harold Arlen, Johnny Mercer</t>
  </si>
  <si>
    <t>Arlen, Harold and Johnny Mercer</t>
  </si>
  <si>
    <t>Snapshots (2014)</t>
  </si>
  <si>
    <t>18.8</t>
  </si>
  <si>
    <t>Charles Calhoun</t>
  </si>
  <si>
    <t>Calhoun, Charles (aka Jesse Stone)</t>
  </si>
  <si>
    <t>Me disagrees (2010)</t>
  </si>
  <si>
    <t>Guy Powell, guitar</t>
  </si>
  <si>
    <t>Guy Powell</t>
  </si>
  <si>
    <t>J. S. Bach</t>
  </si>
  <si>
    <t>Let the Darkness Out (2019)</t>
  </si>
  <si>
    <t>Home Away from Home (2019)</t>
  </si>
  <si>
    <t>After You (2019)</t>
  </si>
  <si>
    <t>Anonymous</t>
  </si>
  <si>
    <t>Entr’acte (2011/2014)</t>
  </si>
  <si>
    <t>Maria Linnemann</t>
  </si>
  <si>
    <t>a poet you must become (2023) for oboe, fixed sound, and field recordings</t>
  </si>
  <si>
    <t>19.6</t>
  </si>
  <si>
    <t>Agustin Barrios</t>
  </si>
  <si>
    <t>Compostela for Solo Bassoon (2018)</t>
  </si>
  <si>
    <t>19.7</t>
  </si>
  <si>
    <t>Aloha Oe</t>
  </si>
  <si>
    <t>Queen Lili'uokalani</t>
  </si>
  <si>
    <t>Golden Vistas (2024)</t>
  </si>
  <si>
    <t>19.8</t>
  </si>
  <si>
    <t>Jerry Santos</t>
  </si>
  <si>
    <t>Moment (2016)</t>
  </si>
  <si>
    <t>19.9</t>
  </si>
  <si>
    <t>Jeff Peterson</t>
  </si>
  <si>
    <t>‘She Used to Be Mine’ from Waitress (2015)</t>
  </si>
  <si>
    <t>Pacific Chamber Orchestra</t>
  </si>
  <si>
    <t>Three Miniatures (2024)</t>
  </si>
  <si>
    <t>Polish Caprice (1949)</t>
  </si>
  <si>
    <t>I Listen to the Stillness of You (2016)</t>
  </si>
  <si>
    <t>Tequila Saxiana (Segundo Mareo) (2002)</t>
  </si>
  <si>
    <t>Matt Moore</t>
  </si>
  <si>
    <t>Caribbean Fire Dance (1963/2002)</t>
  </si>
  <si>
    <t>Steve Reich</t>
  </si>
  <si>
    <t>111–44 (1961/1997)</t>
  </si>
  <si>
    <t>Isfahan (1964)</t>
  </si>
  <si>
    <t>About Time (1963)</t>
  </si>
  <si>
    <t>21.5</t>
  </si>
  <si>
    <t>21.6</t>
  </si>
  <si>
    <t>Allison Loggins-Hull</t>
  </si>
  <si>
    <t>Love Letters</t>
  </si>
  <si>
    <t>21.7</t>
  </si>
  <si>
    <t>Juri Seo</t>
  </si>
  <si>
    <t>Cafe 1930</t>
  </si>
  <si>
    <t>Kathryn Schulmeister, bass, Brittany Trotter, flute</t>
  </si>
  <si>
    <t>Michael Genese</t>
  </si>
  <si>
    <t>Bordel 1900</t>
  </si>
  <si>
    <t>Heu Me Domine (1553; 2024)</t>
  </si>
  <si>
    <t>Shawn E. Okpebholo</t>
  </si>
  <si>
    <t>On a Poem by Miho Nonaka: Harvard Square (2013)</t>
  </si>
  <si>
    <t>Giacinto Scelsi</t>
  </si>
  <si>
    <t>Cantaloupe Island (1964)</t>
  </si>
  <si>
    <t>22.5</t>
  </si>
  <si>
    <t>Teppo Hauta-aho</t>
  </si>
  <si>
    <t>Pent-Up House (1956)</t>
  </si>
  <si>
    <t>22.6</t>
  </si>
  <si>
    <t>Four (1954)</t>
  </si>
  <si>
    <t>Black Orpheus (1959)</t>
  </si>
  <si>
    <t>Joy Spring (1954)</t>
  </si>
  <si>
    <t>Black Narcissus (1969)</t>
  </si>
  <si>
    <t>The Kicker (1964)</t>
  </si>
  <si>
    <t>Germination (1983)</t>
  </si>
  <si>
    <t>J.G. Pennequin</t>
  </si>
  <si>
    <t>Have You Seen the Newborn King? (2018)</t>
  </si>
  <si>
    <t>Varied Ensembles I</t>
  </si>
  <si>
    <t>Gabriel Pierné</t>
  </si>
  <si>
    <t>Bonecos de Olinda, Overture for Orchestra (2019)</t>
  </si>
  <si>
    <t>Pal-So-Seong (2016)</t>
  </si>
  <si>
    <t>Origin (2022)</t>
  </si>
  <si>
    <t>Source Code (2013)</t>
  </si>
  <si>
    <t>T.J. Anderson</t>
  </si>
  <si>
    <t>Anderson, T. J.</t>
  </si>
  <si>
    <t>Ignition, from the opera Angel’s Bone (2015) for oboe and tam-tam</t>
  </si>
  <si>
    <t>Pacific Jazz Ensemble/Gary Motley</t>
  </si>
  <si>
    <t>Birdsong (2012)</t>
  </si>
  <si>
    <t>Marty Symes, Isham Jones</t>
  </si>
  <si>
    <t>Jones, Isham / Symes, Marty</t>
  </si>
  <si>
    <t>Hymn for Everyone (2021)</t>
  </si>
  <si>
    <t>Scott Ninmer</t>
  </si>
  <si>
    <t>Dances in the Canebrakes (1953)</t>
  </si>
  <si>
    <t>Hammers (2012)</t>
  </si>
  <si>
    <t>Frank Strazzeri</t>
  </si>
  <si>
    <t>Johnny Hodges</t>
  </si>
  <si>
    <t>Aloha O’e (1878)</t>
  </si>
  <si>
    <t>Jazz Combos</t>
  </si>
  <si>
    <t>Hoagy Carmichael</t>
  </si>
  <si>
    <t>Tibetan Tunes (2007)</t>
  </si>
  <si>
    <t>The Hymn of Acxiom (2013)</t>
  </si>
  <si>
    <t>Lili’uokalani</t>
  </si>
  <si>
    <t>Wanting Memories (1980)</t>
  </si>
  <si>
    <t>Don Parker</t>
  </si>
  <si>
    <t>Dave Brubeck</t>
  </si>
  <si>
    <t>S'vivon (Spin Dreidel Spin, Hanukah Song)</t>
  </si>
  <si>
    <t>Victor Young</t>
  </si>
  <si>
    <t>Quartalisms (2024)</t>
  </si>
  <si>
    <t>Emerald (2024)</t>
  </si>
  <si>
    <t>As the Tide Falters (2024)</t>
  </si>
  <si>
    <t>26.9</t>
  </si>
  <si>
    <t>Sonny Rollins</t>
  </si>
  <si>
    <t>Constructs (2024)</t>
  </si>
  <si>
    <t>26.10</t>
  </si>
  <si>
    <t>Miles Davis</t>
  </si>
  <si>
    <t>Three Celtic Pieces: Spatter the Dew, Londonderry Air, The Bucks of Oranmore</t>
  </si>
  <si>
    <t>26.11</t>
  </si>
  <si>
    <t>Luiz Bonfa</t>
  </si>
  <si>
    <t>Bonfá, Luis</t>
  </si>
  <si>
    <t>26.12</t>
  </si>
  <si>
    <t>Pathways (2024)</t>
  </si>
  <si>
    <t>Mereth Niemoeller</t>
  </si>
  <si>
    <t>Keeping My Mind Busy (2024)</t>
  </si>
  <si>
    <t>Duet (2024)</t>
  </si>
  <si>
    <t>Student recital</t>
  </si>
  <si>
    <t>Waltzes Unconscious (2024)</t>
  </si>
  <si>
    <t>Varied Ensembles II</t>
  </si>
  <si>
    <t>Gate 14B (2024)</t>
  </si>
  <si>
    <t>Broken Reflection (2024)</t>
  </si>
  <si>
    <t>Mary Had a Baby (2017)</t>
  </si>
  <si>
    <t>The Parting Glass (2015)</t>
  </si>
  <si>
    <t>Rodolphe Kreutzer</t>
  </si>
  <si>
    <t>Gaudete! (2015)</t>
  </si>
  <si>
    <t>Friedrich Kuhlau</t>
  </si>
  <si>
    <t>Un relato sobre Camila Preludio Sinfónico</t>
  </si>
  <si>
    <t>Emma Bradley</t>
  </si>
  <si>
    <t>Apple Tree (2019)</t>
  </si>
  <si>
    <t>29.2</t>
  </si>
  <si>
    <t>Nota bene! (2019)</t>
  </si>
  <si>
    <t>29.3</t>
  </si>
  <si>
    <t>Fantasy (1984)</t>
  </si>
  <si>
    <t>29.4</t>
  </si>
  <si>
    <t>Paraphrase on God Be With You Till We Meet Again (2024)</t>
  </si>
  <si>
    <t>29.5</t>
  </si>
  <si>
    <t>Walter Kent</t>
  </si>
  <si>
    <t>Tótem I, Camino sobre la tierra (2019) for oboe and percussion</t>
  </si>
  <si>
    <t>29.6</t>
  </si>
  <si>
    <t>Ryuichi Sakamoto</t>
  </si>
  <si>
    <t>Tre Danze (1959) for oboe and percussion</t>
  </si>
  <si>
    <t>29.7</t>
  </si>
  <si>
    <t>boygenius</t>
  </si>
  <si>
    <t>earthworms, following heavy rain (2020) for flowerpots and bowed vibraphone</t>
  </si>
  <si>
    <t>Agrestic Landscape - Birds at Dawn</t>
  </si>
  <si>
    <t>Elliott Carter</t>
  </si>
  <si>
    <t>Flintstoned from Meet the Flintstones (1960/1992)</t>
  </si>
  <si>
    <t>Dance of the Demon (1904)</t>
  </si>
  <si>
    <t>Tom Knific</t>
  </si>
  <si>
    <t>Dance of the Goblins (1922)</t>
  </si>
  <si>
    <t>Daniela Candillari</t>
  </si>
  <si>
    <t>If I Can’t Love [Him] from Beauty and the Beast (1994)</t>
  </si>
  <si>
    <t>Composers Studio</t>
  </si>
  <si>
    <t>Proud of Your Boy from Aladdin (2011)</t>
  </si>
  <si>
    <t>Freeze Your Brain from Heathers (2010)</t>
  </si>
  <si>
    <t>Song Without Words (1974)</t>
  </si>
  <si>
    <t>A Change in Me from Beauty and the Beast (1994)</t>
  </si>
  <si>
    <t>I Can’t Make Much Sense Out of You (2014)</t>
  </si>
  <si>
    <t>31.6</t>
  </si>
  <si>
    <t>Those Clouds Are Heavy, You Dig? (1995)</t>
  </si>
  <si>
    <t>31.7</t>
  </si>
  <si>
    <t>Connor Hsu</t>
  </si>
  <si>
    <t>Scorpion (2018)</t>
  </si>
  <si>
    <t>31.8</t>
  </si>
  <si>
    <t>Michael Shove</t>
  </si>
  <si>
    <t>Emily (1964)</t>
  </si>
  <si>
    <t>Sonia Leong</t>
  </si>
  <si>
    <t>That Old Black Magic (1942)</t>
  </si>
  <si>
    <t>Chen Yi</t>
  </si>
  <si>
    <t>Smack Dab in the Middle (1955)</t>
  </si>
  <si>
    <t>Vanessa Lopez</t>
  </si>
  <si>
    <t>34th Street</t>
  </si>
  <si>
    <t>Nikolai Kapustin</t>
  </si>
  <si>
    <t>Vals Op. 8 No. 4</t>
  </si>
  <si>
    <t>Queen Lilioukalani</t>
  </si>
  <si>
    <t>Ku'u Home O Kahalu'u</t>
  </si>
  <si>
    <t>Hawaiian Skies</t>
  </si>
  <si>
    <t>Arnold Schönberg</t>
  </si>
  <si>
    <t>Schoenberg, Arnold</t>
  </si>
  <si>
    <t>Triangle Trio (2013/2016)</t>
  </si>
  <si>
    <t>33.6</t>
  </si>
  <si>
    <t>Mantram (1967)</t>
  </si>
  <si>
    <t>33.7</t>
  </si>
  <si>
    <t>Eugéne Bozza</t>
  </si>
  <si>
    <t>Kadenza (1978)</t>
  </si>
  <si>
    <t>33.8</t>
  </si>
  <si>
    <t>Béla Kovács</t>
  </si>
  <si>
    <t>Pequeño vikingo (2016)</t>
  </si>
  <si>
    <t>Morceau de Concert (1907)</t>
  </si>
  <si>
    <t>Irish Folk Song</t>
  </si>
  <si>
    <t>Opals (2007)</t>
  </si>
  <si>
    <t>Squatty Roo (1937/2007)</t>
  </si>
  <si>
    <t>James MacMillan</t>
  </si>
  <si>
    <t>Without You Without Them (2023)</t>
  </si>
  <si>
    <t>34.5</t>
  </si>
  <si>
    <t>Todd Smith</t>
  </si>
  <si>
    <t>Duo (2005)</t>
  </si>
  <si>
    <t>34.6</t>
  </si>
  <si>
    <t>Balkanika (2014)</t>
  </si>
  <si>
    <t>34.7</t>
  </si>
  <si>
    <t>William J. Kirkpatrick</t>
  </si>
  <si>
    <t>34.8</t>
  </si>
  <si>
    <t>Victor C. Johnson</t>
  </si>
  <si>
    <t>Misgivings (2024)</t>
  </si>
  <si>
    <t>34.9</t>
  </si>
  <si>
    <t>Vienna Teng</t>
  </si>
  <si>
    <t>Fantasy in G minor (2024)</t>
  </si>
  <si>
    <t>34.10</t>
  </si>
  <si>
    <t>Ysaÿe M. Barnwell</t>
  </si>
  <si>
    <t>Barnwell, Ysaye</t>
  </si>
  <si>
    <t>Hommage à J. S. Bach (1994)</t>
  </si>
  <si>
    <t>34.11</t>
  </si>
  <si>
    <t>Echoes (1988)</t>
  </si>
  <si>
    <t>Miguel Velarde</t>
  </si>
  <si>
    <t>Senior Double Bass Recital</t>
  </si>
  <si>
    <t>Khachaturian, Aram</t>
  </si>
  <si>
    <t>Monti, Vittorio</t>
  </si>
  <si>
    <t>Let the Darkness Out (2011; 2019)</t>
  </si>
  <si>
    <t>Bailey Labrie</t>
  </si>
  <si>
    <t>Senior Cello Recital</t>
  </si>
  <si>
    <t>DOPE (2022)</t>
  </si>
  <si>
    <t>Heino Eller</t>
  </si>
  <si>
    <t>Eller, Heino</t>
  </si>
  <si>
    <t>Origin (2011)</t>
  </si>
  <si>
    <t>Popper, David</t>
  </si>
  <si>
    <t>Raquel Reginato, piano</t>
  </si>
  <si>
    <t>Senior Piano Recital</t>
  </si>
  <si>
    <t>Adagio of Spartacus and Phrygia (1954, 2024)</t>
  </si>
  <si>
    <t>Czardas (1904)</t>
  </si>
  <si>
    <t>Reverie (1879)</t>
  </si>
  <si>
    <t>de Falla, Manuel</t>
  </si>
  <si>
    <t>Dahil Sa Iyo (1938, 2023)</t>
  </si>
  <si>
    <t>Shannon Lyons</t>
  </si>
  <si>
    <t>Senior Voice Recital</t>
  </si>
  <si>
    <t>Benny Goodman</t>
  </si>
  <si>
    <t>Goodman, Benny</t>
  </si>
  <si>
    <t>Yizkor (Remember) (2009)</t>
  </si>
  <si>
    <t>Adagio and Allegro, Op. 70 (1849)</t>
  </si>
  <si>
    <t>Rupert Holmes</t>
  </si>
  <si>
    <t>Holmes, Rupert</t>
  </si>
  <si>
    <t>Ballade for Cello and Orchestra (1966)</t>
  </si>
  <si>
    <t>Faculty Emeritus</t>
  </si>
  <si>
    <t>Requiem for Three Cellos and Piano, Op. 66 (1892)</t>
  </si>
  <si>
    <t>Real-time compositions</t>
  </si>
  <si>
    <t>España, Op. 165, No. 3, Malagueña (1890)</t>
  </si>
  <si>
    <t>Aaron Copland, Leonard Bernstein</t>
  </si>
  <si>
    <t>España, op.165, no. 1 (1890)</t>
  </si>
  <si>
    <t>Piano Sonata in E minor, HOB. XVI, no. 34 (c. 1770)</t>
  </si>
  <si>
    <t>Anatoly Liadov</t>
  </si>
  <si>
    <t>Liadov, Anatoly</t>
  </si>
  <si>
    <t>Vier Lieder für das Pianoforte Op. 6, no. 1 (1841)</t>
  </si>
  <si>
    <t>Vier Lieder für das Pianoforte, Op. 6, no. 3 (1841)</t>
  </si>
  <si>
    <t>9.8</t>
  </si>
  <si>
    <t>Sergei Rachmanioff</t>
  </si>
  <si>
    <t>Havana (2018)</t>
  </si>
  <si>
    <t>Of Our New Day Begun (2015)</t>
  </si>
  <si>
    <t>Steadfast Leadership March (2006)</t>
  </si>
  <si>
    <t>Katie Kring</t>
  </si>
  <si>
    <t>Kring, Katie</t>
  </si>
  <si>
    <t>Siete canciones populares españolas (1914/2010)</t>
  </si>
  <si>
    <t>2025 NASM</t>
  </si>
  <si>
    <t>Moonglow (1934)</t>
  </si>
  <si>
    <t>Nuit d’étoiles (1882)</t>
  </si>
  <si>
    <t>Clairières dans le ciel (1914)</t>
  </si>
  <si>
    <t>Alexey Lebedev</t>
  </si>
  <si>
    <t>Lebedev, Alexey</t>
  </si>
  <si>
    <t>Tricotism (1956)</t>
  </si>
  <si>
    <t>Jayden Laumeister</t>
  </si>
  <si>
    <t>Junior Trombone Recital</t>
  </si>
  <si>
    <t>Moonfall</t>
  </si>
  <si>
    <t>Brooke Pierson</t>
  </si>
  <si>
    <t>Pierson, Brooke</t>
  </si>
  <si>
    <t>Morning Sun (2015)</t>
  </si>
  <si>
    <t>Reed Hanna</t>
  </si>
  <si>
    <t>Hanna, Reed</t>
  </si>
  <si>
    <t>Andante Spianato and Grande Polonaise Brilliante, op.22 (1830-1834)</t>
  </si>
  <si>
    <t>Capriccio in C-sharp minor, op. 76, no. 5 (1878)</t>
  </si>
  <si>
    <t>Capriccio in F-sharp minor, op. 76, no. 1 (1871)</t>
  </si>
  <si>
    <t>Julianna Meneses</t>
  </si>
  <si>
    <t>Carl Ditters von Dittersdorf</t>
  </si>
  <si>
    <t>Dittersdorf, Karl Ditters von</t>
  </si>
  <si>
    <t>El Salón México (1932-1936/1941)</t>
  </si>
  <si>
    <t>Intermezzo in E major, op. 116, no. 4 (1892)</t>
  </si>
  <si>
    <t>Senior Bassoon Recital</t>
  </si>
  <si>
    <t>Mathieu Lussier</t>
  </si>
  <si>
    <t>Lussier, Mathieu</t>
  </si>
  <si>
    <t>Prelude in B major, op. 11, no. 1 (1886)</t>
  </si>
  <si>
    <t>George Fetner</t>
  </si>
  <si>
    <t>Fetner, George</t>
  </si>
  <si>
    <t>Sonata no. 28 in A major, op. 101 (1816)</t>
  </si>
  <si>
    <t>Yuri Kasparov</t>
  </si>
  <si>
    <t>Kasparov, Yuri</t>
  </si>
  <si>
    <t>Variations on a Theme of Corelli, op. 42 (1931)</t>
  </si>
  <si>
    <t>Giovanni Antonio Bertoli</t>
  </si>
  <si>
    <t>Bertoli, Giovanni Antonio</t>
  </si>
  <si>
    <t>Sing Gently (2020)</t>
  </si>
  <si>
    <t>Voice on the Wind (2018)</t>
  </si>
  <si>
    <t>Sing Out My Soul (2020)</t>
  </si>
  <si>
    <t>Rossini, Gioachino</t>
  </si>
  <si>
    <t>Turn (2016)</t>
  </si>
  <si>
    <t>Arnold Schoenberg</t>
  </si>
  <si>
    <t>Gloria in D Major, RV 589 (ca. 1715)</t>
  </si>
  <si>
    <t>Tshotsholoza (2011)</t>
  </si>
  <si>
    <t>Evocation (Mon-Nee-Joh) (2024)</t>
  </si>
  <si>
    <t>Good Morning (2024)</t>
  </si>
  <si>
    <t>Where Does My Night Go? (2019)</t>
  </si>
  <si>
    <t>19.10</t>
  </si>
  <si>
    <t>Fusion Suite (2005)</t>
  </si>
  <si>
    <t>19.11</t>
  </si>
  <si>
    <t>Triangle Trio (excerpt) (2013/2016)</t>
  </si>
  <si>
    <t>Joe Mazzaferro, trumpet/ Sean Britt, guitar/Andrew Mell/bass
Sean Britt, guitar
Andrew Mell, double bass</t>
  </si>
  <si>
    <t>Mell, Andrew</t>
  </si>
  <si>
    <t>Chanson Romanesque from Don Quichotte à Dulcinée, M. 84 (1932)</t>
  </si>
  <si>
    <t>Concert Etude, op. 40 no. 1: Prelude (1984)</t>
  </si>
  <si>
    <t>Young, Victor</t>
  </si>
  <si>
    <t>Suite no. 4 in E-flat major, BWV 1010 (1717–1723)</t>
  </si>
  <si>
    <t>Trio (1968)</t>
  </si>
  <si>
    <t>Sean Britt</t>
  </si>
  <si>
    <t>Britt, Sean</t>
  </si>
  <si>
    <t>Kenny Wheeler</t>
  </si>
  <si>
    <t>Wheeler, Kenny</t>
  </si>
  <si>
    <t>Yellow from The Yellow Wallpaper (2024)</t>
  </si>
  <si>
    <t>Jazz Ensemble/Elena Pinderhughes, jazz flute</t>
  </si>
  <si>
    <t>Arthur Schwartz, Howard Dietz</t>
  </si>
  <si>
    <t>Schwartz, Arthur / Dietz, Howard</t>
  </si>
  <si>
    <t>Concerto Allegro (1949)</t>
  </si>
  <si>
    <t>Junior Violin Recital</t>
  </si>
  <si>
    <t>Fiesta en Jalisco (1970)</t>
  </si>
  <si>
    <t>Achille-Claude Debussy</t>
  </si>
  <si>
    <t>Thumping (2024)</t>
  </si>
  <si>
    <t>Concerto for Tuba (1984-1985)</t>
  </si>
  <si>
    <t>The Robots are Taking Over (2020)</t>
  </si>
  <si>
    <t>Brittany Trotter, flute</t>
  </si>
  <si>
    <t>Lowell Liebermann</t>
  </si>
  <si>
    <t>Liebermann, Lowell</t>
  </si>
  <si>
    <t>Concerto for Bass Trombone (2008)</t>
  </si>
  <si>
    <t>Edgard Varèse</t>
  </si>
  <si>
    <t>Varèse, Edgard</t>
  </si>
  <si>
    <t>Jazz Triptych (2014)</t>
  </si>
  <si>
    <t>USAF Band of the Golden West Woodwind Quintet</t>
  </si>
  <si>
    <t>Guest Recital</t>
  </si>
  <si>
    <t>Mellits, Marc</t>
  </si>
  <si>
    <t>Duo (2015)</t>
  </si>
  <si>
    <t>Irving Fine</t>
  </si>
  <si>
    <t>Fine, Irving</t>
  </si>
  <si>
    <t>blue cathedral (1999)</t>
  </si>
  <si>
    <t>Magdalene Myint</t>
  </si>
  <si>
    <t>Movements (2021)</t>
  </si>
  <si>
    <t>Dances from Estancia, op. 8a (1941)</t>
  </si>
  <si>
    <t>Puccini, Giacomo</t>
  </si>
  <si>
    <t>Symphony No. 1 in A-flat major, "Afro-American" (1930)</t>
  </si>
  <si>
    <t>Michi (1979)</t>
  </si>
  <si>
    <t>Cloches à travers les feuilles from Images, Book Two (1908)</t>
  </si>
  <si>
    <t>Piano Trio No. 2, op. 67 (1943–44)</t>
  </si>
  <si>
    <t>Senior Horn Recital</t>
  </si>
  <si>
    <t>Joseph Schwantner</t>
  </si>
  <si>
    <t>Schwantner, Joseph</t>
  </si>
  <si>
    <t>Castings (2010)</t>
  </si>
  <si>
    <t>Nightwatching (2008)</t>
  </si>
  <si>
    <t>Real-time improvisation</t>
  </si>
  <si>
    <t>Friedrich Thurner</t>
  </si>
  <si>
    <t>Thurner, Friedrich</t>
  </si>
  <si>
    <t>Karl Pilss</t>
  </si>
  <si>
    <t>Pilss, Karl</t>
  </si>
  <si>
    <t>WongShe Dances Naked Under Palm Trees (2019)</t>
  </si>
  <si>
    <t>Judy Kim</t>
  </si>
  <si>
    <t>Bolcom, William</t>
  </si>
  <si>
    <t>Double Bass Concerto No. 2 (1762)</t>
  </si>
  <si>
    <t>L'Éléphant (The Elephant) (1886)</t>
  </si>
  <si>
    <t>Bard (2025)</t>
  </si>
  <si>
    <t>Meditation on a Homecoming (2025)</t>
  </si>
  <si>
    <t>Throw It Away (1980)</t>
  </si>
  <si>
    <t>Alex Maldonado</t>
  </si>
  <si>
    <t>Wood, Guy</t>
  </si>
  <si>
    <t>Swing Shift (2013)</t>
  </si>
  <si>
    <t>Stephen Scott</t>
  </si>
  <si>
    <t>Scott, Stephen</t>
  </si>
  <si>
    <t>Bassango (2001)</t>
  </si>
  <si>
    <t>Black Lion (2015)</t>
  </si>
  <si>
    <t>Victor Alcaraz</t>
  </si>
  <si>
    <t>Joseph Ed. Barat</t>
  </si>
  <si>
    <t>Barat, J. Edouard</t>
  </si>
  <si>
    <t>Sonata Infernale (1989)</t>
  </si>
  <si>
    <t>Henry Mancini arr. Ingo Luis</t>
  </si>
  <si>
    <t>Mancini, Henry</t>
  </si>
  <si>
    <t>Sonata Settima (1645)</t>
  </si>
  <si>
    <t>Rondo (2001)</t>
  </si>
  <si>
    <t>Alan Brandt / Bob Haymes</t>
  </si>
  <si>
    <t>Brandt, Alan / Haymes, Bob</t>
  </si>
  <si>
    <t>Concerto No. 1 (2010)</t>
  </si>
  <si>
    <t>Richard Wagner</t>
  </si>
  <si>
    <t>Wagner, Richard</t>
  </si>
  <si>
    <t>Jean-Michel Defaye</t>
  </si>
  <si>
    <t>Defaye, Jean-Michel</t>
  </si>
  <si>
    <t>Cello Concerto in A minor, op. 33 (1872)</t>
  </si>
  <si>
    <t>Kai Winding</t>
  </si>
  <si>
    <t>Winding, Kai</t>
  </si>
  <si>
    <t>Cello Suite No. 4 in E-flat major, BWV 1010 (1723)</t>
  </si>
  <si>
    <t>Ricardo Martines, saxophone</t>
  </si>
  <si>
    <t>Cruda Sorte! Amor Tiranno from L'italiana in Algeri (1813)</t>
  </si>
  <si>
    <t>Drei Klavierstücke, op. 11 (1909)</t>
  </si>
  <si>
    <t>Kyle Saelee</t>
  </si>
  <si>
    <t>Junior Double Bass Recital</t>
  </si>
  <si>
    <t>Corea, Chick</t>
  </si>
  <si>
    <t>Etude No. 7 pour les degrés chromatiques (1915)</t>
  </si>
  <si>
    <t>Porter, Cole</t>
  </si>
  <si>
    <t>Fin ch'han dal vino from Don Giovanni, KV 527 (1788)</t>
  </si>
  <si>
    <t>Berlin, Irving</t>
  </si>
  <si>
    <t>From Dichterliebe, op. 48 (1840)</t>
  </si>
  <si>
    <t>Michelle Han</t>
  </si>
  <si>
    <t>Junior Piano Recital</t>
  </si>
  <si>
    <t>Première rhapsodie (1910)</t>
  </si>
  <si>
    <t>Liszt, Franz</t>
  </si>
  <si>
    <t>Violin Concerto in E minor (1844)</t>
  </si>
  <si>
    <t>Who is Silvia? from Let Us Garlands Bring, op. 18 (1942)</t>
  </si>
  <si>
    <t>MLS (2025)</t>
  </si>
  <si>
    <t>Uhl, Alfred</t>
  </si>
  <si>
    <t>Song For Fizz (2013)</t>
  </si>
  <si>
    <t>Katie Pelletier</t>
  </si>
  <si>
    <t>Junior Voice Recital</t>
  </si>
  <si>
    <t>My Foolish Heart (1949)</t>
  </si>
  <si>
    <t>Verdi, Giuseppe</t>
  </si>
  <si>
    <t>Soon (1929)</t>
  </si>
  <si>
    <t>Bouncing With Bud (1947)</t>
  </si>
  <si>
    <t>35.4</t>
  </si>
  <si>
    <t>Delibes, Léo</t>
  </si>
  <si>
    <t>Queen of Fermanagh (2023)</t>
  </si>
  <si>
    <t>35.5</t>
  </si>
  <si>
    <t>Reflection (1959)</t>
  </si>
  <si>
    <t>35.6</t>
  </si>
  <si>
    <t>Donizetti, Gaetano</t>
  </si>
  <si>
    <t>Smatter (1976)</t>
  </si>
  <si>
    <t>Kylie Trenhaile</t>
  </si>
  <si>
    <t>Senior Viola Recital</t>
  </si>
  <si>
    <t>Henri Casadesus</t>
  </si>
  <si>
    <t>Casadesus, Henri</t>
  </si>
  <si>
    <t>Contusion (1976)</t>
  </si>
  <si>
    <t>Let’s Take a Trip to the Sky (2012)</t>
  </si>
  <si>
    <t>Michael Andersen</t>
  </si>
  <si>
    <t>Junior double bass Recital</t>
  </si>
  <si>
    <t>Alone Together (1932)</t>
  </si>
  <si>
    <t>Compromise (2023)</t>
  </si>
  <si>
    <t>Julie Styne</t>
  </si>
  <si>
    <t>Styne, Julie</t>
  </si>
  <si>
    <t>I’m Not So Sure (1974)</t>
  </si>
  <si>
    <t>Leo Milano</t>
  </si>
  <si>
    <t>Junior Saxophone Recital (no program)</t>
  </si>
  <si>
    <t>Pep Pep (2013)</t>
  </si>
  <si>
    <t>Varied ensemble</t>
  </si>
  <si>
    <t>Latta, Jonathan</t>
  </si>
  <si>
    <t>Drëi Klavierstücke: Op. 11 (1909)</t>
  </si>
  <si>
    <t>Ed Argenziano</t>
  </si>
  <si>
    <t>Argenziano, Ed</t>
  </si>
  <si>
    <t>Images II: les travers les feuilles (1907)</t>
  </si>
  <si>
    <t>Aimee MacDonald</t>
  </si>
  <si>
    <t>Junior Saxophone Recital</t>
  </si>
  <si>
    <t>Fain, Sammy</t>
  </si>
  <si>
    <t>Brian Balmage</t>
  </si>
  <si>
    <t>Balmages, Brian</t>
  </si>
  <si>
    <t>Well-tempered Klavier II: Prelude and Fugue in C# Major BWV 872 (1742)</t>
  </si>
  <si>
    <t>Friedrich Gulda</t>
  </si>
  <si>
    <t>Gulda, Friedrich</t>
  </si>
  <si>
    <t>Sonata for flute and harp op. 56 (1996)</t>
  </si>
  <si>
    <t>Leo Hearl</t>
  </si>
  <si>
    <t>Laurence O’Keefe, Kevin Murphy</t>
  </si>
  <si>
    <t>Wrought Iron for flute and percussion (2012)</t>
  </si>
  <si>
    <t>Fantasie on a theme of Syrinx (2015)</t>
  </si>
  <si>
    <t>Oiseaux Romantiques for flute, oboe, and bassoon (2018)</t>
  </si>
  <si>
    <t>Alan Jay Lerner, Frederick Loewe</t>
  </si>
  <si>
    <t>Lerner, Alan Jay / Lowe, Frederick</t>
  </si>
  <si>
    <t>Density 21.5 (b. 1936)</t>
  </si>
  <si>
    <t>Syrinx (1913)</t>
  </si>
  <si>
    <t>Frederick Loewe, Alan Jay Lerner</t>
  </si>
  <si>
    <t>Canyon Echos (1991)</t>
  </si>
  <si>
    <t>Jerry Bock</t>
  </si>
  <si>
    <t>Apollo (2019)</t>
  </si>
  <si>
    <t>Neil Bartram</t>
  </si>
  <si>
    <t>Bartram, Neil</t>
  </si>
  <si>
    <t>Homage to Duke (2002)</t>
  </si>
  <si>
    <t>Matt Maltese</t>
  </si>
  <si>
    <t>Maltese, Matt</t>
  </si>
  <si>
    <t>The Fine (Partita) (1948)</t>
  </si>
  <si>
    <t>Varied</t>
  </si>
  <si>
    <t>Variations on the Pokémon Center Theme (1996, 2025)</t>
  </si>
  <si>
    <t>Bergen Finley</t>
  </si>
  <si>
    <t>Senior Guitar Recital</t>
  </si>
  <si>
    <t>Send in the Clowns (1973)</t>
  </si>
  <si>
    <t>Michael Megenney</t>
  </si>
  <si>
    <t>Schwartz, Stephen</t>
  </si>
  <si>
    <t>Études-Tableaux, op. 33, No. 7 in E-flat major (1911)</t>
  </si>
  <si>
    <t>Nessun dorma from Turandot (1926/2005)</t>
  </si>
  <si>
    <t>Scherzo No. 4 (1842)</t>
  </si>
  <si>
    <t>John Dowland</t>
  </si>
  <si>
    <t>Dowland, John</t>
  </si>
  <si>
    <t>Sonata No. 23, op. 57 "Appassionata" (1806)</t>
  </si>
  <si>
    <t>The Well-Tempered Clavier, Book I No.22, BWV 867 (1722)</t>
  </si>
  <si>
    <t>Black Anemones (1980)</t>
  </si>
  <si>
    <t>Colchester Fantasy (1987)</t>
  </si>
  <si>
    <t>Gary Geld</t>
  </si>
  <si>
    <t>Geld, Gary</t>
  </si>
  <si>
    <t>“Maria” from West Side Story Suite (2000)</t>
  </si>
  <si>
    <t>Philip Rosseter</t>
  </si>
  <si>
    <t>Rosseter, Philip</t>
  </si>
  <si>
    <t>Cello Sonata, op. 67 (1905)</t>
  </si>
  <si>
    <t>Jordan Guitang</t>
  </si>
  <si>
    <t>Glass and Dust (2025)</t>
  </si>
  <si>
    <t>Grande Sonata in E Major, op. 29 (1818)</t>
  </si>
  <si>
    <t>Tre pezzi in forma di Sonata (1924)</t>
  </si>
  <si>
    <t>The Garden of Eden: III The Serpent’s Kiss (1969)</t>
  </si>
  <si>
    <t>49.5</t>
  </si>
  <si>
    <t>Etude No. 7: Pour les degrés chromatique (1915)</t>
  </si>
  <si>
    <t>49.6</t>
  </si>
  <si>
    <t>Gounod, Charles</t>
  </si>
  <si>
    <t>Keyboard Sonata in E-flat Major, Hob. XVI:52 (1794)</t>
  </si>
  <si>
    <t>49.7</t>
  </si>
  <si>
    <t>Prelude and Fugue No. 8 in e-flat minor from The Well-Tempered Clavier Book 1, BWV 853 (1722)</t>
  </si>
  <si>
    <t>49.8</t>
  </si>
  <si>
    <t>Caldara, Antonio</t>
  </si>
  <si>
    <t>Variations sérieuses Op. 54 (1841)</t>
  </si>
  <si>
    <t>49.9</t>
  </si>
  <si>
    <t>Yes or No</t>
  </si>
  <si>
    <t>My One and Only Love (1953)</t>
  </si>
  <si>
    <t>Joy Spring</t>
  </si>
  <si>
    <t>Massenet, Jules</t>
  </si>
  <si>
    <t>The Blues Walk</t>
  </si>
  <si>
    <t>The Challenge</t>
  </si>
  <si>
    <t>William Yeates Hurlstone</t>
  </si>
  <si>
    <t>Hurlstone, William Yeates</t>
  </si>
  <si>
    <t>Piano Trio in D minor, Op. 120 (1923)</t>
  </si>
  <si>
    <t>Quintet in A Major, D. 667 “Trout” (1819)</t>
  </si>
  <si>
    <t>D’un matin de printemps (1917-1918)</t>
  </si>
  <si>
    <t>Andante et Allegro (1926)</t>
  </si>
  <si>
    <t>Abigail Miller</t>
  </si>
  <si>
    <t>Senior Clarinet Recital</t>
  </si>
  <si>
    <t>Baby Elephant Walk (1961)</t>
  </si>
  <si>
    <t>That’s All (1952)</t>
  </si>
  <si>
    <t>Arthur Bliss</t>
  </si>
  <si>
    <t>Bliss, Arthur</t>
  </si>
  <si>
    <t>Trauersinfonie</t>
  </si>
  <si>
    <t>Jenna Kalik</t>
  </si>
  <si>
    <t>Junior Vibraphone Recital</t>
  </si>
  <si>
    <t>Richard Rogers and Lorenz Hart</t>
  </si>
  <si>
    <t>Rodgers, Richard / Hart, Lorenz</t>
  </si>
  <si>
    <t>Deux Danses (1954)</t>
  </si>
  <si>
    <t>Matthew Kulm</t>
  </si>
  <si>
    <t>Senior Percussion Recital</t>
  </si>
  <si>
    <t>Michie (1960)</t>
  </si>
  <si>
    <t>Staying the Night (2014)</t>
  </si>
  <si>
    <t>Lullaby (1990)</t>
  </si>
  <si>
    <t>Áskell Mâsson</t>
  </si>
  <si>
    <t>Mâsson, Áskell</t>
  </si>
  <si>
    <t>Paganini Lost (2008)</t>
  </si>
  <si>
    <t>Bobby Singh</t>
  </si>
  <si>
    <t>Senior Flute Recital</t>
  </si>
  <si>
    <t>Borne, François</t>
  </si>
  <si>
    <t>Trio for Oboe, Bassoon, and Piano (1924–26)</t>
  </si>
  <si>
    <t>Powerhouse (2021)</t>
  </si>
  <si>
    <t>Rotte (2012–15)</t>
  </si>
  <si>
    <t>Vincent Persichetti</t>
  </si>
  <si>
    <t>Persichetti, Vincent</t>
  </si>
  <si>
    <t>Tell Me a Bedtime Story (1969)</t>
  </si>
  <si>
    <t>Denes Agay</t>
  </si>
  <si>
    <t>Agay, Denes</t>
  </si>
  <si>
    <t>500 Miles High (1972)</t>
  </si>
  <si>
    <t>Easy to Love (1934)</t>
  </si>
  <si>
    <t>Blanc, Adolphe</t>
  </si>
  <si>
    <t>How Deep is the Ocean? ( 1932)</t>
  </si>
  <si>
    <t>Bobby Troup</t>
  </si>
  <si>
    <t>Troup, Bobby</t>
  </si>
  <si>
    <t>Birdlike (1961)</t>
  </si>
  <si>
    <t>56.5</t>
  </si>
  <si>
    <t>How Insensitive (Insensatez) (1963)</t>
  </si>
  <si>
    <t>Ria Patel</t>
  </si>
  <si>
    <t>“I Got Rhythm” (1930)</t>
  </si>
  <si>
    <t>Arlen, Harold</t>
  </si>
  <si>
    <t>Années de pèlerinage: 2ème année: Italie, S.161: 5. Sonetto 104 del Petrarca (1846)</t>
  </si>
  <si>
    <t>57.3</t>
  </si>
  <si>
    <t>Jesu, Joy of Man's Desiring, from the Cantata "Herz und Mund und Tat und Leben" BWV 147 (1716)</t>
  </si>
  <si>
    <t>57.4</t>
  </si>
  <si>
    <t>Sonata No. 26 in E-flat Major, Op. 81a "Les Adieux” (1809)</t>
  </si>
  <si>
    <t>57.5</t>
  </si>
  <si>
    <t>Fernando Obradors</t>
  </si>
  <si>
    <t>Obradors, Fernando</t>
  </si>
  <si>
    <t>Flowers' Life, Op. 19 No. 7 Lilies (1905)</t>
  </si>
  <si>
    <t>57.6</t>
  </si>
  <si>
    <t>José de Nebra</t>
  </si>
  <si>
    <t>de Nebra, José</t>
  </si>
  <si>
    <t>Amazing Grace</t>
  </si>
  <si>
    <t>58.1</t>
  </si>
  <si>
    <t>Bob Russell</t>
  </si>
  <si>
    <t>Russell, Bob</t>
  </si>
  <si>
    <t>Spring in My Homeland (1929)</t>
  </si>
  <si>
    <t>58.2</t>
  </si>
  <si>
    <t>George Cory, Dougles Cross</t>
  </si>
  <si>
    <t>Cross, Dougles</t>
  </si>
  <si>
    <t>Zarabandeo (2016)</t>
  </si>
  <si>
    <t>Mia Janosik</t>
  </si>
  <si>
    <t>Carnelia, Craig</t>
  </si>
  <si>
    <t>Cello Suite No. 2 in D minor, BWV 1008 (1717–1723)</t>
  </si>
  <si>
    <t>Divertimento for Clarinet Quartet (1992)</t>
  </si>
  <si>
    <t>Wolf, Hugo</t>
  </si>
  <si>
    <t>Bird Songs (1907)</t>
  </si>
  <si>
    <t>Air champêtre from Air Chantés (1927)</t>
  </si>
  <si>
    <t>Caro nome from Rigoletto (1851)</t>
  </si>
  <si>
    <t>Claudio Monteverdi</t>
  </si>
  <si>
    <t>Monteverdi, Claudio</t>
  </si>
  <si>
    <t>Chi il bel sogno di Doretta from La Rondine (1916)</t>
  </si>
  <si>
    <t>Blake Tyson</t>
  </si>
  <si>
    <t>Tyson, Blake</t>
  </si>
  <si>
    <t>Flower Duet (Sous le dôme épais) from Lakmé (1883)</t>
  </si>
  <si>
    <t>Prendi, per me sei libero from L’elisir d’amore (1832)</t>
  </si>
  <si>
    <t>Briones (2025)</t>
  </si>
  <si>
    <t>Lockstep (2020)</t>
  </si>
  <si>
    <t>Christopher Butler</t>
  </si>
  <si>
    <t>Butler, Christopher</t>
  </si>
  <si>
    <t>Metamorphoses (2021)</t>
  </si>
  <si>
    <t>Pacific Orchestras</t>
  </si>
  <si>
    <t>Tangent (2022)</t>
  </si>
  <si>
    <t>Tribute to the Unsung (2024)</t>
  </si>
  <si>
    <t>Variations on a Moment (2022)</t>
  </si>
  <si>
    <t>Keith Jarrett</t>
  </si>
  <si>
    <t>Jarrett, Keith</t>
  </si>
  <si>
    <t>Yizkor (2019)</t>
  </si>
  <si>
    <t>Mike Stern</t>
  </si>
  <si>
    <t>Stern, Mike</t>
  </si>
  <si>
    <t>Concerto in C Minor in the Style of J.C. Bach (1916)</t>
  </si>
  <si>
    <t>T Sammy Fain, Bob Hilliard</t>
  </si>
  <si>
    <t>Hilliard, Bob</t>
  </si>
  <si>
    <t>Duo for Violin and Viola in B-flat Major, K. 424 (1783)</t>
  </si>
  <si>
    <t>Toots Thielmans</t>
  </si>
  <si>
    <t>Thielemans, Toots / Gimbel, Norman</t>
  </si>
  <si>
    <t>Tell me a bedtime story - 1969</t>
  </si>
  <si>
    <t>Blue Skies - 1926</t>
  </si>
  <si>
    <t>There will never be another you - 1942</t>
  </si>
  <si>
    <t>Isham Jones</t>
  </si>
  <si>
    <t>Jones, Isham</t>
  </si>
  <si>
    <t>Tricotism - 1956</t>
  </si>
  <si>
    <t>Kovács, Béla</t>
  </si>
  <si>
    <t>I fall in love too easily</t>
  </si>
  <si>
    <t>Bird Song (2025)</t>
  </si>
  <si>
    <t>Busted Seams (2022)</t>
  </si>
  <si>
    <t>Entranced (2024)</t>
  </si>
  <si>
    <t>Fingertips (2025)</t>
  </si>
  <si>
    <t>Oil Slick (2025)</t>
  </si>
  <si>
    <t>Picnic (2024)</t>
  </si>
  <si>
    <t>Roommate's Lament (2025)</t>
  </si>
  <si>
    <t>Julius Weissenborn</t>
  </si>
  <si>
    <t>Weissenborn, Julius</t>
  </si>
  <si>
    <t>Spy Song (2021)</t>
  </si>
  <si>
    <t>66.1</t>
  </si>
  <si>
    <t>Davis Robinson '26</t>
  </si>
  <si>
    <t>Robinson, Davis</t>
  </si>
  <si>
    <t>Teddy Bear (2022)</t>
  </si>
  <si>
    <t>66.2</t>
  </si>
  <si>
    <t>Edmund Bascon '27</t>
  </si>
  <si>
    <t>Bascon, Edmund</t>
  </si>
  <si>
    <t>Waltzes Unconscious</t>
  </si>
  <si>
    <t>Charlie Price</t>
  </si>
  <si>
    <t>67.1</t>
  </si>
  <si>
    <t>Solo Samba (2023)</t>
  </si>
  <si>
    <t>67.2</t>
  </si>
  <si>
    <t>Chicks Tune</t>
  </si>
  <si>
    <t>67.3</t>
  </si>
  <si>
    <t>Gazelle (1969)</t>
  </si>
  <si>
    <t>67.4</t>
  </si>
  <si>
    <t>Chausson, Ernest</t>
  </si>
  <si>
    <t>Granted (1966)</t>
  </si>
  <si>
    <t>67.5</t>
  </si>
  <si>
    <t>Dienda</t>
  </si>
  <si>
    <t>67.6</t>
  </si>
  <si>
    <t>Malletic Quartet (2024)</t>
  </si>
  <si>
    <t>67.7</t>
  </si>
  <si>
    <t>Matters/Mind (2021)</t>
  </si>
  <si>
    <t>67.8</t>
  </si>
  <si>
    <t>George Fredric Handel</t>
  </si>
  <si>
    <t>Catching Shadows (2013)</t>
  </si>
  <si>
    <t>67.9</t>
  </si>
  <si>
    <t>Thank You (2014)</t>
  </si>
  <si>
    <t>67.10</t>
  </si>
  <si>
    <t>California Kaleidoscope (2025)</t>
  </si>
  <si>
    <t>Carousel: A Concert</t>
  </si>
  <si>
    <t>68.1</t>
  </si>
  <si>
    <t>Kpatcha</t>
  </si>
  <si>
    <t>Brittin, Ruth</t>
  </si>
  <si>
    <t>Stinkin' Garbage (1997)</t>
  </si>
  <si>
    <t>Likhuta, Catherine</t>
  </si>
  <si>
    <t>Infant Eyes (1964)</t>
  </si>
  <si>
    <t>Shapiro, Alex</t>
  </si>
  <si>
    <t>I'll Be Seeing You (1938)</t>
  </si>
  <si>
    <t>Ayala Asherov</t>
  </si>
  <si>
    <t>Straight Street (1957)</t>
  </si>
  <si>
    <t>Ugly Beauty (1967)</t>
  </si>
  <si>
    <t>Jackie &amp; the Bean Stalk (1992)</t>
  </si>
  <si>
    <t>Lili Boulanger</t>
  </si>
  <si>
    <t>Boulanger, Lili</t>
  </si>
  <si>
    <t>Elements: Petite Symphony (2010)</t>
  </si>
  <si>
    <t>Melody Gardot</t>
  </si>
  <si>
    <t>Gardot, Melody</t>
  </si>
  <si>
    <t>One Life Beautiful (2010)</t>
  </si>
  <si>
    <t>Sarah Quartel</t>
  </si>
  <si>
    <t>Quartel, Sarah</t>
  </si>
  <si>
    <t>The Last Flight Out (2025), prem.</t>
  </si>
  <si>
    <t>12.5</t>
  </si>
  <si>
    <t>Catherine McMichael</t>
  </si>
  <si>
    <t>McMichael, Catherine</t>
  </si>
  <si>
    <t>La Última Llamada (2025), prem.</t>
  </si>
  <si>
    <t>12.6</t>
  </si>
  <si>
    <t>Madeleine Dring</t>
  </si>
  <si>
    <t>Dring, Madeleine</t>
  </si>
  <si>
    <t>Run to the Light (2022)</t>
  </si>
  <si>
    <t>12.7</t>
  </si>
  <si>
    <t>Aimee MacDonald '26</t>
  </si>
  <si>
    <t>MacDonald, Aimee</t>
  </si>
  <si>
    <t>Concerto for Cello and Wind Orchestra (1989)</t>
  </si>
  <si>
    <t>Elizabeth Raum</t>
  </si>
  <si>
    <t>Raum, Elizabeth</t>
  </si>
  <si>
    <t>Freeze Your Brain from Heathers: The Musical (2009)</t>
  </si>
  <si>
    <t>Johanna from Sweeney Todd (1979)</t>
  </si>
  <si>
    <t>Adrienne Albert</t>
  </si>
  <si>
    <t>Albert, Adrienne</t>
  </si>
  <si>
    <t>Unworthy of You Love from Assassins (1990)</t>
  </si>
  <si>
    <t>19.12</t>
  </si>
  <si>
    <t>It Only Takes a Taste from Waitress: The Musical (2015)</t>
  </si>
  <si>
    <t>Andrea Reinkemeyer</t>
  </si>
  <si>
    <t>Reinkemeyer, Andrea</t>
  </si>
  <si>
    <t>Landslide (1975)</t>
  </si>
  <si>
    <t>Hoover, Katherine</t>
  </si>
  <si>
    <t>On the Street Where You Live from My Fair Lady (1956)</t>
  </si>
  <si>
    <t>The Salley Gardens (1943)</t>
  </si>
  <si>
    <t>Mel Bonis</t>
  </si>
  <si>
    <t>Bonis, Mel</t>
  </si>
  <si>
    <t>There But for You Go I from Brigadoon (2000)</t>
  </si>
  <si>
    <t>Tonight, at Eight from She Loves Me (1963)</t>
  </si>
  <si>
    <t>Allergic to Cats from The Theory of Relativity (2015)</t>
  </si>
  <si>
    <t>Karalyn Schubring</t>
  </si>
  <si>
    <t>Schubring, Karalyn</t>
  </si>
  <si>
    <t>As the World Caves In (2018)</t>
  </si>
  <si>
    <t>Dora Pejačević</t>
  </si>
  <si>
    <t>Pejačević, Dora</t>
  </si>
  <si>
    <t>Noel's Lament from Ride the Cyclone (2019)</t>
  </si>
  <si>
    <t>35.7</t>
  </si>
  <si>
    <t>Liza Lehmann</t>
  </si>
  <si>
    <t>Lehmann, Liza</t>
  </si>
  <si>
    <t>beau(chaos)ty (2025)</t>
  </si>
  <si>
    <t>Senior Composition Recital</t>
  </si>
  <si>
    <t>Jane Damon '25</t>
  </si>
  <si>
    <t>Damon, Jane</t>
  </si>
  <si>
    <t>Spinning Gears (2024)</t>
  </si>
  <si>
    <t>Thank You (2025)</t>
  </si>
  <si>
    <t>Through Her Eyes (2024)</t>
  </si>
  <si>
    <t>What are the Odds? (2025)</t>
  </si>
  <si>
    <t>Suite for Three Alto Saxophones (2014)</t>
  </si>
  <si>
    <t>A Certain Age (Song Cycle for Mezzo-Soprano, Bassoon, and Piano) (2023)</t>
  </si>
  <si>
    <t>Alexis C. Lamb</t>
  </si>
  <si>
    <t>Lamb, Alexis</t>
  </si>
  <si>
    <t>Prelude and Fugue in G Minor (1723)</t>
  </si>
  <si>
    <t>Julie Giroux</t>
  </si>
  <si>
    <t>Giroux, Julie</t>
  </si>
  <si>
    <t>Trio for Flute, Oboe, and Piano (1968)</t>
  </si>
  <si>
    <t>Summertime (1934)</t>
  </si>
  <si>
    <t>Bareilles, Sara</t>
  </si>
  <si>
    <t>Gnid (1975)</t>
  </si>
  <si>
    <t>Nicks, Stevie</t>
  </si>
  <si>
    <t>Late (2025)</t>
  </si>
  <si>
    <t>Posterity's Sake (2025)</t>
  </si>
  <si>
    <t>Sightseer</t>
  </si>
  <si>
    <t>Being Alive, from Company (1983)</t>
  </si>
  <si>
    <t>57.7</t>
  </si>
  <si>
    <t>Sammy Rae &amp; The Friends</t>
  </si>
  <si>
    <t>Rae, Sammy</t>
  </si>
  <si>
    <t>Corner of the Sky, from Pippin (1986)</t>
  </si>
  <si>
    <t>57.8</t>
  </si>
  <si>
    <t>A Simple Song, from Mass (1971)</t>
  </si>
  <si>
    <t>57.9</t>
  </si>
  <si>
    <t>Dichterliebe, op. 48 (1840)</t>
  </si>
  <si>
    <t>57.10</t>
  </si>
  <si>
    <t>Caity Gyorgy</t>
  </si>
  <si>
    <t>Gyorgy, Caity</t>
  </si>
  <si>
    <t>Flow My Tears (1600)</t>
  </si>
  <si>
    <t>58.3</t>
  </si>
  <si>
    <t>Maria Schneider</t>
  </si>
  <si>
    <t>Schneider, Maria</t>
  </si>
  <si>
    <t>Out There, from The Hunchback of Notre Dame (1996)</t>
  </si>
  <si>
    <t>Tel jour telle nuit (1937)</t>
  </si>
  <si>
    <t>1.4</t>
  </si>
  <si>
    <t>Copley, Katahj</t>
  </si>
  <si>
    <t>Weep You No More, Sad Fountains (1603)</t>
  </si>
  <si>
    <t>Willow Song (before 1650)</t>
  </si>
  <si>
    <t>3.4</t>
  </si>
  <si>
    <t>Miguel “Mike” Velarde</t>
  </si>
  <si>
    <t>“Mike” Velarde, Miguel</t>
  </si>
  <si>
    <t>The Only Home I Know, from Shenandoah (1988)</t>
  </si>
  <si>
    <t>Day, Kevin</t>
  </si>
  <si>
    <t>When Laura Smiles (1601)</t>
  </si>
  <si>
    <t>Thomas, Omar</t>
  </si>
  <si>
    <t>Bella Siccome un Angelo (1842)</t>
  </si>
  <si>
    <t>Dwayne Milburn</t>
  </si>
  <si>
    <t>Milburn, Dwayne S.</t>
  </si>
  <si>
    <t>Die Post from Winterreise (1827)</t>
  </si>
  <si>
    <t>Erstarrung from Winterreise (1827)</t>
  </si>
  <si>
    <t>Marques Garrett</t>
  </si>
  <si>
    <t>Garrett, Marques L. A.</t>
  </si>
  <si>
    <t>Frühlingstraum from Winterreise (1827)</t>
  </si>
  <si>
    <t>O'Regan, Tarik</t>
  </si>
  <si>
    <t>If I can't Love Her (1994)</t>
  </si>
  <si>
    <t>O Sainte Médaille... Avant de Quitter (1859)</t>
  </si>
  <si>
    <t>David F. Wilborn</t>
  </si>
  <si>
    <t>Wilborn, David F.</t>
  </si>
  <si>
    <t>Rivolgete a lui lo sguardo (1789)</t>
  </si>
  <si>
    <t>Simon, Carlos</t>
  </si>
  <si>
    <t>Sebben Crudele (1710)</t>
  </si>
  <si>
    <t>Ginastera, Alberto</t>
  </si>
  <si>
    <t>Some Enchanted Evening (1949)</t>
  </si>
  <si>
    <t>Velocities (1990)</t>
  </si>
  <si>
    <t>19.13</t>
  </si>
  <si>
    <t>Chin Cheng Lin</t>
  </si>
  <si>
    <t>Lin Chin Cheng</t>
  </si>
  <si>
    <t>First Sonata for Flute and Piano, H. 306 (1945)</t>
  </si>
  <si>
    <t>Bud Powell</t>
  </si>
  <si>
    <t>Powell, Bud</t>
  </si>
  <si>
    <t>Méditation from Thaïs (1894)</t>
  </si>
  <si>
    <t>Ray Bryant</t>
  </si>
  <si>
    <t>Bryant, Ray</t>
  </si>
  <si>
    <t>Meditation in D major, op. 32 (1891)</t>
  </si>
  <si>
    <t>Sonata in F major (1904)</t>
  </si>
  <si>
    <t>Harris, Stefon</t>
  </si>
  <si>
    <t>Cedar Walton</t>
  </si>
  <si>
    <t>Walton, Cedar</t>
  </si>
  <si>
    <t>Jon Hatamiya</t>
  </si>
  <si>
    <t>Hatamiya, Jon</t>
  </si>
  <si>
    <t>Hirokazu Fukushima</t>
  </si>
  <si>
    <t>Fukushima, Hirokazu</t>
  </si>
  <si>
    <t>23.7</t>
  </si>
  <si>
    <t>Junichi Masuda</t>
  </si>
  <si>
    <t>Masuda, Junichi</t>
  </si>
  <si>
    <t>Wayne Shorter</t>
  </si>
  <si>
    <t>Shorter, Wayne</t>
  </si>
  <si>
    <t>Sing Out My Soul (2020</t>
  </si>
  <si>
    <t>Brown, Clifford</t>
  </si>
  <si>
    <t>Jun Nagao</t>
  </si>
  <si>
    <t>Nagao, Jun</t>
  </si>
  <si>
    <t>Divertimento for Clarinet Quartet (1942)</t>
  </si>
  <si>
    <t>Junichi Murata</t>
  </si>
  <si>
    <t>Murata, Junichi</t>
  </si>
  <si>
    <t>Première Rhapsodie for Clarinet and Piano (1910)</t>
  </si>
  <si>
    <t>Sonata for Clarinet and Piano (1942)</t>
  </si>
  <si>
    <t>32.5</t>
  </si>
  <si>
    <t>Two Nursery Rhymes (1921)</t>
  </si>
  <si>
    <t>32.6</t>
  </si>
  <si>
    <t>Jobim, Antônio Carlos</t>
  </si>
  <si>
    <t>My Funny Valentine (1937)</t>
  </si>
  <si>
    <t>Nan-Pa Hong</t>
  </si>
  <si>
    <t>Hong Nan-Pa</t>
  </si>
  <si>
    <t>Bag's Groove (1952)</t>
  </si>
  <si>
    <t>Arturo Marquez</t>
  </si>
  <si>
    <t>Márquez, Arturo</t>
  </si>
  <si>
    <t>Dexterity (1947)</t>
  </si>
  <si>
    <t>Melody for C (1961)</t>
  </si>
  <si>
    <t>Ugetsu (Fantasy for D) (1963)</t>
  </si>
  <si>
    <t>Matters/Mind (2022)</t>
  </si>
  <si>
    <t>Kenny Kirkland</t>
  </si>
  <si>
    <t>Kirkland, Kenny</t>
  </si>
  <si>
    <t>Marimba Concerto No. 1 "One Love" (2019)</t>
  </si>
  <si>
    <t>Trevino, Ivan</t>
  </si>
  <si>
    <t>Allemande from Partita No. 2 (1717)</t>
  </si>
  <si>
    <t>Crystal Silence (1972)</t>
  </si>
  <si>
    <t>Monochromer Garten III (2011)</t>
  </si>
  <si>
    <t>Carmen Fantasie Brillante (1880)</t>
  </si>
  <si>
    <t>Kenny Garrett</t>
  </si>
  <si>
    <t>Garrett, Kenny</t>
  </si>
  <si>
    <t>Flute Concerto in D Major, K. 314 (1778)</t>
  </si>
  <si>
    <t>Santos, Giovanni</t>
  </si>
  <si>
    <t>Flute Sonata in E Minor, BWV 1034 (1723)</t>
  </si>
  <si>
    <t>43.6</t>
  </si>
  <si>
    <t>Parable for Solo Piccolo (1974)</t>
  </si>
  <si>
    <t>Cueto, Daniel</t>
  </si>
  <si>
    <t>Five Easy Dances for Woodwind Quintet (1956)</t>
  </si>
  <si>
    <t>Tadd Dameron</t>
  </si>
  <si>
    <t>Dameron, Tadd</t>
  </si>
  <si>
    <t>Piano Quartet no. 1 in g minor K. 478 (1785)</t>
  </si>
  <si>
    <t>Romance, Op. 43b (1872)</t>
  </si>
  <si>
    <t>Their Hearts Were Full of Spring (1957)</t>
  </si>
  <si>
    <t>Trio for clarinet, violin and piano (1932)</t>
  </si>
  <si>
    <t>Old Cape Cod (1957)</t>
  </si>
  <si>
    <t>Sonny Clark</t>
  </si>
  <si>
    <t>Clark, Sonny</t>
  </si>
  <si>
    <t>Flesh and Bone (2018)</t>
  </si>
  <si>
    <t>La regata veneziana (1878)</t>
  </si>
  <si>
    <t>54.6</t>
  </si>
  <si>
    <t>Over the Rainbow (1939)</t>
  </si>
  <si>
    <t>58.4</t>
  </si>
  <si>
    <t>Jones, Thad</t>
  </si>
  <si>
    <t>Presentation of the Rose from Der Rosenkavalier (1911)</t>
  </si>
  <si>
    <t>58.5</t>
  </si>
  <si>
    <t>Strayhorn, Billy</t>
  </si>
  <si>
    <t>58.6</t>
  </si>
  <si>
    <t>Roy Hangrove</t>
  </si>
  <si>
    <t>Hangrove, Roy</t>
  </si>
  <si>
    <t>Fats Waller</t>
  </si>
  <si>
    <t>Waller, Fats</t>
  </si>
  <si>
    <t>Bésame Mucho (1940)</t>
  </si>
  <si>
    <t>62.9</t>
  </si>
  <si>
    <t>Con amores, la mi madre (1921)</t>
  </si>
  <si>
    <t>62.10</t>
  </si>
  <si>
    <t>Gregory Porter</t>
  </si>
  <si>
    <t>Porter, Gregory</t>
  </si>
  <si>
    <t>I Feel Foolish (2022)</t>
  </si>
  <si>
    <t>1.5</t>
  </si>
  <si>
    <t>Nishimura, Cait</t>
  </si>
  <si>
    <t>Tempestad grande, amigo from Vendado es amor, no es ciego (1755)</t>
  </si>
  <si>
    <t>10.7</t>
  </si>
  <si>
    <t>Hye-Young Cho</t>
  </si>
  <si>
    <t>Cho Hye-Young</t>
  </si>
  <si>
    <t>The Ballad of Jane Doe from Ride the Cyclone (2008)</t>
  </si>
  <si>
    <t>10.8</t>
  </si>
  <si>
    <t>Tara Mack</t>
  </si>
  <si>
    <t>Mack, Tara</t>
  </si>
  <si>
    <t>Lately (1988)</t>
  </si>
  <si>
    <t>12.8</t>
  </si>
  <si>
    <t>Seo, Juri</t>
  </si>
  <si>
    <t>Back Bone (1965)</t>
  </si>
  <si>
    <t>12.9</t>
  </si>
  <si>
    <t>Passion Flower (1961)</t>
  </si>
  <si>
    <t>Circus (1949)</t>
  </si>
  <si>
    <t>Theresa Wong, cello</t>
  </si>
  <si>
    <t>Theresa Wong</t>
  </si>
  <si>
    <t>Wong, Theresa</t>
  </si>
  <si>
    <t>I Left My Heart In San Fransisco (1953)</t>
  </si>
  <si>
    <t>Ms. B.C. (1981)</t>
  </si>
  <si>
    <t>Roy Allan (1995)</t>
  </si>
  <si>
    <t>Abbey Lincoln</t>
  </si>
  <si>
    <t>Lincoln, Abbey</t>
  </si>
  <si>
    <t>Cinq mélodies populaires grecques (1904)</t>
  </si>
  <si>
    <t>Nourbakhsh, Niloufar</t>
  </si>
  <si>
    <t>Eichendorff-Lieder (1889)</t>
  </si>
  <si>
    <t>19.14</t>
  </si>
  <si>
    <t>Elfenlied (1888)</t>
  </si>
  <si>
    <t>Elena Ayodele Pinderhughes</t>
  </si>
  <si>
    <t>Ayodele Pinderhughes, Elena</t>
  </si>
  <si>
    <t>Faites-lui mes aveux, from Faust (1859)</t>
  </si>
  <si>
    <t>Kamala Sankaram</t>
  </si>
  <si>
    <t>Sankaram, Kamala</t>
  </si>
  <si>
    <t>Pur ti miro, from L’Incoronazione di Poppea (1651)</t>
  </si>
  <si>
    <t>Four Night Songs (1977)</t>
  </si>
  <si>
    <t>51.8</t>
  </si>
  <si>
    <t>A Cricket Sang and Set the Sun (2006)</t>
  </si>
  <si>
    <t>54.7</t>
  </si>
  <si>
    <t>Malika Kishino</t>
  </si>
  <si>
    <t>Kishino, Malika</t>
  </si>
  <si>
    <t>Cello Sonata (1948)</t>
  </si>
  <si>
    <t>57.11</t>
  </si>
  <si>
    <t>Consuelo Velázquez</t>
  </si>
  <si>
    <t>Velázquez, Consuelo</t>
  </si>
  <si>
    <t>Parable for Solo Piccolo (1973)</t>
  </si>
  <si>
    <t>58.7</t>
  </si>
  <si>
    <t>Pamela Baskin-Watson</t>
  </si>
  <si>
    <t>Baskin-Watson, Pamela</t>
  </si>
  <si>
    <t>Piano Quartet No. 1, KV 478 (1784)</t>
  </si>
  <si>
    <t>12.10</t>
  </si>
  <si>
    <t>Jordan Hendrickson '25</t>
  </si>
  <si>
    <t>Hendrickson, Jordan</t>
  </si>
  <si>
    <t>Sonata for Flute and Piano, op. 14 (1961)</t>
  </si>
  <si>
    <t>What Are the Odds? (2025)</t>
  </si>
  <si>
    <t>10.9</t>
  </si>
  <si>
    <t>Falling Up the Stairs (2021)</t>
  </si>
  <si>
    <t>Carion Wind Quintet</t>
  </si>
  <si>
    <t>FOCM</t>
  </si>
  <si>
    <t>Parto, parto, ma tu, ben mio from La Clemenza di Tito, KV 621 (1791)</t>
  </si>
  <si>
    <t>Julianna Meneses '25</t>
  </si>
  <si>
    <t>Meneses, Julianna</t>
  </si>
  <si>
    <t>Piano Concerto in A minor, op. 54 (1845)</t>
  </si>
  <si>
    <t>Symphony No. 5 in C minor, op. 67 (1804–1808)</t>
  </si>
  <si>
    <t>Skylar Warren '25</t>
  </si>
  <si>
    <t>Romance (2025)</t>
  </si>
  <si>
    <t>Traditional American, adapted from Bach</t>
  </si>
  <si>
    <t>Traditional - American Hymn</t>
  </si>
  <si>
    <t>Lucky Southern (1972)</t>
  </si>
  <si>
    <t>Miranda Duarte '26</t>
  </si>
  <si>
    <t>Wishing Well (2001)</t>
  </si>
  <si>
    <t>Alice in Wonderland (1951)</t>
  </si>
  <si>
    <t>Bluesette (1962)</t>
  </si>
  <si>
    <t>Double Violin Concerto in D minor, BWV 1043 (1718–1720)</t>
  </si>
  <si>
    <t>Route 66 (1946)</t>
  </si>
  <si>
    <t>There is No Greater Love (1936)</t>
  </si>
  <si>
    <t>Honeysuckle Rose (1929)</t>
  </si>
  <si>
    <t>Little Sunflower (1967)</t>
  </si>
  <si>
    <t>39.9</t>
  </si>
  <si>
    <t>Iterations (2025)</t>
  </si>
  <si>
    <t>39.10</t>
  </si>
  <si>
    <t>Jordan Wier '25</t>
  </si>
  <si>
    <t>If I had You (1928)</t>
  </si>
  <si>
    <t>Painted on Canvas (2012)</t>
  </si>
  <si>
    <t>Clarinet Concerto in A major, K. 622 (1791)</t>
  </si>
  <si>
    <t>Fantasiestücke, Op. 73 (1849)</t>
  </si>
  <si>
    <t>45.4</t>
  </si>
  <si>
    <t>Trio for clarinet, violin, and piano (1932)</t>
  </si>
  <si>
    <t>45.5</t>
  </si>
  <si>
    <t>The Yellow Wallpaper (2025)</t>
  </si>
  <si>
    <t>45.6</t>
  </si>
  <si>
    <t>Divertimento (1956)</t>
  </si>
  <si>
    <t>Bergen Finley '25</t>
  </si>
  <si>
    <t>Finley, Bergen</t>
  </si>
  <si>
    <t>Piano Trio No.6 in E-Flat Major, Op.70 No.2 (1808)</t>
  </si>
  <si>
    <t>6 Pieces for 3 Bassoons (1883)</t>
  </si>
  <si>
    <t>51.9</t>
  </si>
  <si>
    <t>Elegy for Clarinet (2025)</t>
  </si>
  <si>
    <t>58.8</t>
  </si>
  <si>
    <t>Bergen FInley '25</t>
  </si>
  <si>
    <t>Bass Clarinet Trio No. 1 (2025)</t>
  </si>
  <si>
    <t>60.7</t>
  </si>
  <si>
    <t>Mélodie for solo piano (2025)</t>
  </si>
  <si>
    <t>Marcus Rudes '27</t>
  </si>
  <si>
    <t>Moonlit Dance (2025)</t>
  </si>
  <si>
    <t>62.11</t>
  </si>
  <si>
    <t>Don Parker '26</t>
  </si>
  <si>
    <t>Nocturne (2025)</t>
  </si>
  <si>
    <t>66.3</t>
  </si>
  <si>
    <t>Kamron Qasimi '27</t>
  </si>
  <si>
    <t>Quartet for Baritone Saxophones (2025)</t>
  </si>
  <si>
    <t>66.4</t>
  </si>
  <si>
    <t>Vanessa Lopez '25</t>
  </si>
  <si>
    <t>Lopez, Vanessa</t>
  </si>
  <si>
    <t>Four Naught (2025)</t>
  </si>
  <si>
    <t>66.5</t>
  </si>
  <si>
    <t>Connor Hsu '28</t>
  </si>
  <si>
    <t>Hsu, Connor</t>
  </si>
  <si>
    <t>Die Zigeunerin (1889)</t>
  </si>
  <si>
    <t>66.6</t>
  </si>
  <si>
    <t>Enfant si j'étais roi (1844)</t>
  </si>
  <si>
    <t>66.7</t>
  </si>
  <si>
    <t>Er Ist's (1888)</t>
  </si>
  <si>
    <t>Strider Duo &amp; Pacific Faculty</t>
  </si>
  <si>
    <t>Joanna Mattrey, Steven Long</t>
  </si>
  <si>
    <t>Mattrey, Joanna; Long, Steven</t>
  </si>
  <si>
    <t>Le charme (1879)</t>
  </si>
  <si>
    <t>12.11</t>
  </si>
  <si>
    <t>Manuel Esperón, Ernesto Cortazar, Lorenzo Barcelata</t>
  </si>
  <si>
    <t>Esperòn, Manuel; Cortazar, Ernsesto; Barcelata, Lorenzo</t>
  </si>
  <si>
    <t>Le colibri (1882)</t>
  </si>
  <si>
    <t>39.11</t>
  </si>
  <si>
    <t>Miranda Duarte '26, Bergen Finley '25</t>
  </si>
  <si>
    <t>Duarte, Miranda; Finley, Bergen</t>
  </si>
  <si>
    <t>Mausfallen-sprüchlein (1882)</t>
  </si>
  <si>
    <t>44.12</t>
  </si>
  <si>
    <t>Brooke Maxwell, Jacob Richmond</t>
  </si>
  <si>
    <t>Maxwell, Brooke; Richmond, Jacob</t>
  </si>
  <si>
    <t>Oh quand je dors (1842)</t>
  </si>
  <si>
    <t>56.6</t>
  </si>
  <si>
    <t>Claire Rothrock, Milton Yakus, and Allen Jeffrey; Arr. Russ Foris</t>
  </si>
  <si>
    <t>Rothrock, Claire; Yakus, Milton; Jeffrey, Allen</t>
  </si>
  <si>
    <t>Piangero la sorte mia (1724)</t>
  </si>
  <si>
    <t>57.12</t>
  </si>
  <si>
    <t>Sweeter Than Roses (1976)</t>
  </si>
  <si>
    <t>62.12</t>
  </si>
  <si>
    <t>Victor Young, Wayne King, Egbert Van Alstyne</t>
  </si>
  <si>
    <t>Young, Victor; King, Wayne; Van Alstyne, Egbert</t>
  </si>
  <si>
    <t>Verschwiegene Liebe (1888)</t>
  </si>
  <si>
    <t>62.13</t>
  </si>
  <si>
    <t>Jimmy Campbell, Reg Connelly</t>
  </si>
  <si>
    <t>Campell, Jimmy; Connelly, Reg</t>
  </si>
  <si>
    <t>Carousel</t>
  </si>
  <si>
    <t>3-1</t>
  </si>
  <si>
    <t>3-2</t>
  </si>
  <si>
    <t>Ustvolskaya, Galina</t>
  </si>
  <si>
    <t>3-3</t>
  </si>
  <si>
    <t>6-1</t>
  </si>
  <si>
    <t>Godoy, Mario</t>
  </si>
  <si>
    <t>6-2</t>
  </si>
  <si>
    <t>Gordon, Michael</t>
  </si>
  <si>
    <t>6-3</t>
  </si>
  <si>
    <t>Cetilia, Laura</t>
  </si>
  <si>
    <t>6-4</t>
  </si>
  <si>
    <t>Pluta, Sam</t>
  </si>
  <si>
    <t>6-5</t>
  </si>
  <si>
    <t>Conklin, Andrew</t>
  </si>
  <si>
    <t>6-6</t>
  </si>
  <si>
    <t>5-1</t>
  </si>
  <si>
    <t>5-2</t>
  </si>
  <si>
    <t>Bernstein, Elmer</t>
  </si>
  <si>
    <t>5-3</t>
  </si>
  <si>
    <t>5-4</t>
  </si>
  <si>
    <t>Murcia Bedoya, Mauricio</t>
  </si>
  <si>
    <t>5-5</t>
  </si>
  <si>
    <t>4-1</t>
  </si>
  <si>
    <t>4-2</t>
  </si>
  <si>
    <t>Klein, Gideon</t>
  </si>
  <si>
    <t>4-3</t>
  </si>
  <si>
    <t>Haydn, Joseph</t>
  </si>
  <si>
    <t>4-4</t>
  </si>
  <si>
    <t>Roland-Manuel, Alexis</t>
  </si>
  <si>
    <t>Nelson, Oliver</t>
  </si>
  <si>
    <t>Battiste, Harold</t>
  </si>
  <si>
    <t>Perilliat, Nat</t>
  </si>
  <si>
    <t>Walker, George</t>
  </si>
  <si>
    <t>Corigliano, John</t>
  </si>
  <si>
    <t>Tartini, Giuseppe</t>
  </si>
  <si>
    <t>Crawford Seeger, Ruth</t>
  </si>
  <si>
    <t>Mazzoli, Missy</t>
  </si>
  <si>
    <t>7-1</t>
  </si>
  <si>
    <t>7-2</t>
  </si>
  <si>
    <t>Hadar, Yosef</t>
  </si>
  <si>
    <t>7-3</t>
  </si>
  <si>
    <t>7-4</t>
  </si>
  <si>
    <t>Kirchner, Shawn</t>
  </si>
  <si>
    <t>7-5</t>
  </si>
  <si>
    <t>7-6</t>
  </si>
  <si>
    <t>7-7</t>
  </si>
  <si>
    <t>2-1</t>
  </si>
  <si>
    <t>2-2</t>
  </si>
  <si>
    <t>Joel, Billy</t>
  </si>
  <si>
    <t>Burke/Paul F. Webster, Sonny</t>
  </si>
  <si>
    <t>Guðmundsdóttir, Björk</t>
  </si>
  <si>
    <t>Marsalis, Ellis</t>
  </si>
  <si>
    <t>del Aguila, Miguel</t>
  </si>
  <si>
    <t>Brown, Jelani</t>
  </si>
  <si>
    <t>Hernández, José</t>
  </si>
  <si>
    <t>Holst, Gustav</t>
  </si>
  <si>
    <t>Camphouse, Mark</t>
  </si>
  <si>
    <t>Camps/Emilio Martínez, Martín</t>
  </si>
  <si>
    <t>Kay, Ulysses</t>
  </si>
  <si>
    <t>Burns/Kyle Bruckmann, Christopher</t>
  </si>
  <si>
    <t>Cox, Jessie</t>
  </si>
  <si>
    <t>Reason, Dana</t>
  </si>
  <si>
    <t>Churchill, Frank</t>
  </si>
  <si>
    <t>Humperdinck, Engelbert</t>
  </si>
  <si>
    <t>Smalls, Charlie</t>
  </si>
  <si>
    <t>Bicks, Jenny</t>
  </si>
  <si>
    <t>Newman, Randy</t>
  </si>
  <si>
    <t>Franco, Germaine</t>
  </si>
  <si>
    <t>Cabello, Camila</t>
  </si>
  <si>
    <t>Ortiz, Gabriela</t>
  </si>
  <si>
    <t>mignone, Francisco</t>
  </si>
  <si>
    <t>Condon, Bill</t>
  </si>
  <si>
    <t>Harris, Scott</t>
  </si>
  <si>
    <t>Hart, Lorenz</t>
  </si>
  <si>
    <t>Lawrence, Jack</t>
  </si>
  <si>
    <t>Golson, Benny</t>
  </si>
  <si>
    <t>Howard, Bart</t>
  </si>
  <si>
    <t>Koshinski, Gene</t>
  </si>
  <si>
    <t>Beall, Andrew</t>
  </si>
  <si>
    <t>Carroll, Nansi</t>
  </si>
  <si>
    <t>Archer, Kimberly</t>
  </si>
  <si>
    <t>Bryant, Steven</t>
  </si>
  <si>
    <t>8-1</t>
  </si>
  <si>
    <t>Smith III, Walter</t>
  </si>
  <si>
    <t>8-2</t>
  </si>
  <si>
    <t>8-3</t>
  </si>
  <si>
    <t>8-4</t>
  </si>
  <si>
    <t>8-5</t>
  </si>
  <si>
    <t>Brown, Donald</t>
  </si>
  <si>
    <t>8-6</t>
  </si>
  <si>
    <t>8-7</t>
  </si>
  <si>
    <t>8-8</t>
  </si>
  <si>
    <t>Summer, Mark</t>
  </si>
  <si>
    <t>Arensky, Anton</t>
  </si>
  <si>
    <t>Kidjo, Angélique</t>
  </si>
  <si>
    <t>Ali-Zadeh, Franghiz</t>
  </si>
  <si>
    <t>Williams, Evan</t>
  </si>
  <si>
    <t>Clayton a.k.a. DJ /rupture, Jace</t>
  </si>
  <si>
    <t>Lancaster, Yaz</t>
  </si>
  <si>
    <t>10-1</t>
  </si>
  <si>
    <t>10-10</t>
  </si>
  <si>
    <t>10-2</t>
  </si>
  <si>
    <t>Stephenson, James</t>
  </si>
  <si>
    <t>10-3</t>
  </si>
  <si>
    <t>10-4</t>
  </si>
  <si>
    <t>Hauser, Joshua</t>
  </si>
  <si>
    <t>10-5</t>
  </si>
  <si>
    <t>Prado, Pérez</t>
  </si>
  <si>
    <t>10-6</t>
  </si>
  <si>
    <t>Dukas, Paul</t>
  </si>
  <si>
    <t>10-7</t>
  </si>
  <si>
    <t>10-8</t>
  </si>
  <si>
    <t>Zimmer, Hans</t>
  </si>
  <si>
    <t>10-9</t>
  </si>
  <si>
    <t>Naigus, James</t>
  </si>
  <si>
    <t>Janáček, Leoš</t>
  </si>
  <si>
    <t>Cionco, Richard</t>
  </si>
  <si>
    <t>Mahler, Alma</t>
  </si>
  <si>
    <t>Montano, Damian</t>
  </si>
  <si>
    <t>Blumer, Theodor</t>
  </si>
  <si>
    <t>Raphael, Günter</t>
  </si>
  <si>
    <t>Wallace, Vince</t>
  </si>
  <si>
    <t>Shaw Cohen, Nell</t>
  </si>
  <si>
    <t>Åstrand, Anders</t>
  </si>
  <si>
    <t>Jackson, Gregory</t>
  </si>
  <si>
    <t>Barber, Samuel</t>
  </si>
  <si>
    <t>Kountz, Theodore</t>
  </si>
  <si>
    <t>Bernard, Felix</t>
  </si>
  <si>
    <t>Adam, Adolphe</t>
  </si>
  <si>
    <t>Pfautsch, Lloyd</t>
  </si>
  <si>
    <t>Sleeth, Natalie</t>
  </si>
  <si>
    <t>Laitman, Lori</t>
  </si>
  <si>
    <t>Sarti, Giuseppe</t>
  </si>
  <si>
    <t>Strauss, Franz</t>
  </si>
  <si>
    <t>Maslanka, David</t>
  </si>
  <si>
    <t>1-1</t>
  </si>
  <si>
    <t>1-2</t>
  </si>
  <si>
    <t>1-3</t>
  </si>
  <si>
    <t>1-4</t>
  </si>
  <si>
    <t>2-3</t>
  </si>
  <si>
    <t>2-4</t>
  </si>
  <si>
    <t>2-5</t>
  </si>
  <si>
    <t>3-4</t>
  </si>
  <si>
    <t>3-5</t>
  </si>
  <si>
    <t>4-10</t>
  </si>
  <si>
    <t>4-11</t>
  </si>
  <si>
    <t>4-12</t>
  </si>
  <si>
    <t>4-13</t>
  </si>
  <si>
    <t>4-14</t>
  </si>
  <si>
    <t>4-15</t>
  </si>
  <si>
    <t>4-16</t>
  </si>
  <si>
    <t>4-5</t>
  </si>
  <si>
    <t>4-6</t>
  </si>
  <si>
    <t>4-7</t>
  </si>
  <si>
    <t>4-8</t>
  </si>
  <si>
    <t>4-9</t>
  </si>
  <si>
    <t>5-10</t>
  </si>
  <si>
    <t>5-11</t>
  </si>
  <si>
    <t>5-6</t>
  </si>
  <si>
    <t>5-7</t>
  </si>
  <si>
    <t>5-8</t>
  </si>
  <si>
    <t>5-9</t>
  </si>
  <si>
    <t>9-1</t>
  </si>
  <si>
    <t>9-2</t>
  </si>
  <si>
    <t>9-3</t>
  </si>
  <si>
    <t>9-4</t>
  </si>
  <si>
    <t>9-5</t>
  </si>
  <si>
    <t>9-6</t>
  </si>
  <si>
    <t>9-7</t>
  </si>
  <si>
    <t>11-1</t>
  </si>
  <si>
    <t>11-2</t>
  </si>
  <si>
    <t>11-3</t>
  </si>
  <si>
    <t>12-1</t>
  </si>
  <si>
    <t>12-2</t>
  </si>
  <si>
    <t>12-3</t>
  </si>
  <si>
    <t>12-4</t>
  </si>
  <si>
    <t>12-5</t>
  </si>
  <si>
    <t>12-6</t>
  </si>
  <si>
    <t>12-7</t>
  </si>
  <si>
    <t>12-8</t>
  </si>
  <si>
    <t>Böhme, Oskar</t>
  </si>
  <si>
    <t>Assad, Clarice</t>
  </si>
  <si>
    <t>Montero, Claudia</t>
  </si>
  <si>
    <t>Gjeilo, Ola</t>
  </si>
  <si>
    <t>Todd, Will</t>
  </si>
  <si>
    <t>Ticheli, Frank</t>
  </si>
  <si>
    <t>Woo, Hyo-Won</t>
  </si>
  <si>
    <t>Dubois, Pierre Max</t>
  </si>
  <si>
    <t>Demersseman, Jules</t>
  </si>
  <si>
    <t>Kernohan, Linda</t>
  </si>
  <si>
    <t>Calleja, Jorge</t>
  </si>
  <si>
    <t>Kinkelder, Dolf de</t>
  </si>
  <si>
    <t>Shaw, Caroline</t>
  </si>
  <si>
    <t>Morricone, Ennio</t>
  </si>
  <si>
    <t>Bédard, Denis</t>
  </si>
  <si>
    <t>Ishikawa, Ryota</t>
  </si>
  <si>
    <t>Terrazas, Wilfrido</t>
  </si>
  <si>
    <t>Killmayer, Wilhelm</t>
  </si>
  <si>
    <t>Coberly, Grace</t>
  </si>
  <si>
    <t>Nombeko, Nailah</t>
  </si>
  <si>
    <t>Mossman, Michael Philip</t>
  </si>
  <si>
    <t>Curtin, Hoyt</t>
  </si>
  <si>
    <t>Douglas, Bill</t>
  </si>
  <si>
    <t>Fung, Vivian</t>
  </si>
  <si>
    <t>Ibert, Jacques</t>
  </si>
  <si>
    <t>Elliot, Willard</t>
  </si>
  <si>
    <t>Holst, Eduard</t>
  </si>
  <si>
    <t>Engelmann, Hans</t>
  </si>
  <si>
    <t>Markowski, Michael</t>
  </si>
  <si>
    <t>Allen, Thomas</t>
  </si>
  <si>
    <t>Turley, Alex</t>
  </si>
  <si>
    <t>Charles, Ernest</t>
  </si>
  <si>
    <t>Brown, Charles Samuel</t>
  </si>
  <si>
    <t>Montsalvatge, Xavier</t>
  </si>
  <si>
    <t>Menotti, Gian Carlo</t>
  </si>
  <si>
    <t>Mechem, Kirke</t>
  </si>
  <si>
    <t>Schreck, Gustav</t>
  </si>
  <si>
    <t>Verhelst, Steven</t>
  </si>
  <si>
    <t>Másson, Áskell</t>
  </si>
  <si>
    <t>Sprague, Peter</t>
  </si>
  <si>
    <t>Elling, Kurt</t>
  </si>
  <si>
    <t>Kendrick, Johnaye</t>
  </si>
  <si>
    <t>Linnemann, Maria</t>
  </si>
  <si>
    <t>Barrios, Agustin</t>
  </si>
  <si>
    <t>Santos, Jerry</t>
  </si>
  <si>
    <t>Peterson, Jeff</t>
  </si>
  <si>
    <t>Moore, Matt</t>
  </si>
  <si>
    <t>Reich, Steve</t>
  </si>
  <si>
    <t>Lusitano, Vicente</t>
  </si>
  <si>
    <t>Loggins-Hull, Allison</t>
  </si>
  <si>
    <t>Genese, Michael</t>
  </si>
  <si>
    <t>Schulmeister, Kathryn</t>
  </si>
  <si>
    <t>Okpebholo, Shawn E.</t>
  </si>
  <si>
    <t>Scelsi, Giacinto</t>
  </si>
  <si>
    <t>Hauta-aho, Teppo</t>
  </si>
  <si>
    <t>Weber, Carl Maria von</t>
  </si>
  <si>
    <t>Quantz, Johann Joachim</t>
  </si>
  <si>
    <t>Pennequin, J.G.</t>
  </si>
  <si>
    <t>Pierné, Gabriel</t>
  </si>
  <si>
    <t>Ninmer, Scott</t>
  </si>
  <si>
    <t>Strazzeri, Frank</t>
  </si>
  <si>
    <t>Hodges, Johnny</t>
  </si>
  <si>
    <t>Carmichael, Hoagy</t>
  </si>
  <si>
    <t>Davis, Miles</t>
  </si>
  <si>
    <t>Brubeck, Dave</t>
  </si>
  <si>
    <t>Rollins, Sonny</t>
  </si>
  <si>
    <t>Halvorsen, Johan</t>
  </si>
  <si>
    <t>Kreutzer, Rodolphe</t>
  </si>
  <si>
    <t>Kuhlau, Friedrich</t>
  </si>
  <si>
    <t>Kent, Walter</t>
  </si>
  <si>
    <t>Sakamoto, Ryuichi</t>
  </si>
  <si>
    <t>Carter, Elliott</t>
  </si>
  <si>
    <t>Knific, Tom</t>
  </si>
  <si>
    <t>Candillari, Daniela</t>
  </si>
  <si>
    <t>Shove, Michael</t>
  </si>
  <si>
    <t>Yi, Chen</t>
  </si>
  <si>
    <t>MacMillan, James</t>
  </si>
  <si>
    <t>Smith, Todd</t>
  </si>
  <si>
    <t>Kirkpatrick, William J.</t>
  </si>
  <si>
    <t>Johnson, Victor C.</t>
  </si>
  <si>
    <t>Teng, Vienna</t>
  </si>
  <si>
    <t>Derthick, Thomas</t>
  </si>
  <si>
    <t>Gould, Morton</t>
  </si>
  <si>
    <t>Rubén, Fuentes,</t>
  </si>
  <si>
    <t>Alex and Zaret, Hy, North,</t>
  </si>
  <si>
    <t>López Bellido, Jimmy</t>
  </si>
  <si>
    <t>Shekhar, Nina</t>
  </si>
  <si>
    <t>Budini, Rolando</t>
  </si>
  <si>
    <t>Robert, Lucie</t>
  </si>
  <si>
    <t>Bjella, Rick</t>
  </si>
  <si>
    <t>Basler, Paul</t>
  </si>
  <si>
    <t>Pinkston, Russell</t>
  </si>
  <si>
    <t>12-10</t>
  </si>
  <si>
    <t>12-11</t>
  </si>
  <si>
    <t>12-12</t>
  </si>
  <si>
    <t>Osborne, Willson</t>
  </si>
  <si>
    <t>12-9</t>
  </si>
  <si>
    <t>Neri-Mancilla, Juan</t>
  </si>
  <si>
    <t>Alberto Aguilera, Valadez,</t>
  </si>
  <si>
    <t>Puckett, Joel</t>
  </si>
  <si>
    <t>Galante, Rossano</t>
  </si>
  <si>
    <t>Dello Joio, Norman</t>
  </si>
  <si>
    <t>Schulhoff, Erwin</t>
  </si>
  <si>
    <t>Yun, Isang</t>
  </si>
  <si>
    <t>Karg-Elert, Sigfrid</t>
  </si>
  <si>
    <t>Izarra, Adina</t>
  </si>
  <si>
    <t>Paul, Leah</t>
  </si>
  <si>
    <t>Tôn-Thât, Tiêt,</t>
  </si>
  <si>
    <t>Tansman, Alexandre</t>
  </si>
  <si>
    <t>Cutler, Zoey</t>
  </si>
  <si>
    <t>Hao He and Gang Chen, Zhan</t>
  </si>
  <si>
    <t>Han, Charlotte</t>
  </si>
  <si>
    <t>Corelli, Arcangelo</t>
  </si>
  <si>
    <t>Calderazzo, Joey</t>
  </si>
  <si>
    <t>Marsalis, Wynton</t>
  </si>
  <si>
    <t>Maier, Amanda</t>
  </si>
  <si>
    <t>Antonio Solís, Marco</t>
  </si>
  <si>
    <t>Bartók, Béla</t>
  </si>
  <si>
    <t>Baumann, Hermann</t>
  </si>
  <si>
    <t>Gillie, Gina</t>
  </si>
  <si>
    <t>Danzi, Franz</t>
  </si>
  <si>
    <t>Pedregon, Gianna</t>
  </si>
  <si>
    <t>Ellis, Herb</t>
  </si>
  <si>
    <t>Childs, Billy</t>
  </si>
  <si>
    <t>Taffanel, Paul</t>
  </si>
  <si>
    <t>Liaw, Grace</t>
  </si>
  <si>
    <t>Greer, Jesse</t>
  </si>
  <si>
    <t>Andersen, Joachim</t>
  </si>
  <si>
    <t>Clarke, Ian</t>
  </si>
  <si>
    <t>Sinigaglia, Leone</t>
  </si>
  <si>
    <t>Wilder, Alec</t>
  </si>
  <si>
    <t>Rosner, Graeme</t>
  </si>
  <si>
    <t>1</t>
  </si>
  <si>
    <t>Damase, Jean-Michel</t>
  </si>
  <si>
    <t>Gates, Dorothy</t>
  </si>
  <si>
    <t>Rosauro, Ney</t>
  </si>
  <si>
    <t>Mangani, Michele</t>
  </si>
  <si>
    <t>Bergamo, John</t>
  </si>
  <si>
    <t>Bergman, Katherine</t>
  </si>
  <si>
    <t>Feece, Logan</t>
  </si>
  <si>
    <t>Bernofsky, Lauren</t>
  </si>
  <si>
    <t>Parker, Donald</t>
  </si>
  <si>
    <t>Musgrave, Thea</t>
  </si>
  <si>
    <t>Andres, Timo</t>
  </si>
  <si>
    <t>Ishikawa, Jun</t>
  </si>
  <si>
    <t>Kearns, Ann</t>
  </si>
  <si>
    <t>McHugh, Jimmy</t>
  </si>
  <si>
    <t>9-8</t>
  </si>
  <si>
    <t>Garner, Erroll</t>
  </si>
  <si>
    <t>9-9</t>
  </si>
  <si>
    <t>Heisler and Zina Goldrich, Marcy</t>
  </si>
  <si>
    <t>Tcherepnin, Alexander</t>
  </si>
  <si>
    <t>Sibelius, Jean</t>
  </si>
  <si>
    <t>Siragusa, Daniel</t>
  </si>
  <si>
    <t>Fuller, Curtis</t>
  </si>
  <si>
    <t>Kaper, Bronisław</t>
  </si>
  <si>
    <t>Machado, Reyna</t>
  </si>
  <si>
    <t>Bonilla, Edwin</t>
  </si>
  <si>
    <t>Piston, Walter</t>
  </si>
  <si>
    <t>Simon and Marsha Norman, Lucy</t>
  </si>
  <si>
    <t>Ferenz, Amber</t>
  </si>
  <si>
    <t>Kitajima, Toru</t>
  </si>
  <si>
    <t>Peskin, Vladimir</t>
  </si>
  <si>
    <t>Bellini, Vincenzo</t>
  </si>
  <si>
    <t>Argento, Dominick</t>
  </si>
  <si>
    <t>von Schleicher-Krähmer, Caroline</t>
  </si>
  <si>
    <t>Chin, Unsuk</t>
  </si>
  <si>
    <t>Legrenzi, Giovanni</t>
  </si>
  <si>
    <t>Giddens, Rhiannon</t>
  </si>
  <si>
    <t>Mcnair, Jonathan</t>
  </si>
  <si>
    <t>Adler, Samuel</t>
  </si>
  <si>
    <t>Wallace, David</t>
  </si>
  <si>
    <t>Frackenpohl, Arthur</t>
  </si>
  <si>
    <t>Galindo, Gilbert</t>
  </si>
  <si>
    <t>Chamberlain, Nicole</t>
  </si>
  <si>
    <t>Eyechenne, Marc</t>
  </si>
  <si>
    <t>Daniel Hui</t>
  </si>
  <si>
    <t>Linda Oh</t>
  </si>
  <si>
    <t>Oh, Linda May Han</t>
  </si>
  <si>
    <t>Joshua Gutierrez</t>
  </si>
  <si>
    <t>Abigail Van de Water</t>
  </si>
  <si>
    <t>Herschel, William</t>
  </si>
  <si>
    <t>Fuchs, Robert</t>
  </si>
  <si>
    <t>Kruisbrink, AnneNe</t>
  </si>
  <si>
    <t>Sanders, Nick</t>
  </si>
  <si>
    <t>Boulanger, Nadia</t>
  </si>
  <si>
    <t>Kenyatta, Kamau</t>
  </si>
  <si>
    <t>Robin Bisho</t>
  </si>
  <si>
    <t>Kraft, William</t>
  </si>
  <si>
    <t>Freicher, Jan</t>
  </si>
  <si>
    <t>Kamstra, Darin</t>
  </si>
  <si>
    <t>Chu, Arnor</t>
  </si>
  <si>
    <t>Miramontes and Neves</t>
  </si>
  <si>
    <t>Horton, Emily</t>
  </si>
  <si>
    <t>Gesualdo, Carlo</t>
  </si>
  <si>
    <t>Pryor, Arthur</t>
  </si>
  <si>
    <t>Fujikura, Dai</t>
  </si>
  <si>
    <t>Hsieh, Durwynne</t>
  </si>
  <si>
    <t>Berlioz, Hector</t>
  </si>
  <si>
    <t>Bonds, Margaret</t>
  </si>
  <si>
    <t>Chopin, Frederic</t>
  </si>
  <si>
    <t>Burchard, Richard</t>
  </si>
  <si>
    <t>Dilworth, Rollo</t>
  </si>
  <si>
    <t>Smallwood, Richard</t>
  </si>
  <si>
    <t>Hazzard, Matthew Lyon</t>
  </si>
  <si>
    <t>Hagenberg, Elaine</t>
  </si>
  <si>
    <t>Sabine Klein</t>
  </si>
  <si>
    <t>Feuchtwanger, Peter</t>
  </si>
  <si>
    <t>Jordan Bell Souza</t>
  </si>
  <si>
    <t>Pacific Wind Bands with Kevin Bobo</t>
  </si>
  <si>
    <t>Syler, James</t>
  </si>
  <si>
    <t>Blackshaw, Jodie</t>
  </si>
  <si>
    <t>Bobo, Kevin</t>
  </si>
  <si>
    <t>Hassina Torres</t>
  </si>
  <si>
    <t>Colgrass, Michael</t>
  </si>
  <si>
    <t>Novotney, Eugene</t>
  </si>
  <si>
    <t>Zubow, Zach</t>
  </si>
  <si>
    <t>Shiner, Kristen</t>
  </si>
  <si>
    <t>Brown, Keith</t>
  </si>
  <si>
    <t>Williams, James</t>
  </si>
  <si>
    <t>Sadie Glass with guest artis Natalie Douglass Grana</t>
  </si>
  <si>
    <t>Humphries, John</t>
  </si>
  <si>
    <t>Rose, William</t>
  </si>
  <si>
    <t>Nelson, Laura</t>
  </si>
  <si>
    <t>Maggio, Robert</t>
  </si>
  <si>
    <t>Dietz, Brett William</t>
  </si>
  <si>
    <t>Hennies, Sarah</t>
  </si>
  <si>
    <t>Netzer, Osnat</t>
  </si>
  <si>
    <t>Kylie Ward</t>
  </si>
  <si>
    <t>Payton, Nicholas</t>
  </si>
  <si>
    <t>Manzanero, Armando</t>
  </si>
  <si>
    <t>McBride, Christian</t>
  </si>
  <si>
    <t>Ghonima, Marwan</t>
  </si>
  <si>
    <t>Lewis, Victor</t>
  </si>
  <si>
    <t>Alm, Jan</t>
  </si>
  <si>
    <t>Dresser, Mark</t>
  </si>
  <si>
    <t>Mateo Ruiz</t>
  </si>
  <si>
    <t>Fischer, Claire</t>
  </si>
  <si>
    <t>Emma Northcutt</t>
  </si>
  <si>
    <t>Huey Chan</t>
  </si>
  <si>
    <t>Andie Reposa</t>
  </si>
  <si>
    <t>Kelly, Sherman</t>
  </si>
  <si>
    <t>Katzman, Theo</t>
  </si>
  <si>
    <t>Crussell, Bernhard</t>
  </si>
  <si>
    <t>Danilo Mezzadri</t>
  </si>
  <si>
    <t>Hahn, Reynaldo</t>
  </si>
  <si>
    <t>Draganski, Donald</t>
  </si>
  <si>
    <t>Lacerda, Osvaldo</t>
  </si>
  <si>
    <t>Zaninelli, Luigi</t>
  </si>
  <si>
    <t>Lillios, Elainie</t>
  </si>
  <si>
    <t>Charles, Orlan</t>
  </si>
  <si>
    <t>Ahbez, Eden</t>
  </si>
  <si>
    <t>Hannah Estrella</t>
  </si>
  <si>
    <t>Agrell, Jeffrey</t>
  </si>
  <si>
    <t>Braxton, Anthony</t>
  </si>
  <si>
    <t>Apollo Mitchell</t>
  </si>
  <si>
    <t>Schmitt, Florent</t>
  </si>
  <si>
    <t>Miroshnikov, Oleg</t>
  </si>
  <si>
    <t>Mia Janosik and Michael Meggenney</t>
  </si>
  <si>
    <t>Silver, Horace</t>
  </si>
  <si>
    <t>Aldana, Melissa</t>
  </si>
  <si>
    <t>Miller, Mulgrew</t>
  </si>
  <si>
    <t>Horta, Toninho</t>
  </si>
  <si>
    <t>Igor Veligan</t>
  </si>
  <si>
    <t>Cassey, Sara</t>
  </si>
  <si>
    <t>Jordan Yang</t>
  </si>
  <si>
    <t>Jamie Lue</t>
  </si>
  <si>
    <t>Desportes, Yvonne</t>
  </si>
  <si>
    <t>Eilish, Billie</t>
  </si>
  <si>
    <t>Sunshine, Marion</t>
  </si>
  <si>
    <t>Dorough, Bob</t>
  </si>
  <si>
    <t>Metheny, Pat</t>
  </si>
  <si>
    <t>Nyro, Laura</t>
  </si>
  <si>
    <t>Kyle Chang</t>
  </si>
  <si>
    <t>Guastavino, Carlos</t>
  </si>
  <si>
    <t>Hargrove, Roy</t>
  </si>
  <si>
    <t>Tabbaa, Ealaph</t>
  </si>
  <si>
    <t>Dorham, Kenny</t>
  </si>
  <si>
    <t>Bobby Singh &amp; Jessica Jenkins</t>
  </si>
  <si>
    <t>Hulett, Samson</t>
  </si>
  <si>
    <t>Redman, Joshua</t>
  </si>
  <si>
    <t>Taylor, James</t>
  </si>
  <si>
    <t>Herzogenberg, Heinrich von</t>
  </si>
  <si>
    <t>Calvert, Morley</t>
  </si>
  <si>
    <t>Charlize Price</t>
  </si>
  <si>
    <t>Becker, Bob</t>
  </si>
  <si>
    <t>Diemer, Emma Lou</t>
  </si>
  <si>
    <t>Rorem, Ned</t>
  </si>
  <si>
    <t>Samkopf, Kjell</t>
  </si>
  <si>
    <t>Satie, Erik</t>
  </si>
  <si>
    <t>Riley, Terry</t>
  </si>
  <si>
    <t>Jenna Bosnick</t>
  </si>
  <si>
    <t>Leonard, Sheyenne</t>
  </si>
  <si>
    <t>Juliette Frediere</t>
  </si>
  <si>
    <t>Duke, John</t>
  </si>
  <si>
    <t>Schmidt, Harvey</t>
  </si>
  <si>
    <t>Finn, William</t>
  </si>
  <si>
    <t>Hundley, Richard</t>
  </si>
  <si>
    <t>Berge, Sigurd</t>
  </si>
  <si>
    <t>Nicolai, Otto</t>
  </si>
  <si>
    <t>Hummel, Johann</t>
  </si>
  <si>
    <t>Dietter, Christian Ludwig</t>
  </si>
  <si>
    <t>Kailey Diggs</t>
  </si>
  <si>
    <t>Respighi, Ottorino</t>
  </si>
  <si>
    <t>Hoiby, Lee</t>
  </si>
  <si>
    <t>Bridge, Frank</t>
  </si>
  <si>
    <t>Duke, John Woods</t>
  </si>
  <si>
    <t>Composer Category</t>
  </si>
  <si>
    <t>Composer Status</t>
  </si>
  <si>
    <t>Detailed Performance</t>
  </si>
  <si>
    <t>Performance Type</t>
  </si>
  <si>
    <t>Performer Type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</si>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</sst>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#,##0.0"/>
    <numFmt numFmtId="166" formatCode="0.0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49" fontId="3" fillId="2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5">
    <tableStyle name="Simple.Dashboard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Fall 2023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Spring 2024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Jury Repertoire - S.24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ComposerInfo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14740"/>
  <sheetViews>
    <sheetView workbookViewId="0"/>
  </sheetViews>
  <sheetFormatPr baseColWidth="10" defaultColWidth="12.6640625" defaultRowHeight="15.75" customHeight="1"/>
  <cols>
    <col min="1" max="1" width="34.1640625" customWidth="1"/>
  </cols>
  <sheetData>
    <row r="1" spans="1:5" ht="15.75" customHeight="1">
      <c r="A1" s="4" t="str">
        <f ca="1">IFERROR(__xludf.DUMMYFUNCTION("IMPORTRANGE(""https://docs.google.com/spreadsheets/d/17or6q4oo_wczcVkuMCczXf_WKxS-vzut_eMu0W5-ZZo/edit?usp=sharing"",""A1:E"")"),"COMPOSER / ARRANGER")</f>
        <v>COMPOSER / ARRANGER</v>
      </c>
      <c r="B1" s="5" t="str">
        <f ca="1">IFERROR(__xludf.DUMMYFUNCTION("""COMPUTED_VALUE"""),"COMP.GEN")</f>
        <v>COMP.GEN</v>
      </c>
      <c r="C1" s="6" t="str">
        <f ca="1">IFERROR(__xludf.DUMMYFUNCTION("""COMPUTED_VALUE"""),"COMP.DET")</f>
        <v>COMP.DET</v>
      </c>
      <c r="D1" s="5" t="str">
        <f ca="1">IFERROR(__xludf.DUMMYFUNCTION("""COMPUTED_VALUE"""),"COMP.COMB")</f>
        <v>COMP.COMB</v>
      </c>
      <c r="E1" s="2" t="str">
        <f ca="1">IFERROR(__xludf.DUMMYFUNCTION("""COMPUTED_VALUE"""),"STATUS")</f>
        <v>STATUS</v>
      </c>
    </row>
    <row r="2" spans="1:5" ht="15.75" customHeight="1">
      <c r="A2" s="2" t="str">
        <f ca="1">IFERROR(__xludf.DUMMYFUNCTION("""COMPUTED_VALUE"""),"Aamot, Kirk")</f>
        <v>Aamot, Kirk</v>
      </c>
      <c r="B2" s="3">
        <f ca="1">IFERROR(__xludf.DUMMYFUNCTION("""COMPUTED_VALUE"""),1)</f>
        <v>1</v>
      </c>
      <c r="C2" s="7">
        <f ca="1">IFERROR(__xludf.DUMMYFUNCTION("""COMPUTED_VALUE"""),1)</f>
        <v>1</v>
      </c>
      <c r="D2" s="8">
        <f ca="1">IFERROR(__xludf.DUMMYFUNCTION("""COMPUTED_VALUE"""),1)</f>
        <v>1</v>
      </c>
      <c r="E2" s="2">
        <f ca="1">IFERROR(__xludf.DUMMYFUNCTION("""COMPUTED_VALUE"""),1)</f>
        <v>1</v>
      </c>
    </row>
    <row r="3" spans="1:5" ht="15.75" customHeight="1">
      <c r="A3" s="2" t="str">
        <f ca="1">IFERROR(__xludf.DUMMYFUNCTION("""COMPUTED_VALUE"""),"Aas, Else Berntsen")</f>
        <v>Aas, Else Berntsen</v>
      </c>
      <c r="B3" s="3">
        <f ca="1">IFERROR(__xludf.DUMMYFUNCTION("""COMPUTED_VALUE"""),1)</f>
        <v>1</v>
      </c>
      <c r="C3" s="7">
        <f ca="1">IFERROR(__xludf.DUMMYFUNCTION("""COMPUTED_VALUE"""),1)</f>
        <v>1</v>
      </c>
      <c r="D3" s="8">
        <f ca="1">IFERROR(__xludf.DUMMYFUNCTION("""COMPUTED_VALUE"""),1)</f>
        <v>1</v>
      </c>
      <c r="E3" s="2">
        <f ca="1">IFERROR(__xludf.DUMMYFUNCTION("""COMPUTED_VALUE"""),1)</f>
        <v>1</v>
      </c>
    </row>
    <row r="4" spans="1:5" ht="15.75" customHeight="1">
      <c r="A4" s="2" t="str">
        <f ca="1">IFERROR(__xludf.DUMMYFUNCTION("""COMPUTED_VALUE"""),"Abad, Nabil")</f>
        <v>Abad, Nabil</v>
      </c>
      <c r="B4" s="3">
        <f ca="1">IFERROR(__xludf.DUMMYFUNCTION("""COMPUTED_VALUE"""),1)</f>
        <v>1</v>
      </c>
      <c r="C4" s="7">
        <f ca="1">IFERROR(__xludf.DUMMYFUNCTION("""COMPUTED_VALUE"""),1)</f>
        <v>1</v>
      </c>
      <c r="D4" s="8">
        <f ca="1">IFERROR(__xludf.DUMMYFUNCTION("""COMPUTED_VALUE"""),1)</f>
        <v>1</v>
      </c>
      <c r="E4" s="2">
        <f ca="1">IFERROR(__xludf.DUMMYFUNCTION("""COMPUTED_VALUE"""),1)</f>
        <v>1</v>
      </c>
    </row>
    <row r="5" spans="1:5" ht="15.75" customHeight="1">
      <c r="A5" s="2" t="str">
        <f ca="1">IFERROR(__xludf.DUMMYFUNCTION("""COMPUTED_VALUE"""),"Abbass, Alfons")</f>
        <v>Abbass, Alfons</v>
      </c>
      <c r="B5" s="2">
        <f ca="1">IFERROR(__xludf.DUMMYFUNCTION("""COMPUTED_VALUE"""),1)</f>
        <v>1</v>
      </c>
      <c r="C5" s="2">
        <f ca="1">IFERROR(__xludf.DUMMYFUNCTION("""COMPUTED_VALUE"""),1)</f>
        <v>1</v>
      </c>
      <c r="D5" s="8">
        <f ca="1">IFERROR(__xludf.DUMMYFUNCTION("""COMPUTED_VALUE"""),5)</f>
        <v>5</v>
      </c>
      <c r="E5" s="2">
        <f ca="1">IFERROR(__xludf.DUMMYFUNCTION("""COMPUTED_VALUE"""),2)</f>
        <v>2</v>
      </c>
    </row>
    <row r="6" spans="1:5" ht="15.75" customHeight="1">
      <c r="A6" s="8" t="str">
        <f ca="1">IFERROR(__xludf.DUMMYFUNCTION("""COMPUTED_VALUE"""),"Abel, Alan")</f>
        <v>Abel, Alan</v>
      </c>
      <c r="B6" s="3">
        <f ca="1">IFERROR(__xludf.DUMMYFUNCTION("""COMPUTED_VALUE"""),1)</f>
        <v>1</v>
      </c>
      <c r="C6" s="7">
        <f ca="1">IFERROR(__xludf.DUMMYFUNCTION("""COMPUTED_VALUE"""),1)</f>
        <v>1</v>
      </c>
      <c r="D6" s="8">
        <f ca="1">IFERROR(__xludf.DUMMYFUNCTION("""COMPUTED_VALUE"""),5)</f>
        <v>5</v>
      </c>
      <c r="E6" s="2">
        <f ca="1">IFERROR(__xludf.DUMMYFUNCTION("""COMPUTED_VALUE"""),2)</f>
        <v>2</v>
      </c>
    </row>
    <row r="7" spans="1:5" ht="15.75" customHeight="1">
      <c r="A7" s="8" t="str">
        <f ca="1">IFERROR(__xludf.DUMMYFUNCTION("""COMPUTED_VALUE"""),"Abel, Carl Friedrich")</f>
        <v>Abel, Carl Friedrich</v>
      </c>
      <c r="B7" s="3">
        <f ca="1">IFERROR(__xludf.DUMMYFUNCTION("""COMPUTED_VALUE"""),1)</f>
        <v>1</v>
      </c>
      <c r="C7" s="7">
        <f ca="1">IFERROR(__xludf.DUMMYFUNCTION("""COMPUTED_VALUE"""),1)</f>
        <v>1</v>
      </c>
      <c r="D7" s="8">
        <f ca="1">IFERROR(__xludf.DUMMYFUNCTION("""COMPUTED_VALUE"""),5)</f>
        <v>5</v>
      </c>
      <c r="E7" s="2">
        <f ca="1">IFERROR(__xludf.DUMMYFUNCTION("""COMPUTED_VALUE"""),2)</f>
        <v>2</v>
      </c>
    </row>
    <row r="8" spans="1:5" ht="15.75" customHeight="1">
      <c r="A8" s="2" t="str">
        <f ca="1">IFERROR(__xludf.DUMMYFUNCTION("""COMPUTED_VALUE"""),"Abel, Karl F.")</f>
        <v>Abel, Karl F.</v>
      </c>
      <c r="B8" s="2">
        <f ca="1">IFERROR(__xludf.DUMMYFUNCTION("""COMPUTED_VALUE"""),1)</f>
        <v>1</v>
      </c>
      <c r="C8" s="7">
        <f ca="1">IFERROR(__xludf.DUMMYFUNCTION("""COMPUTED_VALUE"""),1)</f>
        <v>1</v>
      </c>
      <c r="D8" s="8">
        <f ca="1">IFERROR(__xludf.DUMMYFUNCTION("""COMPUTED_VALUE"""),5)</f>
        <v>5</v>
      </c>
      <c r="E8" s="2">
        <f ca="1">IFERROR(__xludf.DUMMYFUNCTION("""COMPUTED_VALUE"""),2)</f>
        <v>2</v>
      </c>
    </row>
    <row r="9" spans="1:5" ht="15.75" customHeight="1">
      <c r="A9" s="8" t="str">
        <f ca="1">IFERROR(__xludf.DUMMYFUNCTION("""COMPUTED_VALUE"""),"Abeling, Kenneth")</f>
        <v>Abeling, Kenneth</v>
      </c>
      <c r="B9" s="3">
        <f ca="1">IFERROR(__xludf.DUMMYFUNCTION("""COMPUTED_VALUE"""),1)</f>
        <v>1</v>
      </c>
      <c r="C9" s="7">
        <f ca="1">IFERROR(__xludf.DUMMYFUNCTION("""COMPUTED_VALUE"""),1)</f>
        <v>1</v>
      </c>
      <c r="D9" s="8">
        <f ca="1">IFERROR(__xludf.DUMMYFUNCTION("""COMPUTED_VALUE"""),1)</f>
        <v>1</v>
      </c>
      <c r="E9" s="2">
        <f ca="1">IFERROR(__xludf.DUMMYFUNCTION("""COMPUTED_VALUE"""),1)</f>
        <v>1</v>
      </c>
    </row>
    <row r="10" spans="1:5" ht="15.75" customHeight="1">
      <c r="A10" s="2" t="str">
        <f ca="1">IFERROR(__xludf.DUMMYFUNCTION("""COMPUTED_VALUE"""),"Abene, Michael")</f>
        <v>Abene, Michael</v>
      </c>
      <c r="B10" s="3">
        <f ca="1">IFERROR(__xludf.DUMMYFUNCTION("""COMPUTED_VALUE"""),1)</f>
        <v>1</v>
      </c>
      <c r="C10" s="7">
        <f ca="1">IFERROR(__xludf.DUMMYFUNCTION("""COMPUTED_VALUE"""),1)</f>
        <v>1</v>
      </c>
      <c r="D10" s="8">
        <f ca="1">IFERROR(__xludf.DUMMYFUNCTION("""COMPUTED_VALUE"""),1)</f>
        <v>1</v>
      </c>
      <c r="E10" s="2">
        <f ca="1">IFERROR(__xludf.DUMMYFUNCTION("""COMPUTED_VALUE"""),1)</f>
        <v>1</v>
      </c>
    </row>
    <row r="11" spans="1:5" ht="15.75" customHeight="1">
      <c r="A11" s="2" t="str">
        <f ca="1">IFERROR(__xludf.DUMMYFUNCTION("""COMPUTED_VALUE"""),"Abert, Johann Joseph")</f>
        <v>Abert, Johann Joseph</v>
      </c>
      <c r="B11" s="2">
        <f ca="1">IFERROR(__xludf.DUMMYFUNCTION("""COMPUTED_VALUE"""),1)</f>
        <v>1</v>
      </c>
      <c r="C11" s="7">
        <f ca="1">IFERROR(__xludf.DUMMYFUNCTION("""COMPUTED_VALUE"""),1)</f>
        <v>1</v>
      </c>
      <c r="D11" s="8">
        <f ca="1">IFERROR(__xludf.DUMMYFUNCTION("""COMPUTED_VALUE"""),5)</f>
        <v>5</v>
      </c>
      <c r="E11" s="2">
        <f ca="1">IFERROR(__xludf.DUMMYFUNCTION("""COMPUTED_VALUE"""),2)</f>
        <v>2</v>
      </c>
    </row>
    <row r="12" spans="1:5" ht="15.75" customHeight="1">
      <c r="A12" s="2" t="str">
        <f ca="1">IFERROR(__xludf.DUMMYFUNCTION("""COMPUTED_VALUE"""),"Abert, Johann Joseph / Hindsley, Mark")</f>
        <v>Abert, Johann Joseph / Hindsley, Mark</v>
      </c>
      <c r="B12" s="2">
        <f ca="1">IFERROR(__xludf.DUMMYFUNCTION("""COMPUTED_VALUE"""),1)</f>
        <v>1</v>
      </c>
      <c r="C12" s="7">
        <f ca="1">IFERROR(__xludf.DUMMYFUNCTION("""COMPUTED_VALUE"""),1)</f>
        <v>1</v>
      </c>
      <c r="D12" s="8">
        <f ca="1">IFERROR(__xludf.DUMMYFUNCTION("""COMPUTED_VALUE"""),5)</f>
        <v>5</v>
      </c>
      <c r="E12" s="2">
        <f ca="1">IFERROR(__xludf.DUMMYFUNCTION("""COMPUTED_VALUE"""),2)</f>
        <v>2</v>
      </c>
    </row>
    <row r="13" spans="1:5" ht="15.75" customHeight="1">
      <c r="A13" s="2" t="str">
        <f ca="1">IFERROR(__xludf.DUMMYFUNCTION("""COMPUTED_VALUE"""),"Abert, Johann Joseph / Weiss, Anton")</f>
        <v>Abert, Johann Joseph / Weiss, Anton</v>
      </c>
      <c r="B13" s="2">
        <f ca="1">IFERROR(__xludf.DUMMYFUNCTION("""COMPUTED_VALUE"""),1)</f>
        <v>1</v>
      </c>
      <c r="C13" s="2">
        <f ca="1">IFERROR(__xludf.DUMMYFUNCTION("""COMPUTED_VALUE"""),1)</f>
        <v>1</v>
      </c>
      <c r="D13" s="8">
        <f ca="1">IFERROR(__xludf.DUMMYFUNCTION("""COMPUTED_VALUE"""),5)</f>
        <v>5</v>
      </c>
      <c r="E13" s="2">
        <f ca="1">IFERROR(__xludf.DUMMYFUNCTION("""COMPUTED_VALUE"""),2)</f>
        <v>2</v>
      </c>
    </row>
    <row r="14" spans="1:5" ht="15.75" customHeight="1">
      <c r="A14" s="2" t="str">
        <f ca="1">IFERROR(__xludf.DUMMYFUNCTION("""COMPUTED_VALUE"""),"Abigaña, Brett")</f>
        <v>Abigaña, Brett</v>
      </c>
      <c r="B14" s="2">
        <f ca="1">IFERROR(__xludf.DUMMYFUNCTION("""COMPUTED_VALUE"""),1)</f>
        <v>1</v>
      </c>
      <c r="C14" s="7">
        <f ca="1">IFERROR(__xludf.DUMMYFUNCTION("""COMPUTED_VALUE"""),1)</f>
        <v>1</v>
      </c>
      <c r="D14" s="8">
        <f ca="1">IFERROR(__xludf.DUMMYFUNCTION("""COMPUTED_VALUE"""),1)</f>
        <v>1</v>
      </c>
      <c r="E14" s="2">
        <f ca="1">IFERROR(__xludf.DUMMYFUNCTION("""COMPUTED_VALUE"""),1)</f>
        <v>1</v>
      </c>
    </row>
    <row r="15" spans="1:5" ht="15.75" customHeight="1">
      <c r="A15" s="8" t="str">
        <f ca="1">IFERROR(__xludf.DUMMYFUNCTION("""COMPUTED_VALUE"""),"Abrahamsen, Hans")</f>
        <v>Abrahamsen, Hans</v>
      </c>
      <c r="B15" s="3">
        <f ca="1">IFERROR(__xludf.DUMMYFUNCTION("""COMPUTED_VALUE"""),1)</f>
        <v>1</v>
      </c>
      <c r="C15" s="7">
        <f ca="1">IFERROR(__xludf.DUMMYFUNCTION("""COMPUTED_VALUE"""),1)</f>
        <v>1</v>
      </c>
      <c r="D15" s="8">
        <f ca="1">IFERROR(__xludf.DUMMYFUNCTION("""COMPUTED_VALUE"""),1)</f>
        <v>1</v>
      </c>
      <c r="E15" s="2">
        <f ca="1">IFERROR(__xludf.DUMMYFUNCTION("""COMPUTED_VALUE"""),1)</f>
        <v>1</v>
      </c>
    </row>
    <row r="16" spans="1:5" ht="15.75" customHeight="1">
      <c r="A16" s="8" t="str">
        <f ca="1">IFERROR(__xludf.DUMMYFUNCTION("""COMPUTED_VALUE"""),"Abrams, Teddy")</f>
        <v>Abrams, Teddy</v>
      </c>
      <c r="B16" s="3">
        <f ca="1">IFERROR(__xludf.DUMMYFUNCTION("""COMPUTED_VALUE"""),1)</f>
        <v>1</v>
      </c>
      <c r="C16" s="7">
        <f ca="1">IFERROR(__xludf.DUMMYFUNCTION("""COMPUTED_VALUE"""),1)</f>
        <v>1</v>
      </c>
      <c r="D16" s="8">
        <f ca="1">IFERROR(__xludf.DUMMYFUNCTION("""COMPUTED_VALUE"""),1)</f>
        <v>1</v>
      </c>
      <c r="E16" s="2">
        <f ca="1">IFERROR(__xludf.DUMMYFUNCTION("""COMPUTED_VALUE"""),1)</f>
        <v>1</v>
      </c>
    </row>
    <row r="17" spans="1:5" ht="15.75" customHeight="1">
      <c r="A17" s="8" t="str">
        <f ca="1">IFERROR(__xludf.DUMMYFUNCTION("""COMPUTED_VALUE"""),"Absil, Jean")</f>
        <v>Absil, Jean</v>
      </c>
      <c r="B17" s="3">
        <f ca="1">IFERROR(__xludf.DUMMYFUNCTION("""COMPUTED_VALUE"""),1)</f>
        <v>1</v>
      </c>
      <c r="C17" s="7">
        <f ca="1">IFERROR(__xludf.DUMMYFUNCTION("""COMPUTED_VALUE"""),1)</f>
        <v>1</v>
      </c>
      <c r="D17" s="8">
        <f ca="1">IFERROR(__xludf.DUMMYFUNCTION("""COMPUTED_VALUE"""),5)</f>
        <v>5</v>
      </c>
      <c r="E17" s="2">
        <f ca="1">IFERROR(__xludf.DUMMYFUNCTION("""COMPUTED_VALUE"""),2)</f>
        <v>2</v>
      </c>
    </row>
    <row r="18" spans="1:5" ht="15.75" customHeight="1">
      <c r="A18" s="8" t="str">
        <f ca="1">IFERROR(__xludf.DUMMYFUNCTION("""COMPUTED_VALUE"""),"Abt, Franz")</f>
        <v>Abt, Franz</v>
      </c>
      <c r="B18" s="3">
        <f ca="1">IFERROR(__xludf.DUMMYFUNCTION("""COMPUTED_VALUE"""),1)</f>
        <v>1</v>
      </c>
      <c r="C18" s="7">
        <f ca="1">IFERROR(__xludf.DUMMYFUNCTION("""COMPUTED_VALUE"""),1)</f>
        <v>1</v>
      </c>
      <c r="D18" s="8">
        <f ca="1">IFERROR(__xludf.DUMMYFUNCTION("""COMPUTED_VALUE"""),5)</f>
        <v>5</v>
      </c>
      <c r="E18" s="2">
        <f ca="1">IFERROR(__xludf.DUMMYFUNCTION("""COMPUTED_VALUE"""),2)</f>
        <v>2</v>
      </c>
    </row>
    <row r="19" spans="1:5" ht="15.75" customHeight="1">
      <c r="A19" s="2" t="str">
        <f ca="1">IFERROR(__xludf.DUMMYFUNCTION("""COMPUTED_VALUE"""),"Accolay, J. B.")</f>
        <v>Accolay, J. B.</v>
      </c>
      <c r="B19" s="2">
        <f ca="1">IFERROR(__xludf.DUMMYFUNCTION("""COMPUTED_VALUE"""),1)</f>
        <v>1</v>
      </c>
      <c r="C19" s="7">
        <f ca="1">IFERROR(__xludf.DUMMYFUNCTION("""COMPUTED_VALUE"""),1)</f>
        <v>1</v>
      </c>
      <c r="D19" s="8">
        <f ca="1">IFERROR(__xludf.DUMMYFUNCTION("""COMPUTED_VALUE"""),5)</f>
        <v>5</v>
      </c>
      <c r="E19" s="2">
        <f ca="1">IFERROR(__xludf.DUMMYFUNCTION("""COMPUTED_VALUE"""),2)</f>
        <v>2</v>
      </c>
    </row>
    <row r="20" spans="1:5" ht="15.75" customHeight="1">
      <c r="A20" s="2" t="str">
        <f ca="1">IFERROR(__xludf.DUMMYFUNCTION("""COMPUTED_VALUE"""),"Accurso, Aron")</f>
        <v>Accurso, Aron</v>
      </c>
      <c r="B20" s="3">
        <f ca="1">IFERROR(__xludf.DUMMYFUNCTION("""COMPUTED_VALUE"""),1)</f>
        <v>1</v>
      </c>
      <c r="C20" s="7">
        <f ca="1">IFERROR(__xludf.DUMMYFUNCTION("""COMPUTED_VALUE"""),1)</f>
        <v>1</v>
      </c>
      <c r="D20" s="8">
        <f ca="1">IFERROR(__xludf.DUMMYFUNCTION("""COMPUTED_VALUE"""),1)</f>
        <v>1</v>
      </c>
      <c r="E20" s="2">
        <f ca="1">IFERROR(__xludf.DUMMYFUNCTION("""COMPUTED_VALUE"""),1)</f>
        <v>1</v>
      </c>
    </row>
    <row r="21" spans="1:5" ht="15.75" customHeight="1">
      <c r="A21" s="2" t="str">
        <f ca="1">IFERROR(__xludf.DUMMYFUNCTION("""COMPUTED_VALUE"""),"Achron, Joseph")</f>
        <v>Achron, Joseph</v>
      </c>
      <c r="B21" s="3">
        <f ca="1">IFERROR(__xludf.DUMMYFUNCTION("""COMPUTED_VALUE"""),1)</f>
        <v>1</v>
      </c>
      <c r="C21" s="7">
        <f ca="1">IFERROR(__xludf.DUMMYFUNCTION("""COMPUTED_VALUE"""),1)</f>
        <v>1</v>
      </c>
      <c r="D21" s="8">
        <f ca="1">IFERROR(__xludf.DUMMYFUNCTION("""COMPUTED_VALUE"""),5)</f>
        <v>5</v>
      </c>
      <c r="E21" s="2">
        <f ca="1">IFERROR(__xludf.DUMMYFUNCTION("""COMPUTED_VALUE"""),2)</f>
        <v>2</v>
      </c>
    </row>
    <row r="22" spans="1:5" ht="15.75" customHeight="1">
      <c r="A22" s="2" t="str">
        <f ca="1">IFERROR(__xludf.DUMMYFUNCTION("""COMPUTED_VALUE"""),"Ackley, James")</f>
        <v>Ackley, James</v>
      </c>
      <c r="B22" s="3">
        <f ca="1">IFERROR(__xludf.DUMMYFUNCTION("""COMPUTED_VALUE"""),1)</f>
        <v>1</v>
      </c>
      <c r="C22" s="7">
        <f ca="1">IFERROR(__xludf.DUMMYFUNCTION("""COMPUTED_VALUE"""),1)</f>
        <v>1</v>
      </c>
      <c r="D22" s="8">
        <f ca="1">IFERROR(__xludf.DUMMYFUNCTION("""COMPUTED_VALUE"""),1)</f>
        <v>1</v>
      </c>
      <c r="E22" s="2">
        <f ca="1">IFERROR(__xludf.DUMMYFUNCTION("""COMPUTED_VALUE"""),1)</f>
        <v>1</v>
      </c>
    </row>
    <row r="23" spans="1:5" ht="15.75" customHeight="1">
      <c r="A23" s="8" t="str">
        <f ca="1">IFERROR(__xludf.DUMMYFUNCTION("""COMPUTED_VALUE"""),"Acquisto, Daniel S.")</f>
        <v>Acquisto, Daniel S.</v>
      </c>
      <c r="B23" s="3">
        <f ca="1">IFERROR(__xludf.DUMMYFUNCTION("""COMPUTED_VALUE"""),1)</f>
        <v>1</v>
      </c>
      <c r="C23" s="7">
        <f ca="1">IFERROR(__xludf.DUMMYFUNCTION("""COMPUTED_VALUE"""),1)</f>
        <v>1</v>
      </c>
      <c r="D23" s="8">
        <f ca="1">IFERROR(__xludf.DUMMYFUNCTION("""COMPUTED_VALUE"""),1)</f>
        <v>1</v>
      </c>
      <c r="E23" s="2">
        <f ca="1">IFERROR(__xludf.DUMMYFUNCTION("""COMPUTED_VALUE"""),1)</f>
        <v>1</v>
      </c>
    </row>
    <row r="24" spans="1:5" ht="15.75" customHeight="1">
      <c r="A24" s="8" t="str">
        <f ca="1">IFERROR(__xludf.DUMMYFUNCTION("""COMPUTED_VALUE"""),"Actor, Lee")</f>
        <v>Actor, Lee</v>
      </c>
      <c r="B24" s="3">
        <f ca="1">IFERROR(__xludf.DUMMYFUNCTION("""COMPUTED_VALUE"""),1)</f>
        <v>1</v>
      </c>
      <c r="C24" s="7">
        <f ca="1">IFERROR(__xludf.DUMMYFUNCTION("""COMPUTED_VALUE"""),1)</f>
        <v>1</v>
      </c>
      <c r="D24" s="8">
        <f ca="1">IFERROR(__xludf.DUMMYFUNCTION("""COMPUTED_VALUE"""),1)</f>
        <v>1</v>
      </c>
      <c r="E24" s="2">
        <f ca="1">IFERROR(__xludf.DUMMYFUNCTION("""COMPUTED_VALUE"""),1)</f>
        <v>1</v>
      </c>
    </row>
    <row r="25" spans="1:5" ht="15.75" customHeight="1">
      <c r="A25" s="2" t="str">
        <f ca="1">IFERROR(__xludf.DUMMYFUNCTION("""COMPUTED_VALUE"""),"Adam, Adolphe")</f>
        <v>Adam, Adolphe</v>
      </c>
      <c r="B25" s="2">
        <f ca="1">IFERROR(__xludf.DUMMYFUNCTION("""COMPUTED_VALUE"""),1)</f>
        <v>1</v>
      </c>
      <c r="C25" s="7">
        <f ca="1">IFERROR(__xludf.DUMMYFUNCTION("""COMPUTED_VALUE"""),1)</f>
        <v>1</v>
      </c>
      <c r="D25" s="8">
        <f ca="1">IFERROR(__xludf.DUMMYFUNCTION("""COMPUTED_VALUE"""),5)</f>
        <v>5</v>
      </c>
      <c r="E25" s="2">
        <f ca="1">IFERROR(__xludf.DUMMYFUNCTION("""COMPUTED_VALUE"""),2)</f>
        <v>2</v>
      </c>
    </row>
    <row r="26" spans="1:5" ht="15.75" customHeight="1">
      <c r="A26" s="8" t="str">
        <f ca="1">IFERROR(__xludf.DUMMYFUNCTION("""COMPUTED_VALUE"""),"Adamo, Mark")</f>
        <v>Adamo, Mark</v>
      </c>
      <c r="B26" s="3">
        <f ca="1">IFERROR(__xludf.DUMMYFUNCTION("""COMPUTED_VALUE"""),1)</f>
        <v>1</v>
      </c>
      <c r="C26" s="7">
        <f ca="1">IFERROR(__xludf.DUMMYFUNCTION("""COMPUTED_VALUE"""),1)</f>
        <v>1</v>
      </c>
      <c r="D26" s="8">
        <f ca="1">IFERROR(__xludf.DUMMYFUNCTION("""COMPUTED_VALUE"""),1)</f>
        <v>1</v>
      </c>
      <c r="E26" s="2">
        <f ca="1">IFERROR(__xludf.DUMMYFUNCTION("""COMPUTED_VALUE"""),1)</f>
        <v>1</v>
      </c>
    </row>
    <row r="27" spans="1:5" ht="15.75" customHeight="1">
      <c r="A27" s="2" t="str">
        <f ca="1">IFERROR(__xludf.DUMMYFUNCTION("""COMPUTED_VALUE"""),"Adams, A. Emmett")</f>
        <v>Adams, A. Emmett</v>
      </c>
      <c r="B27" s="2">
        <f ca="1">IFERROR(__xludf.DUMMYFUNCTION("""COMPUTED_VALUE"""),1)</f>
        <v>1</v>
      </c>
      <c r="C27" s="7">
        <f ca="1">IFERROR(__xludf.DUMMYFUNCTION("""COMPUTED_VALUE"""),1)</f>
        <v>1</v>
      </c>
      <c r="D27" s="8">
        <f ca="1">IFERROR(__xludf.DUMMYFUNCTION("""COMPUTED_VALUE"""),5)</f>
        <v>5</v>
      </c>
      <c r="E27" s="2">
        <f ca="1">IFERROR(__xludf.DUMMYFUNCTION("""COMPUTED_VALUE"""),2)</f>
        <v>2</v>
      </c>
    </row>
    <row r="28" spans="1:5" ht="15.75" customHeight="1">
      <c r="A28" s="8" t="str">
        <f ca="1">IFERROR(__xludf.DUMMYFUNCTION("""COMPUTED_VALUE"""),"Adams, Brant")</f>
        <v>Adams, Brant</v>
      </c>
      <c r="B28" s="3">
        <f ca="1">IFERROR(__xludf.DUMMYFUNCTION("""COMPUTED_VALUE"""),1)</f>
        <v>1</v>
      </c>
      <c r="C28" s="7">
        <f ca="1">IFERROR(__xludf.DUMMYFUNCTION("""COMPUTED_VALUE"""),1)</f>
        <v>1</v>
      </c>
      <c r="D28" s="8">
        <f ca="1">IFERROR(__xludf.DUMMYFUNCTION("""COMPUTED_VALUE"""),1)</f>
        <v>1</v>
      </c>
      <c r="E28" s="2">
        <f ca="1">IFERROR(__xludf.DUMMYFUNCTION("""COMPUTED_VALUE"""),1)</f>
        <v>1</v>
      </c>
    </row>
    <row r="29" spans="1:5" ht="15.75" customHeight="1">
      <c r="A29" s="8" t="str">
        <f ca="1">IFERROR(__xludf.DUMMYFUNCTION("""COMPUTED_VALUE"""),"Adams, Byron")</f>
        <v>Adams, Byron</v>
      </c>
      <c r="B29" s="3">
        <f ca="1">IFERROR(__xludf.DUMMYFUNCTION("""COMPUTED_VALUE"""),1)</f>
        <v>1</v>
      </c>
      <c r="C29" s="7">
        <f ca="1">IFERROR(__xludf.DUMMYFUNCTION("""COMPUTED_VALUE"""),1)</f>
        <v>1</v>
      </c>
      <c r="D29" s="8">
        <f ca="1">IFERROR(__xludf.DUMMYFUNCTION("""COMPUTED_VALUE"""),1)</f>
        <v>1</v>
      </c>
      <c r="E29" s="2">
        <f ca="1">IFERROR(__xludf.DUMMYFUNCTION("""COMPUTED_VALUE"""),1)</f>
        <v>1</v>
      </c>
    </row>
    <row r="30" spans="1:5" ht="15.75" customHeight="1">
      <c r="A30" s="2" t="str">
        <f ca="1">IFERROR(__xludf.DUMMYFUNCTION("""COMPUTED_VALUE"""),"Adams, Dan")</f>
        <v>Adams, Dan</v>
      </c>
      <c r="B30" s="3">
        <f ca="1">IFERROR(__xludf.DUMMYFUNCTION("""COMPUTED_VALUE"""),1)</f>
        <v>1</v>
      </c>
      <c r="C30" s="7">
        <f ca="1">IFERROR(__xludf.DUMMYFUNCTION("""COMPUTED_VALUE"""),1)</f>
        <v>1</v>
      </c>
      <c r="D30" s="8">
        <f ca="1">IFERROR(__xludf.DUMMYFUNCTION("""COMPUTED_VALUE"""),1)</f>
        <v>1</v>
      </c>
      <c r="E30" s="2">
        <f ca="1">IFERROR(__xludf.DUMMYFUNCTION("""COMPUTED_VALUE"""),1)</f>
        <v>1</v>
      </c>
    </row>
    <row r="31" spans="1:5" ht="15.75" customHeight="1">
      <c r="A31" s="2" t="str">
        <f ca="1">IFERROR(__xludf.DUMMYFUNCTION("""COMPUTED_VALUE"""),"Adams, Doug")</f>
        <v>Adams, Doug</v>
      </c>
      <c r="B31" s="3">
        <f ca="1">IFERROR(__xludf.DUMMYFUNCTION("""COMPUTED_VALUE"""),1)</f>
        <v>1</v>
      </c>
      <c r="C31" s="7">
        <f ca="1">IFERROR(__xludf.DUMMYFUNCTION("""COMPUTED_VALUE"""),1)</f>
        <v>1</v>
      </c>
      <c r="D31" s="8">
        <f ca="1">IFERROR(__xludf.DUMMYFUNCTION("""COMPUTED_VALUE"""),1)</f>
        <v>1</v>
      </c>
      <c r="E31" s="2">
        <f ca="1">IFERROR(__xludf.DUMMYFUNCTION("""COMPUTED_VALUE"""),1)</f>
        <v>1</v>
      </c>
    </row>
    <row r="32" spans="1:5" ht="15.75" customHeight="1">
      <c r="A32" s="8" t="str">
        <f ca="1">IFERROR(__xludf.DUMMYFUNCTION("""COMPUTED_VALUE"""),"Adams, John")</f>
        <v>Adams, John</v>
      </c>
      <c r="B32" s="3">
        <f ca="1">IFERROR(__xludf.DUMMYFUNCTION("""COMPUTED_VALUE"""),1)</f>
        <v>1</v>
      </c>
      <c r="C32" s="7">
        <f ca="1">IFERROR(__xludf.DUMMYFUNCTION("""COMPUTED_VALUE"""),1)</f>
        <v>1</v>
      </c>
      <c r="D32" s="8">
        <f ca="1">IFERROR(__xludf.DUMMYFUNCTION("""COMPUTED_VALUE"""),1)</f>
        <v>1</v>
      </c>
      <c r="E32" s="2">
        <f ca="1">IFERROR(__xludf.DUMMYFUNCTION("""COMPUTED_VALUE"""),1)</f>
        <v>1</v>
      </c>
    </row>
    <row r="33" spans="1:5" ht="15.75" customHeight="1">
      <c r="A33" s="8" t="str">
        <f ca="1">IFERROR(__xludf.DUMMYFUNCTION("""COMPUTED_VALUE"""),"Adams, John Luther")</f>
        <v>Adams, John Luther</v>
      </c>
      <c r="B33" s="3">
        <f ca="1">IFERROR(__xludf.DUMMYFUNCTION("""COMPUTED_VALUE"""),1)</f>
        <v>1</v>
      </c>
      <c r="C33" s="7">
        <f ca="1">IFERROR(__xludf.DUMMYFUNCTION("""COMPUTED_VALUE"""),1)</f>
        <v>1</v>
      </c>
      <c r="D33" s="8">
        <f ca="1">IFERROR(__xludf.DUMMYFUNCTION("""COMPUTED_VALUE"""),1)</f>
        <v>1</v>
      </c>
      <c r="E33" s="2">
        <f ca="1">IFERROR(__xludf.DUMMYFUNCTION("""COMPUTED_VALUE"""),1)</f>
        <v>1</v>
      </c>
    </row>
    <row r="34" spans="1:5" ht="15.75" customHeight="1">
      <c r="A34" s="8" t="str">
        <f ca="1">IFERROR(__xludf.DUMMYFUNCTION("""COMPUTED_VALUE"""),"Adams, Jonathan")</f>
        <v>Adams, Jonathan</v>
      </c>
      <c r="B34" s="3">
        <f ca="1">IFERROR(__xludf.DUMMYFUNCTION("""COMPUTED_VALUE"""),1)</f>
        <v>1</v>
      </c>
      <c r="C34" s="7">
        <f ca="1">IFERROR(__xludf.DUMMYFUNCTION("""COMPUTED_VALUE"""),1)</f>
        <v>1</v>
      </c>
      <c r="D34" s="8">
        <f ca="1">IFERROR(__xludf.DUMMYFUNCTION("""COMPUTED_VALUE"""),1)</f>
        <v>1</v>
      </c>
      <c r="E34" s="2">
        <f ca="1">IFERROR(__xludf.DUMMYFUNCTION("""COMPUTED_VALUE"""),1)</f>
        <v>1</v>
      </c>
    </row>
    <row r="35" spans="1:5" ht="15.75" customHeight="1">
      <c r="A35" s="2" t="str">
        <f ca="1">IFERROR(__xludf.DUMMYFUNCTION("""COMPUTED_VALUE"""),"Adams, Lee / Strouse, Charles")</f>
        <v>Adams, Lee / Strouse, Charles</v>
      </c>
      <c r="B35" s="3">
        <f ca="1">IFERROR(__xludf.DUMMYFUNCTION("""COMPUTED_VALUE"""),1)</f>
        <v>1</v>
      </c>
      <c r="C35" s="7">
        <f ca="1">IFERROR(__xludf.DUMMYFUNCTION("""COMPUTED_VALUE"""),1)</f>
        <v>1</v>
      </c>
      <c r="D35" s="8">
        <f ca="1">IFERROR(__xludf.DUMMYFUNCTION("""COMPUTED_VALUE"""),1)</f>
        <v>1</v>
      </c>
      <c r="E35" s="2">
        <f ca="1">IFERROR(__xludf.DUMMYFUNCTION("""COMPUTED_VALUE"""),1)</f>
        <v>1</v>
      </c>
    </row>
    <row r="36" spans="1:5" ht="15.75" customHeight="1">
      <c r="A36" s="8" t="str">
        <f ca="1">IFERROR(__xludf.DUMMYFUNCTION("""COMPUTED_VALUE"""),"Adams, Logan")</f>
        <v>Adams, Logan</v>
      </c>
      <c r="B36" s="3">
        <f ca="1">IFERROR(__xludf.DUMMYFUNCTION("""COMPUTED_VALUE"""),1)</f>
        <v>1</v>
      </c>
      <c r="C36" s="7">
        <f ca="1">IFERROR(__xludf.DUMMYFUNCTION("""COMPUTED_VALUE"""),1)</f>
        <v>1</v>
      </c>
      <c r="D36" s="8">
        <f ca="1">IFERROR(__xludf.DUMMYFUNCTION("""COMPUTED_VALUE"""),1)</f>
        <v>1</v>
      </c>
      <c r="E36" s="2">
        <f ca="1">IFERROR(__xludf.DUMMYFUNCTION("""COMPUTED_VALUE"""),1)</f>
        <v>1</v>
      </c>
    </row>
    <row r="37" spans="1:5" ht="15.75" customHeight="1">
      <c r="A37" s="2" t="str">
        <f ca="1">IFERROR(__xludf.DUMMYFUNCTION("""COMPUTED_VALUE"""),"Adams, Michael")</f>
        <v>Adams, Michael</v>
      </c>
      <c r="B37" s="3">
        <f ca="1">IFERROR(__xludf.DUMMYFUNCTION("""COMPUTED_VALUE"""),1)</f>
        <v>1</v>
      </c>
      <c r="C37" s="7">
        <f ca="1">IFERROR(__xludf.DUMMYFUNCTION("""COMPUTED_VALUE"""),1)</f>
        <v>1</v>
      </c>
      <c r="D37" s="8">
        <f ca="1">IFERROR(__xludf.DUMMYFUNCTION("""COMPUTED_VALUE"""),1)</f>
        <v>1</v>
      </c>
      <c r="E37" s="2">
        <f ca="1">IFERROR(__xludf.DUMMYFUNCTION("""COMPUTED_VALUE"""),1)</f>
        <v>1</v>
      </c>
    </row>
    <row r="38" spans="1:5" ht="15.75" customHeight="1">
      <c r="A38" s="8" t="str">
        <f ca="1">IFERROR(__xludf.DUMMYFUNCTION("""COMPUTED_VALUE"""),"Adams, Peter")</f>
        <v>Adams, Peter</v>
      </c>
      <c r="B38" s="3">
        <f ca="1">IFERROR(__xludf.DUMMYFUNCTION("""COMPUTED_VALUE"""),1)</f>
        <v>1</v>
      </c>
      <c r="C38" s="7">
        <f ca="1">IFERROR(__xludf.DUMMYFUNCTION("""COMPUTED_VALUE"""),1)</f>
        <v>1</v>
      </c>
      <c r="D38" s="8">
        <f ca="1">IFERROR(__xludf.DUMMYFUNCTION("""COMPUTED_VALUE"""),1)</f>
        <v>1</v>
      </c>
      <c r="E38" s="2">
        <f ca="1">IFERROR(__xludf.DUMMYFUNCTION("""COMPUTED_VALUE"""),1)</f>
        <v>1</v>
      </c>
    </row>
    <row r="39" spans="1:5" ht="15.75" customHeight="1">
      <c r="A39" s="8" t="str">
        <f ca="1">IFERROR(__xludf.DUMMYFUNCTION("""COMPUTED_VALUE"""),"Adams, Samuel")</f>
        <v>Adams, Samuel</v>
      </c>
      <c r="B39" s="3">
        <f ca="1">IFERROR(__xludf.DUMMYFUNCTION("""COMPUTED_VALUE"""),1)</f>
        <v>1</v>
      </c>
      <c r="C39" s="7">
        <f ca="1">IFERROR(__xludf.DUMMYFUNCTION("""COMPUTED_VALUE"""),1)</f>
        <v>1</v>
      </c>
      <c r="D39" s="8">
        <f ca="1">IFERROR(__xludf.DUMMYFUNCTION("""COMPUTED_VALUE"""),1)</f>
        <v>1</v>
      </c>
      <c r="E39" s="2">
        <f ca="1">IFERROR(__xludf.DUMMYFUNCTION("""COMPUTED_VALUE"""),1)</f>
        <v>1</v>
      </c>
    </row>
    <row r="40" spans="1:5" ht="15.75" customHeight="1">
      <c r="A40" s="8" t="str">
        <f ca="1">IFERROR(__xludf.DUMMYFUNCTION("""COMPUTED_VALUE"""),"Adams, Sara / Mason, Lowell")</f>
        <v>Adams, Sara / Mason, Lowell</v>
      </c>
      <c r="B40" s="2">
        <f ca="1">IFERROR(__xludf.DUMMYFUNCTION("""COMPUTED_VALUE"""),1)</f>
        <v>1</v>
      </c>
      <c r="C40" s="7">
        <f ca="1">IFERROR(__xludf.DUMMYFUNCTION("""COMPUTED_VALUE"""),1)</f>
        <v>1</v>
      </c>
      <c r="D40" s="8">
        <f ca="1">IFERROR(__xludf.DUMMYFUNCTION("""COMPUTED_VALUE"""),5)</f>
        <v>5</v>
      </c>
      <c r="E40" s="2">
        <f ca="1">IFERROR(__xludf.DUMMYFUNCTION("""COMPUTED_VALUE"""),2)</f>
        <v>2</v>
      </c>
    </row>
    <row r="41" spans="1:5" ht="15.75" customHeight="1">
      <c r="A41" s="2" t="str">
        <f ca="1">IFERROR(__xludf.DUMMYFUNCTION("""COMPUTED_VALUE"""),"Adams, Stephen")</f>
        <v>Adams, Stephen</v>
      </c>
      <c r="B41" s="2">
        <f ca="1">IFERROR(__xludf.DUMMYFUNCTION("""COMPUTED_VALUE"""),1)</f>
        <v>1</v>
      </c>
      <c r="C41" s="7">
        <f ca="1">IFERROR(__xludf.DUMMYFUNCTION("""COMPUTED_VALUE"""),1)</f>
        <v>1</v>
      </c>
      <c r="D41" s="8">
        <f ca="1">IFERROR(__xludf.DUMMYFUNCTION("""COMPUTED_VALUE"""),5)</f>
        <v>5</v>
      </c>
      <c r="E41" s="2">
        <f ca="1">IFERROR(__xludf.DUMMYFUNCTION("""COMPUTED_VALUE"""),2)</f>
        <v>2</v>
      </c>
    </row>
    <row r="42" spans="1:5" ht="15.75" customHeight="1">
      <c r="A42" s="2" t="str">
        <f ca="1">IFERROR(__xludf.DUMMYFUNCTION("""COMPUTED_VALUE"""),"Adams, Thomas L.")</f>
        <v>Adams, Thomas L.</v>
      </c>
      <c r="B42" s="3">
        <f ca="1">IFERROR(__xludf.DUMMYFUNCTION("""COMPUTED_VALUE"""),1)</f>
        <v>1</v>
      </c>
      <c r="C42" s="7">
        <f ca="1">IFERROR(__xludf.DUMMYFUNCTION("""COMPUTED_VALUE"""),1)</f>
        <v>1</v>
      </c>
      <c r="D42" s="8">
        <f ca="1">IFERROR(__xludf.DUMMYFUNCTION("""COMPUTED_VALUE"""),5)</f>
        <v>5</v>
      </c>
      <c r="E42" s="3">
        <f ca="1">IFERROR(__xludf.DUMMYFUNCTION("""COMPUTED_VALUE"""),2)</f>
        <v>2</v>
      </c>
    </row>
    <row r="43" spans="1:5" ht="15.75" customHeight="1">
      <c r="A43" s="2" t="str">
        <f ca="1">IFERROR(__xludf.DUMMYFUNCTION("""COMPUTED_VALUE"""),"Adamsons, Ryan")</f>
        <v>Adamsons, Ryan</v>
      </c>
      <c r="B43" s="3">
        <f ca="1">IFERROR(__xludf.DUMMYFUNCTION("""COMPUTED_VALUE"""),1)</f>
        <v>1</v>
      </c>
      <c r="C43" s="7">
        <f ca="1">IFERROR(__xludf.DUMMYFUNCTION("""COMPUTED_VALUE"""),1)</f>
        <v>1</v>
      </c>
      <c r="D43" s="8">
        <f ca="1">IFERROR(__xludf.DUMMYFUNCTION("""COMPUTED_VALUE"""),1)</f>
        <v>1</v>
      </c>
      <c r="E43" s="2">
        <f ca="1">IFERROR(__xludf.DUMMYFUNCTION("""COMPUTED_VALUE"""),1)</f>
        <v>1</v>
      </c>
    </row>
    <row r="44" spans="1:5" ht="15.75" customHeight="1">
      <c r="A44" s="2" t="str">
        <f ca="1">IFERROR(__xludf.DUMMYFUNCTION("""COMPUTED_VALUE"""),"Adamsons, Ryan Erik")</f>
        <v>Adamsons, Ryan Erik</v>
      </c>
      <c r="B44" s="3">
        <f ca="1">IFERROR(__xludf.DUMMYFUNCTION("""COMPUTED_VALUE"""),1)</f>
        <v>1</v>
      </c>
      <c r="C44" s="7">
        <f ca="1">IFERROR(__xludf.DUMMYFUNCTION("""COMPUTED_VALUE"""),1)</f>
        <v>1</v>
      </c>
      <c r="D44" s="8">
        <f ca="1">IFERROR(__xludf.DUMMYFUNCTION("""COMPUTED_VALUE"""),1)</f>
        <v>1</v>
      </c>
      <c r="E44" s="2">
        <f ca="1">IFERROR(__xludf.DUMMYFUNCTION("""COMPUTED_VALUE"""),1)</f>
        <v>1</v>
      </c>
    </row>
    <row r="45" spans="1:5" ht="15.75" customHeight="1">
      <c r="A45" s="8" t="str">
        <f ca="1">IFERROR(__xludf.DUMMYFUNCTION("""COMPUTED_VALUE"""),"Adashi, Judah")</f>
        <v>Adashi, Judah</v>
      </c>
      <c r="B45" s="3">
        <f ca="1">IFERROR(__xludf.DUMMYFUNCTION("""COMPUTED_VALUE"""),1)</f>
        <v>1</v>
      </c>
      <c r="C45" s="7">
        <f ca="1">IFERROR(__xludf.DUMMYFUNCTION("""COMPUTED_VALUE"""),1)</f>
        <v>1</v>
      </c>
      <c r="D45" s="8">
        <f ca="1">IFERROR(__xludf.DUMMYFUNCTION("""COMPUTED_VALUE"""),1)</f>
        <v>1</v>
      </c>
      <c r="E45" s="2">
        <f ca="1">IFERROR(__xludf.DUMMYFUNCTION("""COMPUTED_VALUE"""),1)</f>
        <v>1</v>
      </c>
    </row>
    <row r="46" spans="1:5" ht="15.75" customHeight="1">
      <c r="A46" s="8" t="str">
        <f ca="1">IFERROR(__xludf.DUMMYFUNCTION("""COMPUTED_VALUE"""),"Addinsell, Richard")</f>
        <v>Addinsell, Richard</v>
      </c>
      <c r="B46" s="3">
        <f ca="1">IFERROR(__xludf.DUMMYFUNCTION("""COMPUTED_VALUE"""),1)</f>
        <v>1</v>
      </c>
      <c r="C46" s="7">
        <f ca="1">IFERROR(__xludf.DUMMYFUNCTION("""COMPUTED_VALUE"""),1)</f>
        <v>1</v>
      </c>
      <c r="D46" s="8">
        <f ca="1">IFERROR(__xludf.DUMMYFUNCTION("""COMPUTED_VALUE"""),5)</f>
        <v>5</v>
      </c>
      <c r="E46" s="2">
        <f ca="1">IFERROR(__xludf.DUMMYFUNCTION("""COMPUTED_VALUE"""),2)</f>
        <v>2</v>
      </c>
    </row>
    <row r="47" spans="1:5" ht="15.75" customHeight="1">
      <c r="A47" s="2" t="str">
        <f ca="1">IFERROR(__xludf.DUMMYFUNCTION("""COMPUTED_VALUE"""),"Addison, John")</f>
        <v>Addison, John</v>
      </c>
      <c r="B47" s="3">
        <f ca="1">IFERROR(__xludf.DUMMYFUNCTION("""COMPUTED_VALUE"""),1)</f>
        <v>1</v>
      </c>
      <c r="C47" s="7">
        <f ca="1">IFERROR(__xludf.DUMMYFUNCTION("""COMPUTED_VALUE"""),1)</f>
        <v>1</v>
      </c>
      <c r="D47" s="8">
        <f ca="1">IFERROR(__xludf.DUMMYFUNCTION("""COMPUTED_VALUE"""),5)</f>
        <v>5</v>
      </c>
      <c r="E47" s="2">
        <f ca="1">IFERROR(__xludf.DUMMYFUNCTION("""COMPUTED_VALUE"""),2)</f>
        <v>2</v>
      </c>
    </row>
    <row r="48" spans="1:5" ht="15.75" customHeight="1">
      <c r="A48" s="2" t="str">
        <f ca="1">IFERROR(__xludf.DUMMYFUNCTION("""COMPUTED_VALUE"""),"Addrisi, Don")</f>
        <v>Addrisi, Don</v>
      </c>
      <c r="B48" s="3">
        <f ca="1">IFERROR(__xludf.DUMMYFUNCTION("""COMPUTED_VALUE"""),1)</f>
        <v>1</v>
      </c>
      <c r="C48" s="7">
        <f ca="1">IFERROR(__xludf.DUMMYFUNCTION("""COMPUTED_VALUE"""),1)</f>
        <v>1</v>
      </c>
      <c r="D48" s="8">
        <f ca="1">IFERROR(__xludf.DUMMYFUNCTION("""COMPUTED_VALUE"""),5)</f>
        <v>5</v>
      </c>
      <c r="E48" s="2">
        <f ca="1">IFERROR(__xludf.DUMMYFUNCTION("""COMPUTED_VALUE"""),2)</f>
        <v>2</v>
      </c>
    </row>
    <row r="49" spans="1:5" ht="15.75" customHeight="1">
      <c r="A49" s="2" t="str">
        <f ca="1">IFERROR(__xludf.DUMMYFUNCTION("""COMPUTED_VALUE"""),"Ades, Hawley")</f>
        <v>Ades, Hawley</v>
      </c>
      <c r="B49" s="3">
        <f ca="1">IFERROR(__xludf.DUMMYFUNCTION("""COMPUTED_VALUE"""),1)</f>
        <v>1</v>
      </c>
      <c r="C49" s="7">
        <f ca="1">IFERROR(__xludf.DUMMYFUNCTION("""COMPUTED_VALUE"""),1)</f>
        <v>1</v>
      </c>
      <c r="D49" s="8">
        <f ca="1">IFERROR(__xludf.DUMMYFUNCTION("""COMPUTED_VALUE"""),5)</f>
        <v>5</v>
      </c>
      <c r="E49" s="3">
        <f ca="1">IFERROR(__xludf.DUMMYFUNCTION("""COMPUTED_VALUE"""),2)</f>
        <v>2</v>
      </c>
    </row>
    <row r="50" spans="1:5" ht="15.75" customHeight="1">
      <c r="A50" s="8" t="str">
        <f ca="1">IFERROR(__xludf.DUMMYFUNCTION("""COMPUTED_VALUE"""),"Adès, Thomas")</f>
        <v>Adès, Thomas</v>
      </c>
      <c r="B50" s="3">
        <f ca="1">IFERROR(__xludf.DUMMYFUNCTION("""COMPUTED_VALUE"""),1)</f>
        <v>1</v>
      </c>
      <c r="C50" s="7">
        <f ca="1">IFERROR(__xludf.DUMMYFUNCTION("""COMPUTED_VALUE"""),1)</f>
        <v>1</v>
      </c>
      <c r="D50" s="8">
        <f ca="1">IFERROR(__xludf.DUMMYFUNCTION("""COMPUTED_VALUE"""),1)</f>
        <v>1</v>
      </c>
      <c r="E50" s="2">
        <f ca="1">IFERROR(__xludf.DUMMYFUNCTION("""COMPUTED_VALUE"""),1)</f>
        <v>1</v>
      </c>
    </row>
    <row r="51" spans="1:5" ht="15.75" customHeight="1">
      <c r="A51" s="2" t="str">
        <f ca="1">IFERROR(__xludf.DUMMYFUNCTION("""COMPUTED_VALUE"""),"Adickes, David")</f>
        <v>Adickes, David</v>
      </c>
      <c r="B51" s="3">
        <f ca="1">IFERROR(__xludf.DUMMYFUNCTION("""COMPUTED_VALUE"""),1)</f>
        <v>1</v>
      </c>
      <c r="C51" s="7">
        <f ca="1">IFERROR(__xludf.DUMMYFUNCTION("""COMPUTED_VALUE"""),1)</f>
        <v>1</v>
      </c>
      <c r="D51" s="8">
        <f ca="1">IFERROR(__xludf.DUMMYFUNCTION("""COMPUTED_VALUE"""),5)</f>
        <v>5</v>
      </c>
      <c r="E51" s="2">
        <f ca="1">IFERROR(__xludf.DUMMYFUNCTION("""COMPUTED_VALUE"""),2)</f>
        <v>2</v>
      </c>
    </row>
    <row r="52" spans="1:5" ht="15.75" customHeight="1">
      <c r="A52" s="2" t="str">
        <f ca="1">IFERROR(__xludf.DUMMYFUNCTION("""COMPUTED_VALUE"""),"Adkins, Greg")</f>
        <v>Adkins, Greg</v>
      </c>
      <c r="B52" s="3">
        <f ca="1">IFERROR(__xludf.DUMMYFUNCTION("""COMPUTED_VALUE"""),1)</f>
        <v>1</v>
      </c>
      <c r="C52" s="7">
        <f ca="1">IFERROR(__xludf.DUMMYFUNCTION("""COMPUTED_VALUE"""),1)</f>
        <v>1</v>
      </c>
      <c r="D52" s="8">
        <f ca="1">IFERROR(__xludf.DUMMYFUNCTION("""COMPUTED_VALUE"""),1)</f>
        <v>1</v>
      </c>
      <c r="E52" s="2">
        <f ca="1">IFERROR(__xludf.DUMMYFUNCTION("""COMPUTED_VALUE"""),1)</f>
        <v>1</v>
      </c>
    </row>
    <row r="53" spans="1:5" ht="15.75" customHeight="1">
      <c r="A53" s="2" t="str">
        <f ca="1">IFERROR(__xludf.DUMMYFUNCTION("""COMPUTED_VALUE"""),"Adler, Kurt")</f>
        <v>Adler, Kurt</v>
      </c>
      <c r="B53" s="2">
        <f ca="1">IFERROR(__xludf.DUMMYFUNCTION("""COMPUTED_VALUE"""),1)</f>
        <v>1</v>
      </c>
      <c r="C53" s="2">
        <f ca="1">IFERROR(__xludf.DUMMYFUNCTION("""COMPUTED_VALUE"""),1)</f>
        <v>1</v>
      </c>
      <c r="D53" s="8">
        <f ca="1">IFERROR(__xludf.DUMMYFUNCTION("""COMPUTED_VALUE"""),5)</f>
        <v>5</v>
      </c>
      <c r="E53" s="2">
        <f ca="1">IFERROR(__xludf.DUMMYFUNCTION("""COMPUTED_VALUE"""),2)</f>
        <v>2</v>
      </c>
    </row>
    <row r="54" spans="1:5" ht="15.75" customHeight="1">
      <c r="A54" s="2" t="str">
        <f ca="1">IFERROR(__xludf.DUMMYFUNCTION("""COMPUTED_VALUE"""),"Adler, Richard / Ross, Jerry")</f>
        <v>Adler, Richard / Ross, Jerry</v>
      </c>
      <c r="B54" s="2">
        <f ca="1">IFERROR(__xludf.DUMMYFUNCTION("""COMPUTED_VALUE"""),1)</f>
        <v>1</v>
      </c>
      <c r="C54" s="7">
        <f ca="1">IFERROR(__xludf.DUMMYFUNCTION("""COMPUTED_VALUE"""),1)</f>
        <v>1</v>
      </c>
      <c r="D54" s="8">
        <f ca="1">IFERROR(__xludf.DUMMYFUNCTION("""COMPUTED_VALUE"""),5)</f>
        <v>5</v>
      </c>
      <c r="E54" s="2">
        <f ca="1">IFERROR(__xludf.DUMMYFUNCTION("""COMPUTED_VALUE"""),2)</f>
        <v>2</v>
      </c>
    </row>
    <row r="55" spans="1:5" ht="15.75" customHeight="1">
      <c r="A55" s="8" t="str">
        <f ca="1">IFERROR(__xludf.DUMMYFUNCTION("""COMPUTED_VALUE"""),"Adler, Sam")</f>
        <v>Adler, Sam</v>
      </c>
      <c r="B55" s="3">
        <f ca="1">IFERROR(__xludf.DUMMYFUNCTION("""COMPUTED_VALUE"""),1)</f>
        <v>1</v>
      </c>
      <c r="C55" s="7">
        <f ca="1">IFERROR(__xludf.DUMMYFUNCTION("""COMPUTED_VALUE"""),1)</f>
        <v>1</v>
      </c>
      <c r="D55" s="8">
        <f ca="1">IFERROR(__xludf.DUMMYFUNCTION("""COMPUTED_VALUE"""),1)</f>
        <v>1</v>
      </c>
      <c r="E55" s="2">
        <f ca="1">IFERROR(__xludf.DUMMYFUNCTION("""COMPUTED_VALUE"""),1)</f>
        <v>1</v>
      </c>
    </row>
    <row r="56" spans="1:5" ht="15.75" customHeight="1">
      <c r="A56" s="8" t="str">
        <f ca="1">IFERROR(__xludf.DUMMYFUNCTION("""COMPUTED_VALUE"""),"Adler, Samuel")</f>
        <v>Adler, Samuel</v>
      </c>
      <c r="B56" s="3">
        <f ca="1">IFERROR(__xludf.DUMMYFUNCTION("""COMPUTED_VALUE"""),1)</f>
        <v>1</v>
      </c>
      <c r="C56" s="7">
        <f ca="1">IFERROR(__xludf.DUMMYFUNCTION("""COMPUTED_VALUE"""),1)</f>
        <v>1</v>
      </c>
      <c r="D56" s="8">
        <f ca="1">IFERROR(__xludf.DUMMYFUNCTION("""COMPUTED_VALUE"""),1)</f>
        <v>1</v>
      </c>
      <c r="E56" s="2">
        <f ca="1">IFERROR(__xludf.DUMMYFUNCTION("""COMPUTED_VALUE"""),1)</f>
        <v>1</v>
      </c>
    </row>
    <row r="57" spans="1:5" ht="15.75" customHeight="1">
      <c r="A57" s="8" t="str">
        <f ca="1">IFERROR(__xludf.DUMMYFUNCTION("""COMPUTED_VALUE"""),"Adlgasser, Anton")</f>
        <v>Adlgasser, Anton</v>
      </c>
      <c r="B57" s="2">
        <f ca="1">IFERROR(__xludf.DUMMYFUNCTION("""COMPUTED_VALUE"""),1)</f>
        <v>1</v>
      </c>
      <c r="C57" s="7">
        <f ca="1">IFERROR(__xludf.DUMMYFUNCTION("""COMPUTED_VALUE"""),1)</f>
        <v>1</v>
      </c>
      <c r="D57" s="8">
        <f ca="1">IFERROR(__xludf.DUMMYFUNCTION("""COMPUTED_VALUE"""),5)</f>
        <v>5</v>
      </c>
      <c r="E57" s="2">
        <f ca="1">IFERROR(__xludf.DUMMYFUNCTION("""COMPUTED_VALUE"""),2)</f>
        <v>2</v>
      </c>
    </row>
    <row r="58" spans="1:5" ht="15.75" customHeight="1">
      <c r="A58" s="2" t="str">
        <f ca="1">IFERROR(__xludf.DUMMYFUNCTION("""COMPUTED_VALUE"""),"Adlgasser, Anton Cajetan")</f>
        <v>Adlgasser, Anton Cajetan</v>
      </c>
      <c r="B58" s="3">
        <f ca="1">IFERROR(__xludf.DUMMYFUNCTION("""COMPUTED_VALUE"""),1)</f>
        <v>1</v>
      </c>
      <c r="C58" s="7">
        <f ca="1">IFERROR(__xludf.DUMMYFUNCTION("""COMPUTED_VALUE"""),1)</f>
        <v>1</v>
      </c>
      <c r="D58" s="8">
        <f ca="1">IFERROR(__xludf.DUMMYFUNCTION("""COMPUTED_VALUE"""),5)</f>
        <v>5</v>
      </c>
      <c r="E58" s="2">
        <f ca="1">IFERROR(__xludf.DUMMYFUNCTION("""COMPUTED_VALUE"""),2)</f>
        <v>2</v>
      </c>
    </row>
    <row r="59" spans="1:5" ht="15.75" customHeight="1">
      <c r="A59" s="2" t="str">
        <f ca="1">IFERROR(__xludf.DUMMYFUNCTION("""COMPUTED_VALUE"""),"Adolf, Johann")</f>
        <v>Adolf, Johann</v>
      </c>
      <c r="B59" s="2">
        <f ca="1">IFERROR(__xludf.DUMMYFUNCTION("""COMPUTED_VALUE"""),1)</f>
        <v>1</v>
      </c>
      <c r="C59" s="7">
        <f ca="1">IFERROR(__xludf.DUMMYFUNCTION("""COMPUTED_VALUE"""),1)</f>
        <v>1</v>
      </c>
      <c r="D59" s="8">
        <f ca="1">IFERROR(__xludf.DUMMYFUNCTION("""COMPUTED_VALUE"""),1)</f>
        <v>1</v>
      </c>
      <c r="E59" s="2">
        <f ca="1">IFERROR(__xludf.DUMMYFUNCTION("""COMPUTED_VALUE"""),1)</f>
        <v>1</v>
      </c>
    </row>
    <row r="60" spans="1:5" ht="15.75" customHeight="1">
      <c r="A60" s="8" t="str">
        <f ca="1">IFERROR(__xludf.DUMMYFUNCTION("""COMPUTED_VALUE"""),"Adolphe, Bruce")</f>
        <v>Adolphe, Bruce</v>
      </c>
      <c r="B60" s="3">
        <f ca="1">IFERROR(__xludf.DUMMYFUNCTION("""COMPUTED_VALUE"""),1)</f>
        <v>1</v>
      </c>
      <c r="C60" s="7">
        <f ca="1">IFERROR(__xludf.DUMMYFUNCTION("""COMPUTED_VALUE"""),1)</f>
        <v>1</v>
      </c>
      <c r="D60" s="8">
        <f ca="1">IFERROR(__xludf.DUMMYFUNCTION("""COMPUTED_VALUE"""),1)</f>
        <v>1</v>
      </c>
      <c r="E60" s="2">
        <f ca="1">IFERROR(__xludf.DUMMYFUNCTION("""COMPUTED_VALUE"""),1)</f>
        <v>1</v>
      </c>
    </row>
    <row r="61" spans="1:5" ht="15.75" customHeight="1">
      <c r="A61" s="2" t="str">
        <f ca="1">IFERROR(__xludf.DUMMYFUNCTION("""COMPUTED_VALUE"""),"Ae Fond Kiss")</f>
        <v>Ae Fond Kiss</v>
      </c>
      <c r="B61" s="3">
        <f ca="1">IFERROR(__xludf.DUMMYFUNCTION("""COMPUTED_VALUE"""),1)</f>
        <v>1</v>
      </c>
      <c r="C61" s="7">
        <f ca="1">IFERROR(__xludf.DUMMYFUNCTION("""COMPUTED_VALUE"""),1)</f>
        <v>1</v>
      </c>
      <c r="D61" s="8">
        <f ca="1">IFERROR(__xludf.DUMMYFUNCTION("""COMPUTED_VALUE"""),1)</f>
        <v>1</v>
      </c>
      <c r="E61" s="2">
        <f ca="1">IFERROR(__xludf.DUMMYFUNCTION("""COMPUTED_VALUE"""),1)</f>
        <v>1</v>
      </c>
    </row>
    <row r="62" spans="1:5" ht="15.75" customHeight="1">
      <c r="A62" s="2" t="str">
        <f ca="1">IFERROR(__xludf.DUMMYFUNCTION("""COMPUTED_VALUE"""),"Aebersold, Jamey")</f>
        <v>Aebersold, Jamey</v>
      </c>
      <c r="B62" s="3">
        <f ca="1">IFERROR(__xludf.DUMMYFUNCTION("""COMPUTED_VALUE"""),1)</f>
        <v>1</v>
      </c>
      <c r="C62" s="7">
        <f ca="1">IFERROR(__xludf.DUMMYFUNCTION("""COMPUTED_VALUE"""),1)</f>
        <v>1</v>
      </c>
      <c r="D62" s="8">
        <f ca="1">IFERROR(__xludf.DUMMYFUNCTION("""COMPUTED_VALUE"""),1)</f>
        <v>1</v>
      </c>
      <c r="E62" s="2">
        <f ca="1">IFERROR(__xludf.DUMMYFUNCTION("""COMPUTED_VALUE"""),1)</f>
        <v>1</v>
      </c>
    </row>
    <row r="63" spans="1:5" ht="15.75" customHeight="1">
      <c r="A63" s="8" t="str">
        <f ca="1">IFERROR(__xludf.DUMMYFUNCTION("""COMPUTED_VALUE"""),"Aertgeerts, Stign")</f>
        <v>Aertgeerts, Stign</v>
      </c>
      <c r="B63" s="3">
        <f ca="1">IFERROR(__xludf.DUMMYFUNCTION("""COMPUTED_VALUE"""),1)</f>
        <v>1</v>
      </c>
      <c r="C63" s="7">
        <f ca="1">IFERROR(__xludf.DUMMYFUNCTION("""COMPUTED_VALUE"""),1)</f>
        <v>1</v>
      </c>
      <c r="D63" s="8">
        <f ca="1">IFERROR(__xludf.DUMMYFUNCTION("""COMPUTED_VALUE"""),1)</f>
        <v>1</v>
      </c>
      <c r="E63" s="2">
        <f ca="1">IFERROR(__xludf.DUMMYFUNCTION("""COMPUTED_VALUE"""),1)</f>
        <v>1</v>
      </c>
    </row>
    <row r="64" spans="1:5" ht="13">
      <c r="A64" s="8" t="str">
        <f ca="1">IFERROR(__xludf.DUMMYFUNCTION("""COMPUTED_VALUE"""),"Agapkin, Vasily")</f>
        <v>Agapkin, Vasily</v>
      </c>
      <c r="B64" s="3">
        <f ca="1">IFERROR(__xludf.DUMMYFUNCTION("""COMPUTED_VALUE"""),1)</f>
        <v>1</v>
      </c>
      <c r="C64" s="7">
        <f ca="1">IFERROR(__xludf.DUMMYFUNCTION("""COMPUTED_VALUE"""),1)</f>
        <v>1</v>
      </c>
      <c r="D64" s="8">
        <f ca="1">IFERROR(__xludf.DUMMYFUNCTION("""COMPUTED_VALUE"""),5)</f>
        <v>5</v>
      </c>
      <c r="E64" s="2">
        <f ca="1">IFERROR(__xludf.DUMMYFUNCTION("""COMPUTED_VALUE"""),2)</f>
        <v>2</v>
      </c>
    </row>
    <row r="65" spans="1:5" ht="13">
      <c r="A65" s="2" t="str">
        <f ca="1">IFERROR(__xludf.DUMMYFUNCTION("""COMPUTED_VALUE"""),"Agay, Denes")</f>
        <v>Agay, Denes</v>
      </c>
      <c r="B65" s="2">
        <f ca="1">IFERROR(__xludf.DUMMYFUNCTION("""COMPUTED_VALUE"""),1)</f>
        <v>1</v>
      </c>
      <c r="C65" s="7">
        <f ca="1">IFERROR(__xludf.DUMMYFUNCTION("""COMPUTED_VALUE"""),1)</f>
        <v>1</v>
      </c>
      <c r="D65" s="8">
        <f ca="1">IFERROR(__xludf.DUMMYFUNCTION("""COMPUTED_VALUE"""),5)</f>
        <v>5</v>
      </c>
      <c r="E65" s="2">
        <f ca="1">IFERROR(__xludf.DUMMYFUNCTION("""COMPUTED_VALUE"""),2)</f>
        <v>2</v>
      </c>
    </row>
    <row r="66" spans="1:5" ht="13">
      <c r="A66" s="2" t="str">
        <f ca="1">IFERROR(__xludf.DUMMYFUNCTION("""COMPUTED_VALUE"""),"Agazzari, Agostino")</f>
        <v>Agazzari, Agostino</v>
      </c>
      <c r="B66" s="3">
        <f ca="1">IFERROR(__xludf.DUMMYFUNCTION("""COMPUTED_VALUE"""),1)</f>
        <v>1</v>
      </c>
      <c r="C66" s="7">
        <f ca="1">IFERROR(__xludf.DUMMYFUNCTION("""COMPUTED_VALUE"""),1)</f>
        <v>1</v>
      </c>
      <c r="D66" s="8">
        <f ca="1">IFERROR(__xludf.DUMMYFUNCTION("""COMPUTED_VALUE"""),5)</f>
        <v>5</v>
      </c>
      <c r="E66" s="2">
        <f ca="1">IFERROR(__xludf.DUMMYFUNCTION("""COMPUTED_VALUE"""),2)</f>
        <v>2</v>
      </c>
    </row>
    <row r="67" spans="1:5" ht="13">
      <c r="A67" s="8" t="str">
        <f ca="1">IFERROR(__xludf.DUMMYFUNCTION("""COMPUTED_VALUE"""),"Ager, Milton")</f>
        <v>Ager, Milton</v>
      </c>
      <c r="B67" s="3">
        <f ca="1">IFERROR(__xludf.DUMMYFUNCTION("""COMPUTED_VALUE"""),1)</f>
        <v>1</v>
      </c>
      <c r="C67" s="7">
        <f ca="1">IFERROR(__xludf.DUMMYFUNCTION("""COMPUTED_VALUE"""),1)</f>
        <v>1</v>
      </c>
      <c r="D67" s="8">
        <f ca="1">IFERROR(__xludf.DUMMYFUNCTION("""COMPUTED_VALUE"""),5)</f>
        <v>5</v>
      </c>
      <c r="E67" s="2">
        <f ca="1">IFERROR(__xludf.DUMMYFUNCTION("""COMPUTED_VALUE"""),2)</f>
        <v>2</v>
      </c>
    </row>
    <row r="68" spans="1:5" ht="13">
      <c r="A68" s="8" t="str">
        <f ca="1">IFERROR(__xludf.DUMMYFUNCTION("""COMPUTED_VALUE"""),"Ager, Milton / Yellen, Jack")</f>
        <v>Ager, Milton / Yellen, Jack</v>
      </c>
      <c r="B68" s="3">
        <f ca="1">IFERROR(__xludf.DUMMYFUNCTION("""COMPUTED_VALUE"""),1)</f>
        <v>1</v>
      </c>
      <c r="C68" s="7">
        <f ca="1">IFERROR(__xludf.DUMMYFUNCTION("""COMPUTED_VALUE"""),1)</f>
        <v>1</v>
      </c>
      <c r="D68" s="8">
        <f ca="1">IFERROR(__xludf.DUMMYFUNCTION("""COMPUTED_VALUE"""),5)</f>
        <v>5</v>
      </c>
      <c r="E68" s="2">
        <f ca="1">IFERROR(__xludf.DUMMYFUNCTION("""COMPUTED_VALUE"""),2)</f>
        <v>2</v>
      </c>
    </row>
    <row r="69" spans="1:5" ht="13">
      <c r="A69" s="8" t="str">
        <f ca="1">IFERROR(__xludf.DUMMYFUNCTION("""COMPUTED_VALUE"""),"Agnestig, Carl")</f>
        <v>Agnestig, Carl</v>
      </c>
      <c r="B69" s="3">
        <f ca="1">IFERROR(__xludf.DUMMYFUNCTION("""COMPUTED_VALUE"""),1)</f>
        <v>1</v>
      </c>
      <c r="C69" s="7">
        <f ca="1">IFERROR(__xludf.DUMMYFUNCTION("""COMPUTED_VALUE"""),1)</f>
        <v>1</v>
      </c>
      <c r="D69" s="8">
        <f ca="1">IFERROR(__xludf.DUMMYFUNCTION("""COMPUTED_VALUE"""),5)</f>
        <v>5</v>
      </c>
      <c r="E69" s="2">
        <f ca="1">IFERROR(__xludf.DUMMYFUNCTION("""COMPUTED_VALUE"""),2)</f>
        <v>2</v>
      </c>
    </row>
    <row r="70" spans="1:5" ht="13">
      <c r="A70" s="8" t="str">
        <f ca="1">IFERROR(__xludf.DUMMYFUNCTION("""COMPUTED_VALUE"""),"Agrell, Jeffrey")</f>
        <v>Agrell, Jeffrey</v>
      </c>
      <c r="B70" s="3">
        <f ca="1">IFERROR(__xludf.DUMMYFUNCTION("""COMPUTED_VALUE"""),1)</f>
        <v>1</v>
      </c>
      <c r="C70" s="7">
        <f ca="1">IFERROR(__xludf.DUMMYFUNCTION("""COMPUTED_VALUE"""),1)</f>
        <v>1</v>
      </c>
      <c r="D70" s="8">
        <f ca="1">IFERROR(__xludf.DUMMYFUNCTION("""COMPUTED_VALUE"""),1)</f>
        <v>1</v>
      </c>
      <c r="E70" s="2">
        <f ca="1">IFERROR(__xludf.DUMMYFUNCTION("""COMPUTED_VALUE"""),1)</f>
        <v>1</v>
      </c>
    </row>
    <row r="71" spans="1:5" ht="13">
      <c r="A71" s="2" t="str">
        <f ca="1">IFERROR(__xludf.DUMMYFUNCTION("""COMPUTED_VALUE"""),"Aguado, Dionisio")</f>
        <v>Aguado, Dionisio</v>
      </c>
      <c r="B71" s="2">
        <f ca="1">IFERROR(__xludf.DUMMYFUNCTION("""COMPUTED_VALUE"""),1)</f>
        <v>1</v>
      </c>
      <c r="C71" s="7">
        <f ca="1">IFERROR(__xludf.DUMMYFUNCTION("""COMPUTED_VALUE"""),1)</f>
        <v>1</v>
      </c>
      <c r="D71" s="8">
        <f ca="1">IFERROR(__xludf.DUMMYFUNCTION("""COMPUTED_VALUE"""),5)</f>
        <v>5</v>
      </c>
      <c r="E71" s="2">
        <f ca="1">IFERROR(__xludf.DUMMYFUNCTION("""COMPUTED_VALUE"""),2)</f>
        <v>2</v>
      </c>
    </row>
    <row r="72" spans="1:5" ht="13">
      <c r="A72" s="8" t="str">
        <f ca="1">IFERROR(__xludf.DUMMYFUNCTION("""COMPUTED_VALUE"""),"ahbez, eden")</f>
        <v>ahbez, eden</v>
      </c>
      <c r="B72" s="3">
        <f ca="1">IFERROR(__xludf.DUMMYFUNCTION("""COMPUTED_VALUE"""),1)</f>
        <v>1</v>
      </c>
      <c r="C72" s="7">
        <f ca="1">IFERROR(__xludf.DUMMYFUNCTION("""COMPUTED_VALUE"""),1)</f>
        <v>1</v>
      </c>
      <c r="D72" s="8">
        <f ca="1">IFERROR(__xludf.DUMMYFUNCTION("""COMPUTED_VALUE"""),5)</f>
        <v>5</v>
      </c>
      <c r="E72" s="2">
        <f ca="1">IFERROR(__xludf.DUMMYFUNCTION("""COMPUTED_VALUE"""),2)</f>
        <v>2</v>
      </c>
    </row>
    <row r="73" spans="1:5" ht="13">
      <c r="A73" s="2" t="str">
        <f ca="1">IFERROR(__xludf.DUMMYFUNCTION("""COMPUTED_VALUE"""),"Ahlen, Waldemar")</f>
        <v>Ahlen, Waldemar</v>
      </c>
      <c r="B73" s="2">
        <f ca="1">IFERROR(__xludf.DUMMYFUNCTION("""COMPUTED_VALUE"""),1)</f>
        <v>1</v>
      </c>
      <c r="C73" s="7">
        <f ca="1">IFERROR(__xludf.DUMMYFUNCTION("""COMPUTED_VALUE"""),1)</f>
        <v>1</v>
      </c>
      <c r="D73" s="8">
        <f ca="1">IFERROR(__xludf.DUMMYFUNCTION("""COMPUTED_VALUE"""),5)</f>
        <v>5</v>
      </c>
      <c r="E73" s="2">
        <f ca="1">IFERROR(__xludf.DUMMYFUNCTION("""COMPUTED_VALUE"""),2)</f>
        <v>2</v>
      </c>
    </row>
    <row r="74" spans="1:5" ht="13">
      <c r="A74" s="2" t="str">
        <f ca="1">IFERROR(__xludf.DUMMYFUNCTION("""COMPUTED_VALUE"""),"Ahlert, Fred")</f>
        <v>Ahlert, Fred</v>
      </c>
      <c r="B74" s="2">
        <f ca="1">IFERROR(__xludf.DUMMYFUNCTION("""COMPUTED_VALUE"""),1)</f>
        <v>1</v>
      </c>
      <c r="C74" s="7">
        <f ca="1">IFERROR(__xludf.DUMMYFUNCTION("""COMPUTED_VALUE"""),1)</f>
        <v>1</v>
      </c>
      <c r="D74" s="8">
        <f ca="1">IFERROR(__xludf.DUMMYFUNCTION("""COMPUTED_VALUE"""),5)</f>
        <v>5</v>
      </c>
      <c r="E74" s="2">
        <f ca="1">IFERROR(__xludf.DUMMYFUNCTION("""COMPUTED_VALUE"""),2)</f>
        <v>2</v>
      </c>
    </row>
    <row r="75" spans="1:5" ht="13">
      <c r="A75" s="2" t="str">
        <f ca="1">IFERROR(__xludf.DUMMYFUNCTION("""COMPUTED_VALUE"""),"Ahlert, Fred / Turk, Roy")</f>
        <v>Ahlert, Fred / Turk, Roy</v>
      </c>
      <c r="B75" s="2">
        <f ca="1">IFERROR(__xludf.DUMMYFUNCTION("""COMPUTED_VALUE"""),1)</f>
        <v>1</v>
      </c>
      <c r="C75" s="7">
        <f ca="1">IFERROR(__xludf.DUMMYFUNCTION("""COMPUTED_VALUE"""),1)</f>
        <v>1</v>
      </c>
      <c r="D75" s="8">
        <f ca="1">IFERROR(__xludf.DUMMYFUNCTION("""COMPUTED_VALUE"""),5)</f>
        <v>5</v>
      </c>
      <c r="E75" s="2">
        <f ca="1">IFERROR(__xludf.DUMMYFUNCTION("""COMPUTED_VALUE"""),2)</f>
        <v>2</v>
      </c>
    </row>
    <row r="76" spans="1:5" ht="13">
      <c r="A76" s="8" t="str">
        <f ca="1">IFERROR(__xludf.DUMMYFUNCTION("""COMPUTED_VALUE"""),"Aho, Kalevi")</f>
        <v>Aho, Kalevi</v>
      </c>
      <c r="B76" s="3">
        <f ca="1">IFERROR(__xludf.DUMMYFUNCTION("""COMPUTED_VALUE"""),1)</f>
        <v>1</v>
      </c>
      <c r="C76" s="7">
        <f ca="1">IFERROR(__xludf.DUMMYFUNCTION("""COMPUTED_VALUE"""),1)</f>
        <v>1</v>
      </c>
      <c r="D76" s="8">
        <f ca="1">IFERROR(__xludf.DUMMYFUNCTION("""COMPUTED_VALUE"""),1)</f>
        <v>1</v>
      </c>
      <c r="E76" s="2">
        <f ca="1">IFERROR(__xludf.DUMMYFUNCTION("""COMPUTED_VALUE"""),1)</f>
        <v>1</v>
      </c>
    </row>
    <row r="77" spans="1:5" ht="13">
      <c r="A77" s="8" t="str">
        <f ca="1">IFERROR(__xludf.DUMMYFUNCTION("""COMPUTED_VALUE"""),"Ahrendt, Karl")</f>
        <v>Ahrendt, Karl</v>
      </c>
      <c r="B77" s="3">
        <f ca="1">IFERROR(__xludf.DUMMYFUNCTION("""COMPUTED_VALUE"""),1)</f>
        <v>1</v>
      </c>
      <c r="C77" s="7">
        <f ca="1">IFERROR(__xludf.DUMMYFUNCTION("""COMPUTED_VALUE"""),1)</f>
        <v>1</v>
      </c>
      <c r="D77" s="8">
        <f ca="1">IFERROR(__xludf.DUMMYFUNCTION("""COMPUTED_VALUE"""),5)</f>
        <v>5</v>
      </c>
      <c r="E77" s="2">
        <f ca="1">IFERROR(__xludf.DUMMYFUNCTION("""COMPUTED_VALUE"""),2)</f>
        <v>2</v>
      </c>
    </row>
    <row r="78" spans="1:5" ht="13">
      <c r="A78" s="8" t="str">
        <f ca="1">IFERROR(__xludf.DUMMYFUNCTION("""COMPUTED_VALUE"""),"Ahrold, Frank")</f>
        <v>Ahrold, Frank</v>
      </c>
      <c r="B78" s="3">
        <f ca="1">IFERROR(__xludf.DUMMYFUNCTION("""COMPUTED_VALUE"""),1)</f>
        <v>1</v>
      </c>
      <c r="C78" s="7">
        <f ca="1">IFERROR(__xludf.DUMMYFUNCTION("""COMPUTED_VALUE"""),1)</f>
        <v>1</v>
      </c>
      <c r="D78" s="8">
        <f ca="1">IFERROR(__xludf.DUMMYFUNCTION("""COMPUTED_VALUE"""),5)</f>
        <v>5</v>
      </c>
      <c r="E78" s="2">
        <f ca="1">IFERROR(__xludf.DUMMYFUNCTION("""COMPUTED_VALUE"""),2)</f>
        <v>2</v>
      </c>
    </row>
    <row r="79" spans="1:5" ht="13">
      <c r="A79" s="2" t="str">
        <f ca="1">IFERROR(__xludf.DUMMYFUNCTION("""COMPUTED_VALUE"""),"Ahronheim, Albert")</f>
        <v>Ahronheim, Albert</v>
      </c>
      <c r="B79" s="2">
        <f ca="1">IFERROR(__xludf.DUMMYFUNCTION("""COMPUTED_VALUE"""),1)</f>
        <v>1</v>
      </c>
      <c r="C79" s="7">
        <f ca="1">IFERROR(__xludf.DUMMYFUNCTION("""COMPUTED_VALUE"""),1)</f>
        <v>1</v>
      </c>
      <c r="D79" s="8">
        <f ca="1">IFERROR(__xludf.DUMMYFUNCTION("""COMPUTED_VALUE"""),1)</f>
        <v>1</v>
      </c>
      <c r="E79" s="2">
        <f ca="1">IFERROR(__xludf.DUMMYFUNCTION("""COMPUTED_VALUE"""),1)</f>
        <v>1</v>
      </c>
    </row>
    <row r="80" spans="1:5" ht="13">
      <c r="A80" s="8" t="str">
        <f ca="1">IFERROR(__xludf.DUMMYFUNCTION("""COMPUTED_VALUE"""),"Aiblinger, Johann Caspar")</f>
        <v>Aiblinger, Johann Caspar</v>
      </c>
      <c r="B80" s="3">
        <f ca="1">IFERROR(__xludf.DUMMYFUNCTION("""COMPUTED_VALUE"""),1)</f>
        <v>1</v>
      </c>
      <c r="C80" s="7">
        <f ca="1">IFERROR(__xludf.DUMMYFUNCTION("""COMPUTED_VALUE"""),1)</f>
        <v>1</v>
      </c>
      <c r="D80" s="8">
        <f ca="1">IFERROR(__xludf.DUMMYFUNCTION("""COMPUTED_VALUE"""),5)</f>
        <v>5</v>
      </c>
      <c r="E80" s="2">
        <f ca="1">IFERROR(__xludf.DUMMYFUNCTION("""COMPUTED_VALUE"""),2)</f>
        <v>2</v>
      </c>
    </row>
    <row r="81" spans="1:5" ht="13">
      <c r="A81" s="2" t="str">
        <f ca="1">IFERROR(__xludf.DUMMYFUNCTION("""COMPUTED_VALUE"""),"Aichinger, Gregor")</f>
        <v>Aichinger, Gregor</v>
      </c>
      <c r="B81" s="3">
        <f ca="1">IFERROR(__xludf.DUMMYFUNCTION("""COMPUTED_VALUE"""),1)</f>
        <v>1</v>
      </c>
      <c r="C81" s="7">
        <f ca="1">IFERROR(__xludf.DUMMYFUNCTION("""COMPUTED_VALUE"""),1)</f>
        <v>1</v>
      </c>
      <c r="D81" s="8">
        <f ca="1">IFERROR(__xludf.DUMMYFUNCTION("""COMPUTED_VALUE"""),5)</f>
        <v>5</v>
      </c>
      <c r="E81" s="2">
        <f ca="1">IFERROR(__xludf.DUMMYFUNCTION("""COMPUTED_VALUE"""),2)</f>
        <v>2</v>
      </c>
    </row>
    <row r="82" spans="1:5" ht="13">
      <c r="A82" s="8" t="str">
        <f ca="1">IFERROR(__xludf.DUMMYFUNCTION("""COMPUTED_VALUE"""),"Aitken, H.")</f>
        <v>Aitken, H.</v>
      </c>
      <c r="B82" s="3">
        <f ca="1">IFERROR(__xludf.DUMMYFUNCTION("""COMPUTED_VALUE"""),1)</f>
        <v>1</v>
      </c>
      <c r="C82" s="7">
        <f ca="1">IFERROR(__xludf.DUMMYFUNCTION("""COMPUTED_VALUE"""),1)</f>
        <v>1</v>
      </c>
      <c r="D82" s="8">
        <f ca="1">IFERROR(__xludf.DUMMYFUNCTION("""COMPUTED_VALUE"""),5)</f>
        <v>5</v>
      </c>
      <c r="E82" s="2">
        <f ca="1">IFERROR(__xludf.DUMMYFUNCTION("""COMPUTED_VALUE"""),2)</f>
        <v>2</v>
      </c>
    </row>
    <row r="83" spans="1:5" ht="13">
      <c r="A83" s="2" t="str">
        <f ca="1">IFERROR(__xludf.DUMMYFUNCTION("""COMPUTED_VALUE"""),"Aitken, Hugh")</f>
        <v>Aitken, Hugh</v>
      </c>
      <c r="B83" s="3">
        <f ca="1">IFERROR(__xludf.DUMMYFUNCTION("""COMPUTED_VALUE"""),1)</f>
        <v>1</v>
      </c>
      <c r="C83" s="7">
        <f ca="1">IFERROR(__xludf.DUMMYFUNCTION("""COMPUTED_VALUE"""),1)</f>
        <v>1</v>
      </c>
      <c r="D83" s="8">
        <f ca="1">IFERROR(__xludf.DUMMYFUNCTION("""COMPUTED_VALUE"""),5)</f>
        <v>5</v>
      </c>
      <c r="E83" s="2">
        <f ca="1">IFERROR(__xludf.DUMMYFUNCTION("""COMPUTED_VALUE"""),2)</f>
        <v>2</v>
      </c>
    </row>
    <row r="84" spans="1:5" ht="13">
      <c r="A84" s="2" t="str">
        <f ca="1">IFERROR(__xludf.DUMMYFUNCTION("""COMPUTED_VALUE"""),"Aitken, Paul")</f>
        <v>Aitken, Paul</v>
      </c>
      <c r="B84" s="3">
        <f ca="1">IFERROR(__xludf.DUMMYFUNCTION("""COMPUTED_VALUE"""),1)</f>
        <v>1</v>
      </c>
      <c r="C84" s="7">
        <f ca="1">IFERROR(__xludf.DUMMYFUNCTION("""COMPUTED_VALUE"""),1)</f>
        <v>1</v>
      </c>
      <c r="D84" s="8">
        <f ca="1">IFERROR(__xludf.DUMMYFUNCTION("""COMPUTED_VALUE"""),1)</f>
        <v>1</v>
      </c>
      <c r="E84" s="2">
        <f ca="1">IFERROR(__xludf.DUMMYFUNCTION("""COMPUTED_VALUE"""),1)</f>
        <v>1</v>
      </c>
    </row>
    <row r="85" spans="1:5" ht="13">
      <c r="A85" s="8" t="str">
        <f ca="1">IFERROR(__xludf.DUMMYFUNCTION("""COMPUTED_VALUE"""),"Akers, H.E.")</f>
        <v>Akers, H.E.</v>
      </c>
      <c r="B85" s="3">
        <f ca="1">IFERROR(__xludf.DUMMYFUNCTION("""COMPUTED_VALUE"""),1)</f>
        <v>1</v>
      </c>
      <c r="C85" s="7">
        <f ca="1">IFERROR(__xludf.DUMMYFUNCTION("""COMPUTED_VALUE"""),1)</f>
        <v>1</v>
      </c>
      <c r="D85" s="8">
        <f ca="1">IFERROR(__xludf.DUMMYFUNCTION("""COMPUTED_VALUE"""),5)</f>
        <v>5</v>
      </c>
      <c r="E85" s="2">
        <f ca="1">IFERROR(__xludf.DUMMYFUNCTION("""COMPUTED_VALUE"""),2)</f>
        <v>2</v>
      </c>
    </row>
    <row r="86" spans="1:5" ht="13">
      <c r="A86" s="2" t="str">
        <f ca="1">IFERROR(__xludf.DUMMYFUNCTION("""COMPUTED_VALUE"""),"Akers, Howard")</f>
        <v>Akers, Howard</v>
      </c>
      <c r="B86" s="2">
        <f ca="1">IFERROR(__xludf.DUMMYFUNCTION("""COMPUTED_VALUE"""),1)</f>
        <v>1</v>
      </c>
      <c r="C86" s="7">
        <f ca="1">IFERROR(__xludf.DUMMYFUNCTION("""COMPUTED_VALUE"""),1)</f>
        <v>1</v>
      </c>
      <c r="D86" s="8">
        <f ca="1">IFERROR(__xludf.DUMMYFUNCTION("""COMPUTED_VALUE"""),5)</f>
        <v>5</v>
      </c>
      <c r="E86" s="2">
        <f ca="1">IFERROR(__xludf.DUMMYFUNCTION("""COMPUTED_VALUE"""),2)</f>
        <v>2</v>
      </c>
    </row>
    <row r="87" spans="1:5" ht="13">
      <c r="A87" s="8" t="str">
        <f ca="1">IFERROR(__xludf.DUMMYFUNCTION("""COMPUTED_VALUE"""),"Akey, Douglas")</f>
        <v>Akey, Douglas</v>
      </c>
      <c r="B87" s="3">
        <f ca="1">IFERROR(__xludf.DUMMYFUNCTION("""COMPUTED_VALUE"""),1)</f>
        <v>1</v>
      </c>
      <c r="C87" s="7">
        <f ca="1">IFERROR(__xludf.DUMMYFUNCTION("""COMPUTED_VALUE"""),1)</f>
        <v>1</v>
      </c>
      <c r="D87" s="8">
        <f ca="1">IFERROR(__xludf.DUMMYFUNCTION("""COMPUTED_VALUE"""),1)</f>
        <v>1</v>
      </c>
      <c r="E87" s="2">
        <f ca="1">IFERROR(__xludf.DUMMYFUNCTION("""COMPUTED_VALUE"""),1)</f>
        <v>1</v>
      </c>
    </row>
    <row r="88" spans="1:5" ht="13">
      <c r="A88" s="2" t="str">
        <f ca="1">IFERROR(__xludf.DUMMYFUNCTION("""COMPUTED_VALUE"""),"Akst, Harry")</f>
        <v>Akst, Harry</v>
      </c>
      <c r="B88" s="3">
        <f ca="1">IFERROR(__xludf.DUMMYFUNCTION("""COMPUTED_VALUE"""),1)</f>
        <v>1</v>
      </c>
      <c r="C88" s="7">
        <f ca="1">IFERROR(__xludf.DUMMYFUNCTION("""COMPUTED_VALUE"""),1)</f>
        <v>1</v>
      </c>
      <c r="D88" s="8">
        <f ca="1">IFERROR(__xludf.DUMMYFUNCTION("""COMPUTED_VALUE"""),5)</f>
        <v>5</v>
      </c>
      <c r="E88" s="2">
        <f ca="1">IFERROR(__xludf.DUMMYFUNCTION("""COMPUTED_VALUE"""),2)</f>
        <v>2</v>
      </c>
    </row>
    <row r="89" spans="1:5" ht="13">
      <c r="A89" s="2" t="str">
        <f ca="1">IFERROR(__xludf.DUMMYFUNCTION("""COMPUTED_VALUE"""),"Akst, Harry / Davis, Benny")</f>
        <v>Akst, Harry / Davis, Benny</v>
      </c>
      <c r="B89" s="2">
        <f ca="1">IFERROR(__xludf.DUMMYFUNCTION("""COMPUTED_VALUE"""),1)</f>
        <v>1</v>
      </c>
      <c r="C89" s="7">
        <f ca="1">IFERROR(__xludf.DUMMYFUNCTION("""COMPUTED_VALUE"""),1)</f>
        <v>1</v>
      </c>
      <c r="D89" s="8">
        <f ca="1">IFERROR(__xludf.DUMMYFUNCTION("""COMPUTED_VALUE"""),5)</f>
        <v>5</v>
      </c>
      <c r="E89" s="2">
        <f ca="1">IFERROR(__xludf.DUMMYFUNCTION("""COMPUTED_VALUE"""),2)</f>
        <v>2</v>
      </c>
    </row>
    <row r="90" spans="1:5" ht="13">
      <c r="A90" s="2" t="str">
        <f ca="1">IFERROR(__xludf.DUMMYFUNCTION("""COMPUTED_VALUE"""),"Ala-Pöllänen, Kari")</f>
        <v>Ala-Pöllänen, Kari</v>
      </c>
      <c r="B90" s="3">
        <f ca="1">IFERROR(__xludf.DUMMYFUNCTION("""COMPUTED_VALUE"""),1)</f>
        <v>1</v>
      </c>
      <c r="C90" s="7">
        <f ca="1">IFERROR(__xludf.DUMMYFUNCTION("""COMPUTED_VALUE"""),1)</f>
        <v>1</v>
      </c>
      <c r="D90" s="8">
        <f ca="1">IFERROR(__xludf.DUMMYFUNCTION("""COMPUTED_VALUE"""),1)</f>
        <v>1</v>
      </c>
      <c r="E90" s="2">
        <f ca="1">IFERROR(__xludf.DUMMYFUNCTION("""COMPUTED_VALUE"""),1)</f>
        <v>1</v>
      </c>
    </row>
    <row r="91" spans="1:5" ht="13">
      <c r="A91" s="2" t="str">
        <f ca="1">IFERROR(__xludf.DUMMYFUNCTION("""COMPUTED_VALUE"""),"Alain, Jehan")</f>
        <v>Alain, Jehan</v>
      </c>
      <c r="B91" s="3">
        <f ca="1">IFERROR(__xludf.DUMMYFUNCTION("""COMPUTED_VALUE"""),1)</f>
        <v>1</v>
      </c>
      <c r="C91" s="7">
        <f ca="1">IFERROR(__xludf.DUMMYFUNCTION("""COMPUTED_VALUE"""),1)</f>
        <v>1</v>
      </c>
      <c r="D91" s="8">
        <f ca="1">IFERROR(__xludf.DUMMYFUNCTION("""COMPUTED_VALUE"""),5)</f>
        <v>5</v>
      </c>
      <c r="E91" s="2">
        <f ca="1">IFERROR(__xludf.DUMMYFUNCTION("""COMPUTED_VALUE"""),2)</f>
        <v>2</v>
      </c>
    </row>
    <row r="92" spans="1:5" ht="13">
      <c r="A92" s="2" t="str">
        <f ca="1">IFERROR(__xludf.DUMMYFUNCTION("""COMPUTED_VALUE"""),"Alan Buechner")</f>
        <v>Alan Buechner</v>
      </c>
      <c r="B92" s="3">
        <f ca="1">IFERROR(__xludf.DUMMYFUNCTION("""COMPUTED_VALUE"""),1)</f>
        <v>1</v>
      </c>
      <c r="C92" s="7">
        <f ca="1">IFERROR(__xludf.DUMMYFUNCTION("""COMPUTED_VALUE"""),1)</f>
        <v>1</v>
      </c>
      <c r="D92" s="8">
        <f ca="1">IFERROR(__xludf.DUMMYFUNCTION("""COMPUTED_VALUE"""),1)</f>
        <v>1</v>
      </c>
      <c r="E92" s="2">
        <f ca="1">IFERROR(__xludf.DUMMYFUNCTION("""COMPUTED_VALUE"""),1)</f>
        <v>1</v>
      </c>
    </row>
    <row r="93" spans="1:5" ht="13">
      <c r="A93" s="8" t="str">
        <f ca="1">IFERROR(__xludf.DUMMYFUNCTION("""COMPUTED_VALUE"""),"Alanis, Kyle")</f>
        <v>Alanis, Kyle</v>
      </c>
      <c r="B93" s="3">
        <f ca="1">IFERROR(__xludf.DUMMYFUNCTION("""COMPUTED_VALUE"""),1)</f>
        <v>1</v>
      </c>
      <c r="C93" s="7">
        <f ca="1">IFERROR(__xludf.DUMMYFUNCTION("""COMPUTED_VALUE"""),1)</f>
        <v>1</v>
      </c>
      <c r="D93" s="8">
        <f ca="1">IFERROR(__xludf.DUMMYFUNCTION("""COMPUTED_VALUE"""),1)</f>
        <v>1</v>
      </c>
      <c r="E93" s="2">
        <f ca="1">IFERROR(__xludf.DUMMYFUNCTION("""COMPUTED_VALUE"""),1)</f>
        <v>1</v>
      </c>
    </row>
    <row r="94" spans="1:5" ht="13">
      <c r="A94" s="8" t="str">
        <f ca="1">IFERROR(__xludf.DUMMYFUNCTION("""COMPUTED_VALUE"""),"Alarcón, Luis Serrano")</f>
        <v>Alarcón, Luis Serrano</v>
      </c>
      <c r="B94" s="3">
        <f ca="1">IFERROR(__xludf.DUMMYFUNCTION("""COMPUTED_VALUE"""),1)</f>
        <v>1</v>
      </c>
      <c r="C94" s="7">
        <f ca="1">IFERROR(__xludf.DUMMYFUNCTION("""COMPUTED_VALUE"""),1)</f>
        <v>1</v>
      </c>
      <c r="D94" s="8">
        <f ca="1">IFERROR(__xludf.DUMMYFUNCTION("""COMPUTED_VALUE"""),1)</f>
        <v>1</v>
      </c>
      <c r="E94" s="2">
        <f ca="1">IFERROR(__xludf.DUMMYFUNCTION("""COMPUTED_VALUE"""),1)</f>
        <v>1</v>
      </c>
    </row>
    <row r="95" spans="1:5" ht="13">
      <c r="A95" s="8" t="str">
        <f ca="1">IFERROR(__xludf.DUMMYFUNCTION("""COMPUTED_VALUE"""),"Albéniz, Isaac")</f>
        <v>Albéniz, Isaac</v>
      </c>
      <c r="B95" s="3">
        <f ca="1">IFERROR(__xludf.DUMMYFUNCTION("""COMPUTED_VALUE"""),1)</f>
        <v>1</v>
      </c>
      <c r="C95" s="7">
        <f ca="1">IFERROR(__xludf.DUMMYFUNCTION("""COMPUTED_VALUE"""),1)</f>
        <v>1</v>
      </c>
      <c r="D95" s="8">
        <f ca="1">IFERROR(__xludf.DUMMYFUNCTION("""COMPUTED_VALUE"""),5)</f>
        <v>5</v>
      </c>
      <c r="E95" s="2">
        <f ca="1">IFERROR(__xludf.DUMMYFUNCTION("""COMPUTED_VALUE"""),2)</f>
        <v>2</v>
      </c>
    </row>
    <row r="96" spans="1:5" ht="13">
      <c r="A96" s="2" t="str">
        <f ca="1">IFERROR(__xludf.DUMMYFUNCTION("""COMPUTED_VALUE"""),"Albert, Heinrich")</f>
        <v>Albert, Heinrich</v>
      </c>
      <c r="B96" s="3">
        <f ca="1">IFERROR(__xludf.DUMMYFUNCTION("""COMPUTED_VALUE"""),1)</f>
        <v>1</v>
      </c>
      <c r="C96" s="7">
        <f ca="1">IFERROR(__xludf.DUMMYFUNCTION("""COMPUTED_VALUE"""),1)</f>
        <v>1</v>
      </c>
      <c r="D96" s="8">
        <f ca="1">IFERROR(__xludf.DUMMYFUNCTION("""COMPUTED_VALUE"""),5)</f>
        <v>5</v>
      </c>
      <c r="E96" s="2">
        <f ca="1">IFERROR(__xludf.DUMMYFUNCTION("""COMPUTED_VALUE"""),2)</f>
        <v>2</v>
      </c>
    </row>
    <row r="97" spans="1:5" ht="13">
      <c r="A97" s="8" t="str">
        <f ca="1">IFERROR(__xludf.DUMMYFUNCTION("""COMPUTED_VALUE"""),"Albert, Thomas")</f>
        <v>Albert, Thomas</v>
      </c>
      <c r="B97" s="3">
        <f ca="1">IFERROR(__xludf.DUMMYFUNCTION("""COMPUTED_VALUE"""),1)</f>
        <v>1</v>
      </c>
      <c r="C97" s="7">
        <f ca="1">IFERROR(__xludf.DUMMYFUNCTION("""COMPUTED_VALUE"""),1)</f>
        <v>1</v>
      </c>
      <c r="D97" s="8">
        <f ca="1">IFERROR(__xludf.DUMMYFUNCTION("""COMPUTED_VALUE"""),1)</f>
        <v>1</v>
      </c>
      <c r="E97" s="2">
        <f ca="1">IFERROR(__xludf.DUMMYFUNCTION("""COMPUTED_VALUE"""),1)</f>
        <v>1</v>
      </c>
    </row>
    <row r="98" spans="1:5" ht="13">
      <c r="A98" s="2" t="str">
        <f ca="1">IFERROR(__xludf.DUMMYFUNCTION("""COMPUTED_VALUE"""),"Alberti, Giuseppe Matteo")</f>
        <v>Alberti, Giuseppe Matteo</v>
      </c>
      <c r="B98" s="2">
        <f ca="1">IFERROR(__xludf.DUMMYFUNCTION("""COMPUTED_VALUE"""),1)</f>
        <v>1</v>
      </c>
      <c r="C98" s="7">
        <f ca="1">IFERROR(__xludf.DUMMYFUNCTION("""COMPUTED_VALUE"""),1)</f>
        <v>1</v>
      </c>
      <c r="D98" s="8">
        <f ca="1">IFERROR(__xludf.DUMMYFUNCTION("""COMPUTED_VALUE"""),5)</f>
        <v>5</v>
      </c>
      <c r="E98" s="2">
        <f ca="1">IFERROR(__xludf.DUMMYFUNCTION("""COMPUTED_VALUE"""),2)</f>
        <v>2</v>
      </c>
    </row>
    <row r="99" spans="1:5" ht="13">
      <c r="A99" s="8" t="str">
        <f ca="1">IFERROR(__xludf.DUMMYFUNCTION("""COMPUTED_VALUE"""),"Alberty, Craig")</f>
        <v>Alberty, Craig</v>
      </c>
      <c r="B99" s="3">
        <f ca="1">IFERROR(__xludf.DUMMYFUNCTION("""COMPUTED_VALUE"""),1)</f>
        <v>1</v>
      </c>
      <c r="C99" s="7">
        <f ca="1">IFERROR(__xludf.DUMMYFUNCTION("""COMPUTED_VALUE"""),1)</f>
        <v>1</v>
      </c>
      <c r="D99" s="8">
        <f ca="1">IFERROR(__xludf.DUMMYFUNCTION("""COMPUTED_VALUE"""),1)</f>
        <v>1</v>
      </c>
      <c r="E99" s="2">
        <f ca="1">IFERROR(__xludf.DUMMYFUNCTION("""COMPUTED_VALUE"""),1)</f>
        <v>1</v>
      </c>
    </row>
    <row r="100" spans="1:5" ht="13">
      <c r="A100" s="2" t="str">
        <f ca="1">IFERROR(__xludf.DUMMYFUNCTION("""COMPUTED_VALUE"""),"Albicastro, Henricus")</f>
        <v>Albicastro, Henricus</v>
      </c>
      <c r="B100" s="2">
        <f ca="1">IFERROR(__xludf.DUMMYFUNCTION("""COMPUTED_VALUE"""),1)</f>
        <v>1</v>
      </c>
      <c r="C100" s="7">
        <f ca="1">IFERROR(__xludf.DUMMYFUNCTION("""COMPUTED_VALUE"""),1)</f>
        <v>1</v>
      </c>
      <c r="D100" s="8">
        <f ca="1">IFERROR(__xludf.DUMMYFUNCTION("""COMPUTED_VALUE"""),5)</f>
        <v>5</v>
      </c>
      <c r="E100" s="2">
        <f ca="1">IFERROR(__xludf.DUMMYFUNCTION("""COMPUTED_VALUE"""),2)</f>
        <v>2</v>
      </c>
    </row>
    <row r="101" spans="1:5" ht="13">
      <c r="A101" s="8" t="str">
        <f ca="1">IFERROR(__xludf.DUMMYFUNCTION("""COMPUTED_VALUE"""),"Albinoni, Tomaso")</f>
        <v>Albinoni, Tomaso</v>
      </c>
      <c r="B101" s="3">
        <f ca="1">IFERROR(__xludf.DUMMYFUNCTION("""COMPUTED_VALUE"""),1)</f>
        <v>1</v>
      </c>
      <c r="C101" s="7">
        <f ca="1">IFERROR(__xludf.DUMMYFUNCTION("""COMPUTED_VALUE"""),1)</f>
        <v>1</v>
      </c>
      <c r="D101" s="8">
        <f ca="1">IFERROR(__xludf.DUMMYFUNCTION("""COMPUTED_VALUE"""),5)</f>
        <v>5</v>
      </c>
      <c r="E101" s="2">
        <f ca="1">IFERROR(__xludf.DUMMYFUNCTION("""COMPUTED_VALUE"""),2)</f>
        <v>2</v>
      </c>
    </row>
    <row r="102" spans="1:5" ht="13">
      <c r="A102" s="8" t="str">
        <f ca="1">IFERROR(__xludf.DUMMYFUNCTION("""COMPUTED_VALUE"""),"Albrechtsberger, Johann Georg")</f>
        <v>Albrechtsberger, Johann Georg</v>
      </c>
      <c r="B102" s="3">
        <f ca="1">IFERROR(__xludf.DUMMYFUNCTION("""COMPUTED_VALUE"""),1)</f>
        <v>1</v>
      </c>
      <c r="C102" s="7">
        <f ca="1">IFERROR(__xludf.DUMMYFUNCTION("""COMPUTED_VALUE"""),1)</f>
        <v>1</v>
      </c>
      <c r="D102" s="8">
        <f ca="1">IFERROR(__xludf.DUMMYFUNCTION("""COMPUTED_VALUE"""),5)</f>
        <v>5</v>
      </c>
      <c r="E102" s="2">
        <f ca="1">IFERROR(__xludf.DUMMYFUNCTION("""COMPUTED_VALUE"""),2)</f>
        <v>2</v>
      </c>
    </row>
    <row r="103" spans="1:5" ht="13">
      <c r="A103" s="8" t="str">
        <f ca="1">IFERROR(__xludf.DUMMYFUNCTION("""COMPUTED_VALUE"""),"Albright, William")</f>
        <v>Albright, William</v>
      </c>
      <c r="B103" s="3">
        <f ca="1">IFERROR(__xludf.DUMMYFUNCTION("""COMPUTED_VALUE"""),1)</f>
        <v>1</v>
      </c>
      <c r="C103" s="7">
        <f ca="1">IFERROR(__xludf.DUMMYFUNCTION("""COMPUTED_VALUE"""),1)</f>
        <v>1</v>
      </c>
      <c r="D103" s="8">
        <f ca="1">IFERROR(__xludf.DUMMYFUNCTION("""COMPUTED_VALUE"""),5)</f>
        <v>5</v>
      </c>
      <c r="E103" s="2">
        <f ca="1">IFERROR(__xludf.DUMMYFUNCTION("""COMPUTED_VALUE"""),2)</f>
        <v>2</v>
      </c>
    </row>
    <row r="104" spans="1:5" ht="13">
      <c r="A104" s="8" t="str">
        <f ca="1">IFERROR(__xludf.DUMMYFUNCTION("""COMPUTED_VALUE"""),"Alexander, Eric")</f>
        <v>Alexander, Eric</v>
      </c>
      <c r="B104" s="3">
        <f ca="1">IFERROR(__xludf.DUMMYFUNCTION("""COMPUTED_VALUE"""),1)</f>
        <v>1</v>
      </c>
      <c r="C104" s="7">
        <f ca="1">IFERROR(__xludf.DUMMYFUNCTION("""COMPUTED_VALUE"""),1)</f>
        <v>1</v>
      </c>
      <c r="D104" s="8">
        <f ca="1">IFERROR(__xludf.DUMMYFUNCTION("""COMPUTED_VALUE"""),1)</f>
        <v>1</v>
      </c>
      <c r="E104" s="2">
        <f ca="1">IFERROR(__xludf.DUMMYFUNCTION("""COMPUTED_VALUE"""),1)</f>
        <v>1</v>
      </c>
    </row>
    <row r="105" spans="1:5" ht="13">
      <c r="A105" s="2" t="str">
        <f ca="1">IFERROR(__xludf.DUMMYFUNCTION("""COMPUTED_VALUE"""),"Alexander, John")</f>
        <v>Alexander, John</v>
      </c>
      <c r="B105" s="3">
        <f ca="1">IFERROR(__xludf.DUMMYFUNCTION("""COMPUTED_VALUE"""),1)</f>
        <v>1</v>
      </c>
      <c r="C105" s="7">
        <f ca="1">IFERROR(__xludf.DUMMYFUNCTION("""COMPUTED_VALUE"""),1)</f>
        <v>1</v>
      </c>
      <c r="D105" s="8">
        <f ca="1">IFERROR(__xludf.DUMMYFUNCTION("""COMPUTED_VALUE"""),1)</f>
        <v>1</v>
      </c>
      <c r="E105" s="2">
        <f ca="1">IFERROR(__xludf.DUMMYFUNCTION("""COMPUTED_VALUE"""),1)</f>
        <v>1</v>
      </c>
    </row>
    <row r="106" spans="1:5" ht="13">
      <c r="A106" s="2" t="str">
        <f ca="1">IFERROR(__xludf.DUMMYFUNCTION("""COMPUTED_VALUE"""),"Alexander, Lowell")</f>
        <v>Alexander, Lowell</v>
      </c>
      <c r="B106" s="3">
        <f ca="1">IFERROR(__xludf.DUMMYFUNCTION("""COMPUTED_VALUE"""),1)</f>
        <v>1</v>
      </c>
      <c r="C106" s="7">
        <f ca="1">IFERROR(__xludf.DUMMYFUNCTION("""COMPUTED_VALUE"""),1)</f>
        <v>1</v>
      </c>
      <c r="D106" s="8">
        <f ca="1">IFERROR(__xludf.DUMMYFUNCTION("""COMPUTED_VALUE"""),1)</f>
        <v>1</v>
      </c>
      <c r="E106" s="2">
        <f ca="1">IFERROR(__xludf.DUMMYFUNCTION("""COMPUTED_VALUE"""),1)</f>
        <v>1</v>
      </c>
    </row>
    <row r="107" spans="1:5" ht="13">
      <c r="A107" s="8" t="str">
        <f ca="1">IFERROR(__xludf.DUMMYFUNCTION("""COMPUTED_VALUE"""),"Alexander, R.")</f>
        <v>Alexander, R.</v>
      </c>
      <c r="B107" s="3">
        <f ca="1">IFERROR(__xludf.DUMMYFUNCTION("""COMPUTED_VALUE"""),1)</f>
        <v>1</v>
      </c>
      <c r="C107" s="7">
        <f ca="1">IFERROR(__xludf.DUMMYFUNCTION("""COMPUTED_VALUE"""),1)</f>
        <v>1</v>
      </c>
      <c r="D107" s="8">
        <f ca="1">IFERROR(__xludf.DUMMYFUNCTION("""COMPUTED_VALUE"""),5)</f>
        <v>5</v>
      </c>
      <c r="E107" s="2">
        <f ca="1">IFERROR(__xludf.DUMMYFUNCTION("""COMPUTED_VALUE"""),2)</f>
        <v>2</v>
      </c>
    </row>
    <row r="108" spans="1:5" ht="13">
      <c r="A108" s="8" t="str">
        <f ca="1">IFERROR(__xludf.DUMMYFUNCTION("""COMPUTED_VALUE"""),"Alexander, Robert")</f>
        <v>Alexander, Robert</v>
      </c>
      <c r="B108" s="3">
        <f ca="1">IFERROR(__xludf.DUMMYFUNCTION("""COMPUTED_VALUE"""),1)</f>
        <v>1</v>
      </c>
      <c r="C108" s="7">
        <f ca="1">IFERROR(__xludf.DUMMYFUNCTION("""COMPUTED_VALUE"""),1)</f>
        <v>1</v>
      </c>
      <c r="D108" s="8">
        <f ca="1">IFERROR(__xludf.DUMMYFUNCTION("""COMPUTED_VALUE"""),1)</f>
        <v>1</v>
      </c>
      <c r="E108" s="2">
        <f ca="1">IFERROR(__xludf.DUMMYFUNCTION("""COMPUTED_VALUE"""),1)</f>
        <v>1</v>
      </c>
    </row>
    <row r="109" spans="1:5" ht="13">
      <c r="A109" s="8" t="str">
        <f ca="1">IFERROR(__xludf.DUMMYFUNCTION("""COMPUTED_VALUE"""),"Alexander, Russell")</f>
        <v>Alexander, Russell</v>
      </c>
      <c r="B109" s="3">
        <f ca="1">IFERROR(__xludf.DUMMYFUNCTION("""COMPUTED_VALUE"""),1)</f>
        <v>1</v>
      </c>
      <c r="C109" s="7">
        <f ca="1">IFERROR(__xludf.DUMMYFUNCTION("""COMPUTED_VALUE"""),1)</f>
        <v>1</v>
      </c>
      <c r="D109" s="8">
        <f ca="1">IFERROR(__xludf.DUMMYFUNCTION("""COMPUTED_VALUE"""),5)</f>
        <v>5</v>
      </c>
      <c r="E109" s="2">
        <f ca="1">IFERROR(__xludf.DUMMYFUNCTION("""COMPUTED_VALUE"""),2)</f>
        <v>2</v>
      </c>
    </row>
    <row r="110" spans="1:5" ht="13">
      <c r="A110" s="2" t="str">
        <f ca="1">IFERROR(__xludf.DUMMYFUNCTION("""COMPUTED_VALUE"""),"Alfieri, John")</f>
        <v>Alfieri, John</v>
      </c>
      <c r="B110" s="2">
        <f ca="1">IFERROR(__xludf.DUMMYFUNCTION("""COMPUTED_VALUE"""),1)</f>
        <v>1</v>
      </c>
      <c r="C110" s="7">
        <f ca="1">IFERROR(__xludf.DUMMYFUNCTION("""COMPUTED_VALUE"""),1)</f>
        <v>1</v>
      </c>
      <c r="D110" s="8">
        <f ca="1">IFERROR(__xludf.DUMMYFUNCTION("""COMPUTED_VALUE"""),1)</f>
        <v>1</v>
      </c>
      <c r="E110" s="2">
        <f ca="1">IFERROR(__xludf.DUMMYFUNCTION("""COMPUTED_VALUE"""),1)</f>
        <v>1</v>
      </c>
    </row>
    <row r="111" spans="1:5" ht="13">
      <c r="A111" s="8" t="str">
        <f ca="1">IFERROR(__xludf.DUMMYFUNCTION("""COMPUTED_VALUE"""),"Alford, Harry")</f>
        <v>Alford, Harry</v>
      </c>
      <c r="B111" s="3">
        <f ca="1">IFERROR(__xludf.DUMMYFUNCTION("""COMPUTED_VALUE"""),1)</f>
        <v>1</v>
      </c>
      <c r="C111" s="7">
        <f ca="1">IFERROR(__xludf.DUMMYFUNCTION("""COMPUTED_VALUE"""),1)</f>
        <v>1</v>
      </c>
      <c r="D111" s="8">
        <f ca="1">IFERROR(__xludf.DUMMYFUNCTION("""COMPUTED_VALUE"""),5)</f>
        <v>5</v>
      </c>
      <c r="E111" s="2">
        <f ca="1">IFERROR(__xludf.DUMMYFUNCTION("""COMPUTED_VALUE"""),2)</f>
        <v>2</v>
      </c>
    </row>
    <row r="112" spans="1:5" ht="13">
      <c r="A112" s="8" t="str">
        <f ca="1">IFERROR(__xludf.DUMMYFUNCTION("""COMPUTED_VALUE"""),"Alford, Kenneth")</f>
        <v>Alford, Kenneth</v>
      </c>
      <c r="B112" s="3">
        <f ca="1">IFERROR(__xludf.DUMMYFUNCTION("""COMPUTED_VALUE"""),1)</f>
        <v>1</v>
      </c>
      <c r="C112" s="7">
        <f ca="1">IFERROR(__xludf.DUMMYFUNCTION("""COMPUTED_VALUE"""),1)</f>
        <v>1</v>
      </c>
      <c r="D112" s="8">
        <f ca="1">IFERROR(__xludf.DUMMYFUNCTION("""COMPUTED_VALUE"""),5)</f>
        <v>5</v>
      </c>
      <c r="E112" s="2">
        <f ca="1">IFERROR(__xludf.DUMMYFUNCTION("""COMPUTED_VALUE"""),2)</f>
        <v>2</v>
      </c>
    </row>
    <row r="113" spans="1:5" ht="13">
      <c r="A113" s="2" t="str">
        <f ca="1">IFERROR(__xludf.DUMMYFUNCTION("""COMPUTED_VALUE"""),"Alfven, Hugo")</f>
        <v>Alfven, Hugo</v>
      </c>
      <c r="B113" s="2">
        <f ca="1">IFERROR(__xludf.DUMMYFUNCTION("""COMPUTED_VALUE"""),1)</f>
        <v>1</v>
      </c>
      <c r="C113" s="7">
        <f ca="1">IFERROR(__xludf.DUMMYFUNCTION("""COMPUTED_VALUE"""),1)</f>
        <v>1</v>
      </c>
      <c r="D113" s="8">
        <f ca="1">IFERROR(__xludf.DUMMYFUNCTION("""COMPUTED_VALUE"""),5)</f>
        <v>5</v>
      </c>
      <c r="E113" s="2">
        <f ca="1">IFERROR(__xludf.DUMMYFUNCTION("""COMPUTED_VALUE"""),2)</f>
        <v>2</v>
      </c>
    </row>
    <row r="114" spans="1:5" ht="13">
      <c r="A114" s="8" t="str">
        <f ca="1">IFERROR(__xludf.DUMMYFUNCTION("""COMPUTED_VALUE"""),"Alfvén, Hugo")</f>
        <v>Alfvén, Hugo</v>
      </c>
      <c r="B114" s="3">
        <f ca="1">IFERROR(__xludf.DUMMYFUNCTION("""COMPUTED_VALUE"""),1)</f>
        <v>1</v>
      </c>
      <c r="C114" s="7">
        <f ca="1">IFERROR(__xludf.DUMMYFUNCTION("""COMPUTED_VALUE"""),1)</f>
        <v>1</v>
      </c>
      <c r="D114" s="8">
        <f ca="1">IFERROR(__xludf.DUMMYFUNCTION("""COMPUTED_VALUE"""),5)</f>
        <v>5</v>
      </c>
      <c r="E114" s="2">
        <f ca="1">IFERROR(__xludf.DUMMYFUNCTION("""COMPUTED_VALUE"""),2)</f>
        <v>2</v>
      </c>
    </row>
    <row r="115" spans="1:5" ht="13">
      <c r="A115" s="2" t="str">
        <f ca="1">IFERROR(__xludf.DUMMYFUNCTION("""COMPUTED_VALUE"""),"All, Lincoln")</f>
        <v>All, Lincoln</v>
      </c>
      <c r="B115" s="3">
        <f ca="1">IFERROR(__xludf.DUMMYFUNCTION("""COMPUTED_VALUE"""),1)</f>
        <v>1</v>
      </c>
      <c r="C115" s="7">
        <f ca="1">IFERROR(__xludf.DUMMYFUNCTION("""COMPUTED_VALUE"""),1)</f>
        <v>1</v>
      </c>
      <c r="D115" s="8">
        <f ca="1">IFERROR(__xludf.DUMMYFUNCTION("""COMPUTED_VALUE"""),1)</f>
        <v>1</v>
      </c>
      <c r="E115" s="2">
        <f ca="1">IFERROR(__xludf.DUMMYFUNCTION("""COMPUTED_VALUE"""),1)</f>
        <v>1</v>
      </c>
    </row>
    <row r="116" spans="1:5" ht="13">
      <c r="A116" s="8" t="str">
        <f ca="1">IFERROR(__xludf.DUMMYFUNCTION("""COMPUTED_VALUE"""),"Allaway, Ben")</f>
        <v>Allaway, Ben</v>
      </c>
      <c r="B116" s="3">
        <f ca="1">IFERROR(__xludf.DUMMYFUNCTION("""COMPUTED_VALUE"""),1)</f>
        <v>1</v>
      </c>
      <c r="C116" s="7">
        <f ca="1">IFERROR(__xludf.DUMMYFUNCTION("""COMPUTED_VALUE"""),1)</f>
        <v>1</v>
      </c>
      <c r="D116" s="8">
        <f ca="1">IFERROR(__xludf.DUMMYFUNCTION("""COMPUTED_VALUE"""),1)</f>
        <v>1</v>
      </c>
      <c r="E116" s="2">
        <f ca="1">IFERROR(__xludf.DUMMYFUNCTION("""COMPUTED_VALUE"""),1)</f>
        <v>1</v>
      </c>
    </row>
    <row r="117" spans="1:5" ht="13">
      <c r="A117" s="2" t="str">
        <f ca="1">IFERROR(__xludf.DUMMYFUNCTION("""COMPUTED_VALUE"""),"Allee, Steve")</f>
        <v>Allee, Steve</v>
      </c>
      <c r="B117" s="3">
        <f ca="1">IFERROR(__xludf.DUMMYFUNCTION("""COMPUTED_VALUE"""),1)</f>
        <v>1</v>
      </c>
      <c r="C117" s="7">
        <f ca="1">IFERROR(__xludf.DUMMYFUNCTION("""COMPUTED_VALUE"""),1)</f>
        <v>1</v>
      </c>
      <c r="D117" s="8">
        <f ca="1">IFERROR(__xludf.DUMMYFUNCTION("""COMPUTED_VALUE"""),1)</f>
        <v>1</v>
      </c>
      <c r="E117" s="2">
        <f ca="1">IFERROR(__xludf.DUMMYFUNCTION("""COMPUTED_VALUE"""),1)</f>
        <v>1</v>
      </c>
    </row>
    <row r="118" spans="1:5" ht="13">
      <c r="A118" s="8" t="str">
        <f ca="1">IFERROR(__xludf.DUMMYFUNCTION("""COMPUTED_VALUE"""),"Allegri, Gregorio")</f>
        <v>Allegri, Gregorio</v>
      </c>
      <c r="B118" s="3">
        <f ca="1">IFERROR(__xludf.DUMMYFUNCTION("""COMPUTED_VALUE"""),1)</f>
        <v>1</v>
      </c>
      <c r="C118" s="7">
        <f ca="1">IFERROR(__xludf.DUMMYFUNCTION("""COMPUTED_VALUE"""),1)</f>
        <v>1</v>
      </c>
      <c r="D118" s="8">
        <f ca="1">IFERROR(__xludf.DUMMYFUNCTION("""COMPUTED_VALUE"""),5)</f>
        <v>5</v>
      </c>
      <c r="E118" s="2">
        <f ca="1">IFERROR(__xludf.DUMMYFUNCTION("""COMPUTED_VALUE"""),2)</f>
        <v>2</v>
      </c>
    </row>
    <row r="119" spans="1:5" ht="13">
      <c r="A119" s="8" t="str">
        <f ca="1">IFERROR(__xludf.DUMMYFUNCTION("""COMPUTED_VALUE"""),"Allemeier, John")</f>
        <v>Allemeier, John</v>
      </c>
      <c r="B119" s="3">
        <f ca="1">IFERROR(__xludf.DUMMYFUNCTION("""COMPUTED_VALUE"""),1)</f>
        <v>1</v>
      </c>
      <c r="C119" s="7">
        <f ca="1">IFERROR(__xludf.DUMMYFUNCTION("""COMPUTED_VALUE"""),1)</f>
        <v>1</v>
      </c>
      <c r="D119" s="8">
        <f ca="1">IFERROR(__xludf.DUMMYFUNCTION("""COMPUTED_VALUE"""),1)</f>
        <v>1</v>
      </c>
      <c r="E119" s="2">
        <f ca="1">IFERROR(__xludf.DUMMYFUNCTION("""COMPUTED_VALUE"""),1)</f>
        <v>1</v>
      </c>
    </row>
    <row r="120" spans="1:5" ht="13">
      <c r="A120" s="2" t="str">
        <f ca="1">IFERROR(__xludf.DUMMYFUNCTION("""COMPUTED_VALUE"""),"Allen, Barclay")</f>
        <v>Allen, Barclay</v>
      </c>
      <c r="B120" s="3">
        <f ca="1">IFERROR(__xludf.DUMMYFUNCTION("""COMPUTED_VALUE"""),1)</f>
        <v>1</v>
      </c>
      <c r="C120" s="7">
        <f ca="1">IFERROR(__xludf.DUMMYFUNCTION("""COMPUTED_VALUE"""),1)</f>
        <v>1</v>
      </c>
      <c r="D120" s="8">
        <f ca="1">IFERROR(__xludf.DUMMYFUNCTION("""COMPUTED_VALUE"""),5)</f>
        <v>5</v>
      </c>
      <c r="E120" s="2">
        <f ca="1">IFERROR(__xludf.DUMMYFUNCTION("""COMPUTED_VALUE"""),2)</f>
        <v>2</v>
      </c>
    </row>
    <row r="121" spans="1:5" ht="13">
      <c r="A121" s="8" t="str">
        <f ca="1">IFERROR(__xludf.DUMMYFUNCTION("""COMPUTED_VALUE"""),"Allen, Fred J.")</f>
        <v>Allen, Fred J.</v>
      </c>
      <c r="B121" s="3">
        <f ca="1">IFERROR(__xludf.DUMMYFUNCTION("""COMPUTED_VALUE"""),1)</f>
        <v>1</v>
      </c>
      <c r="C121" s="7">
        <f ca="1">IFERROR(__xludf.DUMMYFUNCTION("""COMPUTED_VALUE"""),1)</f>
        <v>1</v>
      </c>
      <c r="D121" s="8">
        <f ca="1">IFERROR(__xludf.DUMMYFUNCTION("""COMPUTED_VALUE"""),1)</f>
        <v>1</v>
      </c>
      <c r="E121" s="2">
        <f ca="1">IFERROR(__xludf.DUMMYFUNCTION("""COMPUTED_VALUE"""),1)</f>
        <v>1</v>
      </c>
    </row>
    <row r="122" spans="1:5" ht="13">
      <c r="A122" s="2" t="str">
        <f ca="1">IFERROR(__xludf.DUMMYFUNCTION("""COMPUTED_VALUE"""),"Allen, Michael")</f>
        <v>Allen, Michael</v>
      </c>
      <c r="B122" s="3">
        <f ca="1">IFERROR(__xludf.DUMMYFUNCTION("""COMPUTED_VALUE"""),1)</f>
        <v>1</v>
      </c>
      <c r="C122" s="7">
        <f ca="1">IFERROR(__xludf.DUMMYFUNCTION("""COMPUTED_VALUE"""),1)</f>
        <v>1</v>
      </c>
      <c r="D122" s="8">
        <f ca="1">IFERROR(__xludf.DUMMYFUNCTION("""COMPUTED_VALUE"""),1)</f>
        <v>1</v>
      </c>
      <c r="E122" s="2">
        <f ca="1">IFERROR(__xludf.DUMMYFUNCTION("""COMPUTED_VALUE"""),1)</f>
        <v>1</v>
      </c>
    </row>
    <row r="123" spans="1:5" ht="13">
      <c r="A123" s="2" t="str">
        <f ca="1">IFERROR(__xludf.DUMMYFUNCTION("""COMPUTED_VALUE"""),"Allen, Robert / Adler, Richard")</f>
        <v>Allen, Robert / Adler, Richard</v>
      </c>
      <c r="B123" s="2">
        <f ca="1">IFERROR(__xludf.DUMMYFUNCTION("""COMPUTED_VALUE"""),1)</f>
        <v>1</v>
      </c>
      <c r="C123" s="7">
        <f ca="1">IFERROR(__xludf.DUMMYFUNCTION("""COMPUTED_VALUE"""),1)</f>
        <v>1</v>
      </c>
      <c r="D123" s="8">
        <f ca="1">IFERROR(__xludf.DUMMYFUNCTION("""COMPUTED_VALUE"""),5)</f>
        <v>5</v>
      </c>
      <c r="E123" s="2">
        <f ca="1">IFERROR(__xludf.DUMMYFUNCTION("""COMPUTED_VALUE"""),2)</f>
        <v>2</v>
      </c>
    </row>
    <row r="124" spans="1:5" ht="13">
      <c r="A124" s="2" t="str">
        <f ca="1">IFERROR(__xludf.DUMMYFUNCTION("""COMPUTED_VALUE"""),"Allen, Steve")</f>
        <v>Allen, Steve</v>
      </c>
      <c r="B124" s="3">
        <f ca="1">IFERROR(__xludf.DUMMYFUNCTION("""COMPUTED_VALUE"""),1)</f>
        <v>1</v>
      </c>
      <c r="C124" s="7">
        <f ca="1">IFERROR(__xludf.DUMMYFUNCTION("""COMPUTED_VALUE"""),1)</f>
        <v>1</v>
      </c>
      <c r="D124" s="8">
        <f ca="1">IFERROR(__xludf.DUMMYFUNCTION("""COMPUTED_VALUE"""),5)</f>
        <v>5</v>
      </c>
      <c r="E124" s="2">
        <f ca="1">IFERROR(__xludf.DUMMYFUNCTION("""COMPUTED_VALUE"""),2)</f>
        <v>2</v>
      </c>
    </row>
    <row r="125" spans="1:5" ht="13">
      <c r="A125" s="2" t="str">
        <f ca="1">IFERROR(__xludf.DUMMYFUNCTION("""COMPUTED_VALUE"""),"Allen, Ted")</f>
        <v>Allen, Ted</v>
      </c>
      <c r="B125" s="3">
        <f ca="1">IFERROR(__xludf.DUMMYFUNCTION("""COMPUTED_VALUE"""),1)</f>
        <v>1</v>
      </c>
      <c r="C125" s="7">
        <f ca="1">IFERROR(__xludf.DUMMYFUNCTION("""COMPUTED_VALUE"""),1)</f>
        <v>1</v>
      </c>
      <c r="D125" s="8">
        <f ca="1">IFERROR(__xludf.DUMMYFUNCTION("""COMPUTED_VALUE"""),1)</f>
        <v>1</v>
      </c>
      <c r="E125" s="2">
        <f ca="1">IFERROR(__xludf.DUMMYFUNCTION("""COMPUTED_VALUE"""),1)</f>
        <v>1</v>
      </c>
    </row>
    <row r="126" spans="1:5" ht="13">
      <c r="A126" s="8" t="str">
        <f ca="1">IFERROR(__xludf.DUMMYFUNCTION("""COMPUTED_VALUE"""),"Allen, Thomas")</f>
        <v>Allen, Thomas</v>
      </c>
      <c r="B126" s="3">
        <f ca="1">IFERROR(__xludf.DUMMYFUNCTION("""COMPUTED_VALUE"""),1)</f>
        <v>1</v>
      </c>
      <c r="C126" s="7">
        <f ca="1">IFERROR(__xludf.DUMMYFUNCTION("""COMPUTED_VALUE"""),1)</f>
        <v>1</v>
      </c>
      <c r="D126" s="8">
        <f ca="1">IFERROR(__xludf.DUMMYFUNCTION("""COMPUTED_VALUE"""),5)</f>
        <v>5</v>
      </c>
      <c r="E126" s="2">
        <f ca="1">IFERROR(__xludf.DUMMYFUNCTION("""COMPUTED_VALUE"""),2)</f>
        <v>2</v>
      </c>
    </row>
    <row r="127" spans="1:5" ht="13">
      <c r="A127" s="2" t="str">
        <f ca="1">IFERROR(__xludf.DUMMYFUNCTION("""COMPUTED_VALUE"""),"Allgood, J.P.")</f>
        <v>Allgood, J.P.</v>
      </c>
      <c r="B127" s="3">
        <f ca="1">IFERROR(__xludf.DUMMYFUNCTION("""COMPUTED_VALUE"""),1)</f>
        <v>1</v>
      </c>
      <c r="C127" s="7">
        <f ca="1">IFERROR(__xludf.DUMMYFUNCTION("""COMPUTED_VALUE"""),1)</f>
        <v>1</v>
      </c>
      <c r="D127" s="8">
        <f ca="1">IFERROR(__xludf.DUMMYFUNCTION("""COMPUTED_VALUE"""),1)</f>
        <v>1</v>
      </c>
      <c r="E127" s="2">
        <f ca="1">IFERROR(__xludf.DUMMYFUNCTION("""COMPUTED_VALUE"""),1)</f>
        <v>1</v>
      </c>
    </row>
    <row r="128" spans="1:5" ht="13">
      <c r="A128" s="2" t="str">
        <f ca="1">IFERROR(__xludf.DUMMYFUNCTION("""COMPUTED_VALUE"""),"Allier, Gabriel")</f>
        <v>Allier, Gabriel</v>
      </c>
      <c r="B128" s="3">
        <f ca="1">IFERROR(__xludf.DUMMYFUNCTION("""COMPUTED_VALUE"""),1)</f>
        <v>1</v>
      </c>
      <c r="C128" s="7">
        <f ca="1">IFERROR(__xludf.DUMMYFUNCTION("""COMPUTED_VALUE"""),1)</f>
        <v>1</v>
      </c>
      <c r="D128" s="8">
        <f ca="1">IFERROR(__xludf.DUMMYFUNCTION("""COMPUTED_VALUE"""),5)</f>
        <v>5</v>
      </c>
      <c r="E128" s="2">
        <f ca="1">IFERROR(__xludf.DUMMYFUNCTION("""COMPUTED_VALUE"""),2)</f>
        <v>2</v>
      </c>
    </row>
    <row r="129" spans="1:5" ht="13">
      <c r="A129" s="8" t="str">
        <f ca="1">IFERROR(__xludf.DUMMYFUNCTION("""COMPUTED_VALUE"""),"Alm, Jan")</f>
        <v>Alm, Jan</v>
      </c>
      <c r="B129" s="3">
        <f ca="1">IFERROR(__xludf.DUMMYFUNCTION("""COMPUTED_VALUE"""),1)</f>
        <v>1</v>
      </c>
      <c r="C129" s="7">
        <f ca="1">IFERROR(__xludf.DUMMYFUNCTION("""COMPUTED_VALUE"""),1)</f>
        <v>1</v>
      </c>
      <c r="D129" s="8">
        <f ca="1">IFERROR(__xludf.DUMMYFUNCTION("""COMPUTED_VALUE"""),1)</f>
        <v>1</v>
      </c>
      <c r="E129" s="2">
        <f ca="1">IFERROR(__xludf.DUMMYFUNCTION("""COMPUTED_VALUE"""),1)</f>
        <v>1</v>
      </c>
    </row>
    <row r="130" spans="1:5" ht="13">
      <c r="A130" s="2" t="str">
        <f ca="1">IFERROR(__xludf.DUMMYFUNCTION("""COMPUTED_VALUE"""),"Almashi, Zoltan")</f>
        <v>Almashi, Zoltan</v>
      </c>
      <c r="B130" s="3">
        <f ca="1">IFERROR(__xludf.DUMMYFUNCTION("""COMPUTED_VALUE"""),1)</f>
        <v>1</v>
      </c>
      <c r="C130" s="7">
        <f ca="1">IFERROR(__xludf.DUMMYFUNCTION("""COMPUTED_VALUE"""),1)</f>
        <v>1</v>
      </c>
      <c r="D130" s="8">
        <f ca="1">IFERROR(__xludf.DUMMYFUNCTION("""COMPUTED_VALUE"""),1)</f>
        <v>1</v>
      </c>
      <c r="E130" s="2">
        <f ca="1">IFERROR(__xludf.DUMMYFUNCTION("""COMPUTED_VALUE"""),1)</f>
        <v>1</v>
      </c>
    </row>
    <row r="131" spans="1:5" ht="13">
      <c r="A131" s="2" t="str">
        <f ca="1">IFERROR(__xludf.DUMMYFUNCTION("""COMPUTED_VALUE"""),"Almeida, Fernando de")</f>
        <v>Almeida, Fernando de</v>
      </c>
      <c r="B131" s="3">
        <f ca="1">IFERROR(__xludf.DUMMYFUNCTION("""COMPUTED_VALUE"""),1)</f>
        <v>1</v>
      </c>
      <c r="C131" s="7">
        <f ca="1">IFERROR(__xludf.DUMMYFUNCTION("""COMPUTED_VALUE"""),1)</f>
        <v>1</v>
      </c>
      <c r="D131" s="8">
        <f ca="1">IFERROR(__xludf.DUMMYFUNCTION("""COMPUTED_VALUE"""),5)</f>
        <v>5</v>
      </c>
      <c r="E131" s="2">
        <f ca="1">IFERROR(__xludf.DUMMYFUNCTION("""COMPUTED_VALUE"""),2)</f>
        <v>2</v>
      </c>
    </row>
    <row r="132" spans="1:5" ht="13">
      <c r="A132" s="2" t="str">
        <f ca="1">IFERROR(__xludf.DUMMYFUNCTION("""COMPUTED_VALUE"""),"Almquist, Bradley")</f>
        <v>Almquist, Bradley</v>
      </c>
      <c r="B132" s="3">
        <f ca="1">IFERROR(__xludf.DUMMYFUNCTION("""COMPUTED_VALUE"""),1)</f>
        <v>1</v>
      </c>
      <c r="C132" s="7">
        <f ca="1">IFERROR(__xludf.DUMMYFUNCTION("""COMPUTED_VALUE"""),1)</f>
        <v>1</v>
      </c>
      <c r="D132" s="8">
        <f ca="1">IFERROR(__xludf.DUMMYFUNCTION("""COMPUTED_VALUE"""),5)</f>
        <v>5</v>
      </c>
      <c r="E132" s="2">
        <f ca="1">IFERROR(__xludf.DUMMYFUNCTION("""COMPUTED_VALUE"""),2)</f>
        <v>2</v>
      </c>
    </row>
    <row r="133" spans="1:5" ht="13">
      <c r="A133" s="2" t="str">
        <f ca="1">IFERROR(__xludf.DUMMYFUNCTION("""COMPUTED_VALUE"""),"Aloni, Aminadav")</f>
        <v>Aloni, Aminadav</v>
      </c>
      <c r="B133" s="3">
        <f ca="1">IFERROR(__xludf.DUMMYFUNCTION("""COMPUTED_VALUE"""),1)</f>
        <v>1</v>
      </c>
      <c r="C133" s="7">
        <f ca="1">IFERROR(__xludf.DUMMYFUNCTION("""COMPUTED_VALUE"""),1)</f>
        <v>1</v>
      </c>
      <c r="D133" s="8">
        <f ca="1">IFERROR(__xludf.DUMMYFUNCTION("""COMPUTED_VALUE"""),5)</f>
        <v>5</v>
      </c>
      <c r="E133" s="2">
        <f ca="1">IFERROR(__xludf.DUMMYFUNCTION("""COMPUTED_VALUE"""),2)</f>
        <v>2</v>
      </c>
    </row>
    <row r="134" spans="1:5" ht="13">
      <c r="A134" s="2" t="str">
        <f ca="1">IFERROR(__xludf.DUMMYFUNCTION("""COMPUTED_VALUE"""),"Alonso, Agustin")</f>
        <v>Alonso, Agustin</v>
      </c>
      <c r="B134" s="3">
        <f ca="1">IFERROR(__xludf.DUMMYFUNCTION("""COMPUTED_VALUE"""),1)</f>
        <v>1</v>
      </c>
      <c r="C134" s="7">
        <f ca="1">IFERROR(__xludf.DUMMYFUNCTION("""COMPUTED_VALUE"""),1)</f>
        <v>1</v>
      </c>
      <c r="D134" s="8">
        <f ca="1">IFERROR(__xludf.DUMMYFUNCTION("""COMPUTED_VALUE"""),1)</f>
        <v>1</v>
      </c>
      <c r="E134" s="2">
        <f ca="1">IFERROR(__xludf.DUMMYFUNCTION("""COMPUTED_VALUE"""),1)</f>
        <v>1</v>
      </c>
    </row>
    <row r="135" spans="1:5" ht="13">
      <c r="A135" s="8" t="str">
        <f ca="1">IFERROR(__xludf.DUMMYFUNCTION("""COMPUTED_VALUE"""),"Alonso, Antonio Álvarez")</f>
        <v>Alonso, Antonio Álvarez</v>
      </c>
      <c r="B135" s="3">
        <f ca="1">IFERROR(__xludf.DUMMYFUNCTION("""COMPUTED_VALUE"""),1)</f>
        <v>1</v>
      </c>
      <c r="C135" s="7">
        <f ca="1">IFERROR(__xludf.DUMMYFUNCTION("""COMPUTED_VALUE"""),1)</f>
        <v>1</v>
      </c>
      <c r="D135" s="8">
        <f ca="1">IFERROR(__xludf.DUMMYFUNCTION("""COMPUTED_VALUE"""),5)</f>
        <v>5</v>
      </c>
      <c r="E135" s="2">
        <f ca="1">IFERROR(__xludf.DUMMYFUNCTION("""COMPUTED_VALUE"""),2)</f>
        <v>2</v>
      </c>
    </row>
    <row r="136" spans="1:5" ht="13">
      <c r="A136" s="2" t="str">
        <f ca="1">IFERROR(__xludf.DUMMYFUNCTION("""COMPUTED_VALUE"""),"Alonso, Francisco")</f>
        <v>Alonso, Francisco</v>
      </c>
      <c r="B136" s="3">
        <f ca="1">IFERROR(__xludf.DUMMYFUNCTION("""COMPUTED_VALUE"""),1)</f>
        <v>1</v>
      </c>
      <c r="C136" s="7">
        <f ca="1">IFERROR(__xludf.DUMMYFUNCTION("""COMPUTED_VALUE"""),1)</f>
        <v>1</v>
      </c>
      <c r="D136" s="8">
        <f ca="1">IFERROR(__xludf.DUMMYFUNCTION("""COMPUTED_VALUE"""),5)</f>
        <v>5</v>
      </c>
      <c r="E136" s="2">
        <f ca="1">IFERROR(__xludf.DUMMYFUNCTION("""COMPUTED_VALUE"""),2)</f>
        <v>2</v>
      </c>
    </row>
    <row r="137" spans="1:5" ht="13">
      <c r="A137" s="8" t="str">
        <f ca="1">IFERROR(__xludf.DUMMYFUNCTION("""COMPUTED_VALUE"""),"Alshin, Harry")</f>
        <v>Alshin, Harry</v>
      </c>
      <c r="B137" s="3">
        <f ca="1">IFERROR(__xludf.DUMMYFUNCTION("""COMPUTED_VALUE"""),1)</f>
        <v>1</v>
      </c>
      <c r="C137" s="7">
        <f ca="1">IFERROR(__xludf.DUMMYFUNCTION("""COMPUTED_VALUE"""),1)</f>
        <v>1</v>
      </c>
      <c r="D137" s="8">
        <f ca="1">IFERROR(__xludf.DUMMYFUNCTION("""COMPUTED_VALUE"""),5)</f>
        <v>5</v>
      </c>
      <c r="E137" s="2">
        <f ca="1">IFERROR(__xludf.DUMMYFUNCTION("""COMPUTED_VALUE"""),2)</f>
        <v>2</v>
      </c>
    </row>
    <row r="138" spans="1:5" ht="13">
      <c r="A138" s="2" t="str">
        <f ca="1">IFERROR(__xludf.DUMMYFUNCTION("""COMPUTED_VALUE"""),"Altenburg, Michael")</f>
        <v>Altenburg, Michael</v>
      </c>
      <c r="B138" s="2">
        <f ca="1">IFERROR(__xludf.DUMMYFUNCTION("""COMPUTED_VALUE"""),1)</f>
        <v>1</v>
      </c>
      <c r="C138" s="7">
        <f ca="1">IFERROR(__xludf.DUMMYFUNCTION("""COMPUTED_VALUE"""),1)</f>
        <v>1</v>
      </c>
      <c r="D138" s="8">
        <f ca="1">IFERROR(__xludf.DUMMYFUNCTION("""COMPUTED_VALUE"""),5)</f>
        <v>5</v>
      </c>
      <c r="E138" s="2">
        <f ca="1">IFERROR(__xludf.DUMMYFUNCTION("""COMPUTED_VALUE"""),2)</f>
        <v>2</v>
      </c>
    </row>
    <row r="139" spans="1:5" ht="13">
      <c r="A139" s="8" t="str">
        <f ca="1">IFERROR(__xludf.DUMMYFUNCTION("""COMPUTED_VALUE"""),"Althouse, Jay")</f>
        <v>Althouse, Jay</v>
      </c>
      <c r="B139" s="3">
        <f ca="1">IFERROR(__xludf.DUMMYFUNCTION("""COMPUTED_VALUE"""),1)</f>
        <v>1</v>
      </c>
      <c r="C139" s="7">
        <f ca="1">IFERROR(__xludf.DUMMYFUNCTION("""COMPUTED_VALUE"""),1)</f>
        <v>1</v>
      </c>
      <c r="D139" s="8">
        <f ca="1">IFERROR(__xludf.DUMMYFUNCTION("""COMPUTED_VALUE"""),1)</f>
        <v>1</v>
      </c>
      <c r="E139" s="2">
        <f ca="1">IFERROR(__xludf.DUMMYFUNCTION("""COMPUTED_VALUE"""),1)</f>
        <v>1</v>
      </c>
    </row>
    <row r="140" spans="1:5" ht="13">
      <c r="A140" s="2" t="str">
        <f ca="1">IFERROR(__xludf.DUMMYFUNCTION("""COMPUTED_VALUE"""),"Altman, Arthur")</f>
        <v>Altman, Arthur</v>
      </c>
      <c r="B140" s="2">
        <f ca="1">IFERROR(__xludf.DUMMYFUNCTION("""COMPUTED_VALUE"""),1)</f>
        <v>1</v>
      </c>
      <c r="C140" s="7">
        <f ca="1">IFERROR(__xludf.DUMMYFUNCTION("""COMPUTED_VALUE"""),1)</f>
        <v>1</v>
      </c>
      <c r="D140" s="8">
        <f ca="1">IFERROR(__xludf.DUMMYFUNCTION("""COMPUTED_VALUE"""),5)</f>
        <v>5</v>
      </c>
      <c r="E140" s="2">
        <f ca="1">IFERROR(__xludf.DUMMYFUNCTION("""COMPUTED_VALUE"""),2)</f>
        <v>2</v>
      </c>
    </row>
    <row r="141" spans="1:5" ht="13">
      <c r="A141" s="2" t="str">
        <f ca="1">IFERROR(__xludf.DUMMYFUNCTION("""COMPUTED_VALUE"""),"Altman, Shalom")</f>
        <v>Altman, Shalom</v>
      </c>
      <c r="B141" s="3">
        <f ca="1">IFERROR(__xludf.DUMMYFUNCTION("""COMPUTED_VALUE"""),1)</f>
        <v>1</v>
      </c>
      <c r="C141" s="7">
        <f ca="1">IFERROR(__xludf.DUMMYFUNCTION("""COMPUTED_VALUE"""),1)</f>
        <v>1</v>
      </c>
      <c r="D141" s="8">
        <f ca="1">IFERROR(__xludf.DUMMYFUNCTION("""COMPUTED_VALUE"""),5)</f>
        <v>5</v>
      </c>
      <c r="E141" s="2">
        <f ca="1">IFERROR(__xludf.DUMMYFUNCTION("""COMPUTED_VALUE"""),2)</f>
        <v>2</v>
      </c>
    </row>
    <row r="142" spans="1:5" ht="13">
      <c r="A142" s="2" t="str">
        <f ca="1">IFERROR(__xludf.DUMMYFUNCTION("""COMPUTED_VALUE"""),"Alviani, Henry A.")</f>
        <v>Alviani, Henry A.</v>
      </c>
      <c r="B142" s="3">
        <f ca="1">IFERROR(__xludf.DUMMYFUNCTION("""COMPUTED_VALUE"""),1)</f>
        <v>1</v>
      </c>
      <c r="C142" s="7">
        <f ca="1">IFERROR(__xludf.DUMMYFUNCTION("""COMPUTED_VALUE"""),1)</f>
        <v>1</v>
      </c>
      <c r="D142" s="8">
        <f ca="1">IFERROR(__xludf.DUMMYFUNCTION("""COMPUTED_VALUE"""),1)</f>
        <v>1</v>
      </c>
      <c r="E142" s="2">
        <f ca="1">IFERROR(__xludf.DUMMYFUNCTION("""COMPUTED_VALUE"""),1)</f>
        <v>1</v>
      </c>
    </row>
    <row r="143" spans="1:5" ht="13">
      <c r="A143" s="8" t="str">
        <f ca="1">IFERROR(__xludf.DUMMYFUNCTION("""COMPUTED_VALUE"""),"Alwes, Chester L.")</f>
        <v>Alwes, Chester L.</v>
      </c>
      <c r="B143" s="3">
        <f ca="1">IFERROR(__xludf.DUMMYFUNCTION("""COMPUTED_VALUE"""),1)</f>
        <v>1</v>
      </c>
      <c r="C143" s="7">
        <f ca="1">IFERROR(__xludf.DUMMYFUNCTION("""COMPUTED_VALUE"""),1)</f>
        <v>1</v>
      </c>
      <c r="D143" s="8">
        <f ca="1">IFERROR(__xludf.DUMMYFUNCTION("""COMPUTED_VALUE"""),1)</f>
        <v>1</v>
      </c>
      <c r="E143" s="2">
        <f ca="1">IFERROR(__xludf.DUMMYFUNCTION("""COMPUTED_VALUE"""),1)</f>
        <v>1</v>
      </c>
    </row>
    <row r="144" spans="1:5" ht="13">
      <c r="A144" s="8" t="str">
        <f ca="1">IFERROR(__xludf.DUMMYFUNCTION("""COMPUTED_VALUE"""),"Alwood, J.K")</f>
        <v>Alwood, J.K</v>
      </c>
      <c r="B144" s="3">
        <f ca="1">IFERROR(__xludf.DUMMYFUNCTION("""COMPUTED_VALUE"""),1)</f>
        <v>1</v>
      </c>
      <c r="C144" s="7">
        <f ca="1">IFERROR(__xludf.DUMMYFUNCTION("""COMPUTED_VALUE"""),1)</f>
        <v>1</v>
      </c>
      <c r="D144" s="8">
        <f ca="1">IFERROR(__xludf.DUMMYFUNCTION("""COMPUTED_VALUE"""),5)</f>
        <v>5</v>
      </c>
      <c r="E144" s="2">
        <f ca="1">IFERROR(__xludf.DUMMYFUNCTION("""COMPUTED_VALUE"""),2)</f>
        <v>2</v>
      </c>
    </row>
    <row r="145" spans="1:5" ht="13">
      <c r="A145" s="2" t="str">
        <f ca="1">IFERROR(__xludf.DUMMYFUNCTION("""COMPUTED_VALUE"""),"Alwyn, William")</f>
        <v>Alwyn, William</v>
      </c>
      <c r="B145" s="3">
        <f ca="1">IFERROR(__xludf.DUMMYFUNCTION("""COMPUTED_VALUE"""),1)</f>
        <v>1</v>
      </c>
      <c r="C145" s="7">
        <f ca="1">IFERROR(__xludf.DUMMYFUNCTION("""COMPUTED_VALUE"""),1)</f>
        <v>1</v>
      </c>
      <c r="D145" s="8">
        <f ca="1">IFERROR(__xludf.DUMMYFUNCTION("""COMPUTED_VALUE"""),5)</f>
        <v>5</v>
      </c>
      <c r="E145" s="2">
        <f ca="1">IFERROR(__xludf.DUMMYFUNCTION("""COMPUTED_VALUE"""),2)</f>
        <v>2</v>
      </c>
    </row>
    <row r="146" spans="1:5" ht="13">
      <c r="A146" s="2" t="str">
        <f ca="1">IFERROR(__xludf.DUMMYFUNCTION("""COMPUTED_VALUE"""),"Ambrose, Robert")</f>
        <v>Ambrose, Robert</v>
      </c>
      <c r="B146" s="3">
        <f ca="1">IFERROR(__xludf.DUMMYFUNCTION("""COMPUTED_VALUE"""),1)</f>
        <v>1</v>
      </c>
      <c r="C146" s="7">
        <f ca="1">IFERROR(__xludf.DUMMYFUNCTION("""COMPUTED_VALUE"""),1)</f>
        <v>1</v>
      </c>
      <c r="D146" s="8">
        <f ca="1">IFERROR(__xludf.DUMMYFUNCTION("""COMPUTED_VALUE"""),1)</f>
        <v>1</v>
      </c>
      <c r="E146" s="2">
        <f ca="1">IFERROR(__xludf.DUMMYFUNCTION("""COMPUTED_VALUE"""),1)</f>
        <v>1</v>
      </c>
    </row>
    <row r="147" spans="1:5" ht="13">
      <c r="A147" s="2" t="str">
        <f ca="1">IFERROR(__xludf.DUMMYFUNCTION("""COMPUTED_VALUE"""),"Ambrosio, Joe")</f>
        <v>Ambrosio, Joe</v>
      </c>
      <c r="B147" s="3">
        <f ca="1">IFERROR(__xludf.DUMMYFUNCTION("""COMPUTED_VALUE"""),1)</f>
        <v>1</v>
      </c>
      <c r="C147" s="7">
        <f ca="1">IFERROR(__xludf.DUMMYFUNCTION("""COMPUTED_VALUE"""),1)</f>
        <v>1</v>
      </c>
      <c r="D147" s="8">
        <f ca="1">IFERROR(__xludf.DUMMYFUNCTION("""COMPUTED_VALUE"""),5)</f>
        <v>5</v>
      </c>
      <c r="E147" s="2">
        <f ca="1">IFERROR(__xludf.DUMMYFUNCTION("""COMPUTED_VALUE"""),2)</f>
        <v>2</v>
      </c>
    </row>
    <row r="148" spans="1:5" ht="13">
      <c r="A148" s="8" t="str">
        <f ca="1">IFERROR(__xludf.DUMMYFUNCTION("""COMPUTED_VALUE"""),"Amellér, André")</f>
        <v>Amellér, André</v>
      </c>
      <c r="B148" s="2">
        <f ca="1">IFERROR(__xludf.DUMMYFUNCTION("""COMPUTED_VALUE"""),1)</f>
        <v>1</v>
      </c>
      <c r="C148" s="7">
        <f ca="1">IFERROR(__xludf.DUMMYFUNCTION("""COMPUTED_VALUE"""),1)</f>
        <v>1</v>
      </c>
      <c r="D148" s="8">
        <f ca="1">IFERROR(__xludf.DUMMYFUNCTION("""COMPUTED_VALUE"""),5)</f>
        <v>5</v>
      </c>
      <c r="E148" s="2">
        <f ca="1">IFERROR(__xludf.DUMMYFUNCTION("""COMPUTED_VALUE"""),2)</f>
        <v>2</v>
      </c>
    </row>
    <row r="149" spans="1:5" ht="13">
      <c r="A149" s="2" t="str">
        <f ca="1">IFERROR(__xludf.DUMMYFUNCTION("""COMPUTED_VALUE"""),"Ames, Jeffery / Leaman, S. Scott")</f>
        <v>Ames, Jeffery / Leaman, S. Scott</v>
      </c>
      <c r="B149" s="3">
        <f ca="1">IFERROR(__xludf.DUMMYFUNCTION("""COMPUTED_VALUE"""),1)</f>
        <v>1</v>
      </c>
      <c r="C149" s="7">
        <f ca="1">IFERROR(__xludf.DUMMYFUNCTION("""COMPUTED_VALUE"""),1)</f>
        <v>1</v>
      </c>
      <c r="D149" s="8">
        <f ca="1">IFERROR(__xludf.DUMMYFUNCTION("""COMPUTED_VALUE"""),1)</f>
        <v>1</v>
      </c>
      <c r="E149" s="2">
        <f ca="1">IFERROR(__xludf.DUMMYFUNCTION("""COMPUTED_VALUE"""),1)</f>
        <v>1</v>
      </c>
    </row>
    <row r="150" spans="1:5" ht="13">
      <c r="A150" s="2" t="str">
        <f ca="1">IFERROR(__xludf.DUMMYFUNCTION("""COMPUTED_VALUE"""),"Ames, Jeffery L. / McKay, David")</f>
        <v>Ames, Jeffery L. / McKay, David</v>
      </c>
      <c r="B150" s="3">
        <f ca="1">IFERROR(__xludf.DUMMYFUNCTION("""COMPUTED_VALUE"""),1)</f>
        <v>1</v>
      </c>
      <c r="C150" s="7">
        <f ca="1">IFERROR(__xludf.DUMMYFUNCTION("""COMPUTED_VALUE"""),1)</f>
        <v>1</v>
      </c>
      <c r="D150" s="8">
        <f ca="1">IFERROR(__xludf.DUMMYFUNCTION("""COMPUTED_VALUE"""),1)</f>
        <v>1</v>
      </c>
      <c r="E150" s="2">
        <f ca="1">IFERROR(__xludf.DUMMYFUNCTION("""COMPUTED_VALUE"""),1)</f>
        <v>1</v>
      </c>
    </row>
    <row r="151" spans="1:5" ht="13">
      <c r="A151" s="8" t="str">
        <f ca="1">IFERROR(__xludf.DUMMYFUNCTION("""COMPUTED_VALUE"""),"Ames, Robert")</f>
        <v>Ames, Robert</v>
      </c>
      <c r="B151" s="3">
        <f ca="1">IFERROR(__xludf.DUMMYFUNCTION("""COMPUTED_VALUE"""),1)</f>
        <v>1</v>
      </c>
      <c r="C151" s="7">
        <f ca="1">IFERROR(__xludf.DUMMYFUNCTION("""COMPUTED_VALUE"""),1)</f>
        <v>1</v>
      </c>
      <c r="D151" s="8">
        <f ca="1">IFERROR(__xludf.DUMMYFUNCTION("""COMPUTED_VALUE"""),1)</f>
        <v>1</v>
      </c>
      <c r="E151" s="2">
        <f ca="1">IFERROR(__xludf.DUMMYFUNCTION("""COMPUTED_VALUE"""),1)</f>
        <v>1</v>
      </c>
    </row>
    <row r="152" spans="1:5" ht="13">
      <c r="A152" s="8" t="str">
        <f ca="1">IFERROR(__xludf.DUMMYFUNCTION("""COMPUTED_VALUE"""),"Amlung")</f>
        <v>Amlung</v>
      </c>
      <c r="B152" s="3">
        <f ca="1">IFERROR(__xludf.DUMMYFUNCTION("""COMPUTED_VALUE"""),1)</f>
        <v>1</v>
      </c>
      <c r="C152" s="7">
        <f ca="1">IFERROR(__xludf.DUMMYFUNCTION("""COMPUTED_VALUE"""),1)</f>
        <v>1</v>
      </c>
      <c r="D152" s="8">
        <f ca="1">IFERROR(__xludf.DUMMYFUNCTION("""COMPUTED_VALUE"""),5)</f>
        <v>5</v>
      </c>
      <c r="E152" s="2">
        <f ca="1">IFERROR(__xludf.DUMMYFUNCTION("""COMPUTED_VALUE"""),2)</f>
        <v>2</v>
      </c>
    </row>
    <row r="153" spans="1:5" ht="13">
      <c r="A153" s="8" t="str">
        <f ca="1">IFERROR(__xludf.DUMMYFUNCTION("""COMPUTED_VALUE"""),"Ammann, Dieter")</f>
        <v>Ammann, Dieter</v>
      </c>
      <c r="B153" s="3">
        <f ca="1">IFERROR(__xludf.DUMMYFUNCTION("""COMPUTED_VALUE"""),1)</f>
        <v>1</v>
      </c>
      <c r="C153" s="7">
        <f ca="1">IFERROR(__xludf.DUMMYFUNCTION("""COMPUTED_VALUE"""),1)</f>
        <v>1</v>
      </c>
      <c r="D153" s="8">
        <f ca="1">IFERROR(__xludf.DUMMYFUNCTION("""COMPUTED_VALUE"""),1)</f>
        <v>1</v>
      </c>
      <c r="E153" s="2">
        <f ca="1">IFERROR(__xludf.DUMMYFUNCTION("""COMPUTED_VALUE"""),1)</f>
        <v>1</v>
      </c>
    </row>
    <row r="154" spans="1:5" ht="13">
      <c r="A154" s="2" t="str">
        <f ca="1">IFERROR(__xludf.DUMMYFUNCTION("""COMPUTED_VALUE"""),"Amner, John")</f>
        <v>Amner, John</v>
      </c>
      <c r="B154" s="3">
        <f ca="1">IFERROR(__xludf.DUMMYFUNCTION("""COMPUTED_VALUE"""),1)</f>
        <v>1</v>
      </c>
      <c r="C154" s="7">
        <f ca="1">IFERROR(__xludf.DUMMYFUNCTION("""COMPUTED_VALUE"""),1)</f>
        <v>1</v>
      </c>
      <c r="D154" s="8">
        <f ca="1">IFERROR(__xludf.DUMMYFUNCTION("""COMPUTED_VALUE"""),1)</f>
        <v>1</v>
      </c>
      <c r="E154" s="2">
        <f ca="1">IFERROR(__xludf.DUMMYFUNCTION("""COMPUTED_VALUE"""),1)</f>
        <v>1</v>
      </c>
    </row>
    <row r="155" spans="1:5" ht="13">
      <c r="A155" s="8" t="str">
        <f ca="1">IFERROR(__xludf.DUMMYFUNCTION("""COMPUTED_VALUE"""),"Amram, David")</f>
        <v>Amram, David</v>
      </c>
      <c r="B155" s="3">
        <f ca="1">IFERROR(__xludf.DUMMYFUNCTION("""COMPUTED_VALUE"""),1)</f>
        <v>1</v>
      </c>
      <c r="C155" s="7">
        <f ca="1">IFERROR(__xludf.DUMMYFUNCTION("""COMPUTED_VALUE"""),1)</f>
        <v>1</v>
      </c>
      <c r="D155" s="8">
        <f ca="1">IFERROR(__xludf.DUMMYFUNCTION("""COMPUTED_VALUE"""),1)</f>
        <v>1</v>
      </c>
      <c r="E155" s="2">
        <f ca="1">IFERROR(__xludf.DUMMYFUNCTION("""COMPUTED_VALUE"""),1)</f>
        <v>1</v>
      </c>
    </row>
    <row r="156" spans="1:5" ht="13">
      <c r="A156" s="2" t="str">
        <f ca="1">IFERROR(__xludf.DUMMYFUNCTION("""COMPUTED_VALUE"""),"Amstad, Rolf")</f>
        <v>Amstad, Rolf</v>
      </c>
      <c r="B156" s="2">
        <f ca="1">IFERROR(__xludf.DUMMYFUNCTION("""COMPUTED_VALUE"""),1)</f>
        <v>1</v>
      </c>
      <c r="C156" s="7">
        <f ca="1">IFERROR(__xludf.DUMMYFUNCTION("""COMPUTED_VALUE"""),1)</f>
        <v>1</v>
      </c>
      <c r="D156" s="8">
        <f ca="1">IFERROR(__xludf.DUMMYFUNCTION("""COMPUTED_VALUE"""),1)</f>
        <v>1</v>
      </c>
      <c r="E156" s="2">
        <f ca="1">IFERROR(__xludf.DUMMYFUNCTION("""COMPUTED_VALUE"""),1)</f>
        <v>1</v>
      </c>
    </row>
    <row r="157" spans="1:5" ht="13">
      <c r="A157" s="2" t="str">
        <f ca="1">IFERROR(__xludf.DUMMYFUNCTION("""COMPUTED_VALUE"""),"Amundson, Steven")</f>
        <v>Amundson, Steven</v>
      </c>
      <c r="B157" s="2">
        <f ca="1">IFERROR(__xludf.DUMMYFUNCTION("""COMPUTED_VALUE"""),1)</f>
        <v>1</v>
      </c>
      <c r="C157" s="7">
        <f ca="1">IFERROR(__xludf.DUMMYFUNCTION("""COMPUTED_VALUE"""),1)</f>
        <v>1</v>
      </c>
      <c r="D157" s="8">
        <f ca="1">IFERROR(__xludf.DUMMYFUNCTION("""COMPUTED_VALUE"""),1)</f>
        <v>1</v>
      </c>
      <c r="E157" s="2">
        <f ca="1">IFERROR(__xludf.DUMMYFUNCTION("""COMPUTED_VALUE"""),1)</f>
        <v>1</v>
      </c>
    </row>
    <row r="158" spans="1:5" ht="13">
      <c r="A158" s="8" t="str">
        <f ca="1">IFERROR(__xludf.DUMMYFUNCTION("""COMPUTED_VALUE"""),"Anazalone, G.")</f>
        <v>Anazalone, G.</v>
      </c>
      <c r="B158" s="3">
        <f ca="1">IFERROR(__xludf.DUMMYFUNCTION("""COMPUTED_VALUE"""),1)</f>
        <v>1</v>
      </c>
      <c r="C158" s="7">
        <f ca="1">IFERROR(__xludf.DUMMYFUNCTION("""COMPUTED_VALUE"""),1)</f>
        <v>1</v>
      </c>
      <c r="D158" s="8">
        <f ca="1">IFERROR(__xludf.DUMMYFUNCTION("""COMPUTED_VALUE"""),5)</f>
        <v>5</v>
      </c>
      <c r="E158" s="2">
        <f ca="1">IFERROR(__xludf.DUMMYFUNCTION("""COMPUTED_VALUE"""),2)</f>
        <v>2</v>
      </c>
    </row>
    <row r="159" spans="1:5" ht="13">
      <c r="A159" s="8" t="str">
        <f ca="1">IFERROR(__xludf.DUMMYFUNCTION("""COMPUTED_VALUE"""),"Anchieta, Juan de")</f>
        <v>Anchieta, Juan de</v>
      </c>
      <c r="B159" s="3">
        <f ca="1">IFERROR(__xludf.DUMMYFUNCTION("""COMPUTED_VALUE"""),1)</f>
        <v>1</v>
      </c>
      <c r="C159" s="7">
        <f ca="1">IFERROR(__xludf.DUMMYFUNCTION("""COMPUTED_VALUE"""),1)</f>
        <v>1</v>
      </c>
      <c r="D159" s="8">
        <f ca="1">IFERROR(__xludf.DUMMYFUNCTION("""COMPUTED_VALUE"""),5)</f>
        <v>5</v>
      </c>
      <c r="E159" s="2">
        <f ca="1">IFERROR(__xludf.DUMMYFUNCTION("""COMPUTED_VALUE"""),2)</f>
        <v>2</v>
      </c>
    </row>
    <row r="160" spans="1:5" ht="13">
      <c r="A160" s="2" t="str">
        <f ca="1">IFERROR(__xludf.DUMMYFUNCTION("""COMPUTED_VALUE"""),"Andersen, Joachim")</f>
        <v>Andersen, Joachim</v>
      </c>
      <c r="B160" s="3">
        <f ca="1">IFERROR(__xludf.DUMMYFUNCTION("""COMPUTED_VALUE"""),1)</f>
        <v>1</v>
      </c>
      <c r="C160" s="7">
        <f ca="1">IFERROR(__xludf.DUMMYFUNCTION("""COMPUTED_VALUE"""),1)</f>
        <v>1</v>
      </c>
      <c r="D160" s="8">
        <f ca="1">IFERROR(__xludf.DUMMYFUNCTION("""COMPUTED_VALUE"""),5)</f>
        <v>5</v>
      </c>
      <c r="E160" s="2">
        <f ca="1">IFERROR(__xludf.DUMMYFUNCTION("""COMPUTED_VALUE"""),2)</f>
        <v>2</v>
      </c>
    </row>
    <row r="161" spans="1:5" ht="13">
      <c r="A161" s="2" t="str">
        <f ca="1">IFERROR(__xludf.DUMMYFUNCTION("""COMPUTED_VALUE"""),"Andersen, Ken Andre")</f>
        <v>Andersen, Ken Andre</v>
      </c>
      <c r="B161" s="2">
        <f ca="1">IFERROR(__xludf.DUMMYFUNCTION("""COMPUTED_VALUE"""),1)</f>
        <v>1</v>
      </c>
      <c r="C161" s="7">
        <f ca="1">IFERROR(__xludf.DUMMYFUNCTION("""COMPUTED_VALUE"""),1)</f>
        <v>1</v>
      </c>
      <c r="D161" s="8">
        <f ca="1">IFERROR(__xludf.DUMMYFUNCTION("""COMPUTED_VALUE"""),1)</f>
        <v>1</v>
      </c>
      <c r="E161" s="2">
        <f ca="1">IFERROR(__xludf.DUMMYFUNCTION("""COMPUTED_VALUE"""),1)</f>
        <v>1</v>
      </c>
    </row>
    <row r="162" spans="1:5" ht="13">
      <c r="A162" s="2" t="str">
        <f ca="1">IFERROR(__xludf.DUMMYFUNCTION("""COMPUTED_VALUE"""),"Andersen, Kim Andre")</f>
        <v>Andersen, Kim Andre</v>
      </c>
      <c r="B162" s="2">
        <f ca="1">IFERROR(__xludf.DUMMYFUNCTION("""COMPUTED_VALUE"""),1)</f>
        <v>1</v>
      </c>
      <c r="C162" s="7">
        <f ca="1">IFERROR(__xludf.DUMMYFUNCTION("""COMPUTED_VALUE"""),1)</f>
        <v>1</v>
      </c>
      <c r="D162" s="8">
        <f ca="1">IFERROR(__xludf.DUMMYFUNCTION("""COMPUTED_VALUE"""),1)</f>
        <v>1</v>
      </c>
      <c r="E162" s="2">
        <f ca="1">IFERROR(__xludf.DUMMYFUNCTION("""COMPUTED_VALUE"""),1)</f>
        <v>1</v>
      </c>
    </row>
    <row r="163" spans="1:5" ht="13">
      <c r="A163" s="2" t="str">
        <f ca="1">IFERROR(__xludf.DUMMYFUNCTION("""COMPUTED_VALUE"""),"Andersen, Leroy")</f>
        <v>Andersen, Leroy</v>
      </c>
      <c r="B163" s="3">
        <f ca="1">IFERROR(__xludf.DUMMYFUNCTION("""COMPUTED_VALUE"""),1)</f>
        <v>1</v>
      </c>
      <c r="C163" s="7">
        <f ca="1">IFERROR(__xludf.DUMMYFUNCTION("""COMPUTED_VALUE"""),1)</f>
        <v>1</v>
      </c>
      <c r="D163" s="8">
        <f ca="1">IFERROR(__xludf.DUMMYFUNCTION("""COMPUTED_VALUE"""),5)</f>
        <v>5</v>
      </c>
      <c r="E163" s="2">
        <f ca="1">IFERROR(__xludf.DUMMYFUNCTION("""COMPUTED_VALUE"""),2)</f>
        <v>2</v>
      </c>
    </row>
    <row r="164" spans="1:5" ht="13">
      <c r="A164" s="2" t="str">
        <f ca="1">IFERROR(__xludf.DUMMYFUNCTION("""COMPUTED_VALUE"""),"Anderson, Allen")</f>
        <v>Anderson, Allen</v>
      </c>
      <c r="B164" s="2">
        <f ca="1">IFERROR(__xludf.DUMMYFUNCTION("""COMPUTED_VALUE"""),1)</f>
        <v>1</v>
      </c>
      <c r="C164" s="2">
        <f ca="1">IFERROR(__xludf.DUMMYFUNCTION("""COMPUTED_VALUE"""),1)</f>
        <v>1</v>
      </c>
      <c r="D164" s="8">
        <f ca="1">IFERROR(__xludf.DUMMYFUNCTION("""COMPUTED_VALUE"""),1)</f>
        <v>1</v>
      </c>
      <c r="E164" s="2">
        <f ca="1">IFERROR(__xludf.DUMMYFUNCTION("""COMPUTED_VALUE"""),1)</f>
        <v>1</v>
      </c>
    </row>
    <row r="165" spans="1:5" ht="13">
      <c r="A165" s="2" t="str">
        <f ca="1">IFERROR(__xludf.DUMMYFUNCTION("""COMPUTED_VALUE"""),"Anderson, Charles")</f>
        <v>Anderson, Charles</v>
      </c>
      <c r="B165" s="3">
        <f ca="1">IFERROR(__xludf.DUMMYFUNCTION("""COMPUTED_VALUE"""),1)</f>
        <v>1</v>
      </c>
      <c r="C165" s="7">
        <f ca="1">IFERROR(__xludf.DUMMYFUNCTION("""COMPUTED_VALUE"""),1)</f>
        <v>1</v>
      </c>
      <c r="D165" s="8">
        <f ca="1">IFERROR(__xludf.DUMMYFUNCTION("""COMPUTED_VALUE"""),1)</f>
        <v>1</v>
      </c>
      <c r="E165" s="2">
        <f ca="1">IFERROR(__xludf.DUMMYFUNCTION("""COMPUTED_VALUE"""),1)</f>
        <v>1</v>
      </c>
    </row>
    <row r="166" spans="1:5" ht="13">
      <c r="A166" s="8" t="str">
        <f ca="1">IFERROR(__xludf.DUMMYFUNCTION("""COMPUTED_VALUE"""),"Anderson, Christopher")</f>
        <v>Anderson, Christopher</v>
      </c>
      <c r="B166" s="3">
        <f ca="1">IFERROR(__xludf.DUMMYFUNCTION("""COMPUTED_VALUE"""),1)</f>
        <v>1</v>
      </c>
      <c r="C166" s="7">
        <f ca="1">IFERROR(__xludf.DUMMYFUNCTION("""COMPUTED_VALUE"""),1)</f>
        <v>1</v>
      </c>
      <c r="D166" s="8">
        <f ca="1">IFERROR(__xludf.DUMMYFUNCTION("""COMPUTED_VALUE"""),5)</f>
        <v>5</v>
      </c>
      <c r="E166" s="2">
        <f ca="1">IFERROR(__xludf.DUMMYFUNCTION("""COMPUTED_VALUE"""),2)</f>
        <v>2</v>
      </c>
    </row>
    <row r="167" spans="1:5" ht="13">
      <c r="A167" s="8" t="str">
        <f ca="1">IFERROR(__xludf.DUMMYFUNCTION("""COMPUTED_VALUE"""),"Anderson, David")</f>
        <v>Anderson, David</v>
      </c>
      <c r="B167" s="3">
        <f ca="1">IFERROR(__xludf.DUMMYFUNCTION("""COMPUTED_VALUE"""),1)</f>
        <v>1</v>
      </c>
      <c r="C167" s="7">
        <f ca="1">IFERROR(__xludf.DUMMYFUNCTION("""COMPUTED_VALUE"""),1)</f>
        <v>1</v>
      </c>
      <c r="D167" s="8">
        <f ca="1">IFERROR(__xludf.DUMMYFUNCTION("""COMPUTED_VALUE"""),1)</f>
        <v>1</v>
      </c>
      <c r="E167" s="2">
        <f ca="1">IFERROR(__xludf.DUMMYFUNCTION("""COMPUTED_VALUE"""),1)</f>
        <v>1</v>
      </c>
    </row>
    <row r="168" spans="1:5" ht="13">
      <c r="A168" s="2" t="str">
        <f ca="1">IFERROR(__xludf.DUMMYFUNCTION("""COMPUTED_VALUE"""),"Anderson, Edward")</f>
        <v>Anderson, Edward</v>
      </c>
      <c r="B168" s="2">
        <f ca="1">IFERROR(__xludf.DUMMYFUNCTION("""COMPUTED_VALUE"""),1)</f>
        <v>1</v>
      </c>
      <c r="C168" s="2">
        <f ca="1">IFERROR(__xludf.DUMMYFUNCTION("""COMPUTED_VALUE"""),1)</f>
        <v>1</v>
      </c>
      <c r="D168" s="8">
        <f ca="1">IFERROR(__xludf.DUMMYFUNCTION("""COMPUTED_VALUE"""),1)</f>
        <v>1</v>
      </c>
      <c r="E168" s="2">
        <f ca="1">IFERROR(__xludf.DUMMYFUNCTION("""COMPUTED_VALUE"""),1)</f>
        <v>1</v>
      </c>
    </row>
    <row r="169" spans="1:5" ht="13">
      <c r="A169" s="2" t="str">
        <f ca="1">IFERROR(__xludf.DUMMYFUNCTION("""COMPUTED_VALUE"""),"Anderson, Gerald")</f>
        <v>Anderson, Gerald</v>
      </c>
      <c r="B169" s="3">
        <f ca="1">IFERROR(__xludf.DUMMYFUNCTION("""COMPUTED_VALUE"""),1)</f>
        <v>1</v>
      </c>
      <c r="C169" s="7">
        <f ca="1">IFERROR(__xludf.DUMMYFUNCTION("""COMPUTED_VALUE"""),1)</f>
        <v>1</v>
      </c>
      <c r="D169" s="8">
        <f ca="1">IFERROR(__xludf.DUMMYFUNCTION("""COMPUTED_VALUE"""),5)</f>
        <v>5</v>
      </c>
      <c r="E169" s="2">
        <f ca="1">IFERROR(__xludf.DUMMYFUNCTION("""COMPUTED_VALUE"""),2)</f>
        <v>2</v>
      </c>
    </row>
    <row r="170" spans="1:5" ht="13">
      <c r="A170" s="8" t="str">
        <f ca="1">IFERROR(__xludf.DUMMYFUNCTION("""COMPUTED_VALUE"""),"Anderson, Julian")</f>
        <v>Anderson, Julian</v>
      </c>
      <c r="B170" s="3">
        <f ca="1">IFERROR(__xludf.DUMMYFUNCTION("""COMPUTED_VALUE"""),1)</f>
        <v>1</v>
      </c>
      <c r="C170" s="7">
        <f ca="1">IFERROR(__xludf.DUMMYFUNCTION("""COMPUTED_VALUE"""),1)</f>
        <v>1</v>
      </c>
      <c r="D170" s="8">
        <f ca="1">IFERROR(__xludf.DUMMYFUNCTION("""COMPUTED_VALUE"""),1)</f>
        <v>1</v>
      </c>
      <c r="E170" s="2">
        <f ca="1">IFERROR(__xludf.DUMMYFUNCTION("""COMPUTED_VALUE"""),1)</f>
        <v>1</v>
      </c>
    </row>
    <row r="171" spans="1:5" ht="13">
      <c r="A171" s="8" t="str">
        <f ca="1">IFERROR(__xludf.DUMMYFUNCTION("""COMPUTED_VALUE"""),"Anderson, Leroy")</f>
        <v>Anderson, Leroy</v>
      </c>
      <c r="B171" s="3">
        <f ca="1">IFERROR(__xludf.DUMMYFUNCTION("""COMPUTED_VALUE"""),1)</f>
        <v>1</v>
      </c>
      <c r="C171" s="7">
        <f ca="1">IFERROR(__xludf.DUMMYFUNCTION("""COMPUTED_VALUE"""),1)</f>
        <v>1</v>
      </c>
      <c r="D171" s="8">
        <f ca="1">IFERROR(__xludf.DUMMYFUNCTION("""COMPUTED_VALUE"""),5)</f>
        <v>5</v>
      </c>
      <c r="E171" s="2">
        <f ca="1">IFERROR(__xludf.DUMMYFUNCTION("""COMPUTED_VALUE"""),2)</f>
        <v>2</v>
      </c>
    </row>
    <row r="172" spans="1:5" ht="13">
      <c r="A172" s="2" t="str">
        <f ca="1">IFERROR(__xludf.DUMMYFUNCTION("""COMPUTED_VALUE"""),"Anderson, Ronald")</f>
        <v>Anderson, Ronald</v>
      </c>
      <c r="B172" s="3">
        <f ca="1">IFERROR(__xludf.DUMMYFUNCTION("""COMPUTED_VALUE"""),1)</f>
        <v>1</v>
      </c>
      <c r="C172" s="7">
        <f ca="1">IFERROR(__xludf.DUMMYFUNCTION("""COMPUTED_VALUE"""),1)</f>
        <v>1</v>
      </c>
      <c r="D172" s="8">
        <f ca="1">IFERROR(__xludf.DUMMYFUNCTION("""COMPUTED_VALUE"""),1)</f>
        <v>1</v>
      </c>
      <c r="E172" s="2">
        <f ca="1">IFERROR(__xludf.DUMMYFUNCTION("""COMPUTED_VALUE"""),1)</f>
        <v>1</v>
      </c>
    </row>
    <row r="173" spans="1:5" ht="13">
      <c r="A173" s="8" t="str">
        <f ca="1">IFERROR(__xludf.DUMMYFUNCTION("""COMPUTED_VALUE"""),"Anderson, Tom")</f>
        <v>Anderson, Tom</v>
      </c>
      <c r="B173" s="3">
        <f ca="1">IFERROR(__xludf.DUMMYFUNCTION("""COMPUTED_VALUE"""),1)</f>
        <v>1</v>
      </c>
      <c r="C173" s="7">
        <f ca="1">IFERROR(__xludf.DUMMYFUNCTION("""COMPUTED_VALUE"""),1)</f>
        <v>1</v>
      </c>
      <c r="D173" s="8">
        <f ca="1">IFERROR(__xludf.DUMMYFUNCTION("""COMPUTED_VALUE"""),1)</f>
        <v>1</v>
      </c>
      <c r="E173" s="2">
        <f ca="1">IFERROR(__xludf.DUMMYFUNCTION("""COMPUTED_VALUE"""),1)</f>
        <v>1</v>
      </c>
    </row>
    <row r="174" spans="1:5" ht="13">
      <c r="A174" s="2" t="str">
        <f ca="1">IFERROR(__xludf.DUMMYFUNCTION("""COMPUTED_VALUE"""),"Anderssen, Sigr.")</f>
        <v>Anderssen, Sigr.</v>
      </c>
      <c r="B174" s="2">
        <f ca="1">IFERROR(__xludf.DUMMYFUNCTION("""COMPUTED_VALUE"""),1)</f>
        <v>1</v>
      </c>
      <c r="C174" s="7">
        <f ca="1">IFERROR(__xludf.DUMMYFUNCTION("""COMPUTED_VALUE"""),1)</f>
        <v>1</v>
      </c>
      <c r="D174" s="8">
        <f ca="1">IFERROR(__xludf.DUMMYFUNCTION("""COMPUTED_VALUE"""),5)</f>
        <v>5</v>
      </c>
      <c r="E174" s="2">
        <f ca="1">IFERROR(__xludf.DUMMYFUNCTION("""COMPUTED_VALUE"""),2)</f>
        <v>2</v>
      </c>
    </row>
    <row r="175" spans="1:5" ht="13">
      <c r="A175" s="8" t="str">
        <f ca="1">IFERROR(__xludf.DUMMYFUNCTION("""COMPUTED_VALUE"""),"Andreae, Volkmar")</f>
        <v>Andreae, Volkmar</v>
      </c>
      <c r="B175" s="2">
        <f ca="1">IFERROR(__xludf.DUMMYFUNCTION("""COMPUTED_VALUE"""),1)</f>
        <v>1</v>
      </c>
      <c r="C175" s="7">
        <f ca="1">IFERROR(__xludf.DUMMYFUNCTION("""COMPUTED_VALUE"""),1)</f>
        <v>1</v>
      </c>
      <c r="D175" s="8">
        <f ca="1">IFERROR(__xludf.DUMMYFUNCTION("""COMPUTED_VALUE"""),5)</f>
        <v>5</v>
      </c>
      <c r="E175" s="2">
        <f ca="1">IFERROR(__xludf.DUMMYFUNCTION("""COMPUTED_VALUE"""),2)</f>
        <v>2</v>
      </c>
    </row>
    <row r="176" spans="1:5" ht="13">
      <c r="A176" s="2" t="str">
        <f ca="1">IFERROR(__xludf.DUMMYFUNCTION("""COMPUTED_VALUE"""),"Andreasson, Per")</f>
        <v>Andreasson, Per</v>
      </c>
      <c r="B176" s="2">
        <f ca="1">IFERROR(__xludf.DUMMYFUNCTION("""COMPUTED_VALUE"""),1)</f>
        <v>1</v>
      </c>
      <c r="C176" s="7">
        <f ca="1">IFERROR(__xludf.DUMMYFUNCTION("""COMPUTED_VALUE"""),1)</f>
        <v>1</v>
      </c>
      <c r="D176" s="8">
        <f ca="1">IFERROR(__xludf.DUMMYFUNCTION("""COMPUTED_VALUE"""),1)</f>
        <v>1</v>
      </c>
      <c r="E176" s="2">
        <f ca="1">IFERROR(__xludf.DUMMYFUNCTION("""COMPUTED_VALUE"""),1)</f>
        <v>1</v>
      </c>
    </row>
    <row r="177" spans="1:5" ht="13">
      <c r="A177" s="8" t="str">
        <f ca="1">IFERROR(__xludf.DUMMYFUNCTION("""COMPUTED_VALUE"""),"Andres, Bernard")</f>
        <v>Andres, Bernard</v>
      </c>
      <c r="B177" s="3">
        <f ca="1">IFERROR(__xludf.DUMMYFUNCTION("""COMPUTED_VALUE"""),1)</f>
        <v>1</v>
      </c>
      <c r="C177" s="7">
        <f ca="1">IFERROR(__xludf.DUMMYFUNCTION("""COMPUTED_VALUE"""),1)</f>
        <v>1</v>
      </c>
      <c r="D177" s="8">
        <f ca="1">IFERROR(__xludf.DUMMYFUNCTION("""COMPUTED_VALUE"""),1)</f>
        <v>1</v>
      </c>
      <c r="E177" s="2">
        <f ca="1">IFERROR(__xludf.DUMMYFUNCTION("""COMPUTED_VALUE"""),1)</f>
        <v>1</v>
      </c>
    </row>
    <row r="178" spans="1:5" ht="13">
      <c r="A178" s="8" t="str">
        <f ca="1">IFERROR(__xludf.DUMMYFUNCTION("""COMPUTED_VALUE"""),"Andres, Timo")</f>
        <v>Andres, Timo</v>
      </c>
      <c r="B178" s="3">
        <f ca="1">IFERROR(__xludf.DUMMYFUNCTION("""COMPUTED_VALUE"""),1)</f>
        <v>1</v>
      </c>
      <c r="C178" s="7">
        <f ca="1">IFERROR(__xludf.DUMMYFUNCTION("""COMPUTED_VALUE"""),1)</f>
        <v>1</v>
      </c>
      <c r="D178" s="8">
        <f ca="1">IFERROR(__xludf.DUMMYFUNCTION("""COMPUTED_VALUE"""),1)</f>
        <v>1</v>
      </c>
      <c r="E178" s="2">
        <f ca="1">IFERROR(__xludf.DUMMYFUNCTION("""COMPUTED_VALUE"""),1)</f>
        <v>1</v>
      </c>
    </row>
    <row r="179" spans="1:5" ht="13">
      <c r="A179" s="8" t="str">
        <f ca="1">IFERROR(__xludf.DUMMYFUNCTION("""COMPUTED_VALUE"""),"Andrew, James")</f>
        <v>Andrew, James</v>
      </c>
      <c r="B179" s="3">
        <f ca="1">IFERROR(__xludf.DUMMYFUNCTION("""COMPUTED_VALUE"""),1)</f>
        <v>1</v>
      </c>
      <c r="C179" s="7">
        <f ca="1">IFERROR(__xludf.DUMMYFUNCTION("""COMPUTED_VALUE"""),1)</f>
        <v>1</v>
      </c>
      <c r="D179" s="8">
        <f ca="1">IFERROR(__xludf.DUMMYFUNCTION("""COMPUTED_VALUE"""),1)</f>
        <v>1</v>
      </c>
      <c r="E179" s="2">
        <f ca="1">IFERROR(__xludf.DUMMYFUNCTION("""COMPUTED_VALUE"""),1)</f>
        <v>1</v>
      </c>
    </row>
    <row r="180" spans="1:5" ht="13">
      <c r="A180" s="2" t="str">
        <f ca="1">IFERROR(__xludf.DUMMYFUNCTION("""COMPUTED_VALUE"""),"Andrews, David")</f>
        <v>Andrews, David</v>
      </c>
      <c r="B180" s="3">
        <f ca="1">IFERROR(__xludf.DUMMYFUNCTION("""COMPUTED_VALUE"""),1)</f>
        <v>1</v>
      </c>
      <c r="C180" s="7">
        <f ca="1">IFERROR(__xludf.DUMMYFUNCTION("""COMPUTED_VALUE"""),1)</f>
        <v>1</v>
      </c>
      <c r="D180" s="8">
        <f ca="1">IFERROR(__xludf.DUMMYFUNCTION("""COMPUTED_VALUE"""),5)</f>
        <v>5</v>
      </c>
      <c r="E180" s="2">
        <f ca="1">IFERROR(__xludf.DUMMYFUNCTION("""COMPUTED_VALUE"""),2)</f>
        <v>2</v>
      </c>
    </row>
    <row r="181" spans="1:5" ht="13">
      <c r="A181" s="8" t="str">
        <f ca="1">IFERROR(__xludf.DUMMYFUNCTION("""COMPUTED_VALUE"""),"Andrews, Doug")</f>
        <v>Andrews, Doug</v>
      </c>
      <c r="B181" s="3">
        <f ca="1">IFERROR(__xludf.DUMMYFUNCTION("""COMPUTED_VALUE"""),1)</f>
        <v>1</v>
      </c>
      <c r="C181" s="7">
        <f ca="1">IFERROR(__xludf.DUMMYFUNCTION("""COMPUTED_VALUE"""),1)</f>
        <v>1</v>
      </c>
      <c r="D181" s="8">
        <f ca="1">IFERROR(__xludf.DUMMYFUNCTION("""COMPUTED_VALUE"""),1)</f>
        <v>1</v>
      </c>
      <c r="E181" s="2">
        <f ca="1">IFERROR(__xludf.DUMMYFUNCTION("""COMPUTED_VALUE"""),1)</f>
        <v>1</v>
      </c>
    </row>
    <row r="182" spans="1:5" ht="13">
      <c r="A182" s="2" t="str">
        <f ca="1">IFERROR(__xludf.DUMMYFUNCTION("""COMPUTED_VALUE"""),"Andrews, James")</f>
        <v>Andrews, James</v>
      </c>
      <c r="B182" s="3">
        <f ca="1">IFERROR(__xludf.DUMMYFUNCTION("""COMPUTED_VALUE"""),1)</f>
        <v>1</v>
      </c>
      <c r="C182" s="7">
        <f ca="1">IFERROR(__xludf.DUMMYFUNCTION("""COMPUTED_VALUE"""),1)</f>
        <v>1</v>
      </c>
      <c r="D182" s="8">
        <f ca="1">IFERROR(__xludf.DUMMYFUNCTION("""COMPUTED_VALUE"""),1)</f>
        <v>1</v>
      </c>
      <c r="E182" s="2">
        <f ca="1">IFERROR(__xludf.DUMMYFUNCTION("""COMPUTED_VALUE"""),1)</f>
        <v>1</v>
      </c>
    </row>
    <row r="183" spans="1:5" ht="13">
      <c r="A183" s="2" t="str">
        <f ca="1">IFERROR(__xludf.DUMMYFUNCTION("""COMPUTED_VALUE"""),"Andrews, Keith")</f>
        <v>Andrews, Keith</v>
      </c>
      <c r="B183" s="3">
        <f ca="1">IFERROR(__xludf.DUMMYFUNCTION("""COMPUTED_VALUE"""),1)</f>
        <v>1</v>
      </c>
      <c r="C183" s="7">
        <f ca="1">IFERROR(__xludf.DUMMYFUNCTION("""COMPUTED_VALUE"""),1)</f>
        <v>1</v>
      </c>
      <c r="D183" s="8">
        <f ca="1">IFERROR(__xludf.DUMMYFUNCTION("""COMPUTED_VALUE"""),1)</f>
        <v>1</v>
      </c>
      <c r="E183" s="2">
        <f ca="1">IFERROR(__xludf.DUMMYFUNCTION("""COMPUTED_VALUE"""),1)</f>
        <v>1</v>
      </c>
    </row>
    <row r="184" spans="1:5" ht="13">
      <c r="A184" s="8" t="str">
        <f ca="1">IFERROR(__xludf.DUMMYFUNCTION("""COMPUTED_VALUE"""),"Andrews, Mark")</f>
        <v>Andrews, Mark</v>
      </c>
      <c r="B184" s="3">
        <f ca="1">IFERROR(__xludf.DUMMYFUNCTION("""COMPUTED_VALUE"""),1)</f>
        <v>1</v>
      </c>
      <c r="C184" s="7">
        <f ca="1">IFERROR(__xludf.DUMMYFUNCTION("""COMPUTED_VALUE"""),1)</f>
        <v>1</v>
      </c>
      <c r="D184" s="8">
        <f ca="1">IFERROR(__xludf.DUMMYFUNCTION("""COMPUTED_VALUE"""),5)</f>
        <v>5</v>
      </c>
      <c r="E184" s="2">
        <f ca="1">IFERROR(__xludf.DUMMYFUNCTION("""COMPUTED_VALUE"""),2)</f>
        <v>2</v>
      </c>
    </row>
    <row r="185" spans="1:5" ht="13">
      <c r="A185" s="2" t="str">
        <f ca="1">IFERROR(__xludf.DUMMYFUNCTION("""COMPUTED_VALUE"""),"Andrews, SSG Dan")</f>
        <v>Andrews, SSG Dan</v>
      </c>
      <c r="B185" s="3">
        <f ca="1">IFERROR(__xludf.DUMMYFUNCTION("""COMPUTED_VALUE"""),1)</f>
        <v>1</v>
      </c>
      <c r="C185" s="7">
        <f ca="1">IFERROR(__xludf.DUMMYFUNCTION("""COMPUTED_VALUE"""),1)</f>
        <v>1</v>
      </c>
      <c r="D185" s="8">
        <f ca="1">IFERROR(__xludf.DUMMYFUNCTION("""COMPUTED_VALUE"""),1)</f>
        <v>1</v>
      </c>
      <c r="E185" s="2">
        <f ca="1">IFERROR(__xludf.DUMMYFUNCTION("""COMPUTED_VALUE"""),1)</f>
        <v>1</v>
      </c>
    </row>
    <row r="186" spans="1:5" ht="13">
      <c r="A186" s="2" t="str">
        <f ca="1">IFERROR(__xludf.DUMMYFUNCTION("""COMPUTED_VALUE"""),"Andriessen, Hendrik")</f>
        <v>Andriessen, Hendrik</v>
      </c>
      <c r="B186" s="2">
        <f ca="1">IFERROR(__xludf.DUMMYFUNCTION("""COMPUTED_VALUE"""),1)</f>
        <v>1</v>
      </c>
      <c r="C186" s="7">
        <f ca="1">IFERROR(__xludf.DUMMYFUNCTION("""COMPUTED_VALUE"""),1)</f>
        <v>1</v>
      </c>
      <c r="D186" s="8">
        <f ca="1">IFERROR(__xludf.DUMMYFUNCTION("""COMPUTED_VALUE"""),1)</f>
        <v>1</v>
      </c>
      <c r="E186" s="2">
        <f ca="1">IFERROR(__xludf.DUMMYFUNCTION("""COMPUTED_VALUE"""),1)</f>
        <v>1</v>
      </c>
    </row>
    <row r="187" spans="1:5" ht="13">
      <c r="A187" s="8" t="str">
        <f ca="1">IFERROR(__xludf.DUMMYFUNCTION("""COMPUTED_VALUE"""),"Andriessen, Louis")</f>
        <v>Andriessen, Louis</v>
      </c>
      <c r="B187" s="3">
        <f ca="1">IFERROR(__xludf.DUMMYFUNCTION("""COMPUTED_VALUE"""),1)</f>
        <v>1</v>
      </c>
      <c r="C187" s="7">
        <f ca="1">IFERROR(__xludf.DUMMYFUNCTION("""COMPUTED_VALUE"""),1)</f>
        <v>1</v>
      </c>
      <c r="D187" s="8">
        <f ca="1">IFERROR(__xludf.DUMMYFUNCTION("""COMPUTED_VALUE"""),5)</f>
        <v>5</v>
      </c>
      <c r="E187" s="2">
        <f ca="1">IFERROR(__xludf.DUMMYFUNCTION("""COMPUTED_VALUE"""),2)</f>
        <v>2</v>
      </c>
    </row>
    <row r="188" spans="1:5" ht="13">
      <c r="A188" s="2" t="str">
        <f ca="1">IFERROR(__xludf.DUMMYFUNCTION("""COMPUTED_VALUE"""),"Andrieu, Fernand")</f>
        <v>Andrieu, Fernand</v>
      </c>
      <c r="B188" s="3">
        <f ca="1">IFERROR(__xludf.DUMMYFUNCTION("""COMPUTED_VALUE"""),1)</f>
        <v>1</v>
      </c>
      <c r="C188" s="7">
        <f ca="1">IFERROR(__xludf.DUMMYFUNCTION("""COMPUTED_VALUE"""),1)</f>
        <v>1</v>
      </c>
      <c r="D188" s="8">
        <f ca="1">IFERROR(__xludf.DUMMYFUNCTION("""COMPUTED_VALUE"""),5)</f>
        <v>5</v>
      </c>
      <c r="E188" s="3">
        <f ca="1">IFERROR(__xludf.DUMMYFUNCTION("""COMPUTED_VALUE"""),2)</f>
        <v>2</v>
      </c>
    </row>
    <row r="189" spans="1:5" ht="13">
      <c r="A189" s="8" t="str">
        <f ca="1">IFERROR(__xludf.DUMMYFUNCTION("""COMPUTED_VALUE"""),"Anerio, Felice")</f>
        <v>Anerio, Felice</v>
      </c>
      <c r="B189" s="3">
        <f ca="1">IFERROR(__xludf.DUMMYFUNCTION("""COMPUTED_VALUE"""),1)</f>
        <v>1</v>
      </c>
      <c r="C189" s="7">
        <f ca="1">IFERROR(__xludf.DUMMYFUNCTION("""COMPUTED_VALUE"""),1)</f>
        <v>1</v>
      </c>
      <c r="D189" s="8">
        <f ca="1">IFERROR(__xludf.DUMMYFUNCTION("""COMPUTED_VALUE"""),5)</f>
        <v>5</v>
      </c>
      <c r="E189" s="2">
        <f ca="1">IFERROR(__xludf.DUMMYFUNCTION("""COMPUTED_VALUE"""),2)</f>
        <v>2</v>
      </c>
    </row>
    <row r="190" spans="1:5" ht="13">
      <c r="A190" s="8" t="str">
        <f ca="1">IFERROR(__xludf.DUMMYFUNCTION("""COMPUTED_VALUE"""),"Anerio, Giovanni")</f>
        <v>Anerio, Giovanni</v>
      </c>
      <c r="B190" s="3">
        <f ca="1">IFERROR(__xludf.DUMMYFUNCTION("""COMPUTED_VALUE"""),1)</f>
        <v>1</v>
      </c>
      <c r="C190" s="7">
        <f ca="1">IFERROR(__xludf.DUMMYFUNCTION("""COMPUTED_VALUE"""),1)</f>
        <v>1</v>
      </c>
      <c r="D190" s="8">
        <f ca="1">IFERROR(__xludf.DUMMYFUNCTION("""COMPUTED_VALUE"""),5)</f>
        <v>5</v>
      </c>
      <c r="E190" s="2">
        <f ca="1">IFERROR(__xludf.DUMMYFUNCTION("""COMPUTED_VALUE"""),2)</f>
        <v>2</v>
      </c>
    </row>
    <row r="191" spans="1:5" ht="13">
      <c r="A191" s="2" t="str">
        <f ca="1">IFERROR(__xludf.DUMMYFUNCTION("""COMPUTED_VALUE"""),"Angell, Warren")</f>
        <v>Angell, Warren</v>
      </c>
      <c r="B191" s="3">
        <f ca="1">IFERROR(__xludf.DUMMYFUNCTION("""COMPUTED_VALUE"""),1)</f>
        <v>1</v>
      </c>
      <c r="C191" s="7">
        <f ca="1">IFERROR(__xludf.DUMMYFUNCTION("""COMPUTED_VALUE"""),1)</f>
        <v>1</v>
      </c>
      <c r="D191" s="8">
        <f ca="1">IFERROR(__xludf.DUMMYFUNCTION("""COMPUTED_VALUE"""),5)</f>
        <v>5</v>
      </c>
      <c r="E191" s="2">
        <f ca="1">IFERROR(__xludf.DUMMYFUNCTION("""COMPUTED_VALUE"""),2)</f>
        <v>2</v>
      </c>
    </row>
    <row r="192" spans="1:5" ht="13">
      <c r="A192" s="2" t="str">
        <f ca="1">IFERROR(__xludf.DUMMYFUNCTION("""COMPUTED_VALUE"""),"Angerman, David")</f>
        <v>Angerman, David</v>
      </c>
      <c r="B192" s="3">
        <f ca="1">IFERROR(__xludf.DUMMYFUNCTION("""COMPUTED_VALUE"""),1)</f>
        <v>1</v>
      </c>
      <c r="C192" s="7">
        <f ca="1">IFERROR(__xludf.DUMMYFUNCTION("""COMPUTED_VALUE"""),1)</f>
        <v>1</v>
      </c>
      <c r="D192" s="8">
        <f ca="1">IFERROR(__xludf.DUMMYFUNCTION("""COMPUTED_VALUE"""),1)</f>
        <v>1</v>
      </c>
      <c r="E192" s="2">
        <f ca="1">IFERROR(__xludf.DUMMYFUNCTION("""COMPUTED_VALUE"""),1)</f>
        <v>1</v>
      </c>
    </row>
    <row r="193" spans="1:5" ht="13">
      <c r="A193" s="2" t="str">
        <f ca="1">IFERROR(__xludf.DUMMYFUNCTION("""COMPUTED_VALUE"""),"Anglea, Peter")</f>
        <v>Anglea, Peter</v>
      </c>
      <c r="B193" s="3">
        <f ca="1">IFERROR(__xludf.DUMMYFUNCTION("""COMPUTED_VALUE"""),1)</f>
        <v>1</v>
      </c>
      <c r="C193" s="7">
        <f ca="1">IFERROR(__xludf.DUMMYFUNCTION("""COMPUTED_VALUE"""),1)</f>
        <v>1</v>
      </c>
      <c r="D193" s="8">
        <f ca="1">IFERROR(__xludf.DUMMYFUNCTION("""COMPUTED_VALUE"""),1)</f>
        <v>1</v>
      </c>
      <c r="E193" s="3">
        <f ca="1">IFERROR(__xludf.DUMMYFUNCTION("""COMPUTED_VALUE"""),1)</f>
        <v>1</v>
      </c>
    </row>
    <row r="194" spans="1:5" ht="13">
      <c r="A194" s="2" t="str">
        <f ca="1">IFERROR(__xludf.DUMMYFUNCTION("""COMPUTED_VALUE"""),"Anka, Paul")</f>
        <v>Anka, Paul</v>
      </c>
      <c r="B194" s="3">
        <f ca="1">IFERROR(__xludf.DUMMYFUNCTION("""COMPUTED_VALUE"""),1)</f>
        <v>1</v>
      </c>
      <c r="C194" s="7">
        <f ca="1">IFERROR(__xludf.DUMMYFUNCTION("""COMPUTED_VALUE"""),1)</f>
        <v>1</v>
      </c>
      <c r="D194" s="8">
        <f ca="1">IFERROR(__xludf.DUMMYFUNCTION("""COMPUTED_VALUE"""),1)</f>
        <v>1</v>
      </c>
      <c r="E194" s="2">
        <f ca="1">IFERROR(__xludf.DUMMYFUNCTION("""COMPUTED_VALUE"""),1)</f>
        <v>1</v>
      </c>
    </row>
    <row r="195" spans="1:5" ht="13">
      <c r="A195" s="2" t="str">
        <f ca="1">IFERROR(__xludf.DUMMYFUNCTION("""COMPUTED_VALUE"""),"Annibale, Vincenzo d'")</f>
        <v>Annibale, Vincenzo d'</v>
      </c>
      <c r="B195" s="2">
        <f ca="1">IFERROR(__xludf.DUMMYFUNCTION("""COMPUTED_VALUE"""),1)</f>
        <v>1</v>
      </c>
      <c r="C195" s="7">
        <f ca="1">IFERROR(__xludf.DUMMYFUNCTION("""COMPUTED_VALUE"""),1)</f>
        <v>1</v>
      </c>
      <c r="D195" s="8">
        <f ca="1">IFERROR(__xludf.DUMMYFUNCTION("""COMPUTED_VALUE"""),5)</f>
        <v>5</v>
      </c>
      <c r="E195" s="2">
        <f ca="1">IFERROR(__xludf.DUMMYFUNCTION("""COMPUTED_VALUE"""),2)</f>
        <v>2</v>
      </c>
    </row>
    <row r="196" spans="1:5" ht="13">
      <c r="A196" s="2" t="str">
        <f ca="1">IFERROR(__xludf.DUMMYFUNCTION("""COMPUTED_VALUE"""),"Annicchiarico, Michael")</f>
        <v>Annicchiarico, Michael</v>
      </c>
      <c r="B196" s="3">
        <f ca="1">IFERROR(__xludf.DUMMYFUNCTION("""COMPUTED_VALUE"""),1)</f>
        <v>1</v>
      </c>
      <c r="C196" s="7">
        <f ca="1">IFERROR(__xludf.DUMMYFUNCTION("""COMPUTED_VALUE"""),1)</f>
        <v>1</v>
      </c>
      <c r="D196" s="8">
        <f ca="1">IFERROR(__xludf.DUMMYFUNCTION("""COMPUTED_VALUE"""),1)</f>
        <v>1</v>
      </c>
      <c r="E196" s="2">
        <f ca="1">IFERROR(__xludf.DUMMYFUNCTION("""COMPUTED_VALUE"""),1)</f>
        <v>1</v>
      </c>
    </row>
    <row r="197" spans="1:5" ht="13">
      <c r="A197" s="2" t="str">
        <f ca="1">IFERROR(__xludf.DUMMYFUNCTION("""COMPUTED_VALUE"""),"Antes, John")</f>
        <v>Antes, John</v>
      </c>
      <c r="B197" s="3">
        <f ca="1">IFERROR(__xludf.DUMMYFUNCTION("""COMPUTED_VALUE"""),1)</f>
        <v>1</v>
      </c>
      <c r="C197" s="7">
        <f ca="1">IFERROR(__xludf.DUMMYFUNCTION("""COMPUTED_VALUE"""),1)</f>
        <v>1</v>
      </c>
      <c r="D197" s="8">
        <f ca="1">IFERROR(__xludf.DUMMYFUNCTION("""COMPUTED_VALUE"""),5)</f>
        <v>5</v>
      </c>
      <c r="E197" s="2">
        <f ca="1">IFERROR(__xludf.DUMMYFUNCTION("""COMPUTED_VALUE"""),2)</f>
        <v>2</v>
      </c>
    </row>
    <row r="198" spans="1:5" ht="13">
      <c r="A198" s="8" t="str">
        <f ca="1">IFERROR(__xludf.DUMMYFUNCTION("""COMPUTED_VALUE"""),"Antheil, George")</f>
        <v>Antheil, George</v>
      </c>
      <c r="B198" s="3">
        <f ca="1">IFERROR(__xludf.DUMMYFUNCTION("""COMPUTED_VALUE"""),1)</f>
        <v>1</v>
      </c>
      <c r="C198" s="7">
        <f ca="1">IFERROR(__xludf.DUMMYFUNCTION("""COMPUTED_VALUE"""),1)</f>
        <v>1</v>
      </c>
      <c r="D198" s="8">
        <f ca="1">IFERROR(__xludf.DUMMYFUNCTION("""COMPUTED_VALUE"""),5)</f>
        <v>5</v>
      </c>
      <c r="E198" s="2">
        <f ca="1">IFERROR(__xludf.DUMMYFUNCTION("""COMPUTED_VALUE"""),2)</f>
        <v>2</v>
      </c>
    </row>
    <row r="199" spans="1:5" ht="13">
      <c r="A199" s="2" t="str">
        <f ca="1">IFERROR(__xludf.DUMMYFUNCTION("""COMPUTED_VALUE"""),"Anthenien, Stephen")</f>
        <v>Anthenien, Stephen</v>
      </c>
      <c r="B199" s="3">
        <f ca="1">IFERROR(__xludf.DUMMYFUNCTION("""COMPUTED_VALUE"""),1)</f>
        <v>1</v>
      </c>
      <c r="C199" s="7">
        <f ca="1">IFERROR(__xludf.DUMMYFUNCTION("""COMPUTED_VALUE"""),1)</f>
        <v>1</v>
      </c>
      <c r="D199" s="8">
        <f ca="1">IFERROR(__xludf.DUMMYFUNCTION("""COMPUTED_VALUE"""),1)</f>
        <v>1</v>
      </c>
      <c r="E199" s="2">
        <f ca="1">IFERROR(__xludf.DUMMYFUNCTION("""COMPUTED_VALUE"""),1)</f>
        <v>1</v>
      </c>
    </row>
    <row r="200" spans="1:5" ht="13">
      <c r="A200" s="2" t="str">
        <f ca="1">IFERROR(__xludf.DUMMYFUNCTION("""COMPUTED_VALUE"""),"Antognini, Ivo")</f>
        <v>Antognini, Ivo</v>
      </c>
      <c r="B200" s="2">
        <f ca="1">IFERROR(__xludf.DUMMYFUNCTION("""COMPUTED_VALUE"""),1)</f>
        <v>1</v>
      </c>
      <c r="C200" s="7">
        <f ca="1">IFERROR(__xludf.DUMMYFUNCTION("""COMPUTED_VALUE"""),1)</f>
        <v>1</v>
      </c>
      <c r="D200" s="8">
        <f ca="1">IFERROR(__xludf.DUMMYFUNCTION("""COMPUTED_VALUE"""),1)</f>
        <v>1</v>
      </c>
      <c r="E200" s="2">
        <f ca="1">IFERROR(__xludf.DUMMYFUNCTION("""COMPUTED_VALUE"""),1)</f>
        <v>1</v>
      </c>
    </row>
    <row r="201" spans="1:5" ht="13">
      <c r="A201" s="8" t="str">
        <f ca="1">IFERROR(__xludf.DUMMYFUNCTION("""COMPUTED_VALUE"""),"Antonini, Alfredo")</f>
        <v>Antonini, Alfredo</v>
      </c>
      <c r="B201" s="2">
        <f ca="1">IFERROR(__xludf.DUMMYFUNCTION("""COMPUTED_VALUE"""),1)</f>
        <v>1</v>
      </c>
      <c r="C201" s="7">
        <f ca="1">IFERROR(__xludf.DUMMYFUNCTION("""COMPUTED_VALUE"""),1)</f>
        <v>1</v>
      </c>
      <c r="D201" s="8">
        <f ca="1">IFERROR(__xludf.DUMMYFUNCTION("""COMPUTED_VALUE"""),5)</f>
        <v>5</v>
      </c>
      <c r="E201" s="2">
        <f ca="1">IFERROR(__xludf.DUMMYFUNCTION("""COMPUTED_VALUE"""),2)</f>
        <v>2</v>
      </c>
    </row>
    <row r="202" spans="1:5" ht="13">
      <c r="A202" s="2" t="str">
        <f ca="1">IFERROR(__xludf.DUMMYFUNCTION("""COMPUTED_VALUE"""),"Antonini, Alfredo / Cacavas, John")</f>
        <v>Antonini, Alfredo / Cacavas, John</v>
      </c>
      <c r="B202" s="2">
        <f ca="1">IFERROR(__xludf.DUMMYFUNCTION("""COMPUTED_VALUE"""),1)</f>
        <v>1</v>
      </c>
      <c r="C202" s="2">
        <f ca="1">IFERROR(__xludf.DUMMYFUNCTION("""COMPUTED_VALUE"""),1)</f>
        <v>1</v>
      </c>
      <c r="D202" s="8">
        <f ca="1">IFERROR(__xludf.DUMMYFUNCTION("""COMPUTED_VALUE"""),5)</f>
        <v>5</v>
      </c>
      <c r="E202" s="2">
        <f ca="1">IFERROR(__xludf.DUMMYFUNCTION("""COMPUTED_VALUE"""),2)</f>
        <v>2</v>
      </c>
    </row>
    <row r="203" spans="1:5" ht="13">
      <c r="A203" s="2" t="str">
        <f ca="1">IFERROR(__xludf.DUMMYFUNCTION("""COMPUTED_VALUE"""),"Anzalone, Valentine")</f>
        <v>Anzalone, Valentine</v>
      </c>
      <c r="B203" s="2">
        <f ca="1">IFERROR(__xludf.DUMMYFUNCTION("""COMPUTED_VALUE"""),1)</f>
        <v>1</v>
      </c>
      <c r="C203" s="7">
        <f ca="1">IFERROR(__xludf.DUMMYFUNCTION("""COMPUTED_VALUE"""),1)</f>
        <v>1</v>
      </c>
      <c r="D203" s="8">
        <f ca="1">IFERROR(__xludf.DUMMYFUNCTION("""COMPUTED_VALUE"""),5)</f>
        <v>5</v>
      </c>
      <c r="E203" s="2">
        <f ca="1">IFERROR(__xludf.DUMMYFUNCTION("""COMPUTED_VALUE"""),2)</f>
        <v>2</v>
      </c>
    </row>
    <row r="204" spans="1:5" ht="13">
      <c r="A204" s="8" t="str">
        <f ca="1">IFERROR(__xludf.DUMMYFUNCTION("""COMPUTED_VALUE"""),"Appermont, Bert")</f>
        <v>Appermont, Bert</v>
      </c>
      <c r="B204" s="3">
        <f ca="1">IFERROR(__xludf.DUMMYFUNCTION("""COMPUTED_VALUE"""),1)</f>
        <v>1</v>
      </c>
      <c r="C204" s="7">
        <f ca="1">IFERROR(__xludf.DUMMYFUNCTION("""COMPUTED_VALUE"""),1)</f>
        <v>1</v>
      </c>
      <c r="D204" s="8">
        <f ca="1">IFERROR(__xludf.DUMMYFUNCTION("""COMPUTED_VALUE"""),1)</f>
        <v>1</v>
      </c>
      <c r="E204" s="2">
        <f ca="1">IFERROR(__xludf.DUMMYFUNCTION("""COMPUTED_VALUE"""),1)</f>
        <v>1</v>
      </c>
    </row>
    <row r="205" spans="1:5" ht="13">
      <c r="A205" s="8" t="str">
        <f ca="1">IFERROR(__xludf.DUMMYFUNCTION("""COMPUTED_VALUE"""),"Applebaum, Robert")</f>
        <v>Applebaum, Robert</v>
      </c>
      <c r="B205" s="3">
        <f ca="1">IFERROR(__xludf.DUMMYFUNCTION("""COMPUTED_VALUE"""),1)</f>
        <v>1</v>
      </c>
      <c r="C205" s="7">
        <f ca="1">IFERROR(__xludf.DUMMYFUNCTION("""COMPUTED_VALUE"""),1)</f>
        <v>1</v>
      </c>
      <c r="D205" s="8">
        <f ca="1">IFERROR(__xludf.DUMMYFUNCTION("""COMPUTED_VALUE"""),1)</f>
        <v>1</v>
      </c>
      <c r="E205" s="2">
        <f ca="1">IFERROR(__xludf.DUMMYFUNCTION("""COMPUTED_VALUE"""),1)</f>
        <v>1</v>
      </c>
    </row>
    <row r="206" spans="1:5" ht="13">
      <c r="A206" s="8" t="str">
        <f ca="1">IFERROR(__xludf.DUMMYFUNCTION("""COMPUTED_VALUE"""),"Applebaum, Samuel")</f>
        <v>Applebaum, Samuel</v>
      </c>
      <c r="B206" s="3">
        <f ca="1">IFERROR(__xludf.DUMMYFUNCTION("""COMPUTED_VALUE"""),1)</f>
        <v>1</v>
      </c>
      <c r="C206" s="7">
        <f ca="1">IFERROR(__xludf.DUMMYFUNCTION("""COMPUTED_VALUE"""),1)</f>
        <v>1</v>
      </c>
      <c r="D206" s="8">
        <f ca="1">IFERROR(__xludf.DUMMYFUNCTION("""COMPUTED_VALUE"""),5)</f>
        <v>5</v>
      </c>
      <c r="E206" s="2">
        <f ca="1">IFERROR(__xludf.DUMMYFUNCTION("""COMPUTED_VALUE"""),2)</f>
        <v>2</v>
      </c>
    </row>
    <row r="207" spans="1:5" ht="13">
      <c r="A207" s="8" t="str">
        <f ca="1">IFERROR(__xludf.DUMMYFUNCTION("""COMPUTED_VALUE"""),"Applebaum, Stan")</f>
        <v>Applebaum, Stan</v>
      </c>
      <c r="B207" s="3">
        <f ca="1">IFERROR(__xludf.DUMMYFUNCTION("""COMPUTED_VALUE"""),1)</f>
        <v>1</v>
      </c>
      <c r="C207" s="7">
        <f ca="1">IFERROR(__xludf.DUMMYFUNCTION("""COMPUTED_VALUE"""),1)</f>
        <v>1</v>
      </c>
      <c r="D207" s="8">
        <f ca="1">IFERROR(__xludf.DUMMYFUNCTION("""COMPUTED_VALUE"""),5)</f>
        <v>5</v>
      </c>
      <c r="E207" s="2">
        <f ca="1">IFERROR(__xludf.DUMMYFUNCTION("""COMPUTED_VALUE"""),2)</f>
        <v>2</v>
      </c>
    </row>
    <row r="208" spans="1:5" ht="13">
      <c r="A208" s="8" t="str">
        <f ca="1">IFERROR(__xludf.DUMMYFUNCTION("""COMPUTED_VALUE"""),"Applebaum, Stan / Ployhar, James")</f>
        <v>Applebaum, Stan / Ployhar, James</v>
      </c>
      <c r="B208" s="3">
        <f ca="1">IFERROR(__xludf.DUMMYFUNCTION("""COMPUTED_VALUE"""),1)</f>
        <v>1</v>
      </c>
      <c r="C208" s="7">
        <f ca="1">IFERROR(__xludf.DUMMYFUNCTION("""COMPUTED_VALUE"""),1)</f>
        <v>1</v>
      </c>
      <c r="D208" s="8">
        <f ca="1">IFERROR(__xludf.DUMMYFUNCTION("""COMPUTED_VALUE"""),5)</f>
        <v>5</v>
      </c>
      <c r="E208" s="2">
        <f ca="1">IFERROR(__xludf.DUMMYFUNCTION("""COMPUTED_VALUE"""),2)</f>
        <v>2</v>
      </c>
    </row>
    <row r="209" spans="1:5" ht="13">
      <c r="A209" s="2" t="str">
        <f ca="1">IFERROR(__xludf.DUMMYFUNCTION("""COMPUTED_VALUE"""),"Appleby, William / Fowler, Frederick")</f>
        <v>Appleby, William / Fowler, Frederick</v>
      </c>
      <c r="B209" s="3">
        <f ca="1">IFERROR(__xludf.DUMMYFUNCTION("""COMPUTED_VALUE"""),1)</f>
        <v>1</v>
      </c>
      <c r="C209" s="7">
        <f ca="1">IFERROR(__xludf.DUMMYFUNCTION("""COMPUTED_VALUE"""),1)</f>
        <v>1</v>
      </c>
      <c r="D209" s="8">
        <f ca="1">IFERROR(__xludf.DUMMYFUNCTION("""COMPUTED_VALUE"""),5)</f>
        <v>5</v>
      </c>
      <c r="E209" s="2">
        <f ca="1">IFERROR(__xludf.DUMMYFUNCTION("""COMPUTED_VALUE"""),2)</f>
        <v>2</v>
      </c>
    </row>
    <row r="210" spans="1:5" ht="13">
      <c r="A210" s="2" t="str">
        <f ca="1">IFERROR(__xludf.DUMMYFUNCTION("""COMPUTED_VALUE"""),"Applegate, Les / Goodwin, Joe / Meyer, George")</f>
        <v>Applegate, Les / Goodwin, Joe / Meyer, George</v>
      </c>
      <c r="B210" s="2">
        <f ca="1">IFERROR(__xludf.DUMMYFUNCTION("""COMPUTED_VALUE"""),1)</f>
        <v>1</v>
      </c>
      <c r="C210" s="7">
        <f ca="1">IFERROR(__xludf.DUMMYFUNCTION("""COMPUTED_VALUE"""),1)</f>
        <v>1</v>
      </c>
      <c r="D210" s="8">
        <f ca="1">IFERROR(__xludf.DUMMYFUNCTION("""COMPUTED_VALUE"""),5)</f>
        <v>5</v>
      </c>
      <c r="E210" s="2">
        <f ca="1">IFERROR(__xludf.DUMMYFUNCTION("""COMPUTED_VALUE"""),2)</f>
        <v>2</v>
      </c>
    </row>
    <row r="211" spans="1:5" ht="13">
      <c r="A211" s="8" t="str">
        <f ca="1">IFERROR(__xludf.DUMMYFUNCTION("""COMPUTED_VALUE"""),"Aquilanti, Giancarlo")</f>
        <v>Aquilanti, Giancarlo</v>
      </c>
      <c r="B211" s="3">
        <f ca="1">IFERROR(__xludf.DUMMYFUNCTION("""COMPUTED_VALUE"""),1)</f>
        <v>1</v>
      </c>
      <c r="C211" s="7">
        <f ca="1">IFERROR(__xludf.DUMMYFUNCTION("""COMPUTED_VALUE"""),1)</f>
        <v>1</v>
      </c>
      <c r="D211" s="8">
        <f ca="1">IFERROR(__xludf.DUMMYFUNCTION("""COMPUTED_VALUE"""),1)</f>
        <v>1</v>
      </c>
      <c r="E211" s="2">
        <f ca="1">IFERROR(__xludf.DUMMYFUNCTION("""COMPUTED_VALUE"""),1)</f>
        <v>1</v>
      </c>
    </row>
    <row r="212" spans="1:5" ht="13">
      <c r="A212" s="8" t="str">
        <f ca="1">IFERROR(__xludf.DUMMYFUNCTION("""COMPUTED_VALUE"""),"Arban, Jean-Baptiste")</f>
        <v>Arban, Jean-Baptiste</v>
      </c>
      <c r="B212" s="3">
        <f ca="1">IFERROR(__xludf.DUMMYFUNCTION("""COMPUTED_VALUE"""),1)</f>
        <v>1</v>
      </c>
      <c r="C212" s="7">
        <f ca="1">IFERROR(__xludf.DUMMYFUNCTION("""COMPUTED_VALUE"""),1)</f>
        <v>1</v>
      </c>
      <c r="D212" s="8">
        <f ca="1">IFERROR(__xludf.DUMMYFUNCTION("""COMPUTED_VALUE"""),5)</f>
        <v>5</v>
      </c>
      <c r="E212" s="2">
        <f ca="1">IFERROR(__xludf.DUMMYFUNCTION("""COMPUTED_VALUE"""),2)</f>
        <v>2</v>
      </c>
    </row>
    <row r="213" spans="1:5" ht="13">
      <c r="A213" s="2" t="str">
        <f ca="1">IFERROR(__xludf.DUMMYFUNCTION("""COMPUTED_VALUE"""),"Arban, Jean-Baptiste / Clarke, Herbert L.")</f>
        <v>Arban, Jean-Baptiste / Clarke, Herbert L.</v>
      </c>
      <c r="B213" s="2">
        <f ca="1">IFERROR(__xludf.DUMMYFUNCTION("""COMPUTED_VALUE"""),1)</f>
        <v>1</v>
      </c>
      <c r="C213" s="7">
        <f ca="1">IFERROR(__xludf.DUMMYFUNCTION("""COMPUTED_VALUE"""),1)</f>
        <v>1</v>
      </c>
      <c r="D213" s="8">
        <f ca="1">IFERROR(__xludf.DUMMYFUNCTION("""COMPUTED_VALUE"""),5)</f>
        <v>5</v>
      </c>
      <c r="E213" s="2">
        <f ca="1">IFERROR(__xludf.DUMMYFUNCTION("""COMPUTED_VALUE"""),2)</f>
        <v>2</v>
      </c>
    </row>
    <row r="214" spans="1:5" ht="13">
      <c r="A214" s="8" t="str">
        <f ca="1">IFERROR(__xludf.DUMMYFUNCTION("""COMPUTED_VALUE"""),"Arbeau, Thoinot")</f>
        <v>Arbeau, Thoinot</v>
      </c>
      <c r="B214" s="3">
        <f ca="1">IFERROR(__xludf.DUMMYFUNCTION("""COMPUTED_VALUE"""),1)</f>
        <v>1</v>
      </c>
      <c r="C214" s="7">
        <f ca="1">IFERROR(__xludf.DUMMYFUNCTION("""COMPUTED_VALUE"""),1)</f>
        <v>1</v>
      </c>
      <c r="D214" s="8">
        <f ca="1">IFERROR(__xludf.DUMMYFUNCTION("""COMPUTED_VALUE"""),5)</f>
        <v>5</v>
      </c>
      <c r="E214" s="2">
        <f ca="1">IFERROR(__xludf.DUMMYFUNCTION("""COMPUTED_VALUE"""),2)</f>
        <v>2</v>
      </c>
    </row>
    <row r="215" spans="1:5" ht="13">
      <c r="A215" s="2" t="str">
        <f ca="1">IFERROR(__xludf.DUMMYFUNCTION("""COMPUTED_VALUE"""),"Arberg, Bud")</f>
        <v>Arberg, Bud</v>
      </c>
      <c r="B215" s="2">
        <f ca="1">IFERROR(__xludf.DUMMYFUNCTION("""COMPUTED_VALUE"""),1)</f>
        <v>1</v>
      </c>
      <c r="C215" s="7">
        <f ca="1">IFERROR(__xludf.DUMMYFUNCTION("""COMPUTED_VALUE"""),1)</f>
        <v>1</v>
      </c>
      <c r="D215" s="8">
        <f ca="1">IFERROR(__xludf.DUMMYFUNCTION("""COMPUTED_VALUE"""),5)</f>
        <v>5</v>
      </c>
      <c r="E215" s="2">
        <f ca="1">IFERROR(__xludf.DUMMYFUNCTION("""COMPUTED_VALUE"""),2)</f>
        <v>2</v>
      </c>
    </row>
    <row r="216" spans="1:5" ht="13">
      <c r="A216" s="2" t="str">
        <f ca="1">IFERROR(__xludf.DUMMYFUNCTION("""COMPUTED_VALUE"""),"Arbós, Fernández")</f>
        <v>Arbós, Fernández</v>
      </c>
      <c r="B216" s="3">
        <f ca="1">IFERROR(__xludf.DUMMYFUNCTION("""COMPUTED_VALUE"""),1)</f>
        <v>1</v>
      </c>
      <c r="C216" s="7">
        <f ca="1">IFERROR(__xludf.DUMMYFUNCTION("""COMPUTED_VALUE"""),1)</f>
        <v>1</v>
      </c>
      <c r="D216" s="8">
        <f ca="1">IFERROR(__xludf.DUMMYFUNCTION("""COMPUTED_VALUE"""),5)</f>
        <v>5</v>
      </c>
      <c r="E216" s="2">
        <f ca="1">IFERROR(__xludf.DUMMYFUNCTION("""COMPUTED_VALUE"""),2)</f>
        <v>2</v>
      </c>
    </row>
    <row r="217" spans="1:5" ht="13">
      <c r="A217" s="2" t="str">
        <f ca="1">IFERROR(__xludf.DUMMYFUNCTION("""COMPUTED_VALUE"""),"Arcadelt, Jacob")</f>
        <v>Arcadelt, Jacob</v>
      </c>
      <c r="B217" s="2">
        <f ca="1">IFERROR(__xludf.DUMMYFUNCTION("""COMPUTED_VALUE"""),1)</f>
        <v>1</v>
      </c>
      <c r="C217" s="7">
        <f ca="1">IFERROR(__xludf.DUMMYFUNCTION("""COMPUTED_VALUE"""),1)</f>
        <v>1</v>
      </c>
      <c r="D217" s="8">
        <f ca="1">IFERROR(__xludf.DUMMYFUNCTION("""COMPUTED_VALUE"""),5)</f>
        <v>5</v>
      </c>
      <c r="E217" s="2">
        <f ca="1">IFERROR(__xludf.DUMMYFUNCTION("""COMPUTED_VALUE"""),2)</f>
        <v>2</v>
      </c>
    </row>
    <row r="218" spans="1:5" ht="13">
      <c r="A218" s="8" t="str">
        <f ca="1">IFERROR(__xludf.DUMMYFUNCTION("""COMPUTED_VALUE"""),"Arcadelt, Jacques (aka Arcadelt, Jacob)")</f>
        <v>Arcadelt, Jacques (aka Arcadelt, Jacob)</v>
      </c>
      <c r="B218" s="3">
        <f ca="1">IFERROR(__xludf.DUMMYFUNCTION("""COMPUTED_VALUE"""),1)</f>
        <v>1</v>
      </c>
      <c r="C218" s="7">
        <f ca="1">IFERROR(__xludf.DUMMYFUNCTION("""COMPUTED_VALUE"""),1)</f>
        <v>1</v>
      </c>
      <c r="D218" s="8">
        <f ca="1">IFERROR(__xludf.DUMMYFUNCTION("""COMPUTED_VALUE"""),5)</f>
        <v>5</v>
      </c>
      <c r="E218" s="2">
        <f ca="1">IFERROR(__xludf.DUMMYFUNCTION("""COMPUTED_VALUE"""),2)</f>
        <v>2</v>
      </c>
    </row>
    <row r="219" spans="1:5" ht="13">
      <c r="A219" s="8" t="str">
        <f ca="1">IFERROR(__xludf.DUMMYFUNCTION("""COMPUTED_VALUE"""),"Arcadelt, Jacques (Jacob)")</f>
        <v>Arcadelt, Jacques (Jacob)</v>
      </c>
      <c r="B219" s="3">
        <f ca="1">IFERROR(__xludf.DUMMYFUNCTION("""COMPUTED_VALUE"""),1)</f>
        <v>1</v>
      </c>
      <c r="C219" s="7">
        <f ca="1">IFERROR(__xludf.DUMMYFUNCTION("""COMPUTED_VALUE"""),1)</f>
        <v>1</v>
      </c>
      <c r="D219" s="8">
        <f ca="1">IFERROR(__xludf.DUMMYFUNCTION("""COMPUTED_VALUE"""),5)</f>
        <v>5</v>
      </c>
      <c r="E219" s="2">
        <f ca="1">IFERROR(__xludf.DUMMYFUNCTION("""COMPUTED_VALUE"""),2)</f>
        <v>2</v>
      </c>
    </row>
    <row r="220" spans="1:5" ht="13">
      <c r="A220" s="8" t="str">
        <f ca="1">IFERROR(__xludf.DUMMYFUNCTION("""COMPUTED_VALUE"""),"Arcari, Tyler")</f>
        <v>Arcari, Tyler</v>
      </c>
      <c r="B220" s="3">
        <f ca="1">IFERROR(__xludf.DUMMYFUNCTION("""COMPUTED_VALUE"""),1)</f>
        <v>1</v>
      </c>
      <c r="C220" s="7">
        <f ca="1">IFERROR(__xludf.DUMMYFUNCTION("""COMPUTED_VALUE"""),1)</f>
        <v>1</v>
      </c>
      <c r="D220" s="8">
        <f ca="1">IFERROR(__xludf.DUMMYFUNCTION("""COMPUTED_VALUE"""),1)</f>
        <v>1</v>
      </c>
      <c r="E220" s="2">
        <f ca="1">IFERROR(__xludf.DUMMYFUNCTION("""COMPUTED_VALUE"""),1)</f>
        <v>1</v>
      </c>
    </row>
    <row r="221" spans="1:5" ht="13">
      <c r="A221" s="8" t="str">
        <f ca="1">IFERROR(__xludf.DUMMYFUNCTION("""COMPUTED_VALUE"""),"Arcari, Tyler / Putnam, Matthew R.")</f>
        <v>Arcari, Tyler / Putnam, Matthew R.</v>
      </c>
      <c r="B221" s="3">
        <f ca="1">IFERROR(__xludf.DUMMYFUNCTION("""COMPUTED_VALUE"""),1)</f>
        <v>1</v>
      </c>
      <c r="C221" s="7">
        <f ca="1">IFERROR(__xludf.DUMMYFUNCTION("""COMPUTED_VALUE"""),1)</f>
        <v>1</v>
      </c>
      <c r="D221" s="8">
        <f ca="1">IFERROR(__xludf.DUMMYFUNCTION("""COMPUTED_VALUE"""),1)</f>
        <v>1</v>
      </c>
      <c r="E221" s="2">
        <f ca="1">IFERROR(__xludf.DUMMYFUNCTION("""COMPUTED_VALUE"""),1)</f>
        <v>1</v>
      </c>
    </row>
    <row r="222" spans="1:5" ht="13">
      <c r="A222" s="8" t="str">
        <f ca="1">IFERROR(__xludf.DUMMYFUNCTION("""COMPUTED_VALUE"""),"Arcenaux, Brennan")</f>
        <v>Arcenaux, Brennan</v>
      </c>
      <c r="B222" s="3">
        <f ca="1">IFERROR(__xludf.DUMMYFUNCTION("""COMPUTED_VALUE"""),1)</f>
        <v>1</v>
      </c>
      <c r="C222" s="7">
        <f ca="1">IFERROR(__xludf.DUMMYFUNCTION("""COMPUTED_VALUE"""),1)</f>
        <v>1</v>
      </c>
      <c r="D222" s="8">
        <f ca="1">IFERROR(__xludf.DUMMYFUNCTION("""COMPUTED_VALUE"""),1)</f>
        <v>1</v>
      </c>
      <c r="E222" s="2">
        <f ca="1">IFERROR(__xludf.DUMMYFUNCTION("""COMPUTED_VALUE"""),1)</f>
        <v>1</v>
      </c>
    </row>
    <row r="223" spans="1:5" ht="13">
      <c r="A223" s="8" t="str">
        <f ca="1">IFERROR(__xludf.DUMMYFUNCTION("""COMPUTED_VALUE"""),"Arch, Gwyn")</f>
        <v>Arch, Gwyn</v>
      </c>
      <c r="B223" s="3">
        <f ca="1">IFERROR(__xludf.DUMMYFUNCTION("""COMPUTED_VALUE"""),1)</f>
        <v>1</v>
      </c>
      <c r="C223" s="7">
        <f ca="1">IFERROR(__xludf.DUMMYFUNCTION("""COMPUTED_VALUE"""),1)</f>
        <v>1</v>
      </c>
      <c r="D223" s="8">
        <f ca="1">IFERROR(__xludf.DUMMYFUNCTION("""COMPUTED_VALUE"""),1)</f>
        <v>1</v>
      </c>
      <c r="E223" s="2">
        <f ca="1">IFERROR(__xludf.DUMMYFUNCTION("""COMPUTED_VALUE"""),1)</f>
        <v>1</v>
      </c>
    </row>
    <row r="224" spans="1:5" ht="13">
      <c r="A224" s="2" t="str">
        <f ca="1">IFERROR(__xludf.DUMMYFUNCTION("""COMPUTED_VALUE"""),"Archer, Malcolm")</f>
        <v>Archer, Malcolm</v>
      </c>
      <c r="B224" s="3">
        <f ca="1">IFERROR(__xludf.DUMMYFUNCTION("""COMPUTED_VALUE"""),1)</f>
        <v>1</v>
      </c>
      <c r="C224" s="7">
        <f ca="1">IFERROR(__xludf.DUMMYFUNCTION("""COMPUTED_VALUE"""),1)</f>
        <v>1</v>
      </c>
      <c r="D224" s="8">
        <f ca="1">IFERROR(__xludf.DUMMYFUNCTION("""COMPUTED_VALUE"""),1)</f>
        <v>1</v>
      </c>
      <c r="E224" s="2">
        <f ca="1">IFERROR(__xludf.DUMMYFUNCTION("""COMPUTED_VALUE"""),1)</f>
        <v>1</v>
      </c>
    </row>
    <row r="225" spans="1:5" ht="13">
      <c r="A225" s="2" t="str">
        <f ca="1">IFERROR(__xludf.DUMMYFUNCTION("""COMPUTED_VALUE"""),"Arditi, Luigi")</f>
        <v>Arditi, Luigi</v>
      </c>
      <c r="B225" s="2">
        <f ca="1">IFERROR(__xludf.DUMMYFUNCTION("""COMPUTED_VALUE"""),1)</f>
        <v>1</v>
      </c>
      <c r="C225" s="7">
        <f ca="1">IFERROR(__xludf.DUMMYFUNCTION("""COMPUTED_VALUE"""),1)</f>
        <v>1</v>
      </c>
      <c r="D225" s="8">
        <f ca="1">IFERROR(__xludf.DUMMYFUNCTION("""COMPUTED_VALUE"""),5)</f>
        <v>5</v>
      </c>
      <c r="E225" s="2">
        <f ca="1">IFERROR(__xludf.DUMMYFUNCTION("""COMPUTED_VALUE"""),2)</f>
        <v>2</v>
      </c>
    </row>
    <row r="226" spans="1:5" ht="13">
      <c r="A226" s="8" t="str">
        <f ca="1">IFERROR(__xludf.DUMMYFUNCTION("""COMPUTED_VALUE"""),"Ardizzoia, Andrew")</f>
        <v>Ardizzoia, Andrew</v>
      </c>
      <c r="B226" s="3">
        <f ca="1">IFERROR(__xludf.DUMMYFUNCTION("""COMPUTED_VALUE"""),1)</f>
        <v>1</v>
      </c>
      <c r="C226" s="7">
        <f ca="1">IFERROR(__xludf.DUMMYFUNCTION("""COMPUTED_VALUE"""),1)</f>
        <v>1</v>
      </c>
      <c r="D226" s="8">
        <f ca="1">IFERROR(__xludf.DUMMYFUNCTION("""COMPUTED_VALUE"""),1)</f>
        <v>1</v>
      </c>
      <c r="E226" s="2">
        <f ca="1">IFERROR(__xludf.DUMMYFUNCTION("""COMPUTED_VALUE"""),1)</f>
        <v>1</v>
      </c>
    </row>
    <row r="227" spans="1:5" ht="13">
      <c r="A227" s="8" t="str">
        <f ca="1">IFERROR(__xludf.DUMMYFUNCTION("""COMPUTED_VALUE"""),"Arensky, Anton")</f>
        <v>Arensky, Anton</v>
      </c>
      <c r="B227" s="3">
        <f ca="1">IFERROR(__xludf.DUMMYFUNCTION("""COMPUTED_VALUE"""),1)</f>
        <v>1</v>
      </c>
      <c r="C227" s="7">
        <f ca="1">IFERROR(__xludf.DUMMYFUNCTION("""COMPUTED_VALUE"""),1)</f>
        <v>1</v>
      </c>
      <c r="D227" s="8">
        <f ca="1">IFERROR(__xludf.DUMMYFUNCTION("""COMPUTED_VALUE"""),5)</f>
        <v>5</v>
      </c>
      <c r="E227" s="2">
        <f ca="1">IFERROR(__xludf.DUMMYFUNCTION("""COMPUTED_VALUE"""),2)</f>
        <v>2</v>
      </c>
    </row>
    <row r="228" spans="1:5" ht="13">
      <c r="A228" s="8" t="str">
        <f ca="1">IFERROR(__xludf.DUMMYFUNCTION("""COMPUTED_VALUE"""),"Argento, Domenick")</f>
        <v>Argento, Domenick</v>
      </c>
      <c r="B228" s="3">
        <f ca="1">IFERROR(__xludf.DUMMYFUNCTION("""COMPUTED_VALUE"""),1)</f>
        <v>1</v>
      </c>
      <c r="C228" s="7">
        <f ca="1">IFERROR(__xludf.DUMMYFUNCTION("""COMPUTED_VALUE"""),1)</f>
        <v>1</v>
      </c>
      <c r="D228" s="8">
        <f ca="1">IFERROR(__xludf.DUMMYFUNCTION("""COMPUTED_VALUE"""),5)</f>
        <v>5</v>
      </c>
      <c r="E228" s="2">
        <f ca="1">IFERROR(__xludf.DUMMYFUNCTION("""COMPUTED_VALUE"""),2)</f>
        <v>2</v>
      </c>
    </row>
    <row r="229" spans="1:5" ht="13">
      <c r="A229" s="8" t="str">
        <f ca="1">IFERROR(__xludf.DUMMYFUNCTION("""COMPUTED_VALUE"""),"Argento, Dominick")</f>
        <v>Argento, Dominick</v>
      </c>
      <c r="B229" s="3">
        <f ca="1">IFERROR(__xludf.DUMMYFUNCTION("""COMPUTED_VALUE"""),1)</f>
        <v>1</v>
      </c>
      <c r="C229" s="7">
        <f ca="1">IFERROR(__xludf.DUMMYFUNCTION("""COMPUTED_VALUE"""),1)</f>
        <v>1</v>
      </c>
      <c r="D229" s="8">
        <f ca="1">IFERROR(__xludf.DUMMYFUNCTION("""COMPUTED_VALUE"""),5)</f>
        <v>5</v>
      </c>
      <c r="E229" s="2">
        <f ca="1">IFERROR(__xludf.DUMMYFUNCTION("""COMPUTED_VALUE"""),2)</f>
        <v>2</v>
      </c>
    </row>
    <row r="230" spans="1:5" ht="13">
      <c r="A230" s="8" t="str">
        <f ca="1">IFERROR(__xludf.DUMMYFUNCTION("""COMPUTED_VALUE"""),"Argenziano, Ed")</f>
        <v>Argenziano, Ed</v>
      </c>
      <c r="B230" s="3">
        <f ca="1">IFERROR(__xludf.DUMMYFUNCTION("""COMPUTED_VALUE"""),1)</f>
        <v>1</v>
      </c>
      <c r="C230" s="7">
        <f ca="1">IFERROR(__xludf.DUMMYFUNCTION("""COMPUTED_VALUE"""),1)</f>
        <v>1</v>
      </c>
      <c r="D230" s="8">
        <f ca="1">IFERROR(__xludf.DUMMYFUNCTION("""COMPUTED_VALUE"""),1)</f>
        <v>1</v>
      </c>
      <c r="E230" s="2">
        <f ca="1">IFERROR(__xludf.DUMMYFUNCTION("""COMPUTED_VALUE"""),1)</f>
        <v>1</v>
      </c>
    </row>
    <row r="231" spans="1:5" ht="13">
      <c r="A231" s="8" t="str">
        <f ca="1">IFERROR(__xludf.DUMMYFUNCTION("""COMPUTED_VALUE"""),"Arington, Cody")</f>
        <v>Arington, Cody</v>
      </c>
      <c r="B231" s="3">
        <f ca="1">IFERROR(__xludf.DUMMYFUNCTION("""COMPUTED_VALUE"""),1)</f>
        <v>1</v>
      </c>
      <c r="C231" s="7">
        <f ca="1">IFERROR(__xludf.DUMMYFUNCTION("""COMPUTED_VALUE"""),1)</f>
        <v>1</v>
      </c>
      <c r="D231" s="8">
        <f ca="1">IFERROR(__xludf.DUMMYFUNCTION("""COMPUTED_VALUE"""),1)</f>
        <v>1</v>
      </c>
      <c r="E231" s="2">
        <f ca="1">IFERROR(__xludf.DUMMYFUNCTION("""COMPUTED_VALUE"""),1)</f>
        <v>1</v>
      </c>
    </row>
    <row r="232" spans="1:5" ht="13">
      <c r="A232" s="8" t="str">
        <f ca="1">IFERROR(__xludf.DUMMYFUNCTION("""COMPUTED_VALUE"""),"Ariosti, Attilio")</f>
        <v>Ariosti, Attilio</v>
      </c>
      <c r="B232" s="3">
        <f ca="1">IFERROR(__xludf.DUMMYFUNCTION("""COMPUTED_VALUE"""),1)</f>
        <v>1</v>
      </c>
      <c r="C232" s="7">
        <f ca="1">IFERROR(__xludf.DUMMYFUNCTION("""COMPUTED_VALUE"""),1)</f>
        <v>1</v>
      </c>
      <c r="D232" s="8">
        <f ca="1">IFERROR(__xludf.DUMMYFUNCTION("""COMPUTED_VALUE"""),5)</f>
        <v>5</v>
      </c>
      <c r="E232" s="2">
        <f ca="1">IFERROR(__xludf.DUMMYFUNCTION("""COMPUTED_VALUE"""),2)</f>
        <v>2</v>
      </c>
    </row>
    <row r="233" spans="1:5" ht="13">
      <c r="A233" s="2" t="str">
        <f ca="1">IFERROR(__xludf.DUMMYFUNCTION("""COMPUTED_VALUE"""),"Arkhangelsky, Alexander Andreyevich")</f>
        <v>Arkhangelsky, Alexander Andreyevich</v>
      </c>
      <c r="B233" s="3">
        <f ca="1">IFERROR(__xludf.DUMMYFUNCTION("""COMPUTED_VALUE"""),1)</f>
        <v>1</v>
      </c>
      <c r="C233" s="7">
        <f ca="1">IFERROR(__xludf.DUMMYFUNCTION("""COMPUTED_VALUE"""),1)</f>
        <v>1</v>
      </c>
      <c r="D233" s="8">
        <f ca="1">IFERROR(__xludf.DUMMYFUNCTION("""COMPUTED_VALUE"""),5)</f>
        <v>5</v>
      </c>
      <c r="E233" s="2">
        <f ca="1">IFERROR(__xludf.DUMMYFUNCTION("""COMPUTED_VALUE"""),2)</f>
        <v>2</v>
      </c>
    </row>
    <row r="234" spans="1:5" ht="13">
      <c r="A234" s="8" t="str">
        <f ca="1">IFERROR(__xludf.DUMMYFUNCTION("""COMPUTED_VALUE"""),"Arkin, David")</f>
        <v>Arkin, David</v>
      </c>
      <c r="B234" s="3">
        <f ca="1">IFERROR(__xludf.DUMMYFUNCTION("""COMPUTED_VALUE"""),1)</f>
        <v>1</v>
      </c>
      <c r="C234" s="7">
        <f ca="1">IFERROR(__xludf.DUMMYFUNCTION("""COMPUTED_VALUE"""),1)</f>
        <v>1</v>
      </c>
      <c r="D234" s="8">
        <f ca="1">IFERROR(__xludf.DUMMYFUNCTION("""COMPUTED_VALUE"""),5)</f>
        <v>5</v>
      </c>
      <c r="E234" s="2">
        <f ca="1">IFERROR(__xludf.DUMMYFUNCTION("""COMPUTED_VALUE"""),2)</f>
        <v>2</v>
      </c>
    </row>
    <row r="235" spans="1:5" ht="13">
      <c r="A235" s="8" t="str">
        <f ca="1">IFERROR(__xludf.DUMMYFUNCTION("""COMPUTED_VALUE"""),"Arlen, Harold")</f>
        <v>Arlen, Harold</v>
      </c>
      <c r="B235" s="3">
        <f ca="1">IFERROR(__xludf.DUMMYFUNCTION("""COMPUTED_VALUE"""),1)</f>
        <v>1</v>
      </c>
      <c r="C235" s="7">
        <f ca="1">IFERROR(__xludf.DUMMYFUNCTION("""COMPUTED_VALUE"""),1)</f>
        <v>1</v>
      </c>
      <c r="D235" s="8">
        <f ca="1">IFERROR(__xludf.DUMMYFUNCTION("""COMPUTED_VALUE"""),5)</f>
        <v>5</v>
      </c>
      <c r="E235" s="2">
        <f ca="1">IFERROR(__xludf.DUMMYFUNCTION("""COMPUTED_VALUE"""),2)</f>
        <v>2</v>
      </c>
    </row>
    <row r="236" spans="1:5" ht="13">
      <c r="A236" s="2" t="str">
        <f ca="1">IFERROR(__xludf.DUMMYFUNCTION("""COMPUTED_VALUE"""),"Arlen, Harold / Harburg Yip")</f>
        <v>Arlen, Harold / Harburg Yip</v>
      </c>
      <c r="B236" s="3">
        <f ca="1">IFERROR(__xludf.DUMMYFUNCTION("""COMPUTED_VALUE"""),1)</f>
        <v>1</v>
      </c>
      <c r="C236" s="7">
        <f ca="1">IFERROR(__xludf.DUMMYFUNCTION("""COMPUTED_VALUE"""),1)</f>
        <v>1</v>
      </c>
      <c r="D236" s="8">
        <f ca="1">IFERROR(__xludf.DUMMYFUNCTION("""COMPUTED_VALUE"""),5)</f>
        <v>5</v>
      </c>
      <c r="E236" s="2">
        <f ca="1">IFERROR(__xludf.DUMMYFUNCTION("""COMPUTED_VALUE"""),2)</f>
        <v>2</v>
      </c>
    </row>
    <row r="237" spans="1:5" ht="13">
      <c r="A237" s="2" t="str">
        <f ca="1">IFERROR(__xludf.DUMMYFUNCTION("""COMPUTED_VALUE"""),"Arlen, Harold / Harburg, Yip / Rose, Billy")</f>
        <v>Arlen, Harold / Harburg, Yip / Rose, Billy</v>
      </c>
      <c r="B237" s="3">
        <f ca="1">IFERROR(__xludf.DUMMYFUNCTION("""COMPUTED_VALUE"""),1)</f>
        <v>1</v>
      </c>
      <c r="C237" s="7">
        <f ca="1">IFERROR(__xludf.DUMMYFUNCTION("""COMPUTED_VALUE"""),1)</f>
        <v>1</v>
      </c>
      <c r="D237" s="8">
        <f ca="1">IFERROR(__xludf.DUMMYFUNCTION("""COMPUTED_VALUE"""),5)</f>
        <v>5</v>
      </c>
      <c r="E237" s="2">
        <f ca="1">IFERROR(__xludf.DUMMYFUNCTION("""COMPUTED_VALUE"""),2)</f>
        <v>2</v>
      </c>
    </row>
    <row r="238" spans="1:5" ht="13">
      <c r="A238" s="2" t="str">
        <f ca="1">IFERROR(__xludf.DUMMYFUNCTION("""COMPUTED_VALUE"""),"Arlen, Harold / Koehler, Ted")</f>
        <v>Arlen, Harold / Koehler, Ted</v>
      </c>
      <c r="B238" s="2">
        <f ca="1">IFERROR(__xludf.DUMMYFUNCTION("""COMPUTED_VALUE"""),1)</f>
        <v>1</v>
      </c>
      <c r="C238" s="7">
        <f ca="1">IFERROR(__xludf.DUMMYFUNCTION("""COMPUTED_VALUE"""),1)</f>
        <v>1</v>
      </c>
      <c r="D238" s="8">
        <f ca="1">IFERROR(__xludf.DUMMYFUNCTION("""COMPUTED_VALUE"""),5)</f>
        <v>5</v>
      </c>
      <c r="E238" s="2">
        <f ca="1">IFERROR(__xludf.DUMMYFUNCTION("""COMPUTED_VALUE"""),2)</f>
        <v>2</v>
      </c>
    </row>
    <row r="239" spans="1:5" ht="13">
      <c r="A239" s="8" t="str">
        <f ca="1">IFERROR(__xludf.DUMMYFUNCTION("""COMPUTED_VALUE"""),"Arlen, Harold and Harburg, Yip")</f>
        <v>Arlen, Harold and Harburg, Yip</v>
      </c>
      <c r="B239" s="3">
        <f ca="1">IFERROR(__xludf.DUMMYFUNCTION("""COMPUTED_VALUE"""),1)</f>
        <v>1</v>
      </c>
      <c r="C239" s="7">
        <f ca="1">IFERROR(__xludf.DUMMYFUNCTION("""COMPUTED_VALUE"""),1)</f>
        <v>1</v>
      </c>
      <c r="D239" s="8">
        <f ca="1">IFERROR(__xludf.DUMMYFUNCTION("""COMPUTED_VALUE"""),5)</f>
        <v>5</v>
      </c>
      <c r="E239" s="2">
        <f ca="1">IFERROR(__xludf.DUMMYFUNCTION("""COMPUTED_VALUE"""),2)</f>
        <v>2</v>
      </c>
    </row>
    <row r="240" spans="1:5" ht="13">
      <c r="A240" s="2" t="str">
        <f ca="1">IFERROR(__xludf.DUMMYFUNCTION("""COMPUTED_VALUE"""),"Arlen, Harold and Johnny Mercer")</f>
        <v>Arlen, Harold and Johnny Mercer</v>
      </c>
      <c r="B240" s="3">
        <f ca="1">IFERROR(__xludf.DUMMYFUNCTION("""COMPUTED_VALUE"""),1)</f>
        <v>1</v>
      </c>
      <c r="C240" s="7">
        <f ca="1">IFERROR(__xludf.DUMMYFUNCTION("""COMPUTED_VALUE"""),1)</f>
        <v>1</v>
      </c>
      <c r="D240" s="8">
        <f ca="1">IFERROR(__xludf.DUMMYFUNCTION("""COMPUTED_VALUE"""),5)</f>
        <v>5</v>
      </c>
      <c r="E240" s="2">
        <f ca="1">IFERROR(__xludf.DUMMYFUNCTION("""COMPUTED_VALUE"""),2)</f>
        <v>2</v>
      </c>
    </row>
    <row r="241" spans="1:5" ht="13">
      <c r="A241" s="8" t="str">
        <f ca="1">IFERROR(__xludf.DUMMYFUNCTION("""COMPUTED_VALUE"""),"Arlen, Harold and Stothart, Herbert")</f>
        <v>Arlen, Harold and Stothart, Herbert</v>
      </c>
      <c r="B241" s="3">
        <f ca="1">IFERROR(__xludf.DUMMYFUNCTION("""COMPUTED_VALUE"""),1)</f>
        <v>1</v>
      </c>
      <c r="C241" s="7">
        <f ca="1">IFERROR(__xludf.DUMMYFUNCTION("""COMPUTED_VALUE"""),1)</f>
        <v>1</v>
      </c>
      <c r="D241" s="8">
        <f ca="1">IFERROR(__xludf.DUMMYFUNCTION("""COMPUTED_VALUE"""),5)</f>
        <v>5</v>
      </c>
      <c r="E241" s="2">
        <f ca="1">IFERROR(__xludf.DUMMYFUNCTION("""COMPUTED_VALUE"""),2)</f>
        <v>2</v>
      </c>
    </row>
    <row r="242" spans="1:5" ht="13">
      <c r="A242" s="8" t="str">
        <f ca="1">IFERROR(__xludf.DUMMYFUNCTION("""COMPUTED_VALUE"""),"Armstrong, Craig")</f>
        <v>Armstrong, Craig</v>
      </c>
      <c r="B242" s="3">
        <f ca="1">IFERROR(__xludf.DUMMYFUNCTION("""COMPUTED_VALUE"""),1)</f>
        <v>1</v>
      </c>
      <c r="C242" s="7">
        <f ca="1">IFERROR(__xludf.DUMMYFUNCTION("""COMPUTED_VALUE"""),1)</f>
        <v>1</v>
      </c>
      <c r="D242" s="8">
        <f ca="1">IFERROR(__xludf.DUMMYFUNCTION("""COMPUTED_VALUE"""),1)</f>
        <v>1</v>
      </c>
      <c r="E242" s="2">
        <f ca="1">IFERROR(__xludf.DUMMYFUNCTION("""COMPUTED_VALUE"""),1)</f>
        <v>1</v>
      </c>
    </row>
    <row r="243" spans="1:5" ht="13">
      <c r="A243" s="8" t="str">
        <f ca="1">IFERROR(__xludf.DUMMYFUNCTION("""COMPUTED_VALUE"""),"Armstrong, Matthew")</f>
        <v>Armstrong, Matthew</v>
      </c>
      <c r="B243" s="3">
        <f ca="1">IFERROR(__xludf.DUMMYFUNCTION("""COMPUTED_VALUE"""),1)</f>
        <v>1</v>
      </c>
      <c r="C243" s="7">
        <f ca="1">IFERROR(__xludf.DUMMYFUNCTION("""COMPUTED_VALUE"""),1)</f>
        <v>1</v>
      </c>
      <c r="D243" s="8">
        <f ca="1">IFERROR(__xludf.DUMMYFUNCTION("""COMPUTED_VALUE"""),1)</f>
        <v>1</v>
      </c>
      <c r="E243" s="2">
        <f ca="1">IFERROR(__xludf.DUMMYFUNCTION("""COMPUTED_VALUE"""),1)</f>
        <v>1</v>
      </c>
    </row>
    <row r="244" spans="1:5" ht="13">
      <c r="A244" s="8" t="str">
        <f ca="1">IFERROR(__xludf.DUMMYFUNCTION("""COMPUTED_VALUE"""),"Armstrong, Troy")</f>
        <v>Armstrong, Troy</v>
      </c>
      <c r="B244" s="3">
        <f ca="1">IFERROR(__xludf.DUMMYFUNCTION("""COMPUTED_VALUE"""),1)</f>
        <v>1</v>
      </c>
      <c r="C244" s="7">
        <f ca="1">IFERROR(__xludf.DUMMYFUNCTION("""COMPUTED_VALUE"""),1)</f>
        <v>1</v>
      </c>
      <c r="D244" s="8">
        <f ca="1">IFERROR(__xludf.DUMMYFUNCTION("""COMPUTED_VALUE"""),1)</f>
        <v>1</v>
      </c>
      <c r="E244" s="2">
        <f ca="1">IFERROR(__xludf.DUMMYFUNCTION("""COMPUTED_VALUE"""),1)</f>
        <v>1</v>
      </c>
    </row>
    <row r="245" spans="1:5" ht="13">
      <c r="A245" s="2" t="str">
        <f ca="1">IFERROR(__xludf.DUMMYFUNCTION("""COMPUTED_VALUE"""),"Arnaud, Leo")</f>
        <v>Arnaud, Leo</v>
      </c>
      <c r="B245" s="2">
        <f ca="1">IFERROR(__xludf.DUMMYFUNCTION("""COMPUTED_VALUE"""),1)</f>
        <v>1</v>
      </c>
      <c r="C245" s="7">
        <f ca="1">IFERROR(__xludf.DUMMYFUNCTION("""COMPUTED_VALUE"""),1)</f>
        <v>1</v>
      </c>
      <c r="D245" s="8">
        <f ca="1">IFERROR(__xludf.DUMMYFUNCTION("""COMPUTED_VALUE"""),5)</f>
        <v>5</v>
      </c>
      <c r="E245" s="2">
        <f ca="1">IFERROR(__xludf.DUMMYFUNCTION("""COMPUTED_VALUE"""),2)</f>
        <v>2</v>
      </c>
    </row>
    <row r="246" spans="1:5" ht="13">
      <c r="A246" s="2" t="str">
        <f ca="1">IFERROR(__xludf.DUMMYFUNCTION("""COMPUTED_VALUE"""),"Arndt, Felix")</f>
        <v>Arndt, Felix</v>
      </c>
      <c r="B246" s="2">
        <f ca="1">IFERROR(__xludf.DUMMYFUNCTION("""COMPUTED_VALUE"""),1)</f>
        <v>1</v>
      </c>
      <c r="C246" s="7">
        <f ca="1">IFERROR(__xludf.DUMMYFUNCTION("""COMPUTED_VALUE"""),1)</f>
        <v>1</v>
      </c>
      <c r="D246" s="8">
        <f ca="1">IFERROR(__xludf.DUMMYFUNCTION("""COMPUTED_VALUE"""),5)</f>
        <v>5</v>
      </c>
      <c r="E246" s="2">
        <f ca="1">IFERROR(__xludf.DUMMYFUNCTION("""COMPUTED_VALUE"""),2)</f>
        <v>2</v>
      </c>
    </row>
    <row r="247" spans="1:5" ht="13">
      <c r="A247" s="2" t="str">
        <f ca="1">IFERROR(__xludf.DUMMYFUNCTION("""COMPUTED_VALUE"""),"Arne, Michael")</f>
        <v>Arne, Michael</v>
      </c>
      <c r="B247" s="3">
        <f ca="1">IFERROR(__xludf.DUMMYFUNCTION("""COMPUTED_VALUE"""),1)</f>
        <v>1</v>
      </c>
      <c r="C247" s="7">
        <f ca="1">IFERROR(__xludf.DUMMYFUNCTION("""COMPUTED_VALUE"""),1)</f>
        <v>1</v>
      </c>
      <c r="D247" s="8">
        <f ca="1">IFERROR(__xludf.DUMMYFUNCTION("""COMPUTED_VALUE"""),5)</f>
        <v>5</v>
      </c>
      <c r="E247" s="2">
        <f ca="1">IFERROR(__xludf.DUMMYFUNCTION("""COMPUTED_VALUE"""),2)</f>
        <v>2</v>
      </c>
    </row>
    <row r="248" spans="1:5" ht="13">
      <c r="A248" s="2" t="str">
        <f ca="1">IFERROR(__xludf.DUMMYFUNCTION("""COMPUTED_VALUE"""),"Arne, Thomas")</f>
        <v>Arne, Thomas</v>
      </c>
      <c r="B248" s="2">
        <f ca="1">IFERROR(__xludf.DUMMYFUNCTION("""COMPUTED_VALUE"""),1)</f>
        <v>1</v>
      </c>
      <c r="C248" s="7">
        <f ca="1">IFERROR(__xludf.DUMMYFUNCTION("""COMPUTED_VALUE"""),1)</f>
        <v>1</v>
      </c>
      <c r="D248" s="8">
        <f ca="1">IFERROR(__xludf.DUMMYFUNCTION("""COMPUTED_VALUE"""),5)</f>
        <v>5</v>
      </c>
      <c r="E248" s="2">
        <f ca="1">IFERROR(__xludf.DUMMYFUNCTION("""COMPUTED_VALUE"""),2)</f>
        <v>2</v>
      </c>
    </row>
    <row r="249" spans="1:5" ht="13">
      <c r="A249" s="2" t="str">
        <f ca="1">IFERROR(__xludf.DUMMYFUNCTION("""COMPUTED_VALUE"""),"Arnell, Richard")</f>
        <v>Arnell, Richard</v>
      </c>
      <c r="B249" s="2">
        <f ca="1">IFERROR(__xludf.DUMMYFUNCTION("""COMPUTED_VALUE"""),1)</f>
        <v>1</v>
      </c>
      <c r="C249" s="7">
        <f ca="1">IFERROR(__xludf.DUMMYFUNCTION("""COMPUTED_VALUE"""),1)</f>
        <v>1</v>
      </c>
      <c r="D249" s="8">
        <f ca="1">IFERROR(__xludf.DUMMYFUNCTION("""COMPUTED_VALUE"""),5)</f>
        <v>5</v>
      </c>
      <c r="E249" s="2">
        <f ca="1">IFERROR(__xludf.DUMMYFUNCTION("""COMPUTED_VALUE"""),2)</f>
        <v>2</v>
      </c>
    </row>
    <row r="250" spans="1:5" ht="13">
      <c r="A250" s="2" t="str">
        <f ca="1">IFERROR(__xludf.DUMMYFUNCTION("""COMPUTED_VALUE"""),"Arnesen, Kim Andre")</f>
        <v>Arnesen, Kim Andre</v>
      </c>
      <c r="B250" s="3">
        <f ca="1">IFERROR(__xludf.DUMMYFUNCTION("""COMPUTED_VALUE"""),1)</f>
        <v>1</v>
      </c>
      <c r="C250" s="7">
        <f ca="1">IFERROR(__xludf.DUMMYFUNCTION("""COMPUTED_VALUE"""),1)</f>
        <v>1</v>
      </c>
      <c r="D250" s="8">
        <f ca="1">IFERROR(__xludf.DUMMYFUNCTION("""COMPUTED_VALUE"""),1)</f>
        <v>1</v>
      </c>
      <c r="E250" s="2">
        <f ca="1">IFERROR(__xludf.DUMMYFUNCTION("""COMPUTED_VALUE"""),1)</f>
        <v>1</v>
      </c>
    </row>
    <row r="251" spans="1:5" ht="13">
      <c r="A251" s="8" t="str">
        <f ca="1">IFERROR(__xludf.DUMMYFUNCTION("""COMPUTED_VALUE"""),"Arnett, Matt")</f>
        <v>Arnett, Matt</v>
      </c>
      <c r="B251" s="3">
        <f ca="1">IFERROR(__xludf.DUMMYFUNCTION("""COMPUTED_VALUE"""),1)</f>
        <v>1</v>
      </c>
      <c r="C251" s="7">
        <f ca="1">IFERROR(__xludf.DUMMYFUNCTION("""COMPUTED_VALUE"""),1)</f>
        <v>1</v>
      </c>
      <c r="D251" s="8">
        <f ca="1">IFERROR(__xludf.DUMMYFUNCTION("""COMPUTED_VALUE"""),1)</f>
        <v>1</v>
      </c>
      <c r="E251" s="2">
        <f ca="1">IFERROR(__xludf.DUMMYFUNCTION("""COMPUTED_VALUE"""),1)</f>
        <v>1</v>
      </c>
    </row>
    <row r="252" spans="1:5" ht="13">
      <c r="A252" s="2" t="str">
        <f ca="1">IFERROR(__xludf.DUMMYFUNCTION("""COMPUTED_VALUE"""),"Arnold, Adam")</f>
        <v>Arnold, Adam</v>
      </c>
      <c r="B252" s="2">
        <f ca="1">IFERROR(__xludf.DUMMYFUNCTION("""COMPUTED_VALUE"""),1)</f>
        <v>1</v>
      </c>
      <c r="C252" s="7">
        <f ca="1">IFERROR(__xludf.DUMMYFUNCTION("""COMPUTED_VALUE"""),1)</f>
        <v>1</v>
      </c>
      <c r="D252" s="8">
        <f ca="1">IFERROR(__xludf.DUMMYFUNCTION("""COMPUTED_VALUE"""),1)</f>
        <v>1</v>
      </c>
      <c r="E252" s="2">
        <f ca="1">IFERROR(__xludf.DUMMYFUNCTION("""COMPUTED_VALUE"""),1)</f>
        <v>1</v>
      </c>
    </row>
    <row r="253" spans="1:5" ht="13">
      <c r="A253" s="2" t="str">
        <f ca="1">IFERROR(__xludf.DUMMYFUNCTION("""COMPUTED_VALUE"""),"Arnold, Brad")</f>
        <v>Arnold, Brad</v>
      </c>
      <c r="B253" s="2">
        <f ca="1">IFERROR(__xludf.DUMMYFUNCTION("""COMPUTED_VALUE"""),1)</f>
        <v>1</v>
      </c>
      <c r="C253" s="7">
        <f ca="1">IFERROR(__xludf.DUMMYFUNCTION("""COMPUTED_VALUE"""),1)</f>
        <v>1</v>
      </c>
      <c r="D253" s="8">
        <f ca="1">IFERROR(__xludf.DUMMYFUNCTION("""COMPUTED_VALUE"""),1)</f>
        <v>1</v>
      </c>
      <c r="E253" s="2">
        <f ca="1">IFERROR(__xludf.DUMMYFUNCTION("""COMPUTED_VALUE"""),1)</f>
        <v>1</v>
      </c>
    </row>
    <row r="254" spans="1:5" ht="13">
      <c r="A254" s="8" t="str">
        <f ca="1">IFERROR(__xludf.DUMMYFUNCTION("""COMPUTED_VALUE"""),"Arnold, David")</f>
        <v>Arnold, David</v>
      </c>
      <c r="B254" s="3">
        <f ca="1">IFERROR(__xludf.DUMMYFUNCTION("""COMPUTED_VALUE"""),1)</f>
        <v>1</v>
      </c>
      <c r="C254" s="7">
        <f ca="1">IFERROR(__xludf.DUMMYFUNCTION("""COMPUTED_VALUE"""),1)</f>
        <v>1</v>
      </c>
      <c r="D254" s="8">
        <f ca="1">IFERROR(__xludf.DUMMYFUNCTION("""COMPUTED_VALUE"""),1)</f>
        <v>1</v>
      </c>
      <c r="E254" s="2">
        <f ca="1">IFERROR(__xludf.DUMMYFUNCTION("""COMPUTED_VALUE"""),1)</f>
        <v>1</v>
      </c>
    </row>
    <row r="255" spans="1:5" ht="13">
      <c r="A255" s="8" t="str">
        <f ca="1">IFERROR(__xludf.DUMMYFUNCTION("""COMPUTED_VALUE"""),"Arnold, Malcolm")</f>
        <v>Arnold, Malcolm</v>
      </c>
      <c r="B255" s="3">
        <f ca="1">IFERROR(__xludf.DUMMYFUNCTION("""COMPUTED_VALUE"""),1)</f>
        <v>1</v>
      </c>
      <c r="C255" s="7">
        <f ca="1">IFERROR(__xludf.DUMMYFUNCTION("""COMPUTED_VALUE"""),1)</f>
        <v>1</v>
      </c>
      <c r="D255" s="8">
        <f ca="1">IFERROR(__xludf.DUMMYFUNCTION("""COMPUTED_VALUE"""),5)</f>
        <v>5</v>
      </c>
      <c r="E255" s="2">
        <f ca="1">IFERROR(__xludf.DUMMYFUNCTION("""COMPUTED_VALUE"""),2)</f>
        <v>2</v>
      </c>
    </row>
    <row r="256" spans="1:5" ht="13">
      <c r="A256" s="2" t="str">
        <f ca="1">IFERROR(__xludf.DUMMYFUNCTION("""COMPUTED_VALUE"""),"Arnold, Samuel")</f>
        <v>Arnold, Samuel</v>
      </c>
      <c r="B256" s="3">
        <f ca="1">IFERROR(__xludf.DUMMYFUNCTION("""COMPUTED_VALUE"""),1)</f>
        <v>1</v>
      </c>
      <c r="C256" s="7">
        <f ca="1">IFERROR(__xludf.DUMMYFUNCTION("""COMPUTED_VALUE"""),1)</f>
        <v>1</v>
      </c>
      <c r="D256" s="8">
        <f ca="1">IFERROR(__xludf.DUMMYFUNCTION("""COMPUTED_VALUE"""),5)</f>
        <v>5</v>
      </c>
      <c r="E256" s="2">
        <f ca="1">IFERROR(__xludf.DUMMYFUNCTION("""COMPUTED_VALUE"""),2)</f>
        <v>2</v>
      </c>
    </row>
    <row r="257" spans="1:5" ht="13">
      <c r="A257" s="8" t="str">
        <f ca="1">IFERROR(__xludf.DUMMYFUNCTION("""COMPUTED_VALUE"""),"Arnon, R.")</f>
        <v>Arnon, R.</v>
      </c>
      <c r="B257" s="3">
        <f ca="1">IFERROR(__xludf.DUMMYFUNCTION("""COMPUTED_VALUE"""),1)</f>
        <v>1</v>
      </c>
      <c r="C257" s="7">
        <f ca="1">IFERROR(__xludf.DUMMYFUNCTION("""COMPUTED_VALUE"""),1)</f>
        <v>1</v>
      </c>
      <c r="D257" s="8">
        <f ca="1">IFERROR(__xludf.DUMMYFUNCTION("""COMPUTED_VALUE"""),1)</f>
        <v>1</v>
      </c>
      <c r="E257" s="2">
        <f ca="1">IFERROR(__xludf.DUMMYFUNCTION("""COMPUTED_VALUE"""),1)</f>
        <v>1</v>
      </c>
    </row>
    <row r="258" spans="1:5" ht="13">
      <c r="A258" s="2" t="str">
        <f ca="1">IFERROR(__xludf.DUMMYFUNCTION("""COMPUTED_VALUE"""),"Arnon, Ron")</f>
        <v>Arnon, Ron</v>
      </c>
      <c r="B258" s="3">
        <f ca="1">IFERROR(__xludf.DUMMYFUNCTION("""COMPUTED_VALUE"""),1)</f>
        <v>1</v>
      </c>
      <c r="C258" s="7">
        <f ca="1">IFERROR(__xludf.DUMMYFUNCTION("""COMPUTED_VALUE"""),1)</f>
        <v>1</v>
      </c>
      <c r="D258" s="8">
        <f ca="1">IFERROR(__xludf.DUMMYFUNCTION("""COMPUTED_VALUE"""),1)</f>
        <v>1</v>
      </c>
      <c r="E258" s="2">
        <f ca="1">IFERROR(__xludf.DUMMYFUNCTION("""COMPUTED_VALUE"""),1)</f>
        <v>1</v>
      </c>
    </row>
    <row r="259" spans="1:5" ht="13">
      <c r="A259" s="2" t="str">
        <f ca="1">IFERROR(__xludf.DUMMYFUNCTION("""COMPUTED_VALUE"""),"Arodin, Sidney")</f>
        <v>Arodin, Sidney</v>
      </c>
      <c r="B259" s="2">
        <f ca="1">IFERROR(__xludf.DUMMYFUNCTION("""COMPUTED_VALUE"""),1)</f>
        <v>1</v>
      </c>
      <c r="C259" s="7">
        <f ca="1">IFERROR(__xludf.DUMMYFUNCTION("""COMPUTED_VALUE"""),1)</f>
        <v>1</v>
      </c>
      <c r="D259" s="8">
        <f ca="1">IFERROR(__xludf.DUMMYFUNCTION("""COMPUTED_VALUE"""),5)</f>
        <v>5</v>
      </c>
      <c r="E259" s="2">
        <f ca="1">IFERROR(__xludf.DUMMYFUNCTION("""COMPUTED_VALUE"""),2)</f>
        <v>2</v>
      </c>
    </row>
    <row r="260" spans="1:5" ht="13">
      <c r="A260" s="8" t="str">
        <f ca="1">IFERROR(__xludf.DUMMYFUNCTION("""COMPUTED_VALUE"""),"Aronson, Lee")</f>
        <v>Aronson, Lee</v>
      </c>
      <c r="B260" s="3">
        <f ca="1">IFERROR(__xludf.DUMMYFUNCTION("""COMPUTED_VALUE"""),1)</f>
        <v>1</v>
      </c>
      <c r="C260" s="7">
        <f ca="1">IFERROR(__xludf.DUMMYFUNCTION("""COMPUTED_VALUE"""),1)</f>
        <v>1</v>
      </c>
      <c r="D260" s="8">
        <f ca="1">IFERROR(__xludf.DUMMYFUNCTION("""COMPUTED_VALUE"""),1)</f>
        <v>1</v>
      </c>
      <c r="E260" s="2">
        <f ca="1">IFERROR(__xludf.DUMMYFUNCTION("""COMPUTED_VALUE"""),1)</f>
        <v>1</v>
      </c>
    </row>
    <row r="261" spans="1:5" ht="13">
      <c r="A261" s="2" t="str">
        <f ca="1">IFERROR(__xludf.DUMMYFUNCTION("""COMPUTED_VALUE"""),"Arriaga, Juan C.")</f>
        <v>Arriaga, Juan C.</v>
      </c>
      <c r="B261" s="2">
        <f ca="1">IFERROR(__xludf.DUMMYFUNCTION("""COMPUTED_VALUE"""),1)</f>
        <v>1</v>
      </c>
      <c r="C261" s="7">
        <f ca="1">IFERROR(__xludf.DUMMYFUNCTION("""COMPUTED_VALUE"""),1)</f>
        <v>1</v>
      </c>
      <c r="D261" s="8">
        <f ca="1">IFERROR(__xludf.DUMMYFUNCTION("""COMPUTED_VALUE"""),5)</f>
        <v>5</v>
      </c>
      <c r="E261" s="2">
        <f ca="1">IFERROR(__xludf.DUMMYFUNCTION("""COMPUTED_VALUE"""),2)</f>
        <v>2</v>
      </c>
    </row>
    <row r="262" spans="1:5" ht="13">
      <c r="A262" s="8" t="str">
        <f ca="1">IFERROR(__xludf.DUMMYFUNCTION("""COMPUTED_VALUE"""),"Arriaga, Juan Crisóstomo de,")</f>
        <v>Arriaga, Juan Crisóstomo de,</v>
      </c>
      <c r="B262" s="3">
        <f ca="1">IFERROR(__xludf.DUMMYFUNCTION("""COMPUTED_VALUE"""),1)</f>
        <v>1</v>
      </c>
      <c r="C262" s="7">
        <f ca="1">IFERROR(__xludf.DUMMYFUNCTION("""COMPUTED_VALUE"""),1)</f>
        <v>1</v>
      </c>
      <c r="D262" s="8">
        <f ca="1">IFERROR(__xludf.DUMMYFUNCTION("""COMPUTED_VALUE"""),5)</f>
        <v>5</v>
      </c>
      <c r="E262" s="2">
        <f ca="1">IFERROR(__xludf.DUMMYFUNCTION("""COMPUTED_VALUE"""),2)</f>
        <v>2</v>
      </c>
    </row>
    <row r="263" spans="1:5" ht="13">
      <c r="A263" s="8" t="str">
        <f ca="1">IFERROR(__xludf.DUMMYFUNCTION("""COMPUTED_VALUE"""),"Arslanian, Artin")</f>
        <v>Arslanian, Artin</v>
      </c>
      <c r="B263" s="3">
        <f ca="1">IFERROR(__xludf.DUMMYFUNCTION("""COMPUTED_VALUE"""),1)</f>
        <v>1</v>
      </c>
      <c r="C263" s="7">
        <f ca="1">IFERROR(__xludf.DUMMYFUNCTION("""COMPUTED_VALUE"""),1)</f>
        <v>1</v>
      </c>
      <c r="D263" s="8">
        <f ca="1">IFERROR(__xludf.DUMMYFUNCTION("""COMPUTED_VALUE"""),5)</f>
        <v>5</v>
      </c>
      <c r="E263" s="2">
        <f ca="1">IFERROR(__xludf.DUMMYFUNCTION("""COMPUTED_VALUE"""),2)</f>
        <v>2</v>
      </c>
    </row>
    <row r="264" spans="1:5" ht="13">
      <c r="A264" s="2" t="str">
        <f ca="1">IFERROR(__xludf.DUMMYFUNCTION("""COMPUTED_VALUE"""),"Artemieff, Nikolai")</f>
        <v>Artemieff, Nikolai</v>
      </c>
      <c r="B264" s="2">
        <f ca="1">IFERROR(__xludf.DUMMYFUNCTION("""COMPUTED_VALUE"""),1)</f>
        <v>1</v>
      </c>
      <c r="C264" s="7">
        <f ca="1">IFERROR(__xludf.DUMMYFUNCTION("""COMPUTED_VALUE"""),1)</f>
        <v>1</v>
      </c>
      <c r="D264" s="8">
        <f ca="1">IFERROR(__xludf.DUMMYFUNCTION("""COMPUTED_VALUE"""),5)</f>
        <v>5</v>
      </c>
      <c r="E264" s="2">
        <f ca="1">IFERROR(__xludf.DUMMYFUNCTION("""COMPUTED_VALUE"""),2)</f>
        <v>2</v>
      </c>
    </row>
    <row r="265" spans="1:5" ht="13">
      <c r="A265" s="2" t="str">
        <f ca="1">IFERROR(__xludf.DUMMYFUNCTION("""COMPUTED_VALUE"""),"Artes, Felix Astol")</f>
        <v>Artes, Felix Astol</v>
      </c>
      <c r="B265" s="3">
        <f ca="1">IFERROR(__xludf.DUMMYFUNCTION("""COMPUTED_VALUE"""),1)</f>
        <v>1</v>
      </c>
      <c r="C265" s="7">
        <f ca="1">IFERROR(__xludf.DUMMYFUNCTION("""COMPUTED_VALUE"""),1)</f>
        <v>1</v>
      </c>
      <c r="D265" s="8">
        <f ca="1">IFERROR(__xludf.DUMMYFUNCTION("""COMPUTED_VALUE"""),5)</f>
        <v>5</v>
      </c>
      <c r="E265" s="2">
        <f ca="1">IFERROR(__xludf.DUMMYFUNCTION("""COMPUTED_VALUE"""),2)</f>
        <v>2</v>
      </c>
    </row>
    <row r="266" spans="1:5" ht="13">
      <c r="A266" s="8" t="str">
        <f ca="1">IFERROR(__xludf.DUMMYFUNCTION("""COMPUTED_VALUE"""),"Arutiunian, Alexander")</f>
        <v>Arutiunian, Alexander</v>
      </c>
      <c r="B266" s="3">
        <f ca="1">IFERROR(__xludf.DUMMYFUNCTION("""COMPUTED_VALUE"""),1)</f>
        <v>1</v>
      </c>
      <c r="C266" s="7">
        <f ca="1">IFERROR(__xludf.DUMMYFUNCTION("""COMPUTED_VALUE"""),1)</f>
        <v>1</v>
      </c>
      <c r="D266" s="8">
        <f ca="1">IFERROR(__xludf.DUMMYFUNCTION("""COMPUTED_VALUE"""),5)</f>
        <v>5</v>
      </c>
      <c r="E266" s="2">
        <f ca="1">IFERROR(__xludf.DUMMYFUNCTION("""COMPUTED_VALUE"""),2)</f>
        <v>2</v>
      </c>
    </row>
    <row r="267" spans="1:5" ht="13">
      <c r="A267" s="2" t="str">
        <f ca="1">IFERROR(__xludf.DUMMYFUNCTION("""COMPUTED_VALUE"""),"Arvin, Gary")</f>
        <v>Arvin, Gary</v>
      </c>
      <c r="B267" s="3">
        <f ca="1">IFERROR(__xludf.DUMMYFUNCTION("""COMPUTED_VALUE"""),1)</f>
        <v>1</v>
      </c>
      <c r="C267" s="7">
        <f ca="1">IFERROR(__xludf.DUMMYFUNCTION("""COMPUTED_VALUE"""),1)</f>
        <v>1</v>
      </c>
      <c r="D267" s="8">
        <f ca="1">IFERROR(__xludf.DUMMYFUNCTION("""COMPUTED_VALUE"""),1)</f>
        <v>1</v>
      </c>
      <c r="E267" s="2">
        <f ca="1">IFERROR(__xludf.DUMMYFUNCTION("""COMPUTED_VALUE"""),1)</f>
        <v>1</v>
      </c>
    </row>
    <row r="268" spans="1:5" ht="13">
      <c r="A268" s="2" t="str">
        <f ca="1">IFERROR(__xludf.DUMMYFUNCTION("""COMPUTED_VALUE"""),"Asafiev, Boris")</f>
        <v>Asafiev, Boris</v>
      </c>
      <c r="B268" s="2">
        <f ca="1">IFERROR(__xludf.DUMMYFUNCTION("""COMPUTED_VALUE"""),1)</f>
        <v>1</v>
      </c>
      <c r="C268" s="7">
        <f ca="1">IFERROR(__xludf.DUMMYFUNCTION("""COMPUTED_VALUE"""),1)</f>
        <v>1</v>
      </c>
      <c r="D268" s="8">
        <f ca="1">IFERROR(__xludf.DUMMYFUNCTION("""COMPUTED_VALUE"""),5)</f>
        <v>5</v>
      </c>
      <c r="E268" s="2">
        <f ca="1">IFERROR(__xludf.DUMMYFUNCTION("""COMPUTED_VALUE"""),2)</f>
        <v>2</v>
      </c>
    </row>
    <row r="269" spans="1:5" ht="13">
      <c r="A269" s="8" t="str">
        <f ca="1">IFERROR(__xludf.DUMMYFUNCTION("""COMPUTED_VALUE"""),"Asanger, Thomas")</f>
        <v>Asanger, Thomas</v>
      </c>
      <c r="B269" s="3">
        <f ca="1">IFERROR(__xludf.DUMMYFUNCTION("""COMPUTED_VALUE"""),1)</f>
        <v>1</v>
      </c>
      <c r="C269" s="7">
        <f ca="1">IFERROR(__xludf.DUMMYFUNCTION("""COMPUTED_VALUE"""),1)</f>
        <v>1</v>
      </c>
      <c r="D269" s="8">
        <f ca="1">IFERROR(__xludf.DUMMYFUNCTION("""COMPUTED_VALUE"""),1)</f>
        <v>1</v>
      </c>
      <c r="E269" s="2">
        <f ca="1">IFERROR(__xludf.DUMMYFUNCTION("""COMPUTED_VALUE"""),1)</f>
        <v>1</v>
      </c>
    </row>
    <row r="270" spans="1:5" ht="13">
      <c r="A270" s="8" t="str">
        <f ca="1">IFERROR(__xludf.DUMMYFUNCTION("""COMPUTED_VALUE"""),"Ashe, F.")</f>
        <v>Ashe, F.</v>
      </c>
      <c r="B270" s="3">
        <f ca="1">IFERROR(__xludf.DUMMYFUNCTION("""COMPUTED_VALUE"""),1)</f>
        <v>1</v>
      </c>
      <c r="C270" s="7">
        <f ca="1">IFERROR(__xludf.DUMMYFUNCTION("""COMPUTED_VALUE"""),1)</f>
        <v>1</v>
      </c>
      <c r="D270" s="8">
        <f ca="1">IFERROR(__xludf.DUMMYFUNCTION("""COMPUTED_VALUE"""),1)</f>
        <v>1</v>
      </c>
      <c r="E270" s="2">
        <f ca="1">IFERROR(__xludf.DUMMYFUNCTION("""COMPUTED_VALUE"""),1)</f>
        <v>1</v>
      </c>
    </row>
    <row r="271" spans="1:5" ht="13">
      <c r="A271" s="2" t="str">
        <f ca="1">IFERROR(__xludf.DUMMYFUNCTION("""COMPUTED_VALUE"""),"Ashe, Frederic")</f>
        <v>Ashe, Frederic</v>
      </c>
      <c r="B271" s="2">
        <f ca="1">IFERROR(__xludf.DUMMYFUNCTION("""COMPUTED_VALUE"""),1)</f>
        <v>1</v>
      </c>
      <c r="C271" s="7">
        <f ca="1">IFERROR(__xludf.DUMMYFUNCTION("""COMPUTED_VALUE"""),1)</f>
        <v>1</v>
      </c>
      <c r="D271" s="8">
        <f ca="1">IFERROR(__xludf.DUMMYFUNCTION("""COMPUTED_VALUE"""),5)</f>
        <v>5</v>
      </c>
      <c r="E271" s="2">
        <f ca="1">IFERROR(__xludf.DUMMYFUNCTION("""COMPUTED_VALUE"""),2)</f>
        <v>2</v>
      </c>
    </row>
    <row r="272" spans="1:5" ht="13">
      <c r="A272" s="2" t="str">
        <f ca="1">IFERROR(__xludf.DUMMYFUNCTION("""COMPUTED_VALUE"""),"Asher, Rick")</f>
        <v>Asher, Rick</v>
      </c>
      <c r="B272" s="3">
        <f ca="1">IFERROR(__xludf.DUMMYFUNCTION("""COMPUTED_VALUE"""),1)</f>
        <v>1</v>
      </c>
      <c r="C272" s="7">
        <f ca="1">IFERROR(__xludf.DUMMYFUNCTION("""COMPUTED_VALUE"""),1)</f>
        <v>1</v>
      </c>
      <c r="D272" s="8">
        <f ca="1">IFERROR(__xludf.DUMMYFUNCTION("""COMPUTED_VALUE"""),1)</f>
        <v>1</v>
      </c>
      <c r="E272" s="2">
        <f ca="1">IFERROR(__xludf.DUMMYFUNCTION("""COMPUTED_VALUE"""),1)</f>
        <v>1</v>
      </c>
    </row>
    <row r="273" spans="1:5" ht="13">
      <c r="A273" s="2" t="str">
        <f ca="1">IFERROR(__xludf.DUMMYFUNCTION("""COMPUTED_VALUE"""),"Ashley White, David")</f>
        <v>Ashley White, David</v>
      </c>
      <c r="B273" s="2">
        <f ca="1">IFERROR(__xludf.DUMMYFUNCTION("""COMPUTED_VALUE"""),1)</f>
        <v>1</v>
      </c>
      <c r="C273" s="7">
        <f ca="1">IFERROR(__xludf.DUMMYFUNCTION("""COMPUTED_VALUE"""),1)</f>
        <v>1</v>
      </c>
      <c r="D273" s="8">
        <f ca="1">IFERROR(__xludf.DUMMYFUNCTION("""COMPUTED_VALUE"""),1)</f>
        <v>1</v>
      </c>
      <c r="E273" s="2">
        <f ca="1">IFERROR(__xludf.DUMMYFUNCTION("""COMPUTED_VALUE"""),1)</f>
        <v>1</v>
      </c>
    </row>
    <row r="274" spans="1:5" ht="13">
      <c r="A274" s="2" t="str">
        <f ca="1">IFERROR(__xludf.DUMMYFUNCTION("""COMPUTED_VALUE"""),"Ashton, Bob")</f>
        <v>Ashton, Bob</v>
      </c>
      <c r="B274" s="3">
        <f ca="1">IFERROR(__xludf.DUMMYFUNCTION("""COMPUTED_VALUE"""),1)</f>
        <v>1</v>
      </c>
      <c r="C274" s="7">
        <f ca="1">IFERROR(__xludf.DUMMYFUNCTION("""COMPUTED_VALUE"""),1)</f>
        <v>1</v>
      </c>
      <c r="D274" s="8">
        <f ca="1">IFERROR(__xludf.DUMMYFUNCTION("""COMPUTED_VALUE"""),5)</f>
        <v>5</v>
      </c>
      <c r="E274" s="2">
        <f ca="1">IFERROR(__xludf.DUMMYFUNCTION("""COMPUTED_VALUE"""),2)</f>
        <v>2</v>
      </c>
    </row>
    <row r="275" spans="1:5" ht="13">
      <c r="A275" s="2" t="str">
        <f ca="1">IFERROR(__xludf.DUMMYFUNCTION("""COMPUTED_VALUE"""),"Asia, Daniel")</f>
        <v>Asia, Daniel</v>
      </c>
      <c r="B275" s="3">
        <f ca="1">IFERROR(__xludf.DUMMYFUNCTION("""COMPUTED_VALUE"""),1)</f>
        <v>1</v>
      </c>
      <c r="C275" s="7">
        <f ca="1">IFERROR(__xludf.DUMMYFUNCTION("""COMPUTED_VALUE"""),1)</f>
        <v>1</v>
      </c>
      <c r="D275" s="8">
        <f ca="1">IFERROR(__xludf.DUMMYFUNCTION("""COMPUTED_VALUE"""),1)</f>
        <v>1</v>
      </c>
      <c r="E275" s="2">
        <f ca="1">IFERROR(__xludf.DUMMYFUNCTION("""COMPUTED_VALUE"""),1)</f>
        <v>1</v>
      </c>
    </row>
    <row r="276" spans="1:5" ht="13">
      <c r="A276" s="8" t="str">
        <f ca="1">IFERROR(__xludf.DUMMYFUNCTION("""COMPUTED_VALUE"""),"Asioli, Luigi")</f>
        <v>Asioli, Luigi</v>
      </c>
      <c r="B276" s="3">
        <f ca="1">IFERROR(__xludf.DUMMYFUNCTION("""COMPUTED_VALUE"""),1)</f>
        <v>1</v>
      </c>
      <c r="C276" s="7">
        <f ca="1">IFERROR(__xludf.DUMMYFUNCTION("""COMPUTED_VALUE"""),1)</f>
        <v>1</v>
      </c>
      <c r="D276" s="8">
        <f ca="1">IFERROR(__xludf.DUMMYFUNCTION("""COMPUTED_VALUE"""),5)</f>
        <v>5</v>
      </c>
      <c r="E276" s="2">
        <f ca="1">IFERROR(__xludf.DUMMYFUNCTION("""COMPUTED_VALUE"""),2)</f>
        <v>2</v>
      </c>
    </row>
    <row r="277" spans="1:5" ht="13">
      <c r="A277" s="8" t="str">
        <f ca="1">IFERROR(__xludf.DUMMYFUNCTION("""COMPUTED_VALUE"""),"Askim, Peter")</f>
        <v>Askim, Peter</v>
      </c>
      <c r="B277" s="3">
        <f ca="1">IFERROR(__xludf.DUMMYFUNCTION("""COMPUTED_VALUE"""),1)</f>
        <v>1</v>
      </c>
      <c r="C277" s="7">
        <f ca="1">IFERROR(__xludf.DUMMYFUNCTION("""COMPUTED_VALUE"""),1)</f>
        <v>1</v>
      </c>
      <c r="D277" s="8">
        <f ca="1">IFERROR(__xludf.DUMMYFUNCTION("""COMPUTED_VALUE"""),1)</f>
        <v>1</v>
      </c>
      <c r="E277" s="2">
        <f ca="1">IFERROR(__xludf.DUMMYFUNCTION("""COMPUTED_VALUE"""),1)</f>
        <v>1</v>
      </c>
    </row>
    <row r="278" spans="1:5" ht="13">
      <c r="A278" s="2" t="str">
        <f ca="1">IFERROR(__xludf.DUMMYFUNCTION("""COMPUTED_VALUE"""),"Aslanian, Vahe")</f>
        <v>Aslanian, Vahe</v>
      </c>
      <c r="B278" s="3">
        <f ca="1">IFERROR(__xludf.DUMMYFUNCTION("""COMPUTED_VALUE"""),1)</f>
        <v>1</v>
      </c>
      <c r="C278" s="7">
        <f ca="1">IFERROR(__xludf.DUMMYFUNCTION("""COMPUTED_VALUE"""),1)</f>
        <v>1</v>
      </c>
      <c r="D278" s="8">
        <f ca="1">IFERROR(__xludf.DUMMYFUNCTION("""COMPUTED_VALUE"""),5)</f>
        <v>5</v>
      </c>
      <c r="E278" s="2">
        <f ca="1">IFERROR(__xludf.DUMMYFUNCTION("""COMPUTED_VALUE"""),2)</f>
        <v>2</v>
      </c>
    </row>
    <row r="279" spans="1:5" ht="13">
      <c r="A279" s="8" t="str">
        <f ca="1">IFERROR(__xludf.DUMMYFUNCTION("""COMPUTED_VALUE"""),"Asola, Giovanni Matteo")</f>
        <v>Asola, Giovanni Matteo</v>
      </c>
      <c r="B279" s="3">
        <f ca="1">IFERROR(__xludf.DUMMYFUNCTION("""COMPUTED_VALUE"""),1)</f>
        <v>1</v>
      </c>
      <c r="C279" s="7">
        <f ca="1">IFERROR(__xludf.DUMMYFUNCTION("""COMPUTED_VALUE"""),1)</f>
        <v>1</v>
      </c>
      <c r="D279" s="8">
        <f ca="1">IFERROR(__xludf.DUMMYFUNCTION("""COMPUTED_VALUE"""),5)</f>
        <v>5</v>
      </c>
      <c r="E279" s="2">
        <f ca="1">IFERROR(__xludf.DUMMYFUNCTION("""COMPUTED_VALUE"""),2)</f>
        <v>2</v>
      </c>
    </row>
    <row r="280" spans="1:5" ht="13">
      <c r="A280" s="8" t="str">
        <f ca="1">IFERROR(__xludf.DUMMYFUNCTION("""COMPUTED_VALUE"""),"Aspaas, Christopher")</f>
        <v>Aspaas, Christopher</v>
      </c>
      <c r="B280" s="3">
        <f ca="1">IFERROR(__xludf.DUMMYFUNCTION("""COMPUTED_VALUE"""),1)</f>
        <v>1</v>
      </c>
      <c r="C280" s="7">
        <f ca="1">IFERROR(__xludf.DUMMYFUNCTION("""COMPUTED_VALUE"""),1)</f>
        <v>1</v>
      </c>
      <c r="D280" s="8">
        <f ca="1">IFERROR(__xludf.DUMMYFUNCTION("""COMPUTED_VALUE"""),1)</f>
        <v>1</v>
      </c>
      <c r="E280" s="2">
        <f ca="1">IFERROR(__xludf.DUMMYFUNCTION("""COMPUTED_VALUE"""),1)</f>
        <v>1</v>
      </c>
    </row>
    <row r="281" spans="1:5" ht="13">
      <c r="A281" s="2" t="str">
        <f ca="1">IFERROR(__xludf.DUMMYFUNCTION("""COMPUTED_VALUE"""),"Aspass, Christopher")</f>
        <v>Aspass, Christopher</v>
      </c>
      <c r="B281" s="3">
        <f ca="1">IFERROR(__xludf.DUMMYFUNCTION("""COMPUTED_VALUE"""),1)</f>
        <v>1</v>
      </c>
      <c r="C281" s="7">
        <f ca="1">IFERROR(__xludf.DUMMYFUNCTION("""COMPUTED_VALUE"""),1)</f>
        <v>1</v>
      </c>
      <c r="D281" s="8">
        <f ca="1">IFERROR(__xludf.DUMMYFUNCTION("""COMPUTED_VALUE"""),1)</f>
        <v>1</v>
      </c>
      <c r="E281" s="2">
        <f ca="1">IFERROR(__xludf.DUMMYFUNCTION("""COMPUTED_VALUE"""),1)</f>
        <v>1</v>
      </c>
    </row>
    <row r="282" spans="1:5" ht="13">
      <c r="A282" s="2" t="str">
        <f ca="1">IFERROR(__xludf.DUMMYFUNCTION("""COMPUTED_VALUE"""),"Asprea, Nick")</f>
        <v>Asprea, Nick</v>
      </c>
      <c r="B282" s="3">
        <f ca="1">IFERROR(__xludf.DUMMYFUNCTION("""COMPUTED_VALUE"""),1)</f>
        <v>1</v>
      </c>
      <c r="C282" s="7">
        <f ca="1">IFERROR(__xludf.DUMMYFUNCTION("""COMPUTED_VALUE"""),1)</f>
        <v>1</v>
      </c>
      <c r="D282" s="8">
        <f ca="1">IFERROR(__xludf.DUMMYFUNCTION("""COMPUTED_VALUE"""),1)</f>
        <v>1</v>
      </c>
      <c r="E282" s="2">
        <f ca="1">IFERROR(__xludf.DUMMYFUNCTION("""COMPUTED_VALUE"""),1)</f>
        <v>1</v>
      </c>
    </row>
    <row r="283" spans="1:5" ht="13">
      <c r="A283" s="2" t="str">
        <f ca="1">IFERROR(__xludf.DUMMYFUNCTION("""COMPUTED_VALUE"""),"Astapov, Eugene")</f>
        <v>Astapov, Eugene</v>
      </c>
      <c r="B283" s="3">
        <f ca="1">IFERROR(__xludf.DUMMYFUNCTION("""COMPUTED_VALUE"""),1)</f>
        <v>1</v>
      </c>
      <c r="C283" s="7">
        <f ca="1">IFERROR(__xludf.DUMMYFUNCTION("""COMPUTED_VALUE"""),1)</f>
        <v>1</v>
      </c>
      <c r="D283" s="8">
        <f ca="1">IFERROR(__xludf.DUMMYFUNCTION("""COMPUTED_VALUE"""),1)</f>
        <v>1</v>
      </c>
      <c r="E283" s="2">
        <f ca="1">IFERROR(__xludf.DUMMYFUNCTION("""COMPUTED_VALUE"""),1)</f>
        <v>1</v>
      </c>
    </row>
    <row r="284" spans="1:5" ht="13">
      <c r="A284" s="2" t="str">
        <f ca="1">IFERROR(__xludf.DUMMYFUNCTION("""COMPUTED_VALUE"""),"Aston, Peter")</f>
        <v>Aston, Peter</v>
      </c>
      <c r="B284" s="3">
        <f ca="1">IFERROR(__xludf.DUMMYFUNCTION("""COMPUTED_VALUE"""),1)</f>
        <v>1</v>
      </c>
      <c r="C284" s="7">
        <f ca="1">IFERROR(__xludf.DUMMYFUNCTION("""COMPUTED_VALUE"""),1)</f>
        <v>1</v>
      </c>
      <c r="D284" s="8">
        <f ca="1">IFERROR(__xludf.DUMMYFUNCTION("""COMPUTED_VALUE"""),5)</f>
        <v>5</v>
      </c>
      <c r="E284" s="2">
        <f ca="1">IFERROR(__xludf.DUMMYFUNCTION("""COMPUTED_VALUE"""),2)</f>
        <v>2</v>
      </c>
    </row>
    <row r="285" spans="1:5" ht="13">
      <c r="A285" s="2" t="str">
        <f ca="1">IFERROR(__xludf.DUMMYFUNCTION("""COMPUTED_VALUE"""),"Åstrand, Anders")</f>
        <v>Åstrand, Anders</v>
      </c>
      <c r="B285" s="3">
        <f ca="1">IFERROR(__xludf.DUMMYFUNCTION("""COMPUTED_VALUE"""),1)</f>
        <v>1</v>
      </c>
      <c r="C285" s="7">
        <f ca="1">IFERROR(__xludf.DUMMYFUNCTION("""COMPUTED_VALUE"""),1)</f>
        <v>1</v>
      </c>
      <c r="D285" s="8">
        <f ca="1">IFERROR(__xludf.DUMMYFUNCTION("""COMPUTED_VALUE"""),1)</f>
        <v>1</v>
      </c>
      <c r="E285" s="2">
        <f ca="1">IFERROR(__xludf.DUMMYFUNCTION("""COMPUTED_VALUE"""),1)</f>
        <v>1</v>
      </c>
    </row>
    <row r="286" spans="1:5" ht="13">
      <c r="A286" s="8" t="str">
        <f ca="1">IFERROR(__xludf.DUMMYFUNCTION("""COMPUTED_VALUE"""),"Astwood, Michael")</f>
        <v>Astwood, Michael</v>
      </c>
      <c r="B286" s="2">
        <f ca="1">IFERROR(__xludf.DUMMYFUNCTION("""COMPUTED_VALUE"""),1)</f>
        <v>1</v>
      </c>
      <c r="C286" s="7">
        <f ca="1">IFERROR(__xludf.DUMMYFUNCTION("""COMPUTED_VALUE"""),1)</f>
        <v>1</v>
      </c>
      <c r="D286" s="8">
        <f ca="1">IFERROR(__xludf.DUMMYFUNCTION("""COMPUTED_VALUE"""),1)</f>
        <v>1</v>
      </c>
      <c r="E286" s="2">
        <f ca="1">IFERROR(__xludf.DUMMYFUNCTION("""COMPUTED_VALUE"""),1)</f>
        <v>1</v>
      </c>
    </row>
    <row r="287" spans="1:5" ht="13">
      <c r="A287" s="2" t="str">
        <f ca="1">IFERROR(__xludf.DUMMYFUNCTION("""COMPUTED_VALUE"""),"Atkinson, Condit")</f>
        <v>Atkinson, Condit</v>
      </c>
      <c r="B287" s="3">
        <f ca="1">IFERROR(__xludf.DUMMYFUNCTION("""COMPUTED_VALUE"""),1)</f>
        <v>1</v>
      </c>
      <c r="C287" s="7">
        <f ca="1">IFERROR(__xludf.DUMMYFUNCTION("""COMPUTED_VALUE"""),1)</f>
        <v>1</v>
      </c>
      <c r="D287" s="8">
        <f ca="1">IFERROR(__xludf.DUMMYFUNCTION("""COMPUTED_VALUE"""),5)</f>
        <v>5</v>
      </c>
      <c r="E287" s="2">
        <f ca="1">IFERROR(__xludf.DUMMYFUNCTION("""COMPUTED_VALUE"""),2)</f>
        <v>2</v>
      </c>
    </row>
    <row r="288" spans="1:5" ht="13">
      <c r="A288" s="2" t="str">
        <f ca="1">IFERROR(__xludf.DUMMYFUNCTION("""COMPUTED_VALUE"""),"Attahir, Benjamin")</f>
        <v>Attahir, Benjamin</v>
      </c>
      <c r="B288" s="2">
        <f ca="1">IFERROR(__xludf.DUMMYFUNCTION("""COMPUTED_VALUE"""),1)</f>
        <v>1</v>
      </c>
      <c r="C288" s="7">
        <f ca="1">IFERROR(__xludf.DUMMYFUNCTION("""COMPUTED_VALUE"""),1)</f>
        <v>1</v>
      </c>
      <c r="D288" s="8">
        <f ca="1">IFERROR(__xludf.DUMMYFUNCTION("""COMPUTED_VALUE"""),1)</f>
        <v>1</v>
      </c>
      <c r="E288" s="2">
        <f ca="1">IFERROR(__xludf.DUMMYFUNCTION("""COMPUTED_VALUE"""),1)</f>
        <v>1</v>
      </c>
    </row>
    <row r="289" spans="1:5" ht="13">
      <c r="A289" s="2" t="str">
        <f ca="1">IFERROR(__xludf.DUMMYFUNCTION("""COMPUTED_VALUE"""),"Atteberry, John")</f>
        <v>Atteberry, John</v>
      </c>
      <c r="B289" s="3">
        <f ca="1">IFERROR(__xludf.DUMMYFUNCTION("""COMPUTED_VALUE"""),1)</f>
        <v>1</v>
      </c>
      <c r="C289" s="7">
        <f ca="1">IFERROR(__xludf.DUMMYFUNCTION("""COMPUTED_VALUE"""),1)</f>
        <v>1</v>
      </c>
      <c r="D289" s="8">
        <f ca="1">IFERROR(__xludf.DUMMYFUNCTION("""COMPUTED_VALUE"""),1)</f>
        <v>1</v>
      </c>
      <c r="E289" s="2">
        <f ca="1">IFERROR(__xludf.DUMMYFUNCTION("""COMPUTED_VALUE"""),1)</f>
        <v>1</v>
      </c>
    </row>
    <row r="290" spans="1:5" ht="13">
      <c r="A290" s="2" t="str">
        <f ca="1">IFERROR(__xludf.DUMMYFUNCTION("""COMPUTED_VALUE"""),"Atterberg, Kurt")</f>
        <v>Atterberg, Kurt</v>
      </c>
      <c r="B290" s="2">
        <f ca="1">IFERROR(__xludf.DUMMYFUNCTION("""COMPUTED_VALUE"""),1)</f>
        <v>1</v>
      </c>
      <c r="C290" s="2">
        <f ca="1">IFERROR(__xludf.DUMMYFUNCTION("""COMPUTED_VALUE"""),1)</f>
        <v>1</v>
      </c>
      <c r="D290" s="8">
        <f ca="1">IFERROR(__xludf.DUMMYFUNCTION("""COMPUTED_VALUE"""),5)</f>
        <v>5</v>
      </c>
      <c r="E290" s="2">
        <f ca="1">IFERROR(__xludf.DUMMYFUNCTION("""COMPUTED_VALUE"""),2)</f>
        <v>2</v>
      </c>
    </row>
    <row r="291" spans="1:5" ht="13">
      <c r="A291" s="2" t="str">
        <f ca="1">IFERROR(__xludf.DUMMYFUNCTION("""COMPUTED_VALUE"""),"Atterbury, Luffman")</f>
        <v>Atterbury, Luffman</v>
      </c>
      <c r="B291" s="3">
        <f ca="1">IFERROR(__xludf.DUMMYFUNCTION("""COMPUTED_VALUE"""),1)</f>
        <v>1</v>
      </c>
      <c r="C291" s="7">
        <f ca="1">IFERROR(__xludf.DUMMYFUNCTION("""COMPUTED_VALUE"""),1)</f>
        <v>1</v>
      </c>
      <c r="D291" s="8">
        <f ca="1">IFERROR(__xludf.DUMMYFUNCTION("""COMPUTED_VALUE"""),5)</f>
        <v>5</v>
      </c>
      <c r="E291" s="2">
        <f ca="1">IFERROR(__xludf.DUMMYFUNCTION("""COMPUTED_VALUE"""),2)</f>
        <v>2</v>
      </c>
    </row>
    <row r="292" spans="1:5" ht="13">
      <c r="A292" s="2" t="str">
        <f ca="1">IFERROR(__xludf.DUMMYFUNCTION("""COMPUTED_VALUE"""),"Attwood, Thomas")</f>
        <v>Attwood, Thomas</v>
      </c>
      <c r="B292" s="3">
        <f ca="1">IFERROR(__xludf.DUMMYFUNCTION("""COMPUTED_VALUE"""),1)</f>
        <v>1</v>
      </c>
      <c r="C292" s="7">
        <f ca="1">IFERROR(__xludf.DUMMYFUNCTION("""COMPUTED_VALUE"""),1)</f>
        <v>1</v>
      </c>
      <c r="D292" s="8">
        <f ca="1">IFERROR(__xludf.DUMMYFUNCTION("""COMPUTED_VALUE"""),5)</f>
        <v>5</v>
      </c>
      <c r="E292" s="2">
        <f ca="1">IFERROR(__xludf.DUMMYFUNCTION("""COMPUTED_VALUE"""),2)</f>
        <v>2</v>
      </c>
    </row>
    <row r="293" spans="1:5" ht="13">
      <c r="A293" s="2" t="str">
        <f ca="1">IFERROR(__xludf.DUMMYFUNCTION("""COMPUTED_VALUE"""),"Atwood, Josiah")</f>
        <v>Atwood, Josiah</v>
      </c>
      <c r="B293" s="2">
        <f ca="1">IFERROR(__xludf.DUMMYFUNCTION("""COMPUTED_VALUE"""),1)</f>
        <v>1</v>
      </c>
      <c r="C293" s="7">
        <f ca="1">IFERROR(__xludf.DUMMYFUNCTION("""COMPUTED_VALUE"""),1)</f>
        <v>1</v>
      </c>
      <c r="D293" s="8">
        <f ca="1">IFERROR(__xludf.DUMMYFUNCTION("""COMPUTED_VALUE"""),5)</f>
        <v>5</v>
      </c>
      <c r="E293" s="2">
        <f ca="1">IFERROR(__xludf.DUMMYFUNCTION("""COMPUTED_VALUE"""),2)</f>
        <v>2</v>
      </c>
    </row>
    <row r="294" spans="1:5" ht="13">
      <c r="A294" s="2" t="str">
        <f ca="1">IFERROR(__xludf.DUMMYFUNCTION("""COMPUTED_VALUE"""),"Atwood, Thomas")</f>
        <v>Atwood, Thomas</v>
      </c>
      <c r="B294" s="3">
        <f ca="1">IFERROR(__xludf.DUMMYFUNCTION("""COMPUTED_VALUE"""),1)</f>
        <v>1</v>
      </c>
      <c r="C294" s="7">
        <f ca="1">IFERROR(__xludf.DUMMYFUNCTION("""COMPUTED_VALUE"""),1)</f>
        <v>1</v>
      </c>
      <c r="D294" s="8">
        <f ca="1">IFERROR(__xludf.DUMMYFUNCTION("""COMPUTED_VALUE"""),5)</f>
        <v>5</v>
      </c>
      <c r="E294" s="2">
        <f ca="1">IFERROR(__xludf.DUMMYFUNCTION("""COMPUTED_VALUE"""),2)</f>
        <v>2</v>
      </c>
    </row>
    <row r="295" spans="1:5" ht="13">
      <c r="A295" s="2" t="str">
        <f ca="1">IFERROR(__xludf.DUMMYFUNCTION("""COMPUTED_VALUE"""),"Auber, Daniel F. E.")</f>
        <v>Auber, Daniel F. E.</v>
      </c>
      <c r="B295" s="2">
        <f ca="1">IFERROR(__xludf.DUMMYFUNCTION("""COMPUTED_VALUE"""),1)</f>
        <v>1</v>
      </c>
      <c r="C295" s="7">
        <f ca="1">IFERROR(__xludf.DUMMYFUNCTION("""COMPUTED_VALUE"""),1)</f>
        <v>1</v>
      </c>
      <c r="D295" s="8">
        <f ca="1">IFERROR(__xludf.DUMMYFUNCTION("""COMPUTED_VALUE"""),5)</f>
        <v>5</v>
      </c>
      <c r="E295" s="2">
        <f ca="1">IFERROR(__xludf.DUMMYFUNCTION("""COMPUTED_VALUE"""),2)</f>
        <v>2</v>
      </c>
    </row>
    <row r="296" spans="1:5" ht="13">
      <c r="A296" s="2" t="str">
        <f ca="1">IFERROR(__xludf.DUMMYFUNCTION("""COMPUTED_VALUE"""),"Auber, Daniel Francois E.")</f>
        <v>Auber, Daniel Francois E.</v>
      </c>
      <c r="B296" s="2">
        <f ca="1">IFERROR(__xludf.DUMMYFUNCTION("""COMPUTED_VALUE"""),1)</f>
        <v>1</v>
      </c>
      <c r="C296" s="7">
        <f ca="1">IFERROR(__xludf.DUMMYFUNCTION("""COMPUTED_VALUE"""),1)</f>
        <v>1</v>
      </c>
      <c r="D296" s="8">
        <f ca="1">IFERROR(__xludf.DUMMYFUNCTION("""COMPUTED_VALUE"""),5)</f>
        <v>5</v>
      </c>
      <c r="E296" s="2">
        <f ca="1">IFERROR(__xludf.DUMMYFUNCTION("""COMPUTED_VALUE"""),2)</f>
        <v>2</v>
      </c>
    </row>
    <row r="297" spans="1:5" ht="13">
      <c r="A297" s="8" t="str">
        <f ca="1">IFERROR(__xludf.DUMMYFUNCTION("""COMPUTED_VALUE"""),"Aubert, Louis")</f>
        <v>Aubert, Louis</v>
      </c>
      <c r="B297" s="3">
        <f ca="1">IFERROR(__xludf.DUMMYFUNCTION("""COMPUTED_VALUE"""),1)</f>
        <v>1</v>
      </c>
      <c r="C297" s="7">
        <f ca="1">IFERROR(__xludf.DUMMYFUNCTION("""COMPUTED_VALUE"""),1)</f>
        <v>1</v>
      </c>
      <c r="D297" s="8">
        <f ca="1">IFERROR(__xludf.DUMMYFUNCTION("""COMPUTED_VALUE"""),5)</f>
        <v>5</v>
      </c>
      <c r="E297" s="2">
        <f ca="1">IFERROR(__xludf.DUMMYFUNCTION("""COMPUTED_VALUE"""),2)</f>
        <v>2</v>
      </c>
    </row>
    <row r="298" spans="1:5" ht="13">
      <c r="A298" s="2" t="str">
        <f ca="1">IFERROR(__xludf.DUMMYFUNCTION("""COMPUTED_VALUE"""),"Aubry, Gary")</f>
        <v>Aubry, Gary</v>
      </c>
      <c r="B298" s="3">
        <f ca="1">IFERROR(__xludf.DUMMYFUNCTION("""COMPUTED_VALUE"""),1)</f>
        <v>1</v>
      </c>
      <c r="C298" s="7">
        <f ca="1">IFERROR(__xludf.DUMMYFUNCTION("""COMPUTED_VALUE"""),1)</f>
        <v>1</v>
      </c>
      <c r="D298" s="8">
        <f ca="1">IFERROR(__xludf.DUMMYFUNCTION("""COMPUTED_VALUE"""),1)</f>
        <v>1</v>
      </c>
      <c r="E298" s="2">
        <f ca="1">IFERROR(__xludf.DUMMYFUNCTION("""COMPUTED_VALUE"""),1)</f>
        <v>1</v>
      </c>
    </row>
    <row r="299" spans="1:5" ht="13">
      <c r="A299" s="8" t="str">
        <f ca="1">IFERROR(__xludf.DUMMYFUNCTION("""COMPUTED_VALUE"""),"Aucoin, Matthew")</f>
        <v>Aucoin, Matthew</v>
      </c>
      <c r="B299" s="3">
        <f ca="1">IFERROR(__xludf.DUMMYFUNCTION("""COMPUTED_VALUE"""),1)</f>
        <v>1</v>
      </c>
      <c r="C299" s="7">
        <f ca="1">IFERROR(__xludf.DUMMYFUNCTION("""COMPUTED_VALUE"""),1)</f>
        <v>1</v>
      </c>
      <c r="D299" s="8">
        <f ca="1">IFERROR(__xludf.DUMMYFUNCTION("""COMPUTED_VALUE"""),1)</f>
        <v>1</v>
      </c>
      <c r="E299" s="2">
        <f ca="1">IFERROR(__xludf.DUMMYFUNCTION("""COMPUTED_VALUE"""),1)</f>
        <v>1</v>
      </c>
    </row>
    <row r="300" spans="1:5" ht="13">
      <c r="A300" s="8" t="str">
        <f ca="1">IFERROR(__xludf.DUMMYFUNCTION("""COMPUTED_VALUE"""),"Aucoin, Tim")</f>
        <v>Aucoin, Tim</v>
      </c>
      <c r="B300" s="3">
        <f ca="1">IFERROR(__xludf.DUMMYFUNCTION("""COMPUTED_VALUE"""),1)</f>
        <v>1</v>
      </c>
      <c r="C300" s="7">
        <f ca="1">IFERROR(__xludf.DUMMYFUNCTION("""COMPUTED_VALUE"""),1)</f>
        <v>1</v>
      </c>
      <c r="D300" s="8">
        <f ca="1">IFERROR(__xludf.DUMMYFUNCTION("""COMPUTED_VALUE"""),1)</f>
        <v>1</v>
      </c>
      <c r="E300" s="2">
        <f ca="1">IFERROR(__xludf.DUMMYFUNCTION("""COMPUTED_VALUE"""),1)</f>
        <v>1</v>
      </c>
    </row>
    <row r="301" spans="1:5" ht="13">
      <c r="A301" s="2" t="str">
        <f ca="1">IFERROR(__xludf.DUMMYFUNCTION("""COMPUTED_VALUE"""),"Augustinas, Vaclovas")</f>
        <v>Augustinas, Vaclovas</v>
      </c>
      <c r="B301" s="2">
        <f ca="1">IFERROR(__xludf.DUMMYFUNCTION("""COMPUTED_VALUE"""),1)</f>
        <v>1</v>
      </c>
      <c r="C301" s="7">
        <f ca="1">IFERROR(__xludf.DUMMYFUNCTION("""COMPUTED_VALUE"""),1)</f>
        <v>1</v>
      </c>
      <c r="D301" s="8">
        <f ca="1">IFERROR(__xludf.DUMMYFUNCTION("""COMPUTED_VALUE"""),1)</f>
        <v>1</v>
      </c>
      <c r="E301" s="2">
        <f ca="1">IFERROR(__xludf.DUMMYFUNCTION("""COMPUTED_VALUE"""),1)</f>
        <v>1</v>
      </c>
    </row>
    <row r="302" spans="1:5" ht="13">
      <c r="A302" s="2" t="str">
        <f ca="1">IFERROR(__xludf.DUMMYFUNCTION("""COMPUTED_VALUE"""),"Aulio, Maxime")</f>
        <v>Aulio, Maxime</v>
      </c>
      <c r="B302" s="3">
        <f ca="1">IFERROR(__xludf.DUMMYFUNCTION("""COMPUTED_VALUE"""),1)</f>
        <v>1</v>
      </c>
      <c r="C302" s="7">
        <f ca="1">IFERROR(__xludf.DUMMYFUNCTION("""COMPUTED_VALUE"""),1)</f>
        <v>1</v>
      </c>
      <c r="D302" s="8">
        <f ca="1">IFERROR(__xludf.DUMMYFUNCTION("""COMPUTED_VALUE"""),1)</f>
        <v>1</v>
      </c>
      <c r="E302" s="2">
        <f ca="1">IFERROR(__xludf.DUMMYFUNCTION("""COMPUTED_VALUE"""),1)</f>
        <v>1</v>
      </c>
    </row>
    <row r="303" spans="1:5" ht="13">
      <c r="A303" s="8" t="str">
        <f ca="1">IFERROR(__xludf.DUMMYFUNCTION("""COMPUTED_VALUE"""),"Auric, Georges")</f>
        <v>Auric, Georges</v>
      </c>
      <c r="B303" s="3">
        <f ca="1">IFERROR(__xludf.DUMMYFUNCTION("""COMPUTED_VALUE"""),1)</f>
        <v>1</v>
      </c>
      <c r="C303" s="7">
        <f ca="1">IFERROR(__xludf.DUMMYFUNCTION("""COMPUTED_VALUE"""),1)</f>
        <v>1</v>
      </c>
      <c r="D303" s="8">
        <f ca="1">IFERROR(__xludf.DUMMYFUNCTION("""COMPUTED_VALUE"""),5)</f>
        <v>5</v>
      </c>
      <c r="E303" s="2">
        <f ca="1">IFERROR(__xludf.DUMMYFUNCTION("""COMPUTED_VALUE"""),2)</f>
        <v>2</v>
      </c>
    </row>
    <row r="304" spans="1:5" ht="13">
      <c r="A304" s="2" t="str">
        <f ca="1">IFERROR(__xludf.DUMMYFUNCTION("""COMPUTED_VALUE"""),"Ausdemore, Jeff")</f>
        <v>Ausdemore, Jeff</v>
      </c>
      <c r="B304" s="2">
        <f ca="1">IFERROR(__xludf.DUMMYFUNCTION("""COMPUTED_VALUE"""),1)</f>
        <v>1</v>
      </c>
      <c r="C304" s="7">
        <f ca="1">IFERROR(__xludf.DUMMYFUNCTION("""COMPUTED_VALUE"""),1)</f>
        <v>1</v>
      </c>
      <c r="D304" s="8">
        <f ca="1">IFERROR(__xludf.DUMMYFUNCTION("""COMPUTED_VALUE"""),1)</f>
        <v>1</v>
      </c>
      <c r="E304" s="2">
        <f ca="1">IFERROR(__xludf.DUMMYFUNCTION("""COMPUTED_VALUE"""),1)</f>
        <v>1</v>
      </c>
    </row>
    <row r="305" spans="1:5" ht="13">
      <c r="A305" s="2" t="str">
        <f ca="1">IFERROR(__xludf.DUMMYFUNCTION("""COMPUTED_VALUE"""),"Austin, James")</f>
        <v>Austin, James</v>
      </c>
      <c r="B305" s="3">
        <f ca="1">IFERROR(__xludf.DUMMYFUNCTION("""COMPUTED_VALUE"""),1)</f>
        <v>1</v>
      </c>
      <c r="C305" s="7">
        <f ca="1">IFERROR(__xludf.DUMMYFUNCTION("""COMPUTED_VALUE"""),1)</f>
        <v>1</v>
      </c>
      <c r="D305" s="8">
        <f ca="1">IFERROR(__xludf.DUMMYFUNCTION("""COMPUTED_VALUE"""),1)</f>
        <v>1</v>
      </c>
      <c r="E305" s="2">
        <f ca="1">IFERROR(__xludf.DUMMYFUNCTION("""COMPUTED_VALUE"""),1)</f>
        <v>1</v>
      </c>
    </row>
    <row r="306" spans="1:5" ht="13">
      <c r="A306" s="2" t="str">
        <f ca="1">IFERROR(__xludf.DUMMYFUNCTION("""COMPUTED_VALUE"""),"Autenreith, Larry")</f>
        <v>Autenreith, Larry</v>
      </c>
      <c r="B306" s="2">
        <f ca="1">IFERROR(__xludf.DUMMYFUNCTION("""COMPUTED_VALUE"""),1)</f>
        <v>1</v>
      </c>
      <c r="C306" s="7">
        <f ca="1">IFERROR(__xludf.DUMMYFUNCTION("""COMPUTED_VALUE"""),1)</f>
        <v>1</v>
      </c>
      <c r="D306" s="8">
        <f ca="1">IFERROR(__xludf.DUMMYFUNCTION("""COMPUTED_VALUE"""),5)</f>
        <v>5</v>
      </c>
      <c r="E306" s="2">
        <f ca="1">IFERROR(__xludf.DUMMYFUNCTION("""COMPUTED_VALUE"""),2)</f>
        <v>2</v>
      </c>
    </row>
    <row r="307" spans="1:5" ht="13">
      <c r="A307" s="8" t="str">
        <f ca="1">IFERROR(__xludf.DUMMYFUNCTION("""COMPUTED_VALUE"""),"Auton, John")</f>
        <v>Auton, John</v>
      </c>
      <c r="B307" s="3">
        <f ca="1">IFERROR(__xludf.DUMMYFUNCTION("""COMPUTED_VALUE"""),1)</f>
        <v>1</v>
      </c>
      <c r="C307" s="7">
        <f ca="1">IFERROR(__xludf.DUMMYFUNCTION("""COMPUTED_VALUE"""),1)</f>
        <v>1</v>
      </c>
      <c r="D307" s="8">
        <f ca="1">IFERROR(__xludf.DUMMYFUNCTION("""COMPUTED_VALUE"""),5)</f>
        <v>5</v>
      </c>
      <c r="E307" s="2">
        <f ca="1">IFERROR(__xludf.DUMMYFUNCTION("""COMPUTED_VALUE"""),2)</f>
        <v>2</v>
      </c>
    </row>
    <row r="308" spans="1:5" ht="13">
      <c r="A308" s="2" t="str">
        <f ca="1">IFERROR(__xludf.DUMMYFUNCTION("""COMPUTED_VALUE"""),"Auvraus, Georges")</f>
        <v>Auvraus, Georges</v>
      </c>
      <c r="B308" s="3">
        <f ca="1">IFERROR(__xludf.DUMMYFUNCTION("""COMPUTED_VALUE"""),1)</f>
        <v>1</v>
      </c>
      <c r="C308" s="7">
        <f ca="1">IFERROR(__xludf.DUMMYFUNCTION("""COMPUTED_VALUE"""),1)</f>
        <v>1</v>
      </c>
      <c r="D308" s="8">
        <f ca="1">IFERROR(__xludf.DUMMYFUNCTION("""COMPUTED_VALUE"""),5)</f>
        <v>5</v>
      </c>
      <c r="E308" s="2">
        <f ca="1">IFERROR(__xludf.DUMMYFUNCTION("""COMPUTED_VALUE"""),2)</f>
        <v>2</v>
      </c>
    </row>
    <row r="309" spans="1:5" ht="13">
      <c r="A309" s="8" t="str">
        <f ca="1">IFERROR(__xludf.DUMMYFUNCTION("""COMPUTED_VALUE"""),"Auznieks, Krists")</f>
        <v>Auznieks, Krists</v>
      </c>
      <c r="B309" s="3">
        <f ca="1">IFERROR(__xludf.DUMMYFUNCTION("""COMPUTED_VALUE"""),1)</f>
        <v>1</v>
      </c>
      <c r="C309" s="7">
        <f ca="1">IFERROR(__xludf.DUMMYFUNCTION("""COMPUTED_VALUE"""),1)</f>
        <v>1</v>
      </c>
      <c r="D309" s="8">
        <f ca="1">IFERROR(__xludf.DUMMYFUNCTION("""COMPUTED_VALUE"""),1)</f>
        <v>1</v>
      </c>
      <c r="E309" s="2">
        <f ca="1">IFERROR(__xludf.DUMMYFUNCTION("""COMPUTED_VALUE"""),1)</f>
        <v>1</v>
      </c>
    </row>
    <row r="310" spans="1:5" ht="13">
      <c r="A310" s="2" t="str">
        <f ca="1">IFERROR(__xludf.DUMMYFUNCTION("""COMPUTED_VALUE"""),"Averitt, Jake")</f>
        <v>Averitt, Jake</v>
      </c>
      <c r="B310" s="3">
        <f ca="1">IFERROR(__xludf.DUMMYFUNCTION("""COMPUTED_VALUE"""),1)</f>
        <v>1</v>
      </c>
      <c r="C310" s="7">
        <f ca="1">IFERROR(__xludf.DUMMYFUNCTION("""COMPUTED_VALUE"""),1)</f>
        <v>1</v>
      </c>
      <c r="D310" s="8">
        <f ca="1">IFERROR(__xludf.DUMMYFUNCTION("""COMPUTED_VALUE"""),1)</f>
        <v>1</v>
      </c>
      <c r="E310" s="2">
        <f ca="1">IFERROR(__xludf.DUMMYFUNCTION("""COMPUTED_VALUE"""),1)</f>
        <v>1</v>
      </c>
    </row>
    <row r="311" spans="1:5" ht="13">
      <c r="A311" s="2" t="str">
        <f ca="1">IFERROR(__xludf.DUMMYFUNCTION("""COMPUTED_VALUE"""),"Averitt, William")</f>
        <v>Averitt, William</v>
      </c>
      <c r="B311" s="3">
        <f ca="1">IFERROR(__xludf.DUMMYFUNCTION("""COMPUTED_VALUE"""),1)</f>
        <v>1</v>
      </c>
      <c r="C311" s="7">
        <f ca="1">IFERROR(__xludf.DUMMYFUNCTION("""COMPUTED_VALUE"""),1)</f>
        <v>1</v>
      </c>
      <c r="D311" s="8">
        <f ca="1">IFERROR(__xludf.DUMMYFUNCTION("""COMPUTED_VALUE"""),1)</f>
        <v>1</v>
      </c>
      <c r="E311" s="2">
        <f ca="1">IFERROR(__xludf.DUMMYFUNCTION("""COMPUTED_VALUE"""),1)</f>
        <v>1</v>
      </c>
    </row>
    <row r="312" spans="1:5" ht="13">
      <c r="A312" s="8" t="str">
        <f ca="1">IFERROR(__xludf.DUMMYFUNCTION("""COMPUTED_VALUE"""),"Averre, Dick")</f>
        <v>Averre, Dick</v>
      </c>
      <c r="B312" s="3">
        <f ca="1">IFERROR(__xludf.DUMMYFUNCTION("""COMPUTED_VALUE"""),1)</f>
        <v>1</v>
      </c>
      <c r="C312" s="7">
        <f ca="1">IFERROR(__xludf.DUMMYFUNCTION("""COMPUTED_VALUE"""),1)</f>
        <v>1</v>
      </c>
      <c r="D312" s="8">
        <f ca="1">IFERROR(__xludf.DUMMYFUNCTION("""COMPUTED_VALUE"""),5)</f>
        <v>5</v>
      </c>
      <c r="E312" s="2">
        <f ca="1">IFERROR(__xludf.DUMMYFUNCTION("""COMPUTED_VALUE"""),2)</f>
        <v>2</v>
      </c>
    </row>
    <row r="313" spans="1:5" ht="13">
      <c r="A313" s="8" t="str">
        <f ca="1">IFERROR(__xludf.DUMMYFUNCTION("""COMPUTED_VALUE"""),"Avison, Charles")</f>
        <v>Avison, Charles</v>
      </c>
      <c r="B313" s="3">
        <f ca="1">IFERROR(__xludf.DUMMYFUNCTION("""COMPUTED_VALUE"""),1)</f>
        <v>1</v>
      </c>
      <c r="C313" s="7">
        <f ca="1">IFERROR(__xludf.DUMMYFUNCTION("""COMPUTED_VALUE"""),1)</f>
        <v>1</v>
      </c>
      <c r="D313" s="8">
        <f ca="1">IFERROR(__xludf.DUMMYFUNCTION("""COMPUTED_VALUE"""),5)</f>
        <v>5</v>
      </c>
      <c r="E313" s="2">
        <f ca="1">IFERROR(__xludf.DUMMYFUNCTION("""COMPUTED_VALUE"""),2)</f>
        <v>2</v>
      </c>
    </row>
    <row r="314" spans="1:5" ht="13">
      <c r="A314" s="8" t="str">
        <f ca="1">IFERROR(__xludf.DUMMYFUNCTION("""COMPUTED_VALUE"""),"Avshalomov, David")</f>
        <v>Avshalomov, David</v>
      </c>
      <c r="B314" s="3">
        <f ca="1">IFERROR(__xludf.DUMMYFUNCTION("""COMPUTED_VALUE"""),1)</f>
        <v>1</v>
      </c>
      <c r="C314" s="7">
        <f ca="1">IFERROR(__xludf.DUMMYFUNCTION("""COMPUTED_VALUE"""),1)</f>
        <v>1</v>
      </c>
      <c r="D314" s="8">
        <f ca="1">IFERROR(__xludf.DUMMYFUNCTION("""COMPUTED_VALUE"""),1)</f>
        <v>1</v>
      </c>
      <c r="E314" s="2">
        <f ca="1">IFERROR(__xludf.DUMMYFUNCTION("""COMPUTED_VALUE"""),1)</f>
        <v>1</v>
      </c>
    </row>
    <row r="315" spans="1:5" ht="13">
      <c r="A315" s="2" t="str">
        <f ca="1">IFERROR(__xludf.DUMMYFUNCTION("""COMPUTED_VALUE"""),"Ayers, Braeden")</f>
        <v>Ayers, Braeden</v>
      </c>
      <c r="B315" s="3">
        <f ca="1">IFERROR(__xludf.DUMMYFUNCTION("""COMPUTED_VALUE"""),1)</f>
        <v>1</v>
      </c>
      <c r="C315" s="7">
        <f ca="1">IFERROR(__xludf.DUMMYFUNCTION("""COMPUTED_VALUE"""),1)</f>
        <v>1</v>
      </c>
      <c r="D315" s="8">
        <f ca="1">IFERROR(__xludf.DUMMYFUNCTION("""COMPUTED_VALUE"""),1)</f>
        <v>1</v>
      </c>
      <c r="E315" s="2">
        <f ca="1">IFERROR(__xludf.DUMMYFUNCTION("""COMPUTED_VALUE"""),1)</f>
        <v>1</v>
      </c>
    </row>
    <row r="316" spans="1:5" ht="13">
      <c r="A316" s="8" t="str">
        <f ca="1">IFERROR(__xludf.DUMMYFUNCTION("""COMPUTED_VALUE"""),"Ayers, Jesse")</f>
        <v>Ayers, Jesse</v>
      </c>
      <c r="B316" s="3">
        <f ca="1">IFERROR(__xludf.DUMMYFUNCTION("""COMPUTED_VALUE"""),1)</f>
        <v>1</v>
      </c>
      <c r="C316" s="7">
        <f ca="1">IFERROR(__xludf.DUMMYFUNCTION("""COMPUTED_VALUE"""),1)</f>
        <v>1</v>
      </c>
      <c r="D316" s="8">
        <f ca="1">IFERROR(__xludf.DUMMYFUNCTION("""COMPUTED_VALUE"""),1)</f>
        <v>1</v>
      </c>
      <c r="E316" s="2">
        <f ca="1">IFERROR(__xludf.DUMMYFUNCTION("""COMPUTED_VALUE"""),1)</f>
        <v>1</v>
      </c>
    </row>
    <row r="317" spans="1:5" ht="13">
      <c r="A317" s="2" t="str">
        <f ca="1">IFERROR(__xludf.DUMMYFUNCTION("""COMPUTED_VALUE"""),"Ayers, Paul")</f>
        <v>Ayers, Paul</v>
      </c>
      <c r="B317" s="3">
        <f ca="1">IFERROR(__xludf.DUMMYFUNCTION("""COMPUTED_VALUE"""),1)</f>
        <v>1</v>
      </c>
      <c r="C317" s="7">
        <f ca="1">IFERROR(__xludf.DUMMYFUNCTION("""COMPUTED_VALUE"""),1)</f>
        <v>1</v>
      </c>
      <c r="D317" s="8">
        <f ca="1">IFERROR(__xludf.DUMMYFUNCTION("""COMPUTED_VALUE"""),1)</f>
        <v>1</v>
      </c>
      <c r="E317" s="2">
        <f ca="1">IFERROR(__xludf.DUMMYFUNCTION("""COMPUTED_VALUE"""),1)</f>
        <v>1</v>
      </c>
    </row>
    <row r="318" spans="1:5" ht="13">
      <c r="A318" s="2" t="str">
        <f ca="1">IFERROR(__xludf.DUMMYFUNCTION("""COMPUTED_VALUE"""),"Ayres, Paul")</f>
        <v>Ayres, Paul</v>
      </c>
      <c r="B318" s="2">
        <f ca="1">IFERROR(__xludf.DUMMYFUNCTION("""COMPUTED_VALUE"""),1)</f>
        <v>1</v>
      </c>
      <c r="C318" s="7">
        <f ca="1">IFERROR(__xludf.DUMMYFUNCTION("""COMPUTED_VALUE"""),1)</f>
        <v>1</v>
      </c>
      <c r="D318" s="8">
        <f ca="1">IFERROR(__xludf.DUMMYFUNCTION("""COMPUTED_VALUE"""),1)</f>
        <v>1</v>
      </c>
      <c r="E318" s="2">
        <f ca="1">IFERROR(__xludf.DUMMYFUNCTION("""COMPUTED_VALUE"""),1)</f>
        <v>1</v>
      </c>
    </row>
    <row r="319" spans="1:5" ht="13">
      <c r="A319" s="2" t="str">
        <f ca="1">IFERROR(__xludf.DUMMYFUNCTION("""COMPUTED_VALUE"""),"Ayres, Richard")</f>
        <v>Ayres, Richard</v>
      </c>
      <c r="B319" s="3">
        <f ca="1">IFERROR(__xludf.DUMMYFUNCTION("""COMPUTED_VALUE"""),1)</f>
        <v>1</v>
      </c>
      <c r="C319" s="7">
        <f ca="1">IFERROR(__xludf.DUMMYFUNCTION("""COMPUTED_VALUE"""),1)</f>
        <v>1</v>
      </c>
      <c r="D319" s="8">
        <f ca="1">IFERROR(__xludf.DUMMYFUNCTION("""COMPUTED_VALUE"""),1)</f>
        <v>1</v>
      </c>
      <c r="E319" s="2">
        <f ca="1">IFERROR(__xludf.DUMMYFUNCTION("""COMPUTED_VALUE"""),1)</f>
        <v>1</v>
      </c>
    </row>
    <row r="320" spans="1:5" ht="13">
      <c r="A320" s="8" t="str">
        <f ca="1">IFERROR(__xludf.DUMMYFUNCTION("""COMPUTED_VALUE"""),"Azelton, Phil")</f>
        <v>Azelton, Phil</v>
      </c>
      <c r="B320" s="3">
        <f ca="1">IFERROR(__xludf.DUMMYFUNCTION("""COMPUTED_VALUE"""),1)</f>
        <v>1</v>
      </c>
      <c r="C320" s="7">
        <f ca="1">IFERROR(__xludf.DUMMYFUNCTION("""COMPUTED_VALUE"""),1)</f>
        <v>1</v>
      </c>
      <c r="D320" s="8">
        <f ca="1">IFERROR(__xludf.DUMMYFUNCTION("""COMPUTED_VALUE"""),1)</f>
        <v>1</v>
      </c>
      <c r="E320" s="2">
        <f ca="1">IFERROR(__xludf.DUMMYFUNCTION("""COMPUTED_VALUE"""),1)</f>
        <v>1</v>
      </c>
    </row>
    <row r="321" spans="1:5" ht="13">
      <c r="A321" s="2" t="str">
        <f ca="1">IFERROR(__xludf.DUMMYFUNCTION("""COMPUTED_VALUE"""),"Azzaiolo, Filippo")</f>
        <v>Azzaiolo, Filippo</v>
      </c>
      <c r="B321" s="3">
        <f ca="1">IFERROR(__xludf.DUMMYFUNCTION("""COMPUTED_VALUE"""),1)</f>
        <v>1</v>
      </c>
      <c r="C321" s="7">
        <f ca="1">IFERROR(__xludf.DUMMYFUNCTION("""COMPUTED_VALUE"""),1)</f>
        <v>1</v>
      </c>
      <c r="D321" s="8">
        <f ca="1">IFERROR(__xludf.DUMMYFUNCTION("""COMPUTED_VALUE"""),5)</f>
        <v>5</v>
      </c>
      <c r="E321" s="2">
        <f ca="1">IFERROR(__xludf.DUMMYFUNCTION("""COMPUTED_VALUE"""),2)</f>
        <v>2</v>
      </c>
    </row>
    <row r="322" spans="1:5" ht="13">
      <c r="A322" s="8" t="str">
        <f ca="1">IFERROR(__xludf.DUMMYFUNCTION("""COMPUTED_VALUE"""),"Baadsvik, Øystein")</f>
        <v>Baadsvik, Øystein</v>
      </c>
      <c r="B322" s="3">
        <f ca="1">IFERROR(__xludf.DUMMYFUNCTION("""COMPUTED_VALUE"""),1)</f>
        <v>1</v>
      </c>
      <c r="C322" s="7">
        <f ca="1">IFERROR(__xludf.DUMMYFUNCTION("""COMPUTED_VALUE"""),1)</f>
        <v>1</v>
      </c>
      <c r="D322" s="8">
        <f ca="1">IFERROR(__xludf.DUMMYFUNCTION("""COMPUTED_VALUE"""),1)</f>
        <v>1</v>
      </c>
      <c r="E322" s="2">
        <f ca="1">IFERROR(__xludf.DUMMYFUNCTION("""COMPUTED_VALUE"""),1)</f>
        <v>1</v>
      </c>
    </row>
    <row r="323" spans="1:5" ht="13">
      <c r="A323" s="2" t="str">
        <f ca="1">IFERROR(__xludf.DUMMYFUNCTION("""COMPUTED_VALUE"""),"Baarsvik, Kristian")</f>
        <v>Baarsvik, Kristian</v>
      </c>
      <c r="B323" s="3">
        <f ca="1">IFERROR(__xludf.DUMMYFUNCTION("""COMPUTED_VALUE"""),1)</f>
        <v>1</v>
      </c>
      <c r="C323" s="7">
        <f ca="1">IFERROR(__xludf.DUMMYFUNCTION("""COMPUTED_VALUE"""),1)</f>
        <v>1</v>
      </c>
      <c r="D323" s="8">
        <f ca="1">IFERROR(__xludf.DUMMYFUNCTION("""COMPUTED_VALUE"""),1)</f>
        <v>1</v>
      </c>
      <c r="E323" s="2">
        <f ca="1">IFERROR(__xludf.DUMMYFUNCTION("""COMPUTED_VALUE"""),1)</f>
        <v>1</v>
      </c>
    </row>
    <row r="324" spans="1:5" ht="13">
      <c r="A324" s="8" t="str">
        <f ca="1">IFERROR(__xludf.DUMMYFUNCTION("""COMPUTED_VALUE"""),"Baas, Jimmy")</f>
        <v>Baas, Jimmy</v>
      </c>
      <c r="B324" s="3">
        <f ca="1">IFERROR(__xludf.DUMMYFUNCTION("""COMPUTED_VALUE"""),1)</f>
        <v>1</v>
      </c>
      <c r="C324" s="7">
        <f ca="1">IFERROR(__xludf.DUMMYFUNCTION("""COMPUTED_VALUE"""),1)</f>
        <v>1</v>
      </c>
      <c r="D324" s="8">
        <f ca="1">IFERROR(__xludf.DUMMYFUNCTION("""COMPUTED_VALUE"""),1)</f>
        <v>1</v>
      </c>
      <c r="E324" s="2">
        <f ca="1">IFERROR(__xludf.DUMMYFUNCTION("""COMPUTED_VALUE"""),1)</f>
        <v>1</v>
      </c>
    </row>
    <row r="325" spans="1:5" ht="13">
      <c r="A325" s="8" t="str">
        <f ca="1">IFERROR(__xludf.DUMMYFUNCTION("""COMPUTED_VALUE"""),"Baas, Jimmy / James, Randy")</f>
        <v>Baas, Jimmy / James, Randy</v>
      </c>
      <c r="B325" s="3">
        <f ca="1">IFERROR(__xludf.DUMMYFUNCTION("""COMPUTED_VALUE"""),1)</f>
        <v>1</v>
      </c>
      <c r="C325" s="7">
        <f ca="1">IFERROR(__xludf.DUMMYFUNCTION("""COMPUTED_VALUE"""),1)</f>
        <v>1</v>
      </c>
      <c r="D325" s="8">
        <f ca="1">IFERROR(__xludf.DUMMYFUNCTION("""COMPUTED_VALUE"""),1)</f>
        <v>1</v>
      </c>
      <c r="E325" s="2">
        <f ca="1">IFERROR(__xludf.DUMMYFUNCTION("""COMPUTED_VALUE"""),1)</f>
        <v>1</v>
      </c>
    </row>
    <row r="326" spans="1:5" ht="13">
      <c r="A326" s="8" t="str">
        <f ca="1">IFERROR(__xludf.DUMMYFUNCTION("""COMPUTED_VALUE"""),"Babbitt, Milton")</f>
        <v>Babbitt, Milton</v>
      </c>
      <c r="B326" s="3">
        <f ca="1">IFERROR(__xludf.DUMMYFUNCTION("""COMPUTED_VALUE"""),1)</f>
        <v>1</v>
      </c>
      <c r="C326" s="7">
        <f ca="1">IFERROR(__xludf.DUMMYFUNCTION("""COMPUTED_VALUE"""),1)</f>
        <v>1</v>
      </c>
      <c r="D326" s="8">
        <f ca="1">IFERROR(__xludf.DUMMYFUNCTION("""COMPUTED_VALUE"""),5)</f>
        <v>5</v>
      </c>
      <c r="E326" s="2">
        <f ca="1">IFERROR(__xludf.DUMMYFUNCTION("""COMPUTED_VALUE"""),2)</f>
        <v>2</v>
      </c>
    </row>
    <row r="327" spans="1:5" ht="13">
      <c r="A327" s="2" t="str">
        <f ca="1">IFERROR(__xludf.DUMMYFUNCTION("""COMPUTED_VALUE"""),"Baber, Joseph")</f>
        <v>Baber, Joseph</v>
      </c>
      <c r="B327" s="3">
        <f ca="1">IFERROR(__xludf.DUMMYFUNCTION("""COMPUTED_VALUE"""),1)</f>
        <v>1</v>
      </c>
      <c r="C327" s="7">
        <f ca="1">IFERROR(__xludf.DUMMYFUNCTION("""COMPUTED_VALUE"""),1)</f>
        <v>1</v>
      </c>
      <c r="D327" s="8">
        <f ca="1">IFERROR(__xludf.DUMMYFUNCTION("""COMPUTED_VALUE"""),1)</f>
        <v>1</v>
      </c>
      <c r="E327" s="2">
        <f ca="1">IFERROR(__xludf.DUMMYFUNCTION("""COMPUTED_VALUE"""),1)</f>
        <v>1</v>
      </c>
    </row>
    <row r="328" spans="1:5" ht="13">
      <c r="A328" s="8" t="str">
        <f ca="1">IFERROR(__xludf.DUMMYFUNCTION("""COMPUTED_VALUE"""),"Babin, Victor")</f>
        <v>Babin, Victor</v>
      </c>
      <c r="B328" s="3">
        <f ca="1">IFERROR(__xludf.DUMMYFUNCTION("""COMPUTED_VALUE"""),1)</f>
        <v>1</v>
      </c>
      <c r="C328" s="7">
        <f ca="1">IFERROR(__xludf.DUMMYFUNCTION("""COMPUTED_VALUE"""),1)</f>
        <v>1</v>
      </c>
      <c r="D328" s="8">
        <f ca="1">IFERROR(__xludf.DUMMYFUNCTION("""COMPUTED_VALUE"""),5)</f>
        <v>5</v>
      </c>
      <c r="E328" s="2">
        <f ca="1">IFERROR(__xludf.DUMMYFUNCTION("""COMPUTED_VALUE"""),2)</f>
        <v>2</v>
      </c>
    </row>
    <row r="329" spans="1:5" ht="13">
      <c r="A329" s="2" t="str">
        <f ca="1">IFERROR(__xludf.DUMMYFUNCTION("""COMPUTED_VALUE"""),"Baccusi, Ippolito")</f>
        <v>Baccusi, Ippolito</v>
      </c>
      <c r="B329" s="3">
        <f ca="1">IFERROR(__xludf.DUMMYFUNCTION("""COMPUTED_VALUE"""),1)</f>
        <v>1</v>
      </c>
      <c r="C329" s="7">
        <f ca="1">IFERROR(__xludf.DUMMYFUNCTION("""COMPUTED_VALUE"""),1)</f>
        <v>1</v>
      </c>
      <c r="D329" s="8">
        <f ca="1">IFERROR(__xludf.DUMMYFUNCTION("""COMPUTED_VALUE"""),5)</f>
        <v>5</v>
      </c>
      <c r="E329" s="2">
        <f ca="1">IFERROR(__xludf.DUMMYFUNCTION("""COMPUTED_VALUE"""),2)</f>
        <v>2</v>
      </c>
    </row>
    <row r="330" spans="1:5" ht="13">
      <c r="A330" s="8" t="str">
        <f ca="1">IFERROR(__xludf.DUMMYFUNCTION("""COMPUTED_VALUE"""),"Bach / Schoenberg")</f>
        <v>Bach / Schoenberg</v>
      </c>
      <c r="B330" s="3">
        <f ca="1">IFERROR(__xludf.DUMMYFUNCTION("""COMPUTED_VALUE"""),1)</f>
        <v>1</v>
      </c>
      <c r="C330" s="7">
        <f ca="1">IFERROR(__xludf.DUMMYFUNCTION("""COMPUTED_VALUE"""),1)</f>
        <v>1</v>
      </c>
      <c r="D330" s="8">
        <f ca="1">IFERROR(__xludf.DUMMYFUNCTION("""COMPUTED_VALUE"""),5)</f>
        <v>5</v>
      </c>
      <c r="E330" s="2">
        <f ca="1">IFERROR(__xludf.DUMMYFUNCTION("""COMPUTED_VALUE"""),2)</f>
        <v>2</v>
      </c>
    </row>
    <row r="331" spans="1:5" ht="13">
      <c r="A331" s="2" t="str">
        <f ca="1">IFERROR(__xludf.DUMMYFUNCTION("""COMPUTED_VALUE"""),"Bach, C.P.E.")</f>
        <v>Bach, C.P.E.</v>
      </c>
      <c r="B331" s="3">
        <f ca="1">IFERROR(__xludf.DUMMYFUNCTION("""COMPUTED_VALUE"""),1)</f>
        <v>1</v>
      </c>
      <c r="C331" s="7">
        <f ca="1">IFERROR(__xludf.DUMMYFUNCTION("""COMPUTED_VALUE"""),1)</f>
        <v>1</v>
      </c>
      <c r="D331" s="8">
        <f ca="1">IFERROR(__xludf.DUMMYFUNCTION("""COMPUTED_VALUE"""),5)</f>
        <v>5</v>
      </c>
      <c r="E331" s="2">
        <f ca="1">IFERROR(__xludf.DUMMYFUNCTION("""COMPUTED_VALUE"""),2)</f>
        <v>2</v>
      </c>
    </row>
    <row r="332" spans="1:5" ht="13">
      <c r="A332" s="8" t="str">
        <f ca="1">IFERROR(__xludf.DUMMYFUNCTION("""COMPUTED_VALUE"""),"Bach, Carl Philipp Emanuel")</f>
        <v>Bach, Carl Philipp Emanuel</v>
      </c>
      <c r="B332" s="3">
        <f ca="1">IFERROR(__xludf.DUMMYFUNCTION("""COMPUTED_VALUE"""),1)</f>
        <v>1</v>
      </c>
      <c r="C332" s="7">
        <f ca="1">IFERROR(__xludf.DUMMYFUNCTION("""COMPUTED_VALUE"""),1)</f>
        <v>1</v>
      </c>
      <c r="D332" s="8">
        <f ca="1">IFERROR(__xludf.DUMMYFUNCTION("""COMPUTED_VALUE"""),5)</f>
        <v>5</v>
      </c>
      <c r="E332" s="2">
        <f ca="1">IFERROR(__xludf.DUMMYFUNCTION("""COMPUTED_VALUE"""),2)</f>
        <v>2</v>
      </c>
    </row>
    <row r="333" spans="1:5" ht="13">
      <c r="A333" s="2" t="str">
        <f ca="1">IFERROR(__xludf.DUMMYFUNCTION("""COMPUTED_VALUE"""),"Bach, Christoph")</f>
        <v>Bach, Christoph</v>
      </c>
      <c r="B333" s="2">
        <f ca="1">IFERROR(__xludf.DUMMYFUNCTION("""COMPUTED_VALUE"""),1)</f>
        <v>1</v>
      </c>
      <c r="C333" s="7">
        <f ca="1">IFERROR(__xludf.DUMMYFUNCTION("""COMPUTED_VALUE"""),1)</f>
        <v>1</v>
      </c>
      <c r="D333" s="8">
        <f ca="1">IFERROR(__xludf.DUMMYFUNCTION("""COMPUTED_VALUE"""),5)</f>
        <v>5</v>
      </c>
      <c r="E333" s="2">
        <f ca="1">IFERROR(__xludf.DUMMYFUNCTION("""COMPUTED_VALUE"""),2)</f>
        <v>2</v>
      </c>
    </row>
    <row r="334" spans="1:5" ht="13">
      <c r="A334" s="2" t="str">
        <f ca="1">IFERROR(__xludf.DUMMYFUNCTION("""COMPUTED_VALUE"""),"Bach, J.S.")</f>
        <v>Bach, J.S.</v>
      </c>
      <c r="B334" s="3">
        <f ca="1">IFERROR(__xludf.DUMMYFUNCTION("""COMPUTED_VALUE"""),1)</f>
        <v>1</v>
      </c>
      <c r="C334" s="7">
        <f ca="1">IFERROR(__xludf.DUMMYFUNCTION("""COMPUTED_VALUE"""),1)</f>
        <v>1</v>
      </c>
      <c r="D334" s="8">
        <f ca="1">IFERROR(__xludf.DUMMYFUNCTION("""COMPUTED_VALUE"""),5)</f>
        <v>5</v>
      </c>
      <c r="E334" s="2">
        <f ca="1">IFERROR(__xludf.DUMMYFUNCTION("""COMPUTED_VALUE"""),2)</f>
        <v>2</v>
      </c>
    </row>
    <row r="335" spans="1:5" ht="13">
      <c r="A335" s="8" t="str">
        <f ca="1">IFERROR(__xludf.DUMMYFUNCTION("""COMPUTED_VALUE"""),"Bach, J.S. / Berio")</f>
        <v>Bach, J.S. / Berio</v>
      </c>
      <c r="B335" s="3">
        <f ca="1">IFERROR(__xludf.DUMMYFUNCTION("""COMPUTED_VALUE"""),1)</f>
        <v>1</v>
      </c>
      <c r="C335" s="7">
        <f ca="1">IFERROR(__xludf.DUMMYFUNCTION("""COMPUTED_VALUE"""),1)</f>
        <v>1</v>
      </c>
      <c r="D335" s="8">
        <f ca="1">IFERROR(__xludf.DUMMYFUNCTION("""COMPUTED_VALUE"""),5)</f>
        <v>5</v>
      </c>
      <c r="E335" s="2">
        <f ca="1">IFERROR(__xludf.DUMMYFUNCTION("""COMPUTED_VALUE"""),2)</f>
        <v>2</v>
      </c>
    </row>
    <row r="336" spans="1:5" ht="13">
      <c r="A336" s="8" t="str">
        <f ca="1">IFERROR(__xludf.DUMMYFUNCTION("""COMPUTED_VALUE"""),"Bach, J.S. / Damrosch")</f>
        <v>Bach, J.S. / Damrosch</v>
      </c>
      <c r="B336" s="3">
        <f ca="1">IFERROR(__xludf.DUMMYFUNCTION("""COMPUTED_VALUE"""),1)</f>
        <v>1</v>
      </c>
      <c r="C336" s="7">
        <f ca="1">IFERROR(__xludf.DUMMYFUNCTION("""COMPUTED_VALUE"""),1)</f>
        <v>1</v>
      </c>
      <c r="D336" s="8">
        <f ca="1">IFERROR(__xludf.DUMMYFUNCTION("""COMPUTED_VALUE"""),5)</f>
        <v>5</v>
      </c>
      <c r="E336" s="2">
        <f ca="1">IFERROR(__xludf.DUMMYFUNCTION("""COMPUTED_VALUE"""),2)</f>
        <v>2</v>
      </c>
    </row>
    <row r="337" spans="1:5" ht="13">
      <c r="A337" s="8" t="str">
        <f ca="1">IFERROR(__xludf.DUMMYFUNCTION("""COMPUTED_VALUE"""),"Bach, J.S. / Elgar")</f>
        <v>Bach, J.S. / Elgar</v>
      </c>
      <c r="B337" s="3">
        <f ca="1">IFERROR(__xludf.DUMMYFUNCTION("""COMPUTED_VALUE"""),1)</f>
        <v>1</v>
      </c>
      <c r="C337" s="7">
        <f ca="1">IFERROR(__xludf.DUMMYFUNCTION("""COMPUTED_VALUE"""),1)</f>
        <v>1</v>
      </c>
      <c r="D337" s="8">
        <f ca="1">IFERROR(__xludf.DUMMYFUNCTION("""COMPUTED_VALUE"""),5)</f>
        <v>5</v>
      </c>
      <c r="E337" s="2">
        <f ca="1">IFERROR(__xludf.DUMMYFUNCTION("""COMPUTED_VALUE"""),2)</f>
        <v>2</v>
      </c>
    </row>
    <row r="338" spans="1:5" ht="13">
      <c r="A338" s="8" t="str">
        <f ca="1">IFERROR(__xludf.DUMMYFUNCTION("""COMPUTED_VALUE"""),"Bach, J.S. / Ferree")</f>
        <v>Bach, J.S. / Ferree</v>
      </c>
      <c r="B338" s="3">
        <f ca="1">IFERROR(__xludf.DUMMYFUNCTION("""COMPUTED_VALUE"""),1)</f>
        <v>1</v>
      </c>
      <c r="C338" s="7">
        <f ca="1">IFERROR(__xludf.DUMMYFUNCTION("""COMPUTED_VALUE"""),1)</f>
        <v>1</v>
      </c>
      <c r="D338" s="8">
        <f ca="1">IFERROR(__xludf.DUMMYFUNCTION("""COMPUTED_VALUE"""),5)</f>
        <v>5</v>
      </c>
      <c r="E338" s="2">
        <f ca="1">IFERROR(__xludf.DUMMYFUNCTION("""COMPUTED_VALUE"""),2)</f>
        <v>2</v>
      </c>
    </row>
    <row r="339" spans="1:5" ht="13">
      <c r="A339" s="8" t="str">
        <f ca="1">IFERROR(__xludf.DUMMYFUNCTION("""COMPUTED_VALUE"""),"Bach, J.S. / Lasser")</f>
        <v>Bach, J.S. / Lasser</v>
      </c>
      <c r="B339" s="3">
        <f ca="1">IFERROR(__xludf.DUMMYFUNCTION("""COMPUTED_VALUE"""),1)</f>
        <v>1</v>
      </c>
      <c r="C339" s="7">
        <f ca="1">IFERROR(__xludf.DUMMYFUNCTION("""COMPUTED_VALUE"""),1)</f>
        <v>1</v>
      </c>
      <c r="D339" s="8">
        <f ca="1">IFERROR(__xludf.DUMMYFUNCTION("""COMPUTED_VALUE"""),5)</f>
        <v>5</v>
      </c>
      <c r="E339" s="2">
        <f ca="1">IFERROR(__xludf.DUMMYFUNCTION("""COMPUTED_VALUE"""),2)</f>
        <v>2</v>
      </c>
    </row>
    <row r="340" spans="1:5" ht="13">
      <c r="A340" s="8" t="str">
        <f ca="1">IFERROR(__xludf.DUMMYFUNCTION("""COMPUTED_VALUE"""),"Bach, J.S. / Mozart")</f>
        <v>Bach, J.S. / Mozart</v>
      </c>
      <c r="B340" s="3">
        <f ca="1">IFERROR(__xludf.DUMMYFUNCTION("""COMPUTED_VALUE"""),1)</f>
        <v>1</v>
      </c>
      <c r="C340" s="7">
        <f ca="1">IFERROR(__xludf.DUMMYFUNCTION("""COMPUTED_VALUE"""),1)</f>
        <v>1</v>
      </c>
      <c r="D340" s="8">
        <f ca="1">IFERROR(__xludf.DUMMYFUNCTION("""COMPUTED_VALUE"""),5)</f>
        <v>5</v>
      </c>
      <c r="E340" s="2">
        <f ca="1">IFERROR(__xludf.DUMMYFUNCTION("""COMPUTED_VALUE"""),2)</f>
        <v>2</v>
      </c>
    </row>
    <row r="341" spans="1:5" ht="13">
      <c r="A341" s="8" t="str">
        <f ca="1">IFERROR(__xludf.DUMMYFUNCTION("""COMPUTED_VALUE"""),"Bach, J.S. / Respighi")</f>
        <v>Bach, J.S. / Respighi</v>
      </c>
      <c r="B341" s="3">
        <f ca="1">IFERROR(__xludf.DUMMYFUNCTION("""COMPUTED_VALUE"""),1)</f>
        <v>1</v>
      </c>
      <c r="C341" s="7">
        <f ca="1">IFERROR(__xludf.DUMMYFUNCTION("""COMPUTED_VALUE"""),1)</f>
        <v>1</v>
      </c>
      <c r="D341" s="8">
        <f ca="1">IFERROR(__xludf.DUMMYFUNCTION("""COMPUTED_VALUE"""),5)</f>
        <v>5</v>
      </c>
      <c r="E341" s="2">
        <f ca="1">IFERROR(__xludf.DUMMYFUNCTION("""COMPUTED_VALUE"""),2)</f>
        <v>2</v>
      </c>
    </row>
    <row r="342" spans="1:5" ht="13">
      <c r="A342" s="8" t="str">
        <f ca="1">IFERROR(__xludf.DUMMYFUNCTION("""COMPUTED_VALUE"""),"Bach, J.S. / Sauer")</f>
        <v>Bach, J.S. / Sauer</v>
      </c>
      <c r="B342" s="3">
        <f ca="1">IFERROR(__xludf.DUMMYFUNCTION("""COMPUTED_VALUE"""),1)</f>
        <v>1</v>
      </c>
      <c r="C342" s="7">
        <f ca="1">IFERROR(__xludf.DUMMYFUNCTION("""COMPUTED_VALUE"""),1)</f>
        <v>1</v>
      </c>
      <c r="D342" s="8">
        <f ca="1">IFERROR(__xludf.DUMMYFUNCTION("""COMPUTED_VALUE"""),5)</f>
        <v>5</v>
      </c>
      <c r="E342" s="2">
        <f ca="1">IFERROR(__xludf.DUMMYFUNCTION("""COMPUTED_VALUE"""),2)</f>
        <v>2</v>
      </c>
    </row>
    <row r="343" spans="1:5" ht="13">
      <c r="A343" s="8" t="str">
        <f ca="1">IFERROR(__xludf.DUMMYFUNCTION("""COMPUTED_VALUE"""),"Bach, J.S. / Schoenberg")</f>
        <v>Bach, J.S. / Schoenberg</v>
      </c>
      <c r="B343" s="3">
        <f ca="1">IFERROR(__xludf.DUMMYFUNCTION("""COMPUTED_VALUE"""),1)</f>
        <v>1</v>
      </c>
      <c r="C343" s="7">
        <f ca="1">IFERROR(__xludf.DUMMYFUNCTION("""COMPUTED_VALUE"""),1)</f>
        <v>1</v>
      </c>
      <c r="D343" s="8">
        <f ca="1">IFERROR(__xludf.DUMMYFUNCTION("""COMPUTED_VALUE"""),5)</f>
        <v>5</v>
      </c>
      <c r="E343" s="2">
        <f ca="1">IFERROR(__xludf.DUMMYFUNCTION("""COMPUTED_VALUE"""),2)</f>
        <v>2</v>
      </c>
    </row>
    <row r="344" spans="1:5" ht="13">
      <c r="A344" s="8" t="str">
        <f ca="1">IFERROR(__xludf.DUMMYFUNCTION("""COMPUTED_VALUE"""),"Bach, J.S. / Stokowski")</f>
        <v>Bach, J.S. / Stokowski</v>
      </c>
      <c r="B344" s="3">
        <f ca="1">IFERROR(__xludf.DUMMYFUNCTION("""COMPUTED_VALUE"""),1)</f>
        <v>1</v>
      </c>
      <c r="C344" s="7">
        <f ca="1">IFERROR(__xludf.DUMMYFUNCTION("""COMPUTED_VALUE"""),1)</f>
        <v>1</v>
      </c>
      <c r="D344" s="8">
        <f ca="1">IFERROR(__xludf.DUMMYFUNCTION("""COMPUTED_VALUE"""),5)</f>
        <v>5</v>
      </c>
      <c r="E344" s="2">
        <f ca="1">IFERROR(__xludf.DUMMYFUNCTION("""COMPUTED_VALUE"""),2)</f>
        <v>2</v>
      </c>
    </row>
    <row r="345" spans="1:5" ht="13">
      <c r="A345" s="8" t="str">
        <f ca="1">IFERROR(__xludf.DUMMYFUNCTION("""COMPUTED_VALUE"""),"Bach, J.S. / Webern")</f>
        <v>Bach, J.S. / Webern</v>
      </c>
      <c r="B345" s="3">
        <f ca="1">IFERROR(__xludf.DUMMYFUNCTION("""COMPUTED_VALUE"""),1)</f>
        <v>1</v>
      </c>
      <c r="C345" s="7">
        <f ca="1">IFERROR(__xludf.DUMMYFUNCTION("""COMPUTED_VALUE"""),1)</f>
        <v>1</v>
      </c>
      <c r="D345" s="8">
        <f ca="1">IFERROR(__xludf.DUMMYFUNCTION("""COMPUTED_VALUE"""),5)</f>
        <v>5</v>
      </c>
      <c r="E345" s="2">
        <f ca="1">IFERROR(__xludf.DUMMYFUNCTION("""COMPUTED_VALUE"""),2)</f>
        <v>2</v>
      </c>
    </row>
    <row r="346" spans="1:5" ht="13">
      <c r="A346" s="8" t="str">
        <f ca="1">IFERROR(__xludf.DUMMYFUNCTION("""COMPUTED_VALUE"""),"Bach, J.S. / Zilberquit")</f>
        <v>Bach, J.S. / Zilberquit</v>
      </c>
      <c r="B346" s="3">
        <f ca="1">IFERROR(__xludf.DUMMYFUNCTION("""COMPUTED_VALUE"""),1)</f>
        <v>1</v>
      </c>
      <c r="C346" s="7">
        <f ca="1">IFERROR(__xludf.DUMMYFUNCTION("""COMPUTED_VALUE"""),1)</f>
        <v>1</v>
      </c>
      <c r="D346" s="8">
        <f ca="1">IFERROR(__xludf.DUMMYFUNCTION("""COMPUTED_VALUE"""),5)</f>
        <v>5</v>
      </c>
      <c r="E346" s="2">
        <f ca="1">IFERROR(__xludf.DUMMYFUNCTION("""COMPUTED_VALUE"""),2)</f>
        <v>2</v>
      </c>
    </row>
    <row r="347" spans="1:5" ht="13">
      <c r="A347" s="8" t="str">
        <f ca="1">IFERROR(__xludf.DUMMYFUNCTION("""COMPUTED_VALUE"""),"Bach, Jan")</f>
        <v>Bach, Jan</v>
      </c>
      <c r="B347" s="3">
        <f ca="1">IFERROR(__xludf.DUMMYFUNCTION("""COMPUTED_VALUE"""),1)</f>
        <v>1</v>
      </c>
      <c r="C347" s="7">
        <f ca="1">IFERROR(__xludf.DUMMYFUNCTION("""COMPUTED_VALUE"""),1)</f>
        <v>1</v>
      </c>
      <c r="D347" s="8">
        <f ca="1">IFERROR(__xludf.DUMMYFUNCTION("""COMPUTED_VALUE"""),5)</f>
        <v>5</v>
      </c>
      <c r="E347" s="2">
        <f ca="1">IFERROR(__xludf.DUMMYFUNCTION("""COMPUTED_VALUE"""),2)</f>
        <v>2</v>
      </c>
    </row>
    <row r="348" spans="1:5" ht="13">
      <c r="A348" s="2" t="str">
        <f ca="1">IFERROR(__xludf.DUMMYFUNCTION("""COMPUTED_VALUE"""),"Bach, Johann Bernhard")</f>
        <v>Bach, Johann Bernhard</v>
      </c>
      <c r="B348" s="2">
        <f ca="1">IFERROR(__xludf.DUMMYFUNCTION("""COMPUTED_VALUE"""),1)</f>
        <v>1</v>
      </c>
      <c r="C348" s="7">
        <f ca="1">IFERROR(__xludf.DUMMYFUNCTION("""COMPUTED_VALUE"""),1)</f>
        <v>1</v>
      </c>
      <c r="D348" s="8">
        <f ca="1">IFERROR(__xludf.DUMMYFUNCTION("""COMPUTED_VALUE"""),5)</f>
        <v>5</v>
      </c>
      <c r="E348" s="2">
        <f ca="1">IFERROR(__xludf.DUMMYFUNCTION("""COMPUTED_VALUE"""),2)</f>
        <v>2</v>
      </c>
    </row>
    <row r="349" spans="1:5" ht="13">
      <c r="A349" s="2" t="str">
        <f ca="1">IFERROR(__xludf.DUMMYFUNCTION("""COMPUTED_VALUE"""),"Bach, Johann Christian")</f>
        <v>Bach, Johann Christian</v>
      </c>
      <c r="B349" s="3">
        <f ca="1">IFERROR(__xludf.DUMMYFUNCTION("""COMPUTED_VALUE"""),1)</f>
        <v>1</v>
      </c>
      <c r="C349" s="7">
        <f ca="1">IFERROR(__xludf.DUMMYFUNCTION("""COMPUTED_VALUE"""),1)</f>
        <v>1</v>
      </c>
      <c r="D349" s="8">
        <f ca="1">IFERROR(__xludf.DUMMYFUNCTION("""COMPUTED_VALUE"""),5)</f>
        <v>5</v>
      </c>
      <c r="E349" s="2">
        <f ca="1">IFERROR(__xludf.DUMMYFUNCTION("""COMPUTED_VALUE"""),2)</f>
        <v>2</v>
      </c>
    </row>
    <row r="350" spans="1:5" ht="13">
      <c r="A350" s="2" t="str">
        <f ca="1">IFERROR(__xludf.DUMMYFUNCTION("""COMPUTED_VALUE"""),"Bach, Johann Ernst")</f>
        <v>Bach, Johann Ernst</v>
      </c>
      <c r="B350" s="3">
        <f ca="1">IFERROR(__xludf.DUMMYFUNCTION("""COMPUTED_VALUE"""),1)</f>
        <v>1</v>
      </c>
      <c r="C350" s="7">
        <f ca="1">IFERROR(__xludf.DUMMYFUNCTION("""COMPUTED_VALUE"""),1)</f>
        <v>1</v>
      </c>
      <c r="D350" s="8">
        <f ca="1">IFERROR(__xludf.DUMMYFUNCTION("""COMPUTED_VALUE"""),5)</f>
        <v>5</v>
      </c>
      <c r="E350" s="2">
        <f ca="1">IFERROR(__xludf.DUMMYFUNCTION("""COMPUTED_VALUE"""),2)</f>
        <v>2</v>
      </c>
    </row>
    <row r="351" spans="1:5" ht="13">
      <c r="A351" s="8" t="str">
        <f ca="1">IFERROR(__xludf.DUMMYFUNCTION("""COMPUTED_VALUE"""),"Bach, Johann Sebastian")</f>
        <v>Bach, Johann Sebastian</v>
      </c>
      <c r="B351" s="3">
        <f ca="1">IFERROR(__xludf.DUMMYFUNCTION("""COMPUTED_VALUE"""),1)</f>
        <v>1</v>
      </c>
      <c r="C351" s="7">
        <f ca="1">IFERROR(__xludf.DUMMYFUNCTION("""COMPUTED_VALUE"""),1)</f>
        <v>1</v>
      </c>
      <c r="D351" s="8">
        <f ca="1">IFERROR(__xludf.DUMMYFUNCTION("""COMPUTED_VALUE"""),5)</f>
        <v>5</v>
      </c>
      <c r="E351" s="2">
        <f ca="1">IFERROR(__xludf.DUMMYFUNCTION("""COMPUTED_VALUE"""),2)</f>
        <v>2</v>
      </c>
    </row>
    <row r="352" spans="1:5" ht="13">
      <c r="A352" s="8" t="str">
        <f ca="1">IFERROR(__xludf.DUMMYFUNCTION("""COMPUTED_VALUE"""),"Bach, P.D.Q.")</f>
        <v>Bach, P.D.Q.</v>
      </c>
      <c r="B352" s="3">
        <f ca="1">IFERROR(__xludf.DUMMYFUNCTION("""COMPUTED_VALUE"""),1)</f>
        <v>1</v>
      </c>
      <c r="C352" s="7">
        <f ca="1">IFERROR(__xludf.DUMMYFUNCTION("""COMPUTED_VALUE"""),1)</f>
        <v>1</v>
      </c>
      <c r="D352" s="8">
        <f ca="1">IFERROR(__xludf.DUMMYFUNCTION("""COMPUTED_VALUE"""),5)</f>
        <v>5</v>
      </c>
      <c r="E352" s="2">
        <f ca="1">IFERROR(__xludf.DUMMYFUNCTION("""COMPUTED_VALUE"""),2)</f>
        <v>2</v>
      </c>
    </row>
    <row r="353" spans="1:5" ht="13">
      <c r="A353" s="2" t="str">
        <f ca="1">IFERROR(__xludf.DUMMYFUNCTION("""COMPUTED_VALUE"""),"Bach, PDQ")</f>
        <v>Bach, PDQ</v>
      </c>
      <c r="B353" s="3">
        <f ca="1">IFERROR(__xludf.DUMMYFUNCTION("""COMPUTED_VALUE"""),1)</f>
        <v>1</v>
      </c>
      <c r="C353" s="7">
        <f ca="1">IFERROR(__xludf.DUMMYFUNCTION("""COMPUTED_VALUE"""),1)</f>
        <v>1</v>
      </c>
      <c r="D353" s="8">
        <f ca="1">IFERROR(__xludf.DUMMYFUNCTION("""COMPUTED_VALUE"""),5)</f>
        <v>5</v>
      </c>
      <c r="E353" s="2">
        <f ca="1">IFERROR(__xludf.DUMMYFUNCTION("""COMPUTED_VALUE"""),2)</f>
        <v>2</v>
      </c>
    </row>
    <row r="354" spans="1:5" ht="13">
      <c r="A354" s="8" t="str">
        <f ca="1">IFERROR(__xludf.DUMMYFUNCTION("""COMPUTED_VALUE"""),"Bach, Vincent")</f>
        <v>Bach, Vincent</v>
      </c>
      <c r="B354" s="3">
        <f ca="1">IFERROR(__xludf.DUMMYFUNCTION("""COMPUTED_VALUE"""),1)</f>
        <v>1</v>
      </c>
      <c r="C354" s="7">
        <f ca="1">IFERROR(__xludf.DUMMYFUNCTION("""COMPUTED_VALUE"""),1)</f>
        <v>1</v>
      </c>
      <c r="D354" s="8">
        <f ca="1">IFERROR(__xludf.DUMMYFUNCTION("""COMPUTED_VALUE"""),5)</f>
        <v>5</v>
      </c>
      <c r="E354" s="2">
        <f ca="1">IFERROR(__xludf.DUMMYFUNCTION("""COMPUTED_VALUE"""),2)</f>
        <v>2</v>
      </c>
    </row>
    <row r="355" spans="1:5" ht="13">
      <c r="A355" s="2" t="str">
        <f ca="1">IFERROR(__xludf.DUMMYFUNCTION("""COMPUTED_VALUE"""),"Bach, Wilhelm F.")</f>
        <v>Bach, Wilhelm F.</v>
      </c>
      <c r="B355" s="2">
        <f ca="1">IFERROR(__xludf.DUMMYFUNCTION("""COMPUTED_VALUE"""),1)</f>
        <v>1</v>
      </c>
      <c r="C355" s="7">
        <f ca="1">IFERROR(__xludf.DUMMYFUNCTION("""COMPUTED_VALUE"""),1)</f>
        <v>1</v>
      </c>
      <c r="D355" s="8">
        <f ca="1">IFERROR(__xludf.DUMMYFUNCTION("""COMPUTED_VALUE"""),5)</f>
        <v>5</v>
      </c>
      <c r="E355" s="2">
        <f ca="1">IFERROR(__xludf.DUMMYFUNCTION("""COMPUTED_VALUE"""),2)</f>
        <v>2</v>
      </c>
    </row>
    <row r="356" spans="1:5" ht="13">
      <c r="A356" s="8" t="str">
        <f ca="1">IFERROR(__xludf.DUMMYFUNCTION("""COMPUTED_VALUE"""),"Bach. J. S / Zuskin")</f>
        <v>Bach. J. S / Zuskin</v>
      </c>
      <c r="B356" s="3">
        <f ca="1">IFERROR(__xludf.DUMMYFUNCTION("""COMPUTED_VALUE"""),1)</f>
        <v>1</v>
      </c>
      <c r="C356" s="7">
        <f ca="1">IFERROR(__xludf.DUMMYFUNCTION("""COMPUTED_VALUE"""),1)</f>
        <v>1</v>
      </c>
      <c r="D356" s="8">
        <f ca="1">IFERROR(__xludf.DUMMYFUNCTION("""COMPUTED_VALUE"""),5)</f>
        <v>5</v>
      </c>
      <c r="E356" s="2">
        <f ca="1">IFERROR(__xludf.DUMMYFUNCTION("""COMPUTED_VALUE"""),2)</f>
        <v>2</v>
      </c>
    </row>
    <row r="357" spans="1:5" ht="13">
      <c r="A357" s="2" t="str">
        <f ca="1">IFERROR(__xludf.DUMMYFUNCTION("""COMPUTED_VALUE"""),"Bacharach, Burt")</f>
        <v>Bacharach, Burt</v>
      </c>
      <c r="B357" s="3">
        <f ca="1">IFERROR(__xludf.DUMMYFUNCTION("""COMPUTED_VALUE"""),1)</f>
        <v>1</v>
      </c>
      <c r="C357" s="7">
        <f ca="1">IFERROR(__xludf.DUMMYFUNCTION("""COMPUTED_VALUE"""),1)</f>
        <v>1</v>
      </c>
      <c r="D357" s="8">
        <f ca="1">IFERROR(__xludf.DUMMYFUNCTION("""COMPUTED_VALUE"""),1)</f>
        <v>1</v>
      </c>
      <c r="E357" s="2">
        <f ca="1">IFERROR(__xludf.DUMMYFUNCTION("""COMPUTED_VALUE"""),1)</f>
        <v>1</v>
      </c>
    </row>
    <row r="358" spans="1:5" ht="13">
      <c r="A358" s="2" t="str">
        <f ca="1">IFERROR(__xludf.DUMMYFUNCTION("""COMPUTED_VALUE"""),"Bacharach, Burt / David, Hal")</f>
        <v>Bacharach, Burt / David, Hal</v>
      </c>
      <c r="B358" s="3">
        <f ca="1">IFERROR(__xludf.DUMMYFUNCTION("""COMPUTED_VALUE"""),1)</f>
        <v>1</v>
      </c>
      <c r="C358" s="7">
        <f ca="1">IFERROR(__xludf.DUMMYFUNCTION("""COMPUTED_VALUE"""),1)</f>
        <v>1</v>
      </c>
      <c r="D358" s="8">
        <f ca="1">IFERROR(__xludf.DUMMYFUNCTION("""COMPUTED_VALUE"""),1)</f>
        <v>1</v>
      </c>
      <c r="E358" s="2">
        <f ca="1">IFERROR(__xludf.DUMMYFUNCTION("""COMPUTED_VALUE"""),1)</f>
        <v>1</v>
      </c>
    </row>
    <row r="359" spans="1:5" ht="13">
      <c r="A359" s="2" t="str">
        <f ca="1">IFERROR(__xludf.DUMMYFUNCTION("""COMPUTED_VALUE"""),"Bachman, Harold")</f>
        <v>Bachman, Harold</v>
      </c>
      <c r="B359" s="2">
        <f ca="1">IFERROR(__xludf.DUMMYFUNCTION("""COMPUTED_VALUE"""),1)</f>
        <v>1</v>
      </c>
      <c r="C359" s="7">
        <f ca="1">IFERROR(__xludf.DUMMYFUNCTION("""COMPUTED_VALUE"""),1)</f>
        <v>1</v>
      </c>
      <c r="D359" s="8">
        <f ca="1">IFERROR(__xludf.DUMMYFUNCTION("""COMPUTED_VALUE"""),5)</f>
        <v>5</v>
      </c>
      <c r="E359" s="2">
        <f ca="1">IFERROR(__xludf.DUMMYFUNCTION("""COMPUTED_VALUE"""),2)</f>
        <v>2</v>
      </c>
    </row>
    <row r="360" spans="1:5" ht="13">
      <c r="A360" s="2" t="str">
        <f ca="1">IFERROR(__xludf.DUMMYFUNCTION("""COMPUTED_VALUE"""),"Bachman, Harold / Lillya, Clifford P.")</f>
        <v>Bachman, Harold / Lillya, Clifford P.</v>
      </c>
      <c r="B360" s="2">
        <f ca="1">IFERROR(__xludf.DUMMYFUNCTION("""COMPUTED_VALUE"""),1)</f>
        <v>1</v>
      </c>
      <c r="C360" s="7">
        <f ca="1">IFERROR(__xludf.DUMMYFUNCTION("""COMPUTED_VALUE"""),1)</f>
        <v>1</v>
      </c>
      <c r="D360" s="8">
        <f ca="1">IFERROR(__xludf.DUMMYFUNCTION("""COMPUTED_VALUE"""),5)</f>
        <v>5</v>
      </c>
      <c r="E360" s="2">
        <f ca="1">IFERROR(__xludf.DUMMYFUNCTION("""COMPUTED_VALUE"""),2)</f>
        <v>2</v>
      </c>
    </row>
    <row r="361" spans="1:5" ht="13">
      <c r="A361" s="2" t="str">
        <f ca="1">IFERROR(__xludf.DUMMYFUNCTION("""COMPUTED_VALUE"""),"Bachman, Jerry")</f>
        <v>Bachman, Jerry</v>
      </c>
      <c r="B361" s="3">
        <f ca="1">IFERROR(__xludf.DUMMYFUNCTION("""COMPUTED_VALUE"""),1)</f>
        <v>1</v>
      </c>
      <c r="C361" s="7">
        <f ca="1">IFERROR(__xludf.DUMMYFUNCTION("""COMPUTED_VALUE"""),1)</f>
        <v>1</v>
      </c>
      <c r="D361" s="8">
        <f ca="1">IFERROR(__xludf.DUMMYFUNCTION("""COMPUTED_VALUE"""),1)</f>
        <v>1</v>
      </c>
      <c r="E361" s="2">
        <f ca="1">IFERROR(__xludf.DUMMYFUNCTION("""COMPUTED_VALUE"""),1)</f>
        <v>1</v>
      </c>
    </row>
    <row r="362" spans="1:5" ht="13">
      <c r="A362" s="2" t="str">
        <f ca="1">IFERROR(__xludf.DUMMYFUNCTION("""COMPUTED_VALUE"""),"Bachrich, Sigismund")</f>
        <v>Bachrich, Sigismund</v>
      </c>
      <c r="B362" s="3">
        <f ca="1">IFERROR(__xludf.DUMMYFUNCTION("""COMPUTED_VALUE"""),1)</f>
        <v>1</v>
      </c>
      <c r="C362" s="7">
        <f ca="1">IFERROR(__xludf.DUMMYFUNCTION("""COMPUTED_VALUE"""),1)</f>
        <v>1</v>
      </c>
      <c r="D362" s="8">
        <f ca="1">IFERROR(__xludf.DUMMYFUNCTION("""COMPUTED_VALUE"""),5)</f>
        <v>5</v>
      </c>
      <c r="E362" s="2">
        <f ca="1">IFERROR(__xludf.DUMMYFUNCTION("""COMPUTED_VALUE"""),2)</f>
        <v>2</v>
      </c>
    </row>
    <row r="363" spans="1:5" ht="13">
      <c r="A363" s="2" t="str">
        <f ca="1">IFERROR(__xludf.DUMMYFUNCTION("""COMPUTED_VALUE"""),"Backer, Bill / Davis, Roquel / Cook, Roger / Greenaway, Roger")</f>
        <v>Backer, Bill / Davis, Roquel / Cook, Roger / Greenaway, Roger</v>
      </c>
      <c r="B363" s="3">
        <f ca="1">IFERROR(__xludf.DUMMYFUNCTION("""COMPUTED_VALUE"""),1)</f>
        <v>1</v>
      </c>
      <c r="C363" s="7">
        <f ca="1">IFERROR(__xludf.DUMMYFUNCTION("""COMPUTED_VALUE"""),1)</f>
        <v>1</v>
      </c>
      <c r="D363" s="8">
        <f ca="1">IFERROR(__xludf.DUMMYFUNCTION("""COMPUTED_VALUE"""),1)</f>
        <v>1</v>
      </c>
      <c r="E363" s="2">
        <f ca="1">IFERROR(__xludf.DUMMYFUNCTION("""COMPUTED_VALUE"""),1)</f>
        <v>1</v>
      </c>
    </row>
    <row r="364" spans="1:5" ht="13">
      <c r="A364" s="2" t="str">
        <f ca="1">IFERROR(__xludf.DUMMYFUNCTION("""COMPUTED_VALUE"""),"Backwell, Greg")</f>
        <v>Backwell, Greg</v>
      </c>
      <c r="B364" s="3">
        <f ca="1">IFERROR(__xludf.DUMMYFUNCTION("""COMPUTED_VALUE"""),1)</f>
        <v>1</v>
      </c>
      <c r="C364" s="7">
        <f ca="1">IFERROR(__xludf.DUMMYFUNCTION("""COMPUTED_VALUE"""),1)</f>
        <v>1</v>
      </c>
      <c r="D364" s="8">
        <f ca="1">IFERROR(__xludf.DUMMYFUNCTION("""COMPUTED_VALUE"""),1)</f>
        <v>1</v>
      </c>
      <c r="E364" s="2">
        <f ca="1">IFERROR(__xludf.DUMMYFUNCTION("""COMPUTED_VALUE"""),1)</f>
        <v>1</v>
      </c>
    </row>
    <row r="365" spans="1:5" ht="13">
      <c r="A365" s="2" t="str">
        <f ca="1">IFERROR(__xludf.DUMMYFUNCTION("""COMPUTED_VALUE"""),"Bacon, Boyd")</f>
        <v>Bacon, Boyd</v>
      </c>
      <c r="B365" s="2">
        <f ca="1">IFERROR(__xludf.DUMMYFUNCTION("""COMPUTED_VALUE"""),1)</f>
        <v>1</v>
      </c>
      <c r="C365" s="2">
        <f ca="1">IFERROR(__xludf.DUMMYFUNCTION("""COMPUTED_VALUE"""),1)</f>
        <v>1</v>
      </c>
      <c r="D365" s="8">
        <f ca="1">IFERROR(__xludf.DUMMYFUNCTION("""COMPUTED_VALUE"""),1)</f>
        <v>1</v>
      </c>
      <c r="E365" s="2">
        <f ca="1">IFERROR(__xludf.DUMMYFUNCTION("""COMPUTED_VALUE"""),1)</f>
        <v>1</v>
      </c>
    </row>
    <row r="366" spans="1:5" ht="13">
      <c r="A366" s="2" t="str">
        <f ca="1">IFERROR(__xludf.DUMMYFUNCTION("""COMPUTED_VALUE"""),"Bacon, Ernst")</f>
        <v>Bacon, Ernst</v>
      </c>
      <c r="B366" s="3">
        <f ca="1">IFERROR(__xludf.DUMMYFUNCTION("""COMPUTED_VALUE"""),1)</f>
        <v>1</v>
      </c>
      <c r="C366" s="7">
        <f ca="1">IFERROR(__xludf.DUMMYFUNCTION("""COMPUTED_VALUE"""),1)</f>
        <v>1</v>
      </c>
      <c r="D366" s="8">
        <f ca="1">IFERROR(__xludf.DUMMYFUNCTION("""COMPUTED_VALUE"""),5)</f>
        <v>5</v>
      </c>
      <c r="E366" s="2">
        <f ca="1">IFERROR(__xludf.DUMMYFUNCTION("""COMPUTED_VALUE"""),2)</f>
        <v>2</v>
      </c>
    </row>
    <row r="367" spans="1:5" ht="13">
      <c r="A367" s="2" t="str">
        <f ca="1">IFERROR(__xludf.DUMMYFUNCTION("""COMPUTED_VALUE"""),"Bacon, Thomas")</f>
        <v>Bacon, Thomas</v>
      </c>
      <c r="B367" s="3">
        <f ca="1">IFERROR(__xludf.DUMMYFUNCTION("""COMPUTED_VALUE"""),1)</f>
        <v>1</v>
      </c>
      <c r="C367" s="7">
        <f ca="1">IFERROR(__xludf.DUMMYFUNCTION("""COMPUTED_VALUE"""),1)</f>
        <v>1</v>
      </c>
      <c r="D367" s="8">
        <f ca="1">IFERROR(__xludf.DUMMYFUNCTION("""COMPUTED_VALUE"""),1)</f>
        <v>1</v>
      </c>
      <c r="E367" s="2">
        <f ca="1">IFERROR(__xludf.DUMMYFUNCTION("""COMPUTED_VALUE"""),1)</f>
        <v>1</v>
      </c>
    </row>
    <row r="368" spans="1:5" ht="13">
      <c r="A368" s="8" t="str">
        <f ca="1">IFERROR(__xludf.DUMMYFUNCTION("""COMPUTED_VALUE"""),"Bacri, Nicolas")</f>
        <v>Bacri, Nicolas</v>
      </c>
      <c r="B368" s="3">
        <f ca="1">IFERROR(__xludf.DUMMYFUNCTION("""COMPUTED_VALUE"""),1)</f>
        <v>1</v>
      </c>
      <c r="C368" s="7">
        <f ca="1">IFERROR(__xludf.DUMMYFUNCTION("""COMPUTED_VALUE"""),1)</f>
        <v>1</v>
      </c>
      <c r="D368" s="8">
        <f ca="1">IFERROR(__xludf.DUMMYFUNCTION("""COMPUTED_VALUE"""),1)</f>
        <v>1</v>
      </c>
      <c r="E368" s="2">
        <f ca="1">IFERROR(__xludf.DUMMYFUNCTION("""COMPUTED_VALUE"""),1)</f>
        <v>1</v>
      </c>
    </row>
    <row r="369" spans="1:5" ht="13">
      <c r="A369" s="2" t="str">
        <f ca="1">IFERROR(__xludf.DUMMYFUNCTION("""COMPUTED_VALUE"""),"Baczewski, Alex")</f>
        <v>Baczewski, Alex</v>
      </c>
      <c r="B369" s="3">
        <f ca="1">IFERROR(__xludf.DUMMYFUNCTION("""COMPUTED_VALUE"""),1)</f>
        <v>1</v>
      </c>
      <c r="C369" s="7">
        <f ca="1">IFERROR(__xludf.DUMMYFUNCTION("""COMPUTED_VALUE"""),1)</f>
        <v>1</v>
      </c>
      <c r="D369" s="8">
        <f ca="1">IFERROR(__xludf.DUMMYFUNCTION("""COMPUTED_VALUE"""),1)</f>
        <v>1</v>
      </c>
      <c r="E369" s="2">
        <f ca="1">IFERROR(__xludf.DUMMYFUNCTION("""COMPUTED_VALUE"""),1)</f>
        <v>1</v>
      </c>
    </row>
    <row r="370" spans="1:5" ht="13">
      <c r="A370" s="8" t="str">
        <f ca="1">IFERROR(__xludf.DUMMYFUNCTION("""COMPUTED_VALUE"""),"Badalamenti, Angelo")</f>
        <v>Badalamenti, Angelo</v>
      </c>
      <c r="B370" s="3">
        <f ca="1">IFERROR(__xludf.DUMMYFUNCTION("""COMPUTED_VALUE"""),1)</f>
        <v>1</v>
      </c>
      <c r="C370" s="7">
        <f ca="1">IFERROR(__xludf.DUMMYFUNCTION("""COMPUTED_VALUE"""),1)</f>
        <v>1</v>
      </c>
      <c r="D370" s="8">
        <f ca="1">IFERROR(__xludf.DUMMYFUNCTION("""COMPUTED_VALUE"""),5)</f>
        <v>5</v>
      </c>
      <c r="E370" s="2">
        <f ca="1">IFERROR(__xludf.DUMMYFUNCTION("""COMPUTED_VALUE"""),2)</f>
        <v>2</v>
      </c>
    </row>
    <row r="371" spans="1:5" ht="13">
      <c r="A371" s="8" t="str">
        <f ca="1">IFERROR(__xludf.DUMMYFUNCTION("""COMPUTED_VALUE"""),"Badelt, Klaus")</f>
        <v>Badelt, Klaus</v>
      </c>
      <c r="B371" s="3">
        <f ca="1">IFERROR(__xludf.DUMMYFUNCTION("""COMPUTED_VALUE"""),1)</f>
        <v>1</v>
      </c>
      <c r="C371" s="7">
        <f ca="1">IFERROR(__xludf.DUMMYFUNCTION("""COMPUTED_VALUE"""),1)</f>
        <v>1</v>
      </c>
      <c r="D371" s="8">
        <f ca="1">IFERROR(__xludf.DUMMYFUNCTION("""COMPUTED_VALUE"""),1)</f>
        <v>1</v>
      </c>
      <c r="E371" s="2">
        <f ca="1">IFERROR(__xludf.DUMMYFUNCTION("""COMPUTED_VALUE"""),1)</f>
        <v>1</v>
      </c>
    </row>
    <row r="372" spans="1:5" ht="13">
      <c r="A372" s="8" t="str">
        <f ca="1">IFERROR(__xludf.DUMMYFUNCTION("""COMPUTED_VALUE"""),"Badelt, Klaus / Zimmer, Hans")</f>
        <v>Badelt, Klaus / Zimmer, Hans</v>
      </c>
      <c r="B372" s="3">
        <f ca="1">IFERROR(__xludf.DUMMYFUNCTION("""COMPUTED_VALUE"""),1)</f>
        <v>1</v>
      </c>
      <c r="C372" s="7">
        <f ca="1">IFERROR(__xludf.DUMMYFUNCTION("""COMPUTED_VALUE"""),1)</f>
        <v>1</v>
      </c>
      <c r="D372" s="8">
        <f ca="1">IFERROR(__xludf.DUMMYFUNCTION("""COMPUTED_VALUE"""),1)</f>
        <v>1</v>
      </c>
      <c r="E372" s="2">
        <f ca="1">IFERROR(__xludf.DUMMYFUNCTION("""COMPUTED_VALUE"""),1)</f>
        <v>1</v>
      </c>
    </row>
    <row r="373" spans="1:5" ht="13">
      <c r="A373" s="8" t="str">
        <f ca="1">IFERROR(__xludf.DUMMYFUNCTION("""COMPUTED_VALUE"""),"Bader, Albert")</f>
        <v>Bader, Albert</v>
      </c>
      <c r="B373" s="3">
        <f ca="1">IFERROR(__xludf.DUMMYFUNCTION("""COMPUTED_VALUE"""),1)</f>
        <v>1</v>
      </c>
      <c r="C373" s="7">
        <f ca="1">IFERROR(__xludf.DUMMYFUNCTION("""COMPUTED_VALUE"""),1)</f>
        <v>1</v>
      </c>
      <c r="D373" s="8">
        <f ca="1">IFERROR(__xludf.DUMMYFUNCTION("""COMPUTED_VALUE"""),5)</f>
        <v>5</v>
      </c>
      <c r="E373" s="2">
        <f ca="1">IFERROR(__xludf.DUMMYFUNCTION("""COMPUTED_VALUE"""),2)</f>
        <v>2</v>
      </c>
    </row>
    <row r="374" spans="1:5" ht="13">
      <c r="A374" s="8" t="str">
        <f ca="1">IFERROR(__xludf.DUMMYFUNCTION("""COMPUTED_VALUE"""),"Badings, Henk")</f>
        <v>Badings, Henk</v>
      </c>
      <c r="B374" s="3">
        <f ca="1">IFERROR(__xludf.DUMMYFUNCTION("""COMPUTED_VALUE"""),1)</f>
        <v>1</v>
      </c>
      <c r="C374" s="7">
        <f ca="1">IFERROR(__xludf.DUMMYFUNCTION("""COMPUTED_VALUE"""),1)</f>
        <v>1</v>
      </c>
      <c r="D374" s="8">
        <f ca="1">IFERROR(__xludf.DUMMYFUNCTION("""COMPUTED_VALUE"""),5)</f>
        <v>5</v>
      </c>
      <c r="E374" s="2">
        <f ca="1">IFERROR(__xludf.DUMMYFUNCTION("""COMPUTED_VALUE"""),2)</f>
        <v>2</v>
      </c>
    </row>
    <row r="375" spans="1:5" ht="13">
      <c r="A375" s="8" t="str">
        <f ca="1">IFERROR(__xludf.DUMMYFUNCTION("""COMPUTED_VALUE"""),"Bagley, Edwin E.")</f>
        <v>Bagley, Edwin E.</v>
      </c>
      <c r="B375" s="3">
        <f ca="1">IFERROR(__xludf.DUMMYFUNCTION("""COMPUTED_VALUE"""),1)</f>
        <v>1</v>
      </c>
      <c r="C375" s="7">
        <f ca="1">IFERROR(__xludf.DUMMYFUNCTION("""COMPUTED_VALUE"""),1)</f>
        <v>1</v>
      </c>
      <c r="D375" s="8">
        <f ca="1">IFERROR(__xludf.DUMMYFUNCTION("""COMPUTED_VALUE"""),5)</f>
        <v>5</v>
      </c>
      <c r="E375" s="2">
        <f ca="1">IFERROR(__xludf.DUMMYFUNCTION("""COMPUTED_VALUE"""),2)</f>
        <v>2</v>
      </c>
    </row>
    <row r="376" spans="1:5" ht="13">
      <c r="A376" s="8" t="str">
        <f ca="1">IFERROR(__xludf.DUMMYFUNCTION("""COMPUTED_VALUE"""),"Bailey, Brett")</f>
        <v>Bailey, Brett</v>
      </c>
      <c r="B376" s="3">
        <f ca="1">IFERROR(__xludf.DUMMYFUNCTION("""COMPUTED_VALUE"""),1)</f>
        <v>1</v>
      </c>
      <c r="C376" s="7">
        <f ca="1">IFERROR(__xludf.DUMMYFUNCTION("""COMPUTED_VALUE"""),1)</f>
        <v>1</v>
      </c>
      <c r="D376" s="8">
        <f ca="1">IFERROR(__xludf.DUMMYFUNCTION("""COMPUTED_VALUE"""),1)</f>
        <v>1</v>
      </c>
      <c r="E376" s="2">
        <f ca="1">IFERROR(__xludf.DUMMYFUNCTION("""COMPUTED_VALUE"""),1)</f>
        <v>1</v>
      </c>
    </row>
    <row r="377" spans="1:5" ht="13">
      <c r="A377" s="2" t="str">
        <f ca="1">IFERROR(__xludf.DUMMYFUNCTION("""COMPUTED_VALUE"""),"Bailey, Donald")</f>
        <v>Bailey, Donald</v>
      </c>
      <c r="B377" s="3">
        <f ca="1">IFERROR(__xludf.DUMMYFUNCTION("""COMPUTED_VALUE"""),1)</f>
        <v>1</v>
      </c>
      <c r="C377" s="7">
        <f ca="1">IFERROR(__xludf.DUMMYFUNCTION("""COMPUTED_VALUE"""),1)</f>
        <v>1</v>
      </c>
      <c r="D377" s="8">
        <f ca="1">IFERROR(__xludf.DUMMYFUNCTION("""COMPUTED_VALUE"""),1)</f>
        <v>1</v>
      </c>
      <c r="E377" s="2">
        <f ca="1">IFERROR(__xludf.DUMMYFUNCTION("""COMPUTED_VALUE"""),1)</f>
        <v>1</v>
      </c>
    </row>
    <row r="378" spans="1:5" ht="13">
      <c r="A378" s="2" t="str">
        <f ca="1">IFERROR(__xludf.DUMMYFUNCTION("""COMPUTED_VALUE"""),"Bailey, Jason")</f>
        <v>Bailey, Jason</v>
      </c>
      <c r="B378" s="3">
        <f ca="1">IFERROR(__xludf.DUMMYFUNCTION("""COMPUTED_VALUE"""),1)</f>
        <v>1</v>
      </c>
      <c r="C378" s="7">
        <f ca="1">IFERROR(__xludf.DUMMYFUNCTION("""COMPUTED_VALUE"""),1)</f>
        <v>1</v>
      </c>
      <c r="D378" s="8">
        <f ca="1">IFERROR(__xludf.DUMMYFUNCTION("""COMPUTED_VALUE"""),1)</f>
        <v>1</v>
      </c>
      <c r="E378" s="2">
        <f ca="1">IFERROR(__xludf.DUMMYFUNCTION("""COMPUTED_VALUE"""),1)</f>
        <v>1</v>
      </c>
    </row>
    <row r="379" spans="1:5" ht="13">
      <c r="A379" s="8" t="str">
        <f ca="1">IFERROR(__xludf.DUMMYFUNCTION("""COMPUTED_VALUE"""),"Bailey, Jeff")</f>
        <v>Bailey, Jeff</v>
      </c>
      <c r="B379" s="3">
        <f ca="1">IFERROR(__xludf.DUMMYFUNCTION("""COMPUTED_VALUE"""),1)</f>
        <v>1</v>
      </c>
      <c r="C379" s="7">
        <f ca="1">IFERROR(__xludf.DUMMYFUNCTION("""COMPUTED_VALUE"""),1)</f>
        <v>1</v>
      </c>
      <c r="D379" s="8">
        <f ca="1">IFERROR(__xludf.DUMMYFUNCTION("""COMPUTED_VALUE"""),1)</f>
        <v>1</v>
      </c>
      <c r="E379" s="2">
        <f ca="1">IFERROR(__xludf.DUMMYFUNCTION("""COMPUTED_VALUE"""),1)</f>
        <v>1</v>
      </c>
    </row>
    <row r="380" spans="1:5" ht="13">
      <c r="A380" s="2" t="str">
        <f ca="1">IFERROR(__xludf.DUMMYFUNCTION("""COMPUTED_VALUE"""),"Bailey, Jeffrey")</f>
        <v>Bailey, Jeffrey</v>
      </c>
      <c r="B380" s="3">
        <f ca="1">IFERROR(__xludf.DUMMYFUNCTION("""COMPUTED_VALUE"""),1)</f>
        <v>1</v>
      </c>
      <c r="C380" s="7">
        <f ca="1">IFERROR(__xludf.DUMMYFUNCTION("""COMPUTED_VALUE"""),1)</f>
        <v>1</v>
      </c>
      <c r="D380" s="8">
        <f ca="1">IFERROR(__xludf.DUMMYFUNCTION("""COMPUTED_VALUE"""),1)</f>
        <v>1</v>
      </c>
      <c r="E380" s="2">
        <f ca="1">IFERROR(__xludf.DUMMYFUNCTION("""COMPUTED_VALUE"""),1)</f>
        <v>1</v>
      </c>
    </row>
    <row r="381" spans="1:5" ht="13">
      <c r="A381" s="2" t="str">
        <f ca="1">IFERROR(__xludf.DUMMYFUNCTION("""COMPUTED_VALUE"""),"Bails, Trace")</f>
        <v>Bails, Trace</v>
      </c>
      <c r="B381" s="2">
        <f ca="1">IFERROR(__xludf.DUMMYFUNCTION("""COMPUTED_VALUE"""),1)</f>
        <v>1</v>
      </c>
      <c r="C381" s="7">
        <f ca="1">IFERROR(__xludf.DUMMYFUNCTION("""COMPUTED_VALUE"""),1)</f>
        <v>1</v>
      </c>
      <c r="D381" s="8">
        <f ca="1">IFERROR(__xludf.DUMMYFUNCTION("""COMPUTED_VALUE"""),1)</f>
        <v>1</v>
      </c>
      <c r="E381" s="2">
        <f ca="1">IFERROR(__xludf.DUMMYFUNCTION("""COMPUTED_VALUE"""),1)</f>
        <v>1</v>
      </c>
    </row>
    <row r="382" spans="1:5" ht="13">
      <c r="A382" s="8" t="str">
        <f ca="1">IFERROR(__xludf.DUMMYFUNCTION("""COMPUTED_VALUE"""),"Bain, J.")</f>
        <v>Bain, J.</v>
      </c>
      <c r="B382" s="3">
        <f ca="1">IFERROR(__xludf.DUMMYFUNCTION("""COMPUTED_VALUE"""),1)</f>
        <v>1</v>
      </c>
      <c r="C382" s="7">
        <f ca="1">IFERROR(__xludf.DUMMYFUNCTION("""COMPUTED_VALUE"""),1)</f>
        <v>1</v>
      </c>
      <c r="D382" s="8">
        <f ca="1">IFERROR(__xludf.DUMMYFUNCTION("""COMPUTED_VALUE"""),5)</f>
        <v>5</v>
      </c>
      <c r="E382" s="2">
        <f ca="1">IFERROR(__xludf.DUMMYFUNCTION("""COMPUTED_VALUE"""),2)</f>
        <v>2</v>
      </c>
    </row>
    <row r="383" spans="1:5" ht="13">
      <c r="A383" s="8" t="str">
        <f ca="1">IFERROR(__xludf.DUMMYFUNCTION("""COMPUTED_VALUE"""),"Bain, James Leith Macbeth")</f>
        <v>Bain, James Leith Macbeth</v>
      </c>
      <c r="B383" s="3">
        <f ca="1">IFERROR(__xludf.DUMMYFUNCTION("""COMPUTED_VALUE"""),1)</f>
        <v>1</v>
      </c>
      <c r="C383" s="7">
        <f ca="1">IFERROR(__xludf.DUMMYFUNCTION("""COMPUTED_VALUE"""),1)</f>
        <v>1</v>
      </c>
      <c r="D383" s="8">
        <f ca="1">IFERROR(__xludf.DUMMYFUNCTION("""COMPUTED_VALUE"""),5)</f>
        <v>5</v>
      </c>
      <c r="E383" s="2">
        <f ca="1">IFERROR(__xludf.DUMMYFUNCTION("""COMPUTED_VALUE"""),2)</f>
        <v>2</v>
      </c>
    </row>
    <row r="384" spans="1:5" ht="13">
      <c r="A384" s="2" t="str">
        <f ca="1">IFERROR(__xludf.DUMMYFUNCTION("""COMPUTED_VALUE"""),"Bain, Leith MacBeth")</f>
        <v>Bain, Leith MacBeth</v>
      </c>
      <c r="B384" s="2">
        <f ca="1">IFERROR(__xludf.DUMMYFUNCTION("""COMPUTED_VALUE"""),1)</f>
        <v>1</v>
      </c>
      <c r="C384" s="7">
        <f ca="1">IFERROR(__xludf.DUMMYFUNCTION("""COMPUTED_VALUE"""),1)</f>
        <v>1</v>
      </c>
      <c r="D384" s="8">
        <f ca="1">IFERROR(__xludf.DUMMYFUNCTION("""COMPUTED_VALUE"""),5)</f>
        <v>5</v>
      </c>
      <c r="E384" s="2">
        <f ca="1">IFERROR(__xludf.DUMMYFUNCTION("""COMPUTED_VALUE"""),2)</f>
        <v>2</v>
      </c>
    </row>
    <row r="385" spans="1:5" ht="13">
      <c r="A385" s="2" t="str">
        <f ca="1">IFERROR(__xludf.DUMMYFUNCTION("""COMPUTED_VALUE"""),"Baines, Antohony")</f>
        <v>Baines, Antohony</v>
      </c>
      <c r="B385" s="3">
        <f ca="1">IFERROR(__xludf.DUMMYFUNCTION("""COMPUTED_VALUE"""),1)</f>
        <v>1</v>
      </c>
      <c r="C385" s="7">
        <f ca="1">IFERROR(__xludf.DUMMYFUNCTION("""COMPUTED_VALUE"""),1)</f>
        <v>1</v>
      </c>
      <c r="D385" s="8">
        <f ca="1">IFERROR(__xludf.DUMMYFUNCTION("""COMPUTED_VALUE"""),5)</f>
        <v>5</v>
      </c>
      <c r="E385" s="2">
        <f ca="1">IFERROR(__xludf.DUMMYFUNCTION("""COMPUTED_VALUE"""),2)</f>
        <v>2</v>
      </c>
    </row>
    <row r="386" spans="1:5" ht="13">
      <c r="A386" s="8" t="str">
        <f ca="1">IFERROR(__xludf.DUMMYFUNCTION("""COMPUTED_VALUE"""),"Baines, Charles / MacKerras, Anthony")</f>
        <v>Baines, Charles / MacKerras, Anthony</v>
      </c>
      <c r="B386" s="3">
        <f ca="1">IFERROR(__xludf.DUMMYFUNCTION("""COMPUTED_VALUE"""),1)</f>
        <v>1</v>
      </c>
      <c r="C386" s="7">
        <f ca="1">IFERROR(__xludf.DUMMYFUNCTION("""COMPUTED_VALUE"""),1)</f>
        <v>1</v>
      </c>
      <c r="D386" s="8">
        <f ca="1">IFERROR(__xludf.DUMMYFUNCTION("""COMPUTED_VALUE"""),5)</f>
        <v>5</v>
      </c>
      <c r="E386" s="2">
        <f ca="1">IFERROR(__xludf.DUMMYFUNCTION("""COMPUTED_VALUE"""),2)</f>
        <v>2</v>
      </c>
    </row>
    <row r="387" spans="1:5" ht="13">
      <c r="A387" s="2" t="str">
        <f ca="1">IFERROR(__xludf.DUMMYFUNCTION("""COMPUTED_VALUE"""),"Bainton, Edgar L.")</f>
        <v>Bainton, Edgar L.</v>
      </c>
      <c r="B387" s="3">
        <f ca="1">IFERROR(__xludf.DUMMYFUNCTION("""COMPUTED_VALUE"""),1)</f>
        <v>1</v>
      </c>
      <c r="C387" s="7">
        <f ca="1">IFERROR(__xludf.DUMMYFUNCTION("""COMPUTED_VALUE"""),1)</f>
        <v>1</v>
      </c>
      <c r="D387" s="8">
        <f ca="1">IFERROR(__xludf.DUMMYFUNCTION("""COMPUTED_VALUE"""),5)</f>
        <v>5</v>
      </c>
      <c r="E387" s="2">
        <f ca="1">IFERROR(__xludf.DUMMYFUNCTION("""COMPUTED_VALUE"""),2)</f>
        <v>2</v>
      </c>
    </row>
    <row r="388" spans="1:5" ht="13">
      <c r="A388" s="8" t="str">
        <f ca="1">IFERROR(__xludf.DUMMYFUNCTION("""COMPUTED_VALUE"""),"Bainum, Glen Cliffe")</f>
        <v>Bainum, Glen Cliffe</v>
      </c>
      <c r="B388" s="3">
        <f ca="1">IFERROR(__xludf.DUMMYFUNCTION("""COMPUTED_VALUE"""),1)</f>
        <v>1</v>
      </c>
      <c r="C388" s="7">
        <f ca="1">IFERROR(__xludf.DUMMYFUNCTION("""COMPUTED_VALUE"""),1)</f>
        <v>1</v>
      </c>
      <c r="D388" s="8">
        <f ca="1">IFERROR(__xludf.DUMMYFUNCTION("""COMPUTED_VALUE"""),5)</f>
        <v>5</v>
      </c>
      <c r="E388" s="2">
        <f ca="1">IFERROR(__xludf.DUMMYFUNCTION("""COMPUTED_VALUE"""),2)</f>
        <v>2</v>
      </c>
    </row>
    <row r="389" spans="1:5" ht="13">
      <c r="A389" s="2" t="str">
        <f ca="1">IFERROR(__xludf.DUMMYFUNCTION("""COMPUTED_VALUE"""),"Baird, Jack")</f>
        <v>Baird, Jack</v>
      </c>
      <c r="B389" s="2">
        <f ca="1">IFERROR(__xludf.DUMMYFUNCTION("""COMPUTED_VALUE"""),1)</f>
        <v>1</v>
      </c>
      <c r="C389" s="7">
        <f ca="1">IFERROR(__xludf.DUMMYFUNCTION("""COMPUTED_VALUE"""),1)</f>
        <v>1</v>
      </c>
      <c r="D389" s="8">
        <f ca="1">IFERROR(__xludf.DUMMYFUNCTION("""COMPUTED_VALUE"""),5)</f>
        <v>5</v>
      </c>
      <c r="E389" s="2">
        <f ca="1">IFERROR(__xludf.DUMMYFUNCTION("""COMPUTED_VALUE"""),2)</f>
        <v>2</v>
      </c>
    </row>
    <row r="390" spans="1:5" ht="13">
      <c r="A390" s="2" t="str">
        <f ca="1">IFERROR(__xludf.DUMMYFUNCTION("""COMPUTED_VALUE"""),"Baird, Kenneth")</f>
        <v>Baird, Kenneth</v>
      </c>
      <c r="B390" s="3">
        <f ca="1">IFERROR(__xludf.DUMMYFUNCTION("""COMPUTED_VALUE"""),1)</f>
        <v>1</v>
      </c>
      <c r="C390" s="7">
        <f ca="1">IFERROR(__xludf.DUMMYFUNCTION("""COMPUTED_VALUE"""),1)</f>
        <v>1</v>
      </c>
      <c r="D390" s="8">
        <f ca="1">IFERROR(__xludf.DUMMYFUNCTION("""COMPUTED_VALUE"""),1)</f>
        <v>1</v>
      </c>
      <c r="E390" s="2">
        <f ca="1">IFERROR(__xludf.DUMMYFUNCTION("""COMPUTED_VALUE"""),1)</f>
        <v>1</v>
      </c>
    </row>
    <row r="391" spans="1:5" ht="13">
      <c r="A391" s="2" t="str">
        <f ca="1">IFERROR(__xludf.DUMMYFUNCTION("""COMPUTED_VALUE"""),"Bairstow, Edward")</f>
        <v>Bairstow, Edward</v>
      </c>
      <c r="B391" s="2">
        <f ca="1">IFERROR(__xludf.DUMMYFUNCTION("""COMPUTED_VALUE"""),1)</f>
        <v>1</v>
      </c>
      <c r="C391" s="7">
        <f ca="1">IFERROR(__xludf.DUMMYFUNCTION("""COMPUTED_VALUE"""),1)</f>
        <v>1</v>
      </c>
      <c r="D391" s="8">
        <f ca="1">IFERROR(__xludf.DUMMYFUNCTION("""COMPUTED_VALUE"""),5)</f>
        <v>5</v>
      </c>
      <c r="E391" s="2">
        <f ca="1">IFERROR(__xludf.DUMMYFUNCTION("""COMPUTED_VALUE"""),2)</f>
        <v>2</v>
      </c>
    </row>
    <row r="392" spans="1:5" ht="13">
      <c r="A392" s="2" t="str">
        <f ca="1">IFERROR(__xludf.DUMMYFUNCTION("""COMPUTED_VALUE"""),"Bajzer, Marko")</f>
        <v>Bajzer, Marko</v>
      </c>
      <c r="B392" s="2">
        <f ca="1">IFERROR(__xludf.DUMMYFUNCTION("""COMPUTED_VALUE"""),1)</f>
        <v>1</v>
      </c>
      <c r="C392" s="2">
        <f ca="1">IFERROR(__xludf.DUMMYFUNCTION("""COMPUTED_VALUE"""),1)</f>
        <v>1</v>
      </c>
      <c r="D392" s="8">
        <f ca="1">IFERROR(__xludf.DUMMYFUNCTION("""COMPUTED_VALUE"""),1)</f>
        <v>1</v>
      </c>
      <c r="E392" s="2">
        <f ca="1">IFERROR(__xludf.DUMMYFUNCTION("""COMPUTED_VALUE"""),1)</f>
        <v>1</v>
      </c>
    </row>
    <row r="393" spans="1:5" ht="13">
      <c r="A393" s="8" t="str">
        <f ca="1">IFERROR(__xludf.DUMMYFUNCTION("""COMPUTED_VALUE"""),"Baker, Craig")</f>
        <v>Baker, Craig</v>
      </c>
      <c r="B393" s="3">
        <f ca="1">IFERROR(__xludf.DUMMYFUNCTION("""COMPUTED_VALUE"""),1)</f>
        <v>1</v>
      </c>
      <c r="C393" s="7">
        <f ca="1">IFERROR(__xludf.DUMMYFUNCTION("""COMPUTED_VALUE"""),1)</f>
        <v>1</v>
      </c>
      <c r="D393" s="8">
        <f ca="1">IFERROR(__xludf.DUMMYFUNCTION("""COMPUTED_VALUE"""),1)</f>
        <v>1</v>
      </c>
      <c r="E393" s="2">
        <f ca="1">IFERROR(__xludf.DUMMYFUNCTION("""COMPUTED_VALUE"""),1)</f>
        <v>1</v>
      </c>
    </row>
    <row r="394" spans="1:5" ht="13">
      <c r="A394" s="2" t="str">
        <f ca="1">IFERROR(__xludf.DUMMYFUNCTION("""COMPUTED_VALUE"""),"Baker, Elliott")</f>
        <v>Baker, Elliott</v>
      </c>
      <c r="B394" s="3">
        <f ca="1">IFERROR(__xludf.DUMMYFUNCTION("""COMPUTED_VALUE"""),1)</f>
        <v>1</v>
      </c>
      <c r="C394" s="7">
        <f ca="1">IFERROR(__xludf.DUMMYFUNCTION("""COMPUTED_VALUE"""),1)</f>
        <v>1</v>
      </c>
      <c r="D394" s="8">
        <f ca="1">IFERROR(__xludf.DUMMYFUNCTION("""COMPUTED_VALUE"""),1)</f>
        <v>1</v>
      </c>
      <c r="E394" s="2">
        <f ca="1">IFERROR(__xludf.DUMMYFUNCTION("""COMPUTED_VALUE"""),1)</f>
        <v>1</v>
      </c>
    </row>
    <row r="395" spans="1:5" ht="13">
      <c r="A395" s="2" t="str">
        <f ca="1">IFERROR(__xludf.DUMMYFUNCTION("""COMPUTED_VALUE"""),"Baker, Henry")</f>
        <v>Baker, Henry</v>
      </c>
      <c r="B395" s="3">
        <f ca="1">IFERROR(__xludf.DUMMYFUNCTION("""COMPUTED_VALUE"""),1)</f>
        <v>1</v>
      </c>
      <c r="C395" s="7">
        <f ca="1">IFERROR(__xludf.DUMMYFUNCTION("""COMPUTED_VALUE"""),1)</f>
        <v>1</v>
      </c>
      <c r="D395" s="8">
        <f ca="1">IFERROR(__xludf.DUMMYFUNCTION("""COMPUTED_VALUE"""),5)</f>
        <v>5</v>
      </c>
      <c r="E395" s="2">
        <f ca="1">IFERROR(__xludf.DUMMYFUNCTION("""COMPUTED_VALUE"""),2)</f>
        <v>2</v>
      </c>
    </row>
    <row r="396" spans="1:5" ht="13">
      <c r="A396" s="8" t="str">
        <f ca="1">IFERROR(__xludf.DUMMYFUNCTION("""COMPUTED_VALUE"""),"Baker, Jason")</f>
        <v>Baker, Jason</v>
      </c>
      <c r="B396" s="3">
        <f ca="1">IFERROR(__xludf.DUMMYFUNCTION("""COMPUTED_VALUE"""),1)</f>
        <v>1</v>
      </c>
      <c r="C396" s="7">
        <f ca="1">IFERROR(__xludf.DUMMYFUNCTION("""COMPUTED_VALUE"""),1)</f>
        <v>1</v>
      </c>
      <c r="D396" s="8">
        <f ca="1">IFERROR(__xludf.DUMMYFUNCTION("""COMPUTED_VALUE"""),1)</f>
        <v>1</v>
      </c>
      <c r="E396" s="2">
        <f ca="1">IFERROR(__xludf.DUMMYFUNCTION("""COMPUTED_VALUE"""),1)</f>
        <v>1</v>
      </c>
    </row>
    <row r="397" spans="1:5" ht="13">
      <c r="A397" s="2" t="str">
        <f ca="1">IFERROR(__xludf.DUMMYFUNCTION("""COMPUTED_VALUE"""),"Baker, Mark")</f>
        <v>Baker, Mark</v>
      </c>
      <c r="B397" s="2">
        <f ca="1">IFERROR(__xludf.DUMMYFUNCTION("""COMPUTED_VALUE"""),1)</f>
        <v>1</v>
      </c>
      <c r="C397" s="2">
        <f ca="1">IFERROR(__xludf.DUMMYFUNCTION("""COMPUTED_VALUE"""),1)</f>
        <v>1</v>
      </c>
      <c r="D397" s="8">
        <f ca="1">IFERROR(__xludf.DUMMYFUNCTION("""COMPUTED_VALUE"""),5)</f>
        <v>5</v>
      </c>
      <c r="E397" s="2">
        <f ca="1">IFERROR(__xludf.DUMMYFUNCTION("""COMPUTED_VALUE"""),2)</f>
        <v>2</v>
      </c>
    </row>
    <row r="398" spans="1:5" ht="13">
      <c r="A398" s="2" t="str">
        <f ca="1">IFERROR(__xludf.DUMMYFUNCTION("""COMPUTED_VALUE"""),"Baker, Paul")</f>
        <v>Baker, Paul</v>
      </c>
      <c r="B398" s="3">
        <f ca="1">IFERROR(__xludf.DUMMYFUNCTION("""COMPUTED_VALUE"""),1)</f>
        <v>1</v>
      </c>
      <c r="C398" s="7">
        <f ca="1">IFERROR(__xludf.DUMMYFUNCTION("""COMPUTED_VALUE"""),1)</f>
        <v>1</v>
      </c>
      <c r="D398" s="8">
        <f ca="1">IFERROR(__xludf.DUMMYFUNCTION("""COMPUTED_VALUE"""),1)</f>
        <v>1</v>
      </c>
      <c r="E398" s="2">
        <f ca="1">IFERROR(__xludf.DUMMYFUNCTION("""COMPUTED_VALUE"""),1)</f>
        <v>1</v>
      </c>
    </row>
    <row r="399" spans="1:5" ht="13">
      <c r="A399" s="2" t="str">
        <f ca="1">IFERROR(__xludf.DUMMYFUNCTION("""COMPUTED_VALUE"""),"Baker, Randall")</f>
        <v>Baker, Randall</v>
      </c>
      <c r="B399" s="3">
        <f ca="1">IFERROR(__xludf.DUMMYFUNCTION("""COMPUTED_VALUE"""),1)</f>
        <v>1</v>
      </c>
      <c r="C399" s="7">
        <f ca="1">IFERROR(__xludf.DUMMYFUNCTION("""COMPUTED_VALUE"""),1)</f>
        <v>1</v>
      </c>
      <c r="D399" s="8">
        <f ca="1">IFERROR(__xludf.DUMMYFUNCTION("""COMPUTED_VALUE"""),1)</f>
        <v>1</v>
      </c>
      <c r="E399" s="2">
        <f ca="1">IFERROR(__xludf.DUMMYFUNCTION("""COMPUTED_VALUE"""),1)</f>
        <v>1</v>
      </c>
    </row>
    <row r="400" spans="1:5" ht="13">
      <c r="A400" s="2" t="str">
        <f ca="1">IFERROR(__xludf.DUMMYFUNCTION("""COMPUTED_VALUE"""),"Baker, Samuel")</f>
        <v>Baker, Samuel</v>
      </c>
      <c r="B400" s="3">
        <f ca="1">IFERROR(__xludf.DUMMYFUNCTION("""COMPUTED_VALUE"""),1)</f>
        <v>1</v>
      </c>
      <c r="C400" s="7">
        <f ca="1">IFERROR(__xludf.DUMMYFUNCTION("""COMPUTED_VALUE"""),1)</f>
        <v>1</v>
      </c>
      <c r="D400" s="8">
        <f ca="1">IFERROR(__xludf.DUMMYFUNCTION("""COMPUTED_VALUE"""),1)</f>
        <v>1</v>
      </c>
      <c r="E400" s="2">
        <f ca="1">IFERROR(__xludf.DUMMYFUNCTION("""COMPUTED_VALUE"""),1)</f>
        <v>1</v>
      </c>
    </row>
    <row r="401" spans="1:5" ht="13">
      <c r="A401" s="2" t="str">
        <f ca="1">IFERROR(__xludf.DUMMYFUNCTION("""COMPUTED_VALUE"""),"Baker, Theodore")</f>
        <v>Baker, Theodore</v>
      </c>
      <c r="B401" s="3">
        <f ca="1">IFERROR(__xludf.DUMMYFUNCTION("""COMPUTED_VALUE"""),1)</f>
        <v>1</v>
      </c>
      <c r="C401" s="7">
        <f ca="1">IFERROR(__xludf.DUMMYFUNCTION("""COMPUTED_VALUE"""),1)</f>
        <v>1</v>
      </c>
      <c r="D401" s="8">
        <f ca="1">IFERROR(__xludf.DUMMYFUNCTION("""COMPUTED_VALUE"""),5)</f>
        <v>5</v>
      </c>
      <c r="E401" s="2">
        <f ca="1">IFERROR(__xludf.DUMMYFUNCTION("""COMPUTED_VALUE"""),2)</f>
        <v>2</v>
      </c>
    </row>
    <row r="402" spans="1:5" ht="13">
      <c r="A402" s="8" t="str">
        <f ca="1">IFERROR(__xludf.DUMMYFUNCTION("""COMPUTED_VALUE"""),"Baker, Tom")</f>
        <v>Baker, Tom</v>
      </c>
      <c r="B402" s="3">
        <f ca="1">IFERROR(__xludf.DUMMYFUNCTION("""COMPUTED_VALUE"""),1)</f>
        <v>1</v>
      </c>
      <c r="C402" s="7">
        <f ca="1">IFERROR(__xludf.DUMMYFUNCTION("""COMPUTED_VALUE"""),1)</f>
        <v>1</v>
      </c>
      <c r="D402" s="8">
        <f ca="1">IFERROR(__xludf.DUMMYFUNCTION("""COMPUTED_VALUE"""),5)</f>
        <v>5</v>
      </c>
      <c r="E402" s="2">
        <f ca="1">IFERROR(__xludf.DUMMYFUNCTION("""COMPUTED_VALUE"""),2)</f>
        <v>2</v>
      </c>
    </row>
    <row r="403" spans="1:5" ht="13">
      <c r="A403" s="8" t="str">
        <f ca="1">IFERROR(__xludf.DUMMYFUNCTION("""COMPUTED_VALUE"""),"Baksa, Robert")</f>
        <v>Baksa, Robert</v>
      </c>
      <c r="B403" s="3">
        <f ca="1">IFERROR(__xludf.DUMMYFUNCTION("""COMPUTED_VALUE"""),1)</f>
        <v>1</v>
      </c>
      <c r="C403" s="7">
        <f ca="1">IFERROR(__xludf.DUMMYFUNCTION("""COMPUTED_VALUE"""),1)</f>
        <v>1</v>
      </c>
      <c r="D403" s="8">
        <f ca="1">IFERROR(__xludf.DUMMYFUNCTION("""COMPUTED_VALUE"""),1)</f>
        <v>1</v>
      </c>
      <c r="E403" s="2">
        <f ca="1">IFERROR(__xludf.DUMMYFUNCTION("""COMPUTED_VALUE"""),1)</f>
        <v>1</v>
      </c>
    </row>
    <row r="404" spans="1:5" ht="13">
      <c r="A404" s="8" t="str">
        <f ca="1">IFERROR(__xludf.DUMMYFUNCTION("""COMPUTED_VALUE"""),"Balakirev, Miliĭ Alekseevich")</f>
        <v>Balakirev, Miliĭ Alekseevich</v>
      </c>
      <c r="B404" s="3">
        <f ca="1">IFERROR(__xludf.DUMMYFUNCTION("""COMPUTED_VALUE"""),1)</f>
        <v>1</v>
      </c>
      <c r="C404" s="7">
        <f ca="1">IFERROR(__xludf.DUMMYFUNCTION("""COMPUTED_VALUE"""),1)</f>
        <v>1</v>
      </c>
      <c r="D404" s="8">
        <f ca="1">IFERROR(__xludf.DUMMYFUNCTION("""COMPUTED_VALUE"""),5)</f>
        <v>5</v>
      </c>
      <c r="E404" s="2">
        <f ca="1">IFERROR(__xludf.DUMMYFUNCTION("""COMPUTED_VALUE"""),2)</f>
        <v>2</v>
      </c>
    </row>
    <row r="405" spans="1:5" ht="13">
      <c r="A405" s="8" t="str">
        <f ca="1">IFERROR(__xludf.DUMMYFUNCTION("""COMPUTED_VALUE"""),"Balakirev, Mily")</f>
        <v>Balakirev, Mily</v>
      </c>
      <c r="B405" s="3">
        <f ca="1">IFERROR(__xludf.DUMMYFUNCTION("""COMPUTED_VALUE"""),1)</f>
        <v>1</v>
      </c>
      <c r="C405" s="7">
        <f ca="1">IFERROR(__xludf.DUMMYFUNCTION("""COMPUTED_VALUE"""),1)</f>
        <v>1</v>
      </c>
      <c r="D405" s="8">
        <f ca="1">IFERROR(__xludf.DUMMYFUNCTION("""COMPUTED_VALUE"""),5)</f>
        <v>5</v>
      </c>
      <c r="E405" s="2">
        <f ca="1">IFERROR(__xludf.DUMMYFUNCTION("""COMPUTED_VALUE"""),2)</f>
        <v>2</v>
      </c>
    </row>
    <row r="406" spans="1:5" ht="13">
      <c r="A406" s="8" t="str">
        <f ca="1">IFERROR(__xludf.DUMMYFUNCTION("""COMPUTED_VALUE"""),"Balakrishnan, David")</f>
        <v>Balakrishnan, David</v>
      </c>
      <c r="B406" s="3">
        <f ca="1">IFERROR(__xludf.DUMMYFUNCTION("""COMPUTED_VALUE"""),1)</f>
        <v>1</v>
      </c>
      <c r="C406" s="7">
        <f ca="1">IFERROR(__xludf.DUMMYFUNCTION("""COMPUTED_VALUE"""),1)</f>
        <v>1</v>
      </c>
      <c r="D406" s="8">
        <f ca="1">IFERROR(__xludf.DUMMYFUNCTION("""COMPUTED_VALUE"""),1)</f>
        <v>1</v>
      </c>
      <c r="E406" s="2">
        <f ca="1">IFERROR(__xludf.DUMMYFUNCTION("""COMPUTED_VALUE"""),1)</f>
        <v>1</v>
      </c>
    </row>
    <row r="407" spans="1:5" ht="13">
      <c r="A407" s="2" t="str">
        <f ca="1">IFERROR(__xludf.DUMMYFUNCTION("""COMPUTED_VALUE"""),"Balay, Guillaume")</f>
        <v>Balay, Guillaume</v>
      </c>
      <c r="B407" s="3">
        <f ca="1">IFERROR(__xludf.DUMMYFUNCTION("""COMPUTED_VALUE"""),1)</f>
        <v>1</v>
      </c>
      <c r="C407" s="7">
        <f ca="1">IFERROR(__xludf.DUMMYFUNCTION("""COMPUTED_VALUE"""),1)</f>
        <v>1</v>
      </c>
      <c r="D407" s="8">
        <f ca="1">IFERROR(__xludf.DUMMYFUNCTION("""COMPUTED_VALUE"""),5)</f>
        <v>5</v>
      </c>
      <c r="E407" s="3">
        <f ca="1">IFERROR(__xludf.DUMMYFUNCTION("""COMPUTED_VALUE"""),2)</f>
        <v>2</v>
      </c>
    </row>
    <row r="408" spans="1:5" ht="13">
      <c r="A408" s="8" t="str">
        <f ca="1">IFERROR(__xludf.DUMMYFUNCTION("""COMPUTED_VALUE"""),"Balázs, Árpád")</f>
        <v>Balázs, Árpád</v>
      </c>
      <c r="B408" s="3">
        <f ca="1">IFERROR(__xludf.DUMMYFUNCTION("""COMPUTED_VALUE"""),1)</f>
        <v>1</v>
      </c>
      <c r="C408" s="7">
        <f ca="1">IFERROR(__xludf.DUMMYFUNCTION("""COMPUTED_VALUE"""),1)</f>
        <v>1</v>
      </c>
      <c r="D408" s="8">
        <f ca="1">IFERROR(__xludf.DUMMYFUNCTION("""COMPUTED_VALUE"""),1)</f>
        <v>1</v>
      </c>
      <c r="E408" s="2">
        <f ca="1">IFERROR(__xludf.DUMMYFUNCTION("""COMPUTED_VALUE"""),1)</f>
        <v>1</v>
      </c>
    </row>
    <row r="409" spans="1:5" ht="13">
      <c r="A409" s="2" t="str">
        <f ca="1">IFERROR(__xludf.DUMMYFUNCTION("""COMPUTED_VALUE"""),"Baldwin, Daniel")</f>
        <v>Baldwin, Daniel</v>
      </c>
      <c r="B409" s="3">
        <f ca="1">IFERROR(__xludf.DUMMYFUNCTION("""COMPUTED_VALUE"""),1)</f>
        <v>1</v>
      </c>
      <c r="C409" s="7">
        <f ca="1">IFERROR(__xludf.DUMMYFUNCTION("""COMPUTED_VALUE"""),1)</f>
        <v>1</v>
      </c>
      <c r="D409" s="8">
        <f ca="1">IFERROR(__xludf.DUMMYFUNCTION("""COMPUTED_VALUE"""),1)</f>
        <v>1</v>
      </c>
      <c r="E409" s="2">
        <f ca="1">IFERROR(__xludf.DUMMYFUNCTION("""COMPUTED_VALUE"""),1)</f>
        <v>1</v>
      </c>
    </row>
    <row r="410" spans="1:5" ht="13">
      <c r="A410" s="8" t="str">
        <f ca="1">IFERROR(__xludf.DUMMYFUNCTION("""COMPUTED_VALUE"""),"Baldwin, David")</f>
        <v>Baldwin, David</v>
      </c>
      <c r="B410" s="3">
        <f ca="1">IFERROR(__xludf.DUMMYFUNCTION("""COMPUTED_VALUE"""),1)</f>
        <v>1</v>
      </c>
      <c r="C410" s="7">
        <f ca="1">IFERROR(__xludf.DUMMYFUNCTION("""COMPUTED_VALUE"""),1)</f>
        <v>1</v>
      </c>
      <c r="D410" s="8">
        <f ca="1">IFERROR(__xludf.DUMMYFUNCTION("""COMPUTED_VALUE"""),1)</f>
        <v>1</v>
      </c>
      <c r="E410" s="2">
        <f ca="1">IFERROR(__xludf.DUMMYFUNCTION("""COMPUTED_VALUE"""),1)</f>
        <v>1</v>
      </c>
    </row>
    <row r="411" spans="1:5" ht="13">
      <c r="A411" s="2" t="str">
        <f ca="1">IFERROR(__xludf.DUMMYFUNCTION("""COMPUTED_VALUE"""),"Baldwin, Ralph")</f>
        <v>Baldwin, Ralph</v>
      </c>
      <c r="B411" s="2">
        <f ca="1">IFERROR(__xludf.DUMMYFUNCTION("""COMPUTED_VALUE"""),1)</f>
        <v>1</v>
      </c>
      <c r="C411" s="7">
        <f ca="1">IFERROR(__xludf.DUMMYFUNCTION("""COMPUTED_VALUE"""),1)</f>
        <v>1</v>
      </c>
      <c r="D411" s="8">
        <f ca="1">IFERROR(__xludf.DUMMYFUNCTION("""COMPUTED_VALUE"""),5)</f>
        <v>5</v>
      </c>
      <c r="E411" s="2">
        <f ca="1">IFERROR(__xludf.DUMMYFUNCTION("""COMPUTED_VALUE"""),2)</f>
        <v>2</v>
      </c>
    </row>
    <row r="412" spans="1:5" ht="13">
      <c r="A412" s="8" t="str">
        <f ca="1">IFERROR(__xludf.DUMMYFUNCTION("""COMPUTED_VALUE"""),"Balent, Andrew")</f>
        <v>Balent, Andrew</v>
      </c>
      <c r="B412" s="3">
        <f ca="1">IFERROR(__xludf.DUMMYFUNCTION("""COMPUTED_VALUE"""),1)</f>
        <v>1</v>
      </c>
      <c r="C412" s="7">
        <f ca="1">IFERROR(__xludf.DUMMYFUNCTION("""COMPUTED_VALUE"""),1)</f>
        <v>1</v>
      </c>
      <c r="D412" s="8">
        <f ca="1">IFERROR(__xludf.DUMMYFUNCTION("""COMPUTED_VALUE"""),1)</f>
        <v>1</v>
      </c>
      <c r="E412" s="2">
        <f ca="1">IFERROR(__xludf.DUMMYFUNCTION("""COMPUTED_VALUE"""),1)</f>
        <v>1</v>
      </c>
    </row>
    <row r="413" spans="1:5" ht="13">
      <c r="A413" s="8" t="str">
        <f ca="1">IFERROR(__xludf.DUMMYFUNCTION("""COMPUTED_VALUE"""),"Bales, Richard")</f>
        <v>Bales, Richard</v>
      </c>
      <c r="B413" s="2">
        <f ca="1">IFERROR(__xludf.DUMMYFUNCTION("""COMPUTED_VALUE"""),1)</f>
        <v>1</v>
      </c>
      <c r="C413" s="7">
        <f ca="1">IFERROR(__xludf.DUMMYFUNCTION("""COMPUTED_VALUE"""),1)</f>
        <v>1</v>
      </c>
      <c r="D413" s="8">
        <f ca="1">IFERROR(__xludf.DUMMYFUNCTION("""COMPUTED_VALUE"""),5)</f>
        <v>5</v>
      </c>
      <c r="E413" s="2">
        <f ca="1">IFERROR(__xludf.DUMMYFUNCTION("""COMPUTED_VALUE"""),2)</f>
        <v>2</v>
      </c>
    </row>
    <row r="414" spans="1:5" ht="13">
      <c r="A414" s="2" t="str">
        <f ca="1">IFERROR(__xludf.DUMMYFUNCTION("""COMPUTED_VALUE"""),"Balfe, Michael W.")</f>
        <v>Balfe, Michael W.</v>
      </c>
      <c r="B414" s="2">
        <f ca="1">IFERROR(__xludf.DUMMYFUNCTION("""COMPUTED_VALUE"""),1)</f>
        <v>1</v>
      </c>
      <c r="C414" s="7">
        <f ca="1">IFERROR(__xludf.DUMMYFUNCTION("""COMPUTED_VALUE"""),1)</f>
        <v>1</v>
      </c>
      <c r="D414" s="8">
        <f ca="1">IFERROR(__xludf.DUMMYFUNCTION("""COMPUTED_VALUE"""),5)</f>
        <v>5</v>
      </c>
      <c r="E414" s="2">
        <f ca="1">IFERROR(__xludf.DUMMYFUNCTION("""COMPUTED_VALUE"""),2)</f>
        <v>2</v>
      </c>
    </row>
    <row r="415" spans="1:5" ht="13">
      <c r="A415" s="2" t="str">
        <f ca="1">IFERROR(__xludf.DUMMYFUNCTION("""COMPUTED_VALUE"""),"Balfoort, Rob")</f>
        <v>Balfoort, Rob</v>
      </c>
      <c r="B415" s="2">
        <f ca="1">IFERROR(__xludf.DUMMYFUNCTION("""COMPUTED_VALUE"""),1)</f>
        <v>1</v>
      </c>
      <c r="C415" s="7">
        <f ca="1">IFERROR(__xludf.DUMMYFUNCTION("""COMPUTED_VALUE"""),1)</f>
        <v>1</v>
      </c>
      <c r="D415" s="8">
        <f ca="1">IFERROR(__xludf.DUMMYFUNCTION("""COMPUTED_VALUE"""),1)</f>
        <v>1</v>
      </c>
      <c r="E415" s="2">
        <f ca="1">IFERROR(__xludf.DUMMYFUNCTION("""COMPUTED_VALUE"""),1)</f>
        <v>1</v>
      </c>
    </row>
    <row r="416" spans="1:5" ht="13">
      <c r="A416" s="2" t="str">
        <f ca="1">IFERROR(__xludf.DUMMYFUNCTION("""COMPUTED_VALUE"""),"Ball, Duncan")</f>
        <v>Ball, Duncan</v>
      </c>
      <c r="B416" s="3">
        <f ca="1">IFERROR(__xludf.DUMMYFUNCTION("""COMPUTED_VALUE"""),1)</f>
        <v>1</v>
      </c>
      <c r="C416" s="7">
        <f ca="1">IFERROR(__xludf.DUMMYFUNCTION("""COMPUTED_VALUE"""),1)</f>
        <v>1</v>
      </c>
      <c r="D416" s="8">
        <f ca="1">IFERROR(__xludf.DUMMYFUNCTION("""COMPUTED_VALUE"""),1)</f>
        <v>1</v>
      </c>
      <c r="E416" s="2">
        <f ca="1">IFERROR(__xludf.DUMMYFUNCTION("""COMPUTED_VALUE"""),1)</f>
        <v>1</v>
      </c>
    </row>
    <row r="417" spans="1:5" ht="13">
      <c r="A417" s="2" t="str">
        <f ca="1">IFERROR(__xludf.DUMMYFUNCTION("""COMPUTED_VALUE"""),"Ball, Eric")</f>
        <v>Ball, Eric</v>
      </c>
      <c r="B417" s="2">
        <f ca="1">IFERROR(__xludf.DUMMYFUNCTION("""COMPUTED_VALUE"""),1)</f>
        <v>1</v>
      </c>
      <c r="C417" s="7">
        <f ca="1">IFERROR(__xludf.DUMMYFUNCTION("""COMPUTED_VALUE"""),1)</f>
        <v>1</v>
      </c>
      <c r="D417" s="8">
        <f ca="1">IFERROR(__xludf.DUMMYFUNCTION("""COMPUTED_VALUE"""),5)</f>
        <v>5</v>
      </c>
      <c r="E417" s="2">
        <f ca="1">IFERROR(__xludf.DUMMYFUNCTION("""COMPUTED_VALUE"""),2)</f>
        <v>2</v>
      </c>
    </row>
    <row r="418" spans="1:5" ht="13">
      <c r="A418" s="2" t="str">
        <f ca="1">IFERROR(__xludf.DUMMYFUNCTION("""COMPUTED_VALUE"""),"Ball, Ernest / Reed, Jr., Dave")</f>
        <v>Ball, Ernest / Reed, Jr., Dave</v>
      </c>
      <c r="B418" s="2">
        <f ca="1">IFERROR(__xludf.DUMMYFUNCTION("""COMPUTED_VALUE"""),1)</f>
        <v>1</v>
      </c>
      <c r="C418" s="7">
        <f ca="1">IFERROR(__xludf.DUMMYFUNCTION("""COMPUTED_VALUE"""),1)</f>
        <v>1</v>
      </c>
      <c r="D418" s="8">
        <f ca="1">IFERROR(__xludf.DUMMYFUNCTION("""COMPUTED_VALUE"""),5)</f>
        <v>5</v>
      </c>
      <c r="E418" s="2">
        <f ca="1">IFERROR(__xludf.DUMMYFUNCTION("""COMPUTED_VALUE"""),2)</f>
        <v>2</v>
      </c>
    </row>
    <row r="419" spans="1:5" ht="13">
      <c r="A419" s="2" t="str">
        <f ca="1">IFERROR(__xludf.DUMMYFUNCTION("""COMPUTED_VALUE"""),"Ballard, Glen")</f>
        <v>Ballard, Glen</v>
      </c>
      <c r="B419" s="3">
        <f ca="1">IFERROR(__xludf.DUMMYFUNCTION("""COMPUTED_VALUE"""),1)</f>
        <v>1</v>
      </c>
      <c r="C419" s="7">
        <f ca="1">IFERROR(__xludf.DUMMYFUNCTION("""COMPUTED_VALUE"""),1)</f>
        <v>1</v>
      </c>
      <c r="D419" s="8">
        <f ca="1">IFERROR(__xludf.DUMMYFUNCTION("""COMPUTED_VALUE"""),1)</f>
        <v>1</v>
      </c>
      <c r="E419" s="2">
        <f ca="1">IFERROR(__xludf.DUMMYFUNCTION("""COMPUTED_VALUE"""),1)</f>
        <v>1</v>
      </c>
    </row>
    <row r="420" spans="1:5" ht="13">
      <c r="A420" s="2" t="str">
        <f ca="1">IFERROR(__xludf.DUMMYFUNCTION("""COMPUTED_VALUE"""),"Ballard, Glen / Silvestri, Alan")</f>
        <v>Ballard, Glen / Silvestri, Alan</v>
      </c>
      <c r="B420" s="3">
        <f ca="1">IFERROR(__xludf.DUMMYFUNCTION("""COMPUTED_VALUE"""),1)</f>
        <v>1</v>
      </c>
      <c r="C420" s="7">
        <f ca="1">IFERROR(__xludf.DUMMYFUNCTION("""COMPUTED_VALUE"""),1)</f>
        <v>1</v>
      </c>
      <c r="D420" s="8">
        <f ca="1">IFERROR(__xludf.DUMMYFUNCTION("""COMPUTED_VALUE"""),1)</f>
        <v>1</v>
      </c>
      <c r="E420" s="2">
        <f ca="1">IFERROR(__xludf.DUMMYFUNCTION("""COMPUTED_VALUE"""),1)</f>
        <v>1</v>
      </c>
    </row>
    <row r="421" spans="1:5" ht="13">
      <c r="A421" s="2" t="str">
        <f ca="1">IFERROR(__xludf.DUMMYFUNCTION("""COMPUTED_VALUE"""),"Ballard, Pat")</f>
        <v>Ballard, Pat</v>
      </c>
      <c r="B421" s="3">
        <f ca="1">IFERROR(__xludf.DUMMYFUNCTION("""COMPUTED_VALUE"""),1)</f>
        <v>1</v>
      </c>
      <c r="C421" s="7">
        <f ca="1">IFERROR(__xludf.DUMMYFUNCTION("""COMPUTED_VALUE"""),1)</f>
        <v>1</v>
      </c>
      <c r="D421" s="8">
        <f ca="1">IFERROR(__xludf.DUMMYFUNCTION("""COMPUTED_VALUE"""),5)</f>
        <v>5</v>
      </c>
      <c r="E421" s="2">
        <f ca="1">IFERROR(__xludf.DUMMYFUNCTION("""COMPUTED_VALUE"""),2)</f>
        <v>2</v>
      </c>
    </row>
    <row r="422" spans="1:5" ht="13">
      <c r="A422" s="2" t="str">
        <f ca="1">IFERROR(__xludf.DUMMYFUNCTION("""COMPUTED_VALUE"""),"Ballard, William")</f>
        <v>Ballard, William</v>
      </c>
      <c r="B422" s="2">
        <f ca="1">IFERROR(__xludf.DUMMYFUNCTION("""COMPUTED_VALUE"""),1)</f>
        <v>1</v>
      </c>
      <c r="C422" s="7">
        <f ca="1">IFERROR(__xludf.DUMMYFUNCTION("""COMPUTED_VALUE"""),1)</f>
        <v>1</v>
      </c>
      <c r="D422" s="8">
        <f ca="1">IFERROR(__xludf.DUMMYFUNCTION("""COMPUTED_VALUE"""),5)</f>
        <v>5</v>
      </c>
      <c r="E422" s="2">
        <f ca="1">IFERROR(__xludf.DUMMYFUNCTION("""COMPUTED_VALUE"""),2)</f>
        <v>2</v>
      </c>
    </row>
    <row r="423" spans="1:5" ht="13">
      <c r="A423" s="2" t="str">
        <f ca="1">IFERROR(__xludf.DUMMYFUNCTION("""COMPUTED_VALUE"""),"Ballenger, Leon")</f>
        <v>Ballenger, Leon</v>
      </c>
      <c r="B423" s="2">
        <f ca="1">IFERROR(__xludf.DUMMYFUNCTION("""COMPUTED_VALUE"""),1)</f>
        <v>1</v>
      </c>
      <c r="C423" s="2">
        <f ca="1">IFERROR(__xludf.DUMMYFUNCTION("""COMPUTED_VALUE"""),1)</f>
        <v>1</v>
      </c>
      <c r="D423" s="8">
        <f ca="1">IFERROR(__xludf.DUMMYFUNCTION("""COMPUTED_VALUE"""),5)</f>
        <v>5</v>
      </c>
      <c r="E423" s="2">
        <f ca="1">IFERROR(__xludf.DUMMYFUNCTION("""COMPUTED_VALUE"""),2)</f>
        <v>2</v>
      </c>
    </row>
    <row r="424" spans="1:5" ht="13">
      <c r="A424" s="2" t="str">
        <f ca="1">IFERROR(__xludf.DUMMYFUNCTION("""COMPUTED_VALUE"""),"Ballenger, William")</f>
        <v>Ballenger, William</v>
      </c>
      <c r="B424" s="3">
        <f ca="1">IFERROR(__xludf.DUMMYFUNCTION("""COMPUTED_VALUE"""),1)</f>
        <v>1</v>
      </c>
      <c r="C424" s="7">
        <f ca="1">IFERROR(__xludf.DUMMYFUNCTION("""COMPUTED_VALUE"""),1)</f>
        <v>1</v>
      </c>
      <c r="D424" s="8">
        <f ca="1">IFERROR(__xludf.DUMMYFUNCTION("""COMPUTED_VALUE"""),1)</f>
        <v>1</v>
      </c>
      <c r="E424" s="2">
        <f ca="1">IFERROR(__xludf.DUMMYFUNCTION("""COMPUTED_VALUE"""),1)</f>
        <v>1</v>
      </c>
    </row>
    <row r="425" spans="1:5" ht="13">
      <c r="A425" s="2" t="str">
        <f ca="1">IFERROR(__xludf.DUMMYFUNCTION("""COMPUTED_VALUE"""),"Ballin, Ernst August")</f>
        <v>Ballin, Ernst August</v>
      </c>
      <c r="B425" s="2">
        <f ca="1">IFERROR(__xludf.DUMMYFUNCTION("""COMPUTED_VALUE"""),1)</f>
        <v>1</v>
      </c>
      <c r="C425" s="2">
        <f ca="1">IFERROR(__xludf.DUMMYFUNCTION("""COMPUTED_VALUE"""),1)</f>
        <v>1</v>
      </c>
      <c r="D425" s="8">
        <f ca="1">IFERROR(__xludf.DUMMYFUNCTION("""COMPUTED_VALUE"""),5)</f>
        <v>5</v>
      </c>
      <c r="E425" s="2">
        <f ca="1">IFERROR(__xludf.DUMMYFUNCTION("""COMPUTED_VALUE"""),2)</f>
        <v>2</v>
      </c>
    </row>
    <row r="426" spans="1:5" ht="13">
      <c r="A426" s="8" t="str">
        <f ca="1">IFERROR(__xludf.DUMMYFUNCTION("""COMPUTED_VALUE"""),"Balmages, Brian")</f>
        <v>Balmages, Brian</v>
      </c>
      <c r="B426" s="3">
        <f ca="1">IFERROR(__xludf.DUMMYFUNCTION("""COMPUTED_VALUE"""),1)</f>
        <v>1</v>
      </c>
      <c r="C426" s="7">
        <f ca="1">IFERROR(__xludf.DUMMYFUNCTION("""COMPUTED_VALUE"""),1)</f>
        <v>1</v>
      </c>
      <c r="D426" s="8">
        <f ca="1">IFERROR(__xludf.DUMMYFUNCTION("""COMPUTED_VALUE"""),1)</f>
        <v>1</v>
      </c>
      <c r="E426" s="2">
        <f ca="1">IFERROR(__xludf.DUMMYFUNCTION("""COMPUTED_VALUE"""),1)</f>
        <v>1</v>
      </c>
    </row>
    <row r="427" spans="1:5" ht="13">
      <c r="A427" s="8" t="str">
        <f ca="1">IFERROR(__xludf.DUMMYFUNCTION("""COMPUTED_VALUE"""),"Baltzer, Sam")</f>
        <v>Baltzer, Sam</v>
      </c>
      <c r="B427" s="3">
        <f ca="1">IFERROR(__xludf.DUMMYFUNCTION("""COMPUTED_VALUE"""),1)</f>
        <v>1</v>
      </c>
      <c r="C427" s="7">
        <f ca="1">IFERROR(__xludf.DUMMYFUNCTION("""COMPUTED_VALUE"""),1)</f>
        <v>1</v>
      </c>
      <c r="D427" s="8">
        <f ca="1">IFERROR(__xludf.DUMMYFUNCTION("""COMPUTED_VALUE"""),1)</f>
        <v>1</v>
      </c>
      <c r="E427" s="2">
        <f ca="1">IFERROR(__xludf.DUMMYFUNCTION("""COMPUTED_VALUE"""),1)</f>
        <v>1</v>
      </c>
    </row>
    <row r="428" spans="1:5" ht="13">
      <c r="A428" s="8" t="str">
        <f ca="1">IFERROR(__xludf.DUMMYFUNCTION("""COMPUTED_VALUE"""),"Banchieri, A.")</f>
        <v>Banchieri, A.</v>
      </c>
      <c r="B428" s="3">
        <f ca="1">IFERROR(__xludf.DUMMYFUNCTION("""COMPUTED_VALUE"""),1)</f>
        <v>1</v>
      </c>
      <c r="C428" s="7">
        <f ca="1">IFERROR(__xludf.DUMMYFUNCTION("""COMPUTED_VALUE"""),1)</f>
        <v>1</v>
      </c>
      <c r="D428" s="8">
        <f ca="1">IFERROR(__xludf.DUMMYFUNCTION("""COMPUTED_VALUE"""),1)</f>
        <v>1</v>
      </c>
      <c r="E428" s="2">
        <f ca="1">IFERROR(__xludf.DUMMYFUNCTION("""COMPUTED_VALUE"""),1)</f>
        <v>1</v>
      </c>
    </row>
    <row r="429" spans="1:5" ht="13">
      <c r="A429" s="2" t="str">
        <f ca="1">IFERROR(__xludf.DUMMYFUNCTION("""COMPUTED_VALUE"""),"Banchieri, Adriano")</f>
        <v>Banchieri, Adriano</v>
      </c>
      <c r="B429" s="2">
        <f ca="1">IFERROR(__xludf.DUMMYFUNCTION("""COMPUTED_VALUE"""),1)</f>
        <v>1</v>
      </c>
      <c r="C429" s="7">
        <f ca="1">IFERROR(__xludf.DUMMYFUNCTION("""COMPUTED_VALUE"""),1)</f>
        <v>1</v>
      </c>
      <c r="D429" s="8">
        <f ca="1">IFERROR(__xludf.DUMMYFUNCTION("""COMPUTED_VALUE"""),5)</f>
        <v>5</v>
      </c>
      <c r="E429" s="2">
        <f ca="1">IFERROR(__xludf.DUMMYFUNCTION("""COMPUTED_VALUE"""),2)</f>
        <v>2</v>
      </c>
    </row>
    <row r="430" spans="1:5" ht="13">
      <c r="A430" s="8" t="str">
        <f ca="1">IFERROR(__xludf.DUMMYFUNCTION("""COMPUTED_VALUE"""),"Bancks, Jacob")</f>
        <v>Bancks, Jacob</v>
      </c>
      <c r="B430" s="3">
        <f ca="1">IFERROR(__xludf.DUMMYFUNCTION("""COMPUTED_VALUE"""),1)</f>
        <v>1</v>
      </c>
      <c r="C430" s="7">
        <f ca="1">IFERROR(__xludf.DUMMYFUNCTION("""COMPUTED_VALUE"""),1)</f>
        <v>1</v>
      </c>
      <c r="D430" s="8">
        <f ca="1">IFERROR(__xludf.DUMMYFUNCTION("""COMPUTED_VALUE"""),1)</f>
        <v>1</v>
      </c>
      <c r="E430" s="2">
        <f ca="1">IFERROR(__xludf.DUMMYFUNCTION("""COMPUTED_VALUE"""),1)</f>
        <v>1</v>
      </c>
    </row>
    <row r="431" spans="1:5" ht="13">
      <c r="A431" s="8" t="str">
        <f ca="1">IFERROR(__xludf.DUMMYFUNCTION("""COMPUTED_VALUE"""),"Bancroft, Richard")</f>
        <v>Bancroft, Richard</v>
      </c>
      <c r="B431" s="3">
        <f ca="1">IFERROR(__xludf.DUMMYFUNCTION("""COMPUTED_VALUE"""),1)</f>
        <v>1</v>
      </c>
      <c r="C431" s="7">
        <f ca="1">IFERROR(__xludf.DUMMYFUNCTION("""COMPUTED_VALUE"""),1)</f>
        <v>1</v>
      </c>
      <c r="D431" s="8">
        <f ca="1">IFERROR(__xludf.DUMMYFUNCTION("""COMPUTED_VALUE"""),1)</f>
        <v>1</v>
      </c>
      <c r="E431" s="2">
        <f ca="1">IFERROR(__xludf.DUMMYFUNCTION("""COMPUTED_VALUE"""),1)</f>
        <v>1</v>
      </c>
    </row>
    <row r="432" spans="1:5" ht="13">
      <c r="A432" s="2" t="str">
        <f ca="1">IFERROR(__xludf.DUMMYFUNCTION("""COMPUTED_VALUE"""),"Bandera, Carlos")</f>
        <v>Bandera, Carlos</v>
      </c>
      <c r="B432" s="3">
        <f ca="1">IFERROR(__xludf.DUMMYFUNCTION("""COMPUTED_VALUE"""),1)</f>
        <v>1</v>
      </c>
      <c r="C432" s="7">
        <f ca="1">IFERROR(__xludf.DUMMYFUNCTION("""COMPUTED_VALUE"""),1)</f>
        <v>1</v>
      </c>
      <c r="D432" s="8">
        <f ca="1">IFERROR(__xludf.DUMMYFUNCTION("""COMPUTED_VALUE"""),1)</f>
        <v>1</v>
      </c>
      <c r="E432" s="2">
        <f ca="1">IFERROR(__xludf.DUMMYFUNCTION("""COMPUTED_VALUE"""),1)</f>
        <v>1</v>
      </c>
    </row>
    <row r="433" spans="1:5" ht="13">
      <c r="A433" s="8" t="str">
        <f ca="1">IFERROR(__xludf.DUMMYFUNCTION("""COMPUTED_VALUE"""),"Banducci, Brett")</f>
        <v>Banducci, Brett</v>
      </c>
      <c r="B433" s="3">
        <f ca="1">IFERROR(__xludf.DUMMYFUNCTION("""COMPUTED_VALUE"""),1)</f>
        <v>1</v>
      </c>
      <c r="C433" s="7">
        <f ca="1">IFERROR(__xludf.DUMMYFUNCTION("""COMPUTED_VALUE"""),1)</f>
        <v>1</v>
      </c>
      <c r="D433" s="8">
        <f ca="1">IFERROR(__xludf.DUMMYFUNCTION("""COMPUTED_VALUE"""),1)</f>
        <v>1</v>
      </c>
      <c r="E433" s="2">
        <f ca="1">IFERROR(__xludf.DUMMYFUNCTION("""COMPUTED_VALUE"""),1)</f>
        <v>1</v>
      </c>
    </row>
    <row r="434" spans="1:5" ht="13">
      <c r="A434" s="2" t="str">
        <f ca="1">IFERROR(__xludf.DUMMYFUNCTION("""COMPUTED_VALUE"""),"Bangle, Brandon")</f>
        <v>Bangle, Brandon</v>
      </c>
      <c r="B434" s="3">
        <f ca="1">IFERROR(__xludf.DUMMYFUNCTION("""COMPUTED_VALUE"""),1)</f>
        <v>1</v>
      </c>
      <c r="C434" s="7">
        <f ca="1">IFERROR(__xludf.DUMMYFUNCTION("""COMPUTED_VALUE"""),1)</f>
        <v>1</v>
      </c>
      <c r="D434" s="8">
        <f ca="1">IFERROR(__xludf.DUMMYFUNCTION("""COMPUTED_VALUE"""),1)</f>
        <v>1</v>
      </c>
      <c r="E434" s="2">
        <f ca="1">IFERROR(__xludf.DUMMYFUNCTION("""COMPUTED_VALUE"""),1)</f>
        <v>1</v>
      </c>
    </row>
    <row r="435" spans="1:5" ht="13">
      <c r="A435" s="8" t="str">
        <f ca="1">IFERROR(__xludf.DUMMYFUNCTION("""COMPUTED_VALUE"""),"Banks, Eric")</f>
        <v>Banks, Eric</v>
      </c>
      <c r="B435" s="3">
        <f ca="1">IFERROR(__xludf.DUMMYFUNCTION("""COMPUTED_VALUE"""),1)</f>
        <v>1</v>
      </c>
      <c r="C435" s="7">
        <f ca="1">IFERROR(__xludf.DUMMYFUNCTION("""COMPUTED_VALUE"""),1)</f>
        <v>1</v>
      </c>
      <c r="D435" s="8">
        <f ca="1">IFERROR(__xludf.DUMMYFUNCTION("""COMPUTED_VALUE"""),1)</f>
        <v>1</v>
      </c>
      <c r="E435" s="2">
        <f ca="1">IFERROR(__xludf.DUMMYFUNCTION("""COMPUTED_VALUE"""),1)</f>
        <v>1</v>
      </c>
    </row>
    <row r="436" spans="1:5" ht="13">
      <c r="A436" s="8" t="str">
        <f ca="1">IFERROR(__xludf.DUMMYFUNCTION("""COMPUTED_VALUE"""),"Bankston, Brian")</f>
        <v>Bankston, Brian</v>
      </c>
      <c r="B436" s="3">
        <f ca="1">IFERROR(__xludf.DUMMYFUNCTION("""COMPUTED_VALUE"""),1)</f>
        <v>1</v>
      </c>
      <c r="C436" s="7">
        <f ca="1">IFERROR(__xludf.DUMMYFUNCTION("""COMPUTED_VALUE"""),1)</f>
        <v>1</v>
      </c>
      <c r="D436" s="8">
        <f ca="1">IFERROR(__xludf.DUMMYFUNCTION("""COMPUTED_VALUE"""),1)</f>
        <v>1</v>
      </c>
      <c r="E436" s="2">
        <f ca="1">IFERROR(__xludf.DUMMYFUNCTION("""COMPUTED_VALUE"""),1)</f>
        <v>1</v>
      </c>
    </row>
    <row r="437" spans="1:5" ht="13">
      <c r="A437" s="8" t="str">
        <f ca="1">IFERROR(__xludf.DUMMYFUNCTION("""COMPUTED_VALUE"""),"Banner, Martin")</f>
        <v>Banner, Martin</v>
      </c>
      <c r="B437" s="3">
        <f ca="1">IFERROR(__xludf.DUMMYFUNCTION("""COMPUTED_VALUE"""),1)</f>
        <v>1</v>
      </c>
      <c r="C437" s="7">
        <f ca="1">IFERROR(__xludf.DUMMYFUNCTION("""COMPUTED_VALUE"""),1)</f>
        <v>1</v>
      </c>
      <c r="D437" s="8">
        <f ca="1">IFERROR(__xludf.DUMMYFUNCTION("""COMPUTED_VALUE"""),1)</f>
        <v>1</v>
      </c>
      <c r="E437" s="2">
        <f ca="1">IFERROR(__xludf.DUMMYFUNCTION("""COMPUTED_VALUE"""),1)</f>
        <v>1</v>
      </c>
    </row>
    <row r="438" spans="1:5" ht="13">
      <c r="A438" s="8" t="str">
        <f ca="1">IFERROR(__xludf.DUMMYFUNCTION("""COMPUTED_VALUE"""),"Bantock, Granville")</f>
        <v>Bantock, Granville</v>
      </c>
      <c r="B438" s="3">
        <f ca="1">IFERROR(__xludf.DUMMYFUNCTION("""COMPUTED_VALUE"""),1)</f>
        <v>1</v>
      </c>
      <c r="C438" s="7">
        <f ca="1">IFERROR(__xludf.DUMMYFUNCTION("""COMPUTED_VALUE"""),1)</f>
        <v>1</v>
      </c>
      <c r="D438" s="8">
        <f ca="1">IFERROR(__xludf.DUMMYFUNCTION("""COMPUTED_VALUE"""),5)</f>
        <v>5</v>
      </c>
      <c r="E438" s="2">
        <f ca="1">IFERROR(__xludf.DUMMYFUNCTION("""COMPUTED_VALUE"""),2)</f>
        <v>2</v>
      </c>
    </row>
    <row r="439" spans="1:5" ht="13">
      <c r="A439" s="2" t="str">
        <f ca="1">IFERROR(__xludf.DUMMYFUNCTION("""COMPUTED_VALUE"""),"Bantock, Sir Granville")</f>
        <v>Bantock, Sir Granville</v>
      </c>
      <c r="B439" s="2">
        <f ca="1">IFERROR(__xludf.DUMMYFUNCTION("""COMPUTED_VALUE"""),1)</f>
        <v>1</v>
      </c>
      <c r="C439" s="7">
        <f ca="1">IFERROR(__xludf.DUMMYFUNCTION("""COMPUTED_VALUE"""),1)</f>
        <v>1</v>
      </c>
      <c r="D439" s="8">
        <f ca="1">IFERROR(__xludf.DUMMYFUNCTION("""COMPUTED_VALUE"""),5)</f>
        <v>5</v>
      </c>
      <c r="E439" s="2">
        <f ca="1">IFERROR(__xludf.DUMMYFUNCTION("""COMPUTED_VALUE"""),2)</f>
        <v>2</v>
      </c>
    </row>
    <row r="440" spans="1:5" ht="13">
      <c r="A440" s="2" t="str">
        <f ca="1">IFERROR(__xludf.DUMMYFUNCTION("""COMPUTED_VALUE"""),"Bantz, Johann Andrea")</f>
        <v>Bantz, Johann Andrea</v>
      </c>
      <c r="B440" s="2">
        <f ca="1">IFERROR(__xludf.DUMMYFUNCTION("""COMPUTED_VALUE"""),1)</f>
        <v>1</v>
      </c>
      <c r="C440" s="7">
        <f ca="1">IFERROR(__xludf.DUMMYFUNCTION("""COMPUTED_VALUE"""),1)</f>
        <v>1</v>
      </c>
      <c r="D440" s="8">
        <f ca="1">IFERROR(__xludf.DUMMYFUNCTION("""COMPUTED_VALUE"""),5)</f>
        <v>5</v>
      </c>
      <c r="E440" s="2">
        <f ca="1">IFERROR(__xludf.DUMMYFUNCTION("""COMPUTED_VALUE"""),2)</f>
        <v>2</v>
      </c>
    </row>
    <row r="441" spans="1:5" ht="13">
      <c r="A441" s="8" t="str">
        <f ca="1">IFERROR(__xludf.DUMMYFUNCTION("""COMPUTED_VALUE"""),"Barat, J. Edouard")</f>
        <v>Barat, J. Edouard</v>
      </c>
      <c r="B441" s="3">
        <f ca="1">IFERROR(__xludf.DUMMYFUNCTION("""COMPUTED_VALUE"""),1)</f>
        <v>1</v>
      </c>
      <c r="C441" s="7">
        <f ca="1">IFERROR(__xludf.DUMMYFUNCTION("""COMPUTED_VALUE"""),1)</f>
        <v>1</v>
      </c>
      <c r="D441" s="8">
        <f ca="1">IFERROR(__xludf.DUMMYFUNCTION("""COMPUTED_VALUE"""),5)</f>
        <v>5</v>
      </c>
      <c r="E441" s="2">
        <f ca="1">IFERROR(__xludf.DUMMYFUNCTION("""COMPUTED_VALUE"""),2)</f>
        <v>2</v>
      </c>
    </row>
    <row r="442" spans="1:5" ht="13">
      <c r="A442" s="8" t="str">
        <f ca="1">IFERROR(__xludf.DUMMYFUNCTION("""COMPUTED_VALUE"""),"Barata, Antonio")</f>
        <v>Barata, Antonio</v>
      </c>
      <c r="B442" s="3">
        <f ca="1">IFERROR(__xludf.DUMMYFUNCTION("""COMPUTED_VALUE"""),1)</f>
        <v>1</v>
      </c>
      <c r="C442" s="7">
        <f ca="1">IFERROR(__xludf.DUMMYFUNCTION("""COMPUTED_VALUE"""),1)</f>
        <v>1</v>
      </c>
      <c r="D442" s="8">
        <f ca="1">IFERROR(__xludf.DUMMYFUNCTION("""COMPUTED_VALUE"""),1)</f>
        <v>1</v>
      </c>
      <c r="E442" s="2">
        <f ca="1">IFERROR(__xludf.DUMMYFUNCTION("""COMPUTED_VALUE"""),1)</f>
        <v>1</v>
      </c>
    </row>
    <row r="443" spans="1:5" ht="13">
      <c r="A443" s="8" t="str">
        <f ca="1">IFERROR(__xludf.DUMMYFUNCTION("""COMPUTED_VALUE"""),"Baratta, Nicholas")</f>
        <v>Baratta, Nicholas</v>
      </c>
      <c r="B443" s="3">
        <f ca="1">IFERROR(__xludf.DUMMYFUNCTION("""COMPUTED_VALUE"""),1)</f>
        <v>1</v>
      </c>
      <c r="C443" s="7">
        <f ca="1">IFERROR(__xludf.DUMMYFUNCTION("""COMPUTED_VALUE"""),1)</f>
        <v>1</v>
      </c>
      <c r="D443" s="8">
        <f ca="1">IFERROR(__xludf.DUMMYFUNCTION("""COMPUTED_VALUE"""),1)</f>
        <v>1</v>
      </c>
      <c r="E443" s="2">
        <f ca="1">IFERROR(__xludf.DUMMYFUNCTION("""COMPUTED_VALUE"""),1)</f>
        <v>1</v>
      </c>
    </row>
    <row r="444" spans="1:5" ht="13">
      <c r="A444" s="8" t="str">
        <f ca="1">IFERROR(__xludf.DUMMYFUNCTION("""COMPUTED_VALUE"""),"Barber, Clarence")</f>
        <v>Barber, Clarence</v>
      </c>
      <c r="B444" s="3">
        <f ca="1">IFERROR(__xludf.DUMMYFUNCTION("""COMPUTED_VALUE"""),1)</f>
        <v>1</v>
      </c>
      <c r="C444" s="7">
        <f ca="1">IFERROR(__xludf.DUMMYFUNCTION("""COMPUTED_VALUE"""),1)</f>
        <v>1</v>
      </c>
      <c r="D444" s="8">
        <f ca="1">IFERROR(__xludf.DUMMYFUNCTION("""COMPUTED_VALUE"""),1)</f>
        <v>1</v>
      </c>
      <c r="E444" s="2">
        <f ca="1">IFERROR(__xludf.DUMMYFUNCTION("""COMPUTED_VALUE"""),1)</f>
        <v>1</v>
      </c>
    </row>
    <row r="445" spans="1:5" ht="13">
      <c r="A445" s="8" t="str">
        <f ca="1">IFERROR(__xludf.DUMMYFUNCTION("""COMPUTED_VALUE"""),"Barber, S.")</f>
        <v>Barber, S.</v>
      </c>
      <c r="B445" s="3">
        <f ca="1">IFERROR(__xludf.DUMMYFUNCTION("""COMPUTED_VALUE"""),1)</f>
        <v>1</v>
      </c>
      <c r="C445" s="7">
        <f ca="1">IFERROR(__xludf.DUMMYFUNCTION("""COMPUTED_VALUE"""),1)</f>
        <v>1</v>
      </c>
      <c r="D445" s="8">
        <f ca="1">IFERROR(__xludf.DUMMYFUNCTION("""COMPUTED_VALUE"""),5)</f>
        <v>5</v>
      </c>
      <c r="E445" s="2">
        <f ca="1">IFERROR(__xludf.DUMMYFUNCTION("""COMPUTED_VALUE"""),2)</f>
        <v>2</v>
      </c>
    </row>
    <row r="446" spans="1:5" ht="13">
      <c r="A446" s="8" t="str">
        <f ca="1">IFERROR(__xludf.DUMMYFUNCTION("""COMPUTED_VALUE"""),"Barber, Samuel")</f>
        <v>Barber, Samuel</v>
      </c>
      <c r="B446" s="3">
        <f ca="1">IFERROR(__xludf.DUMMYFUNCTION("""COMPUTED_VALUE"""),1)</f>
        <v>1</v>
      </c>
      <c r="C446" s="7">
        <f ca="1">IFERROR(__xludf.DUMMYFUNCTION("""COMPUTED_VALUE"""),1)</f>
        <v>1</v>
      </c>
      <c r="D446" s="8">
        <f ca="1">IFERROR(__xludf.DUMMYFUNCTION("""COMPUTED_VALUE"""),5)</f>
        <v>5</v>
      </c>
      <c r="E446" s="2">
        <f ca="1">IFERROR(__xludf.DUMMYFUNCTION("""COMPUTED_VALUE"""),2)</f>
        <v>2</v>
      </c>
    </row>
    <row r="447" spans="1:5" ht="13">
      <c r="A447" s="2" t="str">
        <f ca="1">IFERROR(__xludf.DUMMYFUNCTION("""COMPUTED_VALUE"""),"Barbieri, Francisco Asenjo")</f>
        <v>Barbieri, Francisco Asenjo</v>
      </c>
      <c r="B447" s="3">
        <f ca="1">IFERROR(__xludf.DUMMYFUNCTION("""COMPUTED_VALUE"""),1)</f>
        <v>1</v>
      </c>
      <c r="C447" s="7">
        <f ca="1">IFERROR(__xludf.DUMMYFUNCTION("""COMPUTED_VALUE"""),1)</f>
        <v>1</v>
      </c>
      <c r="D447" s="8">
        <f ca="1">IFERROR(__xludf.DUMMYFUNCTION("""COMPUTED_VALUE"""),5)</f>
        <v>5</v>
      </c>
      <c r="E447" s="2">
        <f ca="1">IFERROR(__xludf.DUMMYFUNCTION("""COMPUTED_VALUE"""),2)</f>
        <v>2</v>
      </c>
    </row>
    <row r="448" spans="1:5" ht="13">
      <c r="A448" s="2" t="str">
        <f ca="1">IFERROR(__xludf.DUMMYFUNCTION("""COMPUTED_VALUE"""),"Barbieri, Steven")</f>
        <v>Barbieri, Steven</v>
      </c>
      <c r="B448" s="3">
        <f ca="1">IFERROR(__xludf.DUMMYFUNCTION("""COMPUTED_VALUE"""),1)</f>
        <v>1</v>
      </c>
      <c r="C448" s="7">
        <f ca="1">IFERROR(__xludf.DUMMYFUNCTION("""COMPUTED_VALUE"""),1)</f>
        <v>1</v>
      </c>
      <c r="D448" s="8">
        <f ca="1">IFERROR(__xludf.DUMMYFUNCTION("""COMPUTED_VALUE"""),1)</f>
        <v>1</v>
      </c>
      <c r="E448" s="2">
        <f ca="1">IFERROR(__xludf.DUMMYFUNCTION("""COMPUTED_VALUE"""),1)</f>
        <v>1</v>
      </c>
    </row>
    <row r="449" spans="1:5" ht="13">
      <c r="A449" s="2" t="str">
        <f ca="1">IFERROR(__xludf.DUMMYFUNCTION("""COMPUTED_VALUE"""),"Barbirolli, John")</f>
        <v>Barbirolli, John</v>
      </c>
      <c r="B449" s="3">
        <f ca="1">IFERROR(__xludf.DUMMYFUNCTION("""COMPUTED_VALUE"""),1)</f>
        <v>1</v>
      </c>
      <c r="C449" s="7">
        <f ca="1">IFERROR(__xludf.DUMMYFUNCTION("""COMPUTED_VALUE"""),1)</f>
        <v>1</v>
      </c>
      <c r="D449" s="8">
        <f ca="1">IFERROR(__xludf.DUMMYFUNCTION("""COMPUTED_VALUE"""),5)</f>
        <v>5</v>
      </c>
      <c r="E449" s="2">
        <f ca="1">IFERROR(__xludf.DUMMYFUNCTION("""COMPUTED_VALUE"""),2)</f>
        <v>2</v>
      </c>
    </row>
    <row r="450" spans="1:5" ht="13">
      <c r="A450" s="2" t="str">
        <f ca="1">IFERROR(__xludf.DUMMYFUNCTION("""COMPUTED_VALUE"""),"Barclay, Bill")</f>
        <v>Barclay, Bill</v>
      </c>
      <c r="B450" s="3">
        <f ca="1">IFERROR(__xludf.DUMMYFUNCTION("""COMPUTED_VALUE"""),1)</f>
        <v>1</v>
      </c>
      <c r="C450" s="7">
        <f ca="1">IFERROR(__xludf.DUMMYFUNCTION("""COMPUTED_VALUE"""),1)</f>
        <v>1</v>
      </c>
      <c r="D450" s="8">
        <f ca="1">IFERROR(__xludf.DUMMYFUNCTION("""COMPUTED_VALUE"""),1)</f>
        <v>1</v>
      </c>
      <c r="E450" s="2">
        <f ca="1">IFERROR(__xludf.DUMMYFUNCTION("""COMPUTED_VALUE"""),1)</f>
        <v>1</v>
      </c>
    </row>
    <row r="451" spans="1:5" ht="13">
      <c r="A451" s="8" t="str">
        <f ca="1">IFERROR(__xludf.DUMMYFUNCTION("""COMPUTED_VALUE"""),"Bardeen, Robert J.")</f>
        <v>Bardeen, Robert J.</v>
      </c>
      <c r="B451" s="3">
        <f ca="1">IFERROR(__xludf.DUMMYFUNCTION("""COMPUTED_VALUE"""),1)</f>
        <v>1</v>
      </c>
      <c r="C451" s="7">
        <f ca="1">IFERROR(__xludf.DUMMYFUNCTION("""COMPUTED_VALUE"""),1)</f>
        <v>1</v>
      </c>
      <c r="D451" s="8">
        <f ca="1">IFERROR(__xludf.DUMMYFUNCTION("""COMPUTED_VALUE"""),5)</f>
        <v>5</v>
      </c>
      <c r="E451" s="2">
        <f ca="1">IFERROR(__xludf.DUMMYFUNCTION("""COMPUTED_VALUE"""),2)</f>
        <v>2</v>
      </c>
    </row>
    <row r="452" spans="1:5" ht="13">
      <c r="A452" s="2" t="str">
        <f ca="1">IFERROR(__xludf.DUMMYFUNCTION("""COMPUTED_VALUE"""),"Bardos, Lajos")</f>
        <v>Bardos, Lajos</v>
      </c>
      <c r="B452" s="3">
        <f ca="1">IFERROR(__xludf.DUMMYFUNCTION("""COMPUTED_VALUE"""),1)</f>
        <v>1</v>
      </c>
      <c r="C452" s="7">
        <f ca="1">IFERROR(__xludf.DUMMYFUNCTION("""COMPUTED_VALUE"""),1)</f>
        <v>1</v>
      </c>
      <c r="D452" s="8">
        <f ca="1">IFERROR(__xludf.DUMMYFUNCTION("""COMPUTED_VALUE"""),5)</f>
        <v>5</v>
      </c>
      <c r="E452" s="2">
        <f ca="1">IFERROR(__xludf.DUMMYFUNCTION("""COMPUTED_VALUE"""),2)</f>
        <v>2</v>
      </c>
    </row>
    <row r="453" spans="1:5" ht="13">
      <c r="A453" s="2" t="str">
        <f ca="1">IFERROR(__xludf.DUMMYFUNCTION("""COMPUTED_VALUE"""),"Bárdos, Lajos")</f>
        <v>Bárdos, Lajos</v>
      </c>
      <c r="B453" s="3">
        <f ca="1">IFERROR(__xludf.DUMMYFUNCTION("""COMPUTED_VALUE"""),1)</f>
        <v>1</v>
      </c>
      <c r="C453" s="7">
        <f ca="1">IFERROR(__xludf.DUMMYFUNCTION("""COMPUTED_VALUE"""),1)</f>
        <v>1</v>
      </c>
      <c r="D453" s="8">
        <f ca="1">IFERROR(__xludf.DUMMYFUNCTION("""COMPUTED_VALUE"""),5)</f>
        <v>5</v>
      </c>
      <c r="E453" s="2">
        <f ca="1">IFERROR(__xludf.DUMMYFUNCTION("""COMPUTED_VALUE"""),2)</f>
        <v>2</v>
      </c>
    </row>
    <row r="454" spans="1:5" ht="13">
      <c r="A454" s="2" t="str">
        <f ca="1">IFERROR(__xludf.DUMMYFUNCTION("""COMPUTED_VALUE"""),"Barduhn, Dave")</f>
        <v>Barduhn, Dave</v>
      </c>
      <c r="B454" s="3">
        <f ca="1">IFERROR(__xludf.DUMMYFUNCTION("""COMPUTED_VALUE"""),1)</f>
        <v>1</v>
      </c>
      <c r="C454" s="7">
        <f ca="1">IFERROR(__xludf.DUMMYFUNCTION("""COMPUTED_VALUE"""),1)</f>
        <v>1</v>
      </c>
      <c r="D454" s="8">
        <f ca="1">IFERROR(__xludf.DUMMYFUNCTION("""COMPUTED_VALUE"""),1)</f>
        <v>1</v>
      </c>
      <c r="E454" s="2">
        <f ca="1">IFERROR(__xludf.DUMMYFUNCTION("""COMPUTED_VALUE"""),1)</f>
        <v>1</v>
      </c>
    </row>
    <row r="455" spans="1:5" ht="13">
      <c r="A455" s="2" t="str">
        <f ca="1">IFERROR(__xludf.DUMMYFUNCTION("""COMPUTED_VALUE"""),"Bargiel, Woldemar")</f>
        <v>Bargiel, Woldemar</v>
      </c>
      <c r="B455" s="2">
        <f ca="1">IFERROR(__xludf.DUMMYFUNCTION("""COMPUTED_VALUE"""),1)</f>
        <v>1</v>
      </c>
      <c r="C455" s="7">
        <f ca="1">IFERROR(__xludf.DUMMYFUNCTION("""COMPUTED_VALUE"""),1)</f>
        <v>1</v>
      </c>
      <c r="D455" s="8">
        <f ca="1">IFERROR(__xludf.DUMMYFUNCTION("""COMPUTED_VALUE"""),5)</f>
        <v>5</v>
      </c>
      <c r="E455" s="2">
        <f ca="1">IFERROR(__xludf.DUMMYFUNCTION("""COMPUTED_VALUE"""),2)</f>
        <v>2</v>
      </c>
    </row>
    <row r="456" spans="1:5" ht="13">
      <c r="A456" s="2" t="str">
        <f ca="1">IFERROR(__xludf.DUMMYFUNCTION("""COMPUTED_VALUE"""),"Barham, Terry")</f>
        <v>Barham, Terry</v>
      </c>
      <c r="B456" s="3">
        <f ca="1">IFERROR(__xludf.DUMMYFUNCTION("""COMPUTED_VALUE"""),1)</f>
        <v>1</v>
      </c>
      <c r="C456" s="7">
        <f ca="1">IFERROR(__xludf.DUMMYFUNCTION("""COMPUTED_VALUE"""),1)</f>
        <v>1</v>
      </c>
      <c r="D456" s="8">
        <f ca="1">IFERROR(__xludf.DUMMYFUNCTION("""COMPUTED_VALUE"""),1)</f>
        <v>1</v>
      </c>
      <c r="E456" s="2">
        <f ca="1">IFERROR(__xludf.DUMMYFUNCTION("""COMPUTED_VALUE"""),1)</f>
        <v>1</v>
      </c>
    </row>
    <row r="457" spans="1:5" ht="13">
      <c r="A457" s="2" t="str">
        <f ca="1">IFERROR(__xludf.DUMMYFUNCTION("""COMPUTED_VALUE"""),"Barham, Terry J.")</f>
        <v>Barham, Terry J.</v>
      </c>
      <c r="B457" s="3">
        <f ca="1">IFERROR(__xludf.DUMMYFUNCTION("""COMPUTED_VALUE"""),1)</f>
        <v>1</v>
      </c>
      <c r="C457" s="7">
        <f ca="1">IFERROR(__xludf.DUMMYFUNCTION("""COMPUTED_VALUE"""),1)</f>
        <v>1</v>
      </c>
      <c r="D457" s="8">
        <f ca="1">IFERROR(__xludf.DUMMYFUNCTION("""COMPUTED_VALUE"""),1)</f>
        <v>1</v>
      </c>
      <c r="E457" s="2">
        <f ca="1">IFERROR(__xludf.DUMMYFUNCTION("""COMPUTED_VALUE"""),1)</f>
        <v>1</v>
      </c>
    </row>
    <row r="458" spans="1:5" ht="13">
      <c r="A458" s="8" t="str">
        <f ca="1">IFERROR(__xludf.DUMMYFUNCTION("""COMPUTED_VALUE"""),"Barilari, Elbio")</f>
        <v>Barilari, Elbio</v>
      </c>
      <c r="B458" s="3">
        <f ca="1">IFERROR(__xludf.DUMMYFUNCTION("""COMPUTED_VALUE"""),1)</f>
        <v>1</v>
      </c>
      <c r="C458" s="7">
        <f ca="1">IFERROR(__xludf.DUMMYFUNCTION("""COMPUTED_VALUE"""),1)</f>
        <v>1</v>
      </c>
      <c r="D458" s="8">
        <f ca="1">IFERROR(__xludf.DUMMYFUNCTION("""COMPUTED_VALUE"""),1)</f>
        <v>1</v>
      </c>
      <c r="E458" s="2">
        <f ca="1">IFERROR(__xludf.DUMMYFUNCTION("""COMPUTED_VALUE"""),1)</f>
        <v>1</v>
      </c>
    </row>
    <row r="459" spans="1:5" ht="13">
      <c r="A459" s="2" t="str">
        <f ca="1">IFERROR(__xludf.DUMMYFUNCTION("""COMPUTED_VALUE"""),"Barish, Benjamin")</f>
        <v>Barish, Benjamin</v>
      </c>
      <c r="B459" s="2">
        <f ca="1">IFERROR(__xludf.DUMMYFUNCTION("""COMPUTED_VALUE"""),1)</f>
        <v>1</v>
      </c>
      <c r="C459" s="7">
        <f ca="1">IFERROR(__xludf.DUMMYFUNCTION("""COMPUTED_VALUE"""),1)</f>
        <v>1</v>
      </c>
      <c r="D459" s="8">
        <f ca="1">IFERROR(__xludf.DUMMYFUNCTION("""COMPUTED_VALUE"""),1)</f>
        <v>1</v>
      </c>
      <c r="E459" s="2">
        <f ca="1">IFERROR(__xludf.DUMMYFUNCTION("""COMPUTED_VALUE"""),1)</f>
        <v>1</v>
      </c>
    </row>
    <row r="460" spans="1:5" ht="13">
      <c r="A460" s="2" t="str">
        <f ca="1">IFERROR(__xludf.DUMMYFUNCTION("""COMPUTED_VALUE"""),"Barisons, Peteris")</f>
        <v>Barisons, Peteris</v>
      </c>
      <c r="B460" s="3">
        <f ca="1">IFERROR(__xludf.DUMMYFUNCTION("""COMPUTED_VALUE"""),1)</f>
        <v>1</v>
      </c>
      <c r="C460" s="7">
        <f ca="1">IFERROR(__xludf.DUMMYFUNCTION("""COMPUTED_VALUE"""),1)</f>
        <v>1</v>
      </c>
      <c r="D460" s="8">
        <f ca="1">IFERROR(__xludf.DUMMYFUNCTION("""COMPUTED_VALUE"""),5)</f>
        <v>5</v>
      </c>
      <c r="E460" s="2">
        <f ca="1">IFERROR(__xludf.DUMMYFUNCTION("""COMPUTED_VALUE"""),2)</f>
        <v>2</v>
      </c>
    </row>
    <row r="461" spans="1:5" ht="13">
      <c r="A461" s="2" t="str">
        <f ca="1">IFERROR(__xludf.DUMMYFUNCTION("""COMPUTED_VALUE"""),"Barker, Ben")</f>
        <v>Barker, Ben</v>
      </c>
      <c r="B461" s="2">
        <f ca="1">IFERROR(__xludf.DUMMYFUNCTION("""COMPUTED_VALUE"""),1)</f>
        <v>1</v>
      </c>
      <c r="C461" s="7">
        <f ca="1">IFERROR(__xludf.DUMMYFUNCTION("""COMPUTED_VALUE"""),1)</f>
        <v>1</v>
      </c>
      <c r="D461" s="8">
        <f ca="1">IFERROR(__xludf.DUMMYFUNCTION("""COMPUTED_VALUE"""),1)</f>
        <v>1</v>
      </c>
      <c r="E461" s="2">
        <f ca="1">IFERROR(__xludf.DUMMYFUNCTION("""COMPUTED_VALUE"""),1)</f>
        <v>1</v>
      </c>
    </row>
    <row r="462" spans="1:5" ht="13">
      <c r="A462" s="2" t="str">
        <f ca="1">IFERROR(__xludf.DUMMYFUNCTION("""COMPUTED_VALUE"""),"Barker, Benjamin R.")</f>
        <v>Barker, Benjamin R.</v>
      </c>
      <c r="B462" s="3">
        <f ca="1">IFERROR(__xludf.DUMMYFUNCTION("""COMPUTED_VALUE"""),1)</f>
        <v>1</v>
      </c>
      <c r="C462" s="7">
        <f ca="1">IFERROR(__xludf.DUMMYFUNCTION("""COMPUTED_VALUE"""),1)</f>
        <v>1</v>
      </c>
      <c r="D462" s="8">
        <f ca="1">IFERROR(__xludf.DUMMYFUNCTION("""COMPUTED_VALUE"""),1)</f>
        <v>1</v>
      </c>
      <c r="E462" s="2">
        <f ca="1">IFERROR(__xludf.DUMMYFUNCTION("""COMPUTED_VALUE"""),1)</f>
        <v>1</v>
      </c>
    </row>
    <row r="463" spans="1:5" ht="13">
      <c r="A463" s="2" t="str">
        <f ca="1">IFERROR(__xludf.DUMMYFUNCTION("""COMPUTED_VALUE"""),"Barker, Paul")</f>
        <v>Barker, Paul</v>
      </c>
      <c r="B463" s="3">
        <f ca="1">IFERROR(__xludf.DUMMYFUNCTION("""COMPUTED_VALUE"""),1)</f>
        <v>1</v>
      </c>
      <c r="C463" s="7">
        <f ca="1">IFERROR(__xludf.DUMMYFUNCTION("""COMPUTED_VALUE"""),1)</f>
        <v>1</v>
      </c>
      <c r="D463" s="8">
        <f ca="1">IFERROR(__xludf.DUMMYFUNCTION("""COMPUTED_VALUE"""),1)</f>
        <v>1</v>
      </c>
      <c r="E463" s="2">
        <f ca="1">IFERROR(__xludf.DUMMYFUNCTION("""COMPUTED_VALUE"""),1)</f>
        <v>1</v>
      </c>
    </row>
    <row r="464" spans="1:5" ht="13">
      <c r="A464" s="8" t="str">
        <f ca="1">IFERROR(__xludf.DUMMYFUNCTION("""COMPUTED_VALUE"""),"Barker, Warren")</f>
        <v>Barker, Warren</v>
      </c>
      <c r="B464" s="3">
        <f ca="1">IFERROR(__xludf.DUMMYFUNCTION("""COMPUTED_VALUE"""),1)</f>
        <v>1</v>
      </c>
      <c r="C464" s="7">
        <f ca="1">IFERROR(__xludf.DUMMYFUNCTION("""COMPUTED_VALUE"""),1)</f>
        <v>1</v>
      </c>
      <c r="D464" s="8">
        <f ca="1">IFERROR(__xludf.DUMMYFUNCTION("""COMPUTED_VALUE"""),5)</f>
        <v>5</v>
      </c>
      <c r="E464" s="2">
        <f ca="1">IFERROR(__xludf.DUMMYFUNCTION("""COMPUTED_VALUE"""),2)</f>
        <v>2</v>
      </c>
    </row>
    <row r="465" spans="1:5" ht="13">
      <c r="A465" s="2" t="str">
        <f ca="1">IFERROR(__xludf.DUMMYFUNCTION("""COMPUTED_VALUE"""),"Barlett, Clifford")</f>
        <v>Barlett, Clifford</v>
      </c>
      <c r="B465" s="2">
        <f ca="1">IFERROR(__xludf.DUMMYFUNCTION("""COMPUTED_VALUE"""),1)</f>
        <v>1</v>
      </c>
      <c r="C465" s="2">
        <f ca="1">IFERROR(__xludf.DUMMYFUNCTION("""COMPUTED_VALUE"""),1)</f>
        <v>1</v>
      </c>
      <c r="D465" s="8">
        <f ca="1">IFERROR(__xludf.DUMMYFUNCTION("""COMPUTED_VALUE"""),5)</f>
        <v>5</v>
      </c>
      <c r="E465" s="2">
        <f ca="1">IFERROR(__xludf.DUMMYFUNCTION("""COMPUTED_VALUE"""),2)</f>
        <v>2</v>
      </c>
    </row>
    <row r="466" spans="1:5" ht="13">
      <c r="A466" s="2" t="str">
        <f ca="1">IFERROR(__xludf.DUMMYFUNCTION("""COMPUTED_VALUE"""),"Barlow, Stephen")</f>
        <v>Barlow, Stephen</v>
      </c>
      <c r="B466" s="2">
        <f ca="1">IFERROR(__xludf.DUMMYFUNCTION("""COMPUTED_VALUE"""),1)</f>
        <v>1</v>
      </c>
      <c r="C466" s="2">
        <f ca="1">IFERROR(__xludf.DUMMYFUNCTION("""COMPUTED_VALUE"""),1)</f>
        <v>1</v>
      </c>
      <c r="D466" s="8">
        <f ca="1">IFERROR(__xludf.DUMMYFUNCTION("""COMPUTED_VALUE"""),1)</f>
        <v>1</v>
      </c>
      <c r="E466" s="2">
        <f ca="1">IFERROR(__xludf.DUMMYFUNCTION("""COMPUTED_VALUE"""),1)</f>
        <v>1</v>
      </c>
    </row>
    <row r="467" spans="1:5" ht="13">
      <c r="A467" s="8" t="str">
        <f ca="1">IFERROR(__xludf.DUMMYFUNCTION("""COMPUTED_VALUE"""),"Barlow, Wayne")</f>
        <v>Barlow, Wayne</v>
      </c>
      <c r="B467" s="3">
        <f ca="1">IFERROR(__xludf.DUMMYFUNCTION("""COMPUTED_VALUE"""),1)</f>
        <v>1</v>
      </c>
      <c r="C467" s="7">
        <f ca="1">IFERROR(__xludf.DUMMYFUNCTION("""COMPUTED_VALUE"""),1)</f>
        <v>1</v>
      </c>
      <c r="D467" s="8">
        <f ca="1">IFERROR(__xludf.DUMMYFUNCTION("""COMPUTED_VALUE"""),5)</f>
        <v>5</v>
      </c>
      <c r="E467" s="2">
        <f ca="1">IFERROR(__xludf.DUMMYFUNCTION("""COMPUTED_VALUE"""),2)</f>
        <v>2</v>
      </c>
    </row>
    <row r="468" spans="1:5" ht="13">
      <c r="A468" s="2" t="str">
        <f ca="1">IFERROR(__xludf.DUMMYFUNCTION("""COMPUTED_VALUE"""),"Barnard, Floyd")</f>
        <v>Barnard, Floyd</v>
      </c>
      <c r="B468" s="2">
        <f ca="1">IFERROR(__xludf.DUMMYFUNCTION("""COMPUTED_VALUE"""),1)</f>
        <v>1</v>
      </c>
      <c r="C468" s="2">
        <f ca="1">IFERROR(__xludf.DUMMYFUNCTION("""COMPUTED_VALUE"""),1)</f>
        <v>1</v>
      </c>
      <c r="D468" s="8">
        <f ca="1">IFERROR(__xludf.DUMMYFUNCTION("""COMPUTED_VALUE"""),5)</f>
        <v>5</v>
      </c>
      <c r="E468" s="2">
        <f ca="1">IFERROR(__xludf.DUMMYFUNCTION("""COMPUTED_VALUE"""),2)</f>
        <v>2</v>
      </c>
    </row>
    <row r="469" spans="1:5" ht="13">
      <c r="A469" s="2" t="str">
        <f ca="1">IFERROR(__xludf.DUMMYFUNCTION("""COMPUTED_VALUE"""),"Barnard, John")</f>
        <v>Barnard, John</v>
      </c>
      <c r="B469" s="3">
        <f ca="1">IFERROR(__xludf.DUMMYFUNCTION("""COMPUTED_VALUE"""),1)</f>
        <v>1</v>
      </c>
      <c r="C469" s="7">
        <f ca="1">IFERROR(__xludf.DUMMYFUNCTION("""COMPUTED_VALUE"""),1)</f>
        <v>1</v>
      </c>
      <c r="D469" s="8">
        <f ca="1">IFERROR(__xludf.DUMMYFUNCTION("""COMPUTED_VALUE"""),1)</f>
        <v>1</v>
      </c>
      <c r="E469" s="2">
        <f ca="1">IFERROR(__xludf.DUMMYFUNCTION("""COMPUTED_VALUE"""),1)</f>
        <v>1</v>
      </c>
    </row>
    <row r="470" spans="1:5" ht="13">
      <c r="A470" s="8" t="str">
        <f ca="1">IFERROR(__xludf.DUMMYFUNCTION("""COMPUTED_VALUE"""),"Barnard, Mark")</f>
        <v>Barnard, Mark</v>
      </c>
      <c r="B470" s="3">
        <f ca="1">IFERROR(__xludf.DUMMYFUNCTION("""COMPUTED_VALUE"""),1)</f>
        <v>1</v>
      </c>
      <c r="C470" s="7">
        <f ca="1">IFERROR(__xludf.DUMMYFUNCTION("""COMPUTED_VALUE"""),1)</f>
        <v>1</v>
      </c>
      <c r="D470" s="8">
        <f ca="1">IFERROR(__xludf.DUMMYFUNCTION("""COMPUTED_VALUE"""),1)</f>
        <v>1</v>
      </c>
      <c r="E470" s="2">
        <f ca="1">IFERROR(__xludf.DUMMYFUNCTION("""COMPUTED_VALUE"""),1)</f>
        <v>1</v>
      </c>
    </row>
    <row r="471" spans="1:5" ht="13">
      <c r="A471" s="2" t="str">
        <f ca="1">IFERROR(__xludf.DUMMYFUNCTION("""COMPUTED_VALUE"""),"Barnby. Joseph")</f>
        <v>Barnby. Joseph</v>
      </c>
      <c r="B471" s="2">
        <f ca="1">IFERROR(__xludf.DUMMYFUNCTION("""COMPUTED_VALUE"""),1)</f>
        <v>1</v>
      </c>
      <c r="C471" s="7">
        <f ca="1">IFERROR(__xludf.DUMMYFUNCTION("""COMPUTED_VALUE"""),1)</f>
        <v>1</v>
      </c>
      <c r="D471" s="8">
        <f ca="1">IFERROR(__xludf.DUMMYFUNCTION("""COMPUTED_VALUE"""),5)</f>
        <v>5</v>
      </c>
      <c r="E471" s="2">
        <f ca="1">IFERROR(__xludf.DUMMYFUNCTION("""COMPUTED_VALUE"""),2)</f>
        <v>2</v>
      </c>
    </row>
    <row r="472" spans="1:5" ht="13">
      <c r="A472" s="8" t="str">
        <f ca="1">IFERROR(__xludf.DUMMYFUNCTION("""COMPUTED_VALUE"""),"Barnes, Clifford P.")</f>
        <v>Barnes, Clifford P.</v>
      </c>
      <c r="B472" s="3">
        <f ca="1">IFERROR(__xludf.DUMMYFUNCTION("""COMPUTED_VALUE"""),1)</f>
        <v>1</v>
      </c>
      <c r="C472" s="7">
        <f ca="1">IFERROR(__xludf.DUMMYFUNCTION("""COMPUTED_VALUE"""),1)</f>
        <v>1</v>
      </c>
      <c r="D472" s="8">
        <f ca="1">IFERROR(__xludf.DUMMYFUNCTION("""COMPUTED_VALUE"""),5)</f>
        <v>5</v>
      </c>
      <c r="E472" s="2">
        <f ca="1">IFERROR(__xludf.DUMMYFUNCTION("""COMPUTED_VALUE"""),2)</f>
        <v>2</v>
      </c>
    </row>
    <row r="473" spans="1:5" ht="13">
      <c r="A473" s="2" t="str">
        <f ca="1">IFERROR(__xludf.DUMMYFUNCTION("""COMPUTED_VALUE"""),"Barnes, Eric")</f>
        <v>Barnes, Eric</v>
      </c>
      <c r="B473" s="3">
        <f ca="1">IFERROR(__xludf.DUMMYFUNCTION("""COMPUTED_VALUE"""),1)</f>
        <v>1</v>
      </c>
      <c r="C473" s="7">
        <f ca="1">IFERROR(__xludf.DUMMYFUNCTION("""COMPUTED_VALUE"""),1)</f>
        <v>1</v>
      </c>
      <c r="D473" s="8">
        <f ca="1">IFERROR(__xludf.DUMMYFUNCTION("""COMPUTED_VALUE"""),1)</f>
        <v>1</v>
      </c>
      <c r="E473" s="2">
        <f ca="1">IFERROR(__xludf.DUMMYFUNCTION("""COMPUTED_VALUE"""),1)</f>
        <v>1</v>
      </c>
    </row>
    <row r="474" spans="1:5" ht="13">
      <c r="A474" s="2" t="str">
        <f ca="1">IFERROR(__xludf.DUMMYFUNCTION("""COMPUTED_VALUE"""),"Barnes, Eric Lane")</f>
        <v>Barnes, Eric Lane</v>
      </c>
      <c r="B474" s="3">
        <f ca="1">IFERROR(__xludf.DUMMYFUNCTION("""COMPUTED_VALUE"""),1)</f>
        <v>1</v>
      </c>
      <c r="C474" s="7">
        <f ca="1">IFERROR(__xludf.DUMMYFUNCTION("""COMPUTED_VALUE"""),1)</f>
        <v>1</v>
      </c>
      <c r="D474" s="8">
        <f ca="1">IFERROR(__xludf.DUMMYFUNCTION("""COMPUTED_VALUE"""),1)</f>
        <v>1</v>
      </c>
      <c r="E474" s="2">
        <f ca="1">IFERROR(__xludf.DUMMYFUNCTION("""COMPUTED_VALUE"""),1)</f>
        <v>1</v>
      </c>
    </row>
    <row r="475" spans="1:5" ht="13">
      <c r="A475" s="8" t="str">
        <f ca="1">IFERROR(__xludf.DUMMYFUNCTION("""COMPUTED_VALUE"""),"Barnes, James")</f>
        <v>Barnes, James</v>
      </c>
      <c r="B475" s="3">
        <f ca="1">IFERROR(__xludf.DUMMYFUNCTION("""COMPUTED_VALUE"""),1)</f>
        <v>1</v>
      </c>
      <c r="C475" s="7">
        <f ca="1">IFERROR(__xludf.DUMMYFUNCTION("""COMPUTED_VALUE"""),1)</f>
        <v>1</v>
      </c>
      <c r="D475" s="8">
        <f ca="1">IFERROR(__xludf.DUMMYFUNCTION("""COMPUTED_VALUE"""),1)</f>
        <v>1</v>
      </c>
      <c r="E475" s="2">
        <f ca="1">IFERROR(__xludf.DUMMYFUNCTION("""COMPUTED_VALUE"""),1)</f>
        <v>1</v>
      </c>
    </row>
    <row r="476" spans="1:5" ht="13">
      <c r="A476" s="8" t="str">
        <f ca="1">IFERROR(__xludf.DUMMYFUNCTION("""COMPUTED_VALUE"""),"Barnes, Jared")</f>
        <v>Barnes, Jared</v>
      </c>
      <c r="B476" s="3">
        <f ca="1">IFERROR(__xludf.DUMMYFUNCTION("""COMPUTED_VALUE"""),1)</f>
        <v>1</v>
      </c>
      <c r="C476" s="7">
        <f ca="1">IFERROR(__xludf.DUMMYFUNCTION("""COMPUTED_VALUE"""),1)</f>
        <v>1</v>
      </c>
      <c r="D476" s="8">
        <f ca="1">IFERROR(__xludf.DUMMYFUNCTION("""COMPUTED_VALUE"""),1)</f>
        <v>1</v>
      </c>
      <c r="E476" s="2">
        <f ca="1">IFERROR(__xludf.DUMMYFUNCTION("""COMPUTED_VALUE"""),1)</f>
        <v>1</v>
      </c>
    </row>
    <row r="477" spans="1:5" ht="13">
      <c r="A477" s="8" t="str">
        <f ca="1">IFERROR(__xludf.DUMMYFUNCTION("""COMPUTED_VALUE"""),"Barnes, Jonathan")</f>
        <v>Barnes, Jonathan</v>
      </c>
      <c r="B477" s="3">
        <f ca="1">IFERROR(__xludf.DUMMYFUNCTION("""COMPUTED_VALUE"""),1)</f>
        <v>1</v>
      </c>
      <c r="C477" s="7">
        <f ca="1">IFERROR(__xludf.DUMMYFUNCTION("""COMPUTED_VALUE"""),1)</f>
        <v>1</v>
      </c>
      <c r="D477" s="8">
        <f ca="1">IFERROR(__xludf.DUMMYFUNCTION("""COMPUTED_VALUE"""),1)</f>
        <v>1</v>
      </c>
      <c r="E477" s="2">
        <f ca="1">IFERROR(__xludf.DUMMYFUNCTION("""COMPUTED_VALUE"""),1)</f>
        <v>1</v>
      </c>
    </row>
    <row r="478" spans="1:5" ht="13">
      <c r="A478" s="2" t="str">
        <f ca="1">IFERROR(__xludf.DUMMYFUNCTION("""COMPUTED_VALUE"""),"Barnes, Milton")</f>
        <v>Barnes, Milton</v>
      </c>
      <c r="B478" s="2">
        <f ca="1">IFERROR(__xludf.DUMMYFUNCTION("""COMPUTED_VALUE"""),1)</f>
        <v>1</v>
      </c>
      <c r="C478" s="7">
        <f ca="1">IFERROR(__xludf.DUMMYFUNCTION("""COMPUTED_VALUE"""),1)</f>
        <v>1</v>
      </c>
      <c r="D478" s="8">
        <f ca="1">IFERROR(__xludf.DUMMYFUNCTION("""COMPUTED_VALUE"""),5)</f>
        <v>5</v>
      </c>
      <c r="E478" s="2">
        <f ca="1">IFERROR(__xludf.DUMMYFUNCTION("""COMPUTED_VALUE"""),2)</f>
        <v>2</v>
      </c>
    </row>
    <row r="479" spans="1:5" ht="13">
      <c r="A479" s="8" t="str">
        <f ca="1">IFERROR(__xludf.DUMMYFUNCTION("""COMPUTED_VALUE"""),"Barnhouse, C.L.")</f>
        <v>Barnhouse, C.L.</v>
      </c>
      <c r="B479" s="3">
        <f ca="1">IFERROR(__xludf.DUMMYFUNCTION("""COMPUTED_VALUE"""),1)</f>
        <v>1</v>
      </c>
      <c r="C479" s="7">
        <f ca="1">IFERROR(__xludf.DUMMYFUNCTION("""COMPUTED_VALUE"""),1)</f>
        <v>1</v>
      </c>
      <c r="D479" s="8">
        <f ca="1">IFERROR(__xludf.DUMMYFUNCTION("""COMPUTED_VALUE"""),5)</f>
        <v>5</v>
      </c>
      <c r="E479" s="2">
        <f ca="1">IFERROR(__xludf.DUMMYFUNCTION("""COMPUTED_VALUE"""),2)</f>
        <v>2</v>
      </c>
    </row>
    <row r="480" spans="1:5" ht="13">
      <c r="A480" s="8" t="str">
        <f ca="1">IFERROR(__xludf.DUMMYFUNCTION("""COMPUTED_VALUE"""),"Barnicle, Stephan")</f>
        <v>Barnicle, Stephan</v>
      </c>
      <c r="B480" s="3">
        <f ca="1">IFERROR(__xludf.DUMMYFUNCTION("""COMPUTED_VALUE"""),1)</f>
        <v>1</v>
      </c>
      <c r="C480" s="7">
        <f ca="1">IFERROR(__xludf.DUMMYFUNCTION("""COMPUTED_VALUE"""),1)</f>
        <v>1</v>
      </c>
      <c r="D480" s="8">
        <f ca="1">IFERROR(__xludf.DUMMYFUNCTION("""COMPUTED_VALUE"""),1)</f>
        <v>1</v>
      </c>
      <c r="E480" s="2">
        <f ca="1">IFERROR(__xludf.DUMMYFUNCTION("""COMPUTED_VALUE"""),1)</f>
        <v>1</v>
      </c>
    </row>
    <row r="481" spans="1:5" ht="13">
      <c r="A481" s="8" t="str">
        <f ca="1">IFERROR(__xludf.DUMMYFUNCTION("""COMPUTED_VALUE"""),"Barnum, Eric William")</f>
        <v>Barnum, Eric William</v>
      </c>
      <c r="B481" s="3">
        <f ca="1">IFERROR(__xludf.DUMMYFUNCTION("""COMPUTED_VALUE"""),1)</f>
        <v>1</v>
      </c>
      <c r="C481" s="7">
        <f ca="1">IFERROR(__xludf.DUMMYFUNCTION("""COMPUTED_VALUE"""),1)</f>
        <v>1</v>
      </c>
      <c r="D481" s="8">
        <f ca="1">IFERROR(__xludf.DUMMYFUNCTION("""COMPUTED_VALUE"""),1)</f>
        <v>1</v>
      </c>
      <c r="E481" s="2">
        <f ca="1">IFERROR(__xludf.DUMMYFUNCTION("""COMPUTED_VALUE"""),1)</f>
        <v>1</v>
      </c>
    </row>
    <row r="482" spans="1:5" ht="13">
      <c r="A482" s="8" t="str">
        <f ca="1">IFERROR(__xludf.DUMMYFUNCTION("""COMPUTED_VALUE"""),"Barr, R.M.")</f>
        <v>Barr, R.M.</v>
      </c>
      <c r="B482" s="3">
        <f ca="1">IFERROR(__xludf.DUMMYFUNCTION("""COMPUTED_VALUE"""),1)</f>
        <v>1</v>
      </c>
      <c r="C482" s="7">
        <f ca="1">IFERROR(__xludf.DUMMYFUNCTION("""COMPUTED_VALUE"""),1)</f>
        <v>1</v>
      </c>
      <c r="D482" s="8">
        <f ca="1">IFERROR(__xludf.DUMMYFUNCTION("""COMPUTED_VALUE"""),5)</f>
        <v>5</v>
      </c>
      <c r="E482" s="2">
        <f ca="1">IFERROR(__xludf.DUMMYFUNCTION("""COMPUTED_VALUE"""),2)</f>
        <v>2</v>
      </c>
    </row>
    <row r="483" spans="1:5" ht="13">
      <c r="A483" s="8" t="str">
        <f ca="1">IFERROR(__xludf.DUMMYFUNCTION("""COMPUTED_VALUE"""),"Barr, Robert")</f>
        <v>Barr, Robert</v>
      </c>
      <c r="B483" s="3">
        <f ca="1">IFERROR(__xludf.DUMMYFUNCTION("""COMPUTED_VALUE"""),1)</f>
        <v>1</v>
      </c>
      <c r="C483" s="7">
        <f ca="1">IFERROR(__xludf.DUMMYFUNCTION("""COMPUTED_VALUE"""),1)</f>
        <v>1</v>
      </c>
      <c r="D483" s="8">
        <f ca="1">IFERROR(__xludf.DUMMYFUNCTION("""COMPUTED_VALUE"""),5)</f>
        <v>5</v>
      </c>
      <c r="E483" s="2">
        <f ca="1">IFERROR(__xludf.DUMMYFUNCTION("""COMPUTED_VALUE"""),2)</f>
        <v>2</v>
      </c>
    </row>
    <row r="484" spans="1:5" ht="13">
      <c r="A484" s="8" t="str">
        <f ca="1">IFERROR(__xludf.DUMMYFUNCTION("""COMPUTED_VALUE"""),"Barratta, Nicholas")</f>
        <v>Barratta, Nicholas</v>
      </c>
      <c r="B484" s="3">
        <f ca="1">IFERROR(__xludf.DUMMYFUNCTION("""COMPUTED_VALUE"""),1)</f>
        <v>1</v>
      </c>
      <c r="C484" s="7">
        <f ca="1">IFERROR(__xludf.DUMMYFUNCTION("""COMPUTED_VALUE"""),1)</f>
        <v>1</v>
      </c>
      <c r="D484" s="8">
        <f ca="1">IFERROR(__xludf.DUMMYFUNCTION("""COMPUTED_VALUE"""),1)</f>
        <v>1</v>
      </c>
      <c r="E484" s="2">
        <f ca="1">IFERROR(__xludf.DUMMYFUNCTION("""COMPUTED_VALUE"""),1)</f>
        <v>1</v>
      </c>
    </row>
    <row r="485" spans="1:5" ht="13">
      <c r="A485" s="2" t="str">
        <f ca="1">IFERROR(__xludf.DUMMYFUNCTION("""COMPUTED_VALUE"""),"Barrera, Jason")</f>
        <v>Barrera, Jason</v>
      </c>
      <c r="B485" s="8">
        <f ca="1">IFERROR(__xludf.DUMMYFUNCTION("""COMPUTED_VALUE"""),1)</f>
        <v>1</v>
      </c>
      <c r="C485" s="7">
        <f ca="1">IFERROR(__xludf.DUMMYFUNCTION("""COMPUTED_VALUE"""),1)</f>
        <v>1</v>
      </c>
      <c r="D485" s="8">
        <f ca="1">IFERROR(__xludf.DUMMYFUNCTION("""COMPUTED_VALUE"""),1)</f>
        <v>1</v>
      </c>
      <c r="E485" s="8">
        <f ca="1">IFERROR(__xludf.DUMMYFUNCTION("""COMPUTED_VALUE"""),1)</f>
        <v>1</v>
      </c>
    </row>
    <row r="486" spans="1:5" ht="13">
      <c r="A486" s="2" t="str">
        <f ca="1">IFERROR(__xludf.DUMMYFUNCTION("""COMPUTED_VALUE"""),"Barrett, John")</f>
        <v>Barrett, John</v>
      </c>
      <c r="B486" s="2">
        <f ca="1">IFERROR(__xludf.DUMMYFUNCTION("""COMPUTED_VALUE"""),1)</f>
        <v>1</v>
      </c>
      <c r="C486" s="7">
        <f ca="1">IFERROR(__xludf.DUMMYFUNCTION("""COMPUTED_VALUE"""),1)</f>
        <v>1</v>
      </c>
      <c r="D486" s="8">
        <f ca="1">IFERROR(__xludf.DUMMYFUNCTION("""COMPUTED_VALUE"""),5)</f>
        <v>5</v>
      </c>
      <c r="E486" s="2">
        <f ca="1">IFERROR(__xludf.DUMMYFUNCTION("""COMPUTED_VALUE"""),2)</f>
        <v>2</v>
      </c>
    </row>
    <row r="487" spans="1:5" ht="13">
      <c r="A487" s="2" t="str">
        <f ca="1">IFERROR(__xludf.DUMMYFUNCTION("""COMPUTED_VALUE"""),"Barrett, Michael")</f>
        <v>Barrett, Michael</v>
      </c>
      <c r="B487" s="2">
        <f ca="1">IFERROR(__xludf.DUMMYFUNCTION("""COMPUTED_VALUE"""),1)</f>
        <v>1</v>
      </c>
      <c r="C487" s="7">
        <f ca="1">IFERROR(__xludf.DUMMYFUNCTION("""COMPUTED_VALUE"""),1)</f>
        <v>1</v>
      </c>
      <c r="D487" s="8">
        <f ca="1">IFERROR(__xludf.DUMMYFUNCTION("""COMPUTED_VALUE"""),1)</f>
        <v>1</v>
      </c>
      <c r="E487" s="2">
        <f ca="1">IFERROR(__xludf.DUMMYFUNCTION("""COMPUTED_VALUE"""),1)</f>
        <v>1</v>
      </c>
    </row>
    <row r="488" spans="1:5" ht="13">
      <c r="A488" s="2" t="str">
        <f ca="1">IFERROR(__xludf.DUMMYFUNCTION("""COMPUTED_VALUE"""),"Barrett, Michael / Schmitt, Ralf")</f>
        <v>Barrett, Michael / Schmitt, Ralf</v>
      </c>
      <c r="B488" s="2">
        <f ca="1">IFERROR(__xludf.DUMMYFUNCTION("""COMPUTED_VALUE"""),1)</f>
        <v>1</v>
      </c>
      <c r="C488" s="7">
        <f ca="1">IFERROR(__xludf.DUMMYFUNCTION("""COMPUTED_VALUE"""),1)</f>
        <v>1</v>
      </c>
      <c r="D488" s="8">
        <f ca="1">IFERROR(__xludf.DUMMYFUNCTION("""COMPUTED_VALUE"""),1)</f>
        <v>1</v>
      </c>
      <c r="E488" s="2">
        <f ca="1">IFERROR(__xludf.DUMMYFUNCTION("""COMPUTED_VALUE"""),1)</f>
        <v>1</v>
      </c>
    </row>
    <row r="489" spans="1:5" ht="13">
      <c r="A489" s="8" t="str">
        <f ca="1">IFERROR(__xludf.DUMMYFUNCTION("""COMPUTED_VALUE"""),"Barrett, Roland")</f>
        <v>Barrett, Roland</v>
      </c>
      <c r="B489" s="3">
        <f ca="1">IFERROR(__xludf.DUMMYFUNCTION("""COMPUTED_VALUE"""),1)</f>
        <v>1</v>
      </c>
      <c r="C489" s="7">
        <f ca="1">IFERROR(__xludf.DUMMYFUNCTION("""COMPUTED_VALUE"""),1)</f>
        <v>1</v>
      </c>
      <c r="D489" s="8">
        <f ca="1">IFERROR(__xludf.DUMMYFUNCTION("""COMPUTED_VALUE"""),1)</f>
        <v>1</v>
      </c>
      <c r="E489" s="2">
        <f ca="1">IFERROR(__xludf.DUMMYFUNCTION("""COMPUTED_VALUE"""),1)</f>
        <v>1</v>
      </c>
    </row>
    <row r="490" spans="1:5" ht="13">
      <c r="A490" s="2" t="str">
        <f ca="1">IFERROR(__xludf.DUMMYFUNCTION("""COMPUTED_VALUE"""),"Barrie, Walter")</f>
        <v>Barrie, Walter</v>
      </c>
      <c r="B490" s="3">
        <f ca="1">IFERROR(__xludf.DUMMYFUNCTION("""COMPUTED_VALUE"""),1)</f>
        <v>1</v>
      </c>
      <c r="C490" s="7">
        <f ca="1">IFERROR(__xludf.DUMMYFUNCTION("""COMPUTED_VALUE"""),1)</f>
        <v>1</v>
      </c>
      <c r="D490" s="8">
        <f ca="1">IFERROR(__xludf.DUMMYFUNCTION("""COMPUTED_VALUE"""),1)</f>
        <v>1</v>
      </c>
      <c r="E490" s="2">
        <f ca="1">IFERROR(__xludf.DUMMYFUNCTION("""COMPUTED_VALUE"""),1)</f>
        <v>1</v>
      </c>
    </row>
    <row r="491" spans="1:5" ht="13">
      <c r="A491" s="2" t="str">
        <f ca="1">IFERROR(__xludf.DUMMYFUNCTION("""COMPUTED_VALUE"""),"Barriere, Jean")</f>
        <v>Barriere, Jean</v>
      </c>
      <c r="B491" s="3">
        <f ca="1">IFERROR(__xludf.DUMMYFUNCTION("""COMPUTED_VALUE"""),1)</f>
        <v>1</v>
      </c>
      <c r="C491" s="7">
        <f ca="1">IFERROR(__xludf.DUMMYFUNCTION("""COMPUTED_VALUE"""),1)</f>
        <v>1</v>
      </c>
      <c r="D491" s="8">
        <f ca="1">IFERROR(__xludf.DUMMYFUNCTION("""COMPUTED_VALUE"""),5)</f>
        <v>5</v>
      </c>
      <c r="E491" s="2">
        <f ca="1">IFERROR(__xludf.DUMMYFUNCTION("""COMPUTED_VALUE"""),2)</f>
        <v>2</v>
      </c>
    </row>
    <row r="492" spans="1:5" ht="13">
      <c r="A492" s="8" t="str">
        <f ca="1">IFERROR(__xludf.DUMMYFUNCTION("""COMPUTED_VALUE"""),"Barrington, Wayne")</f>
        <v>Barrington, Wayne</v>
      </c>
      <c r="B492" s="3">
        <f ca="1">IFERROR(__xludf.DUMMYFUNCTION("""COMPUTED_VALUE"""),1)</f>
        <v>1</v>
      </c>
      <c r="C492" s="7">
        <f ca="1">IFERROR(__xludf.DUMMYFUNCTION("""COMPUTED_VALUE"""),1)</f>
        <v>1</v>
      </c>
      <c r="D492" s="8">
        <f ca="1">IFERROR(__xludf.DUMMYFUNCTION("""COMPUTED_VALUE"""),1)</f>
        <v>1</v>
      </c>
      <c r="E492" s="2">
        <f ca="1">IFERROR(__xludf.DUMMYFUNCTION("""COMPUTED_VALUE"""),1)</f>
        <v>1</v>
      </c>
    </row>
    <row r="493" spans="1:5" ht="13">
      <c r="A493" s="8" t="str">
        <f ca="1">IFERROR(__xludf.DUMMYFUNCTION("""COMPUTED_VALUE"""),"Barrow, Edgar L.")</f>
        <v>Barrow, Edgar L.</v>
      </c>
      <c r="B493" s="3">
        <f ca="1">IFERROR(__xludf.DUMMYFUNCTION("""COMPUTED_VALUE"""),1)</f>
        <v>1</v>
      </c>
      <c r="C493" s="7">
        <f ca="1">IFERROR(__xludf.DUMMYFUNCTION("""COMPUTED_VALUE"""),1)</f>
        <v>1</v>
      </c>
      <c r="D493" s="8">
        <f ca="1">IFERROR(__xludf.DUMMYFUNCTION("""COMPUTED_VALUE"""),1)</f>
        <v>1</v>
      </c>
      <c r="E493" s="2">
        <f ca="1">IFERROR(__xludf.DUMMYFUNCTION("""COMPUTED_VALUE"""),1)</f>
        <v>1</v>
      </c>
    </row>
    <row r="494" spans="1:5" ht="13">
      <c r="A494" s="8" t="str">
        <f ca="1">IFERROR(__xludf.DUMMYFUNCTION("""COMPUTED_VALUE"""),"Barry, Gerald")</f>
        <v>Barry, Gerald</v>
      </c>
      <c r="B494" s="3">
        <f ca="1">IFERROR(__xludf.DUMMYFUNCTION("""COMPUTED_VALUE"""),1)</f>
        <v>1</v>
      </c>
      <c r="C494" s="7">
        <f ca="1">IFERROR(__xludf.DUMMYFUNCTION("""COMPUTED_VALUE"""),1)</f>
        <v>1</v>
      </c>
      <c r="D494" s="8">
        <f ca="1">IFERROR(__xludf.DUMMYFUNCTION("""COMPUTED_VALUE"""),5)</f>
        <v>5</v>
      </c>
      <c r="E494" s="2">
        <f ca="1">IFERROR(__xludf.DUMMYFUNCTION("""COMPUTED_VALUE"""),2)</f>
        <v>2</v>
      </c>
    </row>
    <row r="495" spans="1:5" ht="13">
      <c r="A495" s="2" t="str">
        <f ca="1">IFERROR(__xludf.DUMMYFUNCTION("""COMPUTED_VALUE"""),"Barry, John")</f>
        <v>Barry, John</v>
      </c>
      <c r="B495" s="2">
        <f ca="1">IFERROR(__xludf.DUMMYFUNCTION("""COMPUTED_VALUE"""),1)</f>
        <v>1</v>
      </c>
      <c r="C495" s="7">
        <f ca="1">IFERROR(__xludf.DUMMYFUNCTION("""COMPUTED_VALUE"""),1)</f>
        <v>1</v>
      </c>
      <c r="D495" s="8">
        <f ca="1">IFERROR(__xludf.DUMMYFUNCTION("""COMPUTED_VALUE"""),5)</f>
        <v>5</v>
      </c>
      <c r="E495" s="2">
        <f ca="1">IFERROR(__xludf.DUMMYFUNCTION("""COMPUTED_VALUE"""),2)</f>
        <v>2</v>
      </c>
    </row>
    <row r="496" spans="1:5" ht="13">
      <c r="A496" s="8" t="str">
        <f ca="1">IFERROR(__xludf.DUMMYFUNCTION("""COMPUTED_VALUE"""),"Barry, Michael")</f>
        <v>Barry, Michael</v>
      </c>
      <c r="B496" s="3">
        <f ca="1">IFERROR(__xludf.DUMMYFUNCTION("""COMPUTED_VALUE"""),1)</f>
        <v>1</v>
      </c>
      <c r="C496" s="7">
        <f ca="1">IFERROR(__xludf.DUMMYFUNCTION("""COMPUTED_VALUE"""),1)</f>
        <v>1</v>
      </c>
      <c r="D496" s="8">
        <f ca="1">IFERROR(__xludf.DUMMYFUNCTION("""COMPUTED_VALUE"""),1)</f>
        <v>1</v>
      </c>
      <c r="E496" s="2">
        <f ca="1">IFERROR(__xludf.DUMMYFUNCTION("""COMPUTED_VALUE"""),1)</f>
        <v>1</v>
      </c>
    </row>
    <row r="497" spans="1:5" ht="13">
      <c r="A497" s="2" t="str">
        <f ca="1">IFERROR(__xludf.DUMMYFUNCTION("""COMPUTED_VALUE"""),"Barsanti, Francesco")</f>
        <v>Barsanti, Francesco</v>
      </c>
      <c r="B497" s="2">
        <f ca="1">IFERROR(__xludf.DUMMYFUNCTION("""COMPUTED_VALUE"""),1)</f>
        <v>1</v>
      </c>
      <c r="C497" s="7">
        <f ca="1">IFERROR(__xludf.DUMMYFUNCTION("""COMPUTED_VALUE"""),1)</f>
        <v>1</v>
      </c>
      <c r="D497" s="8">
        <f ca="1">IFERROR(__xludf.DUMMYFUNCTION("""COMPUTED_VALUE"""),5)</f>
        <v>5</v>
      </c>
      <c r="E497" s="2">
        <f ca="1">IFERROR(__xludf.DUMMYFUNCTION("""COMPUTED_VALUE"""),2)</f>
        <v>2</v>
      </c>
    </row>
    <row r="498" spans="1:5" ht="13">
      <c r="A498" s="2" t="str">
        <f ca="1">IFERROR(__xludf.DUMMYFUNCTION("""COMPUTED_VALUE"""),"Barshai, Rudolf")</f>
        <v>Barshai, Rudolf</v>
      </c>
      <c r="B498" s="3">
        <f ca="1">IFERROR(__xludf.DUMMYFUNCTION("""COMPUTED_VALUE"""),1)</f>
        <v>1</v>
      </c>
      <c r="C498" s="7">
        <f ca="1">IFERROR(__xludf.DUMMYFUNCTION("""COMPUTED_VALUE"""),1)</f>
        <v>1</v>
      </c>
      <c r="D498" s="8">
        <f ca="1">IFERROR(__xludf.DUMMYFUNCTION("""COMPUTED_VALUE"""),5)</f>
        <v>5</v>
      </c>
      <c r="E498" s="2">
        <f ca="1">IFERROR(__xludf.DUMMYFUNCTION("""COMPUTED_VALUE"""),2)</f>
        <v>2</v>
      </c>
    </row>
    <row r="499" spans="1:5" ht="13">
      <c r="A499" s="2" t="str">
        <f ca="1">IFERROR(__xludf.DUMMYFUNCTION("""COMPUTED_VALUE"""),"Barsotti, Roger")</f>
        <v>Barsotti, Roger</v>
      </c>
      <c r="B499" s="2">
        <f ca="1">IFERROR(__xludf.DUMMYFUNCTION("""COMPUTED_VALUE"""),1)</f>
        <v>1</v>
      </c>
      <c r="C499" s="2">
        <f ca="1">IFERROR(__xludf.DUMMYFUNCTION("""COMPUTED_VALUE"""),1)</f>
        <v>1</v>
      </c>
      <c r="D499" s="8">
        <f ca="1">IFERROR(__xludf.DUMMYFUNCTION("""COMPUTED_VALUE"""),5)</f>
        <v>5</v>
      </c>
      <c r="E499" s="2">
        <f ca="1">IFERROR(__xludf.DUMMYFUNCTION("""COMPUTED_VALUE"""),2)</f>
        <v>2</v>
      </c>
    </row>
    <row r="500" spans="1:5" ht="13">
      <c r="A500" s="8" t="str">
        <f ca="1">IFERROR(__xludf.DUMMYFUNCTION("""COMPUTED_VALUE"""),"Bart, Lionel")</f>
        <v>Bart, Lionel</v>
      </c>
      <c r="B500" s="3">
        <f ca="1">IFERROR(__xludf.DUMMYFUNCTION("""COMPUTED_VALUE"""),1)</f>
        <v>1</v>
      </c>
      <c r="C500" s="7">
        <f ca="1">IFERROR(__xludf.DUMMYFUNCTION("""COMPUTED_VALUE"""),1)</f>
        <v>1</v>
      </c>
      <c r="D500" s="8">
        <f ca="1">IFERROR(__xludf.DUMMYFUNCTION("""COMPUTED_VALUE"""),5)</f>
        <v>5</v>
      </c>
      <c r="E500" s="2">
        <f ca="1">IFERROR(__xludf.DUMMYFUNCTION("""COMPUTED_VALUE"""),2)</f>
        <v>2</v>
      </c>
    </row>
    <row r="501" spans="1:5" ht="13">
      <c r="A501" s="8" t="str">
        <f ca="1">IFERROR(__xludf.DUMMYFUNCTION("""COMPUTED_VALUE"""),"Barthe, Adrien")</f>
        <v>Barthe, Adrien</v>
      </c>
      <c r="B501" s="3">
        <f ca="1">IFERROR(__xludf.DUMMYFUNCTION("""COMPUTED_VALUE"""),1)</f>
        <v>1</v>
      </c>
      <c r="C501" s="7">
        <f ca="1">IFERROR(__xludf.DUMMYFUNCTION("""COMPUTED_VALUE"""),1)</f>
        <v>1</v>
      </c>
      <c r="D501" s="8">
        <f ca="1">IFERROR(__xludf.DUMMYFUNCTION("""COMPUTED_VALUE"""),5)</f>
        <v>5</v>
      </c>
      <c r="E501" s="2">
        <f ca="1">IFERROR(__xludf.DUMMYFUNCTION("""COMPUTED_VALUE"""),2)</f>
        <v>2</v>
      </c>
    </row>
    <row r="502" spans="1:5" ht="13">
      <c r="A502" s="2" t="str">
        <f ca="1">IFERROR(__xludf.DUMMYFUNCTION("""COMPUTED_VALUE"""),"Barthody-Mendelssohn, Felix")</f>
        <v>Barthody-Mendelssohn, Felix</v>
      </c>
      <c r="B502" s="3">
        <f ca="1">IFERROR(__xludf.DUMMYFUNCTION("""COMPUTED_VALUE"""),1)</f>
        <v>1</v>
      </c>
      <c r="C502" s="7">
        <f ca="1">IFERROR(__xludf.DUMMYFUNCTION("""COMPUTED_VALUE"""),1)</f>
        <v>1</v>
      </c>
      <c r="D502" s="8">
        <f ca="1">IFERROR(__xludf.DUMMYFUNCTION("""COMPUTED_VALUE"""),5)</f>
        <v>5</v>
      </c>
      <c r="E502" s="2">
        <f ca="1">IFERROR(__xludf.DUMMYFUNCTION("""COMPUTED_VALUE"""),2)</f>
        <v>2</v>
      </c>
    </row>
    <row r="503" spans="1:5" ht="13">
      <c r="A503" s="8" t="str">
        <f ca="1">IFERROR(__xludf.DUMMYFUNCTION("""COMPUTED_VALUE"""),"Bartholomew, Anthony")</f>
        <v>Bartholomew, Anthony</v>
      </c>
      <c r="B503" s="3">
        <f ca="1">IFERROR(__xludf.DUMMYFUNCTION("""COMPUTED_VALUE"""),1)</f>
        <v>1</v>
      </c>
      <c r="C503" s="7">
        <f ca="1">IFERROR(__xludf.DUMMYFUNCTION("""COMPUTED_VALUE"""),1)</f>
        <v>1</v>
      </c>
      <c r="D503" s="8">
        <f ca="1">IFERROR(__xludf.DUMMYFUNCTION("""COMPUTED_VALUE"""),5)</f>
        <v>5</v>
      </c>
      <c r="E503" s="2">
        <f ca="1">IFERROR(__xludf.DUMMYFUNCTION("""COMPUTED_VALUE"""),2)</f>
        <v>2</v>
      </c>
    </row>
    <row r="504" spans="1:5" ht="13">
      <c r="A504" s="8" t="str">
        <f ca="1">IFERROR(__xludf.DUMMYFUNCTION("""COMPUTED_VALUE"""),"Bartholomew, Greg")</f>
        <v>Bartholomew, Greg</v>
      </c>
      <c r="B504" s="3">
        <f ca="1">IFERROR(__xludf.DUMMYFUNCTION("""COMPUTED_VALUE"""),1)</f>
        <v>1</v>
      </c>
      <c r="C504" s="7">
        <f ca="1">IFERROR(__xludf.DUMMYFUNCTION("""COMPUTED_VALUE"""),1)</f>
        <v>1</v>
      </c>
      <c r="D504" s="8">
        <f ca="1">IFERROR(__xludf.DUMMYFUNCTION("""COMPUTED_VALUE"""),1)</f>
        <v>1</v>
      </c>
      <c r="E504" s="2">
        <f ca="1">IFERROR(__xludf.DUMMYFUNCTION("""COMPUTED_VALUE"""),1)</f>
        <v>1</v>
      </c>
    </row>
    <row r="505" spans="1:5" ht="13">
      <c r="A505" s="8" t="str">
        <f ca="1">IFERROR(__xludf.DUMMYFUNCTION("""COMPUTED_VALUE"""),"Bartholomew, Marshall")</f>
        <v>Bartholomew, Marshall</v>
      </c>
      <c r="B505" s="3">
        <f ca="1">IFERROR(__xludf.DUMMYFUNCTION("""COMPUTED_VALUE"""),1)</f>
        <v>1</v>
      </c>
      <c r="C505" s="7">
        <f ca="1">IFERROR(__xludf.DUMMYFUNCTION("""COMPUTED_VALUE"""),1)</f>
        <v>1</v>
      </c>
      <c r="D505" s="8">
        <f ca="1">IFERROR(__xludf.DUMMYFUNCTION("""COMPUTED_VALUE"""),5)</f>
        <v>5</v>
      </c>
      <c r="E505" s="2">
        <f ca="1">IFERROR(__xludf.DUMMYFUNCTION("""COMPUTED_VALUE"""),2)</f>
        <v>2</v>
      </c>
    </row>
    <row r="506" spans="1:5" ht="13">
      <c r="A506" s="2" t="str">
        <f ca="1">IFERROR(__xludf.DUMMYFUNCTION("""COMPUTED_VALUE"""),"Bartholomew, R.A.")</f>
        <v>Bartholomew, R.A.</v>
      </c>
      <c r="B506" s="2">
        <f ca="1">IFERROR(__xludf.DUMMYFUNCTION("""COMPUTED_VALUE"""),1)</f>
        <v>1</v>
      </c>
      <c r="C506" s="2">
        <f ca="1">IFERROR(__xludf.DUMMYFUNCTION("""COMPUTED_VALUE"""),1)</f>
        <v>1</v>
      </c>
      <c r="D506" s="8">
        <f ca="1">IFERROR(__xludf.DUMMYFUNCTION("""COMPUTED_VALUE"""),5)</f>
        <v>5</v>
      </c>
      <c r="E506" s="2">
        <f ca="1">IFERROR(__xludf.DUMMYFUNCTION("""COMPUTED_VALUE"""),2)</f>
        <v>2</v>
      </c>
    </row>
    <row r="507" spans="1:5" ht="13">
      <c r="A507" s="2" t="str">
        <f ca="1">IFERROR(__xludf.DUMMYFUNCTION("""COMPUTED_VALUE"""),"Bartles, Alfred H.")</f>
        <v>Bartles, Alfred H.</v>
      </c>
      <c r="B507" s="2">
        <f ca="1">IFERROR(__xludf.DUMMYFUNCTION("""COMPUTED_VALUE"""),1)</f>
        <v>1</v>
      </c>
      <c r="C507" s="7">
        <f ca="1">IFERROR(__xludf.DUMMYFUNCTION("""COMPUTED_VALUE"""),1)</f>
        <v>1</v>
      </c>
      <c r="D507" s="8">
        <f ca="1">IFERROR(__xludf.DUMMYFUNCTION("""COMPUTED_VALUE"""),5)</f>
        <v>5</v>
      </c>
      <c r="E507" s="2">
        <f ca="1">IFERROR(__xludf.DUMMYFUNCTION("""COMPUTED_VALUE"""),2)</f>
        <v>2</v>
      </c>
    </row>
    <row r="508" spans="1:5" ht="13">
      <c r="A508" s="2" t="str">
        <f ca="1">IFERROR(__xludf.DUMMYFUNCTION("""COMPUTED_VALUE"""),"Bartlet, John")</f>
        <v>Bartlet, John</v>
      </c>
      <c r="B508" s="3">
        <f ca="1">IFERROR(__xludf.DUMMYFUNCTION("""COMPUTED_VALUE"""),1)</f>
        <v>1</v>
      </c>
      <c r="C508" s="7">
        <f ca="1">IFERROR(__xludf.DUMMYFUNCTION("""COMPUTED_VALUE"""),1)</f>
        <v>1</v>
      </c>
      <c r="D508" s="8">
        <f ca="1">IFERROR(__xludf.DUMMYFUNCTION("""COMPUTED_VALUE"""),5)</f>
        <v>5</v>
      </c>
      <c r="E508" s="2">
        <f ca="1">IFERROR(__xludf.DUMMYFUNCTION("""COMPUTED_VALUE"""),2)</f>
        <v>2</v>
      </c>
    </row>
    <row r="509" spans="1:5" ht="13">
      <c r="A509" s="2" t="str">
        <f ca="1">IFERROR(__xludf.DUMMYFUNCTION("""COMPUTED_VALUE"""),"Bartlett, Clifford")</f>
        <v>Bartlett, Clifford</v>
      </c>
      <c r="B509" s="2">
        <f ca="1">IFERROR(__xludf.DUMMYFUNCTION("""COMPUTED_VALUE"""),1)</f>
        <v>1</v>
      </c>
      <c r="C509" s="2">
        <f ca="1">IFERROR(__xludf.DUMMYFUNCTION("""COMPUTED_VALUE"""),1)</f>
        <v>1</v>
      </c>
      <c r="D509" s="8">
        <f ca="1">IFERROR(__xludf.DUMMYFUNCTION("""COMPUTED_VALUE"""),5)</f>
        <v>5</v>
      </c>
      <c r="E509" s="2">
        <f ca="1">IFERROR(__xludf.DUMMYFUNCTION("""COMPUTED_VALUE"""),2)</f>
        <v>2</v>
      </c>
    </row>
    <row r="510" spans="1:5" ht="13">
      <c r="A510" s="2" t="str">
        <f ca="1">IFERROR(__xludf.DUMMYFUNCTION("""COMPUTED_VALUE"""),"Bartlett, Clifford")</f>
        <v>Bartlett, Clifford</v>
      </c>
      <c r="B510" s="2">
        <f ca="1">IFERROR(__xludf.DUMMYFUNCTION("""COMPUTED_VALUE"""),1)</f>
        <v>1</v>
      </c>
      <c r="C510" s="2">
        <f ca="1">IFERROR(__xludf.DUMMYFUNCTION("""COMPUTED_VALUE"""),1)</f>
        <v>1</v>
      </c>
      <c r="D510" s="8">
        <f ca="1">IFERROR(__xludf.DUMMYFUNCTION("""COMPUTED_VALUE"""),1)</f>
        <v>1</v>
      </c>
      <c r="E510" s="2">
        <f ca="1">IFERROR(__xludf.DUMMYFUNCTION("""COMPUTED_VALUE"""),1)</f>
        <v>1</v>
      </c>
    </row>
    <row r="511" spans="1:5" ht="13">
      <c r="A511" s="8" t="str">
        <f ca="1">IFERROR(__xludf.DUMMYFUNCTION("""COMPUTED_VALUE"""),"Bartók, Béla")</f>
        <v>Bartók, Béla</v>
      </c>
      <c r="B511" s="3">
        <f ca="1">IFERROR(__xludf.DUMMYFUNCTION("""COMPUTED_VALUE"""),1)</f>
        <v>1</v>
      </c>
      <c r="C511" s="7">
        <f ca="1">IFERROR(__xludf.DUMMYFUNCTION("""COMPUTED_VALUE"""),1)</f>
        <v>1</v>
      </c>
      <c r="D511" s="8">
        <f ca="1">IFERROR(__xludf.DUMMYFUNCTION("""COMPUTED_VALUE"""),5)</f>
        <v>5</v>
      </c>
      <c r="E511" s="2">
        <f ca="1">IFERROR(__xludf.DUMMYFUNCTION("""COMPUTED_VALUE"""),2)</f>
        <v>2</v>
      </c>
    </row>
    <row r="512" spans="1:5" ht="13">
      <c r="A512" s="2" t="str">
        <f ca="1">IFERROR(__xludf.DUMMYFUNCTION("""COMPUTED_VALUE"""),"Barton, Andrew")</f>
        <v>Barton, Andrew</v>
      </c>
      <c r="B512" s="2">
        <f ca="1">IFERROR(__xludf.DUMMYFUNCTION("""COMPUTED_VALUE"""),1)</f>
        <v>1</v>
      </c>
      <c r="C512" s="7">
        <f ca="1">IFERROR(__xludf.DUMMYFUNCTION("""COMPUTED_VALUE"""),1)</f>
        <v>1</v>
      </c>
      <c r="D512" s="8">
        <f ca="1">IFERROR(__xludf.DUMMYFUNCTION("""COMPUTED_VALUE"""),5)</f>
        <v>5</v>
      </c>
      <c r="E512" s="2">
        <f ca="1">IFERROR(__xludf.DUMMYFUNCTION("""COMPUTED_VALUE"""),2)</f>
        <v>2</v>
      </c>
    </row>
    <row r="513" spans="1:5" ht="13">
      <c r="A513" s="2" t="str">
        <f ca="1">IFERROR(__xludf.DUMMYFUNCTION("""COMPUTED_VALUE"""),"Barton, Larry")</f>
        <v>Barton, Larry</v>
      </c>
      <c r="B513" s="3">
        <f ca="1">IFERROR(__xludf.DUMMYFUNCTION("""COMPUTED_VALUE"""),1)</f>
        <v>1</v>
      </c>
      <c r="C513" s="7">
        <f ca="1">IFERROR(__xludf.DUMMYFUNCTION("""COMPUTED_VALUE"""),1)</f>
        <v>1</v>
      </c>
      <c r="D513" s="8">
        <f ca="1">IFERROR(__xludf.DUMMYFUNCTION("""COMPUTED_VALUE"""),1)</f>
        <v>1</v>
      </c>
      <c r="E513" s="2">
        <f ca="1">IFERROR(__xludf.DUMMYFUNCTION("""COMPUTED_VALUE"""),1)</f>
        <v>1</v>
      </c>
    </row>
    <row r="514" spans="1:5" ht="13">
      <c r="A514" s="8" t="str">
        <f ca="1">IFERROR(__xludf.DUMMYFUNCTION("""COMPUTED_VALUE"""),"Barton, Stephen")</f>
        <v>Barton, Stephen</v>
      </c>
      <c r="B514" s="3">
        <f ca="1">IFERROR(__xludf.DUMMYFUNCTION("""COMPUTED_VALUE"""),1)</f>
        <v>1</v>
      </c>
      <c r="C514" s="7">
        <f ca="1">IFERROR(__xludf.DUMMYFUNCTION("""COMPUTED_VALUE"""),1)</f>
        <v>1</v>
      </c>
      <c r="D514" s="8">
        <f ca="1">IFERROR(__xludf.DUMMYFUNCTION("""COMPUTED_VALUE"""),1)</f>
        <v>1</v>
      </c>
      <c r="E514" s="2">
        <f ca="1">IFERROR(__xludf.DUMMYFUNCTION("""COMPUTED_VALUE"""),1)</f>
        <v>1</v>
      </c>
    </row>
    <row r="515" spans="1:5" ht="13">
      <c r="A515" s="2" t="str">
        <f ca="1">IFERROR(__xludf.DUMMYFUNCTION("""COMPUTED_VALUE"""),"Barton, Steve")</f>
        <v>Barton, Steve</v>
      </c>
      <c r="B515" s="3">
        <f ca="1">IFERROR(__xludf.DUMMYFUNCTION("""COMPUTED_VALUE"""),1)</f>
        <v>1</v>
      </c>
      <c r="C515" s="7">
        <f ca="1">IFERROR(__xludf.DUMMYFUNCTION("""COMPUTED_VALUE"""),1)</f>
        <v>1</v>
      </c>
      <c r="D515" s="8">
        <f ca="1">IFERROR(__xludf.DUMMYFUNCTION("""COMPUTED_VALUE"""),1)</f>
        <v>1</v>
      </c>
      <c r="E515" s="2">
        <f ca="1">IFERROR(__xludf.DUMMYFUNCTION("""COMPUTED_VALUE"""),1)</f>
        <v>1</v>
      </c>
    </row>
    <row r="516" spans="1:5" ht="13">
      <c r="A516" s="8" t="str">
        <f ca="1">IFERROR(__xludf.DUMMYFUNCTION("""COMPUTED_VALUE"""),"Bartram, Neil")</f>
        <v>Bartram, Neil</v>
      </c>
      <c r="B516" s="3">
        <f ca="1">IFERROR(__xludf.DUMMYFUNCTION("""COMPUTED_VALUE"""),1)</f>
        <v>1</v>
      </c>
      <c r="C516" s="7">
        <f ca="1">IFERROR(__xludf.DUMMYFUNCTION("""COMPUTED_VALUE"""),1)</f>
        <v>1</v>
      </c>
      <c r="D516" s="8">
        <f ca="1">IFERROR(__xludf.DUMMYFUNCTION("""COMPUTED_VALUE"""),1)</f>
        <v>1</v>
      </c>
      <c r="E516" s="2">
        <f ca="1">IFERROR(__xludf.DUMMYFUNCTION("""COMPUTED_VALUE"""),1)</f>
        <v>1</v>
      </c>
    </row>
    <row r="517" spans="1:5" ht="13">
      <c r="A517" s="8" t="str">
        <f ca="1">IFERROR(__xludf.DUMMYFUNCTION("""COMPUTED_VALUE"""),"Basart, Robert")</f>
        <v>Basart, Robert</v>
      </c>
      <c r="B517" s="2">
        <f ca="1">IFERROR(__xludf.DUMMYFUNCTION("""COMPUTED_VALUE"""),1)</f>
        <v>1</v>
      </c>
      <c r="C517" s="2">
        <f ca="1">IFERROR(__xludf.DUMMYFUNCTION("""COMPUTED_VALUE"""),1)</f>
        <v>1</v>
      </c>
      <c r="D517" s="8">
        <f ca="1">IFERROR(__xludf.DUMMYFUNCTION("""COMPUTED_VALUE"""),5)</f>
        <v>5</v>
      </c>
      <c r="E517" s="2">
        <f ca="1">IFERROR(__xludf.DUMMYFUNCTION("""COMPUTED_VALUE"""),2)</f>
        <v>2</v>
      </c>
    </row>
    <row r="518" spans="1:5" ht="13">
      <c r="A518" s="8" t="str">
        <f ca="1">IFERROR(__xludf.DUMMYFUNCTION("""COMPUTED_VALUE"""),"Bascon, Edmund")</f>
        <v>Bascon, Edmund</v>
      </c>
      <c r="B518" s="3">
        <f ca="1">IFERROR(__xludf.DUMMYFUNCTION("""COMPUTED_VALUE"""),1)</f>
        <v>1</v>
      </c>
      <c r="C518" s="7">
        <f ca="1">IFERROR(__xludf.DUMMYFUNCTION("""COMPUTED_VALUE"""),1)</f>
        <v>1</v>
      </c>
      <c r="D518" s="8">
        <f ca="1">IFERROR(__xludf.DUMMYFUNCTION("""COMPUTED_VALUE"""),5)</f>
        <v>5</v>
      </c>
      <c r="E518" s="2">
        <f ca="1">IFERROR(__xludf.DUMMYFUNCTION("""COMPUTED_VALUE"""),2)</f>
        <v>2</v>
      </c>
    </row>
    <row r="519" spans="1:5" ht="13">
      <c r="A519" s="2" t="str">
        <f ca="1">IFERROR(__xludf.DUMMYFUNCTION("""COMPUTED_VALUE"""),"Basden, David")</f>
        <v>Basden, David</v>
      </c>
      <c r="B519" s="3">
        <f ca="1">IFERROR(__xludf.DUMMYFUNCTION("""COMPUTED_VALUE"""),1)</f>
        <v>1</v>
      </c>
      <c r="C519" s="7">
        <f ca="1">IFERROR(__xludf.DUMMYFUNCTION("""COMPUTED_VALUE"""),1)</f>
        <v>1</v>
      </c>
      <c r="D519" s="8">
        <f ca="1">IFERROR(__xludf.DUMMYFUNCTION("""COMPUTED_VALUE"""),1)</f>
        <v>1</v>
      </c>
      <c r="E519" s="2">
        <f ca="1">IFERROR(__xludf.DUMMYFUNCTION("""COMPUTED_VALUE"""),1)</f>
        <v>1</v>
      </c>
    </row>
    <row r="520" spans="1:5" ht="13">
      <c r="A520" s="8" t="str">
        <f ca="1">IFERROR(__xludf.DUMMYFUNCTION("""COMPUTED_VALUE"""),"Basevi, Andrea")</f>
        <v>Basevi, Andrea</v>
      </c>
      <c r="B520" s="3">
        <f ca="1">IFERROR(__xludf.DUMMYFUNCTION("""COMPUTED_VALUE"""),1)</f>
        <v>1</v>
      </c>
      <c r="C520" s="7">
        <f ca="1">IFERROR(__xludf.DUMMYFUNCTION("""COMPUTED_VALUE"""),1)</f>
        <v>1</v>
      </c>
      <c r="D520" s="8">
        <f ca="1">IFERROR(__xludf.DUMMYFUNCTION("""COMPUTED_VALUE"""),1)</f>
        <v>1</v>
      </c>
      <c r="E520" s="2">
        <f ca="1">IFERROR(__xludf.DUMMYFUNCTION("""COMPUTED_VALUE"""),1)</f>
        <v>1</v>
      </c>
    </row>
    <row r="521" spans="1:5" ht="13">
      <c r="A521" s="2" t="str">
        <f ca="1">IFERROR(__xludf.DUMMYFUNCTION("""COMPUTED_VALUE"""),"Basford, Daniel")</f>
        <v>Basford, Daniel</v>
      </c>
      <c r="B521" s="3">
        <f ca="1">IFERROR(__xludf.DUMMYFUNCTION("""COMPUTED_VALUE"""),1)</f>
        <v>1</v>
      </c>
      <c r="C521" s="7">
        <f ca="1">IFERROR(__xludf.DUMMYFUNCTION("""COMPUTED_VALUE"""),1)</f>
        <v>1</v>
      </c>
      <c r="D521" s="8">
        <f ca="1">IFERROR(__xludf.DUMMYFUNCTION("""COMPUTED_VALUE"""),1)</f>
        <v>1</v>
      </c>
      <c r="E521" s="2">
        <f ca="1">IFERROR(__xludf.DUMMYFUNCTION("""COMPUTED_VALUE"""),1)</f>
        <v>1</v>
      </c>
    </row>
    <row r="522" spans="1:5" ht="13">
      <c r="A522" s="8" t="str">
        <f ca="1">IFERROR(__xludf.DUMMYFUNCTION("""COMPUTED_VALUE"""),"Bashford, Rodney")</f>
        <v>Bashford, Rodney</v>
      </c>
      <c r="B522" s="3">
        <f ca="1">IFERROR(__xludf.DUMMYFUNCTION("""COMPUTED_VALUE"""),1)</f>
        <v>1</v>
      </c>
      <c r="C522" s="7">
        <f ca="1">IFERROR(__xludf.DUMMYFUNCTION("""COMPUTED_VALUE"""),1)</f>
        <v>1</v>
      </c>
      <c r="D522" s="8">
        <f ca="1">IFERROR(__xludf.DUMMYFUNCTION("""COMPUTED_VALUE"""),5)</f>
        <v>5</v>
      </c>
      <c r="E522" s="2">
        <f ca="1">IFERROR(__xludf.DUMMYFUNCTION("""COMPUTED_VALUE"""),2)</f>
        <v>2</v>
      </c>
    </row>
    <row r="523" spans="1:5" ht="13">
      <c r="A523" s="2" t="str">
        <f ca="1">IFERROR(__xludf.DUMMYFUNCTION("""COMPUTED_VALUE"""),"Baskerville, David")</f>
        <v>Baskerville, David</v>
      </c>
      <c r="B523" s="2">
        <f ca="1">IFERROR(__xludf.DUMMYFUNCTION("""COMPUTED_VALUE"""),1)</f>
        <v>1</v>
      </c>
      <c r="C523" s="7">
        <f ca="1">IFERROR(__xludf.DUMMYFUNCTION("""COMPUTED_VALUE"""),1)</f>
        <v>1</v>
      </c>
      <c r="D523" s="8">
        <f ca="1">IFERROR(__xludf.DUMMYFUNCTION("""COMPUTED_VALUE"""),5)</f>
        <v>5</v>
      </c>
      <c r="E523" s="2">
        <f ca="1">IFERROR(__xludf.DUMMYFUNCTION("""COMPUTED_VALUE"""),2)</f>
        <v>2</v>
      </c>
    </row>
    <row r="524" spans="1:5" ht="13">
      <c r="A524" s="8" t="str">
        <f ca="1">IFERROR(__xludf.DUMMYFUNCTION("""COMPUTED_VALUE"""),"Basler, Paul")</f>
        <v>Basler, Paul</v>
      </c>
      <c r="B524" s="3">
        <f ca="1">IFERROR(__xludf.DUMMYFUNCTION("""COMPUTED_VALUE"""),1)</f>
        <v>1</v>
      </c>
      <c r="C524" s="7">
        <f ca="1">IFERROR(__xludf.DUMMYFUNCTION("""COMPUTED_VALUE"""),1)</f>
        <v>1</v>
      </c>
      <c r="D524" s="8">
        <f ca="1">IFERROR(__xludf.DUMMYFUNCTION("""COMPUTED_VALUE"""),1)</f>
        <v>1</v>
      </c>
      <c r="E524" s="2">
        <f ca="1">IFERROR(__xludf.DUMMYFUNCTION("""COMPUTED_VALUE"""),1)</f>
        <v>1</v>
      </c>
    </row>
    <row r="525" spans="1:5" ht="13">
      <c r="A525" s="2" t="str">
        <f ca="1">IFERROR(__xludf.DUMMYFUNCTION("""COMPUTED_VALUE"""),"Bass, Randol")</f>
        <v>Bass, Randol</v>
      </c>
      <c r="B525" s="2">
        <f ca="1">IFERROR(__xludf.DUMMYFUNCTION("""COMPUTED_VALUE"""),1)</f>
        <v>1</v>
      </c>
      <c r="C525" s="7">
        <f ca="1">IFERROR(__xludf.DUMMYFUNCTION("""COMPUTED_VALUE"""),1)</f>
        <v>1</v>
      </c>
      <c r="D525" s="8">
        <f ca="1">IFERROR(__xludf.DUMMYFUNCTION("""COMPUTED_VALUE"""),1)</f>
        <v>1</v>
      </c>
      <c r="E525" s="2">
        <f ca="1">IFERROR(__xludf.DUMMYFUNCTION("""COMPUTED_VALUE"""),1)</f>
        <v>1</v>
      </c>
    </row>
    <row r="526" spans="1:5" ht="13">
      <c r="A526" s="8" t="str">
        <f ca="1">IFERROR(__xludf.DUMMYFUNCTION("""COMPUTED_VALUE"""),"Bass, Randol Alan")</f>
        <v>Bass, Randol Alan</v>
      </c>
      <c r="B526" s="3">
        <f ca="1">IFERROR(__xludf.DUMMYFUNCTION("""COMPUTED_VALUE"""),1)</f>
        <v>1</v>
      </c>
      <c r="C526" s="7">
        <f ca="1">IFERROR(__xludf.DUMMYFUNCTION("""COMPUTED_VALUE"""),1)</f>
        <v>1</v>
      </c>
      <c r="D526" s="8">
        <f ca="1">IFERROR(__xludf.DUMMYFUNCTION("""COMPUTED_VALUE"""),1)</f>
        <v>1</v>
      </c>
      <c r="E526" s="2">
        <f ca="1">IFERROR(__xludf.DUMMYFUNCTION("""COMPUTED_VALUE"""),1)</f>
        <v>1</v>
      </c>
    </row>
    <row r="527" spans="1:5" ht="13">
      <c r="A527" s="2" t="str">
        <f ca="1">IFERROR(__xludf.DUMMYFUNCTION("""COMPUTED_VALUE"""),"Bass, Sid")</f>
        <v>Bass, Sid</v>
      </c>
      <c r="B527" s="2">
        <f ca="1">IFERROR(__xludf.DUMMYFUNCTION("""COMPUTED_VALUE"""),1)</f>
        <v>1</v>
      </c>
      <c r="C527" s="7">
        <f ca="1">IFERROR(__xludf.DUMMYFUNCTION("""COMPUTED_VALUE"""),1)</f>
        <v>1</v>
      </c>
      <c r="D527" s="8">
        <f ca="1">IFERROR(__xludf.DUMMYFUNCTION("""COMPUTED_VALUE"""),5)</f>
        <v>5</v>
      </c>
      <c r="E527" s="2">
        <f ca="1">IFERROR(__xludf.DUMMYFUNCTION("""COMPUTED_VALUE"""),2)</f>
        <v>2</v>
      </c>
    </row>
    <row r="528" spans="1:5" ht="13">
      <c r="A528" s="2" t="str">
        <f ca="1">IFERROR(__xludf.DUMMYFUNCTION("""COMPUTED_VALUE"""),"Bassett, Herbert")</f>
        <v>Bassett, Herbert</v>
      </c>
      <c r="B528" s="3">
        <f ca="1">IFERROR(__xludf.DUMMYFUNCTION("""COMPUTED_VALUE"""),1)</f>
        <v>1</v>
      </c>
      <c r="C528" s="7">
        <f ca="1">IFERROR(__xludf.DUMMYFUNCTION("""COMPUTED_VALUE"""),1)</f>
        <v>1</v>
      </c>
      <c r="D528" s="8">
        <f ca="1">IFERROR(__xludf.DUMMYFUNCTION("""COMPUTED_VALUE"""),1)</f>
        <v>1</v>
      </c>
      <c r="E528" s="2">
        <f ca="1">IFERROR(__xludf.DUMMYFUNCTION("""COMPUTED_VALUE"""),1)</f>
        <v>1</v>
      </c>
    </row>
    <row r="529" spans="1:5" ht="13">
      <c r="A529" s="8" t="str">
        <f ca="1">IFERROR(__xludf.DUMMYFUNCTION("""COMPUTED_VALUE"""),"Bassett, Leslie")</f>
        <v>Bassett, Leslie</v>
      </c>
      <c r="B529" s="3">
        <f ca="1">IFERROR(__xludf.DUMMYFUNCTION("""COMPUTED_VALUE"""),1)</f>
        <v>1</v>
      </c>
      <c r="C529" s="7">
        <f ca="1">IFERROR(__xludf.DUMMYFUNCTION("""COMPUTED_VALUE"""),1)</f>
        <v>1</v>
      </c>
      <c r="D529" s="8">
        <f ca="1">IFERROR(__xludf.DUMMYFUNCTION("""COMPUTED_VALUE"""),5)</f>
        <v>5</v>
      </c>
      <c r="E529" s="2">
        <f ca="1">IFERROR(__xludf.DUMMYFUNCTION("""COMPUTED_VALUE"""),2)</f>
        <v>2</v>
      </c>
    </row>
    <row r="530" spans="1:5" ht="13">
      <c r="A530" s="2" t="str">
        <f ca="1">IFERROR(__xludf.DUMMYFUNCTION("""COMPUTED_VALUE"""),"Bassi, Luigi")</f>
        <v>Bassi, Luigi</v>
      </c>
      <c r="B530" s="2">
        <f ca="1">IFERROR(__xludf.DUMMYFUNCTION("""COMPUTED_VALUE"""),1)</f>
        <v>1</v>
      </c>
      <c r="C530" s="7">
        <f ca="1">IFERROR(__xludf.DUMMYFUNCTION("""COMPUTED_VALUE"""),1)</f>
        <v>1</v>
      </c>
      <c r="D530" s="8">
        <f ca="1">IFERROR(__xludf.DUMMYFUNCTION("""COMPUTED_VALUE"""),5)</f>
        <v>5</v>
      </c>
      <c r="E530" s="2">
        <f ca="1">IFERROR(__xludf.DUMMYFUNCTION("""COMPUTED_VALUE"""),2)</f>
        <v>2</v>
      </c>
    </row>
    <row r="531" spans="1:5" ht="13">
      <c r="A531" s="2" t="str">
        <f ca="1">IFERROR(__xludf.DUMMYFUNCTION("""COMPUTED_VALUE"""),"Bassler, Paul")</f>
        <v>Bassler, Paul</v>
      </c>
      <c r="B531" s="2">
        <f ca="1">IFERROR(__xludf.DUMMYFUNCTION("""COMPUTED_VALUE"""),1)</f>
        <v>1</v>
      </c>
      <c r="C531" s="7">
        <f ca="1">IFERROR(__xludf.DUMMYFUNCTION("""COMPUTED_VALUE"""),1)</f>
        <v>1</v>
      </c>
      <c r="D531" s="8">
        <f ca="1">IFERROR(__xludf.DUMMYFUNCTION("""COMPUTED_VALUE"""),1)</f>
        <v>1</v>
      </c>
      <c r="E531" s="2">
        <f ca="1">IFERROR(__xludf.DUMMYFUNCTION("""COMPUTED_VALUE"""),1)</f>
        <v>1</v>
      </c>
    </row>
    <row r="532" spans="1:5" ht="13">
      <c r="A532" s="2" t="str">
        <f ca="1">IFERROR(__xludf.DUMMYFUNCTION("""COMPUTED_VALUE"""),"Bassman, George")</f>
        <v>Bassman, George</v>
      </c>
      <c r="B532" s="2">
        <f ca="1">IFERROR(__xludf.DUMMYFUNCTION("""COMPUTED_VALUE"""),1)</f>
        <v>1</v>
      </c>
      <c r="C532" s="7">
        <f ca="1">IFERROR(__xludf.DUMMYFUNCTION("""COMPUTED_VALUE"""),1)</f>
        <v>1</v>
      </c>
      <c r="D532" s="8">
        <f ca="1">IFERROR(__xludf.DUMMYFUNCTION("""COMPUTED_VALUE"""),5)</f>
        <v>5</v>
      </c>
      <c r="E532" s="2">
        <f ca="1">IFERROR(__xludf.DUMMYFUNCTION("""COMPUTED_VALUE"""),2)</f>
        <v>2</v>
      </c>
    </row>
    <row r="533" spans="1:5" ht="13">
      <c r="A533" s="8" t="str">
        <f ca="1">IFERROR(__xludf.DUMMYFUNCTION("""COMPUTED_VALUE"""),"Bastien, William")</f>
        <v>Bastien, William</v>
      </c>
      <c r="B533" s="3">
        <f ca="1">IFERROR(__xludf.DUMMYFUNCTION("""COMPUTED_VALUE"""),1)</f>
        <v>1</v>
      </c>
      <c r="C533" s="7">
        <f ca="1">IFERROR(__xludf.DUMMYFUNCTION("""COMPUTED_VALUE"""),1)</f>
        <v>1</v>
      </c>
      <c r="D533" s="8">
        <f ca="1">IFERROR(__xludf.DUMMYFUNCTION("""COMPUTED_VALUE"""),1)</f>
        <v>1</v>
      </c>
      <c r="E533" s="2">
        <f ca="1">IFERROR(__xludf.DUMMYFUNCTION("""COMPUTED_VALUE"""),1)</f>
        <v>1</v>
      </c>
    </row>
    <row r="534" spans="1:5" ht="13">
      <c r="A534" s="8" t="str">
        <f ca="1">IFERROR(__xludf.DUMMYFUNCTION("""COMPUTED_VALUE"""),"Bates, Issachar")</f>
        <v>Bates, Issachar</v>
      </c>
      <c r="B534" s="3">
        <f ca="1">IFERROR(__xludf.DUMMYFUNCTION("""COMPUTED_VALUE"""),1)</f>
        <v>1</v>
      </c>
      <c r="C534" s="7">
        <f ca="1">IFERROR(__xludf.DUMMYFUNCTION("""COMPUTED_VALUE"""),1)</f>
        <v>1</v>
      </c>
      <c r="D534" s="8">
        <f ca="1">IFERROR(__xludf.DUMMYFUNCTION("""COMPUTED_VALUE"""),5)</f>
        <v>5</v>
      </c>
      <c r="E534" s="2">
        <f ca="1">IFERROR(__xludf.DUMMYFUNCTION("""COMPUTED_VALUE"""),2)</f>
        <v>2</v>
      </c>
    </row>
    <row r="535" spans="1:5" ht="13">
      <c r="A535" s="8" t="str">
        <f ca="1">IFERROR(__xludf.DUMMYFUNCTION("""COMPUTED_VALUE"""),"Bates, Mason")</f>
        <v>Bates, Mason</v>
      </c>
      <c r="B535" s="3">
        <f ca="1">IFERROR(__xludf.DUMMYFUNCTION("""COMPUTED_VALUE"""),1)</f>
        <v>1</v>
      </c>
      <c r="C535" s="7">
        <f ca="1">IFERROR(__xludf.DUMMYFUNCTION("""COMPUTED_VALUE"""),1)</f>
        <v>1</v>
      </c>
      <c r="D535" s="8">
        <f ca="1">IFERROR(__xludf.DUMMYFUNCTION("""COMPUTED_VALUE"""),1)</f>
        <v>1</v>
      </c>
      <c r="E535" s="2">
        <f ca="1">IFERROR(__xludf.DUMMYFUNCTION("""COMPUTED_VALUE"""),1)</f>
        <v>1</v>
      </c>
    </row>
    <row r="536" spans="1:5" ht="13">
      <c r="A536" s="8" t="str">
        <f ca="1">IFERROR(__xludf.DUMMYFUNCTION("""COMPUTED_VALUE"""),"Bateson, Thomas")</f>
        <v>Bateson, Thomas</v>
      </c>
      <c r="B536" s="2">
        <f ca="1">IFERROR(__xludf.DUMMYFUNCTION("""COMPUTED_VALUE"""),1)</f>
        <v>1</v>
      </c>
      <c r="C536" s="7">
        <f ca="1">IFERROR(__xludf.DUMMYFUNCTION("""COMPUTED_VALUE"""),1)</f>
        <v>1</v>
      </c>
      <c r="D536" s="8">
        <f ca="1">IFERROR(__xludf.DUMMYFUNCTION("""COMPUTED_VALUE"""),5)</f>
        <v>5</v>
      </c>
      <c r="E536" s="2">
        <f ca="1">IFERROR(__xludf.DUMMYFUNCTION("""COMPUTED_VALUE"""),2)</f>
        <v>2</v>
      </c>
    </row>
    <row r="537" spans="1:5" ht="13">
      <c r="A537" s="2" t="str">
        <f ca="1">IFERROR(__xludf.DUMMYFUNCTION("""COMPUTED_VALUE"""),"Batten, Adrian")</f>
        <v>Batten, Adrian</v>
      </c>
      <c r="B537" s="3">
        <f ca="1">IFERROR(__xludf.DUMMYFUNCTION("""COMPUTED_VALUE"""),1)</f>
        <v>1</v>
      </c>
      <c r="C537" s="7">
        <f ca="1">IFERROR(__xludf.DUMMYFUNCTION("""COMPUTED_VALUE"""),1)</f>
        <v>1</v>
      </c>
      <c r="D537" s="8">
        <f ca="1">IFERROR(__xludf.DUMMYFUNCTION("""COMPUTED_VALUE"""),5)</f>
        <v>5</v>
      </c>
      <c r="E537" s="2">
        <f ca="1">IFERROR(__xludf.DUMMYFUNCTION("""COMPUTED_VALUE"""),2)</f>
        <v>2</v>
      </c>
    </row>
    <row r="538" spans="1:5" ht="13">
      <c r="A538" s="2" t="str">
        <f ca="1">IFERROR(__xludf.DUMMYFUNCTION("""COMPUTED_VALUE"""),"Battishill, Jonathan")</f>
        <v>Battishill, Jonathan</v>
      </c>
      <c r="B538" s="3">
        <f ca="1">IFERROR(__xludf.DUMMYFUNCTION("""COMPUTED_VALUE"""),1)</f>
        <v>1</v>
      </c>
      <c r="C538" s="7">
        <f ca="1">IFERROR(__xludf.DUMMYFUNCTION("""COMPUTED_VALUE"""),1)</f>
        <v>1</v>
      </c>
      <c r="D538" s="8">
        <f ca="1">IFERROR(__xludf.DUMMYFUNCTION("""COMPUTED_VALUE"""),5)</f>
        <v>5</v>
      </c>
      <c r="E538" s="2">
        <f ca="1">IFERROR(__xludf.DUMMYFUNCTION("""COMPUTED_VALUE"""),2)</f>
        <v>2</v>
      </c>
    </row>
    <row r="539" spans="1:5" ht="13">
      <c r="A539" s="8" t="str">
        <f ca="1">IFERROR(__xludf.DUMMYFUNCTION("""COMPUTED_VALUE"""),"Battishill, Jonathan / Travers, John")</f>
        <v>Battishill, Jonathan / Travers, John</v>
      </c>
      <c r="B539" s="3">
        <f ca="1">IFERROR(__xludf.DUMMYFUNCTION("""COMPUTED_VALUE"""),1)</f>
        <v>1</v>
      </c>
      <c r="C539" s="7">
        <f ca="1">IFERROR(__xludf.DUMMYFUNCTION("""COMPUTED_VALUE"""),1)</f>
        <v>1</v>
      </c>
      <c r="D539" s="8">
        <f ca="1">IFERROR(__xludf.DUMMYFUNCTION("""COMPUTED_VALUE"""),5)</f>
        <v>5</v>
      </c>
      <c r="E539" s="2">
        <f ca="1">IFERROR(__xludf.DUMMYFUNCTION("""COMPUTED_VALUE"""),2)</f>
        <v>2</v>
      </c>
    </row>
    <row r="540" spans="1:5" ht="13">
      <c r="A540" s="8" t="str">
        <f ca="1">IFERROR(__xludf.DUMMYFUNCTION("""COMPUTED_VALUE"""),"Battisti, Frank")</f>
        <v>Battisti, Frank</v>
      </c>
      <c r="B540" s="3">
        <f ca="1">IFERROR(__xludf.DUMMYFUNCTION("""COMPUTED_VALUE"""),1)</f>
        <v>1</v>
      </c>
      <c r="C540" s="7">
        <f ca="1">IFERROR(__xludf.DUMMYFUNCTION("""COMPUTED_VALUE"""),1)</f>
        <v>1</v>
      </c>
      <c r="D540" s="8">
        <f ca="1">IFERROR(__xludf.DUMMYFUNCTION("""COMPUTED_VALUE"""),1)</f>
        <v>1</v>
      </c>
      <c r="E540" s="2">
        <f ca="1">IFERROR(__xludf.DUMMYFUNCTION("""COMPUTED_VALUE"""),1)</f>
        <v>1</v>
      </c>
    </row>
    <row r="541" spans="1:5" ht="13">
      <c r="A541" s="2" t="str">
        <f ca="1">IFERROR(__xludf.DUMMYFUNCTION("""COMPUTED_VALUE"""),"Battmann, Jacques-Louis")</f>
        <v>Battmann, Jacques-Louis</v>
      </c>
      <c r="B541" s="2">
        <f ca="1">IFERROR(__xludf.DUMMYFUNCTION("""COMPUTED_VALUE"""),1)</f>
        <v>1</v>
      </c>
      <c r="C541" s="7">
        <f ca="1">IFERROR(__xludf.DUMMYFUNCTION("""COMPUTED_VALUE"""),1)</f>
        <v>1</v>
      </c>
      <c r="D541" s="8">
        <f ca="1">IFERROR(__xludf.DUMMYFUNCTION("""COMPUTED_VALUE"""),5)</f>
        <v>5</v>
      </c>
      <c r="E541" s="2">
        <f ca="1">IFERROR(__xludf.DUMMYFUNCTION("""COMPUTED_VALUE"""),2)</f>
        <v>2</v>
      </c>
    </row>
    <row r="542" spans="1:5" ht="13">
      <c r="A542" s="2" t="str">
        <f ca="1">IFERROR(__xludf.DUMMYFUNCTION("""COMPUTED_VALUE"""),"Bauernfeind, Hans")</f>
        <v>Bauernfeind, Hans</v>
      </c>
      <c r="B542" s="3">
        <f ca="1">IFERROR(__xludf.DUMMYFUNCTION("""COMPUTED_VALUE"""),1)</f>
        <v>1</v>
      </c>
      <c r="C542" s="7">
        <f ca="1">IFERROR(__xludf.DUMMYFUNCTION("""COMPUTED_VALUE"""),1)</f>
        <v>1</v>
      </c>
      <c r="D542" s="8">
        <f ca="1">IFERROR(__xludf.DUMMYFUNCTION("""COMPUTED_VALUE"""),5)</f>
        <v>5</v>
      </c>
      <c r="E542" s="2">
        <f ca="1">IFERROR(__xludf.DUMMYFUNCTION("""COMPUTED_VALUE"""),2)</f>
        <v>2</v>
      </c>
    </row>
    <row r="543" spans="1:5" ht="13">
      <c r="A543" s="2" t="str">
        <f ca="1">IFERROR(__xludf.DUMMYFUNCTION("""COMPUTED_VALUE"""),"Bauernschmidt, Robert")</f>
        <v>Bauernschmidt, Robert</v>
      </c>
      <c r="B543" s="3">
        <f ca="1">IFERROR(__xludf.DUMMYFUNCTION("""COMPUTED_VALUE"""),1)</f>
        <v>1</v>
      </c>
      <c r="C543" s="7">
        <f ca="1">IFERROR(__xludf.DUMMYFUNCTION("""COMPUTED_VALUE"""),1)</f>
        <v>1</v>
      </c>
      <c r="D543" s="8">
        <f ca="1">IFERROR(__xludf.DUMMYFUNCTION("""COMPUTED_VALUE"""),5)</f>
        <v>5</v>
      </c>
      <c r="E543" s="3">
        <f ca="1">IFERROR(__xludf.DUMMYFUNCTION("""COMPUTED_VALUE"""),2)</f>
        <v>2</v>
      </c>
    </row>
    <row r="544" spans="1:5" ht="13">
      <c r="A544" s="2" t="str">
        <f ca="1">IFERROR(__xludf.DUMMYFUNCTION("""COMPUTED_VALUE"""),"Baum, Lorrie")</f>
        <v>Baum, Lorrie</v>
      </c>
      <c r="B544" s="3">
        <f ca="1">IFERROR(__xludf.DUMMYFUNCTION("""COMPUTED_VALUE"""),1)</f>
        <v>1</v>
      </c>
      <c r="C544" s="7">
        <f ca="1">IFERROR(__xludf.DUMMYFUNCTION("""COMPUTED_VALUE"""),1)</f>
        <v>1</v>
      </c>
      <c r="D544" s="8">
        <f ca="1">IFERROR(__xludf.DUMMYFUNCTION("""COMPUTED_VALUE"""),1)</f>
        <v>1</v>
      </c>
      <c r="E544" s="2">
        <f ca="1">IFERROR(__xludf.DUMMYFUNCTION("""COMPUTED_VALUE"""),1)</f>
        <v>1</v>
      </c>
    </row>
    <row r="545" spans="1:5" ht="13">
      <c r="A545" s="2" t="str">
        <f ca="1">IFERROR(__xludf.DUMMYFUNCTION("""COMPUTED_VALUE"""),"Bauman, Jon Ward")</f>
        <v>Bauman, Jon Ward</v>
      </c>
      <c r="B545" s="2">
        <f ca="1">IFERROR(__xludf.DUMMYFUNCTION("""COMPUTED_VALUE"""),1)</f>
        <v>1</v>
      </c>
      <c r="C545" s="7">
        <f ca="1">IFERROR(__xludf.DUMMYFUNCTION("""COMPUTED_VALUE"""),1)</f>
        <v>1</v>
      </c>
      <c r="D545" s="8">
        <f ca="1">IFERROR(__xludf.DUMMYFUNCTION("""COMPUTED_VALUE"""),5)</f>
        <v>5</v>
      </c>
      <c r="E545" s="2">
        <f ca="1">IFERROR(__xludf.DUMMYFUNCTION("""COMPUTED_VALUE"""),2)</f>
        <v>2</v>
      </c>
    </row>
    <row r="546" spans="1:5" ht="13">
      <c r="A546" s="2" t="str">
        <f ca="1">IFERROR(__xludf.DUMMYFUNCTION("""COMPUTED_VALUE"""),"Baumann, Hermann")</f>
        <v>Baumann, Hermann</v>
      </c>
      <c r="B546" s="3">
        <f ca="1">IFERROR(__xludf.DUMMYFUNCTION("""COMPUTED_VALUE"""),1)</f>
        <v>1</v>
      </c>
      <c r="C546" s="7">
        <f ca="1">IFERROR(__xludf.DUMMYFUNCTION("""COMPUTED_VALUE"""),1)</f>
        <v>1</v>
      </c>
      <c r="D546" s="8">
        <f ca="1">IFERROR(__xludf.DUMMYFUNCTION("""COMPUTED_VALUE"""),5)</f>
        <v>5</v>
      </c>
      <c r="E546" s="2">
        <f ca="1">IFERROR(__xludf.DUMMYFUNCTION("""COMPUTED_VALUE"""),2)</f>
        <v>2</v>
      </c>
    </row>
    <row r="547" spans="1:5" ht="13">
      <c r="A547" s="8" t="str">
        <f ca="1">IFERROR(__xludf.DUMMYFUNCTION("""COMPUTED_VALUE"""),"Baumgardner, Brad")</f>
        <v>Baumgardner, Brad</v>
      </c>
      <c r="B547" s="3">
        <f ca="1">IFERROR(__xludf.DUMMYFUNCTION("""COMPUTED_VALUE"""),1)</f>
        <v>1</v>
      </c>
      <c r="C547" s="7">
        <f ca="1">IFERROR(__xludf.DUMMYFUNCTION("""COMPUTED_VALUE"""),1)</f>
        <v>1</v>
      </c>
      <c r="D547" s="8">
        <f ca="1">IFERROR(__xludf.DUMMYFUNCTION("""COMPUTED_VALUE"""),1)</f>
        <v>1</v>
      </c>
      <c r="E547" s="2">
        <f ca="1">IFERROR(__xludf.DUMMYFUNCTION("""COMPUTED_VALUE"""),1)</f>
        <v>1</v>
      </c>
    </row>
    <row r="548" spans="1:5" ht="13">
      <c r="A548" s="8" t="str">
        <f ca="1">IFERROR(__xludf.DUMMYFUNCTION("""COMPUTED_VALUE"""),"Bausano, William")</f>
        <v>Bausano, William</v>
      </c>
      <c r="B548" s="3">
        <f ca="1">IFERROR(__xludf.DUMMYFUNCTION("""COMPUTED_VALUE"""),1)</f>
        <v>1</v>
      </c>
      <c r="C548" s="7">
        <f ca="1">IFERROR(__xludf.DUMMYFUNCTION("""COMPUTED_VALUE"""),1)</f>
        <v>1</v>
      </c>
      <c r="D548" s="8">
        <f ca="1">IFERROR(__xludf.DUMMYFUNCTION("""COMPUTED_VALUE"""),5)</f>
        <v>5</v>
      </c>
      <c r="E548" s="2">
        <f ca="1">IFERROR(__xludf.DUMMYFUNCTION("""COMPUTED_VALUE"""),2)</f>
        <v>2</v>
      </c>
    </row>
    <row r="549" spans="1:5" ht="13">
      <c r="A549" s="2" t="str">
        <f ca="1">IFERROR(__xludf.DUMMYFUNCTION("""COMPUTED_VALUE"""),"Bauwens, Jan")</f>
        <v>Bauwens, Jan</v>
      </c>
      <c r="B549" s="2">
        <f ca="1">IFERROR(__xludf.DUMMYFUNCTION("""COMPUTED_VALUE"""),1)</f>
        <v>1</v>
      </c>
      <c r="C549" s="7">
        <f ca="1">IFERROR(__xludf.DUMMYFUNCTION("""COMPUTED_VALUE"""),1)</f>
        <v>1</v>
      </c>
      <c r="D549" s="8">
        <f ca="1">IFERROR(__xludf.DUMMYFUNCTION("""COMPUTED_VALUE"""),5)</f>
        <v>5</v>
      </c>
      <c r="E549" s="2">
        <f ca="1">IFERROR(__xludf.DUMMYFUNCTION("""COMPUTED_VALUE"""),2)</f>
        <v>2</v>
      </c>
    </row>
    <row r="550" spans="1:5" ht="13">
      <c r="A550" s="8" t="str">
        <f ca="1">IFERROR(__xludf.DUMMYFUNCTION("""COMPUTED_VALUE"""),"Bavicchi, John")</f>
        <v>Bavicchi, John</v>
      </c>
      <c r="B550" s="2">
        <f ca="1">IFERROR(__xludf.DUMMYFUNCTION("""COMPUTED_VALUE"""),1)</f>
        <v>1</v>
      </c>
      <c r="C550" s="7">
        <f ca="1">IFERROR(__xludf.DUMMYFUNCTION("""COMPUTED_VALUE"""),1)</f>
        <v>1</v>
      </c>
      <c r="D550" s="8">
        <f ca="1">IFERROR(__xludf.DUMMYFUNCTION("""COMPUTED_VALUE"""),5)</f>
        <v>5</v>
      </c>
      <c r="E550" s="2">
        <f ca="1">IFERROR(__xludf.DUMMYFUNCTION("""COMPUTED_VALUE"""),2)</f>
        <v>2</v>
      </c>
    </row>
    <row r="551" spans="1:5" ht="13">
      <c r="A551" s="8" t="str">
        <f ca="1">IFERROR(__xludf.DUMMYFUNCTION("""COMPUTED_VALUE"""),"Bawcum, Brett")</f>
        <v>Bawcum, Brett</v>
      </c>
      <c r="B551" s="3">
        <f ca="1">IFERROR(__xludf.DUMMYFUNCTION("""COMPUTED_VALUE"""),1)</f>
        <v>1</v>
      </c>
      <c r="C551" s="7">
        <f ca="1">IFERROR(__xludf.DUMMYFUNCTION("""COMPUTED_VALUE"""),1)</f>
        <v>1</v>
      </c>
      <c r="D551" s="8">
        <f ca="1">IFERROR(__xludf.DUMMYFUNCTION("""COMPUTED_VALUE"""),1)</f>
        <v>1</v>
      </c>
      <c r="E551" s="2">
        <f ca="1">IFERROR(__xludf.DUMMYFUNCTION("""COMPUTED_VALUE"""),1)</f>
        <v>1</v>
      </c>
    </row>
    <row r="552" spans="1:5" ht="13">
      <c r="A552" s="8" t="str">
        <f ca="1">IFERROR(__xludf.DUMMYFUNCTION("""COMPUTED_VALUE"""),"Bax, Arnold")</f>
        <v>Bax, Arnold</v>
      </c>
      <c r="B552" s="3">
        <f ca="1">IFERROR(__xludf.DUMMYFUNCTION("""COMPUTED_VALUE"""),1)</f>
        <v>1</v>
      </c>
      <c r="C552" s="7">
        <f ca="1">IFERROR(__xludf.DUMMYFUNCTION("""COMPUTED_VALUE"""),1)</f>
        <v>1</v>
      </c>
      <c r="D552" s="8">
        <f ca="1">IFERROR(__xludf.DUMMYFUNCTION("""COMPUTED_VALUE"""),5)</f>
        <v>5</v>
      </c>
      <c r="E552" s="2">
        <f ca="1">IFERROR(__xludf.DUMMYFUNCTION("""COMPUTED_VALUE"""),2)</f>
        <v>2</v>
      </c>
    </row>
    <row r="553" spans="1:5" ht="13">
      <c r="A553" s="8" t="str">
        <f ca="1">IFERROR(__xludf.DUMMYFUNCTION("""COMPUTED_VALUE"""),"Bayless, Dallas F.")</f>
        <v>Bayless, Dallas F.</v>
      </c>
      <c r="B553" s="3">
        <f ca="1">IFERROR(__xludf.DUMMYFUNCTION("""COMPUTED_VALUE"""),1)</f>
        <v>1</v>
      </c>
      <c r="C553" s="7">
        <f ca="1">IFERROR(__xludf.DUMMYFUNCTION("""COMPUTED_VALUE"""),1)</f>
        <v>1</v>
      </c>
      <c r="D553" s="8">
        <f ca="1">IFERROR(__xludf.DUMMYFUNCTION("""COMPUTED_VALUE"""),1)</f>
        <v>1</v>
      </c>
      <c r="E553" s="2">
        <f ca="1">IFERROR(__xludf.DUMMYFUNCTION("""COMPUTED_VALUE"""),1)</f>
        <v>1</v>
      </c>
    </row>
    <row r="554" spans="1:5" ht="13">
      <c r="A554" s="2" t="str">
        <f ca="1">IFERROR(__xludf.DUMMYFUNCTION("""COMPUTED_VALUE"""),"Bayley, Robert")</f>
        <v>Bayley, Robert</v>
      </c>
      <c r="B554" s="3">
        <f ca="1">IFERROR(__xludf.DUMMYFUNCTION("""COMPUTED_VALUE"""),1)</f>
        <v>1</v>
      </c>
      <c r="C554" s="7">
        <f ca="1">IFERROR(__xludf.DUMMYFUNCTION("""COMPUTED_VALUE"""),1)</f>
        <v>1</v>
      </c>
      <c r="D554" s="8">
        <f ca="1">IFERROR(__xludf.DUMMYFUNCTION("""COMPUTED_VALUE"""),5)</f>
        <v>5</v>
      </c>
      <c r="E554" s="2">
        <f ca="1">IFERROR(__xludf.DUMMYFUNCTION("""COMPUTED_VALUE"""),2)</f>
        <v>2</v>
      </c>
    </row>
    <row r="555" spans="1:5" ht="13">
      <c r="A555" s="2" t="str">
        <f ca="1">IFERROR(__xludf.DUMMYFUNCTION("""COMPUTED_VALUE"""),"Baylock, Alan")</f>
        <v>Baylock, Alan</v>
      </c>
      <c r="B555" s="3">
        <f ca="1">IFERROR(__xludf.DUMMYFUNCTION("""COMPUTED_VALUE"""),1)</f>
        <v>1</v>
      </c>
      <c r="C555" s="7">
        <f ca="1">IFERROR(__xludf.DUMMYFUNCTION("""COMPUTED_VALUE"""),1)</f>
        <v>1</v>
      </c>
      <c r="D555" s="8">
        <f ca="1">IFERROR(__xludf.DUMMYFUNCTION("""COMPUTED_VALUE"""),1)</f>
        <v>1</v>
      </c>
      <c r="E555" s="2">
        <f ca="1">IFERROR(__xludf.DUMMYFUNCTION("""COMPUTED_VALUE"""),1)</f>
        <v>1</v>
      </c>
    </row>
    <row r="556" spans="1:5" ht="13">
      <c r="A556" s="2" t="str">
        <f ca="1">IFERROR(__xludf.DUMMYFUNCTION("""COMPUTED_VALUE"""),"Baynon, Arthur")</f>
        <v>Baynon, Arthur</v>
      </c>
      <c r="B556" s="3">
        <f ca="1">IFERROR(__xludf.DUMMYFUNCTION("""COMPUTED_VALUE"""),1)</f>
        <v>1</v>
      </c>
      <c r="C556" s="7">
        <f ca="1">IFERROR(__xludf.DUMMYFUNCTION("""COMPUTED_VALUE"""),1)</f>
        <v>1</v>
      </c>
      <c r="D556" s="8">
        <f ca="1">IFERROR(__xludf.DUMMYFUNCTION("""COMPUTED_VALUE"""),5)</f>
        <v>5</v>
      </c>
      <c r="E556" s="2">
        <f ca="1">IFERROR(__xludf.DUMMYFUNCTION("""COMPUTED_VALUE"""),2)</f>
        <v>2</v>
      </c>
    </row>
    <row r="557" spans="1:5" ht="13">
      <c r="A557" s="2" t="str">
        <f ca="1">IFERROR(__xludf.DUMMYFUNCTION("""COMPUTED_VALUE"""),"Bazzini, Antonio")</f>
        <v>Bazzini, Antonio</v>
      </c>
      <c r="B557" s="3">
        <f ca="1">IFERROR(__xludf.DUMMYFUNCTION("""COMPUTED_VALUE"""),1)</f>
        <v>1</v>
      </c>
      <c r="C557" s="7">
        <f ca="1">IFERROR(__xludf.DUMMYFUNCTION("""COMPUTED_VALUE"""),1)</f>
        <v>1</v>
      </c>
      <c r="D557" s="8">
        <f ca="1">IFERROR(__xludf.DUMMYFUNCTION("""COMPUTED_VALUE"""),5)</f>
        <v>5</v>
      </c>
      <c r="E557" s="2">
        <f ca="1">IFERROR(__xludf.DUMMYFUNCTION("""COMPUTED_VALUE"""),2)</f>
        <v>2</v>
      </c>
    </row>
    <row r="558" spans="1:5" ht="13">
      <c r="A558" s="2" t="str">
        <f ca="1">IFERROR(__xludf.DUMMYFUNCTION("""COMPUTED_VALUE"""),"Beach, Doug")</f>
        <v>Beach, Doug</v>
      </c>
      <c r="B558" s="3">
        <f ca="1">IFERROR(__xludf.DUMMYFUNCTION("""COMPUTED_VALUE"""),1)</f>
        <v>1</v>
      </c>
      <c r="C558" s="7">
        <f ca="1">IFERROR(__xludf.DUMMYFUNCTION("""COMPUTED_VALUE"""),1)</f>
        <v>1</v>
      </c>
      <c r="D558" s="8">
        <f ca="1">IFERROR(__xludf.DUMMYFUNCTION("""COMPUTED_VALUE"""),1)</f>
        <v>1</v>
      </c>
      <c r="E558" s="2">
        <f ca="1">IFERROR(__xludf.DUMMYFUNCTION("""COMPUTED_VALUE"""),1)</f>
        <v>1</v>
      </c>
    </row>
    <row r="559" spans="1:5" ht="13">
      <c r="A559" s="2" t="str">
        <f ca="1">IFERROR(__xludf.DUMMYFUNCTION("""COMPUTED_VALUE"""),"Beach, Doug / Shutack, George")</f>
        <v>Beach, Doug / Shutack, George</v>
      </c>
      <c r="B559" s="3">
        <f ca="1">IFERROR(__xludf.DUMMYFUNCTION("""COMPUTED_VALUE"""),1)</f>
        <v>1</v>
      </c>
      <c r="C559" s="7">
        <f ca="1">IFERROR(__xludf.DUMMYFUNCTION("""COMPUTED_VALUE"""),1)</f>
        <v>1</v>
      </c>
      <c r="D559" s="8">
        <f ca="1">IFERROR(__xludf.DUMMYFUNCTION("""COMPUTED_VALUE"""),1)</f>
        <v>1</v>
      </c>
      <c r="E559" s="2">
        <f ca="1">IFERROR(__xludf.DUMMYFUNCTION("""COMPUTED_VALUE"""),1)</f>
        <v>1</v>
      </c>
    </row>
    <row r="560" spans="1:5" ht="13">
      <c r="A560" s="2" t="str">
        <f ca="1">IFERROR(__xludf.DUMMYFUNCTION("""COMPUTED_VALUE"""),"Beach, Doug / Tomaro, Mike")</f>
        <v>Beach, Doug / Tomaro, Mike</v>
      </c>
      <c r="B560" s="3">
        <f ca="1">IFERROR(__xludf.DUMMYFUNCTION("""COMPUTED_VALUE"""),1)</f>
        <v>1</v>
      </c>
      <c r="C560" s="7">
        <f ca="1">IFERROR(__xludf.DUMMYFUNCTION("""COMPUTED_VALUE"""),1)</f>
        <v>1</v>
      </c>
      <c r="D560" s="8">
        <f ca="1">IFERROR(__xludf.DUMMYFUNCTION("""COMPUTED_VALUE"""),1)</f>
        <v>1</v>
      </c>
      <c r="E560" s="2">
        <f ca="1">IFERROR(__xludf.DUMMYFUNCTION("""COMPUTED_VALUE"""),1)</f>
        <v>1</v>
      </c>
    </row>
    <row r="561" spans="1:5" ht="13">
      <c r="A561" s="2" t="str">
        <f ca="1">IFERROR(__xludf.DUMMYFUNCTION("""COMPUTED_VALUE"""),"Beacom, Joshua")</f>
        <v>Beacom, Joshua</v>
      </c>
      <c r="B561" s="2">
        <f ca="1">IFERROR(__xludf.DUMMYFUNCTION("""COMPUTED_VALUE"""),1)</f>
        <v>1</v>
      </c>
      <c r="C561" s="2">
        <f ca="1">IFERROR(__xludf.DUMMYFUNCTION("""COMPUTED_VALUE"""),1)</f>
        <v>1</v>
      </c>
      <c r="D561" s="8">
        <f ca="1">IFERROR(__xludf.DUMMYFUNCTION("""COMPUTED_VALUE"""),1)</f>
        <v>1</v>
      </c>
      <c r="E561" s="2">
        <f ca="1">IFERROR(__xludf.DUMMYFUNCTION("""COMPUTED_VALUE"""),1)</f>
        <v>1</v>
      </c>
    </row>
    <row r="562" spans="1:5" ht="13">
      <c r="A562" s="2" t="str">
        <f ca="1">IFERROR(__xludf.DUMMYFUNCTION("""COMPUTED_VALUE"""),"Beadell, Robert")</f>
        <v>Beadell, Robert</v>
      </c>
      <c r="B562" s="3">
        <f ca="1">IFERROR(__xludf.DUMMYFUNCTION("""COMPUTED_VALUE"""),1)</f>
        <v>1</v>
      </c>
      <c r="C562" s="7">
        <f ca="1">IFERROR(__xludf.DUMMYFUNCTION("""COMPUTED_VALUE"""),1)</f>
        <v>1</v>
      </c>
      <c r="D562" s="8">
        <f ca="1">IFERROR(__xludf.DUMMYFUNCTION("""COMPUTED_VALUE"""),5)</f>
        <v>5</v>
      </c>
      <c r="E562" s="2">
        <f ca="1">IFERROR(__xludf.DUMMYFUNCTION("""COMPUTED_VALUE"""),2)</f>
        <v>2</v>
      </c>
    </row>
    <row r="563" spans="1:5" ht="13">
      <c r="A563" s="8" t="str">
        <f ca="1">IFERROR(__xludf.DUMMYFUNCTION("""COMPUTED_VALUE"""),"Beal, Jeff")</f>
        <v>Beal, Jeff</v>
      </c>
      <c r="B563" s="3">
        <f ca="1">IFERROR(__xludf.DUMMYFUNCTION("""COMPUTED_VALUE"""),1)</f>
        <v>1</v>
      </c>
      <c r="C563" s="7">
        <f ca="1">IFERROR(__xludf.DUMMYFUNCTION("""COMPUTED_VALUE"""),1)</f>
        <v>1</v>
      </c>
      <c r="D563" s="8">
        <f ca="1">IFERROR(__xludf.DUMMYFUNCTION("""COMPUTED_VALUE"""),1)</f>
        <v>1</v>
      </c>
      <c r="E563" s="2">
        <f ca="1">IFERROR(__xludf.DUMMYFUNCTION("""COMPUTED_VALUE"""),1)</f>
        <v>1</v>
      </c>
    </row>
    <row r="564" spans="1:5" ht="13">
      <c r="A564" s="8" t="str">
        <f ca="1">IFERROR(__xludf.DUMMYFUNCTION("""COMPUTED_VALUE"""),"Beale, William")</f>
        <v>Beale, William</v>
      </c>
      <c r="B564" s="3">
        <f ca="1">IFERROR(__xludf.DUMMYFUNCTION("""COMPUTED_VALUE"""),1)</f>
        <v>1</v>
      </c>
      <c r="C564" s="7">
        <f ca="1">IFERROR(__xludf.DUMMYFUNCTION("""COMPUTED_VALUE"""),1)</f>
        <v>1</v>
      </c>
      <c r="D564" s="8">
        <f ca="1">IFERROR(__xludf.DUMMYFUNCTION("""COMPUTED_VALUE"""),5)</f>
        <v>5</v>
      </c>
      <c r="E564" s="2">
        <f ca="1">IFERROR(__xludf.DUMMYFUNCTION("""COMPUTED_VALUE"""),2)</f>
        <v>2</v>
      </c>
    </row>
    <row r="565" spans="1:5" ht="13">
      <c r="A565" s="2" t="str">
        <f ca="1">IFERROR(__xludf.DUMMYFUNCTION("""COMPUTED_VALUE"""),"Beall, Andrew")</f>
        <v>Beall, Andrew</v>
      </c>
      <c r="B565" s="2">
        <f ca="1">IFERROR(__xludf.DUMMYFUNCTION("""COMPUTED_VALUE"""),1)</f>
        <v>1</v>
      </c>
      <c r="C565" s="7">
        <f ca="1">IFERROR(__xludf.DUMMYFUNCTION("""COMPUTED_VALUE"""),1)</f>
        <v>1</v>
      </c>
      <c r="D565" s="8">
        <f ca="1">IFERROR(__xludf.DUMMYFUNCTION("""COMPUTED_VALUE"""),1)</f>
        <v>1</v>
      </c>
      <c r="E565" s="2">
        <f ca="1">IFERROR(__xludf.DUMMYFUNCTION("""COMPUTED_VALUE"""),1)</f>
        <v>1</v>
      </c>
    </row>
    <row r="566" spans="1:5" ht="13">
      <c r="A566" s="2" t="str">
        <f ca="1">IFERROR(__xludf.DUMMYFUNCTION("""COMPUTED_VALUE"""),"Beam, Douglas")</f>
        <v>Beam, Douglas</v>
      </c>
      <c r="B566" s="3">
        <f ca="1">IFERROR(__xludf.DUMMYFUNCTION("""COMPUTED_VALUE"""),1)</f>
        <v>1</v>
      </c>
      <c r="C566" s="7">
        <f ca="1">IFERROR(__xludf.DUMMYFUNCTION("""COMPUTED_VALUE"""),1)</f>
        <v>1</v>
      </c>
      <c r="D566" s="8">
        <f ca="1">IFERROR(__xludf.DUMMYFUNCTION("""COMPUTED_VALUE"""),1)</f>
        <v>1</v>
      </c>
      <c r="E566" s="2">
        <f ca="1">IFERROR(__xludf.DUMMYFUNCTION("""COMPUTED_VALUE"""),1)</f>
        <v>1</v>
      </c>
    </row>
    <row r="567" spans="1:5" ht="13">
      <c r="A567" s="8" t="str">
        <f ca="1">IFERROR(__xludf.DUMMYFUNCTION("""COMPUTED_VALUE"""),"Beans, Gus (Fillmore, Henry)")</f>
        <v>Beans, Gus (Fillmore, Henry)</v>
      </c>
      <c r="B567" s="3">
        <f ca="1">IFERROR(__xludf.DUMMYFUNCTION("""COMPUTED_VALUE"""),1)</f>
        <v>1</v>
      </c>
      <c r="C567" s="7">
        <f ca="1">IFERROR(__xludf.DUMMYFUNCTION("""COMPUTED_VALUE"""),1)</f>
        <v>1</v>
      </c>
      <c r="D567" s="8">
        <f ca="1">IFERROR(__xludf.DUMMYFUNCTION("""COMPUTED_VALUE"""),5)</f>
        <v>5</v>
      </c>
      <c r="E567" s="2">
        <f ca="1">IFERROR(__xludf.DUMMYFUNCTION("""COMPUTED_VALUE"""),2)</f>
        <v>2</v>
      </c>
    </row>
    <row r="568" spans="1:5" ht="13">
      <c r="A568" s="8" t="str">
        <f ca="1">IFERROR(__xludf.DUMMYFUNCTION("""COMPUTED_VALUE"""),"Beard, Ryan")</f>
        <v>Beard, Ryan</v>
      </c>
      <c r="B568" s="3">
        <f ca="1">IFERROR(__xludf.DUMMYFUNCTION("""COMPUTED_VALUE"""),1)</f>
        <v>1</v>
      </c>
      <c r="C568" s="7">
        <f ca="1">IFERROR(__xludf.DUMMYFUNCTION("""COMPUTED_VALUE"""),1)</f>
        <v>1</v>
      </c>
      <c r="D568" s="8">
        <f ca="1">IFERROR(__xludf.DUMMYFUNCTION("""COMPUTED_VALUE"""),1)</f>
        <v>1</v>
      </c>
      <c r="E568" s="2">
        <f ca="1">IFERROR(__xludf.DUMMYFUNCTION("""COMPUTED_VALUE"""),1)</f>
        <v>1</v>
      </c>
    </row>
    <row r="569" spans="1:5" ht="13">
      <c r="A569" s="8" t="str">
        <f ca="1">IFERROR(__xludf.DUMMYFUNCTION("""COMPUTED_VALUE"""),"Beaser, Robert")</f>
        <v>Beaser, Robert</v>
      </c>
      <c r="B569" s="3">
        <f ca="1">IFERROR(__xludf.DUMMYFUNCTION("""COMPUTED_VALUE"""),1)</f>
        <v>1</v>
      </c>
      <c r="C569" s="7">
        <f ca="1">IFERROR(__xludf.DUMMYFUNCTION("""COMPUTED_VALUE"""),1)</f>
        <v>1</v>
      </c>
      <c r="D569" s="8">
        <f ca="1">IFERROR(__xludf.DUMMYFUNCTION("""COMPUTED_VALUE"""),1)</f>
        <v>1</v>
      </c>
      <c r="E569" s="2">
        <f ca="1">IFERROR(__xludf.DUMMYFUNCTION("""COMPUTED_VALUE"""),1)</f>
        <v>1</v>
      </c>
    </row>
    <row r="570" spans="1:5" ht="13">
      <c r="A570" s="2" t="str">
        <f ca="1">IFERROR(__xludf.DUMMYFUNCTION("""COMPUTED_VALUE"""),"Beauchamp, Robin")</f>
        <v>Beauchamp, Robin</v>
      </c>
      <c r="B570" s="3">
        <f ca="1">IFERROR(__xludf.DUMMYFUNCTION("""COMPUTED_VALUE"""),1)</f>
        <v>1</v>
      </c>
      <c r="C570" s="7">
        <f ca="1">IFERROR(__xludf.DUMMYFUNCTION("""COMPUTED_VALUE"""),1)</f>
        <v>1</v>
      </c>
      <c r="D570" s="8">
        <f ca="1">IFERROR(__xludf.DUMMYFUNCTION("""COMPUTED_VALUE"""),1)</f>
        <v>1</v>
      </c>
      <c r="E570" s="2">
        <f ca="1">IFERROR(__xludf.DUMMYFUNCTION("""COMPUTED_VALUE"""),1)</f>
        <v>1</v>
      </c>
    </row>
    <row r="571" spans="1:5" ht="13">
      <c r="A571" s="2" t="str">
        <f ca="1">IFERROR(__xludf.DUMMYFUNCTION("""COMPUTED_VALUE"""),"Beavers, Doug")</f>
        <v>Beavers, Doug</v>
      </c>
      <c r="B571" s="2">
        <f ca="1">IFERROR(__xludf.DUMMYFUNCTION("""COMPUTED_VALUE"""),1)</f>
        <v>1</v>
      </c>
      <c r="C571" s="7">
        <f ca="1">IFERROR(__xludf.DUMMYFUNCTION("""COMPUTED_VALUE"""),1)</f>
        <v>1</v>
      </c>
      <c r="D571" s="8">
        <f ca="1">IFERROR(__xludf.DUMMYFUNCTION("""COMPUTED_VALUE"""),1)</f>
        <v>1</v>
      </c>
      <c r="E571" s="2">
        <f ca="1">IFERROR(__xludf.DUMMYFUNCTION("""COMPUTED_VALUE"""),1)</f>
        <v>1</v>
      </c>
    </row>
    <row r="572" spans="1:5" ht="13">
      <c r="A572" s="8" t="str">
        <f ca="1">IFERROR(__xludf.DUMMYFUNCTION("""COMPUTED_VALUE"""),"Beck, Andy")</f>
        <v>Beck, Andy</v>
      </c>
      <c r="B572" s="3">
        <f ca="1">IFERROR(__xludf.DUMMYFUNCTION("""COMPUTED_VALUE"""),1)</f>
        <v>1</v>
      </c>
      <c r="C572" s="7">
        <f ca="1">IFERROR(__xludf.DUMMYFUNCTION("""COMPUTED_VALUE"""),1)</f>
        <v>1</v>
      </c>
      <c r="D572" s="8">
        <f ca="1">IFERROR(__xludf.DUMMYFUNCTION("""COMPUTED_VALUE"""),1)</f>
        <v>1</v>
      </c>
      <c r="E572" s="2">
        <f ca="1">IFERROR(__xludf.DUMMYFUNCTION("""COMPUTED_VALUE"""),1)</f>
        <v>1</v>
      </c>
    </row>
    <row r="573" spans="1:5" ht="13">
      <c r="A573" s="8" t="str">
        <f ca="1">IFERROR(__xludf.DUMMYFUNCTION("""COMPUTED_VALUE"""),"Beck, Brian")</f>
        <v>Beck, Brian</v>
      </c>
      <c r="B573" s="3">
        <f ca="1">IFERROR(__xludf.DUMMYFUNCTION("""COMPUTED_VALUE"""),1)</f>
        <v>1</v>
      </c>
      <c r="C573" s="7">
        <f ca="1">IFERROR(__xludf.DUMMYFUNCTION("""COMPUTED_VALUE"""),1)</f>
        <v>1</v>
      </c>
      <c r="D573" s="8">
        <f ca="1">IFERROR(__xludf.DUMMYFUNCTION("""COMPUTED_VALUE"""),1)</f>
        <v>1</v>
      </c>
      <c r="E573" s="2">
        <f ca="1">IFERROR(__xludf.DUMMYFUNCTION("""COMPUTED_VALUE"""),1)</f>
        <v>1</v>
      </c>
    </row>
    <row r="574" spans="1:5" ht="13">
      <c r="A574" s="8" t="str">
        <f ca="1">IFERROR(__xludf.DUMMYFUNCTION("""COMPUTED_VALUE"""),"Beck, Christophe")</f>
        <v>Beck, Christophe</v>
      </c>
      <c r="B574" s="3">
        <f ca="1">IFERROR(__xludf.DUMMYFUNCTION("""COMPUTED_VALUE"""),1)</f>
        <v>1</v>
      </c>
      <c r="C574" s="7">
        <f ca="1">IFERROR(__xludf.DUMMYFUNCTION("""COMPUTED_VALUE"""),1)</f>
        <v>1</v>
      </c>
      <c r="D574" s="8">
        <f ca="1">IFERROR(__xludf.DUMMYFUNCTION("""COMPUTED_VALUE"""),1)</f>
        <v>1</v>
      </c>
      <c r="E574" s="2">
        <f ca="1">IFERROR(__xludf.DUMMYFUNCTION("""COMPUTED_VALUE"""),1)</f>
        <v>1</v>
      </c>
    </row>
    <row r="575" spans="1:5" ht="13">
      <c r="A575" s="2" t="str">
        <f ca="1">IFERROR(__xludf.DUMMYFUNCTION("""COMPUTED_VALUE"""),"Beck, Crafton")</f>
        <v>Beck, Crafton</v>
      </c>
      <c r="B575" s="3">
        <f ca="1">IFERROR(__xludf.DUMMYFUNCTION("""COMPUTED_VALUE"""),1)</f>
        <v>1</v>
      </c>
      <c r="C575" s="7">
        <f ca="1">IFERROR(__xludf.DUMMYFUNCTION("""COMPUTED_VALUE"""),1)</f>
        <v>1</v>
      </c>
      <c r="D575" s="8">
        <f ca="1">IFERROR(__xludf.DUMMYFUNCTION("""COMPUTED_VALUE"""),1)</f>
        <v>1</v>
      </c>
      <c r="E575" s="2">
        <f ca="1">IFERROR(__xludf.DUMMYFUNCTION("""COMPUTED_VALUE"""),1)</f>
        <v>1</v>
      </c>
    </row>
    <row r="576" spans="1:5" ht="13">
      <c r="A576" s="2" t="str">
        <f ca="1">IFERROR(__xludf.DUMMYFUNCTION("""COMPUTED_VALUE"""),"Beck, Franz")</f>
        <v>Beck, Franz</v>
      </c>
      <c r="B576" s="2">
        <f ca="1">IFERROR(__xludf.DUMMYFUNCTION("""COMPUTED_VALUE"""),1)</f>
        <v>1</v>
      </c>
      <c r="C576" s="7">
        <f ca="1">IFERROR(__xludf.DUMMYFUNCTION("""COMPUTED_VALUE"""),1)</f>
        <v>1</v>
      </c>
      <c r="D576" s="8">
        <f ca="1">IFERROR(__xludf.DUMMYFUNCTION("""COMPUTED_VALUE"""),5)</f>
        <v>5</v>
      </c>
      <c r="E576" s="2">
        <f ca="1">IFERROR(__xludf.DUMMYFUNCTION("""COMPUTED_VALUE"""),2)</f>
        <v>2</v>
      </c>
    </row>
    <row r="577" spans="1:5" ht="13">
      <c r="A577" s="8" t="str">
        <f ca="1">IFERROR(__xludf.DUMMYFUNCTION("""COMPUTED_VALUE"""),"Beck, Jay")</f>
        <v>Beck, Jay</v>
      </c>
      <c r="B577" s="3">
        <f ca="1">IFERROR(__xludf.DUMMYFUNCTION("""COMPUTED_VALUE"""),1)</f>
        <v>1</v>
      </c>
      <c r="C577" s="7">
        <f ca="1">IFERROR(__xludf.DUMMYFUNCTION("""COMPUTED_VALUE"""),1)</f>
        <v>1</v>
      </c>
      <c r="D577" s="8">
        <f ca="1">IFERROR(__xludf.DUMMYFUNCTION("""COMPUTED_VALUE"""),1)</f>
        <v>1</v>
      </c>
      <c r="E577" s="2">
        <f ca="1">IFERROR(__xludf.DUMMYFUNCTION("""COMPUTED_VALUE"""),1)</f>
        <v>1</v>
      </c>
    </row>
    <row r="578" spans="1:5" ht="13">
      <c r="A578" s="2" t="str">
        <f ca="1">IFERROR(__xludf.DUMMYFUNCTION("""COMPUTED_VALUE"""),"Beck, Jeremy")</f>
        <v>Beck, Jeremy</v>
      </c>
      <c r="B578" s="2">
        <f ca="1">IFERROR(__xludf.DUMMYFUNCTION("""COMPUTED_VALUE"""),1)</f>
        <v>1</v>
      </c>
      <c r="C578" s="2">
        <f ca="1">IFERROR(__xludf.DUMMYFUNCTION("""COMPUTED_VALUE"""),1)</f>
        <v>1</v>
      </c>
      <c r="D578" s="8">
        <f ca="1">IFERROR(__xludf.DUMMYFUNCTION("""COMPUTED_VALUE"""),1)</f>
        <v>1</v>
      </c>
      <c r="E578" s="2">
        <f ca="1">IFERROR(__xludf.DUMMYFUNCTION("""COMPUTED_VALUE"""),1)</f>
        <v>1</v>
      </c>
    </row>
    <row r="579" spans="1:5" ht="13">
      <c r="A579" s="8" t="str">
        <f ca="1">IFERROR(__xludf.DUMMYFUNCTION("""COMPUTED_VALUE"""),"Beck, Jeremy Howard")</f>
        <v>Beck, Jeremy Howard</v>
      </c>
      <c r="B579" s="3">
        <f ca="1">IFERROR(__xludf.DUMMYFUNCTION("""COMPUTED_VALUE"""),1)</f>
        <v>1</v>
      </c>
      <c r="C579" s="7">
        <f ca="1">IFERROR(__xludf.DUMMYFUNCTION("""COMPUTED_VALUE"""),1)</f>
        <v>1</v>
      </c>
      <c r="D579" s="8">
        <f ca="1">IFERROR(__xludf.DUMMYFUNCTION("""COMPUTED_VALUE"""),1)</f>
        <v>1</v>
      </c>
      <c r="E579" s="2">
        <f ca="1">IFERROR(__xludf.DUMMYFUNCTION("""COMPUTED_VALUE"""),1)</f>
        <v>1</v>
      </c>
    </row>
    <row r="580" spans="1:5" ht="13">
      <c r="A580" s="8" t="str">
        <f ca="1">IFERROR(__xludf.DUMMYFUNCTION("""COMPUTED_VALUE"""),"Beck, John")</f>
        <v>Beck, John</v>
      </c>
      <c r="B580" s="3">
        <f ca="1">IFERROR(__xludf.DUMMYFUNCTION("""COMPUTED_VALUE"""),1)</f>
        <v>1</v>
      </c>
      <c r="C580" s="7">
        <f ca="1">IFERROR(__xludf.DUMMYFUNCTION("""COMPUTED_VALUE"""),1)</f>
        <v>1</v>
      </c>
      <c r="D580" s="8">
        <f ca="1">IFERROR(__xludf.DUMMYFUNCTION("""COMPUTED_VALUE"""),1)</f>
        <v>1</v>
      </c>
      <c r="E580" s="2">
        <f ca="1">IFERROR(__xludf.DUMMYFUNCTION("""COMPUTED_VALUE"""),1)</f>
        <v>1</v>
      </c>
    </row>
    <row r="581" spans="1:5" ht="13">
      <c r="A581" s="2" t="str">
        <f ca="1">IFERROR(__xludf.DUMMYFUNCTION("""COMPUTED_VALUE"""),"Beck, John Ness")</f>
        <v>Beck, John Ness</v>
      </c>
      <c r="B581" s="3">
        <f ca="1">IFERROR(__xludf.DUMMYFUNCTION("""COMPUTED_VALUE"""),1)</f>
        <v>1</v>
      </c>
      <c r="C581" s="7">
        <f ca="1">IFERROR(__xludf.DUMMYFUNCTION("""COMPUTED_VALUE"""),1)</f>
        <v>1</v>
      </c>
      <c r="D581" s="8">
        <f ca="1">IFERROR(__xludf.DUMMYFUNCTION("""COMPUTED_VALUE"""),5)</f>
        <v>5</v>
      </c>
      <c r="E581" s="2">
        <f ca="1">IFERROR(__xludf.DUMMYFUNCTION("""COMPUTED_VALUE"""),2)</f>
        <v>2</v>
      </c>
    </row>
    <row r="582" spans="1:5" ht="13">
      <c r="A582" s="8" t="str">
        <f ca="1">IFERROR(__xludf.DUMMYFUNCTION("""COMPUTED_VALUE"""),"Beck, John Ness / Courtney, Craig")</f>
        <v>Beck, John Ness / Courtney, Craig</v>
      </c>
      <c r="B582" s="3">
        <f ca="1">IFERROR(__xludf.DUMMYFUNCTION("""COMPUTED_VALUE"""),1)</f>
        <v>1</v>
      </c>
      <c r="C582" s="7">
        <f ca="1">IFERROR(__xludf.DUMMYFUNCTION("""COMPUTED_VALUE"""),1)</f>
        <v>1</v>
      </c>
      <c r="D582" s="8">
        <f ca="1">IFERROR(__xludf.DUMMYFUNCTION("""COMPUTED_VALUE"""),1)</f>
        <v>1</v>
      </c>
      <c r="E582" s="2">
        <f ca="1">IFERROR(__xludf.DUMMYFUNCTION("""COMPUTED_VALUE"""),1)</f>
        <v>1</v>
      </c>
    </row>
    <row r="583" spans="1:5" ht="13">
      <c r="A583" s="8" t="str">
        <f ca="1">IFERROR(__xludf.DUMMYFUNCTION("""COMPUTED_VALUE"""),"Beck, Stephen")</f>
        <v>Beck, Stephen</v>
      </c>
      <c r="B583" s="3">
        <f ca="1">IFERROR(__xludf.DUMMYFUNCTION("""COMPUTED_VALUE"""),1)</f>
        <v>1</v>
      </c>
      <c r="C583" s="7">
        <f ca="1">IFERROR(__xludf.DUMMYFUNCTION("""COMPUTED_VALUE"""),1)</f>
        <v>1</v>
      </c>
      <c r="D583" s="8">
        <f ca="1">IFERROR(__xludf.DUMMYFUNCTION("""COMPUTED_VALUE"""),1)</f>
        <v>1</v>
      </c>
      <c r="E583" s="2">
        <f ca="1">IFERROR(__xludf.DUMMYFUNCTION("""COMPUTED_VALUE"""),1)</f>
        <v>1</v>
      </c>
    </row>
    <row r="584" spans="1:5" ht="13">
      <c r="A584" s="8" t="str">
        <f ca="1">IFERROR(__xludf.DUMMYFUNCTION("""COMPUTED_VALUE"""),"Beckel, James")</f>
        <v>Beckel, James</v>
      </c>
      <c r="B584" s="3">
        <f ca="1">IFERROR(__xludf.DUMMYFUNCTION("""COMPUTED_VALUE"""),1)</f>
        <v>1</v>
      </c>
      <c r="C584" s="7">
        <f ca="1">IFERROR(__xludf.DUMMYFUNCTION("""COMPUTED_VALUE"""),1)</f>
        <v>1</v>
      </c>
      <c r="D584" s="8">
        <f ca="1">IFERROR(__xludf.DUMMYFUNCTION("""COMPUTED_VALUE"""),1)</f>
        <v>1</v>
      </c>
      <c r="E584" s="2">
        <f ca="1">IFERROR(__xludf.DUMMYFUNCTION("""COMPUTED_VALUE"""),1)</f>
        <v>1</v>
      </c>
    </row>
    <row r="585" spans="1:5" ht="13">
      <c r="A585" s="8" t="str">
        <f ca="1">IFERROR(__xludf.DUMMYFUNCTION("""COMPUTED_VALUE"""),"Beckel, Jim")</f>
        <v>Beckel, Jim</v>
      </c>
      <c r="B585" s="3">
        <f ca="1">IFERROR(__xludf.DUMMYFUNCTION("""COMPUTED_VALUE"""),1)</f>
        <v>1</v>
      </c>
      <c r="C585" s="7">
        <f ca="1">IFERROR(__xludf.DUMMYFUNCTION("""COMPUTED_VALUE"""),1)</f>
        <v>1</v>
      </c>
      <c r="D585" s="8">
        <f ca="1">IFERROR(__xludf.DUMMYFUNCTION("""COMPUTED_VALUE"""),1)</f>
        <v>1</v>
      </c>
      <c r="E585" s="2">
        <f ca="1">IFERROR(__xludf.DUMMYFUNCTION("""COMPUTED_VALUE"""),1)</f>
        <v>1</v>
      </c>
    </row>
    <row r="586" spans="1:5" ht="13">
      <c r="A586" s="8" t="str">
        <f ca="1">IFERROR(__xludf.DUMMYFUNCTION("""COMPUTED_VALUE"""),"Becker, Bob")</f>
        <v>Becker, Bob</v>
      </c>
      <c r="B586" s="3">
        <f ca="1">IFERROR(__xludf.DUMMYFUNCTION("""COMPUTED_VALUE"""),1)</f>
        <v>1</v>
      </c>
      <c r="C586" s="7">
        <f ca="1">IFERROR(__xludf.DUMMYFUNCTION("""COMPUTED_VALUE"""),1)</f>
        <v>1</v>
      </c>
      <c r="D586" s="8">
        <f ca="1">IFERROR(__xludf.DUMMYFUNCTION("""COMPUTED_VALUE"""),1)</f>
        <v>1</v>
      </c>
      <c r="E586" s="2">
        <f ca="1">IFERROR(__xludf.DUMMYFUNCTION("""COMPUTED_VALUE"""),1)</f>
        <v>1</v>
      </c>
    </row>
    <row r="587" spans="1:5" ht="13">
      <c r="A587" s="8" t="str">
        <f ca="1">IFERROR(__xludf.DUMMYFUNCTION("""COMPUTED_VALUE"""),"Beckham, Dwight")</f>
        <v>Beckham, Dwight</v>
      </c>
      <c r="B587" s="3">
        <f ca="1">IFERROR(__xludf.DUMMYFUNCTION("""COMPUTED_VALUE"""),1)</f>
        <v>1</v>
      </c>
      <c r="C587" s="7">
        <f ca="1">IFERROR(__xludf.DUMMYFUNCTION("""COMPUTED_VALUE"""),1)</f>
        <v>1</v>
      </c>
      <c r="D587" s="8">
        <f ca="1">IFERROR(__xludf.DUMMYFUNCTION("""COMPUTED_VALUE"""),5)</f>
        <v>5</v>
      </c>
      <c r="E587" s="2">
        <f ca="1">IFERROR(__xludf.DUMMYFUNCTION("""COMPUTED_VALUE"""),2)</f>
        <v>2</v>
      </c>
    </row>
    <row r="588" spans="1:5" ht="13">
      <c r="A588" s="2" t="str">
        <f ca="1">IFERROR(__xludf.DUMMYFUNCTION("""COMPUTED_VALUE"""),"Beckwith, John Christmas")</f>
        <v>Beckwith, John Christmas</v>
      </c>
      <c r="B588" s="3">
        <f ca="1">IFERROR(__xludf.DUMMYFUNCTION("""COMPUTED_VALUE"""),1)</f>
        <v>1</v>
      </c>
      <c r="C588" s="7">
        <f ca="1">IFERROR(__xludf.DUMMYFUNCTION("""COMPUTED_VALUE"""),1)</f>
        <v>1</v>
      </c>
      <c r="D588" s="8">
        <f ca="1">IFERROR(__xludf.DUMMYFUNCTION("""COMPUTED_VALUE"""),5)</f>
        <v>5</v>
      </c>
      <c r="E588" s="2">
        <f ca="1">IFERROR(__xludf.DUMMYFUNCTION("""COMPUTED_VALUE"""),2)</f>
        <v>2</v>
      </c>
    </row>
    <row r="589" spans="1:5" ht="13">
      <c r="A589" s="2" t="str">
        <f ca="1">IFERROR(__xludf.DUMMYFUNCTION("""COMPUTED_VALUE"""),"Bédard, Denis")</f>
        <v>Bédard, Denis</v>
      </c>
      <c r="B589" s="2">
        <f ca="1">IFERROR(__xludf.DUMMYFUNCTION("""COMPUTED_VALUE"""),1)</f>
        <v>1</v>
      </c>
      <c r="C589" s="2">
        <f ca="1">IFERROR(__xludf.DUMMYFUNCTION("""COMPUTED_VALUE"""),1)</f>
        <v>1</v>
      </c>
      <c r="D589" s="8">
        <f ca="1">IFERROR(__xludf.DUMMYFUNCTION("""COMPUTED_VALUE"""),1)</f>
        <v>1</v>
      </c>
      <c r="E589" s="2">
        <f ca="1">IFERROR(__xludf.DUMMYFUNCTION("""COMPUTED_VALUE"""),1)</f>
        <v>1</v>
      </c>
    </row>
    <row r="590" spans="1:5" ht="13">
      <c r="A590" s="8" t="str">
        <f ca="1">IFERROR(__xludf.DUMMYFUNCTION("""COMPUTED_VALUE"""),"Bedford, D.")</f>
        <v>Bedford, D.</v>
      </c>
      <c r="B590" s="3">
        <f ca="1">IFERROR(__xludf.DUMMYFUNCTION("""COMPUTED_VALUE"""),1)</f>
        <v>1</v>
      </c>
      <c r="C590" s="7">
        <f ca="1">IFERROR(__xludf.DUMMYFUNCTION("""COMPUTED_VALUE"""),1)</f>
        <v>1</v>
      </c>
      <c r="D590" s="8">
        <f ca="1">IFERROR(__xludf.DUMMYFUNCTION("""COMPUTED_VALUE"""),5)</f>
        <v>5</v>
      </c>
      <c r="E590" s="2">
        <f ca="1">IFERROR(__xludf.DUMMYFUNCTION("""COMPUTED_VALUE"""),2)</f>
        <v>2</v>
      </c>
    </row>
    <row r="591" spans="1:5" ht="13">
      <c r="A591" s="8" t="str">
        <f ca="1">IFERROR(__xludf.DUMMYFUNCTION("""COMPUTED_VALUE"""),"Bedford, David")</f>
        <v>Bedford, David</v>
      </c>
      <c r="B591" s="3">
        <f ca="1">IFERROR(__xludf.DUMMYFUNCTION("""COMPUTED_VALUE"""),1)</f>
        <v>1</v>
      </c>
      <c r="C591" s="7">
        <f ca="1">IFERROR(__xludf.DUMMYFUNCTION("""COMPUTED_VALUE"""),1)</f>
        <v>1</v>
      </c>
      <c r="D591" s="8">
        <f ca="1">IFERROR(__xludf.DUMMYFUNCTION("""COMPUTED_VALUE"""),1)</f>
        <v>1</v>
      </c>
      <c r="E591" s="2">
        <f ca="1">IFERROR(__xludf.DUMMYFUNCTION("""COMPUTED_VALUE"""),1)</f>
        <v>1</v>
      </c>
    </row>
    <row r="592" spans="1:5" ht="13">
      <c r="A592" s="2" t="str">
        <f ca="1">IFERROR(__xludf.DUMMYFUNCTION("""COMPUTED_VALUE"""),"Bedford, Michael")</f>
        <v>Bedford, Michael</v>
      </c>
      <c r="B592" s="3">
        <f ca="1">IFERROR(__xludf.DUMMYFUNCTION("""COMPUTED_VALUE"""),1)</f>
        <v>1</v>
      </c>
      <c r="C592" s="7">
        <f ca="1">IFERROR(__xludf.DUMMYFUNCTION("""COMPUTED_VALUE"""),1)</f>
        <v>1</v>
      </c>
      <c r="D592" s="8">
        <f ca="1">IFERROR(__xludf.DUMMYFUNCTION("""COMPUTED_VALUE"""),1)</f>
        <v>1</v>
      </c>
      <c r="E592" s="2">
        <f ca="1">IFERROR(__xludf.DUMMYFUNCTION("""COMPUTED_VALUE"""),1)</f>
        <v>1</v>
      </c>
    </row>
    <row r="593" spans="1:5" ht="13">
      <c r="A593" s="2" t="str">
        <f ca="1">IFERROR(__xludf.DUMMYFUNCTION("""COMPUTED_VALUE"""),"Bedford, Seth")</f>
        <v>Bedford, Seth</v>
      </c>
      <c r="B593" s="3">
        <f ca="1">IFERROR(__xludf.DUMMYFUNCTION("""COMPUTED_VALUE"""),1)</f>
        <v>1</v>
      </c>
      <c r="C593" s="7">
        <f ca="1">IFERROR(__xludf.DUMMYFUNCTION("""COMPUTED_VALUE"""),1)</f>
        <v>1</v>
      </c>
      <c r="D593" s="8">
        <f ca="1">IFERROR(__xludf.DUMMYFUNCTION("""COMPUTED_VALUE"""),1)</f>
        <v>1</v>
      </c>
      <c r="E593" s="2">
        <f ca="1">IFERROR(__xludf.DUMMYFUNCTION("""COMPUTED_VALUE"""),1)</f>
        <v>1</v>
      </c>
    </row>
    <row r="594" spans="1:5" ht="13">
      <c r="A594" s="2" t="str">
        <f ca="1">IFERROR(__xludf.DUMMYFUNCTION("""COMPUTED_VALUE"""),"Beebe, Hank")</f>
        <v>Beebe, Hank</v>
      </c>
      <c r="B594" s="3">
        <f ca="1">IFERROR(__xludf.DUMMYFUNCTION("""COMPUTED_VALUE"""),1)</f>
        <v>1</v>
      </c>
      <c r="C594" s="7">
        <f ca="1">IFERROR(__xludf.DUMMYFUNCTION("""COMPUTED_VALUE"""),1)</f>
        <v>1</v>
      </c>
      <c r="D594" s="8">
        <f ca="1">IFERROR(__xludf.DUMMYFUNCTION("""COMPUTED_VALUE"""),5)</f>
        <v>5</v>
      </c>
      <c r="E594" s="2">
        <f ca="1">IFERROR(__xludf.DUMMYFUNCTION("""COMPUTED_VALUE"""),2)</f>
        <v>2</v>
      </c>
    </row>
    <row r="595" spans="1:5" ht="13">
      <c r="A595" s="8" t="str">
        <f ca="1">IFERROR(__xludf.DUMMYFUNCTION("""COMPUTED_VALUE"""),"Beecham, Thomas")</f>
        <v>Beecham, Thomas</v>
      </c>
      <c r="B595" s="3">
        <f ca="1">IFERROR(__xludf.DUMMYFUNCTION("""COMPUTED_VALUE"""),1)</f>
        <v>1</v>
      </c>
      <c r="C595" s="7">
        <f ca="1">IFERROR(__xludf.DUMMYFUNCTION("""COMPUTED_VALUE"""),1)</f>
        <v>1</v>
      </c>
      <c r="D595" s="8">
        <f ca="1">IFERROR(__xludf.DUMMYFUNCTION("""COMPUTED_VALUE"""),5)</f>
        <v>5</v>
      </c>
      <c r="E595" s="2">
        <f ca="1">IFERROR(__xludf.DUMMYFUNCTION("""COMPUTED_VALUE"""),2)</f>
        <v>2</v>
      </c>
    </row>
    <row r="596" spans="1:5" ht="13">
      <c r="A596" s="2" t="str">
        <f ca="1">IFERROR(__xludf.DUMMYFUNCTION("""COMPUTED_VALUE"""),"Beecher, Gordon / Noble, Johnny")</f>
        <v>Beecher, Gordon / Noble, Johnny</v>
      </c>
      <c r="B596" s="3">
        <f ca="1">IFERROR(__xludf.DUMMYFUNCTION("""COMPUTED_VALUE"""),1)</f>
        <v>1</v>
      </c>
      <c r="C596" s="7">
        <f ca="1">IFERROR(__xludf.DUMMYFUNCTION("""COMPUTED_VALUE"""),1)</f>
        <v>1</v>
      </c>
      <c r="D596" s="8">
        <f ca="1">IFERROR(__xludf.DUMMYFUNCTION("""COMPUTED_VALUE"""),5)</f>
        <v>5</v>
      </c>
      <c r="E596" s="2">
        <f ca="1">IFERROR(__xludf.DUMMYFUNCTION("""COMPUTED_VALUE"""),2)</f>
        <v>2</v>
      </c>
    </row>
    <row r="597" spans="1:5" ht="13">
      <c r="A597" s="8" t="str">
        <f ca="1">IFERROR(__xludf.DUMMYFUNCTION("""COMPUTED_VALUE"""),"Beecher, Lembit")</f>
        <v>Beecher, Lembit</v>
      </c>
      <c r="B597" s="3">
        <f ca="1">IFERROR(__xludf.DUMMYFUNCTION("""COMPUTED_VALUE"""),1)</f>
        <v>1</v>
      </c>
      <c r="C597" s="7">
        <f ca="1">IFERROR(__xludf.DUMMYFUNCTION("""COMPUTED_VALUE"""),1)</f>
        <v>1</v>
      </c>
      <c r="D597" s="8">
        <f ca="1">IFERROR(__xludf.DUMMYFUNCTION("""COMPUTED_VALUE"""),1)</f>
        <v>1</v>
      </c>
      <c r="E597" s="2">
        <f ca="1">IFERROR(__xludf.DUMMYFUNCTION("""COMPUTED_VALUE"""),1)</f>
        <v>1</v>
      </c>
    </row>
    <row r="598" spans="1:5" ht="13">
      <c r="A598" s="8" t="str">
        <f ca="1">IFERROR(__xludf.DUMMYFUNCTION("""COMPUTED_VALUE"""),"Beeks, Gary")</f>
        <v>Beeks, Gary</v>
      </c>
      <c r="B598" s="3">
        <f ca="1">IFERROR(__xludf.DUMMYFUNCTION("""COMPUTED_VALUE"""),1)</f>
        <v>1</v>
      </c>
      <c r="C598" s="7">
        <f ca="1">IFERROR(__xludf.DUMMYFUNCTION("""COMPUTED_VALUE"""),1)</f>
        <v>1</v>
      </c>
      <c r="D598" s="8">
        <f ca="1">IFERROR(__xludf.DUMMYFUNCTION("""COMPUTED_VALUE"""),1)</f>
        <v>1</v>
      </c>
      <c r="E598" s="2">
        <f ca="1">IFERROR(__xludf.DUMMYFUNCTION("""COMPUTED_VALUE"""),1)</f>
        <v>1</v>
      </c>
    </row>
    <row r="599" spans="1:5" ht="13">
      <c r="A599" s="8" t="str">
        <f ca="1">IFERROR(__xludf.DUMMYFUNCTION("""COMPUTED_VALUE"""),"Beeler, Walter")</f>
        <v>Beeler, Walter</v>
      </c>
      <c r="B599" s="3">
        <f ca="1">IFERROR(__xludf.DUMMYFUNCTION("""COMPUTED_VALUE"""),1)</f>
        <v>1</v>
      </c>
      <c r="C599" s="7">
        <f ca="1">IFERROR(__xludf.DUMMYFUNCTION("""COMPUTED_VALUE"""),1)</f>
        <v>1</v>
      </c>
      <c r="D599" s="8">
        <f ca="1">IFERROR(__xludf.DUMMYFUNCTION("""COMPUTED_VALUE"""),5)</f>
        <v>5</v>
      </c>
      <c r="E599" s="2">
        <f ca="1">IFERROR(__xludf.DUMMYFUNCTION("""COMPUTED_VALUE"""),2)</f>
        <v>2</v>
      </c>
    </row>
    <row r="600" spans="1:5" ht="13">
      <c r="A600" s="2" t="str">
        <f ca="1">IFERROR(__xludf.DUMMYFUNCTION("""COMPUTED_VALUE"""),"Beeman, John")</f>
        <v>Beeman, John</v>
      </c>
      <c r="B600" s="3">
        <f ca="1">IFERROR(__xludf.DUMMYFUNCTION("""COMPUTED_VALUE"""),1)</f>
        <v>1</v>
      </c>
      <c r="C600" s="7">
        <f ca="1">IFERROR(__xludf.DUMMYFUNCTION("""COMPUTED_VALUE"""),1)</f>
        <v>1</v>
      </c>
      <c r="D600" s="8">
        <f ca="1">IFERROR(__xludf.DUMMYFUNCTION("""COMPUTED_VALUE"""),1)</f>
        <v>1</v>
      </c>
      <c r="E600" s="2">
        <f ca="1">IFERROR(__xludf.DUMMYFUNCTION("""COMPUTED_VALUE"""),1)</f>
        <v>1</v>
      </c>
    </row>
    <row r="601" spans="1:5" ht="13">
      <c r="A601" s="2" t="str">
        <f ca="1">IFERROR(__xludf.DUMMYFUNCTION("""COMPUTED_VALUE"""),"Beery, Lon")</f>
        <v>Beery, Lon</v>
      </c>
      <c r="B601" s="3">
        <f ca="1">IFERROR(__xludf.DUMMYFUNCTION("""COMPUTED_VALUE"""),1)</f>
        <v>1</v>
      </c>
      <c r="C601" s="7">
        <f ca="1">IFERROR(__xludf.DUMMYFUNCTION("""COMPUTED_VALUE"""),1)</f>
        <v>1</v>
      </c>
      <c r="D601" s="8">
        <f ca="1">IFERROR(__xludf.DUMMYFUNCTION("""COMPUTED_VALUE"""),1)</f>
        <v>1</v>
      </c>
      <c r="E601" s="2">
        <f ca="1">IFERROR(__xludf.DUMMYFUNCTION("""COMPUTED_VALUE"""),1)</f>
        <v>1</v>
      </c>
    </row>
    <row r="602" spans="1:5" ht="13">
      <c r="A602" s="8" t="str">
        <f ca="1">IFERROR(__xludf.DUMMYFUNCTION("""COMPUTED_VALUE"""),"Beethoven, Ludwig van")</f>
        <v>Beethoven, Ludwig van</v>
      </c>
      <c r="B602" s="3">
        <f ca="1">IFERROR(__xludf.DUMMYFUNCTION("""COMPUTED_VALUE"""),1)</f>
        <v>1</v>
      </c>
      <c r="C602" s="7">
        <f ca="1">IFERROR(__xludf.DUMMYFUNCTION("""COMPUTED_VALUE"""),1)</f>
        <v>1</v>
      </c>
      <c r="D602" s="8">
        <f ca="1">IFERROR(__xludf.DUMMYFUNCTION("""COMPUTED_VALUE"""),5)</f>
        <v>5</v>
      </c>
      <c r="E602" s="2">
        <f ca="1">IFERROR(__xludf.DUMMYFUNCTION("""COMPUTED_VALUE"""),2)</f>
        <v>2</v>
      </c>
    </row>
    <row r="603" spans="1:5" ht="13">
      <c r="A603" s="2" t="str">
        <f ca="1">IFERROR(__xludf.DUMMYFUNCTION("""COMPUTED_VALUE"""),"Beghon, Jean Baptiste")</f>
        <v>Beghon, Jean Baptiste</v>
      </c>
      <c r="B603" s="2">
        <f ca="1">IFERROR(__xludf.DUMMYFUNCTION("""COMPUTED_VALUE"""),1)</f>
        <v>1</v>
      </c>
      <c r="C603" s="7">
        <f ca="1">IFERROR(__xludf.DUMMYFUNCTION("""COMPUTED_VALUE"""),1)</f>
        <v>1</v>
      </c>
      <c r="D603" s="8">
        <f ca="1">IFERROR(__xludf.DUMMYFUNCTION("""COMPUTED_VALUE"""),5)</f>
        <v>5</v>
      </c>
      <c r="E603" s="2">
        <f ca="1">IFERROR(__xludf.DUMMYFUNCTION("""COMPUTED_VALUE"""),2)</f>
        <v>2</v>
      </c>
    </row>
    <row r="604" spans="1:5" ht="13">
      <c r="A604" s="8" t="str">
        <f ca="1">IFERROR(__xludf.DUMMYFUNCTION("""COMPUTED_VALUE"""),"Beglarian, Grant")</f>
        <v>Beglarian, Grant</v>
      </c>
      <c r="B604" s="3">
        <f ca="1">IFERROR(__xludf.DUMMYFUNCTION("""COMPUTED_VALUE"""),1)</f>
        <v>1</v>
      </c>
      <c r="C604" s="7">
        <f ca="1">IFERROR(__xludf.DUMMYFUNCTION("""COMPUTED_VALUE"""),1)</f>
        <v>1</v>
      </c>
      <c r="D604" s="8">
        <f ca="1">IFERROR(__xludf.DUMMYFUNCTION("""COMPUTED_VALUE"""),5)</f>
        <v>5</v>
      </c>
      <c r="E604" s="2">
        <f ca="1">IFERROR(__xludf.DUMMYFUNCTION("""COMPUTED_VALUE"""),2)</f>
        <v>2</v>
      </c>
    </row>
    <row r="605" spans="1:5" ht="13">
      <c r="A605" s="2" t="str">
        <f ca="1">IFERROR(__xludf.DUMMYFUNCTION("""COMPUTED_VALUE"""),"Behnke, Martin")</f>
        <v>Behnke, Martin</v>
      </c>
      <c r="B605" s="3">
        <f ca="1">IFERROR(__xludf.DUMMYFUNCTION("""COMPUTED_VALUE"""),1)</f>
        <v>1</v>
      </c>
      <c r="C605" s="7">
        <f ca="1">IFERROR(__xludf.DUMMYFUNCTION("""COMPUTED_VALUE"""),1)</f>
        <v>1</v>
      </c>
      <c r="D605" s="8">
        <f ca="1">IFERROR(__xludf.DUMMYFUNCTION("""COMPUTED_VALUE"""),1)</f>
        <v>1</v>
      </c>
      <c r="E605" s="2">
        <f ca="1">IFERROR(__xludf.DUMMYFUNCTION("""COMPUTED_VALUE"""),1)</f>
        <v>1</v>
      </c>
    </row>
    <row r="606" spans="1:5" ht="13">
      <c r="A606" s="8" t="str">
        <f ca="1">IFERROR(__xludf.DUMMYFUNCTION("""COMPUTED_VALUE"""),"Behrman, Tracy")</f>
        <v>Behrman, Tracy</v>
      </c>
      <c r="B606" s="3">
        <f ca="1">IFERROR(__xludf.DUMMYFUNCTION("""COMPUTED_VALUE"""),1)</f>
        <v>1</v>
      </c>
      <c r="C606" s="7">
        <f ca="1">IFERROR(__xludf.DUMMYFUNCTION("""COMPUTED_VALUE"""),1)</f>
        <v>1</v>
      </c>
      <c r="D606" s="8">
        <f ca="1">IFERROR(__xludf.DUMMYFUNCTION("""COMPUTED_VALUE"""),1)</f>
        <v>1</v>
      </c>
      <c r="E606" s="2">
        <f ca="1">IFERROR(__xludf.DUMMYFUNCTION("""COMPUTED_VALUE"""),1)</f>
        <v>1</v>
      </c>
    </row>
    <row r="607" spans="1:5" ht="13">
      <c r="A607" s="2" t="str">
        <f ca="1">IFERROR(__xludf.DUMMYFUNCTION("""COMPUTED_VALUE"""),"Beiderbecke, Bix")</f>
        <v>Beiderbecke, Bix</v>
      </c>
      <c r="B607" s="2">
        <f ca="1">IFERROR(__xludf.DUMMYFUNCTION("""COMPUTED_VALUE"""),1)</f>
        <v>1</v>
      </c>
      <c r="C607" s="7">
        <f ca="1">IFERROR(__xludf.DUMMYFUNCTION("""COMPUTED_VALUE"""),1)</f>
        <v>1</v>
      </c>
      <c r="D607" s="8">
        <f ca="1">IFERROR(__xludf.DUMMYFUNCTION("""COMPUTED_VALUE"""),5)</f>
        <v>5</v>
      </c>
      <c r="E607" s="2">
        <f ca="1">IFERROR(__xludf.DUMMYFUNCTION("""COMPUTED_VALUE"""),2)</f>
        <v>2</v>
      </c>
    </row>
    <row r="608" spans="1:5" ht="13">
      <c r="A608" s="2" t="str">
        <f ca="1">IFERROR(__xludf.DUMMYFUNCTION("""COMPUTED_VALUE"""),"Bela, Keler")</f>
        <v>Bela, Keler</v>
      </c>
      <c r="B608" s="2">
        <f ca="1">IFERROR(__xludf.DUMMYFUNCTION("""COMPUTED_VALUE"""),1)</f>
        <v>1</v>
      </c>
      <c r="C608" s="7">
        <f ca="1">IFERROR(__xludf.DUMMYFUNCTION("""COMPUTED_VALUE"""),1)</f>
        <v>1</v>
      </c>
      <c r="D608" s="8">
        <f ca="1">IFERROR(__xludf.DUMMYFUNCTION("""COMPUTED_VALUE"""),5)</f>
        <v>5</v>
      </c>
      <c r="E608" s="2">
        <f ca="1">IFERROR(__xludf.DUMMYFUNCTION("""COMPUTED_VALUE"""),2)</f>
        <v>2</v>
      </c>
    </row>
    <row r="609" spans="1:5" ht="13">
      <c r="A609" s="8" t="str">
        <f ca="1">IFERROR(__xludf.DUMMYFUNCTION("""COMPUTED_VALUE"""),"Belan, William")</f>
        <v>Belan, William</v>
      </c>
      <c r="B609" s="3">
        <f ca="1">IFERROR(__xludf.DUMMYFUNCTION("""COMPUTED_VALUE"""),1)</f>
        <v>1</v>
      </c>
      <c r="C609" s="7">
        <f ca="1">IFERROR(__xludf.DUMMYFUNCTION("""COMPUTED_VALUE"""),1)</f>
        <v>1</v>
      </c>
      <c r="D609" s="8">
        <f ca="1">IFERROR(__xludf.DUMMYFUNCTION("""COMPUTED_VALUE"""),1)</f>
        <v>1</v>
      </c>
      <c r="E609" s="2">
        <f ca="1">IFERROR(__xludf.DUMMYFUNCTION("""COMPUTED_VALUE"""),1)</f>
        <v>1</v>
      </c>
    </row>
    <row r="610" spans="1:5" ht="13">
      <c r="A610" s="2" t="str">
        <f ca="1">IFERROR(__xludf.DUMMYFUNCTION("""COMPUTED_VALUE"""),"Belan, William Wells")</f>
        <v>Belan, William Wells</v>
      </c>
      <c r="B610" s="2">
        <f ca="1">IFERROR(__xludf.DUMMYFUNCTION("""COMPUTED_VALUE"""),1)</f>
        <v>1</v>
      </c>
      <c r="C610" s="7">
        <f ca="1">IFERROR(__xludf.DUMMYFUNCTION("""COMPUTED_VALUE"""),1)</f>
        <v>1</v>
      </c>
      <c r="D610" s="8">
        <f ca="1">IFERROR(__xludf.DUMMYFUNCTION("""COMPUTED_VALUE"""),1)</f>
        <v>1</v>
      </c>
      <c r="E610" s="2">
        <f ca="1">IFERROR(__xludf.DUMMYFUNCTION("""COMPUTED_VALUE"""),1)</f>
        <v>1</v>
      </c>
    </row>
    <row r="611" spans="1:5" ht="13">
      <c r="A611" s="2" t="str">
        <f ca="1">IFERROR(__xludf.DUMMYFUNCTION("""COMPUTED_VALUE"""),"Bell, Allan Gordon")</f>
        <v>Bell, Allan Gordon</v>
      </c>
      <c r="B611" s="3">
        <f ca="1">IFERROR(__xludf.DUMMYFUNCTION("""COMPUTED_VALUE"""),1)</f>
        <v>1</v>
      </c>
      <c r="C611" s="7">
        <f ca="1">IFERROR(__xludf.DUMMYFUNCTION("""COMPUTED_VALUE"""),1)</f>
        <v>1</v>
      </c>
      <c r="D611" s="8">
        <f ca="1">IFERROR(__xludf.DUMMYFUNCTION("""COMPUTED_VALUE"""),1)</f>
        <v>1</v>
      </c>
      <c r="E611" s="2">
        <f ca="1">IFERROR(__xludf.DUMMYFUNCTION("""COMPUTED_VALUE"""),1)</f>
        <v>1</v>
      </c>
    </row>
    <row r="612" spans="1:5" ht="13">
      <c r="A612" s="2" t="str">
        <f ca="1">IFERROR(__xludf.DUMMYFUNCTION("""COMPUTED_VALUE"""),"Bell, D Geoffrey")</f>
        <v>Bell, D Geoffrey</v>
      </c>
      <c r="B612" s="3">
        <f ca="1">IFERROR(__xludf.DUMMYFUNCTION("""COMPUTED_VALUE"""),1)</f>
        <v>1</v>
      </c>
      <c r="C612" s="7">
        <f ca="1">IFERROR(__xludf.DUMMYFUNCTION("""COMPUTED_VALUE"""),1)</f>
        <v>1</v>
      </c>
      <c r="D612" s="8">
        <f ca="1">IFERROR(__xludf.DUMMYFUNCTION("""COMPUTED_VALUE"""),1)</f>
        <v>1</v>
      </c>
      <c r="E612" s="2">
        <f ca="1">IFERROR(__xludf.DUMMYFUNCTION("""COMPUTED_VALUE"""),1)</f>
        <v>1</v>
      </c>
    </row>
    <row r="613" spans="1:5" ht="13">
      <c r="A613" s="2" t="str">
        <f ca="1">IFERROR(__xludf.DUMMYFUNCTION("""COMPUTED_VALUE"""),"Bell, Iain")</f>
        <v>Bell, Iain</v>
      </c>
      <c r="B613" s="3">
        <f ca="1">IFERROR(__xludf.DUMMYFUNCTION("""COMPUTED_VALUE"""),1)</f>
        <v>1</v>
      </c>
      <c r="C613" s="7">
        <f ca="1">IFERROR(__xludf.DUMMYFUNCTION("""COMPUTED_VALUE"""),1)</f>
        <v>1</v>
      </c>
      <c r="D613" s="8">
        <f ca="1">IFERROR(__xludf.DUMMYFUNCTION("""COMPUTED_VALUE"""),1)</f>
        <v>1</v>
      </c>
      <c r="E613" s="2">
        <f ca="1">IFERROR(__xludf.DUMMYFUNCTION("""COMPUTED_VALUE"""),1)</f>
        <v>1</v>
      </c>
    </row>
    <row r="614" spans="1:5" ht="13">
      <c r="A614" s="8" t="str">
        <f ca="1">IFERROR(__xludf.DUMMYFUNCTION("""COMPUTED_VALUE"""),"Bell, Jeremy")</f>
        <v>Bell, Jeremy</v>
      </c>
      <c r="B614" s="3">
        <f ca="1">IFERROR(__xludf.DUMMYFUNCTION("""COMPUTED_VALUE"""),1)</f>
        <v>1</v>
      </c>
      <c r="C614" s="7">
        <f ca="1">IFERROR(__xludf.DUMMYFUNCTION("""COMPUTED_VALUE"""),1)</f>
        <v>1</v>
      </c>
      <c r="D614" s="8">
        <f ca="1">IFERROR(__xludf.DUMMYFUNCTION("""COMPUTED_VALUE"""),1)</f>
        <v>1</v>
      </c>
      <c r="E614" s="2">
        <f ca="1">IFERROR(__xludf.DUMMYFUNCTION("""COMPUTED_VALUE"""),1)</f>
        <v>1</v>
      </c>
    </row>
    <row r="615" spans="1:5" ht="13">
      <c r="A615" s="2" t="str">
        <f ca="1">IFERROR(__xludf.DUMMYFUNCTION("""COMPUTED_VALUE"""),"Bell, Joshua")</f>
        <v>Bell, Joshua</v>
      </c>
      <c r="B615" s="2">
        <f ca="1">IFERROR(__xludf.DUMMYFUNCTION("""COMPUTED_VALUE"""),1)</f>
        <v>1</v>
      </c>
      <c r="C615" s="7">
        <f ca="1">IFERROR(__xludf.DUMMYFUNCTION("""COMPUTED_VALUE"""),1)</f>
        <v>1</v>
      </c>
      <c r="D615" s="8">
        <f ca="1">IFERROR(__xludf.DUMMYFUNCTION("""COMPUTED_VALUE"""),1)</f>
        <v>1</v>
      </c>
      <c r="E615" s="2">
        <f ca="1">IFERROR(__xludf.DUMMYFUNCTION("""COMPUTED_VALUE"""),1)</f>
        <v>1</v>
      </c>
    </row>
    <row r="616" spans="1:5" ht="13">
      <c r="A616" s="2" t="str">
        <f ca="1">IFERROR(__xludf.DUMMYFUNCTION("""COMPUTED_VALUE"""),"Bell, Micah")</f>
        <v>Bell, Micah</v>
      </c>
      <c r="B616" s="3">
        <f ca="1">IFERROR(__xludf.DUMMYFUNCTION("""COMPUTED_VALUE"""),1)</f>
        <v>1</v>
      </c>
      <c r="C616" s="7">
        <f ca="1">IFERROR(__xludf.DUMMYFUNCTION("""COMPUTED_VALUE"""),1)</f>
        <v>1</v>
      </c>
      <c r="D616" s="8">
        <f ca="1">IFERROR(__xludf.DUMMYFUNCTION("""COMPUTED_VALUE"""),1)</f>
        <v>1</v>
      </c>
      <c r="E616" s="2">
        <f ca="1">IFERROR(__xludf.DUMMYFUNCTION("""COMPUTED_VALUE"""),1)</f>
        <v>1</v>
      </c>
    </row>
    <row r="617" spans="1:5" ht="13">
      <c r="A617" s="2" t="str">
        <f ca="1">IFERROR(__xludf.DUMMYFUNCTION("""COMPUTED_VALUE"""),"Bell, Richard")</f>
        <v>Bell, Richard</v>
      </c>
      <c r="B617" s="3">
        <f ca="1">IFERROR(__xludf.DUMMYFUNCTION("""COMPUTED_VALUE"""),1)</f>
        <v>1</v>
      </c>
      <c r="C617" s="7">
        <f ca="1">IFERROR(__xludf.DUMMYFUNCTION("""COMPUTED_VALUE"""),1)</f>
        <v>1</v>
      </c>
      <c r="D617" s="8">
        <f ca="1">IFERROR(__xludf.DUMMYFUNCTION("""COMPUTED_VALUE"""),1)</f>
        <v>1</v>
      </c>
      <c r="E617" s="2">
        <f ca="1">IFERROR(__xludf.DUMMYFUNCTION("""COMPUTED_VALUE"""),1)</f>
        <v>1</v>
      </c>
    </row>
    <row r="618" spans="1:5" ht="13">
      <c r="A618" s="8" t="str">
        <f ca="1">IFERROR(__xludf.DUMMYFUNCTION("""COMPUTED_VALUE"""),"Bell, Thomas")</f>
        <v>Bell, Thomas</v>
      </c>
      <c r="B618" s="3">
        <f ca="1">IFERROR(__xludf.DUMMYFUNCTION("""COMPUTED_VALUE"""),1)</f>
        <v>1</v>
      </c>
      <c r="C618" s="7">
        <f ca="1">IFERROR(__xludf.DUMMYFUNCTION("""COMPUTED_VALUE"""),1)</f>
        <v>1</v>
      </c>
      <c r="D618" s="8">
        <f ca="1">IFERROR(__xludf.DUMMYFUNCTION("""COMPUTED_VALUE"""),1)</f>
        <v>1</v>
      </c>
      <c r="E618" s="2">
        <f ca="1">IFERROR(__xludf.DUMMYFUNCTION("""COMPUTED_VALUE"""),1)</f>
        <v>1</v>
      </c>
    </row>
    <row r="619" spans="1:5" ht="13">
      <c r="A619" s="2" t="str">
        <f ca="1">IFERROR(__xludf.DUMMYFUNCTION("""COMPUTED_VALUE"""),"Bell'haver, Vincenzo")</f>
        <v>Bell'haver, Vincenzo</v>
      </c>
      <c r="B619" s="2">
        <f ca="1">IFERROR(__xludf.DUMMYFUNCTION("""COMPUTED_VALUE"""),1)</f>
        <v>1</v>
      </c>
      <c r="C619" s="7">
        <f ca="1">IFERROR(__xludf.DUMMYFUNCTION("""COMPUTED_VALUE"""),1)</f>
        <v>1</v>
      </c>
      <c r="D619" s="8">
        <f ca="1">IFERROR(__xludf.DUMMYFUNCTION("""COMPUTED_VALUE"""),5)</f>
        <v>5</v>
      </c>
      <c r="E619" s="2">
        <f ca="1">IFERROR(__xludf.DUMMYFUNCTION("""COMPUTED_VALUE"""),2)</f>
        <v>2</v>
      </c>
    </row>
    <row r="620" spans="1:5" ht="13">
      <c r="A620" s="2" t="str">
        <f ca="1">IFERROR(__xludf.DUMMYFUNCTION("""COMPUTED_VALUE"""),"Bellasio, Paolo")</f>
        <v>Bellasio, Paolo</v>
      </c>
      <c r="B620" s="3">
        <f ca="1">IFERROR(__xludf.DUMMYFUNCTION("""COMPUTED_VALUE"""),1)</f>
        <v>1</v>
      </c>
      <c r="C620" s="7">
        <f ca="1">IFERROR(__xludf.DUMMYFUNCTION("""COMPUTED_VALUE"""),1)</f>
        <v>1</v>
      </c>
      <c r="D620" s="8">
        <f ca="1">IFERROR(__xludf.DUMMYFUNCTION("""COMPUTED_VALUE"""),5)</f>
        <v>5</v>
      </c>
      <c r="E620" s="2">
        <f ca="1">IFERROR(__xludf.DUMMYFUNCTION("""COMPUTED_VALUE"""),2)</f>
        <v>2</v>
      </c>
    </row>
    <row r="621" spans="1:5" ht="13">
      <c r="A621" s="2" t="str">
        <f ca="1">IFERROR(__xludf.DUMMYFUNCTION("""COMPUTED_VALUE"""),"Bellini, Vincenzo")</f>
        <v>Bellini, Vincenzo</v>
      </c>
      <c r="B621" s="3">
        <f ca="1">IFERROR(__xludf.DUMMYFUNCTION("""COMPUTED_VALUE"""),1)</f>
        <v>1</v>
      </c>
      <c r="C621" s="7">
        <f ca="1">IFERROR(__xludf.DUMMYFUNCTION("""COMPUTED_VALUE"""),1)</f>
        <v>1</v>
      </c>
      <c r="D621" s="8">
        <f ca="1">IFERROR(__xludf.DUMMYFUNCTION("""COMPUTED_VALUE"""),5)</f>
        <v>5</v>
      </c>
      <c r="E621" s="3">
        <f ca="1">IFERROR(__xludf.DUMMYFUNCTION("""COMPUTED_VALUE"""),2)</f>
        <v>2</v>
      </c>
    </row>
    <row r="622" spans="1:5" ht="13">
      <c r="A622" s="2" t="str">
        <f ca="1">IFERROR(__xludf.DUMMYFUNCTION("""COMPUTED_VALUE"""),"Bellis, William")</f>
        <v>Bellis, William</v>
      </c>
      <c r="B622" s="2">
        <f ca="1">IFERROR(__xludf.DUMMYFUNCTION("""COMPUTED_VALUE"""),1)</f>
        <v>1</v>
      </c>
      <c r="C622" s="2">
        <f ca="1">IFERROR(__xludf.DUMMYFUNCTION("""COMPUTED_VALUE"""),1)</f>
        <v>1</v>
      </c>
      <c r="D622" s="8">
        <f ca="1">IFERROR(__xludf.DUMMYFUNCTION("""COMPUTED_VALUE"""),5)</f>
        <v>5</v>
      </c>
      <c r="E622" s="2">
        <f ca="1">IFERROR(__xludf.DUMMYFUNCTION("""COMPUTED_VALUE"""),2)</f>
        <v>2</v>
      </c>
    </row>
    <row r="623" spans="1:5" ht="13">
      <c r="A623" s="8" t="str">
        <f ca="1">IFERROR(__xludf.DUMMYFUNCTION("""COMPUTED_VALUE"""),"Bellman, Carl Michael")</f>
        <v>Bellman, Carl Michael</v>
      </c>
      <c r="B623" s="3">
        <f ca="1">IFERROR(__xludf.DUMMYFUNCTION("""COMPUTED_VALUE"""),1)</f>
        <v>1</v>
      </c>
      <c r="C623" s="7">
        <f ca="1">IFERROR(__xludf.DUMMYFUNCTION("""COMPUTED_VALUE"""),1)</f>
        <v>1</v>
      </c>
      <c r="D623" s="8">
        <f ca="1">IFERROR(__xludf.DUMMYFUNCTION("""COMPUTED_VALUE"""),5)</f>
        <v>5</v>
      </c>
      <c r="E623" s="2">
        <f ca="1">IFERROR(__xludf.DUMMYFUNCTION("""COMPUTED_VALUE"""),2)</f>
        <v>2</v>
      </c>
    </row>
    <row r="624" spans="1:5" ht="13">
      <c r="A624" s="2" t="str">
        <f ca="1">IFERROR(__xludf.DUMMYFUNCTION("""COMPUTED_VALUE"""),"Bellson, Louie")</f>
        <v>Bellson, Louie</v>
      </c>
      <c r="B624" s="3">
        <f ca="1">IFERROR(__xludf.DUMMYFUNCTION("""COMPUTED_VALUE"""),1)</f>
        <v>1</v>
      </c>
      <c r="C624" s="7">
        <f ca="1">IFERROR(__xludf.DUMMYFUNCTION("""COMPUTED_VALUE"""),1)</f>
        <v>1</v>
      </c>
      <c r="D624" s="8">
        <f ca="1">IFERROR(__xludf.DUMMYFUNCTION("""COMPUTED_VALUE"""),5)</f>
        <v>5</v>
      </c>
      <c r="E624" s="2">
        <f ca="1">IFERROR(__xludf.DUMMYFUNCTION("""COMPUTED_VALUE"""),2)</f>
        <v>2</v>
      </c>
    </row>
    <row r="625" spans="1:5" ht="13">
      <c r="A625" s="8" t="str">
        <f ca="1">IFERROR(__xludf.DUMMYFUNCTION("""COMPUTED_VALUE"""),"Bellstedt, Herman")</f>
        <v>Bellstedt, Herman</v>
      </c>
      <c r="B625" s="3">
        <f ca="1">IFERROR(__xludf.DUMMYFUNCTION("""COMPUTED_VALUE"""),1)</f>
        <v>1</v>
      </c>
      <c r="C625" s="7">
        <f ca="1">IFERROR(__xludf.DUMMYFUNCTION("""COMPUTED_VALUE"""),1)</f>
        <v>1</v>
      </c>
      <c r="D625" s="8">
        <f ca="1">IFERROR(__xludf.DUMMYFUNCTION("""COMPUTED_VALUE"""),5)</f>
        <v>5</v>
      </c>
      <c r="E625" s="2">
        <f ca="1">IFERROR(__xludf.DUMMYFUNCTION("""COMPUTED_VALUE"""),2)</f>
        <v>2</v>
      </c>
    </row>
    <row r="626" spans="1:5" ht="13">
      <c r="A626" s="8" t="str">
        <f ca="1">IFERROR(__xludf.DUMMYFUNCTION("""COMPUTED_VALUE"""),"Belski, Brian")</f>
        <v>Belski, Brian</v>
      </c>
      <c r="B626" s="3">
        <f ca="1">IFERROR(__xludf.DUMMYFUNCTION("""COMPUTED_VALUE"""),1)</f>
        <v>1</v>
      </c>
      <c r="C626" s="7">
        <f ca="1">IFERROR(__xludf.DUMMYFUNCTION("""COMPUTED_VALUE"""),1)</f>
        <v>1</v>
      </c>
      <c r="D626" s="8">
        <f ca="1">IFERROR(__xludf.DUMMYFUNCTION("""COMPUTED_VALUE"""),1)</f>
        <v>1</v>
      </c>
      <c r="E626" s="2">
        <f ca="1">IFERROR(__xludf.DUMMYFUNCTION("""COMPUTED_VALUE"""),1)</f>
        <v>1</v>
      </c>
    </row>
    <row r="627" spans="1:5" ht="13">
      <c r="A627" s="8" t="str">
        <f ca="1">IFERROR(__xludf.DUMMYFUNCTION("""COMPUTED_VALUE"""),"Belsterling, C.S.")</f>
        <v>Belsterling, C.S.</v>
      </c>
      <c r="B627" s="3">
        <f ca="1">IFERROR(__xludf.DUMMYFUNCTION("""COMPUTED_VALUE"""),1)</f>
        <v>1</v>
      </c>
      <c r="C627" s="7">
        <f ca="1">IFERROR(__xludf.DUMMYFUNCTION("""COMPUTED_VALUE"""),1)</f>
        <v>1</v>
      </c>
      <c r="D627" s="8">
        <f ca="1">IFERROR(__xludf.DUMMYFUNCTION("""COMPUTED_VALUE"""),5)</f>
        <v>5</v>
      </c>
      <c r="E627" s="2">
        <f ca="1">IFERROR(__xludf.DUMMYFUNCTION("""COMPUTED_VALUE"""),2)</f>
        <v>2</v>
      </c>
    </row>
    <row r="628" spans="1:5" ht="13">
      <c r="A628" s="8" t="str">
        <f ca="1">IFERROR(__xludf.DUMMYFUNCTION("""COMPUTED_VALUE"""),"Belsterling, Charles")</f>
        <v>Belsterling, Charles</v>
      </c>
      <c r="B628" s="3">
        <f ca="1">IFERROR(__xludf.DUMMYFUNCTION("""COMPUTED_VALUE"""),1)</f>
        <v>1</v>
      </c>
      <c r="C628" s="7">
        <f ca="1">IFERROR(__xludf.DUMMYFUNCTION("""COMPUTED_VALUE"""),1)</f>
        <v>1</v>
      </c>
      <c r="D628" s="8">
        <f ca="1">IFERROR(__xludf.DUMMYFUNCTION("""COMPUTED_VALUE"""),5)</f>
        <v>5</v>
      </c>
      <c r="E628" s="2">
        <f ca="1">IFERROR(__xludf.DUMMYFUNCTION("""COMPUTED_VALUE"""),2)</f>
        <v>2</v>
      </c>
    </row>
    <row r="629" spans="1:5" ht="13">
      <c r="A629" s="2" t="str">
        <f ca="1">IFERROR(__xludf.DUMMYFUNCTION("""COMPUTED_VALUE"""),"Bement, Gwyn")</f>
        <v>Bement, Gwyn</v>
      </c>
      <c r="B629" s="2">
        <f ca="1">IFERROR(__xludf.DUMMYFUNCTION("""COMPUTED_VALUE"""),1)</f>
        <v>1</v>
      </c>
      <c r="C629" s="2">
        <f ca="1">IFERROR(__xludf.DUMMYFUNCTION("""COMPUTED_VALUE"""),1)</f>
        <v>1</v>
      </c>
      <c r="D629" s="8">
        <f ca="1">IFERROR(__xludf.DUMMYFUNCTION("""COMPUTED_VALUE"""),5)</f>
        <v>5</v>
      </c>
      <c r="E629" s="2">
        <f ca="1">IFERROR(__xludf.DUMMYFUNCTION("""COMPUTED_VALUE"""),2)</f>
        <v>2</v>
      </c>
    </row>
    <row r="630" spans="1:5" ht="13">
      <c r="A630" s="8" t="str">
        <f ca="1">IFERROR(__xludf.DUMMYFUNCTION("""COMPUTED_VALUE"""),"Ben-Haim, Paul")</f>
        <v>Ben-Haim, Paul</v>
      </c>
      <c r="B630" s="3">
        <f ca="1">IFERROR(__xludf.DUMMYFUNCTION("""COMPUTED_VALUE"""),1)</f>
        <v>1</v>
      </c>
      <c r="C630" s="7">
        <f ca="1">IFERROR(__xludf.DUMMYFUNCTION("""COMPUTED_VALUE"""),1)</f>
        <v>1</v>
      </c>
      <c r="D630" s="8">
        <f ca="1">IFERROR(__xludf.DUMMYFUNCTION("""COMPUTED_VALUE"""),5)</f>
        <v>5</v>
      </c>
      <c r="E630" s="2">
        <f ca="1">IFERROR(__xludf.DUMMYFUNCTION("""COMPUTED_VALUE"""),2)</f>
        <v>2</v>
      </c>
    </row>
    <row r="631" spans="1:5" ht="13">
      <c r="A631" s="2" t="str">
        <f ca="1">IFERROR(__xludf.DUMMYFUNCTION("""COMPUTED_VALUE"""),"Ben-Meir, Shaul")</f>
        <v>Ben-Meir, Shaul</v>
      </c>
      <c r="B631" s="3">
        <f ca="1">IFERROR(__xludf.DUMMYFUNCTION("""COMPUTED_VALUE"""),1)</f>
        <v>1</v>
      </c>
      <c r="C631" s="7">
        <f ca="1">IFERROR(__xludf.DUMMYFUNCTION("""COMPUTED_VALUE"""),1)</f>
        <v>1</v>
      </c>
      <c r="D631" s="8">
        <f ca="1">IFERROR(__xludf.DUMMYFUNCTION("""COMPUTED_VALUE"""),5)</f>
        <v>5</v>
      </c>
      <c r="E631" s="2">
        <f ca="1">IFERROR(__xludf.DUMMYFUNCTION("""COMPUTED_VALUE"""),2)</f>
        <v>2</v>
      </c>
    </row>
    <row r="632" spans="1:5" ht="13">
      <c r="A632" s="2" t="str">
        <f ca="1">IFERROR(__xludf.DUMMYFUNCTION("""COMPUTED_VALUE"""),"Benatzky, Ralph")</f>
        <v>Benatzky, Ralph</v>
      </c>
      <c r="B632" s="2">
        <f ca="1">IFERROR(__xludf.DUMMYFUNCTION("""COMPUTED_VALUE"""),1)</f>
        <v>1</v>
      </c>
      <c r="C632" s="7">
        <f ca="1">IFERROR(__xludf.DUMMYFUNCTION("""COMPUTED_VALUE"""),1)</f>
        <v>1</v>
      </c>
      <c r="D632" s="8">
        <f ca="1">IFERROR(__xludf.DUMMYFUNCTION("""COMPUTED_VALUE"""),5)</f>
        <v>5</v>
      </c>
      <c r="E632" s="2">
        <f ca="1">IFERROR(__xludf.DUMMYFUNCTION("""COMPUTED_VALUE"""),2)</f>
        <v>2</v>
      </c>
    </row>
    <row r="633" spans="1:5" ht="13">
      <c r="A633" s="2" t="str">
        <f ca="1">IFERROR(__xludf.DUMMYFUNCTION("""COMPUTED_VALUE"""),"Bencini, Pietro Paolo")</f>
        <v>Bencini, Pietro Paolo</v>
      </c>
      <c r="B633" s="3">
        <f ca="1">IFERROR(__xludf.DUMMYFUNCTION("""COMPUTED_VALUE"""),1)</f>
        <v>1</v>
      </c>
      <c r="C633" s="7">
        <f ca="1">IFERROR(__xludf.DUMMYFUNCTION("""COMPUTED_VALUE"""),1)</f>
        <v>1</v>
      </c>
      <c r="D633" s="8">
        <f ca="1">IFERROR(__xludf.DUMMYFUNCTION("""COMPUTED_VALUE"""),5)</f>
        <v>5</v>
      </c>
      <c r="E633" s="2">
        <f ca="1">IFERROR(__xludf.DUMMYFUNCTION("""COMPUTED_VALUE"""),2)</f>
        <v>2</v>
      </c>
    </row>
    <row r="634" spans="1:5" ht="13">
      <c r="A634" s="8" t="str">
        <f ca="1">IFERROR(__xludf.DUMMYFUNCTION("""COMPUTED_VALUE"""),"Bencriscutto, Frank")</f>
        <v>Bencriscutto, Frank</v>
      </c>
      <c r="B634" s="3">
        <f ca="1">IFERROR(__xludf.DUMMYFUNCTION("""COMPUTED_VALUE"""),1)</f>
        <v>1</v>
      </c>
      <c r="C634" s="7">
        <f ca="1">IFERROR(__xludf.DUMMYFUNCTION("""COMPUTED_VALUE"""),1)</f>
        <v>1</v>
      </c>
      <c r="D634" s="8">
        <f ca="1">IFERROR(__xludf.DUMMYFUNCTION("""COMPUTED_VALUE"""),5)</f>
        <v>5</v>
      </c>
      <c r="E634" s="2">
        <f ca="1">IFERROR(__xludf.DUMMYFUNCTION("""COMPUTED_VALUE"""),2)</f>
        <v>2</v>
      </c>
    </row>
    <row r="635" spans="1:5" ht="13">
      <c r="A635" s="2" t="str">
        <f ca="1">IFERROR(__xludf.DUMMYFUNCTION("""COMPUTED_VALUE"""),"Benda, Franz")</f>
        <v>Benda, Franz</v>
      </c>
      <c r="B635" s="2">
        <f ca="1">IFERROR(__xludf.DUMMYFUNCTION("""COMPUTED_VALUE"""),1)</f>
        <v>1</v>
      </c>
      <c r="C635" s="7">
        <f ca="1">IFERROR(__xludf.DUMMYFUNCTION("""COMPUTED_VALUE"""),1)</f>
        <v>1</v>
      </c>
      <c r="D635" s="8">
        <f ca="1">IFERROR(__xludf.DUMMYFUNCTION("""COMPUTED_VALUE"""),5)</f>
        <v>5</v>
      </c>
      <c r="E635" s="2">
        <f ca="1">IFERROR(__xludf.DUMMYFUNCTION("""COMPUTED_VALUE"""),2)</f>
        <v>2</v>
      </c>
    </row>
    <row r="636" spans="1:5" ht="13">
      <c r="A636" s="2" t="str">
        <f ca="1">IFERROR(__xludf.DUMMYFUNCTION("""COMPUTED_VALUE"""),"Benda, Georg A.")</f>
        <v>Benda, Georg A.</v>
      </c>
      <c r="B636" s="2">
        <f ca="1">IFERROR(__xludf.DUMMYFUNCTION("""COMPUTED_VALUE"""),1)</f>
        <v>1</v>
      </c>
      <c r="C636" s="7">
        <f ca="1">IFERROR(__xludf.DUMMYFUNCTION("""COMPUTED_VALUE"""),1)</f>
        <v>1</v>
      </c>
      <c r="D636" s="8">
        <f ca="1">IFERROR(__xludf.DUMMYFUNCTION("""COMPUTED_VALUE"""),5)</f>
        <v>5</v>
      </c>
      <c r="E636" s="2">
        <f ca="1">IFERROR(__xludf.DUMMYFUNCTION("""COMPUTED_VALUE"""),2)</f>
        <v>2</v>
      </c>
    </row>
    <row r="637" spans="1:5" ht="13">
      <c r="A637" s="8" t="str">
        <f ca="1">IFERROR(__xludf.DUMMYFUNCTION("""COMPUTED_VALUE"""),"Bender, Mitchell")</f>
        <v>Bender, Mitchell</v>
      </c>
      <c r="B637" s="3">
        <f ca="1">IFERROR(__xludf.DUMMYFUNCTION("""COMPUTED_VALUE"""),1)</f>
        <v>1</v>
      </c>
      <c r="C637" s="7">
        <f ca="1">IFERROR(__xludf.DUMMYFUNCTION("""COMPUTED_VALUE"""),1)</f>
        <v>1</v>
      </c>
      <c r="D637" s="8">
        <f ca="1">IFERROR(__xludf.DUMMYFUNCTION("""COMPUTED_VALUE"""),1)</f>
        <v>1</v>
      </c>
      <c r="E637" s="2">
        <f ca="1">IFERROR(__xludf.DUMMYFUNCTION("""COMPUTED_VALUE"""),1)</f>
        <v>1</v>
      </c>
    </row>
    <row r="638" spans="1:5" ht="13">
      <c r="A638" s="8" t="str">
        <f ca="1">IFERROR(__xludf.DUMMYFUNCTION("""COMPUTED_VALUE"""),"Bendix-Balgley, Noah")</f>
        <v>Bendix-Balgley, Noah</v>
      </c>
      <c r="B638" s="3">
        <f ca="1">IFERROR(__xludf.DUMMYFUNCTION("""COMPUTED_VALUE"""),1)</f>
        <v>1</v>
      </c>
      <c r="C638" s="7">
        <f ca="1">IFERROR(__xludf.DUMMYFUNCTION("""COMPUTED_VALUE"""),1)</f>
        <v>1</v>
      </c>
      <c r="D638" s="8">
        <f ca="1">IFERROR(__xludf.DUMMYFUNCTION("""COMPUTED_VALUE"""),1)</f>
        <v>1</v>
      </c>
      <c r="E638" s="2">
        <f ca="1">IFERROR(__xludf.DUMMYFUNCTION("""COMPUTED_VALUE"""),1)</f>
        <v>1</v>
      </c>
    </row>
    <row r="639" spans="1:5" ht="13">
      <c r="A639" s="8" t="str">
        <f ca="1">IFERROR(__xludf.DUMMYFUNCTION("""COMPUTED_VALUE"""),"Bendix, Victor")</f>
        <v>Bendix, Victor</v>
      </c>
      <c r="B639" s="3">
        <f ca="1">IFERROR(__xludf.DUMMYFUNCTION("""COMPUTED_VALUE"""),1)</f>
        <v>1</v>
      </c>
      <c r="C639" s="7">
        <f ca="1">IFERROR(__xludf.DUMMYFUNCTION("""COMPUTED_VALUE"""),1)</f>
        <v>1</v>
      </c>
      <c r="D639" s="8">
        <f ca="1">IFERROR(__xludf.DUMMYFUNCTION("""COMPUTED_VALUE"""),5)</f>
        <v>5</v>
      </c>
      <c r="E639" s="2">
        <f ca="1">IFERROR(__xludf.DUMMYFUNCTION("""COMPUTED_VALUE"""),2)</f>
        <v>2</v>
      </c>
    </row>
    <row r="640" spans="1:5" ht="13">
      <c r="A640" s="8" t="str">
        <f ca="1">IFERROR(__xludf.DUMMYFUNCTION("""COMPUTED_VALUE"""),"Benejam, Lluís")</f>
        <v>Benejam, Lluís</v>
      </c>
      <c r="B640" s="3">
        <f ca="1">IFERROR(__xludf.DUMMYFUNCTION("""COMPUTED_VALUE"""),1)</f>
        <v>1</v>
      </c>
      <c r="C640" s="7">
        <f ca="1">IFERROR(__xludf.DUMMYFUNCTION("""COMPUTED_VALUE"""),1)</f>
        <v>1</v>
      </c>
      <c r="D640" s="8">
        <f ca="1">IFERROR(__xludf.DUMMYFUNCTION("""COMPUTED_VALUE"""),5)</f>
        <v>5</v>
      </c>
      <c r="E640" s="2">
        <f ca="1">IFERROR(__xludf.DUMMYFUNCTION("""COMPUTED_VALUE"""),2)</f>
        <v>2</v>
      </c>
    </row>
    <row r="641" spans="1:5" ht="13">
      <c r="A641" s="8" t="str">
        <f ca="1">IFERROR(__xludf.DUMMYFUNCTION("""COMPUTED_VALUE"""),"Benjamin, Arthur")</f>
        <v>Benjamin, Arthur</v>
      </c>
      <c r="B641" s="2">
        <f ca="1">IFERROR(__xludf.DUMMYFUNCTION("""COMPUTED_VALUE"""),1)</f>
        <v>1</v>
      </c>
      <c r="C641" s="7">
        <f ca="1">IFERROR(__xludf.DUMMYFUNCTION("""COMPUTED_VALUE"""),1)</f>
        <v>1</v>
      </c>
      <c r="D641" s="8">
        <f ca="1">IFERROR(__xludf.DUMMYFUNCTION("""COMPUTED_VALUE"""),5)</f>
        <v>5</v>
      </c>
      <c r="E641" s="2">
        <f ca="1">IFERROR(__xludf.DUMMYFUNCTION("""COMPUTED_VALUE"""),2)</f>
        <v>2</v>
      </c>
    </row>
    <row r="642" spans="1:5" ht="13">
      <c r="A642" s="8" t="str">
        <f ca="1">IFERROR(__xludf.DUMMYFUNCTION("""COMPUTED_VALUE"""),"Benjamin, George")</f>
        <v>Benjamin, George</v>
      </c>
      <c r="B642" s="3">
        <f ca="1">IFERROR(__xludf.DUMMYFUNCTION("""COMPUTED_VALUE"""),1)</f>
        <v>1</v>
      </c>
      <c r="C642" s="7">
        <f ca="1">IFERROR(__xludf.DUMMYFUNCTION("""COMPUTED_VALUE"""),1)</f>
        <v>1</v>
      </c>
      <c r="D642" s="8">
        <f ca="1">IFERROR(__xludf.DUMMYFUNCTION("""COMPUTED_VALUE"""),5)</f>
        <v>5</v>
      </c>
      <c r="E642" s="2">
        <f ca="1">IFERROR(__xludf.DUMMYFUNCTION("""COMPUTED_VALUE"""),2)</f>
        <v>2</v>
      </c>
    </row>
    <row r="643" spans="1:5" ht="13">
      <c r="A643" s="2" t="str">
        <f ca="1">IFERROR(__xludf.DUMMYFUNCTION("""COMPUTED_VALUE"""),"Benjamin, Tom")</f>
        <v>Benjamin, Tom</v>
      </c>
      <c r="B643" s="3">
        <f ca="1">IFERROR(__xludf.DUMMYFUNCTION("""COMPUTED_VALUE"""),1)</f>
        <v>1</v>
      </c>
      <c r="C643" s="7">
        <f ca="1">IFERROR(__xludf.DUMMYFUNCTION("""COMPUTED_VALUE"""),1)</f>
        <v>1</v>
      </c>
      <c r="D643" s="8">
        <f ca="1">IFERROR(__xludf.DUMMYFUNCTION("""COMPUTED_VALUE"""),1)</f>
        <v>1</v>
      </c>
      <c r="E643" s="2">
        <f ca="1">IFERROR(__xludf.DUMMYFUNCTION("""COMPUTED_VALUE"""),1)</f>
        <v>1</v>
      </c>
    </row>
    <row r="644" spans="1:5" ht="13">
      <c r="A644" s="8" t="str">
        <f ca="1">IFERROR(__xludf.DUMMYFUNCTION("""COMPUTED_VALUE"""),"Benker, Heinz")</f>
        <v>Benker, Heinz</v>
      </c>
      <c r="B644" s="3">
        <f ca="1">IFERROR(__xludf.DUMMYFUNCTION("""COMPUTED_VALUE"""),1)</f>
        <v>1</v>
      </c>
      <c r="C644" s="7">
        <f ca="1">IFERROR(__xludf.DUMMYFUNCTION("""COMPUTED_VALUE"""),1)</f>
        <v>1</v>
      </c>
      <c r="D644" s="8">
        <f ca="1">IFERROR(__xludf.DUMMYFUNCTION("""COMPUTED_VALUE"""),5)</f>
        <v>5</v>
      </c>
      <c r="E644" s="2">
        <f ca="1">IFERROR(__xludf.DUMMYFUNCTION("""COMPUTED_VALUE"""),2)</f>
        <v>2</v>
      </c>
    </row>
    <row r="645" spans="1:5" ht="13">
      <c r="A645" s="2" t="str">
        <f ca="1">IFERROR(__xludf.DUMMYFUNCTION("""COMPUTED_VALUE"""),"Benkert, George Felix")</f>
        <v>Benkert, George Felix</v>
      </c>
      <c r="B645" s="2">
        <f ca="1">IFERROR(__xludf.DUMMYFUNCTION("""COMPUTED_VALUE"""),1)</f>
        <v>1</v>
      </c>
      <c r="C645" s="7">
        <f ca="1">IFERROR(__xludf.DUMMYFUNCTION("""COMPUTED_VALUE"""),1)</f>
        <v>1</v>
      </c>
      <c r="D645" s="8">
        <f ca="1">IFERROR(__xludf.DUMMYFUNCTION("""COMPUTED_VALUE"""),5)</f>
        <v>5</v>
      </c>
      <c r="E645" s="2">
        <f ca="1">IFERROR(__xludf.DUMMYFUNCTION("""COMPUTED_VALUE"""),2)</f>
        <v>2</v>
      </c>
    </row>
    <row r="646" spans="1:5" ht="13">
      <c r="A646" s="2" t="str">
        <f ca="1">IFERROR(__xludf.DUMMYFUNCTION("""COMPUTED_VALUE"""),"Bennet, John")</f>
        <v>Bennet, John</v>
      </c>
      <c r="B646" s="3">
        <f ca="1">IFERROR(__xludf.DUMMYFUNCTION("""COMPUTED_VALUE"""),1)</f>
        <v>1</v>
      </c>
      <c r="C646" s="7">
        <f ca="1">IFERROR(__xludf.DUMMYFUNCTION("""COMPUTED_VALUE"""),1)</f>
        <v>1</v>
      </c>
      <c r="D646" s="8">
        <f ca="1">IFERROR(__xludf.DUMMYFUNCTION("""COMPUTED_VALUE"""),5)</f>
        <v>5</v>
      </c>
      <c r="E646" s="2">
        <f ca="1">IFERROR(__xludf.DUMMYFUNCTION("""COMPUTED_VALUE"""),2)</f>
        <v>2</v>
      </c>
    </row>
    <row r="647" spans="1:5" ht="13">
      <c r="A647" s="8" t="str">
        <f ca="1">IFERROR(__xludf.DUMMYFUNCTION("""COMPUTED_VALUE"""),"Bennett, David")</f>
        <v>Bennett, David</v>
      </c>
      <c r="B647" s="3">
        <f ca="1">IFERROR(__xludf.DUMMYFUNCTION("""COMPUTED_VALUE"""),1)</f>
        <v>1</v>
      </c>
      <c r="C647" s="7">
        <f ca="1">IFERROR(__xludf.DUMMYFUNCTION("""COMPUTED_VALUE"""),1)</f>
        <v>1</v>
      </c>
      <c r="D647" s="8">
        <f ca="1">IFERROR(__xludf.DUMMYFUNCTION("""COMPUTED_VALUE"""),5)</f>
        <v>5</v>
      </c>
      <c r="E647" s="2">
        <f ca="1">IFERROR(__xludf.DUMMYFUNCTION("""COMPUTED_VALUE"""),2)</f>
        <v>2</v>
      </c>
    </row>
    <row r="648" spans="1:5" ht="13">
      <c r="A648" s="8" t="str">
        <f ca="1">IFERROR(__xludf.DUMMYFUNCTION("""COMPUTED_VALUE"""),"Bennett, Harold (Filmore, Henry)")</f>
        <v>Bennett, Harold (Filmore, Henry)</v>
      </c>
      <c r="B648" s="3">
        <f ca="1">IFERROR(__xludf.DUMMYFUNCTION("""COMPUTED_VALUE"""),1)</f>
        <v>1</v>
      </c>
      <c r="C648" s="7">
        <f ca="1">IFERROR(__xludf.DUMMYFUNCTION("""COMPUTED_VALUE"""),1)</f>
        <v>1</v>
      </c>
      <c r="D648" s="8">
        <f ca="1">IFERROR(__xludf.DUMMYFUNCTION("""COMPUTED_VALUE"""),5)</f>
        <v>5</v>
      </c>
      <c r="E648" s="2">
        <f ca="1">IFERROR(__xludf.DUMMYFUNCTION("""COMPUTED_VALUE"""),2)</f>
        <v>2</v>
      </c>
    </row>
    <row r="649" spans="1:5" ht="13">
      <c r="A649" s="2" t="str">
        <f ca="1">IFERROR(__xludf.DUMMYFUNCTION("""COMPUTED_VALUE"""),"Bennett, John")</f>
        <v>Bennett, John</v>
      </c>
      <c r="B649" s="3">
        <f ca="1">IFERROR(__xludf.DUMMYFUNCTION("""COMPUTED_VALUE"""),1)</f>
        <v>1</v>
      </c>
      <c r="C649" s="7">
        <f ca="1">IFERROR(__xludf.DUMMYFUNCTION("""COMPUTED_VALUE"""),1)</f>
        <v>1</v>
      </c>
      <c r="D649" s="8">
        <f ca="1">IFERROR(__xludf.DUMMYFUNCTION("""COMPUTED_VALUE"""),5)</f>
        <v>5</v>
      </c>
      <c r="E649" s="2">
        <f ca="1">IFERROR(__xludf.DUMMYFUNCTION("""COMPUTED_VALUE"""),2)</f>
        <v>2</v>
      </c>
    </row>
    <row r="650" spans="1:5" ht="13">
      <c r="A650" s="2" t="str">
        <f ca="1">IFERROR(__xludf.DUMMYFUNCTION("""COMPUTED_VALUE"""),"Bennett, Jordan")</f>
        <v>Bennett, Jordan</v>
      </c>
      <c r="B650" s="3">
        <f ca="1">IFERROR(__xludf.DUMMYFUNCTION("""COMPUTED_VALUE"""),1)</f>
        <v>1</v>
      </c>
      <c r="C650" s="7">
        <f ca="1">IFERROR(__xludf.DUMMYFUNCTION("""COMPUTED_VALUE"""),1)</f>
        <v>1</v>
      </c>
      <c r="D650" s="8">
        <f ca="1">IFERROR(__xludf.DUMMYFUNCTION("""COMPUTED_VALUE"""),1)</f>
        <v>1</v>
      </c>
      <c r="E650" s="2">
        <f ca="1">IFERROR(__xludf.DUMMYFUNCTION("""COMPUTED_VALUE"""),1)</f>
        <v>1</v>
      </c>
    </row>
    <row r="651" spans="1:5" ht="13">
      <c r="A651" s="8" t="str">
        <f ca="1">IFERROR(__xludf.DUMMYFUNCTION("""COMPUTED_VALUE"""),"Bennett, Richard Rodney")</f>
        <v>Bennett, Richard Rodney</v>
      </c>
      <c r="B651" s="3">
        <f ca="1">IFERROR(__xludf.DUMMYFUNCTION("""COMPUTED_VALUE"""),1)</f>
        <v>1</v>
      </c>
      <c r="C651" s="7">
        <f ca="1">IFERROR(__xludf.DUMMYFUNCTION("""COMPUTED_VALUE"""),1)</f>
        <v>1</v>
      </c>
      <c r="D651" s="8">
        <f ca="1">IFERROR(__xludf.DUMMYFUNCTION("""COMPUTED_VALUE"""),5)</f>
        <v>5</v>
      </c>
      <c r="E651" s="2">
        <f ca="1">IFERROR(__xludf.DUMMYFUNCTION("""COMPUTED_VALUE"""),2)</f>
        <v>2</v>
      </c>
    </row>
    <row r="652" spans="1:5" ht="13">
      <c r="A652" s="8" t="str">
        <f ca="1">IFERROR(__xludf.DUMMYFUNCTION("""COMPUTED_VALUE"""),"Bennett, Robert Russell")</f>
        <v>Bennett, Robert Russell</v>
      </c>
      <c r="B652" s="3">
        <f ca="1">IFERROR(__xludf.DUMMYFUNCTION("""COMPUTED_VALUE"""),1)</f>
        <v>1</v>
      </c>
      <c r="C652" s="7">
        <f ca="1">IFERROR(__xludf.DUMMYFUNCTION("""COMPUTED_VALUE"""),1)</f>
        <v>1</v>
      </c>
      <c r="D652" s="8">
        <f ca="1">IFERROR(__xludf.DUMMYFUNCTION("""COMPUTED_VALUE"""),5)</f>
        <v>5</v>
      </c>
      <c r="E652" s="2">
        <f ca="1">IFERROR(__xludf.DUMMYFUNCTION("""COMPUTED_VALUE"""),2)</f>
        <v>2</v>
      </c>
    </row>
    <row r="653" spans="1:5" ht="13">
      <c r="A653" s="2" t="str">
        <f ca="1">IFERROR(__xludf.DUMMYFUNCTION("""COMPUTED_VALUE"""),"Bennett, William")</f>
        <v>Bennett, William</v>
      </c>
      <c r="B653" s="2">
        <f ca="1">IFERROR(__xludf.DUMMYFUNCTION("""COMPUTED_VALUE"""),1)</f>
        <v>1</v>
      </c>
      <c r="C653" s="2">
        <f ca="1">IFERROR(__xludf.DUMMYFUNCTION("""COMPUTED_VALUE"""),1)</f>
        <v>1</v>
      </c>
      <c r="D653" s="8">
        <f ca="1">IFERROR(__xludf.DUMMYFUNCTION("""COMPUTED_VALUE"""),5)</f>
        <v>5</v>
      </c>
      <c r="E653" s="2">
        <f ca="1">IFERROR(__xludf.DUMMYFUNCTION("""COMPUTED_VALUE"""),2)</f>
        <v>2</v>
      </c>
    </row>
    <row r="654" spans="1:5" ht="13">
      <c r="A654" s="2" t="str">
        <f ca="1">IFERROR(__xludf.DUMMYFUNCTION("""COMPUTED_VALUE"""),"Bennette, Kelly")</f>
        <v>Bennette, Kelly</v>
      </c>
      <c r="B654" s="3">
        <f ca="1">IFERROR(__xludf.DUMMYFUNCTION("""COMPUTED_VALUE"""),1)</f>
        <v>1</v>
      </c>
      <c r="C654" s="7">
        <f ca="1">IFERROR(__xludf.DUMMYFUNCTION("""COMPUTED_VALUE"""),1)</f>
        <v>1</v>
      </c>
      <c r="D654" s="8">
        <f ca="1">IFERROR(__xludf.DUMMYFUNCTION("""COMPUTED_VALUE"""),1)</f>
        <v>1</v>
      </c>
      <c r="E654" s="2">
        <f ca="1">IFERROR(__xludf.DUMMYFUNCTION("""COMPUTED_VALUE"""),1)</f>
        <v>1</v>
      </c>
    </row>
    <row r="655" spans="1:5" ht="13">
      <c r="A655" s="8" t="str">
        <f ca="1">IFERROR(__xludf.DUMMYFUNCTION("""COMPUTED_VALUE"""),"Bennighof, James")</f>
        <v>Bennighof, James</v>
      </c>
      <c r="B655" s="3">
        <f ca="1">IFERROR(__xludf.DUMMYFUNCTION("""COMPUTED_VALUE"""),1)</f>
        <v>1</v>
      </c>
      <c r="C655" s="7">
        <f ca="1">IFERROR(__xludf.DUMMYFUNCTION("""COMPUTED_VALUE"""),1)</f>
        <v>1</v>
      </c>
      <c r="D655" s="8">
        <f ca="1">IFERROR(__xludf.DUMMYFUNCTION("""COMPUTED_VALUE"""),1)</f>
        <v>1</v>
      </c>
      <c r="E655" s="2">
        <f ca="1">IFERROR(__xludf.DUMMYFUNCTION("""COMPUTED_VALUE"""),1)</f>
        <v>1</v>
      </c>
    </row>
    <row r="656" spans="1:5" ht="13">
      <c r="A656" s="8" t="str">
        <f ca="1">IFERROR(__xludf.DUMMYFUNCTION("""COMPUTED_VALUE"""),"Benoist, Logan")</f>
        <v>Benoist, Logan</v>
      </c>
      <c r="B656" s="3">
        <f ca="1">IFERROR(__xludf.DUMMYFUNCTION("""COMPUTED_VALUE"""),1)</f>
        <v>1</v>
      </c>
      <c r="C656" s="7">
        <f ca="1">IFERROR(__xludf.DUMMYFUNCTION("""COMPUTED_VALUE"""),1)</f>
        <v>1</v>
      </c>
      <c r="D656" s="8">
        <f ca="1">IFERROR(__xludf.DUMMYFUNCTION("""COMPUTED_VALUE"""),1)</f>
        <v>1</v>
      </c>
      <c r="E656" s="2">
        <f ca="1">IFERROR(__xludf.DUMMYFUNCTION("""COMPUTED_VALUE"""),1)</f>
        <v>1</v>
      </c>
    </row>
    <row r="657" spans="1:5" ht="13">
      <c r="A657" s="2" t="str">
        <f ca="1">IFERROR(__xludf.DUMMYFUNCTION("""COMPUTED_VALUE"""),"Benoy, A.W. (Arthur William)")</f>
        <v>Benoy, A.W. (Arthur William)</v>
      </c>
      <c r="B657" s="3">
        <f ca="1">IFERROR(__xludf.DUMMYFUNCTION("""COMPUTED_VALUE"""),1)</f>
        <v>1</v>
      </c>
      <c r="C657" s="7">
        <f ca="1">IFERROR(__xludf.DUMMYFUNCTION("""COMPUTED_VALUE"""),1)</f>
        <v>1</v>
      </c>
      <c r="D657" s="8">
        <f ca="1">IFERROR(__xludf.DUMMYFUNCTION("""COMPUTED_VALUE"""),5)</f>
        <v>5</v>
      </c>
      <c r="E657" s="2">
        <f ca="1">IFERROR(__xludf.DUMMYFUNCTION("""COMPUTED_VALUE"""),2)</f>
        <v>2</v>
      </c>
    </row>
    <row r="658" spans="1:5" ht="13">
      <c r="A658" s="2" t="str">
        <f ca="1">IFERROR(__xludf.DUMMYFUNCTION("""COMPUTED_VALUE"""),"Benshoof, Ken")</f>
        <v>Benshoof, Ken</v>
      </c>
      <c r="B658" s="2">
        <f ca="1">IFERROR(__xludf.DUMMYFUNCTION("""COMPUTED_VALUE"""),1)</f>
        <v>1</v>
      </c>
      <c r="C658" s="2">
        <f ca="1">IFERROR(__xludf.DUMMYFUNCTION("""COMPUTED_VALUE"""),1)</f>
        <v>1</v>
      </c>
      <c r="D658" s="8">
        <f ca="1">IFERROR(__xludf.DUMMYFUNCTION("""COMPUTED_VALUE"""),1)</f>
        <v>1</v>
      </c>
      <c r="E658" s="2">
        <f ca="1">IFERROR(__xludf.DUMMYFUNCTION("""COMPUTED_VALUE"""),1)</f>
        <v>1</v>
      </c>
    </row>
    <row r="659" spans="1:5" ht="13">
      <c r="A659" s="2" t="str">
        <f ca="1">IFERROR(__xludf.DUMMYFUNCTION("""COMPUTED_VALUE"""),"Benson, Jeffrey")</f>
        <v>Benson, Jeffrey</v>
      </c>
      <c r="B659" s="3">
        <f ca="1">IFERROR(__xludf.DUMMYFUNCTION("""COMPUTED_VALUE"""),1)</f>
        <v>1</v>
      </c>
      <c r="C659" s="7">
        <f ca="1">IFERROR(__xludf.DUMMYFUNCTION("""COMPUTED_VALUE"""),1)</f>
        <v>1</v>
      </c>
      <c r="D659" s="8">
        <f ca="1">IFERROR(__xludf.DUMMYFUNCTION("""COMPUTED_VALUE"""),1)</f>
        <v>1</v>
      </c>
      <c r="E659" s="2">
        <f ca="1">IFERROR(__xludf.DUMMYFUNCTION("""COMPUTED_VALUE"""),1)</f>
        <v>1</v>
      </c>
    </row>
    <row r="660" spans="1:5" ht="13">
      <c r="A660" s="2" t="str">
        <f ca="1">IFERROR(__xludf.DUMMYFUNCTION("""COMPUTED_VALUE"""),"Benson, Robert")</f>
        <v>Benson, Robert</v>
      </c>
      <c r="B660" s="3">
        <f ca="1">IFERROR(__xludf.DUMMYFUNCTION("""COMPUTED_VALUE"""),1)</f>
        <v>1</v>
      </c>
      <c r="C660" s="7">
        <f ca="1">IFERROR(__xludf.DUMMYFUNCTION("""COMPUTED_VALUE"""),1)</f>
        <v>1</v>
      </c>
      <c r="D660" s="8">
        <f ca="1">IFERROR(__xludf.DUMMYFUNCTION("""COMPUTED_VALUE"""),1)</f>
        <v>1</v>
      </c>
      <c r="E660" s="2">
        <f ca="1">IFERROR(__xludf.DUMMYFUNCTION("""COMPUTED_VALUE"""),1)</f>
        <v>1</v>
      </c>
    </row>
    <row r="661" spans="1:5" ht="13">
      <c r="A661" s="8" t="str">
        <f ca="1">IFERROR(__xludf.DUMMYFUNCTION("""COMPUTED_VALUE"""),"Benson, Warren")</f>
        <v>Benson, Warren</v>
      </c>
      <c r="B661" s="3">
        <f ca="1">IFERROR(__xludf.DUMMYFUNCTION("""COMPUTED_VALUE"""),1)</f>
        <v>1</v>
      </c>
      <c r="C661" s="7">
        <f ca="1">IFERROR(__xludf.DUMMYFUNCTION("""COMPUTED_VALUE"""),1)</f>
        <v>1</v>
      </c>
      <c r="D661" s="8">
        <f ca="1">IFERROR(__xludf.DUMMYFUNCTION("""COMPUTED_VALUE"""),5)</f>
        <v>5</v>
      </c>
      <c r="E661" s="2">
        <f ca="1">IFERROR(__xludf.DUMMYFUNCTION("""COMPUTED_VALUE"""),2)</f>
        <v>2</v>
      </c>
    </row>
    <row r="662" spans="1:5" ht="13">
      <c r="A662" s="2" t="str">
        <f ca="1">IFERROR(__xludf.DUMMYFUNCTION("""COMPUTED_VALUE"""),"Bentley, W. Warren")</f>
        <v>Bentley, W. Warren</v>
      </c>
      <c r="B662" s="3">
        <f ca="1">IFERROR(__xludf.DUMMYFUNCTION("""COMPUTED_VALUE"""),1)</f>
        <v>1</v>
      </c>
      <c r="C662" s="7">
        <f ca="1">IFERROR(__xludf.DUMMYFUNCTION("""COMPUTED_VALUE"""),1)</f>
        <v>1</v>
      </c>
      <c r="D662" s="8">
        <f ca="1">IFERROR(__xludf.DUMMYFUNCTION("""COMPUTED_VALUE"""),5)</f>
        <v>5</v>
      </c>
      <c r="E662" s="2">
        <f ca="1">IFERROR(__xludf.DUMMYFUNCTION("""COMPUTED_VALUE"""),2)</f>
        <v>2</v>
      </c>
    </row>
    <row r="663" spans="1:5" ht="13">
      <c r="A663" s="8" t="str">
        <f ca="1">IFERROR(__xludf.DUMMYFUNCTION("""COMPUTED_VALUE"""),"Benzecry, Esteban")</f>
        <v>Benzecry, Esteban</v>
      </c>
      <c r="B663" s="3">
        <f ca="1">IFERROR(__xludf.DUMMYFUNCTION("""COMPUTED_VALUE"""),1)</f>
        <v>1</v>
      </c>
      <c r="C663" s="7">
        <f ca="1">IFERROR(__xludf.DUMMYFUNCTION("""COMPUTED_VALUE"""),1)</f>
        <v>1</v>
      </c>
      <c r="D663" s="8">
        <f ca="1">IFERROR(__xludf.DUMMYFUNCTION("""COMPUTED_VALUE"""),1)</f>
        <v>1</v>
      </c>
      <c r="E663" s="2">
        <f ca="1">IFERROR(__xludf.DUMMYFUNCTION("""COMPUTED_VALUE"""),1)</f>
        <v>1</v>
      </c>
    </row>
    <row r="664" spans="1:5" ht="13">
      <c r="A664" s="8" t="str">
        <f ca="1">IFERROR(__xludf.DUMMYFUNCTION("""COMPUTED_VALUE"""),"Berens, Tim")</f>
        <v>Berens, Tim</v>
      </c>
      <c r="B664" s="3">
        <f ca="1">IFERROR(__xludf.DUMMYFUNCTION("""COMPUTED_VALUE"""),1)</f>
        <v>1</v>
      </c>
      <c r="C664" s="7">
        <f ca="1">IFERROR(__xludf.DUMMYFUNCTION("""COMPUTED_VALUE"""),1)</f>
        <v>1</v>
      </c>
      <c r="D664" s="8">
        <f ca="1">IFERROR(__xludf.DUMMYFUNCTION("""COMPUTED_VALUE"""),1)</f>
        <v>1</v>
      </c>
      <c r="E664" s="2">
        <f ca="1">IFERROR(__xludf.DUMMYFUNCTION("""COMPUTED_VALUE"""),1)</f>
        <v>1</v>
      </c>
    </row>
    <row r="665" spans="1:5" ht="13">
      <c r="A665" s="2" t="str">
        <f ca="1">IFERROR(__xludf.DUMMYFUNCTION("""COMPUTED_VALUE"""),"Berezovsky, Shaul")</f>
        <v>Berezovsky, Shaul</v>
      </c>
      <c r="B665" s="3">
        <f ca="1">IFERROR(__xludf.DUMMYFUNCTION("""COMPUTED_VALUE"""),1)</f>
        <v>1</v>
      </c>
      <c r="C665" s="7">
        <f ca="1">IFERROR(__xludf.DUMMYFUNCTION("""COMPUTED_VALUE"""),1)</f>
        <v>1</v>
      </c>
      <c r="D665" s="8">
        <f ca="1">IFERROR(__xludf.DUMMYFUNCTION("""COMPUTED_VALUE"""),5)</f>
        <v>5</v>
      </c>
      <c r="E665" s="2">
        <f ca="1">IFERROR(__xludf.DUMMYFUNCTION("""COMPUTED_VALUE"""),2)</f>
        <v>2</v>
      </c>
    </row>
    <row r="666" spans="1:5" ht="13">
      <c r="A666" s="2" t="str">
        <f ca="1">IFERROR(__xludf.DUMMYFUNCTION("""COMPUTED_VALUE"""),"Berezowsky, Nicolai")</f>
        <v>Berezowsky, Nicolai</v>
      </c>
      <c r="B666" s="3">
        <f ca="1">IFERROR(__xludf.DUMMYFUNCTION("""COMPUTED_VALUE"""),1)</f>
        <v>1</v>
      </c>
      <c r="C666" s="7">
        <f ca="1">IFERROR(__xludf.DUMMYFUNCTION("""COMPUTED_VALUE"""),1)</f>
        <v>1</v>
      </c>
      <c r="D666" s="8">
        <f ca="1">IFERROR(__xludf.DUMMYFUNCTION("""COMPUTED_VALUE"""),5)</f>
        <v>5</v>
      </c>
      <c r="E666" s="2">
        <f ca="1">IFERROR(__xludf.DUMMYFUNCTION("""COMPUTED_VALUE"""),2)</f>
        <v>2</v>
      </c>
    </row>
    <row r="667" spans="1:5" ht="13">
      <c r="A667" s="8" t="str">
        <f ca="1">IFERROR(__xludf.DUMMYFUNCTION("""COMPUTED_VALUE"""),"Berg, Alban")</f>
        <v>Berg, Alban</v>
      </c>
      <c r="B667" s="3">
        <f ca="1">IFERROR(__xludf.DUMMYFUNCTION("""COMPUTED_VALUE"""),1)</f>
        <v>1</v>
      </c>
      <c r="C667" s="7">
        <f ca="1">IFERROR(__xludf.DUMMYFUNCTION("""COMPUTED_VALUE"""),1)</f>
        <v>1</v>
      </c>
      <c r="D667" s="8">
        <f ca="1">IFERROR(__xludf.DUMMYFUNCTION("""COMPUTED_VALUE"""),5)</f>
        <v>5</v>
      </c>
      <c r="E667" s="2">
        <f ca="1">IFERROR(__xludf.DUMMYFUNCTION("""COMPUTED_VALUE"""),2)</f>
        <v>2</v>
      </c>
    </row>
    <row r="668" spans="1:5" ht="13">
      <c r="A668" s="8" t="str">
        <f ca="1">IFERROR(__xludf.DUMMYFUNCTION("""COMPUTED_VALUE"""),"Berg, Josef")</f>
        <v>Berg, Josef</v>
      </c>
      <c r="B668" s="2">
        <f ca="1">IFERROR(__xludf.DUMMYFUNCTION("""COMPUTED_VALUE"""),1)</f>
        <v>1</v>
      </c>
      <c r="C668" s="7">
        <f ca="1">IFERROR(__xludf.DUMMYFUNCTION("""COMPUTED_VALUE"""),1)</f>
        <v>1</v>
      </c>
      <c r="D668" s="8">
        <f ca="1">IFERROR(__xludf.DUMMYFUNCTION("""COMPUTED_VALUE"""),5)</f>
        <v>5</v>
      </c>
      <c r="E668" s="2">
        <f ca="1">IFERROR(__xludf.DUMMYFUNCTION("""COMPUTED_VALUE"""),2)</f>
        <v>2</v>
      </c>
    </row>
    <row r="669" spans="1:5" ht="13">
      <c r="A669" s="8" t="str">
        <f ca="1">IFERROR(__xludf.DUMMYFUNCTION("""COMPUTED_VALUE"""),"Berg, Ken")</f>
        <v>Berg, Ken</v>
      </c>
      <c r="B669" s="3">
        <f ca="1">IFERROR(__xludf.DUMMYFUNCTION("""COMPUTED_VALUE"""),1)</f>
        <v>1</v>
      </c>
      <c r="C669" s="7">
        <f ca="1">IFERROR(__xludf.DUMMYFUNCTION("""COMPUTED_VALUE"""),1)</f>
        <v>1</v>
      </c>
      <c r="D669" s="8">
        <f ca="1">IFERROR(__xludf.DUMMYFUNCTION("""COMPUTED_VALUE"""),1)</f>
        <v>1</v>
      </c>
      <c r="E669" s="2">
        <f ca="1">IFERROR(__xludf.DUMMYFUNCTION("""COMPUTED_VALUE"""),1)</f>
        <v>1</v>
      </c>
    </row>
    <row r="670" spans="1:5" ht="13">
      <c r="A670" s="8" t="str">
        <f ca="1">IFERROR(__xludf.DUMMYFUNCTION("""COMPUTED_VALUE"""),"Berg, Kris")</f>
        <v>Berg, Kris</v>
      </c>
      <c r="B670" s="3">
        <f ca="1">IFERROR(__xludf.DUMMYFUNCTION("""COMPUTED_VALUE"""),1)</f>
        <v>1</v>
      </c>
      <c r="C670" s="7">
        <f ca="1">IFERROR(__xludf.DUMMYFUNCTION("""COMPUTED_VALUE"""),1)</f>
        <v>1</v>
      </c>
      <c r="D670" s="8">
        <f ca="1">IFERROR(__xludf.DUMMYFUNCTION("""COMPUTED_VALUE"""),1)</f>
        <v>1</v>
      </c>
      <c r="E670" s="2">
        <f ca="1">IFERROR(__xludf.DUMMYFUNCTION("""COMPUTED_VALUE"""),1)</f>
        <v>1</v>
      </c>
    </row>
    <row r="671" spans="1:5" ht="13">
      <c r="A671" s="2" t="str">
        <f ca="1">IFERROR(__xludf.DUMMYFUNCTION("""COMPUTED_VALUE"""),"Berg, Shelly")</f>
        <v>Berg, Shelly</v>
      </c>
      <c r="B671" s="3">
        <f ca="1">IFERROR(__xludf.DUMMYFUNCTION("""COMPUTED_VALUE"""),1)</f>
        <v>1</v>
      </c>
      <c r="C671" s="7">
        <f ca="1">IFERROR(__xludf.DUMMYFUNCTION("""COMPUTED_VALUE"""),1)</f>
        <v>1</v>
      </c>
      <c r="D671" s="8">
        <f ca="1">IFERROR(__xludf.DUMMYFUNCTION("""COMPUTED_VALUE"""),1)</f>
        <v>1</v>
      </c>
      <c r="E671" s="2">
        <f ca="1">IFERROR(__xludf.DUMMYFUNCTION("""COMPUTED_VALUE"""),1)</f>
        <v>1</v>
      </c>
    </row>
    <row r="672" spans="1:5" ht="13">
      <c r="A672" s="2" t="str">
        <f ca="1">IFERROR(__xludf.DUMMYFUNCTION("""COMPUTED_VALUE"""),"Bergamo, John")</f>
        <v>Bergamo, John</v>
      </c>
      <c r="B672" s="3">
        <f ca="1">IFERROR(__xludf.DUMMYFUNCTION("""COMPUTED_VALUE"""),1)</f>
        <v>1</v>
      </c>
      <c r="C672" s="7">
        <f ca="1">IFERROR(__xludf.DUMMYFUNCTION("""COMPUTED_VALUE"""),1)</f>
        <v>1</v>
      </c>
      <c r="D672" s="8">
        <f ca="1">IFERROR(__xludf.DUMMYFUNCTION("""COMPUTED_VALUE"""),5)</f>
        <v>5</v>
      </c>
      <c r="E672" s="2">
        <f ca="1">IFERROR(__xludf.DUMMYFUNCTION("""COMPUTED_VALUE"""),2)</f>
        <v>2</v>
      </c>
    </row>
    <row r="673" spans="1:5" ht="13">
      <c r="A673" s="8" t="str">
        <f ca="1">IFERROR(__xludf.DUMMYFUNCTION("""COMPUTED_VALUE"""),"Berge, Sigurd")</f>
        <v>Berge, Sigurd</v>
      </c>
      <c r="B673" s="3">
        <f ca="1">IFERROR(__xludf.DUMMYFUNCTION("""COMPUTED_VALUE"""),1)</f>
        <v>1</v>
      </c>
      <c r="C673" s="7">
        <f ca="1">IFERROR(__xludf.DUMMYFUNCTION("""COMPUTED_VALUE"""),1)</f>
        <v>1</v>
      </c>
      <c r="D673" s="8">
        <f ca="1">IFERROR(__xludf.DUMMYFUNCTION("""COMPUTED_VALUE"""),5)</f>
        <v>5</v>
      </c>
      <c r="E673" s="2">
        <f ca="1">IFERROR(__xludf.DUMMYFUNCTION("""COMPUTED_VALUE"""),2)</f>
        <v>2</v>
      </c>
    </row>
    <row r="674" spans="1:5" ht="13">
      <c r="A674" s="2" t="str">
        <f ca="1">IFERROR(__xludf.DUMMYFUNCTION("""COMPUTED_VALUE"""),"Bergen, Norman")</f>
        <v>Bergen, Norman</v>
      </c>
      <c r="B674" s="3">
        <f ca="1">IFERROR(__xludf.DUMMYFUNCTION("""COMPUTED_VALUE"""),1)</f>
        <v>1</v>
      </c>
      <c r="C674" s="7">
        <f ca="1">IFERROR(__xludf.DUMMYFUNCTION("""COMPUTED_VALUE"""),1)</f>
        <v>1</v>
      </c>
      <c r="D674" s="8">
        <f ca="1">IFERROR(__xludf.DUMMYFUNCTION("""COMPUTED_VALUE"""),1)</f>
        <v>1</v>
      </c>
      <c r="E674" s="2">
        <f ca="1">IFERROR(__xludf.DUMMYFUNCTION("""COMPUTED_VALUE"""),1)</f>
        <v>1</v>
      </c>
    </row>
    <row r="675" spans="1:5" ht="13">
      <c r="A675" s="8" t="str">
        <f ca="1">IFERROR(__xludf.DUMMYFUNCTION("""COMPUTED_VALUE"""),"Berger, Arthur")</f>
        <v>Berger, Arthur</v>
      </c>
      <c r="B675" s="3">
        <f ca="1">IFERROR(__xludf.DUMMYFUNCTION("""COMPUTED_VALUE"""),1)</f>
        <v>1</v>
      </c>
      <c r="C675" s="7">
        <f ca="1">IFERROR(__xludf.DUMMYFUNCTION("""COMPUTED_VALUE"""),1)</f>
        <v>1</v>
      </c>
      <c r="D675" s="8">
        <f ca="1">IFERROR(__xludf.DUMMYFUNCTION("""COMPUTED_VALUE"""),5)</f>
        <v>5</v>
      </c>
      <c r="E675" s="2">
        <f ca="1">IFERROR(__xludf.DUMMYFUNCTION("""COMPUTED_VALUE"""),2)</f>
        <v>2</v>
      </c>
    </row>
    <row r="676" spans="1:5" ht="13">
      <c r="A676" s="2" t="str">
        <f ca="1">IFERROR(__xludf.DUMMYFUNCTION("""COMPUTED_VALUE"""),"Berger, David")</f>
        <v>Berger, David</v>
      </c>
      <c r="B676" s="3">
        <f ca="1">IFERROR(__xludf.DUMMYFUNCTION("""COMPUTED_VALUE"""),1)</f>
        <v>1</v>
      </c>
      <c r="C676" s="7">
        <f ca="1">IFERROR(__xludf.DUMMYFUNCTION("""COMPUTED_VALUE"""),1)</f>
        <v>1</v>
      </c>
      <c r="D676" s="8">
        <f ca="1">IFERROR(__xludf.DUMMYFUNCTION("""COMPUTED_VALUE"""),1)</f>
        <v>1</v>
      </c>
      <c r="E676" s="2">
        <f ca="1">IFERROR(__xludf.DUMMYFUNCTION("""COMPUTED_VALUE"""),1)</f>
        <v>1</v>
      </c>
    </row>
    <row r="677" spans="1:5" ht="13">
      <c r="A677" s="8" t="str">
        <f ca="1">IFERROR(__xludf.DUMMYFUNCTION("""COMPUTED_VALUE"""),"Berger, Jean")</f>
        <v>Berger, Jean</v>
      </c>
      <c r="B677" s="3">
        <f ca="1">IFERROR(__xludf.DUMMYFUNCTION("""COMPUTED_VALUE"""),1)</f>
        <v>1</v>
      </c>
      <c r="C677" s="7">
        <f ca="1">IFERROR(__xludf.DUMMYFUNCTION("""COMPUTED_VALUE"""),1)</f>
        <v>1</v>
      </c>
      <c r="D677" s="8">
        <f ca="1">IFERROR(__xludf.DUMMYFUNCTION("""COMPUTED_VALUE"""),5)</f>
        <v>5</v>
      </c>
      <c r="E677" s="2">
        <f ca="1">IFERROR(__xludf.DUMMYFUNCTION("""COMPUTED_VALUE"""),2)</f>
        <v>2</v>
      </c>
    </row>
    <row r="678" spans="1:5" ht="13">
      <c r="A678" s="8" t="str">
        <f ca="1">IFERROR(__xludf.DUMMYFUNCTION("""COMPUTED_VALUE"""),"Berger, Wilhelm")</f>
        <v>Berger, Wilhelm</v>
      </c>
      <c r="B678" s="3">
        <f ca="1">IFERROR(__xludf.DUMMYFUNCTION("""COMPUTED_VALUE"""),1)</f>
        <v>1</v>
      </c>
      <c r="C678" s="7">
        <f ca="1">IFERROR(__xludf.DUMMYFUNCTION("""COMPUTED_VALUE"""),1)</f>
        <v>1</v>
      </c>
      <c r="D678" s="8">
        <f ca="1">IFERROR(__xludf.DUMMYFUNCTION("""COMPUTED_VALUE"""),5)</f>
        <v>5</v>
      </c>
      <c r="E678" s="2">
        <f ca="1">IFERROR(__xludf.DUMMYFUNCTION("""COMPUTED_VALUE"""),2)</f>
        <v>2</v>
      </c>
    </row>
    <row r="679" spans="1:5" ht="13">
      <c r="A679" s="2" t="str">
        <f ca="1">IFERROR(__xludf.DUMMYFUNCTION("""COMPUTED_VALUE"""),"Bergeron, Jimi")</f>
        <v>Bergeron, Jimi</v>
      </c>
      <c r="B679" s="3">
        <f ca="1">IFERROR(__xludf.DUMMYFUNCTION("""COMPUTED_VALUE"""),1)</f>
        <v>1</v>
      </c>
      <c r="C679" s="7">
        <f ca="1">IFERROR(__xludf.DUMMYFUNCTION("""COMPUTED_VALUE"""),1)</f>
        <v>1</v>
      </c>
      <c r="D679" s="8">
        <f ca="1">IFERROR(__xludf.DUMMYFUNCTION("""COMPUTED_VALUE"""),1)</f>
        <v>1</v>
      </c>
      <c r="E679" s="2">
        <f ca="1">IFERROR(__xludf.DUMMYFUNCTION("""COMPUTED_VALUE"""),1)</f>
        <v>1</v>
      </c>
    </row>
    <row r="680" spans="1:5" ht="13">
      <c r="A680" s="8" t="str">
        <f ca="1">IFERROR(__xludf.DUMMYFUNCTION("""COMPUTED_VALUE"""),"Bergh, H.")</f>
        <v>Bergh, H.</v>
      </c>
      <c r="B680" s="3">
        <f ca="1">IFERROR(__xludf.DUMMYFUNCTION("""COMPUTED_VALUE"""),1)</f>
        <v>1</v>
      </c>
      <c r="C680" s="7">
        <f ca="1">IFERROR(__xludf.DUMMYFUNCTION("""COMPUTED_VALUE"""),1)</f>
        <v>1</v>
      </c>
      <c r="D680" s="8">
        <f ca="1">IFERROR(__xludf.DUMMYFUNCTION("""COMPUTED_VALUE"""),5)</f>
        <v>5</v>
      </c>
      <c r="E680" s="2">
        <f ca="1">IFERROR(__xludf.DUMMYFUNCTION("""COMPUTED_VALUE"""),2)</f>
        <v>2</v>
      </c>
    </row>
    <row r="681" spans="1:5" ht="13">
      <c r="A681" s="2" t="str">
        <f ca="1">IFERROR(__xludf.DUMMYFUNCTION("""COMPUTED_VALUE"""),"Bergonzi, Louis")</f>
        <v>Bergonzi, Louis</v>
      </c>
      <c r="B681" s="3">
        <f ca="1">IFERROR(__xludf.DUMMYFUNCTION("""COMPUTED_VALUE"""),1)</f>
        <v>1</v>
      </c>
      <c r="C681" s="7">
        <f ca="1">IFERROR(__xludf.DUMMYFUNCTION("""COMPUTED_VALUE"""),1)</f>
        <v>1</v>
      </c>
      <c r="D681" s="8">
        <f ca="1">IFERROR(__xludf.DUMMYFUNCTION("""COMPUTED_VALUE"""),1)</f>
        <v>1</v>
      </c>
      <c r="E681" s="2">
        <f ca="1">IFERROR(__xludf.DUMMYFUNCTION("""COMPUTED_VALUE"""),1)</f>
        <v>1</v>
      </c>
    </row>
    <row r="682" spans="1:5" ht="13">
      <c r="A682" s="2" t="str">
        <f ca="1">IFERROR(__xludf.DUMMYFUNCTION("""COMPUTED_VALUE"""),"Bergquist, Tomas")</f>
        <v>Bergquist, Tomas</v>
      </c>
      <c r="B682" s="3">
        <f ca="1">IFERROR(__xludf.DUMMYFUNCTION("""COMPUTED_VALUE"""),1)</f>
        <v>1</v>
      </c>
      <c r="C682" s="7">
        <f ca="1">IFERROR(__xludf.DUMMYFUNCTION("""COMPUTED_VALUE"""),1)</f>
        <v>1</v>
      </c>
      <c r="D682" s="8">
        <f ca="1">IFERROR(__xludf.DUMMYFUNCTION("""COMPUTED_VALUE"""),1)</f>
        <v>1</v>
      </c>
      <c r="E682" s="2">
        <f ca="1">IFERROR(__xludf.DUMMYFUNCTION("""COMPUTED_VALUE"""),1)</f>
        <v>1</v>
      </c>
    </row>
    <row r="683" spans="1:5" ht="13">
      <c r="A683" s="8" t="str">
        <f ca="1">IFERROR(__xludf.DUMMYFUNCTION("""COMPUTED_VALUE"""),"Bergs, Roger")</f>
        <v>Bergs, Roger</v>
      </c>
      <c r="B683" s="3">
        <f ca="1">IFERROR(__xludf.DUMMYFUNCTION("""COMPUTED_VALUE"""),1)</f>
        <v>1</v>
      </c>
      <c r="C683" s="7">
        <f ca="1">IFERROR(__xludf.DUMMYFUNCTION("""COMPUTED_VALUE"""),1)</f>
        <v>1</v>
      </c>
      <c r="D683" s="8">
        <f ca="1">IFERROR(__xludf.DUMMYFUNCTION("""COMPUTED_VALUE"""),1)</f>
        <v>1</v>
      </c>
      <c r="E683" s="2">
        <f ca="1">IFERROR(__xludf.DUMMYFUNCTION("""COMPUTED_VALUE"""),1)</f>
        <v>1</v>
      </c>
    </row>
    <row r="684" spans="1:5" ht="13">
      <c r="A684" s="8" t="str">
        <f ca="1">IFERROR(__xludf.DUMMYFUNCTION("""COMPUTED_VALUE"""),"Bergsma, William")</f>
        <v>Bergsma, William</v>
      </c>
      <c r="B684" s="3">
        <f ca="1">IFERROR(__xludf.DUMMYFUNCTION("""COMPUTED_VALUE"""),1)</f>
        <v>1</v>
      </c>
      <c r="C684" s="7">
        <f ca="1">IFERROR(__xludf.DUMMYFUNCTION("""COMPUTED_VALUE"""),1)</f>
        <v>1</v>
      </c>
      <c r="D684" s="8">
        <f ca="1">IFERROR(__xludf.DUMMYFUNCTION("""COMPUTED_VALUE"""),5)</f>
        <v>5</v>
      </c>
      <c r="E684" s="2">
        <f ca="1">IFERROR(__xludf.DUMMYFUNCTION("""COMPUTED_VALUE"""),2)</f>
        <v>2</v>
      </c>
    </row>
    <row r="685" spans="1:5" ht="13">
      <c r="A685" s="8" t="str">
        <f ca="1">IFERROR(__xludf.DUMMYFUNCTION("""COMPUTED_VALUE"""),"Berio, Luciano")</f>
        <v>Berio, Luciano</v>
      </c>
      <c r="B685" s="3">
        <f ca="1">IFERROR(__xludf.DUMMYFUNCTION("""COMPUTED_VALUE"""),1)</f>
        <v>1</v>
      </c>
      <c r="C685" s="7">
        <f ca="1">IFERROR(__xludf.DUMMYFUNCTION("""COMPUTED_VALUE"""),1)</f>
        <v>1</v>
      </c>
      <c r="D685" s="8">
        <f ca="1">IFERROR(__xludf.DUMMYFUNCTION("""COMPUTED_VALUE"""),5)</f>
        <v>5</v>
      </c>
      <c r="E685" s="2">
        <f ca="1">IFERROR(__xludf.DUMMYFUNCTION("""COMPUTED_VALUE"""),2)</f>
        <v>2</v>
      </c>
    </row>
    <row r="686" spans="1:5" ht="13">
      <c r="A686" s="2" t="str">
        <f ca="1">IFERROR(__xludf.DUMMYFUNCTION("""COMPUTED_VALUE"""),"Beriot, Charles de")</f>
        <v>Beriot, Charles de</v>
      </c>
      <c r="B686" s="2">
        <f ca="1">IFERROR(__xludf.DUMMYFUNCTION("""COMPUTED_VALUE"""),1)</f>
        <v>1</v>
      </c>
      <c r="C686" s="7">
        <f ca="1">IFERROR(__xludf.DUMMYFUNCTION("""COMPUTED_VALUE"""),1)</f>
        <v>1</v>
      </c>
      <c r="D686" s="8">
        <f ca="1">IFERROR(__xludf.DUMMYFUNCTION("""COMPUTED_VALUE"""),1)</f>
        <v>1</v>
      </c>
      <c r="E686" s="2">
        <f ca="1">IFERROR(__xludf.DUMMYFUNCTION("""COMPUTED_VALUE"""),1)</f>
        <v>1</v>
      </c>
    </row>
    <row r="687" spans="1:5" ht="13">
      <c r="A687" s="8" t="str">
        <f ca="1">IFERROR(__xludf.DUMMYFUNCTION("""COMPUTED_VALUE"""),"Berkeley, Lennox")</f>
        <v>Berkeley, Lennox</v>
      </c>
      <c r="B687" s="3">
        <f ca="1">IFERROR(__xludf.DUMMYFUNCTION("""COMPUTED_VALUE"""),1)</f>
        <v>1</v>
      </c>
      <c r="C687" s="7">
        <f ca="1">IFERROR(__xludf.DUMMYFUNCTION("""COMPUTED_VALUE"""),1)</f>
        <v>1</v>
      </c>
      <c r="D687" s="8">
        <f ca="1">IFERROR(__xludf.DUMMYFUNCTION("""COMPUTED_VALUE"""),5)</f>
        <v>5</v>
      </c>
      <c r="E687" s="2">
        <f ca="1">IFERROR(__xludf.DUMMYFUNCTION("""COMPUTED_VALUE"""),2)</f>
        <v>2</v>
      </c>
    </row>
    <row r="688" spans="1:5" ht="13">
      <c r="A688" s="2" t="str">
        <f ca="1">IFERROR(__xludf.DUMMYFUNCTION("""COMPUTED_VALUE"""),"Berkey, Jackson")</f>
        <v>Berkey, Jackson</v>
      </c>
      <c r="B688" s="3">
        <f ca="1">IFERROR(__xludf.DUMMYFUNCTION("""COMPUTED_VALUE"""),1)</f>
        <v>1</v>
      </c>
      <c r="C688" s="7">
        <f ca="1">IFERROR(__xludf.DUMMYFUNCTION("""COMPUTED_VALUE"""),1)</f>
        <v>1</v>
      </c>
      <c r="D688" s="8">
        <f ca="1">IFERROR(__xludf.DUMMYFUNCTION("""COMPUTED_VALUE"""),1)</f>
        <v>1</v>
      </c>
      <c r="E688" s="2">
        <f ca="1">IFERROR(__xludf.DUMMYFUNCTION("""COMPUTED_VALUE"""),1)</f>
        <v>1</v>
      </c>
    </row>
    <row r="689" spans="1:5" ht="13">
      <c r="A689" s="2" t="str">
        <f ca="1">IFERROR(__xludf.DUMMYFUNCTION("""COMPUTED_VALUE"""),"Berkley, Jackson")</f>
        <v>Berkley, Jackson</v>
      </c>
      <c r="B689" s="3">
        <f ca="1">IFERROR(__xludf.DUMMYFUNCTION("""COMPUTED_VALUE"""),1)</f>
        <v>1</v>
      </c>
      <c r="C689" s="7">
        <f ca="1">IFERROR(__xludf.DUMMYFUNCTION("""COMPUTED_VALUE"""),1)</f>
        <v>1</v>
      </c>
      <c r="D689" s="8">
        <f ca="1">IFERROR(__xludf.DUMMYFUNCTION("""COMPUTED_VALUE"""),1)</f>
        <v>1</v>
      </c>
      <c r="E689" s="2">
        <f ca="1">IFERROR(__xludf.DUMMYFUNCTION("""COMPUTED_VALUE"""),1)</f>
        <v>1</v>
      </c>
    </row>
    <row r="690" spans="1:5" ht="13">
      <c r="A690" s="8" t="str">
        <f ca="1">IFERROR(__xludf.DUMMYFUNCTION("""COMPUTED_VALUE"""),"Berko, Alex")</f>
        <v>Berko, Alex</v>
      </c>
      <c r="B690" s="3">
        <f ca="1">IFERROR(__xludf.DUMMYFUNCTION("""COMPUTED_VALUE"""),1)</f>
        <v>1</v>
      </c>
      <c r="C690" s="7">
        <f ca="1">IFERROR(__xludf.DUMMYFUNCTION("""COMPUTED_VALUE"""),1)</f>
        <v>1</v>
      </c>
      <c r="D690" s="8">
        <f ca="1">IFERROR(__xludf.DUMMYFUNCTION("""COMPUTED_VALUE"""),1)</f>
        <v>1</v>
      </c>
      <c r="E690" s="2">
        <f ca="1">IFERROR(__xludf.DUMMYFUNCTION("""COMPUTED_VALUE"""),1)</f>
        <v>1</v>
      </c>
    </row>
    <row r="691" spans="1:5" ht="13">
      <c r="A691" s="2" t="str">
        <f ca="1">IFERROR(__xludf.DUMMYFUNCTION("""COMPUTED_VALUE"""),"Berkowitz, Sol")</f>
        <v>Berkowitz, Sol</v>
      </c>
      <c r="B691" s="2">
        <f ca="1">IFERROR(__xludf.DUMMYFUNCTION("""COMPUTED_VALUE"""),1)</f>
        <v>1</v>
      </c>
      <c r="C691" s="7">
        <f ca="1">IFERROR(__xludf.DUMMYFUNCTION("""COMPUTED_VALUE"""),1)</f>
        <v>1</v>
      </c>
      <c r="D691" s="8">
        <f ca="1">IFERROR(__xludf.DUMMYFUNCTION("""COMPUTED_VALUE"""),5)</f>
        <v>5</v>
      </c>
      <c r="E691" s="2">
        <f ca="1">IFERROR(__xludf.DUMMYFUNCTION("""COMPUTED_VALUE"""),2)</f>
        <v>2</v>
      </c>
    </row>
    <row r="692" spans="1:5" ht="13">
      <c r="A692" s="8" t="str">
        <f ca="1">IFERROR(__xludf.DUMMYFUNCTION("""COMPUTED_VALUE"""),"Berlin, Irving")</f>
        <v>Berlin, Irving</v>
      </c>
      <c r="B692" s="3">
        <f ca="1">IFERROR(__xludf.DUMMYFUNCTION("""COMPUTED_VALUE"""),1)</f>
        <v>1</v>
      </c>
      <c r="C692" s="7">
        <f ca="1">IFERROR(__xludf.DUMMYFUNCTION("""COMPUTED_VALUE"""),1)</f>
        <v>1</v>
      </c>
      <c r="D692" s="8">
        <f ca="1">IFERROR(__xludf.DUMMYFUNCTION("""COMPUTED_VALUE"""),5)</f>
        <v>5</v>
      </c>
      <c r="E692" s="2">
        <f ca="1">IFERROR(__xludf.DUMMYFUNCTION("""COMPUTED_VALUE"""),2)</f>
        <v>2</v>
      </c>
    </row>
    <row r="693" spans="1:5" ht="13">
      <c r="A693" s="8" t="str">
        <f ca="1">IFERROR(__xludf.DUMMYFUNCTION("""COMPUTED_VALUE"""),"Berlioz, Hector")</f>
        <v>Berlioz, Hector</v>
      </c>
      <c r="B693" s="3">
        <f ca="1">IFERROR(__xludf.DUMMYFUNCTION("""COMPUTED_VALUE"""),1)</f>
        <v>1</v>
      </c>
      <c r="C693" s="7">
        <f ca="1">IFERROR(__xludf.DUMMYFUNCTION("""COMPUTED_VALUE"""),1)</f>
        <v>1</v>
      </c>
      <c r="D693" s="8">
        <f ca="1">IFERROR(__xludf.DUMMYFUNCTION("""COMPUTED_VALUE"""),5)</f>
        <v>5</v>
      </c>
      <c r="E693" s="2">
        <f ca="1">IFERROR(__xludf.DUMMYFUNCTION("""COMPUTED_VALUE"""),2)</f>
        <v>2</v>
      </c>
    </row>
    <row r="694" spans="1:5" ht="13">
      <c r="A694" s="2" t="str">
        <f ca="1">IFERROR(__xludf.DUMMYFUNCTION("""COMPUTED_VALUE"""),"Berman, Harry")</f>
        <v>Berman, Harry</v>
      </c>
      <c r="B694" s="3">
        <f ca="1">IFERROR(__xludf.DUMMYFUNCTION("""COMPUTED_VALUE"""),1)</f>
        <v>1</v>
      </c>
      <c r="C694" s="7">
        <f ca="1">IFERROR(__xludf.DUMMYFUNCTION("""COMPUTED_VALUE"""),1)</f>
        <v>1</v>
      </c>
      <c r="D694" s="8">
        <f ca="1">IFERROR(__xludf.DUMMYFUNCTION("""COMPUTED_VALUE"""),5)</f>
        <v>5</v>
      </c>
      <c r="E694" s="2">
        <f ca="1">IFERROR(__xludf.DUMMYFUNCTION("""COMPUTED_VALUE"""),2)</f>
        <v>2</v>
      </c>
    </row>
    <row r="695" spans="1:5" ht="13">
      <c r="A695" s="8" t="str">
        <f ca="1">IFERROR(__xludf.DUMMYFUNCTION("""COMPUTED_VALUE"""),"Bermel, Derek")</f>
        <v>Bermel, Derek</v>
      </c>
      <c r="B695" s="3">
        <f ca="1">IFERROR(__xludf.DUMMYFUNCTION("""COMPUTED_VALUE"""),1)</f>
        <v>1</v>
      </c>
      <c r="C695" s="7">
        <f ca="1">IFERROR(__xludf.DUMMYFUNCTION("""COMPUTED_VALUE"""),1)</f>
        <v>1</v>
      </c>
      <c r="D695" s="8">
        <f ca="1">IFERROR(__xludf.DUMMYFUNCTION("""COMPUTED_VALUE"""),1)</f>
        <v>1</v>
      </c>
      <c r="E695" s="2">
        <f ca="1">IFERROR(__xludf.DUMMYFUNCTION("""COMPUTED_VALUE"""),1)</f>
        <v>1</v>
      </c>
    </row>
    <row r="696" spans="1:5" ht="13">
      <c r="A696" s="8" t="str">
        <f ca="1">IFERROR(__xludf.DUMMYFUNCTION("""COMPUTED_VALUE"""),"Bernaerts, Frank")</f>
        <v>Bernaerts, Frank</v>
      </c>
      <c r="B696" s="3">
        <f ca="1">IFERROR(__xludf.DUMMYFUNCTION("""COMPUTED_VALUE"""),1)</f>
        <v>1</v>
      </c>
      <c r="C696" s="7">
        <f ca="1">IFERROR(__xludf.DUMMYFUNCTION("""COMPUTED_VALUE"""),1)</f>
        <v>1</v>
      </c>
      <c r="D696" s="8">
        <f ca="1">IFERROR(__xludf.DUMMYFUNCTION("""COMPUTED_VALUE"""),1)</f>
        <v>1</v>
      </c>
      <c r="E696" s="2">
        <f ca="1">IFERROR(__xludf.DUMMYFUNCTION("""COMPUTED_VALUE"""),1)</f>
        <v>1</v>
      </c>
    </row>
    <row r="697" spans="1:5" ht="13">
      <c r="A697" s="8" t="str">
        <f ca="1">IFERROR(__xludf.DUMMYFUNCTION("""COMPUTED_VALUE"""),"Bernard, Emile")</f>
        <v>Bernard, Emile</v>
      </c>
      <c r="B697" s="3">
        <f ca="1">IFERROR(__xludf.DUMMYFUNCTION("""COMPUTED_VALUE"""),1)</f>
        <v>1</v>
      </c>
      <c r="C697" s="7">
        <f ca="1">IFERROR(__xludf.DUMMYFUNCTION("""COMPUTED_VALUE"""),1)</f>
        <v>1</v>
      </c>
      <c r="D697" s="8">
        <f ca="1">IFERROR(__xludf.DUMMYFUNCTION("""COMPUTED_VALUE"""),5)</f>
        <v>5</v>
      </c>
      <c r="E697" s="2">
        <f ca="1">IFERROR(__xludf.DUMMYFUNCTION("""COMPUTED_VALUE"""),2)</f>
        <v>2</v>
      </c>
    </row>
    <row r="698" spans="1:5" ht="13">
      <c r="A698" s="2" t="str">
        <f ca="1">IFERROR(__xludf.DUMMYFUNCTION("""COMPUTED_VALUE"""),"Bernard, Felix")</f>
        <v>Bernard, Felix</v>
      </c>
      <c r="B698" s="3">
        <f ca="1">IFERROR(__xludf.DUMMYFUNCTION("""COMPUTED_VALUE"""),1)</f>
        <v>1</v>
      </c>
      <c r="C698" s="7">
        <f ca="1">IFERROR(__xludf.DUMMYFUNCTION("""COMPUTED_VALUE"""),1)</f>
        <v>1</v>
      </c>
      <c r="D698" s="8">
        <f ca="1">IFERROR(__xludf.DUMMYFUNCTION("""COMPUTED_VALUE"""),5)</f>
        <v>5</v>
      </c>
      <c r="E698" s="2">
        <f ca="1">IFERROR(__xludf.DUMMYFUNCTION("""COMPUTED_VALUE"""),2)</f>
        <v>2</v>
      </c>
    </row>
    <row r="699" spans="1:5" ht="13">
      <c r="A699" s="2" t="str">
        <f ca="1">IFERROR(__xludf.DUMMYFUNCTION("""COMPUTED_VALUE"""),"Bernard, James")</f>
        <v>Bernard, James</v>
      </c>
      <c r="B699" s="2">
        <f ca="1">IFERROR(__xludf.DUMMYFUNCTION("""COMPUTED_VALUE"""),1)</f>
        <v>1</v>
      </c>
      <c r="C699" s="2">
        <f ca="1">IFERROR(__xludf.DUMMYFUNCTION("""COMPUTED_VALUE"""),1)</f>
        <v>1</v>
      </c>
      <c r="D699" s="8">
        <f ca="1">IFERROR(__xludf.DUMMYFUNCTION("""COMPUTED_VALUE"""),1)</f>
        <v>1</v>
      </c>
      <c r="E699" s="2">
        <f ca="1">IFERROR(__xludf.DUMMYFUNCTION("""COMPUTED_VALUE"""),1)</f>
        <v>1</v>
      </c>
    </row>
    <row r="700" spans="1:5" ht="13">
      <c r="A700" s="8" t="str">
        <f ca="1">IFERROR(__xludf.DUMMYFUNCTION("""COMPUTED_VALUE"""),"Berners, John")</f>
        <v>Berners, John</v>
      </c>
      <c r="B700" s="3">
        <f ca="1">IFERROR(__xludf.DUMMYFUNCTION("""COMPUTED_VALUE"""),1)</f>
        <v>1</v>
      </c>
      <c r="C700" s="7">
        <f ca="1">IFERROR(__xludf.DUMMYFUNCTION("""COMPUTED_VALUE"""),1)</f>
        <v>1</v>
      </c>
      <c r="D700" s="8">
        <f ca="1">IFERROR(__xludf.DUMMYFUNCTION("""COMPUTED_VALUE"""),1)</f>
        <v>1</v>
      </c>
      <c r="E700" s="2">
        <f ca="1">IFERROR(__xludf.DUMMYFUNCTION("""COMPUTED_VALUE"""),1)</f>
        <v>1</v>
      </c>
    </row>
    <row r="701" spans="1:5" ht="13">
      <c r="A701" s="2" t="str">
        <f ca="1">IFERROR(__xludf.DUMMYFUNCTION("""COMPUTED_VALUE"""),"Berners, Lord G. H.")</f>
        <v>Berners, Lord G. H.</v>
      </c>
      <c r="B701" s="2">
        <f ca="1">IFERROR(__xludf.DUMMYFUNCTION("""COMPUTED_VALUE"""),1)</f>
        <v>1</v>
      </c>
      <c r="C701" s="7">
        <f ca="1">IFERROR(__xludf.DUMMYFUNCTION("""COMPUTED_VALUE"""),1)</f>
        <v>1</v>
      </c>
      <c r="D701" s="8">
        <f ca="1">IFERROR(__xludf.DUMMYFUNCTION("""COMPUTED_VALUE"""),5)</f>
        <v>5</v>
      </c>
      <c r="E701" s="2">
        <f ca="1">IFERROR(__xludf.DUMMYFUNCTION("""COMPUTED_VALUE"""),2)</f>
        <v>2</v>
      </c>
    </row>
    <row r="702" spans="1:5" ht="13">
      <c r="A702" s="2" t="str">
        <f ca="1">IFERROR(__xludf.DUMMYFUNCTION("""COMPUTED_VALUE"""),"Berners, Lord Gerald")</f>
        <v>Berners, Lord Gerald</v>
      </c>
      <c r="B702" s="2">
        <f ca="1">IFERROR(__xludf.DUMMYFUNCTION("""COMPUTED_VALUE"""),1)</f>
        <v>1</v>
      </c>
      <c r="C702" s="7">
        <f ca="1">IFERROR(__xludf.DUMMYFUNCTION("""COMPUTED_VALUE"""),1)</f>
        <v>1</v>
      </c>
      <c r="D702" s="8">
        <f ca="1">IFERROR(__xludf.DUMMYFUNCTION("""COMPUTED_VALUE"""),5)</f>
        <v>5</v>
      </c>
      <c r="E702" s="2">
        <f ca="1">IFERROR(__xludf.DUMMYFUNCTION("""COMPUTED_VALUE"""),2)</f>
        <v>2</v>
      </c>
    </row>
    <row r="703" spans="1:5" ht="13">
      <c r="A703" s="2" t="str">
        <f ca="1">IFERROR(__xludf.DUMMYFUNCTION("""COMPUTED_VALUE"""),"Bernie, Ben")</f>
        <v>Bernie, Ben</v>
      </c>
      <c r="B703" s="2">
        <f ca="1">IFERROR(__xludf.DUMMYFUNCTION("""COMPUTED_VALUE"""),1)</f>
        <v>1</v>
      </c>
      <c r="C703" s="7">
        <f ca="1">IFERROR(__xludf.DUMMYFUNCTION("""COMPUTED_VALUE"""),1)</f>
        <v>1</v>
      </c>
      <c r="D703" s="8">
        <f ca="1">IFERROR(__xludf.DUMMYFUNCTION("""COMPUTED_VALUE"""),5)</f>
        <v>5</v>
      </c>
      <c r="E703" s="2">
        <f ca="1">IFERROR(__xludf.DUMMYFUNCTION("""COMPUTED_VALUE"""),2)</f>
        <v>2</v>
      </c>
    </row>
    <row r="704" spans="1:5" ht="13">
      <c r="A704" s="8" t="str">
        <f ca="1">IFERROR(__xludf.DUMMYFUNCTION("""COMPUTED_VALUE"""),"Bernotas, Chris")</f>
        <v>Bernotas, Chris</v>
      </c>
      <c r="B704" s="3">
        <f ca="1">IFERROR(__xludf.DUMMYFUNCTION("""COMPUTED_VALUE"""),1)</f>
        <v>1</v>
      </c>
      <c r="C704" s="7">
        <f ca="1">IFERROR(__xludf.DUMMYFUNCTION("""COMPUTED_VALUE"""),1)</f>
        <v>1</v>
      </c>
      <c r="D704" s="8">
        <f ca="1">IFERROR(__xludf.DUMMYFUNCTION("""COMPUTED_VALUE"""),1)</f>
        <v>1</v>
      </c>
      <c r="E704" s="2">
        <f ca="1">IFERROR(__xludf.DUMMYFUNCTION("""COMPUTED_VALUE"""),1)</f>
        <v>1</v>
      </c>
    </row>
    <row r="705" spans="1:5" ht="13">
      <c r="A705" s="2" t="str">
        <f ca="1">IFERROR(__xludf.DUMMYFUNCTION("""COMPUTED_VALUE"""),"Bernstein, Douglas / Markell, Denis")</f>
        <v>Bernstein, Douglas / Markell, Denis</v>
      </c>
      <c r="B705" s="2">
        <f ca="1">IFERROR(__xludf.DUMMYFUNCTION("""COMPUTED_VALUE"""),1)</f>
        <v>1</v>
      </c>
      <c r="C705" s="7">
        <f ca="1">IFERROR(__xludf.DUMMYFUNCTION("""COMPUTED_VALUE"""),1)</f>
        <v>1</v>
      </c>
      <c r="D705" s="8">
        <f ca="1">IFERROR(__xludf.DUMMYFUNCTION("""COMPUTED_VALUE"""),1)</f>
        <v>1</v>
      </c>
      <c r="E705" s="2">
        <f ca="1">IFERROR(__xludf.DUMMYFUNCTION("""COMPUTED_VALUE"""),1)</f>
        <v>1</v>
      </c>
    </row>
    <row r="706" spans="1:5" ht="13">
      <c r="A706" s="8" t="str">
        <f ca="1">IFERROR(__xludf.DUMMYFUNCTION("""COMPUTED_VALUE"""),"Bernstein, Elmer")</f>
        <v>Bernstein, Elmer</v>
      </c>
      <c r="B706" s="3">
        <f ca="1">IFERROR(__xludf.DUMMYFUNCTION("""COMPUTED_VALUE"""),1)</f>
        <v>1</v>
      </c>
      <c r="C706" s="7">
        <f ca="1">IFERROR(__xludf.DUMMYFUNCTION("""COMPUTED_VALUE"""),1)</f>
        <v>1</v>
      </c>
      <c r="D706" s="8">
        <f ca="1">IFERROR(__xludf.DUMMYFUNCTION("""COMPUTED_VALUE"""),5)</f>
        <v>5</v>
      </c>
      <c r="E706" s="2">
        <f ca="1">IFERROR(__xludf.DUMMYFUNCTION("""COMPUTED_VALUE"""),2)</f>
        <v>2</v>
      </c>
    </row>
    <row r="707" spans="1:5" ht="13">
      <c r="A707" s="2" t="str">
        <f ca="1">IFERROR(__xludf.DUMMYFUNCTION("""COMPUTED_VALUE"""),"Bernstein, Elmer / Newman, Randy")</f>
        <v>Bernstein, Elmer / Newman, Randy</v>
      </c>
      <c r="B707" s="3">
        <f ca="1">IFERROR(__xludf.DUMMYFUNCTION("""COMPUTED_VALUE"""),1)</f>
        <v>1</v>
      </c>
      <c r="C707" s="7">
        <f ca="1">IFERROR(__xludf.DUMMYFUNCTION("""COMPUTED_VALUE"""),1)</f>
        <v>1</v>
      </c>
      <c r="D707" s="8">
        <f ca="1">IFERROR(__xludf.DUMMYFUNCTION("""COMPUTED_VALUE"""),5)</f>
        <v>5</v>
      </c>
      <c r="E707" s="2">
        <f ca="1">IFERROR(__xludf.DUMMYFUNCTION("""COMPUTED_VALUE"""),2)</f>
        <v>2</v>
      </c>
    </row>
    <row r="708" spans="1:5" ht="13">
      <c r="A708" s="2" t="str">
        <f ca="1">IFERROR(__xludf.DUMMYFUNCTION("""COMPUTED_VALUE"""),"Bernstein, Lawrence")</f>
        <v>Bernstein, Lawrence</v>
      </c>
      <c r="B708" s="2">
        <f ca="1">IFERROR(__xludf.DUMMYFUNCTION("""COMPUTED_VALUE"""),1)</f>
        <v>1</v>
      </c>
      <c r="C708" s="2">
        <f ca="1">IFERROR(__xludf.DUMMYFUNCTION("""COMPUTED_VALUE"""),1)</f>
        <v>1</v>
      </c>
      <c r="D708" s="8">
        <f ca="1">IFERROR(__xludf.DUMMYFUNCTION("""COMPUTED_VALUE"""),1)</f>
        <v>1</v>
      </c>
      <c r="E708" s="2">
        <f ca="1">IFERROR(__xludf.DUMMYFUNCTION("""COMPUTED_VALUE"""),1)</f>
        <v>1</v>
      </c>
    </row>
    <row r="709" spans="1:5" ht="13">
      <c r="A709" s="8" t="str">
        <f ca="1">IFERROR(__xludf.DUMMYFUNCTION("""COMPUTED_VALUE"""),"Bernstein, Leonard")</f>
        <v>Bernstein, Leonard</v>
      </c>
      <c r="B709" s="3">
        <f ca="1">IFERROR(__xludf.DUMMYFUNCTION("""COMPUTED_VALUE"""),1)</f>
        <v>1</v>
      </c>
      <c r="C709" s="7">
        <f ca="1">IFERROR(__xludf.DUMMYFUNCTION("""COMPUTED_VALUE"""),1)</f>
        <v>1</v>
      </c>
      <c r="D709" s="8">
        <f ca="1">IFERROR(__xludf.DUMMYFUNCTION("""COMPUTED_VALUE"""),5)</f>
        <v>5</v>
      </c>
      <c r="E709" s="2">
        <f ca="1">IFERROR(__xludf.DUMMYFUNCTION("""COMPUTED_VALUE"""),2)</f>
        <v>2</v>
      </c>
    </row>
    <row r="710" spans="1:5" ht="13">
      <c r="A710" s="8" t="str">
        <f ca="1">IFERROR(__xludf.DUMMYFUNCTION("""COMPUTED_VALUE"""),"Berr, Frederich")</f>
        <v>Berr, Frederich</v>
      </c>
      <c r="B710" s="3">
        <f ca="1">IFERROR(__xludf.DUMMYFUNCTION("""COMPUTED_VALUE"""),1)</f>
        <v>1</v>
      </c>
      <c r="C710" s="7">
        <f ca="1">IFERROR(__xludf.DUMMYFUNCTION("""COMPUTED_VALUE"""),1)</f>
        <v>1</v>
      </c>
      <c r="D710" s="8">
        <f ca="1">IFERROR(__xludf.DUMMYFUNCTION("""COMPUTED_VALUE"""),5)</f>
        <v>5</v>
      </c>
      <c r="E710" s="2">
        <f ca="1">IFERROR(__xludf.DUMMYFUNCTION("""COMPUTED_VALUE"""),2)</f>
        <v>2</v>
      </c>
    </row>
    <row r="711" spans="1:5" ht="13">
      <c r="A711" s="8" t="str">
        <f ca="1">IFERROR(__xludf.DUMMYFUNCTION("""COMPUTED_VALUE"""),"Berry, D.")</f>
        <v>Berry, D.</v>
      </c>
      <c r="B711" s="3">
        <f ca="1">IFERROR(__xludf.DUMMYFUNCTION("""COMPUTED_VALUE"""),1)</f>
        <v>1</v>
      </c>
      <c r="C711" s="7">
        <f ca="1">IFERROR(__xludf.DUMMYFUNCTION("""COMPUTED_VALUE"""),1)</f>
        <v>1</v>
      </c>
      <c r="D711" s="8">
        <f ca="1">IFERROR(__xludf.DUMMYFUNCTION("""COMPUTED_VALUE"""),1)</f>
        <v>1</v>
      </c>
      <c r="E711" s="2">
        <f ca="1">IFERROR(__xludf.DUMMYFUNCTION("""COMPUTED_VALUE"""),1)</f>
        <v>1</v>
      </c>
    </row>
    <row r="712" spans="1:5" ht="13">
      <c r="A712" s="2" t="str">
        <f ca="1">IFERROR(__xludf.DUMMYFUNCTION("""COMPUTED_VALUE"""),"Berry, D. Shawn")</f>
        <v>Berry, D. Shawn</v>
      </c>
      <c r="B712" s="3">
        <f ca="1">IFERROR(__xludf.DUMMYFUNCTION("""COMPUTED_VALUE"""),1)</f>
        <v>1</v>
      </c>
      <c r="C712" s="7">
        <f ca="1">IFERROR(__xludf.DUMMYFUNCTION("""COMPUTED_VALUE"""),1)</f>
        <v>1</v>
      </c>
      <c r="D712" s="8">
        <f ca="1">IFERROR(__xludf.DUMMYFUNCTION("""COMPUTED_VALUE"""),1)</f>
        <v>1</v>
      </c>
      <c r="E712" s="2">
        <f ca="1">IFERROR(__xludf.DUMMYFUNCTION("""COMPUTED_VALUE"""),1)</f>
        <v>1</v>
      </c>
    </row>
    <row r="713" spans="1:5" ht="13">
      <c r="A713" s="8" t="str">
        <f ca="1">IFERROR(__xludf.DUMMYFUNCTION("""COMPUTED_VALUE"""),"Berry, Gerald")</f>
        <v>Berry, Gerald</v>
      </c>
      <c r="B713" s="3">
        <f ca="1">IFERROR(__xludf.DUMMYFUNCTION("""COMPUTED_VALUE"""),1)</f>
        <v>1</v>
      </c>
      <c r="C713" s="7">
        <f ca="1">IFERROR(__xludf.DUMMYFUNCTION("""COMPUTED_VALUE"""),1)</f>
        <v>1</v>
      </c>
      <c r="D713" s="8">
        <f ca="1">IFERROR(__xludf.DUMMYFUNCTION("""COMPUTED_VALUE"""),1)</f>
        <v>1</v>
      </c>
      <c r="E713" s="2">
        <f ca="1">IFERROR(__xludf.DUMMYFUNCTION("""COMPUTED_VALUE"""),1)</f>
        <v>1</v>
      </c>
    </row>
    <row r="714" spans="1:5" ht="13">
      <c r="A714" s="2" t="str">
        <f ca="1">IFERROR(__xludf.DUMMYFUNCTION("""COMPUTED_VALUE"""),"Berry, John")</f>
        <v>Berry, John</v>
      </c>
      <c r="B714" s="3">
        <f ca="1">IFERROR(__xludf.DUMMYFUNCTION("""COMPUTED_VALUE"""),1)</f>
        <v>1</v>
      </c>
      <c r="C714" s="7">
        <f ca="1">IFERROR(__xludf.DUMMYFUNCTION("""COMPUTED_VALUE"""),1)</f>
        <v>1</v>
      </c>
      <c r="D714" s="8">
        <f ca="1">IFERROR(__xludf.DUMMYFUNCTION("""COMPUTED_VALUE"""),1)</f>
        <v>1</v>
      </c>
      <c r="E714" s="2">
        <f ca="1">IFERROR(__xludf.DUMMYFUNCTION("""COMPUTED_VALUE"""),1)</f>
        <v>1</v>
      </c>
    </row>
    <row r="715" spans="1:5" ht="13">
      <c r="A715" s="2" t="str">
        <f ca="1">IFERROR(__xludf.DUMMYFUNCTION("""COMPUTED_VALUE"""),"Berry, Lon")</f>
        <v>Berry, Lon</v>
      </c>
      <c r="B715" s="3">
        <f ca="1">IFERROR(__xludf.DUMMYFUNCTION("""COMPUTED_VALUE"""),1)</f>
        <v>1</v>
      </c>
      <c r="C715" s="7">
        <f ca="1">IFERROR(__xludf.DUMMYFUNCTION("""COMPUTED_VALUE"""),1)</f>
        <v>1</v>
      </c>
      <c r="D715" s="8">
        <f ca="1">IFERROR(__xludf.DUMMYFUNCTION("""COMPUTED_VALUE"""),1)</f>
        <v>1</v>
      </c>
      <c r="E715" s="2">
        <f ca="1">IFERROR(__xludf.DUMMYFUNCTION("""COMPUTED_VALUE"""),1)</f>
        <v>1</v>
      </c>
    </row>
    <row r="716" spans="1:5" ht="13">
      <c r="A716" s="2" t="str">
        <f ca="1">IFERROR(__xludf.DUMMYFUNCTION("""COMPUTED_VALUE"""),"Bertalot, John")</f>
        <v>Bertalot, John</v>
      </c>
      <c r="B716" s="3">
        <f ca="1">IFERROR(__xludf.DUMMYFUNCTION("""COMPUTED_VALUE"""),1)</f>
        <v>1</v>
      </c>
      <c r="C716" s="7">
        <f ca="1">IFERROR(__xludf.DUMMYFUNCTION("""COMPUTED_VALUE"""),1)</f>
        <v>1</v>
      </c>
      <c r="D716" s="8">
        <f ca="1">IFERROR(__xludf.DUMMYFUNCTION("""COMPUTED_VALUE"""),1)</f>
        <v>1</v>
      </c>
      <c r="E716" s="2">
        <f ca="1">IFERROR(__xludf.DUMMYFUNCTION("""COMPUTED_VALUE"""),1)</f>
        <v>1</v>
      </c>
    </row>
    <row r="717" spans="1:5" ht="13">
      <c r="A717" s="2" t="str">
        <f ca="1">IFERROR(__xludf.DUMMYFUNCTION("""COMPUTED_VALUE"""),"Bertauche, Kurtis J.")</f>
        <v>Bertauche, Kurtis J.</v>
      </c>
      <c r="B717" s="3">
        <f ca="1">IFERROR(__xludf.DUMMYFUNCTION("""COMPUTED_VALUE"""),1)</f>
        <v>1</v>
      </c>
      <c r="C717" s="7">
        <f ca="1">IFERROR(__xludf.DUMMYFUNCTION("""COMPUTED_VALUE"""),1)</f>
        <v>1</v>
      </c>
      <c r="D717" s="8">
        <f ca="1">IFERROR(__xludf.DUMMYFUNCTION("""COMPUTED_VALUE"""),1)</f>
        <v>1</v>
      </c>
      <c r="E717" s="2">
        <f ca="1">IFERROR(__xludf.DUMMYFUNCTION("""COMPUTED_VALUE"""),1)</f>
        <v>1</v>
      </c>
    </row>
    <row r="718" spans="1:5" ht="13">
      <c r="A718" s="2" t="str">
        <f ca="1">IFERROR(__xludf.DUMMYFUNCTION("""COMPUTED_VALUE"""),"Bertini, Henri")</f>
        <v>Bertini, Henri</v>
      </c>
      <c r="B718" s="3">
        <f ca="1">IFERROR(__xludf.DUMMYFUNCTION("""COMPUTED_VALUE"""),1)</f>
        <v>1</v>
      </c>
      <c r="C718" s="7">
        <f ca="1">IFERROR(__xludf.DUMMYFUNCTION("""COMPUTED_VALUE"""),1)</f>
        <v>1</v>
      </c>
      <c r="D718" s="8">
        <f ca="1">IFERROR(__xludf.DUMMYFUNCTION("""COMPUTED_VALUE"""),5)</f>
        <v>5</v>
      </c>
      <c r="E718" s="2">
        <f ca="1">IFERROR(__xludf.DUMMYFUNCTION("""COMPUTED_VALUE"""),2)</f>
        <v>2</v>
      </c>
    </row>
    <row r="719" spans="1:5" ht="13">
      <c r="A719" s="8" t="str">
        <f ca="1">IFERROR(__xludf.DUMMYFUNCTION("""COMPUTED_VALUE"""),"Bertoli, Giovanni Antonio")</f>
        <v>Bertoli, Giovanni Antonio</v>
      </c>
      <c r="B719" s="3">
        <f ca="1">IFERROR(__xludf.DUMMYFUNCTION("""COMPUTED_VALUE"""),1)</f>
        <v>1</v>
      </c>
      <c r="C719" s="7">
        <f ca="1">IFERROR(__xludf.DUMMYFUNCTION("""COMPUTED_VALUE"""),1)</f>
        <v>1</v>
      </c>
      <c r="D719" s="8">
        <f ca="1">IFERROR(__xludf.DUMMYFUNCTION("""COMPUTED_VALUE"""),5)</f>
        <v>5</v>
      </c>
      <c r="E719" s="2">
        <f ca="1">IFERROR(__xludf.DUMMYFUNCTION("""COMPUTED_VALUE"""),2)</f>
        <v>2</v>
      </c>
    </row>
    <row r="720" spans="1:5" ht="13">
      <c r="A720" s="2" t="str">
        <f ca="1">IFERROR(__xludf.DUMMYFUNCTION("""COMPUTED_VALUE"""),"Berton L'Ainé, Pierre-Montan")</f>
        <v>Berton L'Ainé, Pierre-Montan</v>
      </c>
      <c r="B720" s="3">
        <f ca="1">IFERROR(__xludf.DUMMYFUNCTION("""COMPUTED_VALUE"""),1)</f>
        <v>1</v>
      </c>
      <c r="C720" s="7">
        <f ca="1">IFERROR(__xludf.DUMMYFUNCTION("""COMPUTED_VALUE"""),1)</f>
        <v>1</v>
      </c>
      <c r="D720" s="8">
        <f ca="1">IFERROR(__xludf.DUMMYFUNCTION("""COMPUTED_VALUE"""),5)</f>
        <v>5</v>
      </c>
      <c r="E720" s="2">
        <f ca="1">IFERROR(__xludf.DUMMYFUNCTION("""COMPUTED_VALUE"""),2)</f>
        <v>2</v>
      </c>
    </row>
    <row r="721" spans="1:5" ht="13">
      <c r="A721" s="2" t="str">
        <f ca="1">IFERROR(__xludf.DUMMYFUNCTION("""COMPUTED_VALUE"""),"Bertoni, Ferdinando")</f>
        <v>Bertoni, Ferdinando</v>
      </c>
      <c r="B721" s="3">
        <f ca="1">IFERROR(__xludf.DUMMYFUNCTION("""COMPUTED_VALUE"""),1)</f>
        <v>1</v>
      </c>
      <c r="C721" s="7">
        <f ca="1">IFERROR(__xludf.DUMMYFUNCTION("""COMPUTED_VALUE"""),1)</f>
        <v>1</v>
      </c>
      <c r="D721" s="8">
        <f ca="1">IFERROR(__xludf.DUMMYFUNCTION("""COMPUTED_VALUE"""),5)</f>
        <v>5</v>
      </c>
      <c r="E721" s="2">
        <f ca="1">IFERROR(__xludf.DUMMYFUNCTION("""COMPUTED_VALUE"""),2)</f>
        <v>2</v>
      </c>
    </row>
    <row r="722" spans="1:5" ht="13">
      <c r="A722" s="2" t="str">
        <f ca="1">IFERROR(__xludf.DUMMYFUNCTION("""COMPUTED_VALUE"""),"Bertrand, Antoine de")</f>
        <v>Bertrand, Antoine de</v>
      </c>
      <c r="B722" s="2">
        <f ca="1">IFERROR(__xludf.DUMMYFUNCTION("""COMPUTED_VALUE"""),1)</f>
        <v>1</v>
      </c>
      <c r="C722" s="7">
        <f ca="1">IFERROR(__xludf.DUMMYFUNCTION("""COMPUTED_VALUE"""),1)</f>
        <v>1</v>
      </c>
      <c r="D722" s="8">
        <f ca="1">IFERROR(__xludf.DUMMYFUNCTION("""COMPUTED_VALUE"""),5)</f>
        <v>5</v>
      </c>
      <c r="E722" s="2">
        <f ca="1">IFERROR(__xludf.DUMMYFUNCTION("""COMPUTED_VALUE"""),2)</f>
        <v>2</v>
      </c>
    </row>
    <row r="723" spans="1:5" ht="13">
      <c r="A723" s="2" t="str">
        <f ca="1">IFERROR(__xludf.DUMMYFUNCTION("""COMPUTED_VALUE"""),"Bertrand, Jack")</f>
        <v>Bertrand, Jack</v>
      </c>
      <c r="B723" s="3">
        <f ca="1">IFERROR(__xludf.DUMMYFUNCTION("""COMPUTED_VALUE"""),1)</f>
        <v>1</v>
      </c>
      <c r="C723" s="7">
        <f ca="1">IFERROR(__xludf.DUMMYFUNCTION("""COMPUTED_VALUE"""),1)</f>
        <v>1</v>
      </c>
      <c r="D723" s="8">
        <f ca="1">IFERROR(__xludf.DUMMYFUNCTION("""COMPUTED_VALUE"""),1)</f>
        <v>1</v>
      </c>
      <c r="E723" s="2">
        <f ca="1">IFERROR(__xludf.DUMMYFUNCTION("""COMPUTED_VALUE"""),1)</f>
        <v>1</v>
      </c>
    </row>
    <row r="724" spans="1:5" ht="13">
      <c r="A724" s="8" t="str">
        <f ca="1">IFERROR(__xludf.DUMMYFUNCTION("""COMPUTED_VALUE"""),"Berwald, Franz")</f>
        <v>Berwald, Franz</v>
      </c>
      <c r="B724" s="3">
        <f ca="1">IFERROR(__xludf.DUMMYFUNCTION("""COMPUTED_VALUE"""),1)</f>
        <v>1</v>
      </c>
      <c r="C724" s="7">
        <f ca="1">IFERROR(__xludf.DUMMYFUNCTION("""COMPUTED_VALUE"""),1)</f>
        <v>1</v>
      </c>
      <c r="D724" s="8">
        <f ca="1">IFERROR(__xludf.DUMMYFUNCTION("""COMPUTED_VALUE"""),5)</f>
        <v>5</v>
      </c>
      <c r="E724" s="2">
        <f ca="1">IFERROR(__xludf.DUMMYFUNCTION("""COMPUTED_VALUE"""),2)</f>
        <v>2</v>
      </c>
    </row>
    <row r="725" spans="1:5" ht="13">
      <c r="A725" s="8" t="str">
        <f ca="1">IFERROR(__xludf.DUMMYFUNCTION("""COMPUTED_VALUE"""),"Berwald, Franz Adolf")</f>
        <v>Berwald, Franz Adolf</v>
      </c>
      <c r="B725" s="3">
        <f ca="1">IFERROR(__xludf.DUMMYFUNCTION("""COMPUTED_VALUE"""),1)</f>
        <v>1</v>
      </c>
      <c r="C725" s="7">
        <f ca="1">IFERROR(__xludf.DUMMYFUNCTION("""COMPUTED_VALUE"""),1)</f>
        <v>1</v>
      </c>
      <c r="D725" s="8">
        <f ca="1">IFERROR(__xludf.DUMMYFUNCTION("""COMPUTED_VALUE"""),5)</f>
        <v>5</v>
      </c>
      <c r="E725" s="2">
        <f ca="1">IFERROR(__xludf.DUMMYFUNCTION("""COMPUTED_VALUE"""),2)</f>
        <v>2</v>
      </c>
    </row>
    <row r="726" spans="1:5" ht="13">
      <c r="A726" s="2" t="str">
        <f ca="1">IFERROR(__xludf.DUMMYFUNCTION("""COMPUTED_VALUE"""),"Berwald, Franz Adolph")</f>
        <v>Berwald, Franz Adolph</v>
      </c>
      <c r="B726" s="2">
        <f ca="1">IFERROR(__xludf.DUMMYFUNCTION("""COMPUTED_VALUE"""),1)</f>
        <v>1</v>
      </c>
      <c r="C726" s="7">
        <f ca="1">IFERROR(__xludf.DUMMYFUNCTION("""COMPUTED_VALUE"""),1)</f>
        <v>1</v>
      </c>
      <c r="D726" s="8">
        <f ca="1">IFERROR(__xludf.DUMMYFUNCTION("""COMPUTED_VALUE"""),5)</f>
        <v>5</v>
      </c>
      <c r="E726" s="2">
        <f ca="1">IFERROR(__xludf.DUMMYFUNCTION("""COMPUTED_VALUE"""),2)</f>
        <v>2</v>
      </c>
    </row>
    <row r="727" spans="1:5" ht="13">
      <c r="A727" s="2" t="str">
        <f ca="1">IFERROR(__xludf.DUMMYFUNCTION("""COMPUTED_VALUE"""),"Berz, William")</f>
        <v>Berz, William</v>
      </c>
      <c r="B727" s="2">
        <f ca="1">IFERROR(__xludf.DUMMYFUNCTION("""COMPUTED_VALUE"""),1)</f>
        <v>1</v>
      </c>
      <c r="C727" s="2">
        <f ca="1">IFERROR(__xludf.DUMMYFUNCTION("""COMPUTED_VALUE"""),1)</f>
        <v>1</v>
      </c>
      <c r="D727" s="8">
        <f ca="1">IFERROR(__xludf.DUMMYFUNCTION("""COMPUTED_VALUE"""),1)</f>
        <v>1</v>
      </c>
      <c r="E727" s="2">
        <f ca="1">IFERROR(__xludf.DUMMYFUNCTION("""COMPUTED_VALUE"""),1)</f>
        <v>1</v>
      </c>
    </row>
    <row r="728" spans="1:5" ht="13">
      <c r="A728" s="2" t="str">
        <f ca="1">IFERROR(__xludf.DUMMYFUNCTION("""COMPUTED_VALUE"""),"Besard, Jean-Baptiste")</f>
        <v>Besard, Jean-Baptiste</v>
      </c>
      <c r="B728" s="2">
        <f ca="1">IFERROR(__xludf.DUMMYFUNCTION("""COMPUTED_VALUE"""),1)</f>
        <v>1</v>
      </c>
      <c r="C728" s="7">
        <f ca="1">IFERROR(__xludf.DUMMYFUNCTION("""COMPUTED_VALUE"""),1)</f>
        <v>1</v>
      </c>
      <c r="D728" s="8">
        <f ca="1">IFERROR(__xludf.DUMMYFUNCTION("""COMPUTED_VALUE"""),5)</f>
        <v>5</v>
      </c>
      <c r="E728" s="2">
        <f ca="1">IFERROR(__xludf.DUMMYFUNCTION("""COMPUTED_VALUE"""),2)</f>
        <v>2</v>
      </c>
    </row>
    <row r="729" spans="1:5" ht="13">
      <c r="A729" s="8" t="str">
        <f ca="1">IFERROR(__xludf.DUMMYFUNCTION("""COMPUTED_VALUE"""),"Besig, Don")</f>
        <v>Besig, Don</v>
      </c>
      <c r="B729" s="3">
        <f ca="1">IFERROR(__xludf.DUMMYFUNCTION("""COMPUTED_VALUE"""),1)</f>
        <v>1</v>
      </c>
      <c r="C729" s="7">
        <f ca="1">IFERROR(__xludf.DUMMYFUNCTION("""COMPUTED_VALUE"""),1)</f>
        <v>1</v>
      </c>
      <c r="D729" s="8">
        <f ca="1">IFERROR(__xludf.DUMMYFUNCTION("""COMPUTED_VALUE"""),1)</f>
        <v>1</v>
      </c>
      <c r="E729" s="2">
        <f ca="1">IFERROR(__xludf.DUMMYFUNCTION("""COMPUTED_VALUE"""),1)</f>
        <v>1</v>
      </c>
    </row>
    <row r="730" spans="1:5" ht="13">
      <c r="A730" s="2" t="str">
        <f ca="1">IFERROR(__xludf.DUMMYFUNCTION("""COMPUTED_VALUE"""),"Best, James / Bickhardt, Craig / Keller, Jack")</f>
        <v>Best, James / Bickhardt, Craig / Keller, Jack</v>
      </c>
      <c r="B730" s="2">
        <f ca="1">IFERROR(__xludf.DUMMYFUNCTION("""COMPUTED_VALUE"""),1)</f>
        <v>1</v>
      </c>
      <c r="C730" s="7">
        <f ca="1">IFERROR(__xludf.DUMMYFUNCTION("""COMPUTED_VALUE"""),1)</f>
        <v>1</v>
      </c>
      <c r="D730" s="8">
        <f ca="1">IFERROR(__xludf.DUMMYFUNCTION("""COMPUTED_VALUE"""),5)</f>
        <v>5</v>
      </c>
      <c r="E730" s="2">
        <f ca="1">IFERROR(__xludf.DUMMYFUNCTION("""COMPUTED_VALUE"""),2)</f>
        <v>2</v>
      </c>
    </row>
    <row r="731" spans="1:5" ht="13">
      <c r="A731" s="2" t="str">
        <f ca="1">IFERROR(__xludf.DUMMYFUNCTION("""COMPUTED_VALUE"""),"Best, William")</f>
        <v>Best, William</v>
      </c>
      <c r="B731" s="2">
        <f ca="1">IFERROR(__xludf.DUMMYFUNCTION("""COMPUTED_VALUE"""),1)</f>
        <v>1</v>
      </c>
      <c r="C731" s="7">
        <f ca="1">IFERROR(__xludf.DUMMYFUNCTION("""COMPUTED_VALUE"""),1)</f>
        <v>1</v>
      </c>
      <c r="D731" s="8">
        <f ca="1">IFERROR(__xludf.DUMMYFUNCTION("""COMPUTED_VALUE"""),5)</f>
        <v>5</v>
      </c>
      <c r="E731" s="2">
        <f ca="1">IFERROR(__xludf.DUMMYFUNCTION("""COMPUTED_VALUE"""),2)</f>
        <v>2</v>
      </c>
    </row>
    <row r="732" spans="1:5" ht="13">
      <c r="A732" s="2" t="str">
        <f ca="1">IFERROR(__xludf.DUMMYFUNCTION("""COMPUTED_VALUE"""),"Bestor, Kurt")</f>
        <v>Bestor, Kurt</v>
      </c>
      <c r="B732" s="3">
        <f ca="1">IFERROR(__xludf.DUMMYFUNCTION("""COMPUTED_VALUE"""),1)</f>
        <v>1</v>
      </c>
      <c r="C732" s="7">
        <f ca="1">IFERROR(__xludf.DUMMYFUNCTION("""COMPUTED_VALUE"""),1)</f>
        <v>1</v>
      </c>
      <c r="D732" s="8">
        <f ca="1">IFERROR(__xludf.DUMMYFUNCTION("""COMPUTED_VALUE"""),1)</f>
        <v>1</v>
      </c>
      <c r="E732" s="2">
        <f ca="1">IFERROR(__xludf.DUMMYFUNCTION("""COMPUTED_VALUE"""),1)</f>
        <v>1</v>
      </c>
    </row>
    <row r="733" spans="1:5" ht="13">
      <c r="A733" s="2" t="str">
        <f ca="1">IFERROR(__xludf.DUMMYFUNCTION("""COMPUTED_VALUE"""),"Betti, Henri")</f>
        <v>Betti, Henri</v>
      </c>
      <c r="B733" s="2">
        <f ca="1">IFERROR(__xludf.DUMMYFUNCTION("""COMPUTED_VALUE"""),1)</f>
        <v>1</v>
      </c>
      <c r="C733" s="7">
        <f ca="1">IFERROR(__xludf.DUMMYFUNCTION("""COMPUTED_VALUE"""),1)</f>
        <v>1</v>
      </c>
      <c r="D733" s="8">
        <f ca="1">IFERROR(__xludf.DUMMYFUNCTION("""COMPUTED_VALUE"""),5)</f>
        <v>5</v>
      </c>
      <c r="E733" s="2">
        <f ca="1">IFERROR(__xludf.DUMMYFUNCTION("""COMPUTED_VALUE"""),2)</f>
        <v>2</v>
      </c>
    </row>
    <row r="734" spans="1:5" ht="13">
      <c r="A734" s="8" t="str">
        <f ca="1">IFERROR(__xludf.DUMMYFUNCTION("""COMPUTED_VALUE"""),"Bettison, Oscar")</f>
        <v>Bettison, Oscar</v>
      </c>
      <c r="B734" s="3">
        <f ca="1">IFERROR(__xludf.DUMMYFUNCTION("""COMPUTED_VALUE"""),1)</f>
        <v>1</v>
      </c>
      <c r="C734" s="7">
        <f ca="1">IFERROR(__xludf.DUMMYFUNCTION("""COMPUTED_VALUE"""),1)</f>
        <v>1</v>
      </c>
      <c r="D734" s="8">
        <f ca="1">IFERROR(__xludf.DUMMYFUNCTION("""COMPUTED_VALUE"""),1)</f>
        <v>1</v>
      </c>
      <c r="E734" s="2">
        <f ca="1">IFERROR(__xludf.DUMMYFUNCTION("""COMPUTED_VALUE"""),1)</f>
        <v>1</v>
      </c>
    </row>
    <row r="735" spans="1:5" ht="13">
      <c r="A735" s="2" t="str">
        <f ca="1">IFERROR(__xludf.DUMMYFUNCTION("""COMPUTED_VALUE"""),"Bevan, Maurice")</f>
        <v>Bevan, Maurice</v>
      </c>
      <c r="B735" s="2">
        <f ca="1">IFERROR(__xludf.DUMMYFUNCTION("""COMPUTED_VALUE"""),1)</f>
        <v>1</v>
      </c>
      <c r="C735" s="2">
        <f ca="1">IFERROR(__xludf.DUMMYFUNCTION("""COMPUTED_VALUE"""),1)</f>
        <v>1</v>
      </c>
      <c r="D735" s="8">
        <f ca="1">IFERROR(__xludf.DUMMYFUNCTION("""COMPUTED_VALUE"""),5)</f>
        <v>5</v>
      </c>
      <c r="E735" s="2">
        <f ca="1">IFERROR(__xludf.DUMMYFUNCTION("""COMPUTED_VALUE"""),2)</f>
        <v>2</v>
      </c>
    </row>
    <row r="736" spans="1:5" ht="13">
      <c r="A736" s="2" t="str">
        <f ca="1">IFERROR(__xludf.DUMMYFUNCTION("""COMPUTED_VALUE"""),"Beveridge, Lowell")</f>
        <v>Beveridge, Lowell</v>
      </c>
      <c r="B736" s="2">
        <f ca="1">IFERROR(__xludf.DUMMYFUNCTION("""COMPUTED_VALUE"""),1)</f>
        <v>1</v>
      </c>
      <c r="C736" s="2">
        <f ca="1">IFERROR(__xludf.DUMMYFUNCTION("""COMPUTED_VALUE"""),1)</f>
        <v>1</v>
      </c>
      <c r="D736" s="8">
        <f ca="1">IFERROR(__xludf.DUMMYFUNCTION("""COMPUTED_VALUE"""),5)</f>
        <v>5</v>
      </c>
      <c r="E736" s="2">
        <f ca="1">IFERROR(__xludf.DUMMYFUNCTION("""COMPUTED_VALUE"""),2)</f>
        <v>2</v>
      </c>
    </row>
    <row r="737" spans="1:5" ht="13">
      <c r="A737" s="2" t="str">
        <f ca="1">IFERROR(__xludf.DUMMYFUNCTION("""COMPUTED_VALUE"""),"Beveridge, Thomas")</f>
        <v>Beveridge, Thomas</v>
      </c>
      <c r="B737" s="3">
        <f ca="1">IFERROR(__xludf.DUMMYFUNCTION("""COMPUTED_VALUE"""),1)</f>
        <v>1</v>
      </c>
      <c r="C737" s="7">
        <f ca="1">IFERROR(__xludf.DUMMYFUNCTION("""COMPUTED_VALUE"""),1)</f>
        <v>1</v>
      </c>
      <c r="D737" s="8">
        <f ca="1">IFERROR(__xludf.DUMMYFUNCTION("""COMPUTED_VALUE"""),1)</f>
        <v>1</v>
      </c>
      <c r="E737" s="2">
        <f ca="1">IFERROR(__xludf.DUMMYFUNCTION("""COMPUTED_VALUE"""),1)</f>
        <v>1</v>
      </c>
    </row>
    <row r="738" spans="1:5" ht="13">
      <c r="A738" s="2" t="str">
        <f ca="1">IFERROR(__xludf.DUMMYFUNCTION("""COMPUTED_VALUE"""),"Beversdorf, Thomas")</f>
        <v>Beversdorf, Thomas</v>
      </c>
      <c r="B738" s="2">
        <f ca="1">IFERROR(__xludf.DUMMYFUNCTION("""COMPUTED_VALUE"""),1)</f>
        <v>1</v>
      </c>
      <c r="C738" s="7">
        <f ca="1">IFERROR(__xludf.DUMMYFUNCTION("""COMPUTED_VALUE"""),1)</f>
        <v>1</v>
      </c>
      <c r="D738" s="8">
        <f ca="1">IFERROR(__xludf.DUMMYFUNCTION("""COMPUTED_VALUE"""),5)</f>
        <v>5</v>
      </c>
      <c r="E738" s="2">
        <f ca="1">IFERROR(__xludf.DUMMYFUNCTION("""COMPUTED_VALUE"""),2)</f>
        <v>2</v>
      </c>
    </row>
    <row r="739" spans="1:5" ht="13">
      <c r="A739" s="8" t="str">
        <f ca="1">IFERROR(__xludf.DUMMYFUNCTION("""COMPUTED_VALUE"""),"Bex, Wim")</f>
        <v>Bex, Wim</v>
      </c>
      <c r="B739" s="3">
        <f ca="1">IFERROR(__xludf.DUMMYFUNCTION("""COMPUTED_VALUE"""),1)</f>
        <v>1</v>
      </c>
      <c r="C739" s="7">
        <f ca="1">IFERROR(__xludf.DUMMYFUNCTION("""COMPUTED_VALUE"""),1)</f>
        <v>1</v>
      </c>
      <c r="D739" s="8">
        <f ca="1">IFERROR(__xludf.DUMMYFUNCTION("""COMPUTED_VALUE"""),1)</f>
        <v>1</v>
      </c>
      <c r="E739" s="2">
        <f ca="1">IFERROR(__xludf.DUMMYFUNCTION("""COMPUTED_VALUE"""),1)</f>
        <v>1</v>
      </c>
    </row>
    <row r="740" spans="1:5" ht="13">
      <c r="A740" s="2" t="str">
        <f ca="1">IFERROR(__xludf.DUMMYFUNCTION("""COMPUTED_VALUE"""),"Beyel, Alan")</f>
        <v>Beyel, Alan</v>
      </c>
      <c r="B740" s="3">
        <f ca="1">IFERROR(__xludf.DUMMYFUNCTION("""COMPUTED_VALUE"""),1)</f>
        <v>1</v>
      </c>
      <c r="C740" s="7">
        <f ca="1">IFERROR(__xludf.DUMMYFUNCTION("""COMPUTED_VALUE"""),1)</f>
        <v>1</v>
      </c>
      <c r="D740" s="8">
        <f ca="1">IFERROR(__xludf.DUMMYFUNCTION("""COMPUTED_VALUE"""),1)</f>
        <v>1</v>
      </c>
      <c r="E740" s="2">
        <f ca="1">IFERROR(__xludf.DUMMYFUNCTION("""COMPUTED_VALUE"""),1)</f>
        <v>1</v>
      </c>
    </row>
    <row r="741" spans="1:5" ht="13">
      <c r="A741" s="8" t="str">
        <f ca="1">IFERROR(__xludf.DUMMYFUNCTION("""COMPUTED_VALUE"""),"Beyer, Fredrick")</f>
        <v>Beyer, Fredrick</v>
      </c>
      <c r="B741" s="3">
        <f ca="1">IFERROR(__xludf.DUMMYFUNCTION("""COMPUTED_VALUE"""),1)</f>
        <v>1</v>
      </c>
      <c r="C741" s="7">
        <f ca="1">IFERROR(__xludf.DUMMYFUNCTION("""COMPUTED_VALUE"""),1)</f>
        <v>1</v>
      </c>
      <c r="D741" s="8">
        <f ca="1">IFERROR(__xludf.DUMMYFUNCTION("""COMPUTED_VALUE"""),5)</f>
        <v>5</v>
      </c>
      <c r="E741" s="2">
        <f ca="1">IFERROR(__xludf.DUMMYFUNCTION("""COMPUTED_VALUE"""),2)</f>
        <v>2</v>
      </c>
    </row>
    <row r="742" spans="1:5" ht="13">
      <c r="A742" s="8" t="str">
        <f ca="1">IFERROR(__xludf.DUMMYFUNCTION("""COMPUTED_VALUE"""),"Beyer, Gregory")</f>
        <v>Beyer, Gregory</v>
      </c>
      <c r="B742" s="3">
        <f ca="1">IFERROR(__xludf.DUMMYFUNCTION("""COMPUTED_VALUE"""),1)</f>
        <v>1</v>
      </c>
      <c r="C742" s="7">
        <f ca="1">IFERROR(__xludf.DUMMYFUNCTION("""COMPUTED_VALUE"""),1)</f>
        <v>1</v>
      </c>
      <c r="D742" s="8">
        <f ca="1">IFERROR(__xludf.DUMMYFUNCTION("""COMPUTED_VALUE"""),1)</f>
        <v>1</v>
      </c>
      <c r="E742" s="2">
        <f ca="1">IFERROR(__xludf.DUMMYFUNCTION("""COMPUTED_VALUE"""),1)</f>
        <v>1</v>
      </c>
    </row>
    <row r="743" spans="1:5" ht="13">
      <c r="A743" s="2" t="str">
        <f ca="1">IFERROR(__xludf.DUMMYFUNCTION("""COMPUTED_VALUE"""),"Beyer, Johann S.")</f>
        <v>Beyer, Johann S.</v>
      </c>
      <c r="B743" s="2">
        <f ca="1">IFERROR(__xludf.DUMMYFUNCTION("""COMPUTED_VALUE"""),1)</f>
        <v>1</v>
      </c>
      <c r="C743" s="7">
        <f ca="1">IFERROR(__xludf.DUMMYFUNCTION("""COMPUTED_VALUE"""),1)</f>
        <v>1</v>
      </c>
      <c r="D743" s="8">
        <f ca="1">IFERROR(__xludf.DUMMYFUNCTION("""COMPUTED_VALUE"""),5)</f>
        <v>5</v>
      </c>
      <c r="E743" s="2">
        <f ca="1">IFERROR(__xludf.DUMMYFUNCTION("""COMPUTED_VALUE"""),2)</f>
        <v>2</v>
      </c>
    </row>
    <row r="744" spans="1:5" ht="13">
      <c r="A744" s="2" t="str">
        <f ca="1">IFERROR(__xludf.DUMMYFUNCTION("""COMPUTED_VALUE"""),"Biber, Heinrich")</f>
        <v>Biber, Heinrich</v>
      </c>
      <c r="B744" s="3">
        <f ca="1">IFERROR(__xludf.DUMMYFUNCTION("""COMPUTED_VALUE"""),1)</f>
        <v>1</v>
      </c>
      <c r="C744" s="7">
        <f ca="1">IFERROR(__xludf.DUMMYFUNCTION("""COMPUTED_VALUE"""),1)</f>
        <v>1</v>
      </c>
      <c r="D744" s="8">
        <f ca="1">IFERROR(__xludf.DUMMYFUNCTION("""COMPUTED_VALUE"""),5)</f>
        <v>5</v>
      </c>
      <c r="E744" s="2">
        <f ca="1">IFERROR(__xludf.DUMMYFUNCTION("""COMPUTED_VALUE"""),2)</f>
        <v>2</v>
      </c>
    </row>
    <row r="745" spans="1:5" ht="13">
      <c r="A745" s="2" t="str">
        <f ca="1">IFERROR(__xludf.DUMMYFUNCTION("""COMPUTED_VALUE"""),"Biber, Heinrich Ignaz Franz")</f>
        <v>Biber, Heinrich Ignaz Franz</v>
      </c>
      <c r="B745" s="3">
        <f ca="1">IFERROR(__xludf.DUMMYFUNCTION("""COMPUTED_VALUE"""),1)</f>
        <v>1</v>
      </c>
      <c r="C745" s="7">
        <f ca="1">IFERROR(__xludf.DUMMYFUNCTION("""COMPUTED_VALUE"""),1)</f>
        <v>1</v>
      </c>
      <c r="D745" s="8">
        <f ca="1">IFERROR(__xludf.DUMMYFUNCTION("""COMPUTED_VALUE"""),5)</f>
        <v>5</v>
      </c>
      <c r="E745" s="2">
        <f ca="1">IFERROR(__xludf.DUMMYFUNCTION("""COMPUTED_VALUE"""),2)</f>
        <v>2</v>
      </c>
    </row>
    <row r="746" spans="1:5" ht="13">
      <c r="A746" s="8" t="str">
        <f ca="1">IFERROR(__xludf.DUMMYFUNCTION("""COMPUTED_VALUE"""),"Biddlecombe, Tucker")</f>
        <v>Biddlecombe, Tucker</v>
      </c>
      <c r="B746" s="3">
        <f ca="1">IFERROR(__xludf.DUMMYFUNCTION("""COMPUTED_VALUE"""),1)</f>
        <v>1</v>
      </c>
      <c r="C746" s="7">
        <f ca="1">IFERROR(__xludf.DUMMYFUNCTION("""COMPUTED_VALUE"""),1)</f>
        <v>1</v>
      </c>
      <c r="D746" s="8">
        <f ca="1">IFERROR(__xludf.DUMMYFUNCTION("""COMPUTED_VALUE"""),1)</f>
        <v>1</v>
      </c>
      <c r="E746" s="2">
        <f ca="1">IFERROR(__xludf.DUMMYFUNCTION("""COMPUTED_VALUE"""),1)</f>
        <v>1</v>
      </c>
    </row>
    <row r="747" spans="1:5" ht="13">
      <c r="A747" s="2" t="str">
        <f ca="1">IFERROR(__xludf.DUMMYFUNCTION("""COMPUTED_VALUE"""),"Bidgood, Thomas")</f>
        <v>Bidgood, Thomas</v>
      </c>
      <c r="B747" s="3">
        <f ca="1">IFERROR(__xludf.DUMMYFUNCTION("""COMPUTED_VALUE"""),1)</f>
        <v>1</v>
      </c>
      <c r="C747" s="7">
        <f ca="1">IFERROR(__xludf.DUMMYFUNCTION("""COMPUTED_VALUE"""),1)</f>
        <v>1</v>
      </c>
      <c r="D747" s="8">
        <f ca="1">IFERROR(__xludf.DUMMYFUNCTION("""COMPUTED_VALUE"""),5)</f>
        <v>5</v>
      </c>
      <c r="E747" s="3">
        <f ca="1">IFERROR(__xludf.DUMMYFUNCTION("""COMPUTED_VALUE"""),2)</f>
        <v>2</v>
      </c>
    </row>
    <row r="748" spans="1:5" ht="13">
      <c r="A748" s="8" t="str">
        <f ca="1">IFERROR(__xludf.DUMMYFUNCTION("""COMPUTED_VALUE"""),"Biebl, Franz")</f>
        <v>Biebl, Franz</v>
      </c>
      <c r="B748" s="3">
        <f ca="1">IFERROR(__xludf.DUMMYFUNCTION("""COMPUTED_VALUE"""),1)</f>
        <v>1</v>
      </c>
      <c r="C748" s="7">
        <f ca="1">IFERROR(__xludf.DUMMYFUNCTION("""COMPUTED_VALUE"""),1)</f>
        <v>1</v>
      </c>
      <c r="D748" s="8">
        <f ca="1">IFERROR(__xludf.DUMMYFUNCTION("""COMPUTED_VALUE"""),5)</f>
        <v>5</v>
      </c>
      <c r="E748" s="2">
        <f ca="1">IFERROR(__xludf.DUMMYFUNCTION("""COMPUTED_VALUE"""),2)</f>
        <v>2</v>
      </c>
    </row>
    <row r="749" spans="1:5" ht="13">
      <c r="A749" s="8" t="str">
        <f ca="1">IFERROR(__xludf.DUMMYFUNCTION("""COMPUTED_VALUE"""),"Biedenbender, David")</f>
        <v>Biedenbender, David</v>
      </c>
      <c r="B749" s="3">
        <f ca="1">IFERROR(__xludf.DUMMYFUNCTION("""COMPUTED_VALUE"""),1)</f>
        <v>1</v>
      </c>
      <c r="C749" s="7">
        <f ca="1">IFERROR(__xludf.DUMMYFUNCTION("""COMPUTED_VALUE"""),1)</f>
        <v>1</v>
      </c>
      <c r="D749" s="8">
        <f ca="1">IFERROR(__xludf.DUMMYFUNCTION("""COMPUTED_VALUE"""),1)</f>
        <v>1</v>
      </c>
      <c r="E749" s="2">
        <f ca="1">IFERROR(__xludf.DUMMYFUNCTION("""COMPUTED_VALUE"""),1)</f>
        <v>1</v>
      </c>
    </row>
    <row r="750" spans="1:5" ht="13">
      <c r="A750" s="2" t="str">
        <f ca="1">IFERROR(__xludf.DUMMYFUNCTION("""COMPUTED_VALUE"""),"Biegel, Jeffrey")</f>
        <v>Biegel, Jeffrey</v>
      </c>
      <c r="B750" s="3">
        <f ca="1">IFERROR(__xludf.DUMMYFUNCTION("""COMPUTED_VALUE"""),1)</f>
        <v>1</v>
      </c>
      <c r="C750" s="7">
        <f ca="1">IFERROR(__xludf.DUMMYFUNCTION("""COMPUTED_VALUE"""),1)</f>
        <v>1</v>
      </c>
      <c r="D750" s="8">
        <f ca="1">IFERROR(__xludf.DUMMYFUNCTION("""COMPUTED_VALUE"""),1)</f>
        <v>1</v>
      </c>
      <c r="E750" s="2">
        <f ca="1">IFERROR(__xludf.DUMMYFUNCTION("""COMPUTED_VALUE"""),1)</f>
        <v>1</v>
      </c>
    </row>
    <row r="751" spans="1:5" ht="13">
      <c r="A751" s="2" t="str">
        <f ca="1">IFERROR(__xludf.DUMMYFUNCTION("""COMPUTED_VALUE"""),"Bielawa, Herbert")</f>
        <v>Bielawa, Herbert</v>
      </c>
      <c r="B751" s="2">
        <f ca="1">IFERROR(__xludf.DUMMYFUNCTION("""COMPUTED_VALUE"""),1)</f>
        <v>1</v>
      </c>
      <c r="C751" s="7">
        <f ca="1">IFERROR(__xludf.DUMMYFUNCTION("""COMPUTED_VALUE"""),1)</f>
        <v>1</v>
      </c>
      <c r="D751" s="8">
        <f ca="1">IFERROR(__xludf.DUMMYFUNCTION("""COMPUTED_VALUE"""),5)</f>
        <v>5</v>
      </c>
      <c r="E751" s="2">
        <f ca="1">IFERROR(__xludf.DUMMYFUNCTION("""COMPUTED_VALUE"""),2)</f>
        <v>2</v>
      </c>
    </row>
    <row r="752" spans="1:5" ht="13">
      <c r="A752" s="8" t="str">
        <f ca="1">IFERROR(__xludf.DUMMYFUNCTION("""COMPUTED_VALUE"""),"Bielawa, Jerry")</f>
        <v>Bielawa, Jerry</v>
      </c>
      <c r="B752" s="3">
        <f ca="1">IFERROR(__xludf.DUMMYFUNCTION("""COMPUTED_VALUE"""),1)</f>
        <v>1</v>
      </c>
      <c r="C752" s="7">
        <f ca="1">IFERROR(__xludf.DUMMYFUNCTION("""COMPUTED_VALUE"""),1)</f>
        <v>1</v>
      </c>
      <c r="D752" s="8">
        <f ca="1">IFERROR(__xludf.DUMMYFUNCTION("""COMPUTED_VALUE"""),1)</f>
        <v>1</v>
      </c>
      <c r="E752" s="2">
        <f ca="1">IFERROR(__xludf.DUMMYFUNCTION("""COMPUTED_VALUE"""),1)</f>
        <v>1</v>
      </c>
    </row>
    <row r="753" spans="1:5" ht="13">
      <c r="A753" s="2" t="str">
        <f ca="1">IFERROR(__xludf.DUMMYFUNCTION("""COMPUTED_VALUE"""),"Bielawski, Blair")</f>
        <v>Bielawski, Blair</v>
      </c>
      <c r="B753" s="3">
        <f ca="1">IFERROR(__xludf.DUMMYFUNCTION("""COMPUTED_VALUE"""),1)</f>
        <v>1</v>
      </c>
      <c r="C753" s="7">
        <f ca="1">IFERROR(__xludf.DUMMYFUNCTION("""COMPUTED_VALUE"""),1)</f>
        <v>1</v>
      </c>
      <c r="D753" s="8">
        <f ca="1">IFERROR(__xludf.DUMMYFUNCTION("""COMPUTED_VALUE"""),1)</f>
        <v>1</v>
      </c>
      <c r="E753" s="2">
        <f ca="1">IFERROR(__xludf.DUMMYFUNCTION("""COMPUTED_VALUE"""),1)</f>
        <v>1</v>
      </c>
    </row>
    <row r="754" spans="1:5" ht="13">
      <c r="A754" s="8" t="str">
        <f ca="1">IFERROR(__xludf.DUMMYFUNCTION("""COMPUTED_VALUE"""),"Bierschenk, Kenny")</f>
        <v>Bierschenk, Kenny</v>
      </c>
      <c r="B754" s="3">
        <f ca="1">IFERROR(__xludf.DUMMYFUNCTION("""COMPUTED_VALUE"""),1)</f>
        <v>1</v>
      </c>
      <c r="C754" s="7">
        <f ca="1">IFERROR(__xludf.DUMMYFUNCTION("""COMPUTED_VALUE"""),1)</f>
        <v>1</v>
      </c>
      <c r="D754" s="8">
        <f ca="1">IFERROR(__xludf.DUMMYFUNCTION("""COMPUTED_VALUE"""),1)</f>
        <v>1</v>
      </c>
      <c r="E754" s="2">
        <f ca="1">IFERROR(__xludf.DUMMYFUNCTION("""COMPUTED_VALUE"""),1)</f>
        <v>1</v>
      </c>
    </row>
    <row r="755" spans="1:5" ht="13">
      <c r="A755" s="2" t="str">
        <f ca="1">IFERROR(__xludf.DUMMYFUNCTION("""COMPUTED_VALUE"""),"Biery, James")</f>
        <v>Biery, James</v>
      </c>
      <c r="B755" s="3">
        <f ca="1">IFERROR(__xludf.DUMMYFUNCTION("""COMPUTED_VALUE"""),1)</f>
        <v>1</v>
      </c>
      <c r="C755" s="7">
        <f ca="1">IFERROR(__xludf.DUMMYFUNCTION("""COMPUTED_VALUE"""),1)</f>
        <v>1</v>
      </c>
      <c r="D755" s="8">
        <f ca="1">IFERROR(__xludf.DUMMYFUNCTION("""COMPUTED_VALUE"""),1)</f>
        <v>1</v>
      </c>
      <c r="E755" s="2">
        <f ca="1">IFERROR(__xludf.DUMMYFUNCTION("""COMPUTED_VALUE"""),1)</f>
        <v>1</v>
      </c>
    </row>
    <row r="756" spans="1:5" ht="13">
      <c r="A756" s="8" t="str">
        <f ca="1">IFERROR(__xludf.DUMMYFUNCTION("""COMPUTED_VALUE"""),"Bigelow, Frederick")</f>
        <v>Bigelow, Frederick</v>
      </c>
      <c r="B756" s="3">
        <f ca="1">IFERROR(__xludf.DUMMYFUNCTION("""COMPUTED_VALUE"""),1)</f>
        <v>1</v>
      </c>
      <c r="C756" s="7">
        <f ca="1">IFERROR(__xludf.DUMMYFUNCTION("""COMPUTED_VALUE"""),1)</f>
        <v>1</v>
      </c>
      <c r="D756" s="8">
        <f ca="1">IFERROR(__xludf.DUMMYFUNCTION("""COMPUTED_VALUE"""),5)</f>
        <v>5</v>
      </c>
      <c r="E756" s="2">
        <f ca="1">IFERROR(__xludf.DUMMYFUNCTION("""COMPUTED_VALUE"""),2)</f>
        <v>2</v>
      </c>
    </row>
    <row r="757" spans="1:5" ht="13">
      <c r="A757" s="2" t="str">
        <f ca="1">IFERROR(__xludf.DUMMYFUNCTION("""COMPUTED_VALUE"""),"Bigelow, Frederick E.")</f>
        <v>Bigelow, Frederick E.</v>
      </c>
      <c r="B757" s="3">
        <f ca="1">IFERROR(__xludf.DUMMYFUNCTION("""COMPUTED_VALUE"""),1)</f>
        <v>1</v>
      </c>
      <c r="C757" s="7">
        <f ca="1">IFERROR(__xludf.DUMMYFUNCTION("""COMPUTED_VALUE"""),1)</f>
        <v>1</v>
      </c>
      <c r="D757" s="8">
        <f ca="1">IFERROR(__xludf.DUMMYFUNCTION("""COMPUTED_VALUE"""),5)</f>
        <v>5</v>
      </c>
      <c r="E757" s="2">
        <f ca="1">IFERROR(__xludf.DUMMYFUNCTION("""COMPUTED_VALUE"""),2)</f>
        <v>2</v>
      </c>
    </row>
    <row r="758" spans="1:5" ht="13">
      <c r="A758" s="8" t="str">
        <f ca="1">IFERROR(__xludf.DUMMYFUNCTION("""COMPUTED_VALUE"""),"Biggs, John")</f>
        <v>Biggs, John</v>
      </c>
      <c r="B758" s="3">
        <f ca="1">IFERROR(__xludf.DUMMYFUNCTION("""COMPUTED_VALUE"""),1)</f>
        <v>1</v>
      </c>
      <c r="C758" s="7">
        <f ca="1">IFERROR(__xludf.DUMMYFUNCTION("""COMPUTED_VALUE"""),1)</f>
        <v>1</v>
      </c>
      <c r="D758" s="8">
        <f ca="1">IFERROR(__xludf.DUMMYFUNCTION("""COMPUTED_VALUE"""),1)</f>
        <v>1</v>
      </c>
      <c r="E758" s="2">
        <f ca="1">IFERROR(__xludf.DUMMYFUNCTION("""COMPUTED_VALUE"""),1)</f>
        <v>1</v>
      </c>
    </row>
    <row r="759" spans="1:5" ht="13">
      <c r="A759" s="2" t="str">
        <f ca="1">IFERROR(__xludf.DUMMYFUNCTION("""COMPUTED_VALUE"""),"Bigler, Dwight")</f>
        <v>Bigler, Dwight</v>
      </c>
      <c r="B759" s="3">
        <f ca="1">IFERROR(__xludf.DUMMYFUNCTION("""COMPUTED_VALUE"""),1)</f>
        <v>1</v>
      </c>
      <c r="C759" s="7">
        <f ca="1">IFERROR(__xludf.DUMMYFUNCTION("""COMPUTED_VALUE"""),1)</f>
        <v>1</v>
      </c>
      <c r="D759" s="8">
        <f ca="1">IFERROR(__xludf.DUMMYFUNCTION("""COMPUTED_VALUE"""),1)</f>
        <v>1</v>
      </c>
      <c r="E759" s="2">
        <f ca="1">IFERROR(__xludf.DUMMYFUNCTION("""COMPUTED_VALUE"""),1)</f>
        <v>1</v>
      </c>
    </row>
    <row r="760" spans="1:5" ht="13">
      <c r="A760" s="8" t="str">
        <f ca="1">IFERROR(__xludf.DUMMYFUNCTION("""COMPUTED_VALUE"""),"Biletzky, Francis")</f>
        <v>Biletzky, Francis</v>
      </c>
      <c r="B760" s="3">
        <f ca="1">IFERROR(__xludf.DUMMYFUNCTION("""COMPUTED_VALUE"""),1)</f>
        <v>1</v>
      </c>
      <c r="C760" s="7">
        <f ca="1">IFERROR(__xludf.DUMMYFUNCTION("""COMPUTED_VALUE"""),1)</f>
        <v>1</v>
      </c>
      <c r="D760" s="8">
        <f ca="1">IFERROR(__xludf.DUMMYFUNCTION("""COMPUTED_VALUE"""),1)</f>
        <v>1</v>
      </c>
      <c r="E760" s="2">
        <f ca="1">IFERROR(__xludf.DUMMYFUNCTION("""COMPUTED_VALUE"""),1)</f>
        <v>1</v>
      </c>
    </row>
    <row r="761" spans="1:5" ht="13">
      <c r="A761" s="8" t="str">
        <f ca="1">IFERROR(__xludf.DUMMYFUNCTION("""COMPUTED_VALUE"""),"Bilik, Jerry")</f>
        <v>Bilik, Jerry</v>
      </c>
      <c r="B761" s="3">
        <f ca="1">IFERROR(__xludf.DUMMYFUNCTION("""COMPUTED_VALUE"""),1)</f>
        <v>1</v>
      </c>
      <c r="C761" s="7">
        <f ca="1">IFERROR(__xludf.DUMMYFUNCTION("""COMPUTED_VALUE"""),1)</f>
        <v>1</v>
      </c>
      <c r="D761" s="8">
        <f ca="1">IFERROR(__xludf.DUMMYFUNCTION("""COMPUTED_VALUE"""),1)</f>
        <v>1</v>
      </c>
      <c r="E761" s="2">
        <f ca="1">IFERROR(__xludf.DUMMYFUNCTION("""COMPUTED_VALUE"""),1)</f>
        <v>1</v>
      </c>
    </row>
    <row r="762" spans="1:5" ht="13">
      <c r="A762" s="8" t="str">
        <f ca="1">IFERROR(__xludf.DUMMYFUNCTION("""COMPUTED_VALUE"""),"Bill, Christopher")</f>
        <v>Bill, Christopher</v>
      </c>
      <c r="B762" s="3">
        <f ca="1">IFERROR(__xludf.DUMMYFUNCTION("""COMPUTED_VALUE"""),1)</f>
        <v>1</v>
      </c>
      <c r="C762" s="7">
        <f ca="1">IFERROR(__xludf.DUMMYFUNCTION("""COMPUTED_VALUE"""),1)</f>
        <v>1</v>
      </c>
      <c r="D762" s="8">
        <f ca="1">IFERROR(__xludf.DUMMYFUNCTION("""COMPUTED_VALUE"""),1)</f>
        <v>1</v>
      </c>
      <c r="E762" s="2">
        <f ca="1">IFERROR(__xludf.DUMMYFUNCTION("""COMPUTED_VALUE"""),1)</f>
        <v>1</v>
      </c>
    </row>
    <row r="763" spans="1:5" ht="13">
      <c r="A763" s="8" t="str">
        <f ca="1">IFERROR(__xludf.DUMMYFUNCTION("""COMPUTED_VALUE"""),"Billings, William")</f>
        <v>Billings, William</v>
      </c>
      <c r="B763" s="3">
        <f ca="1">IFERROR(__xludf.DUMMYFUNCTION("""COMPUTED_VALUE"""),1)</f>
        <v>1</v>
      </c>
      <c r="C763" s="7">
        <f ca="1">IFERROR(__xludf.DUMMYFUNCTION("""COMPUTED_VALUE"""),1)</f>
        <v>1</v>
      </c>
      <c r="D763" s="8">
        <f ca="1">IFERROR(__xludf.DUMMYFUNCTION("""COMPUTED_VALUE"""),5)</f>
        <v>5</v>
      </c>
      <c r="E763" s="2">
        <f ca="1">IFERROR(__xludf.DUMMYFUNCTION("""COMPUTED_VALUE"""),2)</f>
        <v>2</v>
      </c>
    </row>
    <row r="764" spans="1:5" ht="13">
      <c r="A764" s="2" t="str">
        <f ca="1">IFERROR(__xludf.DUMMYFUNCTION("""COMPUTED_VALUE"""),"Billingsley, Alan")</f>
        <v>Billingsley, Alan</v>
      </c>
      <c r="B764" s="3">
        <f ca="1">IFERROR(__xludf.DUMMYFUNCTION("""COMPUTED_VALUE"""),1)</f>
        <v>1</v>
      </c>
      <c r="C764" s="7">
        <f ca="1">IFERROR(__xludf.DUMMYFUNCTION("""COMPUTED_VALUE"""),1)</f>
        <v>1</v>
      </c>
      <c r="D764" s="8">
        <f ca="1">IFERROR(__xludf.DUMMYFUNCTION("""COMPUTED_VALUE"""),1)</f>
        <v>1</v>
      </c>
      <c r="E764" s="2">
        <f ca="1">IFERROR(__xludf.DUMMYFUNCTION("""COMPUTED_VALUE"""),1)</f>
        <v>1</v>
      </c>
    </row>
    <row r="765" spans="1:5" ht="13">
      <c r="A765" s="2" t="str">
        <f ca="1">IFERROR(__xludf.DUMMYFUNCTION("""COMPUTED_VALUE"""),"Bimm, Greg")</f>
        <v>Bimm, Greg</v>
      </c>
      <c r="B765" s="2">
        <f ca="1">IFERROR(__xludf.DUMMYFUNCTION("""COMPUTED_VALUE"""),1)</f>
        <v>1</v>
      </c>
      <c r="C765" s="2">
        <f ca="1">IFERROR(__xludf.DUMMYFUNCTION("""COMPUTED_VALUE"""),1)</f>
        <v>1</v>
      </c>
      <c r="D765" s="8">
        <f ca="1">IFERROR(__xludf.DUMMYFUNCTION("""COMPUTED_VALUE"""),1)</f>
        <v>1</v>
      </c>
      <c r="E765" s="2">
        <f ca="1">IFERROR(__xludf.DUMMYFUNCTION("""COMPUTED_VALUE"""),1)</f>
        <v>1</v>
      </c>
    </row>
    <row r="766" spans="1:5" ht="13">
      <c r="A766" s="2" t="str">
        <f ca="1">IFERROR(__xludf.DUMMYFUNCTION("""COMPUTED_VALUE"""),"Binchois, Gilles")</f>
        <v>Binchois, Gilles</v>
      </c>
      <c r="B766" s="2">
        <f ca="1">IFERROR(__xludf.DUMMYFUNCTION("""COMPUTED_VALUE"""),1)</f>
        <v>1</v>
      </c>
      <c r="C766" s="7">
        <f ca="1">IFERROR(__xludf.DUMMYFUNCTION("""COMPUTED_VALUE"""),1)</f>
        <v>1</v>
      </c>
      <c r="D766" s="8">
        <f ca="1">IFERROR(__xludf.DUMMYFUNCTION("""COMPUTED_VALUE"""),5)</f>
        <v>5</v>
      </c>
      <c r="E766" s="2">
        <f ca="1">IFERROR(__xludf.DUMMYFUNCTION("""COMPUTED_VALUE"""),2)</f>
        <v>2</v>
      </c>
    </row>
    <row r="767" spans="1:5" ht="13">
      <c r="A767" s="2" t="str">
        <f ca="1">IFERROR(__xludf.DUMMYFUNCTION("""COMPUTED_VALUE"""),"Binge, Ronald")</f>
        <v>Binge, Ronald</v>
      </c>
      <c r="B767" s="2">
        <f ca="1">IFERROR(__xludf.DUMMYFUNCTION("""COMPUTED_VALUE"""),1)</f>
        <v>1</v>
      </c>
      <c r="C767" s="7">
        <f ca="1">IFERROR(__xludf.DUMMYFUNCTION("""COMPUTED_VALUE"""),1)</f>
        <v>1</v>
      </c>
      <c r="D767" s="8">
        <f ca="1">IFERROR(__xludf.DUMMYFUNCTION("""COMPUTED_VALUE"""),5)</f>
        <v>5</v>
      </c>
      <c r="E767" s="2">
        <f ca="1">IFERROR(__xludf.DUMMYFUNCTION("""COMPUTED_VALUE"""),2)</f>
        <v>2</v>
      </c>
    </row>
    <row r="768" spans="1:5" ht="13">
      <c r="A768" s="8" t="str">
        <f ca="1">IFERROR(__xludf.DUMMYFUNCTION("""COMPUTED_VALUE"""),"Bingham, Marcus")</f>
        <v>Bingham, Marcus</v>
      </c>
      <c r="B768" s="3">
        <f ca="1">IFERROR(__xludf.DUMMYFUNCTION("""COMPUTED_VALUE"""),1)</f>
        <v>1</v>
      </c>
      <c r="C768" s="7">
        <f ca="1">IFERROR(__xludf.DUMMYFUNCTION("""COMPUTED_VALUE"""),1)</f>
        <v>1</v>
      </c>
      <c r="D768" s="8">
        <f ca="1">IFERROR(__xludf.DUMMYFUNCTION("""COMPUTED_VALUE"""),1)</f>
        <v>1</v>
      </c>
      <c r="E768" s="2">
        <f ca="1">IFERROR(__xludf.DUMMYFUNCTION("""COMPUTED_VALUE"""),1)</f>
        <v>1</v>
      </c>
    </row>
    <row r="769" spans="1:5" ht="13">
      <c r="A769" s="8" t="str">
        <f ca="1">IFERROR(__xludf.DUMMYFUNCTION("""COMPUTED_VALUE"""),"Binkerd, Gordon")</f>
        <v>Binkerd, Gordon</v>
      </c>
      <c r="B769" s="3">
        <f ca="1">IFERROR(__xludf.DUMMYFUNCTION("""COMPUTED_VALUE"""),1)</f>
        <v>1</v>
      </c>
      <c r="C769" s="7">
        <f ca="1">IFERROR(__xludf.DUMMYFUNCTION("""COMPUTED_VALUE"""),1)</f>
        <v>1</v>
      </c>
      <c r="D769" s="8">
        <f ca="1">IFERROR(__xludf.DUMMYFUNCTION("""COMPUTED_VALUE"""),5)</f>
        <v>5</v>
      </c>
      <c r="E769" s="2">
        <f ca="1">IFERROR(__xludf.DUMMYFUNCTION("""COMPUTED_VALUE"""),2)</f>
        <v>2</v>
      </c>
    </row>
    <row r="770" spans="1:5" ht="13">
      <c r="A770" s="8" t="str">
        <f ca="1">IFERROR(__xludf.DUMMYFUNCTION("""COMPUTED_VALUE"""),"Binney, Malcolm")</f>
        <v>Binney, Malcolm</v>
      </c>
      <c r="B770" s="3">
        <f ca="1">IFERROR(__xludf.DUMMYFUNCTION("""COMPUTED_VALUE"""),1)</f>
        <v>1</v>
      </c>
      <c r="C770" s="7">
        <f ca="1">IFERROR(__xludf.DUMMYFUNCTION("""COMPUTED_VALUE"""),1)</f>
        <v>1</v>
      </c>
      <c r="D770" s="8">
        <f ca="1">IFERROR(__xludf.DUMMYFUNCTION("""COMPUTED_VALUE"""),1)</f>
        <v>1</v>
      </c>
      <c r="E770" s="2">
        <f ca="1">IFERROR(__xludf.DUMMYFUNCTION("""COMPUTED_VALUE"""),1)</f>
        <v>1</v>
      </c>
    </row>
    <row r="771" spans="1:5" ht="13">
      <c r="A771" s="8" t="str">
        <f ca="1">IFERROR(__xludf.DUMMYFUNCTION("""COMPUTED_VALUE"""),"Biondi, Craig")</f>
        <v>Biondi, Craig</v>
      </c>
      <c r="B771" s="3">
        <f ca="1">IFERROR(__xludf.DUMMYFUNCTION("""COMPUTED_VALUE"""),1)</f>
        <v>1</v>
      </c>
      <c r="C771" s="7">
        <f ca="1">IFERROR(__xludf.DUMMYFUNCTION("""COMPUTED_VALUE"""),1)</f>
        <v>1</v>
      </c>
      <c r="D771" s="8">
        <f ca="1">IFERROR(__xludf.DUMMYFUNCTION("""COMPUTED_VALUE"""),1)</f>
        <v>1</v>
      </c>
      <c r="E771" s="2">
        <f ca="1">IFERROR(__xludf.DUMMYFUNCTION("""COMPUTED_VALUE"""),1)</f>
        <v>1</v>
      </c>
    </row>
    <row r="772" spans="1:5" ht="13">
      <c r="A772" s="2" t="str">
        <f ca="1">IFERROR(__xludf.DUMMYFUNCTION("""COMPUTED_VALUE"""),"Birch, Raymond")</f>
        <v>Birch, Raymond</v>
      </c>
      <c r="B772" s="3">
        <f ca="1">IFERROR(__xludf.DUMMYFUNCTION("""COMPUTED_VALUE"""),1)</f>
        <v>1</v>
      </c>
      <c r="C772" s="7">
        <f ca="1">IFERROR(__xludf.DUMMYFUNCTION("""COMPUTED_VALUE"""),1)</f>
        <v>1</v>
      </c>
      <c r="D772" s="8">
        <f ca="1">IFERROR(__xludf.DUMMYFUNCTION("""COMPUTED_VALUE"""),5)</f>
        <v>5</v>
      </c>
      <c r="E772" s="3">
        <f ca="1">IFERROR(__xludf.DUMMYFUNCTION("""COMPUTED_VALUE"""),2)</f>
        <v>2</v>
      </c>
    </row>
    <row r="773" spans="1:5" ht="13">
      <c r="A773" s="8" t="str">
        <f ca="1">IFERROR(__xludf.DUMMYFUNCTION("""COMPUTED_VALUE"""),"Bird, Arthur")</f>
        <v>Bird, Arthur</v>
      </c>
      <c r="B773" s="3">
        <f ca="1">IFERROR(__xludf.DUMMYFUNCTION("""COMPUTED_VALUE"""),1)</f>
        <v>1</v>
      </c>
      <c r="C773" s="7">
        <f ca="1">IFERROR(__xludf.DUMMYFUNCTION("""COMPUTED_VALUE"""),1)</f>
        <v>1</v>
      </c>
      <c r="D773" s="8">
        <f ca="1">IFERROR(__xludf.DUMMYFUNCTION("""COMPUTED_VALUE"""),5)</f>
        <v>5</v>
      </c>
      <c r="E773" s="2">
        <f ca="1">IFERROR(__xludf.DUMMYFUNCTION("""COMPUTED_VALUE"""),2)</f>
        <v>2</v>
      </c>
    </row>
    <row r="774" spans="1:5" ht="13">
      <c r="A774" s="2" t="str">
        <f ca="1">IFERROR(__xludf.DUMMYFUNCTION("""COMPUTED_VALUE"""),"Birder, Dudley")</f>
        <v>Birder, Dudley</v>
      </c>
      <c r="B774" s="2">
        <f ca="1">IFERROR(__xludf.DUMMYFUNCTION("""COMPUTED_VALUE"""),1)</f>
        <v>1</v>
      </c>
      <c r="C774" s="2">
        <f ca="1">IFERROR(__xludf.DUMMYFUNCTION("""COMPUTED_VALUE"""),1)</f>
        <v>1</v>
      </c>
      <c r="D774" s="8">
        <f ca="1">IFERROR(__xludf.DUMMYFUNCTION("""COMPUTED_VALUE"""),5)</f>
        <v>5</v>
      </c>
      <c r="E774" s="2">
        <f ca="1">IFERROR(__xludf.DUMMYFUNCTION("""COMPUTED_VALUE"""),2)</f>
        <v>2</v>
      </c>
    </row>
    <row r="775" spans="1:5" ht="13">
      <c r="A775" s="2" t="str">
        <f ca="1">IFERROR(__xludf.DUMMYFUNCTION("""COMPUTED_VALUE"""),"Bisbee, B. Wayne")</f>
        <v>Bisbee, B. Wayne</v>
      </c>
      <c r="B775" s="3">
        <f ca="1">IFERROR(__xludf.DUMMYFUNCTION("""COMPUTED_VALUE"""),1)</f>
        <v>1</v>
      </c>
      <c r="C775" s="7">
        <f ca="1">IFERROR(__xludf.DUMMYFUNCTION("""COMPUTED_VALUE"""),1)</f>
        <v>1</v>
      </c>
      <c r="D775" s="8">
        <f ca="1">IFERROR(__xludf.DUMMYFUNCTION("""COMPUTED_VALUE"""),1)</f>
        <v>1</v>
      </c>
      <c r="E775" s="2">
        <f ca="1">IFERROR(__xludf.DUMMYFUNCTION("""COMPUTED_VALUE"""),1)</f>
        <v>1</v>
      </c>
    </row>
    <row r="776" spans="1:5" ht="13">
      <c r="A776" s="2" t="str">
        <f ca="1">IFERROR(__xludf.DUMMYFUNCTION("""COMPUTED_VALUE"""),"Bischmann, Elwyn")</f>
        <v>Bischmann, Elwyn</v>
      </c>
      <c r="B776" s="2">
        <f ca="1">IFERROR(__xludf.DUMMYFUNCTION("""COMPUTED_VALUE"""),1)</f>
        <v>1</v>
      </c>
      <c r="C776" s="2">
        <f ca="1">IFERROR(__xludf.DUMMYFUNCTION("""COMPUTED_VALUE"""),1)</f>
        <v>1</v>
      </c>
      <c r="D776" s="8">
        <f ca="1">IFERROR(__xludf.DUMMYFUNCTION("""COMPUTED_VALUE"""),5)</f>
        <v>5</v>
      </c>
      <c r="E776" s="2">
        <f ca="1">IFERROR(__xludf.DUMMYFUNCTION("""COMPUTED_VALUE"""),2)</f>
        <v>2</v>
      </c>
    </row>
    <row r="777" spans="1:5" ht="13">
      <c r="A777" s="2" t="str">
        <f ca="1">IFERROR(__xludf.DUMMYFUNCTION("""COMPUTED_VALUE"""),"Bisesi, Jonathan")</f>
        <v>Bisesi, Jonathan</v>
      </c>
      <c r="B777" s="2">
        <f ca="1">IFERROR(__xludf.DUMMYFUNCTION("""COMPUTED_VALUE"""),1)</f>
        <v>1</v>
      </c>
      <c r="C777" s="7">
        <f ca="1">IFERROR(__xludf.DUMMYFUNCTION("""COMPUTED_VALUE"""),1)</f>
        <v>1</v>
      </c>
      <c r="D777" s="8">
        <f ca="1">IFERROR(__xludf.DUMMYFUNCTION("""COMPUTED_VALUE"""),1)</f>
        <v>1</v>
      </c>
      <c r="E777" s="2">
        <f ca="1">IFERROR(__xludf.DUMMYFUNCTION("""COMPUTED_VALUE"""),1)</f>
        <v>1</v>
      </c>
    </row>
    <row r="778" spans="1:5" ht="13">
      <c r="A778" s="8" t="str">
        <f ca="1">IFERROR(__xludf.DUMMYFUNCTION("""COMPUTED_VALUE"""),"Bishop, Franz")</f>
        <v>Bishop, Franz</v>
      </c>
      <c r="B778" s="3">
        <f ca="1">IFERROR(__xludf.DUMMYFUNCTION("""COMPUTED_VALUE"""),1)</f>
        <v>1</v>
      </c>
      <c r="C778" s="7">
        <f ca="1">IFERROR(__xludf.DUMMYFUNCTION("""COMPUTED_VALUE"""),1)</f>
        <v>1</v>
      </c>
      <c r="D778" s="8">
        <f ca="1">IFERROR(__xludf.DUMMYFUNCTION("""COMPUTED_VALUE"""),5)</f>
        <v>5</v>
      </c>
      <c r="E778" s="2">
        <f ca="1">IFERROR(__xludf.DUMMYFUNCTION("""COMPUTED_VALUE"""),2)</f>
        <v>2</v>
      </c>
    </row>
    <row r="779" spans="1:5" ht="13">
      <c r="A779" s="8" t="str">
        <f ca="1">IFERROR(__xludf.DUMMYFUNCTION("""COMPUTED_VALUE"""),"Bishop, Henry R.")</f>
        <v>Bishop, Henry R.</v>
      </c>
      <c r="B779" s="3">
        <f ca="1">IFERROR(__xludf.DUMMYFUNCTION("""COMPUTED_VALUE"""),1)</f>
        <v>1</v>
      </c>
      <c r="C779" s="7">
        <f ca="1">IFERROR(__xludf.DUMMYFUNCTION("""COMPUTED_VALUE"""),1)</f>
        <v>1</v>
      </c>
      <c r="D779" s="8">
        <f ca="1">IFERROR(__xludf.DUMMYFUNCTION("""COMPUTED_VALUE"""),5)</f>
        <v>5</v>
      </c>
      <c r="E779" s="2">
        <f ca="1">IFERROR(__xludf.DUMMYFUNCTION("""COMPUTED_VALUE"""),2)</f>
        <v>2</v>
      </c>
    </row>
    <row r="780" spans="1:5" ht="13">
      <c r="A780" s="8" t="str">
        <f ca="1">IFERROR(__xludf.DUMMYFUNCTION("""COMPUTED_VALUE"""),"Bishop, Jeffrey")</f>
        <v>Bishop, Jeffrey</v>
      </c>
      <c r="B780" s="3">
        <f ca="1">IFERROR(__xludf.DUMMYFUNCTION("""COMPUTED_VALUE"""),1)</f>
        <v>1</v>
      </c>
      <c r="C780" s="7">
        <f ca="1">IFERROR(__xludf.DUMMYFUNCTION("""COMPUTED_VALUE"""),1)</f>
        <v>1</v>
      </c>
      <c r="D780" s="8">
        <f ca="1">IFERROR(__xludf.DUMMYFUNCTION("""COMPUTED_VALUE"""),1)</f>
        <v>1</v>
      </c>
      <c r="E780" s="2">
        <f ca="1">IFERROR(__xludf.DUMMYFUNCTION("""COMPUTED_VALUE"""),1)</f>
        <v>1</v>
      </c>
    </row>
    <row r="781" spans="1:5" ht="13">
      <c r="A781" s="2" t="str">
        <f ca="1">IFERROR(__xludf.DUMMYFUNCTION("""COMPUTED_VALUE"""),"Bishop, Jeffrey S.")</f>
        <v>Bishop, Jeffrey S.</v>
      </c>
      <c r="B781" s="3">
        <f ca="1">IFERROR(__xludf.DUMMYFUNCTION("""COMPUTED_VALUE"""),1)</f>
        <v>1</v>
      </c>
      <c r="C781" s="7">
        <f ca="1">IFERROR(__xludf.DUMMYFUNCTION("""COMPUTED_VALUE"""),1)</f>
        <v>1</v>
      </c>
      <c r="D781" s="8">
        <f ca="1">IFERROR(__xludf.DUMMYFUNCTION("""COMPUTED_VALUE"""),1)</f>
        <v>1</v>
      </c>
      <c r="E781" s="2">
        <f ca="1">IFERROR(__xludf.DUMMYFUNCTION("""COMPUTED_VALUE"""),1)</f>
        <v>1</v>
      </c>
    </row>
    <row r="782" spans="1:5" ht="13">
      <c r="A782" s="2" t="str">
        <f ca="1">IFERROR(__xludf.DUMMYFUNCTION("""COMPUTED_VALUE"""),"Bishop, Sir Henry")</f>
        <v>Bishop, Sir Henry</v>
      </c>
      <c r="B782" s="2">
        <f ca="1">IFERROR(__xludf.DUMMYFUNCTION("""COMPUTED_VALUE"""),1)</f>
        <v>1</v>
      </c>
      <c r="C782" s="7">
        <f ca="1">IFERROR(__xludf.DUMMYFUNCTION("""COMPUTED_VALUE"""),1)</f>
        <v>1</v>
      </c>
      <c r="D782" s="8">
        <f ca="1">IFERROR(__xludf.DUMMYFUNCTION("""COMPUTED_VALUE"""),5)</f>
        <v>5</v>
      </c>
      <c r="E782" s="2">
        <f ca="1">IFERROR(__xludf.DUMMYFUNCTION("""COMPUTED_VALUE"""),2)</f>
        <v>2</v>
      </c>
    </row>
    <row r="783" spans="1:5" ht="13">
      <c r="A783" s="8" t="str">
        <f ca="1">IFERROR(__xludf.DUMMYFUNCTION("""COMPUTED_VALUE"""),"Bissell, Keith")</f>
        <v>Bissell, Keith</v>
      </c>
      <c r="B783" s="3">
        <f ca="1">IFERROR(__xludf.DUMMYFUNCTION("""COMPUTED_VALUE"""),1)</f>
        <v>1</v>
      </c>
      <c r="C783" s="7">
        <f ca="1">IFERROR(__xludf.DUMMYFUNCTION("""COMPUTED_VALUE"""),1)</f>
        <v>1</v>
      </c>
      <c r="D783" s="8">
        <f ca="1">IFERROR(__xludf.DUMMYFUNCTION("""COMPUTED_VALUE"""),5)</f>
        <v>5</v>
      </c>
      <c r="E783" s="2">
        <f ca="1">IFERROR(__xludf.DUMMYFUNCTION("""COMPUTED_VALUE"""),2)</f>
        <v>2</v>
      </c>
    </row>
    <row r="784" spans="1:5" ht="13">
      <c r="A784" s="2" t="str">
        <f ca="1">IFERROR(__xludf.DUMMYFUNCTION("""COMPUTED_VALUE"""),"Bissill, Richard")</f>
        <v>Bissill, Richard</v>
      </c>
      <c r="B784" s="3">
        <f ca="1">IFERROR(__xludf.DUMMYFUNCTION("""COMPUTED_VALUE"""),1)</f>
        <v>1</v>
      </c>
      <c r="C784" s="7">
        <f ca="1">IFERROR(__xludf.DUMMYFUNCTION("""COMPUTED_VALUE"""),1)</f>
        <v>1</v>
      </c>
      <c r="D784" s="8">
        <f ca="1">IFERROR(__xludf.DUMMYFUNCTION("""COMPUTED_VALUE"""),1)</f>
        <v>1</v>
      </c>
      <c r="E784" s="2">
        <f ca="1">IFERROR(__xludf.DUMMYFUNCTION("""COMPUTED_VALUE"""),1)</f>
        <v>1</v>
      </c>
    </row>
    <row r="785" spans="1:5" ht="13">
      <c r="A785" s="8" t="str">
        <f ca="1">IFERROR(__xludf.DUMMYFUNCTION("""COMPUTED_VALUE"""),"Bitensky, Laurence")</f>
        <v>Bitensky, Laurence</v>
      </c>
      <c r="B785" s="3">
        <f ca="1">IFERROR(__xludf.DUMMYFUNCTION("""COMPUTED_VALUE"""),1)</f>
        <v>1</v>
      </c>
      <c r="C785" s="7">
        <f ca="1">IFERROR(__xludf.DUMMYFUNCTION("""COMPUTED_VALUE"""),1)</f>
        <v>1</v>
      </c>
      <c r="D785" s="8">
        <f ca="1">IFERROR(__xludf.DUMMYFUNCTION("""COMPUTED_VALUE"""),1)</f>
        <v>1</v>
      </c>
      <c r="E785" s="2">
        <f ca="1">IFERROR(__xludf.DUMMYFUNCTION("""COMPUTED_VALUE"""),1)</f>
        <v>1</v>
      </c>
    </row>
    <row r="786" spans="1:5" ht="13">
      <c r="A786" s="8" t="str">
        <f ca="1">IFERROR(__xludf.DUMMYFUNCTION("""COMPUTED_VALUE"""),"Bizet / Schedrin")</f>
        <v>Bizet / Schedrin</v>
      </c>
      <c r="B786" s="3">
        <f ca="1">IFERROR(__xludf.DUMMYFUNCTION("""COMPUTED_VALUE"""),1)</f>
        <v>1</v>
      </c>
      <c r="C786" s="7">
        <f ca="1">IFERROR(__xludf.DUMMYFUNCTION("""COMPUTED_VALUE"""),1)</f>
        <v>1</v>
      </c>
      <c r="D786" s="8">
        <f ca="1">IFERROR(__xludf.DUMMYFUNCTION("""COMPUTED_VALUE"""),5)</f>
        <v>5</v>
      </c>
      <c r="E786" s="2">
        <f ca="1">IFERROR(__xludf.DUMMYFUNCTION("""COMPUTED_VALUE"""),2)</f>
        <v>2</v>
      </c>
    </row>
    <row r="787" spans="1:5" ht="13">
      <c r="A787" s="8" t="str">
        <f ca="1">IFERROR(__xludf.DUMMYFUNCTION("""COMPUTED_VALUE"""),"Bizet, Georges")</f>
        <v>Bizet, Georges</v>
      </c>
      <c r="B787" s="3">
        <f ca="1">IFERROR(__xludf.DUMMYFUNCTION("""COMPUTED_VALUE"""),1)</f>
        <v>1</v>
      </c>
      <c r="C787" s="7">
        <f ca="1">IFERROR(__xludf.DUMMYFUNCTION("""COMPUTED_VALUE"""),1)</f>
        <v>1</v>
      </c>
      <c r="D787" s="8">
        <f ca="1">IFERROR(__xludf.DUMMYFUNCTION("""COMPUTED_VALUE"""),5)</f>
        <v>5</v>
      </c>
      <c r="E787" s="2">
        <f ca="1">IFERROR(__xludf.DUMMYFUNCTION("""COMPUTED_VALUE"""),2)</f>
        <v>2</v>
      </c>
    </row>
    <row r="788" spans="1:5" ht="13">
      <c r="A788" s="8" t="str">
        <f ca="1">IFERROR(__xludf.DUMMYFUNCTION("""COMPUTED_VALUE"""),"Bjarnason, Daniel")</f>
        <v>Bjarnason, Daniel</v>
      </c>
      <c r="B788" s="3">
        <f ca="1">IFERROR(__xludf.DUMMYFUNCTION("""COMPUTED_VALUE"""),1)</f>
        <v>1</v>
      </c>
      <c r="C788" s="7">
        <f ca="1">IFERROR(__xludf.DUMMYFUNCTION("""COMPUTED_VALUE"""),1)</f>
        <v>1</v>
      </c>
      <c r="D788" s="8">
        <f ca="1">IFERROR(__xludf.DUMMYFUNCTION("""COMPUTED_VALUE"""),1)</f>
        <v>1</v>
      </c>
      <c r="E788" s="2">
        <f ca="1">IFERROR(__xludf.DUMMYFUNCTION("""COMPUTED_VALUE"""),1)</f>
        <v>1</v>
      </c>
    </row>
    <row r="789" spans="1:5" ht="13">
      <c r="A789" s="2" t="str">
        <f ca="1">IFERROR(__xludf.DUMMYFUNCTION("""COMPUTED_VALUE"""),"Bjella, Rick")</f>
        <v>Bjella, Rick</v>
      </c>
      <c r="B789" s="3">
        <f ca="1">IFERROR(__xludf.DUMMYFUNCTION("""COMPUTED_VALUE"""),1)</f>
        <v>1</v>
      </c>
      <c r="C789" s="7">
        <f ca="1">IFERROR(__xludf.DUMMYFUNCTION("""COMPUTED_VALUE"""),1)</f>
        <v>1</v>
      </c>
      <c r="D789" s="8">
        <f ca="1">IFERROR(__xludf.DUMMYFUNCTION("""COMPUTED_VALUE"""),1)</f>
        <v>1</v>
      </c>
      <c r="E789" s="2">
        <f ca="1">IFERROR(__xludf.DUMMYFUNCTION("""COMPUTED_VALUE"""),1)</f>
        <v>1</v>
      </c>
    </row>
    <row r="790" spans="1:5" ht="13">
      <c r="A790" s="8" t="str">
        <f ca="1">IFERROR(__xludf.DUMMYFUNCTION("""COMPUTED_VALUE"""),"Blacher, Boris")</f>
        <v>Blacher, Boris</v>
      </c>
      <c r="B790" s="3">
        <f ca="1">IFERROR(__xludf.DUMMYFUNCTION("""COMPUTED_VALUE"""),1)</f>
        <v>1</v>
      </c>
      <c r="C790" s="7">
        <f ca="1">IFERROR(__xludf.DUMMYFUNCTION("""COMPUTED_VALUE"""),1)</f>
        <v>1</v>
      </c>
      <c r="D790" s="8">
        <f ca="1">IFERROR(__xludf.DUMMYFUNCTION("""COMPUTED_VALUE"""),5)</f>
        <v>5</v>
      </c>
      <c r="E790" s="2">
        <f ca="1">IFERROR(__xludf.DUMMYFUNCTION("""COMPUTED_VALUE"""),2)</f>
        <v>2</v>
      </c>
    </row>
    <row r="791" spans="1:5" ht="13">
      <c r="A791" s="8" t="str">
        <f ca="1">IFERROR(__xludf.DUMMYFUNCTION("""COMPUTED_VALUE"""),"Black, Dave")</f>
        <v>Black, Dave</v>
      </c>
      <c r="B791" s="3">
        <f ca="1">IFERROR(__xludf.DUMMYFUNCTION("""COMPUTED_VALUE"""),1)</f>
        <v>1</v>
      </c>
      <c r="C791" s="7">
        <f ca="1">IFERROR(__xludf.DUMMYFUNCTION("""COMPUTED_VALUE"""),1)</f>
        <v>1</v>
      </c>
      <c r="D791" s="8">
        <f ca="1">IFERROR(__xludf.DUMMYFUNCTION("""COMPUTED_VALUE"""),1)</f>
        <v>1</v>
      </c>
      <c r="E791" s="2">
        <f ca="1">IFERROR(__xludf.DUMMYFUNCTION("""COMPUTED_VALUE"""),1)</f>
        <v>1</v>
      </c>
    </row>
    <row r="792" spans="1:5" ht="13">
      <c r="A792" s="2" t="str">
        <f ca="1">IFERROR(__xludf.DUMMYFUNCTION("""COMPUTED_VALUE"""),"Black, Johnny S.")</f>
        <v>Black, Johnny S.</v>
      </c>
      <c r="B792" s="2">
        <f ca="1">IFERROR(__xludf.DUMMYFUNCTION("""COMPUTED_VALUE"""),1)</f>
        <v>1</v>
      </c>
      <c r="C792" s="7">
        <f ca="1">IFERROR(__xludf.DUMMYFUNCTION("""COMPUTED_VALUE"""),1)</f>
        <v>1</v>
      </c>
      <c r="D792" s="8">
        <f ca="1">IFERROR(__xludf.DUMMYFUNCTION("""COMPUTED_VALUE"""),5)</f>
        <v>5</v>
      </c>
      <c r="E792" s="2">
        <f ca="1">IFERROR(__xludf.DUMMYFUNCTION("""COMPUTED_VALUE"""),2)</f>
        <v>2</v>
      </c>
    </row>
    <row r="793" spans="1:5" ht="13">
      <c r="A793" s="2" t="str">
        <f ca="1">IFERROR(__xludf.DUMMYFUNCTION("""COMPUTED_VALUE"""),"Black, Matthew")</f>
        <v>Black, Matthew</v>
      </c>
      <c r="B793" s="3">
        <f ca="1">IFERROR(__xludf.DUMMYFUNCTION("""COMPUTED_VALUE"""),1)</f>
        <v>1</v>
      </c>
      <c r="C793" s="7">
        <f ca="1">IFERROR(__xludf.DUMMYFUNCTION("""COMPUTED_VALUE"""),1)</f>
        <v>1</v>
      </c>
      <c r="D793" s="8">
        <f ca="1">IFERROR(__xludf.DUMMYFUNCTION("""COMPUTED_VALUE"""),1)</f>
        <v>1</v>
      </c>
      <c r="E793" s="2">
        <f ca="1">IFERROR(__xludf.DUMMYFUNCTION("""COMPUTED_VALUE"""),1)</f>
        <v>1</v>
      </c>
    </row>
    <row r="794" spans="1:5" ht="13">
      <c r="A794" s="8" t="str">
        <f ca="1">IFERROR(__xludf.DUMMYFUNCTION("""COMPUTED_VALUE"""),"Blackley, Rowland")</f>
        <v>Blackley, Rowland</v>
      </c>
      <c r="B794" s="3">
        <f ca="1">IFERROR(__xludf.DUMMYFUNCTION("""COMPUTED_VALUE"""),1)</f>
        <v>1</v>
      </c>
      <c r="C794" s="7">
        <f ca="1">IFERROR(__xludf.DUMMYFUNCTION("""COMPUTED_VALUE"""),1)</f>
        <v>1</v>
      </c>
      <c r="D794" s="8">
        <f ca="1">IFERROR(__xludf.DUMMYFUNCTION("""COMPUTED_VALUE"""),1)</f>
        <v>1</v>
      </c>
      <c r="E794" s="2">
        <f ca="1">IFERROR(__xludf.DUMMYFUNCTION("""COMPUTED_VALUE"""),1)</f>
        <v>1</v>
      </c>
    </row>
    <row r="795" spans="1:5" ht="13">
      <c r="A795" s="8" t="str">
        <f ca="1">IFERROR(__xludf.DUMMYFUNCTION("""COMPUTED_VALUE"""),"Blahnik, Joel")</f>
        <v>Blahnik, Joel</v>
      </c>
      <c r="B795" s="3">
        <f ca="1">IFERROR(__xludf.DUMMYFUNCTION("""COMPUTED_VALUE"""),1)</f>
        <v>1</v>
      </c>
      <c r="C795" s="7">
        <f ca="1">IFERROR(__xludf.DUMMYFUNCTION("""COMPUTED_VALUE"""),1)</f>
        <v>1</v>
      </c>
      <c r="D795" s="8">
        <f ca="1">IFERROR(__xludf.DUMMYFUNCTION("""COMPUTED_VALUE"""),1)</f>
        <v>1</v>
      </c>
      <c r="E795" s="2">
        <f ca="1">IFERROR(__xludf.DUMMYFUNCTION("""COMPUTED_VALUE"""),1)</f>
        <v>1</v>
      </c>
    </row>
    <row r="796" spans="1:5" ht="13">
      <c r="A796" s="2" t="str">
        <f ca="1">IFERROR(__xludf.DUMMYFUNCTION("""COMPUTED_VALUE"""),"Blair, Andrew")</f>
        <v>Blair, Andrew</v>
      </c>
      <c r="B796" s="3">
        <f ca="1">IFERROR(__xludf.DUMMYFUNCTION("""COMPUTED_VALUE"""),1)</f>
        <v>1</v>
      </c>
      <c r="C796" s="7">
        <f ca="1">IFERROR(__xludf.DUMMYFUNCTION("""COMPUTED_VALUE"""),1)</f>
        <v>1</v>
      </c>
      <c r="D796" s="8">
        <f ca="1">IFERROR(__xludf.DUMMYFUNCTION("""COMPUTED_VALUE"""),1)</f>
        <v>1</v>
      </c>
      <c r="E796" s="2">
        <f ca="1">IFERROR(__xludf.DUMMYFUNCTION("""COMPUTED_VALUE"""),1)</f>
        <v>1</v>
      </c>
    </row>
    <row r="797" spans="1:5" ht="13">
      <c r="A797" s="2" t="str">
        <f ca="1">IFERROR(__xludf.DUMMYFUNCTION("""COMPUTED_VALUE"""),"Blair, Jonathan")</f>
        <v>Blair, Jonathan</v>
      </c>
      <c r="B797" s="2">
        <f ca="1">IFERROR(__xludf.DUMMYFUNCTION("""COMPUTED_VALUE"""),1)</f>
        <v>1</v>
      </c>
      <c r="C797" s="2">
        <f ca="1">IFERROR(__xludf.DUMMYFUNCTION("""COMPUTED_VALUE"""),1)</f>
        <v>1</v>
      </c>
      <c r="D797" s="8">
        <f ca="1">IFERROR(__xludf.DUMMYFUNCTION("""COMPUTED_VALUE"""),1)</f>
        <v>1</v>
      </c>
      <c r="E797" s="2">
        <f ca="1">IFERROR(__xludf.DUMMYFUNCTION("""COMPUTED_VALUE"""),1)</f>
        <v>1</v>
      </c>
    </row>
    <row r="798" spans="1:5" ht="13">
      <c r="A798" s="2" t="str">
        <f ca="1">IFERROR(__xludf.DUMMYFUNCTION("""COMPUTED_VALUE"""),"Blair, Peter")</f>
        <v>Blair, Peter</v>
      </c>
      <c r="B798" s="3">
        <f ca="1">IFERROR(__xludf.DUMMYFUNCTION("""COMPUTED_VALUE"""),1)</f>
        <v>1</v>
      </c>
      <c r="C798" s="7">
        <f ca="1">IFERROR(__xludf.DUMMYFUNCTION("""COMPUTED_VALUE"""),1)</f>
        <v>1</v>
      </c>
      <c r="D798" s="8">
        <f ca="1">IFERROR(__xludf.DUMMYFUNCTION("""COMPUTED_VALUE"""),1)</f>
        <v>1</v>
      </c>
      <c r="E798" s="2">
        <f ca="1">IFERROR(__xludf.DUMMYFUNCTION("""COMPUTED_VALUE"""),1)</f>
        <v>1</v>
      </c>
    </row>
    <row r="799" spans="1:5" ht="13">
      <c r="A799" s="8" t="str">
        <f ca="1">IFERROR(__xludf.DUMMYFUNCTION("""COMPUTED_VALUE"""),"Blake, Christopher")</f>
        <v>Blake, Christopher</v>
      </c>
      <c r="B799" s="3">
        <f ca="1">IFERROR(__xludf.DUMMYFUNCTION("""COMPUTED_VALUE"""),1)</f>
        <v>1</v>
      </c>
      <c r="C799" s="7">
        <f ca="1">IFERROR(__xludf.DUMMYFUNCTION("""COMPUTED_VALUE"""),1)</f>
        <v>1</v>
      </c>
      <c r="D799" s="8">
        <f ca="1">IFERROR(__xludf.DUMMYFUNCTION("""COMPUTED_VALUE"""),1)</f>
        <v>1</v>
      </c>
      <c r="E799" s="2">
        <f ca="1">IFERROR(__xludf.DUMMYFUNCTION("""COMPUTED_VALUE"""),1)</f>
        <v>1</v>
      </c>
    </row>
    <row r="800" spans="1:5" ht="13">
      <c r="A800" s="8" t="str">
        <f ca="1">IFERROR(__xludf.DUMMYFUNCTION("""COMPUTED_VALUE"""),"Blake, Howard")</f>
        <v>Blake, Howard</v>
      </c>
      <c r="B800" s="3">
        <f ca="1">IFERROR(__xludf.DUMMYFUNCTION("""COMPUTED_VALUE"""),1)</f>
        <v>1</v>
      </c>
      <c r="C800" s="7">
        <f ca="1">IFERROR(__xludf.DUMMYFUNCTION("""COMPUTED_VALUE"""),1)</f>
        <v>1</v>
      </c>
      <c r="D800" s="8">
        <f ca="1">IFERROR(__xludf.DUMMYFUNCTION("""COMPUTED_VALUE"""),1)</f>
        <v>1</v>
      </c>
      <c r="E800" s="2">
        <f ca="1">IFERROR(__xludf.DUMMYFUNCTION("""COMPUTED_VALUE"""),1)</f>
        <v>1</v>
      </c>
    </row>
    <row r="801" spans="1:5" ht="13">
      <c r="A801" s="8" t="str">
        <f ca="1">IFERROR(__xludf.DUMMYFUNCTION("""COMPUTED_VALUE"""),"Blakely, Aaron")</f>
        <v>Blakely, Aaron</v>
      </c>
      <c r="B801" s="3">
        <f ca="1">IFERROR(__xludf.DUMMYFUNCTION("""COMPUTED_VALUE"""),1)</f>
        <v>1</v>
      </c>
      <c r="C801" s="7">
        <f ca="1">IFERROR(__xludf.DUMMYFUNCTION("""COMPUTED_VALUE"""),1)</f>
        <v>1</v>
      </c>
      <c r="D801" s="8">
        <f ca="1">IFERROR(__xludf.DUMMYFUNCTION("""COMPUTED_VALUE"""),1)</f>
        <v>1</v>
      </c>
      <c r="E801" s="2">
        <f ca="1">IFERROR(__xludf.DUMMYFUNCTION("""COMPUTED_VALUE"""),1)</f>
        <v>1</v>
      </c>
    </row>
    <row r="802" spans="1:5" ht="13">
      <c r="A802" s="8" t="str">
        <f ca="1">IFERROR(__xludf.DUMMYFUNCTION("""COMPUTED_VALUE"""),"Blanc, Adolphe")</f>
        <v>Blanc, Adolphe</v>
      </c>
      <c r="B802" s="3">
        <f ca="1">IFERROR(__xludf.DUMMYFUNCTION("""COMPUTED_VALUE"""),1)</f>
        <v>1</v>
      </c>
      <c r="C802" s="7">
        <f ca="1">IFERROR(__xludf.DUMMYFUNCTION("""COMPUTED_VALUE"""),1)</f>
        <v>1</v>
      </c>
      <c r="D802" s="8">
        <f ca="1">IFERROR(__xludf.DUMMYFUNCTION("""COMPUTED_VALUE"""),5)</f>
        <v>5</v>
      </c>
      <c r="E802" s="2">
        <f ca="1">IFERROR(__xludf.DUMMYFUNCTION("""COMPUTED_VALUE"""),2)</f>
        <v>2</v>
      </c>
    </row>
    <row r="803" spans="1:5" ht="13">
      <c r="A803" s="8" t="str">
        <f ca="1">IFERROR(__xludf.DUMMYFUNCTION("""COMPUTED_VALUE"""),"Blane, Ralph")</f>
        <v>Blane, Ralph</v>
      </c>
      <c r="B803" s="3">
        <f ca="1">IFERROR(__xludf.DUMMYFUNCTION("""COMPUTED_VALUE"""),1)</f>
        <v>1</v>
      </c>
      <c r="C803" s="7">
        <f ca="1">IFERROR(__xludf.DUMMYFUNCTION("""COMPUTED_VALUE"""),1)</f>
        <v>1</v>
      </c>
      <c r="D803" s="8">
        <f ca="1">IFERROR(__xludf.DUMMYFUNCTION("""COMPUTED_VALUE"""),5)</f>
        <v>5</v>
      </c>
      <c r="E803" s="2">
        <f ca="1">IFERROR(__xludf.DUMMYFUNCTION("""COMPUTED_VALUE"""),2)</f>
        <v>2</v>
      </c>
    </row>
    <row r="804" spans="1:5" ht="13">
      <c r="A804" s="8" t="str">
        <f ca="1">IFERROR(__xludf.DUMMYFUNCTION("""COMPUTED_VALUE"""),"Blankenburg, H.L.")</f>
        <v>Blankenburg, H.L.</v>
      </c>
      <c r="B804" s="3">
        <f ca="1">IFERROR(__xludf.DUMMYFUNCTION("""COMPUTED_VALUE"""),1)</f>
        <v>1</v>
      </c>
      <c r="C804" s="7">
        <f ca="1">IFERROR(__xludf.DUMMYFUNCTION("""COMPUTED_VALUE"""),1)</f>
        <v>1</v>
      </c>
      <c r="D804" s="8">
        <f ca="1">IFERROR(__xludf.DUMMYFUNCTION("""COMPUTED_VALUE"""),5)</f>
        <v>5</v>
      </c>
      <c r="E804" s="2">
        <f ca="1">IFERROR(__xludf.DUMMYFUNCTION("""COMPUTED_VALUE"""),2)</f>
        <v>2</v>
      </c>
    </row>
    <row r="805" spans="1:5" ht="13">
      <c r="A805" s="8" t="str">
        <f ca="1">IFERROR(__xludf.DUMMYFUNCTION("""COMPUTED_VALUE"""),"Blankenburg, Hermann Ludwig")</f>
        <v>Blankenburg, Hermann Ludwig</v>
      </c>
      <c r="B805" s="3">
        <f ca="1">IFERROR(__xludf.DUMMYFUNCTION("""COMPUTED_VALUE"""),1)</f>
        <v>1</v>
      </c>
      <c r="C805" s="7">
        <f ca="1">IFERROR(__xludf.DUMMYFUNCTION("""COMPUTED_VALUE"""),1)</f>
        <v>1</v>
      </c>
      <c r="D805" s="8">
        <f ca="1">IFERROR(__xludf.DUMMYFUNCTION("""COMPUTED_VALUE"""),5)</f>
        <v>5</v>
      </c>
      <c r="E805" s="2">
        <f ca="1">IFERROR(__xludf.DUMMYFUNCTION("""COMPUTED_VALUE"""),2)</f>
        <v>2</v>
      </c>
    </row>
    <row r="806" spans="1:5" ht="13">
      <c r="A806" s="2" t="str">
        <f ca="1">IFERROR(__xludf.DUMMYFUNCTION("""COMPUTED_VALUE"""),"Blankenship, Mark")</f>
        <v>Blankenship, Mark</v>
      </c>
      <c r="B806" s="3">
        <f ca="1">IFERROR(__xludf.DUMMYFUNCTION("""COMPUTED_VALUE"""),1)</f>
        <v>1</v>
      </c>
      <c r="C806" s="7">
        <f ca="1">IFERROR(__xludf.DUMMYFUNCTION("""COMPUTED_VALUE"""),1)</f>
        <v>1</v>
      </c>
      <c r="D806" s="8">
        <f ca="1">IFERROR(__xludf.DUMMYFUNCTION("""COMPUTED_VALUE"""),1)</f>
        <v>1</v>
      </c>
      <c r="E806" s="2">
        <f ca="1">IFERROR(__xludf.DUMMYFUNCTION("""COMPUTED_VALUE"""),1)</f>
        <v>1</v>
      </c>
    </row>
    <row r="807" spans="1:5" ht="13">
      <c r="A807" s="8" t="str">
        <f ca="1">IFERROR(__xludf.DUMMYFUNCTION("""COMPUTED_VALUE"""),"Blankenship, Rob")</f>
        <v>Blankenship, Rob</v>
      </c>
      <c r="B807" s="3">
        <f ca="1">IFERROR(__xludf.DUMMYFUNCTION("""COMPUTED_VALUE"""),1)</f>
        <v>1</v>
      </c>
      <c r="C807" s="7">
        <f ca="1">IFERROR(__xludf.DUMMYFUNCTION("""COMPUTED_VALUE"""),1)</f>
        <v>1</v>
      </c>
      <c r="D807" s="8">
        <f ca="1">IFERROR(__xludf.DUMMYFUNCTION("""COMPUTED_VALUE"""),1)</f>
        <v>1</v>
      </c>
      <c r="E807" s="2">
        <f ca="1">IFERROR(__xludf.DUMMYFUNCTION("""COMPUTED_VALUE"""),1)</f>
        <v>1</v>
      </c>
    </row>
    <row r="808" spans="1:5" ht="13">
      <c r="A808" s="8" t="str">
        <f ca="1">IFERROR(__xludf.DUMMYFUNCTION("""COMPUTED_VALUE"""),"Blasko, Ben")</f>
        <v>Blasko, Ben</v>
      </c>
      <c r="B808" s="3">
        <f ca="1">IFERROR(__xludf.DUMMYFUNCTION("""COMPUTED_VALUE"""),1)</f>
        <v>1</v>
      </c>
      <c r="C808" s="7">
        <f ca="1">IFERROR(__xludf.DUMMYFUNCTION("""COMPUTED_VALUE"""),1)</f>
        <v>1</v>
      </c>
      <c r="D808" s="8">
        <f ca="1">IFERROR(__xludf.DUMMYFUNCTION("""COMPUTED_VALUE"""),1)</f>
        <v>1</v>
      </c>
      <c r="E808" s="2">
        <f ca="1">IFERROR(__xludf.DUMMYFUNCTION("""COMPUTED_VALUE"""),1)</f>
        <v>1</v>
      </c>
    </row>
    <row r="809" spans="1:5" ht="13">
      <c r="A809" s="2" t="str">
        <f ca="1">IFERROR(__xludf.DUMMYFUNCTION("""COMPUTED_VALUE"""),"Blasser, Gustav")</f>
        <v>Blasser, Gustav</v>
      </c>
      <c r="B809" s="3">
        <f ca="1">IFERROR(__xludf.DUMMYFUNCTION("""COMPUTED_VALUE"""),1)</f>
        <v>1</v>
      </c>
      <c r="C809" s="7">
        <f ca="1">IFERROR(__xludf.DUMMYFUNCTION("""COMPUTED_VALUE"""),1)</f>
        <v>1</v>
      </c>
      <c r="D809" s="8">
        <f ca="1">IFERROR(__xludf.DUMMYFUNCTION("""COMPUTED_VALUE"""),5)</f>
        <v>5</v>
      </c>
      <c r="E809" s="2">
        <f ca="1">IFERROR(__xludf.DUMMYFUNCTION("""COMPUTED_VALUE"""),2)</f>
        <v>2</v>
      </c>
    </row>
    <row r="810" spans="1:5" ht="13">
      <c r="A810" s="8" t="str">
        <f ca="1">IFERROR(__xludf.DUMMYFUNCTION("""COMPUTED_VALUE"""),"Blecharz, Wojtek")</f>
        <v>Blecharz, Wojtek</v>
      </c>
      <c r="B810" s="3">
        <f ca="1">IFERROR(__xludf.DUMMYFUNCTION("""COMPUTED_VALUE"""),1)</f>
        <v>1</v>
      </c>
      <c r="C810" s="7">
        <f ca="1">IFERROR(__xludf.DUMMYFUNCTION("""COMPUTED_VALUE"""),1)</f>
        <v>1</v>
      </c>
      <c r="D810" s="8">
        <f ca="1">IFERROR(__xludf.DUMMYFUNCTION("""COMPUTED_VALUE"""),1)</f>
        <v>1</v>
      </c>
      <c r="E810" s="2">
        <f ca="1">IFERROR(__xludf.DUMMYFUNCTION("""COMPUTED_VALUE"""),1)</f>
        <v>1</v>
      </c>
    </row>
    <row r="811" spans="1:5" ht="13">
      <c r="A811" s="2" t="str">
        <f ca="1">IFERROR(__xludf.DUMMYFUNCTION("""COMPUTED_VALUE"""),"Bleckner, Andrew")</f>
        <v>Bleckner, Andrew</v>
      </c>
      <c r="B811" s="3">
        <f ca="1">IFERROR(__xludf.DUMMYFUNCTION("""COMPUTED_VALUE"""),1)</f>
        <v>1</v>
      </c>
      <c r="C811" s="7">
        <f ca="1">IFERROR(__xludf.DUMMYFUNCTION("""COMPUTED_VALUE"""),1)</f>
        <v>1</v>
      </c>
      <c r="D811" s="8">
        <f ca="1">IFERROR(__xludf.DUMMYFUNCTION("""COMPUTED_VALUE"""),1)</f>
        <v>1</v>
      </c>
      <c r="E811" s="2">
        <f ca="1">IFERROR(__xludf.DUMMYFUNCTION("""COMPUTED_VALUE"""),1)</f>
        <v>1</v>
      </c>
    </row>
    <row r="812" spans="1:5" ht="13">
      <c r="A812" s="2" t="str">
        <f ca="1">IFERROR(__xludf.DUMMYFUNCTION("""COMPUTED_VALUE"""),"Blessing, Ben")</f>
        <v>Blessing, Ben</v>
      </c>
      <c r="B812" s="3">
        <f ca="1">IFERROR(__xludf.DUMMYFUNCTION("""COMPUTED_VALUE"""),1)</f>
        <v>1</v>
      </c>
      <c r="C812" s="7">
        <f ca="1">IFERROR(__xludf.DUMMYFUNCTION("""COMPUTED_VALUE"""),1)</f>
        <v>1</v>
      </c>
      <c r="D812" s="8">
        <f ca="1">IFERROR(__xludf.DUMMYFUNCTION("""COMPUTED_VALUE"""),1)</f>
        <v>1</v>
      </c>
      <c r="E812" s="2">
        <f ca="1">IFERROR(__xludf.DUMMYFUNCTION("""COMPUTED_VALUE"""),1)</f>
        <v>1</v>
      </c>
    </row>
    <row r="813" spans="1:5" ht="13">
      <c r="A813" s="2" t="str">
        <f ca="1">IFERROR(__xludf.DUMMYFUNCTION("""COMPUTED_VALUE"""),"Blessinger, Martin")</f>
        <v>Blessinger, Martin</v>
      </c>
      <c r="B813" s="3">
        <f ca="1">IFERROR(__xludf.DUMMYFUNCTION("""COMPUTED_VALUE"""),1)</f>
        <v>1</v>
      </c>
      <c r="C813" s="7">
        <f ca="1">IFERROR(__xludf.DUMMYFUNCTION("""COMPUTED_VALUE"""),1)</f>
        <v>1</v>
      </c>
      <c r="D813" s="8">
        <f ca="1">IFERROR(__xludf.DUMMYFUNCTION("""COMPUTED_VALUE"""),1)</f>
        <v>1</v>
      </c>
      <c r="E813" s="2">
        <f ca="1">IFERROR(__xludf.DUMMYFUNCTION("""COMPUTED_VALUE"""),1)</f>
        <v>1</v>
      </c>
    </row>
    <row r="814" spans="1:5" ht="13">
      <c r="A814" s="2" t="str">
        <f ca="1">IFERROR(__xludf.DUMMYFUNCTION("""COMPUTED_VALUE"""),"Blickhan, Tim")</f>
        <v>Blickhan, Tim</v>
      </c>
      <c r="B814" s="3">
        <f ca="1">IFERROR(__xludf.DUMMYFUNCTION("""COMPUTED_VALUE"""),1)</f>
        <v>1</v>
      </c>
      <c r="C814" s="7">
        <f ca="1">IFERROR(__xludf.DUMMYFUNCTION("""COMPUTED_VALUE"""),1)</f>
        <v>1</v>
      </c>
      <c r="D814" s="8">
        <f ca="1">IFERROR(__xludf.DUMMYFUNCTION("""COMPUTED_VALUE"""),1)</f>
        <v>1</v>
      </c>
      <c r="E814" s="2">
        <f ca="1">IFERROR(__xludf.DUMMYFUNCTION("""COMPUTED_VALUE"""),1)</f>
        <v>1</v>
      </c>
    </row>
    <row r="815" spans="1:5" ht="13">
      <c r="A815" s="8" t="str">
        <f ca="1">IFERROR(__xludf.DUMMYFUNCTION("""COMPUTED_VALUE"""),"Bliss, Arthur")</f>
        <v>Bliss, Arthur</v>
      </c>
      <c r="B815" s="3">
        <f ca="1">IFERROR(__xludf.DUMMYFUNCTION("""COMPUTED_VALUE"""),1)</f>
        <v>1</v>
      </c>
      <c r="C815" s="7">
        <f ca="1">IFERROR(__xludf.DUMMYFUNCTION("""COMPUTED_VALUE"""),1)</f>
        <v>1</v>
      </c>
      <c r="D815" s="8">
        <f ca="1">IFERROR(__xludf.DUMMYFUNCTION("""COMPUTED_VALUE"""),5)</f>
        <v>5</v>
      </c>
      <c r="E815" s="2">
        <f ca="1">IFERROR(__xludf.DUMMYFUNCTION("""COMPUTED_VALUE"""),2)</f>
        <v>2</v>
      </c>
    </row>
    <row r="816" spans="1:5" ht="13">
      <c r="A816" s="8" t="str">
        <f ca="1">IFERROR(__xludf.DUMMYFUNCTION("""COMPUTED_VALUE"""),"Bliss, John")</f>
        <v>Bliss, John</v>
      </c>
      <c r="B816" s="3">
        <f ca="1">IFERROR(__xludf.DUMMYFUNCTION("""COMPUTED_VALUE"""),1)</f>
        <v>1</v>
      </c>
      <c r="C816" s="7">
        <f ca="1">IFERROR(__xludf.DUMMYFUNCTION("""COMPUTED_VALUE"""),1)</f>
        <v>1</v>
      </c>
      <c r="D816" s="8">
        <f ca="1">IFERROR(__xludf.DUMMYFUNCTION("""COMPUTED_VALUE"""),1)</f>
        <v>1</v>
      </c>
      <c r="E816" s="2">
        <f ca="1">IFERROR(__xludf.DUMMYFUNCTION("""COMPUTED_VALUE"""),1)</f>
        <v>1</v>
      </c>
    </row>
    <row r="817" spans="1:5" ht="13">
      <c r="A817" s="2" t="str">
        <f ca="1">IFERROR(__xludf.DUMMYFUNCTION("""COMPUTED_VALUE"""),"Bliss, Philip")</f>
        <v>Bliss, Philip</v>
      </c>
      <c r="B817" s="3">
        <f ca="1">IFERROR(__xludf.DUMMYFUNCTION("""COMPUTED_VALUE"""),1)</f>
        <v>1</v>
      </c>
      <c r="C817" s="7">
        <f ca="1">IFERROR(__xludf.DUMMYFUNCTION("""COMPUTED_VALUE"""),1)</f>
        <v>1</v>
      </c>
      <c r="D817" s="8">
        <f ca="1">IFERROR(__xludf.DUMMYFUNCTION("""COMPUTED_VALUE"""),5)</f>
        <v>5</v>
      </c>
      <c r="E817" s="2">
        <f ca="1">IFERROR(__xludf.DUMMYFUNCTION("""COMPUTED_VALUE"""),2)</f>
        <v>2</v>
      </c>
    </row>
    <row r="818" spans="1:5" ht="13">
      <c r="A818" s="2" t="str">
        <f ca="1">IFERROR(__xludf.DUMMYFUNCTION("""COMPUTED_VALUE"""),"Bliss, Philip P.")</f>
        <v>Bliss, Philip P.</v>
      </c>
      <c r="B818" s="2">
        <f ca="1">IFERROR(__xludf.DUMMYFUNCTION("""COMPUTED_VALUE"""),1)</f>
        <v>1</v>
      </c>
      <c r="C818" s="7">
        <f ca="1">IFERROR(__xludf.DUMMYFUNCTION("""COMPUTED_VALUE"""),1)</f>
        <v>1</v>
      </c>
      <c r="D818" s="8">
        <f ca="1">IFERROR(__xludf.DUMMYFUNCTION("""COMPUTED_VALUE"""),5)</f>
        <v>5</v>
      </c>
      <c r="E818" s="2">
        <f ca="1">IFERROR(__xludf.DUMMYFUNCTION("""COMPUTED_VALUE"""),2)</f>
        <v>2</v>
      </c>
    </row>
    <row r="819" spans="1:5" ht="13">
      <c r="A819" s="8" t="str">
        <f ca="1">IFERROR(__xludf.DUMMYFUNCTION("""COMPUTED_VALUE"""),"Bloch, Ernest")</f>
        <v>Bloch, Ernest</v>
      </c>
      <c r="B819" s="3">
        <f ca="1">IFERROR(__xludf.DUMMYFUNCTION("""COMPUTED_VALUE"""),1)</f>
        <v>1</v>
      </c>
      <c r="C819" s="7">
        <f ca="1">IFERROR(__xludf.DUMMYFUNCTION("""COMPUTED_VALUE"""),1)</f>
        <v>1</v>
      </c>
      <c r="D819" s="8">
        <f ca="1">IFERROR(__xludf.DUMMYFUNCTION("""COMPUTED_VALUE"""),5)</f>
        <v>5</v>
      </c>
      <c r="E819" s="2">
        <f ca="1">IFERROR(__xludf.DUMMYFUNCTION("""COMPUTED_VALUE"""),2)</f>
        <v>2</v>
      </c>
    </row>
    <row r="820" spans="1:5" ht="13">
      <c r="A820" s="8" t="str">
        <f ca="1">IFERROR(__xludf.DUMMYFUNCTION("""COMPUTED_VALUE"""),"Blocher, Larry")</f>
        <v>Blocher, Larry</v>
      </c>
      <c r="B820" s="3">
        <f ca="1">IFERROR(__xludf.DUMMYFUNCTION("""COMPUTED_VALUE"""),1)</f>
        <v>1</v>
      </c>
      <c r="C820" s="7">
        <f ca="1">IFERROR(__xludf.DUMMYFUNCTION("""COMPUTED_VALUE"""),1)</f>
        <v>1</v>
      </c>
      <c r="D820" s="8">
        <f ca="1">IFERROR(__xludf.DUMMYFUNCTION("""COMPUTED_VALUE"""),1)</f>
        <v>1</v>
      </c>
      <c r="E820" s="2">
        <f ca="1">IFERROR(__xludf.DUMMYFUNCTION("""COMPUTED_VALUE"""),1)</f>
        <v>1</v>
      </c>
    </row>
    <row r="821" spans="1:5" ht="13">
      <c r="A821" s="2" t="str">
        <f ca="1">IFERROR(__xludf.DUMMYFUNCTION("""COMPUTED_VALUE"""),"Bloesch, Richard")</f>
        <v>Bloesch, Richard</v>
      </c>
      <c r="B821" s="2">
        <f ca="1">IFERROR(__xludf.DUMMYFUNCTION("""COMPUTED_VALUE"""),1)</f>
        <v>1</v>
      </c>
      <c r="C821" s="2">
        <f ca="1">IFERROR(__xludf.DUMMYFUNCTION("""COMPUTED_VALUE"""),1)</f>
        <v>1</v>
      </c>
      <c r="D821" s="8">
        <f ca="1">IFERROR(__xludf.DUMMYFUNCTION("""COMPUTED_VALUE"""),1)</f>
        <v>1</v>
      </c>
      <c r="E821" s="2">
        <f ca="1">IFERROR(__xludf.DUMMYFUNCTION("""COMPUTED_VALUE"""),1)</f>
        <v>1</v>
      </c>
    </row>
    <row r="822" spans="1:5" ht="13">
      <c r="A822" s="8" t="str">
        <f ca="1">IFERROR(__xludf.DUMMYFUNCTION("""COMPUTED_VALUE"""),"Blon, Franz von")</f>
        <v>Blon, Franz von</v>
      </c>
      <c r="B822" s="3">
        <f ca="1">IFERROR(__xludf.DUMMYFUNCTION("""COMPUTED_VALUE"""),1)</f>
        <v>1</v>
      </c>
      <c r="C822" s="7">
        <f ca="1">IFERROR(__xludf.DUMMYFUNCTION("""COMPUTED_VALUE"""),1)</f>
        <v>1</v>
      </c>
      <c r="D822" s="8">
        <f ca="1">IFERROR(__xludf.DUMMYFUNCTION("""COMPUTED_VALUE"""),5)</f>
        <v>5</v>
      </c>
      <c r="E822" s="2">
        <f ca="1">IFERROR(__xludf.DUMMYFUNCTION("""COMPUTED_VALUE"""),2)</f>
        <v>2</v>
      </c>
    </row>
    <row r="823" spans="1:5" ht="13">
      <c r="A823" s="8" t="str">
        <f ca="1">IFERROR(__xludf.DUMMYFUNCTION("""COMPUTED_VALUE"""),"Bloodworth, Denis")</f>
        <v>Bloodworth, Denis</v>
      </c>
      <c r="B823" s="2">
        <f ca="1">IFERROR(__xludf.DUMMYFUNCTION("""COMPUTED_VALUE"""),1)</f>
        <v>1</v>
      </c>
      <c r="C823" s="7">
        <f ca="1">IFERROR(__xludf.DUMMYFUNCTION("""COMPUTED_VALUE"""),1)</f>
        <v>1</v>
      </c>
      <c r="D823" s="8">
        <f ca="1">IFERROR(__xludf.DUMMYFUNCTION("""COMPUTED_VALUE"""),5)</f>
        <v>5</v>
      </c>
      <c r="E823" s="2">
        <f ca="1">IFERROR(__xludf.DUMMYFUNCTION("""COMPUTED_VALUE"""),2)</f>
        <v>2</v>
      </c>
    </row>
    <row r="824" spans="1:5" ht="13">
      <c r="A824" s="8" t="str">
        <f ca="1">IFERROR(__xludf.DUMMYFUNCTION("""COMPUTED_VALUE"""),"Bloodworth, Denis / Fluck, Alan")</f>
        <v>Bloodworth, Denis / Fluck, Alan</v>
      </c>
      <c r="B824" s="3">
        <f ca="1">IFERROR(__xludf.DUMMYFUNCTION("""COMPUTED_VALUE"""),1)</f>
        <v>1</v>
      </c>
      <c r="C824" s="7">
        <f ca="1">IFERROR(__xludf.DUMMYFUNCTION("""COMPUTED_VALUE"""),1)</f>
        <v>1</v>
      </c>
      <c r="D824" s="8">
        <f ca="1">IFERROR(__xludf.DUMMYFUNCTION("""COMPUTED_VALUE"""),5)</f>
        <v>5</v>
      </c>
      <c r="E824" s="2">
        <f ca="1">IFERROR(__xludf.DUMMYFUNCTION("""COMPUTED_VALUE"""),2)</f>
        <v>2</v>
      </c>
    </row>
    <row r="825" spans="1:5" ht="13">
      <c r="A825" s="8" t="str">
        <f ca="1">IFERROR(__xludf.DUMMYFUNCTION("""COMPUTED_VALUE"""),"Blow, John")</f>
        <v>Blow, John</v>
      </c>
      <c r="B825" s="3">
        <f ca="1">IFERROR(__xludf.DUMMYFUNCTION("""COMPUTED_VALUE"""),1)</f>
        <v>1</v>
      </c>
      <c r="C825" s="7">
        <f ca="1">IFERROR(__xludf.DUMMYFUNCTION("""COMPUTED_VALUE"""),1)</f>
        <v>1</v>
      </c>
      <c r="D825" s="8">
        <f ca="1">IFERROR(__xludf.DUMMYFUNCTION("""COMPUTED_VALUE"""),5)</f>
        <v>5</v>
      </c>
      <c r="E825" s="2">
        <f ca="1">IFERROR(__xludf.DUMMYFUNCTION("""COMPUTED_VALUE"""),2)</f>
        <v>2</v>
      </c>
    </row>
    <row r="826" spans="1:5" ht="13">
      <c r="A826" s="8" t="str">
        <f ca="1">IFERROR(__xludf.DUMMYFUNCTION("""COMPUTED_VALUE"""),"Blume, Brian")</f>
        <v>Blume, Brian</v>
      </c>
      <c r="B826" s="3">
        <f ca="1">IFERROR(__xludf.DUMMYFUNCTION("""COMPUTED_VALUE"""),1)</f>
        <v>1</v>
      </c>
      <c r="C826" s="7">
        <f ca="1">IFERROR(__xludf.DUMMYFUNCTION("""COMPUTED_VALUE"""),1)</f>
        <v>1</v>
      </c>
      <c r="D826" s="8">
        <f ca="1">IFERROR(__xludf.DUMMYFUNCTION("""COMPUTED_VALUE"""),1)</f>
        <v>1</v>
      </c>
      <c r="E826" s="2">
        <f ca="1">IFERROR(__xludf.DUMMYFUNCTION("""COMPUTED_VALUE"""),1)</f>
        <v>1</v>
      </c>
    </row>
    <row r="827" spans="1:5" ht="13">
      <c r="A827" s="2" t="str">
        <f ca="1">IFERROR(__xludf.DUMMYFUNCTION("""COMPUTED_VALUE"""),"Blumenau, Rod")</f>
        <v>Blumenau, Rod</v>
      </c>
      <c r="B827" s="3">
        <f ca="1">IFERROR(__xludf.DUMMYFUNCTION("""COMPUTED_VALUE"""),1)</f>
        <v>1</v>
      </c>
      <c r="C827" s="7">
        <f ca="1">IFERROR(__xludf.DUMMYFUNCTION("""COMPUTED_VALUE"""),1)</f>
        <v>1</v>
      </c>
      <c r="D827" s="8">
        <f ca="1">IFERROR(__xludf.DUMMYFUNCTION("""COMPUTED_VALUE"""),1)</f>
        <v>1</v>
      </c>
      <c r="E827" s="2">
        <f ca="1">IFERROR(__xludf.DUMMYFUNCTION("""COMPUTED_VALUE"""),1)</f>
        <v>1</v>
      </c>
    </row>
    <row r="828" spans="1:5" ht="13">
      <c r="A828" s="2" t="str">
        <f ca="1">IFERROR(__xludf.DUMMYFUNCTION("""COMPUTED_VALUE"""),"Blumer, Theodor")</f>
        <v>Blumer, Theodor</v>
      </c>
      <c r="B828" s="3">
        <f ca="1">IFERROR(__xludf.DUMMYFUNCTION("""COMPUTED_VALUE"""),1)</f>
        <v>1</v>
      </c>
      <c r="C828" s="7">
        <f ca="1">IFERROR(__xludf.DUMMYFUNCTION("""COMPUTED_VALUE"""),1)</f>
        <v>1</v>
      </c>
      <c r="D828" s="8">
        <f ca="1">IFERROR(__xludf.DUMMYFUNCTION("""COMPUTED_VALUE"""),5)</f>
        <v>5</v>
      </c>
      <c r="E828" s="2">
        <f ca="1">IFERROR(__xludf.DUMMYFUNCTION("""COMPUTED_VALUE"""),2)</f>
        <v>2</v>
      </c>
    </row>
    <row r="829" spans="1:5" ht="13">
      <c r="A829" s="2" t="str">
        <f ca="1">IFERROR(__xludf.DUMMYFUNCTION("""COMPUTED_VALUE"""),"Boberg, Robert")</f>
        <v>Boberg, Robert</v>
      </c>
      <c r="B829" s="3">
        <f ca="1">IFERROR(__xludf.DUMMYFUNCTION("""COMPUTED_VALUE"""),1)</f>
        <v>1</v>
      </c>
      <c r="C829" s="7">
        <f ca="1">IFERROR(__xludf.DUMMYFUNCTION("""COMPUTED_VALUE"""),1)</f>
        <v>1</v>
      </c>
      <c r="D829" s="8">
        <f ca="1">IFERROR(__xludf.DUMMYFUNCTION("""COMPUTED_VALUE"""),1)</f>
        <v>1</v>
      </c>
      <c r="E829" s="2">
        <f ca="1">IFERROR(__xludf.DUMMYFUNCTION("""COMPUTED_VALUE"""),1)</f>
        <v>1</v>
      </c>
    </row>
    <row r="830" spans="1:5" ht="13">
      <c r="A830" s="2" t="str">
        <f ca="1">IFERROR(__xludf.DUMMYFUNCTION("""COMPUTED_VALUE"""),"Bobetsky, Victor")</f>
        <v>Bobetsky, Victor</v>
      </c>
      <c r="B830" s="3">
        <f ca="1">IFERROR(__xludf.DUMMYFUNCTION("""COMPUTED_VALUE"""),1)</f>
        <v>1</v>
      </c>
      <c r="C830" s="7">
        <f ca="1">IFERROR(__xludf.DUMMYFUNCTION("""COMPUTED_VALUE"""),1)</f>
        <v>1</v>
      </c>
      <c r="D830" s="8">
        <f ca="1">IFERROR(__xludf.DUMMYFUNCTION("""COMPUTED_VALUE"""),1)</f>
        <v>1</v>
      </c>
      <c r="E830" s="2">
        <f ca="1">IFERROR(__xludf.DUMMYFUNCTION("""COMPUTED_VALUE"""),1)</f>
        <v>1</v>
      </c>
    </row>
    <row r="831" spans="1:5" ht="13">
      <c r="A831" s="8" t="str">
        <f ca="1">IFERROR(__xludf.DUMMYFUNCTION("""COMPUTED_VALUE"""),"Bobic, Davor")</f>
        <v>Bobic, Davor</v>
      </c>
      <c r="B831" s="3">
        <f ca="1">IFERROR(__xludf.DUMMYFUNCTION("""COMPUTED_VALUE"""),1)</f>
        <v>1</v>
      </c>
      <c r="C831" s="7">
        <f ca="1">IFERROR(__xludf.DUMMYFUNCTION("""COMPUTED_VALUE"""),1)</f>
        <v>1</v>
      </c>
      <c r="D831" s="8">
        <f ca="1">IFERROR(__xludf.DUMMYFUNCTION("""COMPUTED_VALUE"""),1)</f>
        <v>1</v>
      </c>
      <c r="E831" s="2">
        <f ca="1">IFERROR(__xludf.DUMMYFUNCTION("""COMPUTED_VALUE"""),1)</f>
        <v>1</v>
      </c>
    </row>
    <row r="832" spans="1:5" ht="13">
      <c r="A832" s="8" t="str">
        <f ca="1">IFERROR(__xludf.DUMMYFUNCTION("""COMPUTED_VALUE"""),"Bobo, Kevin")</f>
        <v>Bobo, Kevin</v>
      </c>
      <c r="B832" s="3">
        <f ca="1">IFERROR(__xludf.DUMMYFUNCTION("""COMPUTED_VALUE"""),1)</f>
        <v>1</v>
      </c>
      <c r="C832" s="7">
        <f ca="1">IFERROR(__xludf.DUMMYFUNCTION("""COMPUTED_VALUE"""),1)</f>
        <v>1</v>
      </c>
      <c r="D832" s="8">
        <f ca="1">IFERROR(__xludf.DUMMYFUNCTION("""COMPUTED_VALUE"""),1)</f>
        <v>1</v>
      </c>
      <c r="E832" s="2">
        <f ca="1">IFERROR(__xludf.DUMMYFUNCTION("""COMPUTED_VALUE"""),1)</f>
        <v>1</v>
      </c>
    </row>
    <row r="833" spans="1:5" ht="13">
      <c r="A833" s="8" t="str">
        <f ca="1">IFERROR(__xludf.DUMMYFUNCTION("""COMPUTED_VALUE"""),"Bobrowitz, David")</f>
        <v>Bobrowitz, David</v>
      </c>
      <c r="B833" s="3">
        <f ca="1">IFERROR(__xludf.DUMMYFUNCTION("""COMPUTED_VALUE"""),1)</f>
        <v>1</v>
      </c>
      <c r="C833" s="7">
        <f ca="1">IFERROR(__xludf.DUMMYFUNCTION("""COMPUTED_VALUE"""),1)</f>
        <v>1</v>
      </c>
      <c r="D833" s="8">
        <f ca="1">IFERROR(__xludf.DUMMYFUNCTION("""COMPUTED_VALUE"""),1)</f>
        <v>1</v>
      </c>
      <c r="E833" s="2">
        <f ca="1">IFERROR(__xludf.DUMMYFUNCTION("""COMPUTED_VALUE"""),1)</f>
        <v>1</v>
      </c>
    </row>
    <row r="834" spans="1:5" ht="13">
      <c r="A834" s="8" t="str">
        <f ca="1">IFERROR(__xludf.DUMMYFUNCTION("""COMPUTED_VALUE"""),"Boccalari, Eduardo")</f>
        <v>Boccalari, Eduardo</v>
      </c>
      <c r="B834" s="3">
        <f ca="1">IFERROR(__xludf.DUMMYFUNCTION("""COMPUTED_VALUE"""),1)</f>
        <v>1</v>
      </c>
      <c r="C834" s="7">
        <f ca="1">IFERROR(__xludf.DUMMYFUNCTION("""COMPUTED_VALUE"""),1)</f>
        <v>1</v>
      </c>
      <c r="D834" s="8">
        <f ca="1">IFERROR(__xludf.DUMMYFUNCTION("""COMPUTED_VALUE"""),5)</f>
        <v>5</v>
      </c>
      <c r="E834" s="2">
        <f ca="1">IFERROR(__xludf.DUMMYFUNCTION("""COMPUTED_VALUE"""),2)</f>
        <v>2</v>
      </c>
    </row>
    <row r="835" spans="1:5" ht="13">
      <c r="A835" s="8" t="str">
        <f ca="1">IFERROR(__xludf.DUMMYFUNCTION("""COMPUTED_VALUE"""),"Boccherini, Luigi")</f>
        <v>Boccherini, Luigi</v>
      </c>
      <c r="B835" s="3">
        <f ca="1">IFERROR(__xludf.DUMMYFUNCTION("""COMPUTED_VALUE"""),1)</f>
        <v>1</v>
      </c>
      <c r="C835" s="7">
        <f ca="1">IFERROR(__xludf.DUMMYFUNCTION("""COMPUTED_VALUE"""),1)</f>
        <v>1</v>
      </c>
      <c r="D835" s="8">
        <f ca="1">IFERROR(__xludf.DUMMYFUNCTION("""COMPUTED_VALUE"""),5)</f>
        <v>5</v>
      </c>
      <c r="E835" s="2">
        <f ca="1">IFERROR(__xludf.DUMMYFUNCTION("""COMPUTED_VALUE"""),2)</f>
        <v>2</v>
      </c>
    </row>
    <row r="836" spans="1:5" ht="13">
      <c r="A836" s="2" t="str">
        <f ca="1">IFERROR(__xludf.DUMMYFUNCTION("""COMPUTED_VALUE"""),"Bock II, Almon C.")</f>
        <v>Bock II, Almon C.</v>
      </c>
      <c r="B836" s="3">
        <f ca="1">IFERROR(__xludf.DUMMYFUNCTION("""COMPUTED_VALUE"""),1)</f>
        <v>1</v>
      </c>
      <c r="C836" s="7">
        <f ca="1">IFERROR(__xludf.DUMMYFUNCTION("""COMPUTED_VALUE"""),1)</f>
        <v>1</v>
      </c>
      <c r="D836" s="8">
        <f ca="1">IFERROR(__xludf.DUMMYFUNCTION("""COMPUTED_VALUE"""),1)</f>
        <v>1</v>
      </c>
      <c r="E836" s="2">
        <f ca="1">IFERROR(__xludf.DUMMYFUNCTION("""COMPUTED_VALUE"""),1)</f>
        <v>1</v>
      </c>
    </row>
    <row r="837" spans="1:5" ht="13">
      <c r="A837" s="2" t="str">
        <f ca="1">IFERROR(__xludf.DUMMYFUNCTION("""COMPUTED_VALUE"""),"Bock, Almon")</f>
        <v>Bock, Almon</v>
      </c>
      <c r="B837" s="3">
        <f ca="1">IFERROR(__xludf.DUMMYFUNCTION("""COMPUTED_VALUE"""),1)</f>
        <v>1</v>
      </c>
      <c r="C837" s="7">
        <f ca="1">IFERROR(__xludf.DUMMYFUNCTION("""COMPUTED_VALUE"""),1)</f>
        <v>1</v>
      </c>
      <c r="D837" s="8">
        <f ca="1">IFERROR(__xludf.DUMMYFUNCTION("""COMPUTED_VALUE"""),1)</f>
        <v>1</v>
      </c>
      <c r="E837" s="2">
        <f ca="1">IFERROR(__xludf.DUMMYFUNCTION("""COMPUTED_VALUE"""),1)</f>
        <v>1</v>
      </c>
    </row>
    <row r="838" spans="1:5" ht="13">
      <c r="A838" s="2" t="str">
        <f ca="1">IFERROR(__xludf.DUMMYFUNCTION("""COMPUTED_VALUE"""),"Bock, Fred")</f>
        <v>Bock, Fred</v>
      </c>
      <c r="B838" s="3">
        <f ca="1">IFERROR(__xludf.DUMMYFUNCTION("""COMPUTED_VALUE"""),1)</f>
        <v>1</v>
      </c>
      <c r="C838" s="7">
        <f ca="1">IFERROR(__xludf.DUMMYFUNCTION("""COMPUTED_VALUE"""),1)</f>
        <v>1</v>
      </c>
      <c r="D838" s="8">
        <f ca="1">IFERROR(__xludf.DUMMYFUNCTION("""COMPUTED_VALUE"""),5)</f>
        <v>5</v>
      </c>
      <c r="E838" s="2">
        <f ca="1">IFERROR(__xludf.DUMMYFUNCTION("""COMPUTED_VALUE"""),2)</f>
        <v>2</v>
      </c>
    </row>
    <row r="839" spans="1:5" ht="13">
      <c r="A839" s="8" t="str">
        <f ca="1">IFERROR(__xludf.DUMMYFUNCTION("""COMPUTED_VALUE"""),"Bock, Jerry")</f>
        <v>Bock, Jerry</v>
      </c>
      <c r="B839" s="3">
        <f ca="1">IFERROR(__xludf.DUMMYFUNCTION("""COMPUTED_VALUE"""),1)</f>
        <v>1</v>
      </c>
      <c r="C839" s="7">
        <f ca="1">IFERROR(__xludf.DUMMYFUNCTION("""COMPUTED_VALUE"""),1)</f>
        <v>1</v>
      </c>
      <c r="D839" s="8">
        <f ca="1">IFERROR(__xludf.DUMMYFUNCTION("""COMPUTED_VALUE"""),5)</f>
        <v>5</v>
      </c>
      <c r="E839" s="2">
        <f ca="1">IFERROR(__xludf.DUMMYFUNCTION("""COMPUTED_VALUE"""),2)</f>
        <v>2</v>
      </c>
    </row>
    <row r="840" spans="1:5" ht="13">
      <c r="A840" s="2" t="str">
        <f ca="1">IFERROR(__xludf.DUMMYFUNCTION("""COMPUTED_VALUE"""),"Bock, Jerry / Harnick, Sheldon")</f>
        <v>Bock, Jerry / Harnick, Sheldon</v>
      </c>
      <c r="B840" s="3">
        <f ca="1">IFERROR(__xludf.DUMMYFUNCTION("""COMPUTED_VALUE"""),1)</f>
        <v>1</v>
      </c>
      <c r="C840" s="7">
        <f ca="1">IFERROR(__xludf.DUMMYFUNCTION("""COMPUTED_VALUE"""),1)</f>
        <v>1</v>
      </c>
      <c r="D840" s="8">
        <f ca="1">IFERROR(__xludf.DUMMYFUNCTION("""COMPUTED_VALUE"""),5)</f>
        <v>5</v>
      </c>
      <c r="E840" s="2">
        <f ca="1">IFERROR(__xludf.DUMMYFUNCTION("""COMPUTED_VALUE"""),2)</f>
        <v>2</v>
      </c>
    </row>
    <row r="841" spans="1:5" ht="13">
      <c r="A841" s="2" t="str">
        <f ca="1">IFERROR(__xludf.DUMMYFUNCTION("""COMPUTED_VALUE"""),"Bock, Jerry / Holofcener, L. / Weiss, G.")</f>
        <v>Bock, Jerry / Holofcener, L. / Weiss, G.</v>
      </c>
      <c r="B841" s="3">
        <f ca="1">IFERROR(__xludf.DUMMYFUNCTION("""COMPUTED_VALUE"""),1)</f>
        <v>1</v>
      </c>
      <c r="C841" s="7">
        <f ca="1">IFERROR(__xludf.DUMMYFUNCTION("""COMPUTED_VALUE"""),1)</f>
        <v>1</v>
      </c>
      <c r="D841" s="8">
        <f ca="1">IFERROR(__xludf.DUMMYFUNCTION("""COMPUTED_VALUE"""),5)</f>
        <v>5</v>
      </c>
      <c r="E841" s="2">
        <f ca="1">IFERROR(__xludf.DUMMYFUNCTION("""COMPUTED_VALUE"""),2)</f>
        <v>2</v>
      </c>
    </row>
    <row r="842" spans="1:5" ht="13">
      <c r="A842" s="8" t="str">
        <f ca="1">IFERROR(__xludf.DUMMYFUNCTION("""COMPUTED_VALUE"""),"Bocook, Jay")</f>
        <v>Bocook, Jay</v>
      </c>
      <c r="B842" s="3">
        <f ca="1">IFERROR(__xludf.DUMMYFUNCTION("""COMPUTED_VALUE"""),1)</f>
        <v>1</v>
      </c>
      <c r="C842" s="7">
        <f ca="1">IFERROR(__xludf.DUMMYFUNCTION("""COMPUTED_VALUE"""),1)</f>
        <v>1</v>
      </c>
      <c r="D842" s="8">
        <f ca="1">IFERROR(__xludf.DUMMYFUNCTION("""COMPUTED_VALUE"""),1)</f>
        <v>1</v>
      </c>
      <c r="E842" s="2">
        <f ca="1">IFERROR(__xludf.DUMMYFUNCTION("""COMPUTED_VALUE"""),1)</f>
        <v>1</v>
      </c>
    </row>
    <row r="843" spans="1:5" ht="13">
      <c r="A843" s="2" t="str">
        <f ca="1">IFERROR(__xludf.DUMMYFUNCTION("""COMPUTED_VALUE"""),"Boda, John")</f>
        <v>Boda, John</v>
      </c>
      <c r="B843" s="3">
        <f ca="1">IFERROR(__xludf.DUMMYFUNCTION("""COMPUTED_VALUE"""),1)</f>
        <v>1</v>
      </c>
      <c r="C843" s="7">
        <f ca="1">IFERROR(__xludf.DUMMYFUNCTION("""COMPUTED_VALUE"""),1)</f>
        <v>1</v>
      </c>
      <c r="D843" s="8">
        <f ca="1">IFERROR(__xludf.DUMMYFUNCTION("""COMPUTED_VALUE"""),5)</f>
        <v>5</v>
      </c>
      <c r="E843" s="2">
        <f ca="1">IFERROR(__xludf.DUMMYFUNCTION("""COMPUTED_VALUE"""),2)</f>
        <v>2</v>
      </c>
    </row>
    <row r="844" spans="1:5" ht="13">
      <c r="A844" s="2" t="str">
        <f ca="1">IFERROR(__xludf.DUMMYFUNCTION("""COMPUTED_VALUE"""),"Bode, Robert")</f>
        <v>Bode, Robert</v>
      </c>
      <c r="B844" s="3">
        <f ca="1">IFERROR(__xludf.DUMMYFUNCTION("""COMPUTED_VALUE"""),1)</f>
        <v>1</v>
      </c>
      <c r="C844" s="7">
        <f ca="1">IFERROR(__xludf.DUMMYFUNCTION("""COMPUTED_VALUE"""),1)</f>
        <v>1</v>
      </c>
      <c r="D844" s="8">
        <f ca="1">IFERROR(__xludf.DUMMYFUNCTION("""COMPUTED_VALUE"""),1)</f>
        <v>1</v>
      </c>
      <c r="E844" s="2">
        <f ca="1">IFERROR(__xludf.DUMMYFUNCTION("""COMPUTED_VALUE"""),1)</f>
        <v>1</v>
      </c>
    </row>
    <row r="845" spans="1:5" ht="13">
      <c r="A845" s="8" t="str">
        <f ca="1">IFERROR(__xludf.DUMMYFUNCTION("""COMPUTED_VALUE"""),"Bodenschatz, Erhard")</f>
        <v>Bodenschatz, Erhard</v>
      </c>
      <c r="B845" s="3">
        <f ca="1">IFERROR(__xludf.DUMMYFUNCTION("""COMPUTED_VALUE"""),1)</f>
        <v>1</v>
      </c>
      <c r="C845" s="7">
        <f ca="1">IFERROR(__xludf.DUMMYFUNCTION("""COMPUTED_VALUE"""),1)</f>
        <v>1</v>
      </c>
      <c r="D845" s="8">
        <f ca="1">IFERROR(__xludf.DUMMYFUNCTION("""COMPUTED_VALUE"""),5)</f>
        <v>5</v>
      </c>
      <c r="E845" s="2">
        <f ca="1">IFERROR(__xludf.DUMMYFUNCTION("""COMPUTED_VALUE"""),2)</f>
        <v>2</v>
      </c>
    </row>
    <row r="846" spans="1:5" ht="13">
      <c r="A846" s="8" t="str">
        <f ca="1">IFERROR(__xludf.DUMMYFUNCTION("""COMPUTED_VALUE"""),"Bodine, G. Bradley")</f>
        <v>Bodine, G. Bradley</v>
      </c>
      <c r="B846" s="3">
        <f ca="1">IFERROR(__xludf.DUMMYFUNCTION("""COMPUTED_VALUE"""),1)</f>
        <v>1</v>
      </c>
      <c r="C846" s="7">
        <f ca="1">IFERROR(__xludf.DUMMYFUNCTION("""COMPUTED_VALUE"""),1)</f>
        <v>1</v>
      </c>
      <c r="D846" s="8">
        <f ca="1">IFERROR(__xludf.DUMMYFUNCTION("""COMPUTED_VALUE"""),1)</f>
        <v>1</v>
      </c>
      <c r="E846" s="2">
        <f ca="1">IFERROR(__xludf.DUMMYFUNCTION("""COMPUTED_VALUE"""),1)</f>
        <v>1</v>
      </c>
    </row>
    <row r="847" spans="1:5" ht="13">
      <c r="A847" s="2" t="str">
        <f ca="1">IFERROR(__xludf.DUMMYFUNCTION("""COMPUTED_VALUE"""),"Boehme, Oskar")</f>
        <v>Boehme, Oskar</v>
      </c>
      <c r="B847" s="2">
        <f ca="1">IFERROR(__xludf.DUMMYFUNCTION("""COMPUTED_VALUE"""),1)</f>
        <v>1</v>
      </c>
      <c r="C847" s="7">
        <f ca="1">IFERROR(__xludf.DUMMYFUNCTION("""COMPUTED_VALUE"""),1)</f>
        <v>1</v>
      </c>
      <c r="D847" s="8">
        <f ca="1">IFERROR(__xludf.DUMMYFUNCTION("""COMPUTED_VALUE"""),5)</f>
        <v>5</v>
      </c>
      <c r="E847" s="2">
        <f ca="1">IFERROR(__xludf.DUMMYFUNCTION("""COMPUTED_VALUE"""),2)</f>
        <v>2</v>
      </c>
    </row>
    <row r="848" spans="1:5" ht="13">
      <c r="A848" s="2" t="str">
        <f ca="1">IFERROR(__xludf.DUMMYFUNCTION("""COMPUTED_VALUE"""),"Boellmann, Leon")</f>
        <v>Boellmann, Leon</v>
      </c>
      <c r="B848" s="2">
        <f ca="1">IFERROR(__xludf.DUMMYFUNCTION("""COMPUTED_VALUE"""),1)</f>
        <v>1</v>
      </c>
      <c r="C848" s="7">
        <f ca="1">IFERROR(__xludf.DUMMYFUNCTION("""COMPUTED_VALUE"""),1)</f>
        <v>1</v>
      </c>
      <c r="D848" s="8">
        <f ca="1">IFERROR(__xludf.DUMMYFUNCTION("""COMPUTED_VALUE"""),5)</f>
        <v>5</v>
      </c>
      <c r="E848" s="2">
        <f ca="1">IFERROR(__xludf.DUMMYFUNCTION("""COMPUTED_VALUE"""),2)</f>
        <v>2</v>
      </c>
    </row>
    <row r="849" spans="1:5" ht="13">
      <c r="A849" s="2" t="str">
        <f ca="1">IFERROR(__xludf.DUMMYFUNCTION("""COMPUTED_VALUE"""),"Boen, Jonathan")</f>
        <v>Boen, Jonathan</v>
      </c>
      <c r="B849" s="3">
        <f ca="1">IFERROR(__xludf.DUMMYFUNCTION("""COMPUTED_VALUE"""),1)</f>
        <v>1</v>
      </c>
      <c r="C849" s="7">
        <f ca="1">IFERROR(__xludf.DUMMYFUNCTION("""COMPUTED_VALUE"""),1)</f>
        <v>1</v>
      </c>
      <c r="D849" s="8">
        <f ca="1">IFERROR(__xludf.DUMMYFUNCTION("""COMPUTED_VALUE"""),1)</f>
        <v>1</v>
      </c>
      <c r="E849" s="2">
        <f ca="1">IFERROR(__xludf.DUMMYFUNCTION("""COMPUTED_VALUE"""),1)</f>
        <v>1</v>
      </c>
    </row>
    <row r="850" spans="1:5" ht="13">
      <c r="A850" s="2" t="str">
        <f ca="1">IFERROR(__xludf.DUMMYFUNCTION("""COMPUTED_VALUE"""),"Boepple, Paul")</f>
        <v>Boepple, Paul</v>
      </c>
      <c r="B850" s="2">
        <f ca="1">IFERROR(__xludf.DUMMYFUNCTION("""COMPUTED_VALUE"""),1)</f>
        <v>1</v>
      </c>
      <c r="C850" s="2">
        <f ca="1">IFERROR(__xludf.DUMMYFUNCTION("""COMPUTED_VALUE"""),1)</f>
        <v>1</v>
      </c>
      <c r="D850" s="8">
        <f ca="1">IFERROR(__xludf.DUMMYFUNCTION("""COMPUTED_VALUE"""),5)</f>
        <v>5</v>
      </c>
      <c r="E850" s="2">
        <f ca="1">IFERROR(__xludf.DUMMYFUNCTION("""COMPUTED_VALUE"""),2)</f>
        <v>2</v>
      </c>
    </row>
    <row r="851" spans="1:5" ht="13">
      <c r="A851" s="8" t="str">
        <f ca="1">IFERROR(__xludf.DUMMYFUNCTION("""COMPUTED_VALUE"""),"Boerma, Scott")</f>
        <v>Boerma, Scott</v>
      </c>
      <c r="B851" s="3">
        <f ca="1">IFERROR(__xludf.DUMMYFUNCTION("""COMPUTED_VALUE"""),1)</f>
        <v>1</v>
      </c>
      <c r="C851" s="7">
        <f ca="1">IFERROR(__xludf.DUMMYFUNCTION("""COMPUTED_VALUE"""),1)</f>
        <v>1</v>
      </c>
      <c r="D851" s="8">
        <f ca="1">IFERROR(__xludf.DUMMYFUNCTION("""COMPUTED_VALUE"""),1)</f>
        <v>1</v>
      </c>
      <c r="E851" s="2">
        <f ca="1">IFERROR(__xludf.DUMMYFUNCTION("""COMPUTED_VALUE"""),1)</f>
        <v>1</v>
      </c>
    </row>
    <row r="852" spans="1:5" ht="13">
      <c r="A852" s="2" t="str">
        <f ca="1">IFERROR(__xludf.DUMMYFUNCTION("""COMPUTED_VALUE"""),"Boersma, Susan / Hayes, Mark")</f>
        <v>Boersma, Susan / Hayes, Mark</v>
      </c>
      <c r="B852" s="3">
        <f ca="1">IFERROR(__xludf.DUMMYFUNCTION("""COMPUTED_VALUE"""),1)</f>
        <v>1</v>
      </c>
      <c r="C852" s="7">
        <f ca="1">IFERROR(__xludf.DUMMYFUNCTION("""COMPUTED_VALUE"""),1)</f>
        <v>1</v>
      </c>
      <c r="D852" s="8">
        <f ca="1">IFERROR(__xludf.DUMMYFUNCTION("""COMPUTED_VALUE"""),1)</f>
        <v>1</v>
      </c>
      <c r="E852" s="2">
        <f ca="1">IFERROR(__xludf.DUMMYFUNCTION("""COMPUTED_VALUE"""),1)</f>
        <v>1</v>
      </c>
    </row>
    <row r="853" spans="1:5" ht="13">
      <c r="A853" s="2" t="str">
        <f ca="1">IFERROR(__xludf.DUMMYFUNCTION("""COMPUTED_VALUE"""),"Boesset, Antoine")</f>
        <v>Boesset, Antoine</v>
      </c>
      <c r="B853" s="3">
        <f ca="1">IFERROR(__xludf.DUMMYFUNCTION("""COMPUTED_VALUE"""),1)</f>
        <v>1</v>
      </c>
      <c r="C853" s="7">
        <f ca="1">IFERROR(__xludf.DUMMYFUNCTION("""COMPUTED_VALUE"""),1)</f>
        <v>1</v>
      </c>
      <c r="D853" s="8">
        <f ca="1">IFERROR(__xludf.DUMMYFUNCTION("""COMPUTED_VALUE"""),5)</f>
        <v>5</v>
      </c>
      <c r="E853" s="2">
        <f ca="1">IFERROR(__xludf.DUMMYFUNCTION("""COMPUTED_VALUE"""),2)</f>
        <v>2</v>
      </c>
    </row>
    <row r="854" spans="1:5" ht="13">
      <c r="A854" s="2" t="str">
        <f ca="1">IFERROR(__xludf.DUMMYFUNCTION("""COMPUTED_VALUE"""),"Bogenschutz, John")</f>
        <v>Bogenschutz, John</v>
      </c>
      <c r="B854" s="3">
        <f ca="1">IFERROR(__xludf.DUMMYFUNCTION("""COMPUTED_VALUE"""),1)</f>
        <v>1</v>
      </c>
      <c r="C854" s="7">
        <f ca="1">IFERROR(__xludf.DUMMYFUNCTION("""COMPUTED_VALUE"""),1)</f>
        <v>1</v>
      </c>
      <c r="D854" s="8">
        <f ca="1">IFERROR(__xludf.DUMMYFUNCTION("""COMPUTED_VALUE"""),1)</f>
        <v>1</v>
      </c>
      <c r="E854" s="2">
        <f ca="1">IFERROR(__xludf.DUMMYFUNCTION("""COMPUTED_VALUE"""),1)</f>
        <v>1</v>
      </c>
    </row>
    <row r="855" spans="1:5" ht="13">
      <c r="A855" s="2" t="str">
        <f ca="1">IFERROR(__xludf.DUMMYFUNCTION("""COMPUTED_VALUE"""),"Bohls, Jon")</f>
        <v>Bohls, Jon</v>
      </c>
      <c r="B855" s="3">
        <f ca="1">IFERROR(__xludf.DUMMYFUNCTION("""COMPUTED_VALUE"""),1)</f>
        <v>1</v>
      </c>
      <c r="C855" s="7">
        <f ca="1">IFERROR(__xludf.DUMMYFUNCTION("""COMPUTED_VALUE"""),1)</f>
        <v>1</v>
      </c>
      <c r="D855" s="8">
        <f ca="1">IFERROR(__xludf.DUMMYFUNCTION("""COMPUTED_VALUE"""),1)</f>
        <v>1</v>
      </c>
      <c r="E855" s="2">
        <f ca="1">IFERROR(__xludf.DUMMYFUNCTION("""COMPUTED_VALUE"""),1)</f>
        <v>1</v>
      </c>
    </row>
    <row r="856" spans="1:5" ht="13">
      <c r="A856" s="8" t="str">
        <f ca="1">IFERROR(__xludf.DUMMYFUNCTION("""COMPUTED_VALUE"""),"Bohm, Carl")</f>
        <v>Bohm, Carl</v>
      </c>
      <c r="B856" s="3">
        <f ca="1">IFERROR(__xludf.DUMMYFUNCTION("""COMPUTED_VALUE"""),1)</f>
        <v>1</v>
      </c>
      <c r="C856" s="7">
        <f ca="1">IFERROR(__xludf.DUMMYFUNCTION("""COMPUTED_VALUE"""),1)</f>
        <v>1</v>
      </c>
      <c r="D856" s="8">
        <f ca="1">IFERROR(__xludf.DUMMYFUNCTION("""COMPUTED_VALUE"""),5)</f>
        <v>5</v>
      </c>
      <c r="E856" s="2">
        <f ca="1">IFERROR(__xludf.DUMMYFUNCTION("""COMPUTED_VALUE"""),2)</f>
        <v>2</v>
      </c>
    </row>
    <row r="857" spans="1:5" ht="13">
      <c r="A857" s="2" t="str">
        <f ca="1">IFERROR(__xludf.DUMMYFUNCTION("""COMPUTED_VALUE"""),"Böhme, Oskar")</f>
        <v>Böhme, Oskar</v>
      </c>
      <c r="B857" s="2">
        <f ca="1">IFERROR(__xludf.DUMMYFUNCTION("""COMPUTED_VALUE"""),1)</f>
        <v>1</v>
      </c>
      <c r="C857" s="7">
        <f ca="1">IFERROR(__xludf.DUMMYFUNCTION("""COMPUTED_VALUE"""),1)</f>
        <v>1</v>
      </c>
      <c r="D857" s="8">
        <f ca="1">IFERROR(__xludf.DUMMYFUNCTION("""COMPUTED_VALUE"""),5)</f>
        <v>5</v>
      </c>
      <c r="E857" s="2">
        <f ca="1">IFERROR(__xludf.DUMMYFUNCTION("""COMPUTED_VALUE"""),2)</f>
        <v>2</v>
      </c>
    </row>
    <row r="858" spans="1:5" ht="13">
      <c r="A858" s="2" t="str">
        <f ca="1">IFERROR(__xludf.DUMMYFUNCTION("""COMPUTED_VALUE"""),"Boieldieu, Francois-Adrien")</f>
        <v>Boieldieu, Francois-Adrien</v>
      </c>
      <c r="B858" s="2">
        <f ca="1">IFERROR(__xludf.DUMMYFUNCTION("""COMPUTED_VALUE"""),1)</f>
        <v>1</v>
      </c>
      <c r="C858" s="7">
        <f ca="1">IFERROR(__xludf.DUMMYFUNCTION("""COMPUTED_VALUE"""),1)</f>
        <v>1</v>
      </c>
      <c r="D858" s="8">
        <f ca="1">IFERROR(__xludf.DUMMYFUNCTION("""COMPUTED_VALUE"""),5)</f>
        <v>5</v>
      </c>
      <c r="E858" s="2">
        <f ca="1">IFERROR(__xludf.DUMMYFUNCTION("""COMPUTED_VALUE"""),2)</f>
        <v>2</v>
      </c>
    </row>
    <row r="859" spans="1:5" ht="13">
      <c r="A859" s="8" t="str">
        <f ca="1">IFERROR(__xludf.DUMMYFUNCTION("""COMPUTED_VALUE"""),"Boïeldieu, François-Adrien")</f>
        <v>Boïeldieu, François-Adrien</v>
      </c>
      <c r="B859" s="2">
        <f ca="1">IFERROR(__xludf.DUMMYFUNCTION("""COMPUTED_VALUE"""),1)</f>
        <v>1</v>
      </c>
      <c r="C859" s="7">
        <f ca="1">IFERROR(__xludf.DUMMYFUNCTION("""COMPUTED_VALUE"""),1)</f>
        <v>1</v>
      </c>
      <c r="D859" s="8">
        <f ca="1">IFERROR(__xludf.DUMMYFUNCTION("""COMPUTED_VALUE"""),5)</f>
        <v>5</v>
      </c>
      <c r="E859" s="2">
        <f ca="1">IFERROR(__xludf.DUMMYFUNCTION("""COMPUTED_VALUE"""),2)</f>
        <v>2</v>
      </c>
    </row>
    <row r="860" spans="1:5" ht="13">
      <c r="A860" s="2" t="str">
        <f ca="1">IFERROR(__xludf.DUMMYFUNCTION("""COMPUTED_VALUE"""),"Boisdeffre, Rene de")</f>
        <v>Boisdeffre, Rene de</v>
      </c>
      <c r="B860" s="2">
        <f ca="1">IFERROR(__xludf.DUMMYFUNCTION("""COMPUTED_VALUE"""),1)</f>
        <v>1</v>
      </c>
      <c r="C860" s="7">
        <f ca="1">IFERROR(__xludf.DUMMYFUNCTION("""COMPUTED_VALUE"""),1)</f>
        <v>1</v>
      </c>
      <c r="D860" s="8">
        <f ca="1">IFERROR(__xludf.DUMMYFUNCTION("""COMPUTED_VALUE"""),5)</f>
        <v>5</v>
      </c>
      <c r="E860" s="2">
        <f ca="1">IFERROR(__xludf.DUMMYFUNCTION("""COMPUTED_VALUE"""),2)</f>
        <v>2</v>
      </c>
    </row>
    <row r="861" spans="1:5" ht="13">
      <c r="A861" s="8" t="str">
        <f ca="1">IFERROR(__xludf.DUMMYFUNCTION("""COMPUTED_VALUE"""),"Boismortier, Joseph Bodin de")</f>
        <v>Boismortier, Joseph Bodin de</v>
      </c>
      <c r="B861" s="3">
        <f ca="1">IFERROR(__xludf.DUMMYFUNCTION("""COMPUTED_VALUE"""),1)</f>
        <v>1</v>
      </c>
      <c r="C861" s="7">
        <f ca="1">IFERROR(__xludf.DUMMYFUNCTION("""COMPUTED_VALUE"""),1)</f>
        <v>1</v>
      </c>
      <c r="D861" s="8">
        <f ca="1">IFERROR(__xludf.DUMMYFUNCTION("""COMPUTED_VALUE"""),5)</f>
        <v>5</v>
      </c>
      <c r="E861" s="2">
        <f ca="1">IFERROR(__xludf.DUMMYFUNCTION("""COMPUTED_VALUE"""),2)</f>
        <v>2</v>
      </c>
    </row>
    <row r="862" spans="1:5" ht="13">
      <c r="A862" s="8" t="str">
        <f ca="1">IFERROR(__xludf.DUMMYFUNCTION("""COMPUTED_VALUE"""),"Boito, Arrigo")</f>
        <v>Boito, Arrigo</v>
      </c>
      <c r="B862" s="3">
        <f ca="1">IFERROR(__xludf.DUMMYFUNCTION("""COMPUTED_VALUE"""),1)</f>
        <v>1</v>
      </c>
      <c r="C862" s="7">
        <f ca="1">IFERROR(__xludf.DUMMYFUNCTION("""COMPUTED_VALUE"""),1)</f>
        <v>1</v>
      </c>
      <c r="D862" s="8">
        <f ca="1">IFERROR(__xludf.DUMMYFUNCTION("""COMPUTED_VALUE"""),5)</f>
        <v>5</v>
      </c>
      <c r="E862" s="2">
        <f ca="1">IFERROR(__xludf.DUMMYFUNCTION("""COMPUTED_VALUE"""),2)</f>
        <v>2</v>
      </c>
    </row>
    <row r="863" spans="1:5" ht="13">
      <c r="A863" s="2" t="str">
        <f ca="1">IFERROR(__xludf.DUMMYFUNCTION("""COMPUTED_VALUE"""),"Bojesen, Michael")</f>
        <v>Bojesen, Michael</v>
      </c>
      <c r="B863" s="3">
        <f ca="1">IFERROR(__xludf.DUMMYFUNCTION("""COMPUTED_VALUE"""),1)</f>
        <v>1</v>
      </c>
      <c r="C863" s="7">
        <f ca="1">IFERROR(__xludf.DUMMYFUNCTION("""COMPUTED_VALUE"""),1)</f>
        <v>1</v>
      </c>
      <c r="D863" s="8">
        <f ca="1">IFERROR(__xludf.DUMMYFUNCTION("""COMPUTED_VALUE"""),1)</f>
        <v>1</v>
      </c>
      <c r="E863" s="2">
        <f ca="1">IFERROR(__xludf.DUMMYFUNCTION("""COMPUTED_VALUE"""),1)</f>
        <v>1</v>
      </c>
    </row>
    <row r="864" spans="1:5" ht="13">
      <c r="A864" s="8" t="str">
        <f ca="1">IFERROR(__xludf.DUMMYFUNCTION("""COMPUTED_VALUE"""),"Bolcolm, William")</f>
        <v>Bolcolm, William</v>
      </c>
      <c r="B864" s="3">
        <f ca="1">IFERROR(__xludf.DUMMYFUNCTION("""COMPUTED_VALUE"""),1)</f>
        <v>1</v>
      </c>
      <c r="C864" s="7">
        <f ca="1">IFERROR(__xludf.DUMMYFUNCTION("""COMPUTED_VALUE"""),1)</f>
        <v>1</v>
      </c>
      <c r="D864" s="8">
        <f ca="1">IFERROR(__xludf.DUMMYFUNCTION("""COMPUTED_VALUE"""),1)</f>
        <v>1</v>
      </c>
      <c r="E864" s="2">
        <f ca="1">IFERROR(__xludf.DUMMYFUNCTION("""COMPUTED_VALUE"""),1)</f>
        <v>1</v>
      </c>
    </row>
    <row r="865" spans="1:5" ht="13">
      <c r="A865" s="2" t="str">
        <f ca="1">IFERROR(__xludf.DUMMYFUNCTION("""COMPUTED_VALUE"""),"Bolcom, William")</f>
        <v>Bolcom, William</v>
      </c>
      <c r="B865" s="3">
        <f ca="1">IFERROR(__xludf.DUMMYFUNCTION("""COMPUTED_VALUE"""),1)</f>
        <v>1</v>
      </c>
      <c r="C865" s="7">
        <f ca="1">IFERROR(__xludf.DUMMYFUNCTION("""COMPUTED_VALUE"""),1)</f>
        <v>1</v>
      </c>
      <c r="D865" s="8">
        <f ca="1">IFERROR(__xludf.DUMMYFUNCTION("""COMPUTED_VALUE"""),1)</f>
        <v>1</v>
      </c>
      <c r="E865" s="2">
        <f ca="1">IFERROR(__xludf.DUMMYFUNCTION("""COMPUTED_VALUE"""),1)</f>
        <v>1</v>
      </c>
    </row>
    <row r="866" spans="1:5" ht="13">
      <c r="A866" s="2" t="str">
        <f ca="1">IFERROR(__xludf.DUMMYFUNCTION("""COMPUTED_VALUE"""),"Bolin, Marc")</f>
        <v>Bolin, Marc</v>
      </c>
      <c r="B866" s="3">
        <f ca="1">IFERROR(__xludf.DUMMYFUNCTION("""COMPUTED_VALUE"""),1)</f>
        <v>1</v>
      </c>
      <c r="C866" s="7">
        <f ca="1">IFERROR(__xludf.DUMMYFUNCTION("""COMPUTED_VALUE"""),1)</f>
        <v>1</v>
      </c>
      <c r="D866" s="8">
        <f ca="1">IFERROR(__xludf.DUMMYFUNCTION("""COMPUTED_VALUE"""),1)</f>
        <v>1</v>
      </c>
      <c r="E866" s="2">
        <f ca="1">IFERROR(__xludf.DUMMYFUNCTION("""COMPUTED_VALUE"""),1)</f>
        <v>1</v>
      </c>
    </row>
    <row r="867" spans="1:5" ht="13">
      <c r="A867" s="8" t="str">
        <f ca="1">IFERROR(__xludf.DUMMYFUNCTION("""COMPUTED_VALUE"""),"Bolkovac, Edward")</f>
        <v>Bolkovac, Edward</v>
      </c>
      <c r="B867" s="3">
        <f ca="1">IFERROR(__xludf.DUMMYFUNCTION("""COMPUTED_VALUE"""),1)</f>
        <v>1</v>
      </c>
      <c r="C867" s="7">
        <f ca="1">IFERROR(__xludf.DUMMYFUNCTION("""COMPUTED_VALUE"""),1)</f>
        <v>1</v>
      </c>
      <c r="D867" s="8">
        <f ca="1">IFERROR(__xludf.DUMMYFUNCTION("""COMPUTED_VALUE"""),1)</f>
        <v>1</v>
      </c>
      <c r="E867" s="2">
        <f ca="1">IFERROR(__xludf.DUMMYFUNCTION("""COMPUTED_VALUE"""),1)</f>
        <v>1</v>
      </c>
    </row>
    <row r="868" spans="1:5" ht="13">
      <c r="A868" s="8" t="str">
        <f ca="1">IFERROR(__xludf.DUMMYFUNCTION("""COMPUTED_VALUE"""),"Boll, Adam")</f>
        <v>Boll, Adam</v>
      </c>
      <c r="B868" s="3">
        <f ca="1">IFERROR(__xludf.DUMMYFUNCTION("""COMPUTED_VALUE"""),1)</f>
        <v>1</v>
      </c>
      <c r="C868" s="7">
        <f ca="1">IFERROR(__xludf.DUMMYFUNCTION("""COMPUTED_VALUE"""),1)</f>
        <v>1</v>
      </c>
      <c r="D868" s="8">
        <f ca="1">IFERROR(__xludf.DUMMYFUNCTION("""COMPUTED_VALUE"""),1)</f>
        <v>1</v>
      </c>
      <c r="E868" s="2">
        <f ca="1">IFERROR(__xludf.DUMMYFUNCTION("""COMPUTED_VALUE"""),1)</f>
        <v>1</v>
      </c>
    </row>
    <row r="869" spans="1:5" ht="13">
      <c r="A869" s="8" t="str">
        <f ca="1">IFERROR(__xludf.DUMMYFUNCTION("""COMPUTED_VALUE"""),"Bolling, Claude")</f>
        <v>Bolling, Claude</v>
      </c>
      <c r="B869" s="3">
        <f ca="1">IFERROR(__xludf.DUMMYFUNCTION("""COMPUTED_VALUE"""),1)</f>
        <v>1</v>
      </c>
      <c r="C869" s="7">
        <f ca="1">IFERROR(__xludf.DUMMYFUNCTION("""COMPUTED_VALUE"""),1)</f>
        <v>1</v>
      </c>
      <c r="D869" s="8">
        <f ca="1">IFERROR(__xludf.DUMMYFUNCTION("""COMPUTED_VALUE"""),5)</f>
        <v>5</v>
      </c>
      <c r="E869" s="2">
        <f ca="1">IFERROR(__xludf.DUMMYFUNCTION("""COMPUTED_VALUE"""),2)</f>
        <v>2</v>
      </c>
    </row>
    <row r="870" spans="1:5" ht="13">
      <c r="A870" s="8" t="str">
        <f ca="1">IFERROR(__xludf.DUMMYFUNCTION("""COMPUTED_VALUE"""),"Bolter, Norman")</f>
        <v>Bolter, Norman</v>
      </c>
      <c r="B870" s="3">
        <f ca="1">IFERROR(__xludf.DUMMYFUNCTION("""COMPUTED_VALUE"""),1)</f>
        <v>1</v>
      </c>
      <c r="C870" s="7">
        <f ca="1">IFERROR(__xludf.DUMMYFUNCTION("""COMPUTED_VALUE"""),1)</f>
        <v>1</v>
      </c>
      <c r="D870" s="8">
        <f ca="1">IFERROR(__xludf.DUMMYFUNCTION("""COMPUTED_VALUE"""),1)</f>
        <v>1</v>
      </c>
      <c r="E870" s="2">
        <f ca="1">IFERROR(__xludf.DUMMYFUNCTION("""COMPUTED_VALUE"""),1)</f>
        <v>1</v>
      </c>
    </row>
    <row r="871" spans="1:5" ht="13">
      <c r="A871" s="2" t="str">
        <f ca="1">IFERROR(__xludf.DUMMYFUNCTION("""COMPUTED_VALUE"""),"Bolzoni, Giovanni")</f>
        <v>Bolzoni, Giovanni</v>
      </c>
      <c r="B871" s="2">
        <f ca="1">IFERROR(__xludf.DUMMYFUNCTION("""COMPUTED_VALUE"""),1)</f>
        <v>1</v>
      </c>
      <c r="C871" s="7">
        <f ca="1">IFERROR(__xludf.DUMMYFUNCTION("""COMPUTED_VALUE"""),1)</f>
        <v>1</v>
      </c>
      <c r="D871" s="8">
        <f ca="1">IFERROR(__xludf.DUMMYFUNCTION("""COMPUTED_VALUE"""),5)</f>
        <v>5</v>
      </c>
      <c r="E871" s="2">
        <f ca="1">IFERROR(__xludf.DUMMYFUNCTION("""COMPUTED_VALUE"""),2)</f>
        <v>2</v>
      </c>
    </row>
    <row r="872" spans="1:5" ht="13">
      <c r="A872" s="2" t="str">
        <f ca="1">IFERROR(__xludf.DUMMYFUNCTION("""COMPUTED_VALUE"""),"Bond, Julian")</f>
        <v>Bond, Julian</v>
      </c>
      <c r="B872" s="3">
        <f ca="1">IFERROR(__xludf.DUMMYFUNCTION("""COMPUTED_VALUE"""),1)</f>
        <v>1</v>
      </c>
      <c r="C872" s="7">
        <f ca="1">IFERROR(__xludf.DUMMYFUNCTION("""COMPUTED_VALUE"""),1)</f>
        <v>1</v>
      </c>
      <c r="D872" s="8">
        <f ca="1">IFERROR(__xludf.DUMMYFUNCTION("""COMPUTED_VALUE"""),1)</f>
        <v>1</v>
      </c>
      <c r="E872" s="2">
        <f ca="1">IFERROR(__xludf.DUMMYFUNCTION("""COMPUTED_VALUE"""),1)</f>
        <v>1</v>
      </c>
    </row>
    <row r="873" spans="1:5" ht="13">
      <c r="A873" s="2" t="str">
        <f ca="1">IFERROR(__xludf.DUMMYFUNCTION("""COMPUTED_VALUE"""),"Bonde, Allen")</f>
        <v>Bonde, Allen</v>
      </c>
      <c r="B873" s="3">
        <f ca="1">IFERROR(__xludf.DUMMYFUNCTION("""COMPUTED_VALUE"""),1)</f>
        <v>1</v>
      </c>
      <c r="C873" s="7">
        <f ca="1">IFERROR(__xludf.DUMMYFUNCTION("""COMPUTED_VALUE"""),1)</f>
        <v>1</v>
      </c>
      <c r="D873" s="8">
        <f ca="1">IFERROR(__xludf.DUMMYFUNCTION("""COMPUTED_VALUE"""),5)</f>
        <v>5</v>
      </c>
      <c r="E873" s="2">
        <f ca="1">IFERROR(__xludf.DUMMYFUNCTION("""COMPUTED_VALUE"""),2)</f>
        <v>2</v>
      </c>
    </row>
    <row r="874" spans="1:5" ht="13">
      <c r="A874" s="8" t="str">
        <f ca="1">IFERROR(__xludf.DUMMYFUNCTION("""COMPUTED_VALUE"""),"Bonelli, Giouse")</f>
        <v>Bonelli, Giouse</v>
      </c>
      <c r="B874" s="3">
        <f ca="1">IFERROR(__xludf.DUMMYFUNCTION("""COMPUTED_VALUE"""),1)</f>
        <v>1</v>
      </c>
      <c r="C874" s="7">
        <f ca="1">IFERROR(__xludf.DUMMYFUNCTION("""COMPUTED_VALUE"""),1)</f>
        <v>1</v>
      </c>
      <c r="D874" s="8">
        <f ca="1">IFERROR(__xludf.DUMMYFUNCTION("""COMPUTED_VALUE"""),5)</f>
        <v>5</v>
      </c>
      <c r="E874" s="2">
        <f ca="1">IFERROR(__xludf.DUMMYFUNCTION("""COMPUTED_VALUE"""),2)</f>
        <v>2</v>
      </c>
    </row>
    <row r="875" spans="1:5" ht="13">
      <c r="A875" s="2" t="str">
        <f ca="1">IFERROR(__xludf.DUMMYFUNCTION("""COMPUTED_VALUE"""),"Bonneau, Paul")</f>
        <v>Bonneau, Paul</v>
      </c>
      <c r="B875" s="2">
        <f ca="1">IFERROR(__xludf.DUMMYFUNCTION("""COMPUTED_VALUE"""),1)</f>
        <v>1</v>
      </c>
      <c r="C875" s="7">
        <f ca="1">IFERROR(__xludf.DUMMYFUNCTION("""COMPUTED_VALUE"""),1)</f>
        <v>1</v>
      </c>
      <c r="D875" s="8">
        <f ca="1">IFERROR(__xludf.DUMMYFUNCTION("""COMPUTED_VALUE"""),5)</f>
        <v>5</v>
      </c>
      <c r="E875" s="2">
        <f ca="1">IFERROR(__xludf.DUMMYFUNCTION("""COMPUTED_VALUE"""),2)</f>
        <v>2</v>
      </c>
    </row>
    <row r="876" spans="1:5" ht="13">
      <c r="A876" s="2" t="str">
        <f ca="1">IFERROR(__xludf.DUMMYFUNCTION("""COMPUTED_VALUE"""),"Bonner, Drew")</f>
        <v>Bonner, Drew</v>
      </c>
      <c r="B876" s="3">
        <f ca="1">IFERROR(__xludf.DUMMYFUNCTION("""COMPUTED_VALUE"""),1)</f>
        <v>1</v>
      </c>
      <c r="C876" s="7">
        <f ca="1">IFERROR(__xludf.DUMMYFUNCTION("""COMPUTED_VALUE"""),1)</f>
        <v>1</v>
      </c>
      <c r="D876" s="8">
        <f ca="1">IFERROR(__xludf.DUMMYFUNCTION("""COMPUTED_VALUE"""),1)</f>
        <v>1</v>
      </c>
      <c r="E876" s="2">
        <f ca="1">IFERROR(__xludf.DUMMYFUNCTION("""COMPUTED_VALUE"""),1)</f>
        <v>1</v>
      </c>
    </row>
    <row r="877" spans="1:5" ht="13">
      <c r="A877" s="2" t="str">
        <f ca="1">IFERROR(__xludf.DUMMYFUNCTION("""COMPUTED_VALUE"""),"Bonner, Garry / Gordon, Alan")</f>
        <v>Bonner, Garry / Gordon, Alan</v>
      </c>
      <c r="B877" s="3">
        <f ca="1">IFERROR(__xludf.DUMMYFUNCTION("""COMPUTED_VALUE"""),1)</f>
        <v>1</v>
      </c>
      <c r="C877" s="7">
        <f ca="1">IFERROR(__xludf.DUMMYFUNCTION("""COMPUTED_VALUE"""),1)</f>
        <v>1</v>
      </c>
      <c r="D877" s="8">
        <f ca="1">IFERROR(__xludf.DUMMYFUNCTION("""COMPUTED_VALUE"""),5)</f>
        <v>5</v>
      </c>
      <c r="E877" s="2">
        <f ca="1">IFERROR(__xludf.DUMMYFUNCTION("""COMPUTED_VALUE"""),2)</f>
        <v>2</v>
      </c>
    </row>
    <row r="878" spans="1:5" ht="13">
      <c r="A878" s="8" t="str">
        <f ca="1">IFERROR(__xludf.DUMMYFUNCTION("""COMPUTED_VALUE"""),"Bonner, Robert")</f>
        <v>Bonner, Robert</v>
      </c>
      <c r="B878" s="3">
        <f ca="1">IFERROR(__xludf.DUMMYFUNCTION("""COMPUTED_VALUE"""),1)</f>
        <v>1</v>
      </c>
      <c r="C878" s="7">
        <f ca="1">IFERROR(__xludf.DUMMYFUNCTION("""COMPUTED_VALUE"""),1)</f>
        <v>1</v>
      </c>
      <c r="D878" s="8">
        <f ca="1">IFERROR(__xludf.DUMMYFUNCTION("""COMPUTED_VALUE"""),5)</f>
        <v>5</v>
      </c>
      <c r="E878" s="2">
        <f ca="1">IFERROR(__xludf.DUMMYFUNCTION("""COMPUTED_VALUE"""),2)</f>
        <v>2</v>
      </c>
    </row>
    <row r="879" spans="1:5" ht="13">
      <c r="A879" s="2" t="str">
        <f ca="1">IFERROR(__xludf.DUMMYFUNCTION("""COMPUTED_VALUE"""),"Bonnet, Pierre")</f>
        <v>Bonnet, Pierre</v>
      </c>
      <c r="B879" s="3">
        <f ca="1">IFERROR(__xludf.DUMMYFUNCTION("""COMPUTED_VALUE"""),1)</f>
        <v>1</v>
      </c>
      <c r="C879" s="7">
        <f ca="1">IFERROR(__xludf.DUMMYFUNCTION("""COMPUTED_VALUE"""),1)</f>
        <v>1</v>
      </c>
      <c r="D879" s="8">
        <f ca="1">IFERROR(__xludf.DUMMYFUNCTION("""COMPUTED_VALUE"""),5)</f>
        <v>5</v>
      </c>
      <c r="E879" s="2">
        <f ca="1">IFERROR(__xludf.DUMMYFUNCTION("""COMPUTED_VALUE"""),2)</f>
        <v>2</v>
      </c>
    </row>
    <row r="880" spans="1:5" ht="13">
      <c r="A880" s="2" t="str">
        <f ca="1">IFERROR(__xludf.DUMMYFUNCTION("""COMPUTED_VALUE"""),"Bonney, James")</f>
        <v>Bonney, James</v>
      </c>
      <c r="B880" s="3">
        <f ca="1">IFERROR(__xludf.DUMMYFUNCTION("""COMPUTED_VALUE"""),1)</f>
        <v>1</v>
      </c>
      <c r="C880" s="7">
        <f ca="1">IFERROR(__xludf.DUMMYFUNCTION("""COMPUTED_VALUE"""),1)</f>
        <v>1</v>
      </c>
      <c r="D880" s="8">
        <f ca="1">IFERROR(__xludf.DUMMYFUNCTION("""COMPUTED_VALUE"""),1)</f>
        <v>1</v>
      </c>
      <c r="E880" s="2">
        <f ca="1">IFERROR(__xludf.DUMMYFUNCTION("""COMPUTED_VALUE"""),1)</f>
        <v>1</v>
      </c>
    </row>
    <row r="881" spans="1:5" ht="13">
      <c r="A881" s="8" t="str">
        <f ca="1">IFERROR(__xludf.DUMMYFUNCTION("""COMPUTED_VALUE"""),"Bonney, Jim")</f>
        <v>Bonney, Jim</v>
      </c>
      <c r="B881" s="3">
        <f ca="1">IFERROR(__xludf.DUMMYFUNCTION("""COMPUTED_VALUE"""),1)</f>
        <v>1</v>
      </c>
      <c r="C881" s="7">
        <f ca="1">IFERROR(__xludf.DUMMYFUNCTION("""COMPUTED_VALUE"""),1)</f>
        <v>1</v>
      </c>
      <c r="D881" s="8">
        <f ca="1">IFERROR(__xludf.DUMMYFUNCTION("""COMPUTED_VALUE"""),1)</f>
        <v>1</v>
      </c>
      <c r="E881" s="2">
        <f ca="1">IFERROR(__xludf.DUMMYFUNCTION("""COMPUTED_VALUE"""),1)</f>
        <v>1</v>
      </c>
    </row>
    <row r="882" spans="1:5" ht="13">
      <c r="A882" s="2" t="str">
        <f ca="1">IFERROR(__xludf.DUMMYFUNCTION("""COMPUTED_VALUE"""),"Bonocini, Giovanni")</f>
        <v>Bonocini, Giovanni</v>
      </c>
      <c r="B882" s="3">
        <f ca="1">IFERROR(__xludf.DUMMYFUNCTION("""COMPUTED_VALUE"""),1)</f>
        <v>1</v>
      </c>
      <c r="C882" s="7">
        <f ca="1">IFERROR(__xludf.DUMMYFUNCTION("""COMPUTED_VALUE"""),1)</f>
        <v>1</v>
      </c>
      <c r="D882" s="8">
        <f ca="1">IFERROR(__xludf.DUMMYFUNCTION("""COMPUTED_VALUE"""),5)</f>
        <v>5</v>
      </c>
      <c r="E882" s="2">
        <f ca="1">IFERROR(__xludf.DUMMYFUNCTION("""COMPUTED_VALUE"""),2)</f>
        <v>2</v>
      </c>
    </row>
    <row r="883" spans="1:5" ht="13">
      <c r="A883" s="2" t="str">
        <f ca="1">IFERROR(__xludf.DUMMYFUNCTION("""COMPUTED_VALUE"""),"Bononcini, Antonio")</f>
        <v>Bononcini, Antonio</v>
      </c>
      <c r="B883" s="3">
        <f ca="1">IFERROR(__xludf.DUMMYFUNCTION("""COMPUTED_VALUE"""),1)</f>
        <v>1</v>
      </c>
      <c r="C883" s="7">
        <f ca="1">IFERROR(__xludf.DUMMYFUNCTION("""COMPUTED_VALUE"""),1)</f>
        <v>1</v>
      </c>
      <c r="D883" s="8">
        <f ca="1">IFERROR(__xludf.DUMMYFUNCTION("""COMPUTED_VALUE"""),5)</f>
        <v>5</v>
      </c>
      <c r="E883" s="2">
        <f ca="1">IFERROR(__xludf.DUMMYFUNCTION("""COMPUTED_VALUE"""),2)</f>
        <v>2</v>
      </c>
    </row>
    <row r="884" spans="1:5" ht="13">
      <c r="A884" s="2" t="str">
        <f ca="1">IFERROR(__xludf.DUMMYFUNCTION("""COMPUTED_VALUE"""),"Bononcini, Giovanni")</f>
        <v>Bononcini, Giovanni</v>
      </c>
      <c r="B884" s="2">
        <f ca="1">IFERROR(__xludf.DUMMYFUNCTION("""COMPUTED_VALUE"""),1)</f>
        <v>1</v>
      </c>
      <c r="C884" s="7">
        <f ca="1">IFERROR(__xludf.DUMMYFUNCTION("""COMPUTED_VALUE"""),1)</f>
        <v>1</v>
      </c>
      <c r="D884" s="8">
        <f ca="1">IFERROR(__xludf.DUMMYFUNCTION("""COMPUTED_VALUE"""),5)</f>
        <v>5</v>
      </c>
      <c r="E884" s="2">
        <f ca="1">IFERROR(__xludf.DUMMYFUNCTION("""COMPUTED_VALUE"""),2)</f>
        <v>2</v>
      </c>
    </row>
    <row r="885" spans="1:5" ht="13">
      <c r="A885" s="2" t="str">
        <f ca="1">IFERROR(__xludf.DUMMYFUNCTION("""COMPUTED_VALUE"""),"Bonporti, Francesco A.")</f>
        <v>Bonporti, Francesco A.</v>
      </c>
      <c r="B885" s="2">
        <f ca="1">IFERROR(__xludf.DUMMYFUNCTION("""COMPUTED_VALUE"""),1)</f>
        <v>1</v>
      </c>
      <c r="C885" s="7">
        <f ca="1">IFERROR(__xludf.DUMMYFUNCTION("""COMPUTED_VALUE"""),1)</f>
        <v>1</v>
      </c>
      <c r="D885" s="8">
        <f ca="1">IFERROR(__xludf.DUMMYFUNCTION("""COMPUTED_VALUE"""),5)</f>
        <v>5</v>
      </c>
      <c r="E885" s="2">
        <f ca="1">IFERROR(__xludf.DUMMYFUNCTION("""COMPUTED_VALUE"""),2)</f>
        <v>2</v>
      </c>
    </row>
    <row r="886" spans="1:5" ht="13">
      <c r="A886" s="2" t="str">
        <f ca="1">IFERROR(__xludf.DUMMYFUNCTION("""COMPUTED_VALUE"""),"Boo, Michael")</f>
        <v>Boo, Michael</v>
      </c>
      <c r="B886" s="2">
        <f ca="1">IFERROR(__xludf.DUMMYFUNCTION("""COMPUTED_VALUE"""),1)</f>
        <v>1</v>
      </c>
      <c r="C886" s="7">
        <f ca="1">IFERROR(__xludf.DUMMYFUNCTION("""COMPUTED_VALUE"""),1)</f>
        <v>1</v>
      </c>
      <c r="D886" s="8">
        <f ca="1">IFERROR(__xludf.DUMMYFUNCTION("""COMPUTED_VALUE"""),5)</f>
        <v>5</v>
      </c>
      <c r="E886" s="2">
        <f ca="1">IFERROR(__xludf.DUMMYFUNCTION("""COMPUTED_VALUE"""),2)</f>
        <v>2</v>
      </c>
    </row>
    <row r="887" spans="1:5" ht="13">
      <c r="A887" s="8" t="str">
        <f ca="1">IFERROR(__xludf.DUMMYFUNCTION("""COMPUTED_VALUE"""),"Booker Jr., Charles L.")</f>
        <v>Booker Jr., Charles L.</v>
      </c>
      <c r="B887" s="3">
        <f ca="1">IFERROR(__xludf.DUMMYFUNCTION("""COMPUTED_VALUE"""),1)</f>
        <v>1</v>
      </c>
      <c r="C887" s="7">
        <f ca="1">IFERROR(__xludf.DUMMYFUNCTION("""COMPUTED_VALUE"""),1)</f>
        <v>1</v>
      </c>
      <c r="D887" s="8">
        <f ca="1">IFERROR(__xludf.DUMMYFUNCTION("""COMPUTED_VALUE"""),1)</f>
        <v>1</v>
      </c>
      <c r="E887" s="2">
        <f ca="1">IFERROR(__xludf.DUMMYFUNCTION("""COMPUTED_VALUE"""),1)</f>
        <v>1</v>
      </c>
    </row>
    <row r="888" spans="1:5" ht="13">
      <c r="A888" s="2" t="str">
        <f ca="1">IFERROR(__xludf.DUMMYFUNCTION("""COMPUTED_VALUE"""),"Booker, Charles")</f>
        <v>Booker, Charles</v>
      </c>
      <c r="B888" s="3">
        <f ca="1">IFERROR(__xludf.DUMMYFUNCTION("""COMPUTED_VALUE"""),1)</f>
        <v>1</v>
      </c>
      <c r="C888" s="7">
        <f ca="1">IFERROR(__xludf.DUMMYFUNCTION("""COMPUTED_VALUE"""),1)</f>
        <v>1</v>
      </c>
      <c r="D888" s="8">
        <f ca="1">IFERROR(__xludf.DUMMYFUNCTION("""COMPUTED_VALUE"""),1)</f>
        <v>1</v>
      </c>
      <c r="E888" s="2">
        <f ca="1">IFERROR(__xludf.DUMMYFUNCTION("""COMPUTED_VALUE"""),1)</f>
        <v>1</v>
      </c>
    </row>
    <row r="889" spans="1:5" ht="13">
      <c r="A889" s="8" t="str">
        <f ca="1">IFERROR(__xludf.DUMMYFUNCTION("""COMPUTED_VALUE"""),"Boorn, William H.")</f>
        <v>Boorn, William H.</v>
      </c>
      <c r="B889" s="3">
        <f ca="1">IFERROR(__xludf.DUMMYFUNCTION("""COMPUTED_VALUE"""),1)</f>
        <v>1</v>
      </c>
      <c r="C889" s="7">
        <f ca="1">IFERROR(__xludf.DUMMYFUNCTION("""COMPUTED_VALUE"""),1)</f>
        <v>1</v>
      </c>
      <c r="D889" s="8">
        <f ca="1">IFERROR(__xludf.DUMMYFUNCTION("""COMPUTED_VALUE"""),5)</f>
        <v>5</v>
      </c>
      <c r="E889" s="2">
        <f ca="1">IFERROR(__xludf.DUMMYFUNCTION("""COMPUTED_VALUE"""),2)</f>
        <v>2</v>
      </c>
    </row>
    <row r="890" spans="1:5" ht="13">
      <c r="A890" s="2" t="str">
        <f ca="1">IFERROR(__xludf.DUMMYFUNCTION("""COMPUTED_VALUE"""),"Boothe, Daniel")</f>
        <v>Boothe, Daniel</v>
      </c>
      <c r="B890" s="3">
        <f ca="1">IFERROR(__xludf.DUMMYFUNCTION("""COMPUTED_VALUE"""),1)</f>
        <v>1</v>
      </c>
      <c r="C890" s="7">
        <f ca="1">IFERROR(__xludf.DUMMYFUNCTION("""COMPUTED_VALUE"""),1)</f>
        <v>1</v>
      </c>
      <c r="D890" s="8">
        <f ca="1">IFERROR(__xludf.DUMMYFUNCTION("""COMPUTED_VALUE"""),1)</f>
        <v>1</v>
      </c>
      <c r="E890" s="2">
        <f ca="1">IFERROR(__xludf.DUMMYFUNCTION("""COMPUTED_VALUE"""),1)</f>
        <v>1</v>
      </c>
    </row>
    <row r="891" spans="1:5" ht="13">
      <c r="A891" s="2" t="str">
        <f ca="1">IFERROR(__xludf.DUMMYFUNCTION("""COMPUTED_VALUE"""),"Boras, Tom")</f>
        <v>Boras, Tom</v>
      </c>
      <c r="B891" s="3">
        <f ca="1">IFERROR(__xludf.DUMMYFUNCTION("""COMPUTED_VALUE"""),1)</f>
        <v>1</v>
      </c>
      <c r="C891" s="7">
        <f ca="1">IFERROR(__xludf.DUMMYFUNCTION("""COMPUTED_VALUE"""),1)</f>
        <v>1</v>
      </c>
      <c r="D891" s="8">
        <f ca="1">IFERROR(__xludf.DUMMYFUNCTION("""COMPUTED_VALUE"""),5)</f>
        <v>5</v>
      </c>
      <c r="E891" s="2">
        <f ca="1">IFERROR(__xludf.DUMMYFUNCTION("""COMPUTED_VALUE"""),2)</f>
        <v>2</v>
      </c>
    </row>
    <row r="892" spans="1:5" ht="13">
      <c r="A892" s="8" t="str">
        <f ca="1">IFERROR(__xludf.DUMMYFUNCTION("""COMPUTED_VALUE"""),"Borden, David")</f>
        <v>Borden, David</v>
      </c>
      <c r="B892" s="3">
        <f ca="1">IFERROR(__xludf.DUMMYFUNCTION("""COMPUTED_VALUE"""),1)</f>
        <v>1</v>
      </c>
      <c r="C892" s="7">
        <f ca="1">IFERROR(__xludf.DUMMYFUNCTION("""COMPUTED_VALUE"""),1)</f>
        <v>1</v>
      </c>
      <c r="D892" s="8">
        <f ca="1">IFERROR(__xludf.DUMMYFUNCTION("""COMPUTED_VALUE"""),1)</f>
        <v>1</v>
      </c>
      <c r="E892" s="2">
        <f ca="1">IFERROR(__xludf.DUMMYFUNCTION("""COMPUTED_VALUE"""),1)</f>
        <v>1</v>
      </c>
    </row>
    <row r="893" spans="1:5" ht="13">
      <c r="A893" s="2" t="str">
        <f ca="1">IFERROR(__xludf.DUMMYFUNCTION("""COMPUTED_VALUE"""),"Borel-Clerc, Charles")</f>
        <v>Borel-Clerc, Charles</v>
      </c>
      <c r="B893" s="3">
        <f ca="1">IFERROR(__xludf.DUMMYFUNCTION("""COMPUTED_VALUE"""),1)</f>
        <v>1</v>
      </c>
      <c r="C893" s="7">
        <f ca="1">IFERROR(__xludf.DUMMYFUNCTION("""COMPUTED_VALUE"""),1)</f>
        <v>1</v>
      </c>
      <c r="D893" s="8">
        <f ca="1">IFERROR(__xludf.DUMMYFUNCTION("""COMPUTED_VALUE"""),5)</f>
        <v>5</v>
      </c>
      <c r="E893" s="2">
        <f ca="1">IFERROR(__xludf.DUMMYFUNCTION("""COMPUTED_VALUE"""),2)</f>
        <v>2</v>
      </c>
    </row>
    <row r="894" spans="1:5" ht="13">
      <c r="A894" s="8" t="str">
        <f ca="1">IFERROR(__xludf.DUMMYFUNCTION("""COMPUTED_VALUE"""),"Borlawsky, Daniel")</f>
        <v>Borlawsky, Daniel</v>
      </c>
      <c r="B894" s="3">
        <f ca="1">IFERROR(__xludf.DUMMYFUNCTION("""COMPUTED_VALUE"""),1)</f>
        <v>1</v>
      </c>
      <c r="C894" s="7">
        <f ca="1">IFERROR(__xludf.DUMMYFUNCTION("""COMPUTED_VALUE"""),1)</f>
        <v>1</v>
      </c>
      <c r="D894" s="8">
        <f ca="1">IFERROR(__xludf.DUMMYFUNCTION("""COMPUTED_VALUE"""),1)</f>
        <v>1</v>
      </c>
      <c r="E894" s="2">
        <f ca="1">IFERROR(__xludf.DUMMYFUNCTION("""COMPUTED_VALUE"""),1)</f>
        <v>1</v>
      </c>
    </row>
    <row r="895" spans="1:5" ht="13">
      <c r="A895" s="2" t="str">
        <f ca="1">IFERROR(__xludf.DUMMYFUNCTION("""COMPUTED_VALUE"""),"Borne, François")</f>
        <v>Borne, François</v>
      </c>
      <c r="B895" s="2">
        <f ca="1">IFERROR(__xludf.DUMMYFUNCTION("""COMPUTED_VALUE"""),1)</f>
        <v>1</v>
      </c>
      <c r="C895" s="7">
        <f ca="1">IFERROR(__xludf.DUMMYFUNCTION("""COMPUTED_VALUE"""),1)</f>
        <v>1</v>
      </c>
      <c r="D895" s="8">
        <f ca="1">IFERROR(__xludf.DUMMYFUNCTION("""COMPUTED_VALUE"""),5)</f>
        <v>5</v>
      </c>
      <c r="E895" s="2">
        <f ca="1">IFERROR(__xludf.DUMMYFUNCTION("""COMPUTED_VALUE"""),2)</f>
        <v>2</v>
      </c>
    </row>
    <row r="896" spans="1:5" ht="13">
      <c r="A896" s="8" t="str">
        <f ca="1">IFERROR(__xludf.DUMMYFUNCTION("""COMPUTED_VALUE"""),"Borodin, Alexander")</f>
        <v>Borodin, Alexander</v>
      </c>
      <c r="B896" s="3">
        <f ca="1">IFERROR(__xludf.DUMMYFUNCTION("""COMPUTED_VALUE"""),1)</f>
        <v>1</v>
      </c>
      <c r="C896" s="7">
        <f ca="1">IFERROR(__xludf.DUMMYFUNCTION("""COMPUTED_VALUE"""),1)</f>
        <v>1</v>
      </c>
      <c r="D896" s="8">
        <f ca="1">IFERROR(__xludf.DUMMYFUNCTION("""COMPUTED_VALUE"""),5)</f>
        <v>5</v>
      </c>
      <c r="E896" s="2">
        <f ca="1">IFERROR(__xludf.DUMMYFUNCTION("""COMPUTED_VALUE"""),2)</f>
        <v>2</v>
      </c>
    </row>
    <row r="897" spans="1:5" ht="13">
      <c r="A897" s="8" t="str">
        <f ca="1">IFERROR(__xludf.DUMMYFUNCTION("""COMPUTED_VALUE"""),"Boroski, Felix")</f>
        <v>Boroski, Felix</v>
      </c>
      <c r="B897" s="3">
        <f ca="1">IFERROR(__xludf.DUMMYFUNCTION("""COMPUTED_VALUE"""),1)</f>
        <v>1</v>
      </c>
      <c r="C897" s="7">
        <f ca="1">IFERROR(__xludf.DUMMYFUNCTION("""COMPUTED_VALUE"""),1)</f>
        <v>1</v>
      </c>
      <c r="D897" s="8">
        <f ca="1">IFERROR(__xludf.DUMMYFUNCTION("""COMPUTED_VALUE"""),5)</f>
        <v>5</v>
      </c>
      <c r="E897" s="2">
        <f ca="1">IFERROR(__xludf.DUMMYFUNCTION("""COMPUTED_VALUE"""),2)</f>
        <v>2</v>
      </c>
    </row>
    <row r="898" spans="1:5" ht="13">
      <c r="A898" s="2" t="str">
        <f ca="1">IFERROR(__xludf.DUMMYFUNCTION("""COMPUTED_VALUE"""),"Borowski, Felix")</f>
        <v>Borowski, Felix</v>
      </c>
      <c r="B898" s="3">
        <f ca="1">IFERROR(__xludf.DUMMYFUNCTION("""COMPUTED_VALUE"""),1)</f>
        <v>1</v>
      </c>
      <c r="C898" s="7">
        <f ca="1">IFERROR(__xludf.DUMMYFUNCTION("""COMPUTED_VALUE"""),1)</f>
        <v>1</v>
      </c>
      <c r="D898" s="8">
        <f ca="1">IFERROR(__xludf.DUMMYFUNCTION("""COMPUTED_VALUE"""),5)</f>
        <v>5</v>
      </c>
      <c r="E898" s="2">
        <f ca="1">IFERROR(__xludf.DUMMYFUNCTION("""COMPUTED_VALUE"""),2)</f>
        <v>2</v>
      </c>
    </row>
    <row r="899" spans="1:5" ht="13">
      <c r="A899" s="2" t="str">
        <f ca="1">IFERROR(__xludf.DUMMYFUNCTION("""COMPUTED_VALUE"""),"Borri, Giovanni")</f>
        <v>Borri, Giovanni</v>
      </c>
      <c r="B899" s="3">
        <f ca="1">IFERROR(__xludf.DUMMYFUNCTION("""COMPUTED_VALUE"""),1)</f>
        <v>1</v>
      </c>
      <c r="C899" s="7">
        <f ca="1">IFERROR(__xludf.DUMMYFUNCTION("""COMPUTED_VALUE"""),1)</f>
        <v>1</v>
      </c>
      <c r="D899" s="8">
        <f ca="1">IFERROR(__xludf.DUMMYFUNCTION("""COMPUTED_VALUE"""),5)</f>
        <v>5</v>
      </c>
      <c r="E899" s="2">
        <f ca="1">IFERROR(__xludf.DUMMYFUNCTION("""COMPUTED_VALUE"""),2)</f>
        <v>2</v>
      </c>
    </row>
    <row r="900" spans="1:5" ht="13">
      <c r="A900" s="8" t="str">
        <f ca="1">IFERROR(__xludf.DUMMYFUNCTION("""COMPUTED_VALUE"""),"Borstlap, John")</f>
        <v>Borstlap, John</v>
      </c>
      <c r="B900" s="3">
        <f ca="1">IFERROR(__xludf.DUMMYFUNCTION("""COMPUTED_VALUE"""),1)</f>
        <v>1</v>
      </c>
      <c r="C900" s="7">
        <f ca="1">IFERROR(__xludf.DUMMYFUNCTION("""COMPUTED_VALUE"""),1)</f>
        <v>1</v>
      </c>
      <c r="D900" s="8">
        <f ca="1">IFERROR(__xludf.DUMMYFUNCTION("""COMPUTED_VALUE"""),1)</f>
        <v>1</v>
      </c>
      <c r="E900" s="2">
        <f ca="1">IFERROR(__xludf.DUMMYFUNCTION("""COMPUTED_VALUE"""),1)</f>
        <v>1</v>
      </c>
    </row>
    <row r="901" spans="1:5" ht="13">
      <c r="A901" s="8" t="str">
        <f ca="1">IFERROR(__xludf.DUMMYFUNCTION("""COMPUTED_VALUE"""),"Bortni︠a︡nskiĭ, Dmitriĭ")</f>
        <v>Bortni︠a︡nskiĭ, Dmitriĭ</v>
      </c>
      <c r="B901" s="3">
        <f ca="1">IFERROR(__xludf.DUMMYFUNCTION("""COMPUTED_VALUE"""),1)</f>
        <v>1</v>
      </c>
      <c r="C901" s="7">
        <f ca="1">IFERROR(__xludf.DUMMYFUNCTION("""COMPUTED_VALUE"""),1)</f>
        <v>1</v>
      </c>
      <c r="D901" s="8">
        <f ca="1">IFERROR(__xludf.DUMMYFUNCTION("""COMPUTED_VALUE"""),5)</f>
        <v>5</v>
      </c>
      <c r="E901" s="2">
        <f ca="1">IFERROR(__xludf.DUMMYFUNCTION("""COMPUTED_VALUE"""),2)</f>
        <v>2</v>
      </c>
    </row>
    <row r="902" spans="1:5" ht="13">
      <c r="A902" s="8" t="str">
        <f ca="1">IFERROR(__xludf.DUMMYFUNCTION("""COMPUTED_VALUE"""),"Bortniansky, Dmitri")</f>
        <v>Bortniansky, Dmitri</v>
      </c>
      <c r="B902" s="3">
        <f ca="1">IFERROR(__xludf.DUMMYFUNCTION("""COMPUTED_VALUE"""),1)</f>
        <v>1</v>
      </c>
      <c r="C902" s="7">
        <f ca="1">IFERROR(__xludf.DUMMYFUNCTION("""COMPUTED_VALUE"""),1)</f>
        <v>1</v>
      </c>
      <c r="D902" s="8">
        <f ca="1">IFERROR(__xludf.DUMMYFUNCTION("""COMPUTED_VALUE"""),5)</f>
        <v>5</v>
      </c>
      <c r="E902" s="2">
        <f ca="1">IFERROR(__xludf.DUMMYFUNCTION("""COMPUTED_VALUE"""),2)</f>
        <v>2</v>
      </c>
    </row>
    <row r="903" spans="1:5" ht="13">
      <c r="A903" s="2" t="str">
        <f ca="1">IFERROR(__xludf.DUMMYFUNCTION("""COMPUTED_VALUE"""),"Bosc, Auguste")</f>
        <v>Bosc, Auguste</v>
      </c>
      <c r="B903" s="2">
        <f ca="1">IFERROR(__xludf.DUMMYFUNCTION("""COMPUTED_VALUE"""),1)</f>
        <v>1</v>
      </c>
      <c r="C903" s="7">
        <f ca="1">IFERROR(__xludf.DUMMYFUNCTION("""COMPUTED_VALUE"""),1)</f>
        <v>1</v>
      </c>
      <c r="D903" s="8">
        <f ca="1">IFERROR(__xludf.DUMMYFUNCTION("""COMPUTED_VALUE"""),5)</f>
        <v>5</v>
      </c>
      <c r="E903" s="2">
        <f ca="1">IFERROR(__xludf.DUMMYFUNCTION("""COMPUTED_VALUE"""),2)</f>
        <v>2</v>
      </c>
    </row>
    <row r="904" spans="1:5" ht="13">
      <c r="A904" s="8" t="str">
        <f ca="1">IFERROR(__xludf.DUMMYFUNCTION("""COMPUTED_VALUE"""),"Bosch, Oscar Colomina i")</f>
        <v>Bosch, Oscar Colomina i</v>
      </c>
      <c r="B904" s="3">
        <f ca="1">IFERROR(__xludf.DUMMYFUNCTION("""COMPUTED_VALUE"""),1)</f>
        <v>1</v>
      </c>
      <c r="C904" s="7">
        <f ca="1">IFERROR(__xludf.DUMMYFUNCTION("""COMPUTED_VALUE"""),1)</f>
        <v>1</v>
      </c>
      <c r="D904" s="8">
        <f ca="1">IFERROR(__xludf.DUMMYFUNCTION("""COMPUTED_VALUE"""),1)</f>
        <v>1</v>
      </c>
      <c r="E904" s="2">
        <f ca="1">IFERROR(__xludf.DUMMYFUNCTION("""COMPUTED_VALUE"""),1)</f>
        <v>1</v>
      </c>
    </row>
    <row r="905" spans="1:5" ht="13">
      <c r="A905" s="2" t="str">
        <f ca="1">IFERROR(__xludf.DUMMYFUNCTION("""COMPUTED_VALUE"""),"Bösendorfer, Alfred")</f>
        <v>Bösendorfer, Alfred</v>
      </c>
      <c r="B905" s="2">
        <f ca="1">IFERROR(__xludf.DUMMYFUNCTION("""COMPUTED_VALUE"""),1)</f>
        <v>1</v>
      </c>
      <c r="C905" s="2">
        <f ca="1">IFERROR(__xludf.DUMMYFUNCTION("""COMPUTED_VALUE"""),1)</f>
        <v>1</v>
      </c>
      <c r="D905" s="8">
        <f ca="1">IFERROR(__xludf.DUMMYFUNCTION("""COMPUTED_VALUE"""),1)</f>
        <v>1</v>
      </c>
      <c r="E905" s="2">
        <f ca="1">IFERROR(__xludf.DUMMYFUNCTION("""COMPUTED_VALUE"""),1)</f>
        <v>1</v>
      </c>
    </row>
    <row r="906" spans="1:5" ht="13">
      <c r="A906" s="2" t="str">
        <f ca="1">IFERROR(__xludf.DUMMYFUNCTION("""COMPUTED_VALUE"""),"Boskerk, Capt. Francis Saltus von")</f>
        <v>Boskerk, Capt. Francis Saltus von</v>
      </c>
      <c r="B906" s="3">
        <f ca="1">IFERROR(__xludf.DUMMYFUNCTION("""COMPUTED_VALUE"""),1)</f>
        <v>1</v>
      </c>
      <c r="C906" s="7">
        <f ca="1">IFERROR(__xludf.DUMMYFUNCTION("""COMPUTED_VALUE"""),1)</f>
        <v>1</v>
      </c>
      <c r="D906" s="8">
        <f ca="1">IFERROR(__xludf.DUMMYFUNCTION("""COMPUTED_VALUE"""),5)</f>
        <v>5</v>
      </c>
      <c r="E906" s="2">
        <f ca="1">IFERROR(__xludf.DUMMYFUNCTION("""COMPUTED_VALUE"""),2)</f>
        <v>2</v>
      </c>
    </row>
    <row r="907" spans="1:5" ht="13">
      <c r="A907" s="2" t="str">
        <f ca="1">IFERROR(__xludf.DUMMYFUNCTION("""COMPUTED_VALUE"""),"Bosmans, Arthur")</f>
        <v>Bosmans, Arthur</v>
      </c>
      <c r="B907" s="3">
        <f ca="1">IFERROR(__xludf.DUMMYFUNCTION("""COMPUTED_VALUE"""),1)</f>
        <v>1</v>
      </c>
      <c r="C907" s="7">
        <f ca="1">IFERROR(__xludf.DUMMYFUNCTION("""COMPUTED_VALUE"""),1)</f>
        <v>1</v>
      </c>
      <c r="D907" s="8">
        <f ca="1">IFERROR(__xludf.DUMMYFUNCTION("""COMPUTED_VALUE"""),5)</f>
        <v>5</v>
      </c>
      <c r="E907" s="2">
        <f ca="1">IFERROR(__xludf.DUMMYFUNCTION("""COMPUTED_VALUE"""),2)</f>
        <v>2</v>
      </c>
    </row>
    <row r="908" spans="1:5" ht="13">
      <c r="A908" s="8" t="str">
        <f ca="1">IFERROR(__xludf.DUMMYFUNCTION("""COMPUTED_VALUE"""),"Boss, Andrew")</f>
        <v>Boss, Andrew</v>
      </c>
      <c r="B908" s="3">
        <f ca="1">IFERROR(__xludf.DUMMYFUNCTION("""COMPUTED_VALUE"""),1)</f>
        <v>1</v>
      </c>
      <c r="C908" s="7">
        <f ca="1">IFERROR(__xludf.DUMMYFUNCTION("""COMPUTED_VALUE"""),1)</f>
        <v>1</v>
      </c>
      <c r="D908" s="8">
        <f ca="1">IFERROR(__xludf.DUMMYFUNCTION("""COMPUTED_VALUE"""),1)</f>
        <v>1</v>
      </c>
      <c r="E908" s="2">
        <f ca="1">IFERROR(__xludf.DUMMYFUNCTION("""COMPUTED_VALUE"""),1)</f>
        <v>1</v>
      </c>
    </row>
    <row r="909" spans="1:5" ht="13">
      <c r="A909" s="8" t="str">
        <f ca="1">IFERROR(__xludf.DUMMYFUNCTION("""COMPUTED_VALUE"""),"Boss, Rainer")</f>
        <v>Boss, Rainer</v>
      </c>
      <c r="B909" s="3">
        <f ca="1">IFERROR(__xludf.DUMMYFUNCTION("""COMPUTED_VALUE"""),1)</f>
        <v>1</v>
      </c>
      <c r="C909" s="7">
        <f ca="1">IFERROR(__xludf.DUMMYFUNCTION("""COMPUTED_VALUE"""),1)</f>
        <v>1</v>
      </c>
      <c r="D909" s="8">
        <f ca="1">IFERROR(__xludf.DUMMYFUNCTION("""COMPUTED_VALUE"""),5)</f>
        <v>5</v>
      </c>
      <c r="E909" s="2">
        <f ca="1">IFERROR(__xludf.DUMMYFUNCTION("""COMPUTED_VALUE"""),2)</f>
        <v>2</v>
      </c>
    </row>
    <row r="910" spans="1:5" ht="13">
      <c r="A910" s="2" t="str">
        <f ca="1">IFERROR(__xludf.DUMMYFUNCTION("""COMPUTED_VALUE"""),"Bossi, Marco E.")</f>
        <v>Bossi, Marco E.</v>
      </c>
      <c r="B910" s="2">
        <f ca="1">IFERROR(__xludf.DUMMYFUNCTION("""COMPUTED_VALUE"""),1)</f>
        <v>1</v>
      </c>
      <c r="C910" s="7">
        <f ca="1">IFERROR(__xludf.DUMMYFUNCTION("""COMPUTED_VALUE"""),1)</f>
        <v>1</v>
      </c>
      <c r="D910" s="8">
        <f ca="1">IFERROR(__xludf.DUMMYFUNCTION("""COMPUTED_VALUE"""),5)</f>
        <v>5</v>
      </c>
      <c r="E910" s="2">
        <f ca="1">IFERROR(__xludf.DUMMYFUNCTION("""COMPUTED_VALUE"""),2)</f>
        <v>2</v>
      </c>
    </row>
    <row r="911" spans="1:5" ht="13">
      <c r="A911" s="2" t="str">
        <f ca="1">IFERROR(__xludf.DUMMYFUNCTION("""COMPUTED_VALUE"""),"Boster, Benjamin")</f>
        <v>Boster, Benjamin</v>
      </c>
      <c r="B911" s="3">
        <f ca="1">IFERROR(__xludf.DUMMYFUNCTION("""COMPUTED_VALUE"""),1)</f>
        <v>1</v>
      </c>
      <c r="C911" s="7">
        <f ca="1">IFERROR(__xludf.DUMMYFUNCTION("""COMPUTED_VALUE"""),1)</f>
        <v>1</v>
      </c>
      <c r="D911" s="8">
        <f ca="1">IFERROR(__xludf.DUMMYFUNCTION("""COMPUTED_VALUE"""),1)</f>
        <v>1</v>
      </c>
      <c r="E911" s="2">
        <f ca="1">IFERROR(__xludf.DUMMYFUNCTION("""COMPUTED_VALUE"""),1)</f>
        <v>1</v>
      </c>
    </row>
    <row r="912" spans="1:5" ht="13">
      <c r="A912" s="2" t="str">
        <f ca="1">IFERROR(__xludf.DUMMYFUNCTION("""COMPUTED_VALUE"""),"Botsford, George")</f>
        <v>Botsford, George</v>
      </c>
      <c r="B912" s="3">
        <f ca="1">IFERROR(__xludf.DUMMYFUNCTION("""COMPUTED_VALUE"""),1)</f>
        <v>1</v>
      </c>
      <c r="C912" s="7">
        <f ca="1">IFERROR(__xludf.DUMMYFUNCTION("""COMPUTED_VALUE"""),1)</f>
        <v>1</v>
      </c>
      <c r="D912" s="8">
        <f ca="1">IFERROR(__xludf.DUMMYFUNCTION("""COMPUTED_VALUE"""),5)</f>
        <v>5</v>
      </c>
      <c r="E912" s="2">
        <f ca="1">IFERROR(__xludf.DUMMYFUNCTION("""COMPUTED_VALUE"""),2)</f>
        <v>2</v>
      </c>
    </row>
    <row r="913" spans="1:5" ht="13">
      <c r="A913" s="8" t="str">
        <f ca="1">IFERROR(__xludf.DUMMYFUNCTION("""COMPUTED_VALUE"""),"Bottesini, Giovanni")</f>
        <v>Bottesini, Giovanni</v>
      </c>
      <c r="B913" s="3">
        <f ca="1">IFERROR(__xludf.DUMMYFUNCTION("""COMPUTED_VALUE"""),1)</f>
        <v>1</v>
      </c>
      <c r="C913" s="7">
        <f ca="1">IFERROR(__xludf.DUMMYFUNCTION("""COMPUTED_VALUE"""),1)</f>
        <v>1</v>
      </c>
      <c r="D913" s="8">
        <f ca="1">IFERROR(__xludf.DUMMYFUNCTION("""COMPUTED_VALUE"""),5)</f>
        <v>5</v>
      </c>
      <c r="E913" s="2">
        <f ca="1">IFERROR(__xludf.DUMMYFUNCTION("""COMPUTED_VALUE"""),2)</f>
        <v>2</v>
      </c>
    </row>
    <row r="914" spans="1:5" ht="13">
      <c r="A914" s="2" t="str">
        <f ca="1">IFERROR(__xludf.DUMMYFUNCTION("""COMPUTED_VALUE"""),"Bottje, Will Gay")</f>
        <v>Bottje, Will Gay</v>
      </c>
      <c r="B914" s="2">
        <f ca="1">IFERROR(__xludf.DUMMYFUNCTION("""COMPUTED_VALUE"""),1)</f>
        <v>1</v>
      </c>
      <c r="C914" s="7">
        <f ca="1">IFERROR(__xludf.DUMMYFUNCTION("""COMPUTED_VALUE"""),1)</f>
        <v>1</v>
      </c>
      <c r="D914" s="8">
        <f ca="1">IFERROR(__xludf.DUMMYFUNCTION("""COMPUTED_VALUE"""),5)</f>
        <v>5</v>
      </c>
      <c r="E914" s="2">
        <f ca="1">IFERROR(__xludf.DUMMYFUNCTION("""COMPUTED_VALUE"""),2)</f>
        <v>2</v>
      </c>
    </row>
    <row r="915" spans="1:5" ht="13">
      <c r="A915" s="8" t="str">
        <f ca="1">IFERROR(__xludf.DUMMYFUNCTION("""COMPUTED_VALUE"""),"Bottorf, Deane")</f>
        <v>Bottorf, Deane</v>
      </c>
      <c r="B915" s="3">
        <f ca="1">IFERROR(__xludf.DUMMYFUNCTION("""COMPUTED_VALUE"""),1)</f>
        <v>1</v>
      </c>
      <c r="C915" s="7">
        <f ca="1">IFERROR(__xludf.DUMMYFUNCTION("""COMPUTED_VALUE"""),1)</f>
        <v>1</v>
      </c>
      <c r="D915" s="8">
        <f ca="1">IFERROR(__xludf.DUMMYFUNCTION("""COMPUTED_VALUE"""),5)</f>
        <v>5</v>
      </c>
      <c r="E915" s="2">
        <f ca="1">IFERROR(__xludf.DUMMYFUNCTION("""COMPUTED_VALUE"""),2)</f>
        <v>2</v>
      </c>
    </row>
    <row r="916" spans="1:5" ht="13">
      <c r="A916" s="2" t="str">
        <f ca="1">IFERROR(__xludf.DUMMYFUNCTION("""COMPUTED_VALUE"""),"Boublil, Alain / Schönberg, Claude-Michel / Kretzmer, Herbert / Natel, Jean-Marc")</f>
        <v>Boublil, Alain / Schönberg, Claude-Michel / Kretzmer, Herbert / Natel, Jean-Marc</v>
      </c>
      <c r="B916" s="3">
        <f ca="1">IFERROR(__xludf.DUMMYFUNCTION("""COMPUTED_VALUE"""),1)</f>
        <v>1</v>
      </c>
      <c r="C916" s="7">
        <f ca="1">IFERROR(__xludf.DUMMYFUNCTION("""COMPUTED_VALUE"""),1)</f>
        <v>1</v>
      </c>
      <c r="D916" s="8">
        <f ca="1">IFERROR(__xludf.DUMMYFUNCTION("""COMPUTED_VALUE"""),1)</f>
        <v>1</v>
      </c>
      <c r="E916" s="2">
        <f ca="1">IFERROR(__xludf.DUMMYFUNCTION("""COMPUTED_VALUE"""),1)</f>
        <v>1</v>
      </c>
    </row>
    <row r="917" spans="1:5" ht="13">
      <c r="A917" s="2" t="str">
        <f ca="1">IFERROR(__xludf.DUMMYFUNCTION("""COMPUTED_VALUE"""),"Bouffil, Jacques")</f>
        <v>Bouffil, Jacques</v>
      </c>
      <c r="B917" s="2">
        <f ca="1">IFERROR(__xludf.DUMMYFUNCTION("""COMPUTED_VALUE"""),1)</f>
        <v>1</v>
      </c>
      <c r="C917" s="7">
        <f ca="1">IFERROR(__xludf.DUMMYFUNCTION("""COMPUTED_VALUE"""),1)</f>
        <v>1</v>
      </c>
      <c r="D917" s="8">
        <f ca="1">IFERROR(__xludf.DUMMYFUNCTION("""COMPUTED_VALUE"""),5)</f>
        <v>5</v>
      </c>
      <c r="E917" s="2">
        <f ca="1">IFERROR(__xludf.DUMMYFUNCTION("""COMPUTED_VALUE"""),2)</f>
        <v>2</v>
      </c>
    </row>
    <row r="918" spans="1:5" ht="13">
      <c r="A918" s="8" t="str">
        <f ca="1">IFERROR(__xludf.DUMMYFUNCTION("""COMPUTED_VALUE"""),"Bough, Thomas")</f>
        <v>Bough, Thomas</v>
      </c>
      <c r="B918" s="3">
        <f ca="1">IFERROR(__xludf.DUMMYFUNCTION("""COMPUTED_VALUE"""),1)</f>
        <v>1</v>
      </c>
      <c r="C918" s="7">
        <f ca="1">IFERROR(__xludf.DUMMYFUNCTION("""COMPUTED_VALUE"""),1)</f>
        <v>1</v>
      </c>
      <c r="D918" s="8">
        <f ca="1">IFERROR(__xludf.DUMMYFUNCTION("""COMPUTED_VALUE"""),1)</f>
        <v>1</v>
      </c>
      <c r="E918" s="2">
        <f ca="1">IFERROR(__xludf.DUMMYFUNCTION("""COMPUTED_VALUE"""),1)</f>
        <v>1</v>
      </c>
    </row>
    <row r="919" spans="1:5" ht="13">
      <c r="A919" s="2" t="str">
        <f ca="1">IFERROR(__xludf.DUMMYFUNCTION("""COMPUTED_VALUE"""),"Bouillot, Yves")</f>
        <v>Bouillot, Yves</v>
      </c>
      <c r="B919" s="3">
        <f ca="1">IFERROR(__xludf.DUMMYFUNCTION("""COMPUTED_VALUE"""),1)</f>
        <v>1</v>
      </c>
      <c r="C919" s="7">
        <f ca="1">IFERROR(__xludf.DUMMYFUNCTION("""COMPUTED_VALUE"""),1)</f>
        <v>1</v>
      </c>
      <c r="D919" s="8">
        <f ca="1">IFERROR(__xludf.DUMMYFUNCTION("""COMPUTED_VALUE"""),1)</f>
        <v>1</v>
      </c>
      <c r="E919" s="2">
        <f ca="1">IFERROR(__xludf.DUMMYFUNCTION("""COMPUTED_VALUE"""),1)</f>
        <v>1</v>
      </c>
    </row>
    <row r="920" spans="1:5" ht="13">
      <c r="A920" s="8" t="str">
        <f ca="1">IFERROR(__xludf.DUMMYFUNCTION("""COMPUTED_VALUE"""),"Boulez, Pierre")</f>
        <v>Boulez, Pierre</v>
      </c>
      <c r="B920" s="3">
        <f ca="1">IFERROR(__xludf.DUMMYFUNCTION("""COMPUTED_VALUE"""),1)</f>
        <v>1</v>
      </c>
      <c r="C920" s="7">
        <f ca="1">IFERROR(__xludf.DUMMYFUNCTION("""COMPUTED_VALUE"""),1)</f>
        <v>1</v>
      </c>
      <c r="D920" s="8">
        <f ca="1">IFERROR(__xludf.DUMMYFUNCTION("""COMPUTED_VALUE"""),5)</f>
        <v>5</v>
      </c>
      <c r="E920" s="2">
        <f ca="1">IFERROR(__xludf.DUMMYFUNCTION("""COMPUTED_VALUE"""),2)</f>
        <v>2</v>
      </c>
    </row>
    <row r="921" spans="1:5" ht="13">
      <c r="A921" s="8" t="str">
        <f ca="1">IFERROR(__xludf.DUMMYFUNCTION("""COMPUTED_VALUE"""),"Boulton, Dan")</f>
        <v>Boulton, Dan</v>
      </c>
      <c r="B921" s="3">
        <f ca="1">IFERROR(__xludf.DUMMYFUNCTION("""COMPUTED_VALUE"""),1)</f>
        <v>1</v>
      </c>
      <c r="C921" s="7">
        <f ca="1">IFERROR(__xludf.DUMMYFUNCTION("""COMPUTED_VALUE"""),1)</f>
        <v>1</v>
      </c>
      <c r="D921" s="8">
        <f ca="1">IFERROR(__xludf.DUMMYFUNCTION("""COMPUTED_VALUE"""),1)</f>
        <v>1</v>
      </c>
      <c r="E921" s="2">
        <f ca="1">IFERROR(__xludf.DUMMYFUNCTION("""COMPUTED_VALUE"""),1)</f>
        <v>1</v>
      </c>
    </row>
    <row r="922" spans="1:5" ht="13">
      <c r="A922" s="2" t="str">
        <f ca="1">IFERROR(__xludf.DUMMYFUNCTION("""COMPUTED_VALUE"""),"Bouma, Stephen")</f>
        <v>Bouma, Stephen</v>
      </c>
      <c r="B922" s="3">
        <f ca="1">IFERROR(__xludf.DUMMYFUNCTION("""COMPUTED_VALUE"""),1)</f>
        <v>1</v>
      </c>
      <c r="C922" s="7">
        <f ca="1">IFERROR(__xludf.DUMMYFUNCTION("""COMPUTED_VALUE"""),1)</f>
        <v>1</v>
      </c>
      <c r="D922" s="8">
        <f ca="1">IFERROR(__xludf.DUMMYFUNCTION("""COMPUTED_VALUE"""),1)</f>
        <v>1</v>
      </c>
      <c r="E922" s="2">
        <f ca="1">IFERROR(__xludf.DUMMYFUNCTION("""COMPUTED_VALUE"""),1)</f>
        <v>1</v>
      </c>
    </row>
    <row r="923" spans="1:5" ht="13">
      <c r="A923" s="2" t="str">
        <f ca="1">IFERROR(__xludf.DUMMYFUNCTION("""COMPUTED_VALUE"""),"Bouman, Paul")</f>
        <v>Bouman, Paul</v>
      </c>
      <c r="B923" s="3">
        <f ca="1">IFERROR(__xludf.DUMMYFUNCTION("""COMPUTED_VALUE"""),1)</f>
        <v>1</v>
      </c>
      <c r="C923" s="7">
        <f ca="1">IFERROR(__xludf.DUMMYFUNCTION("""COMPUTED_VALUE"""),1)</f>
        <v>1</v>
      </c>
      <c r="D923" s="8">
        <f ca="1">IFERROR(__xludf.DUMMYFUNCTION("""COMPUTED_VALUE"""),1)</f>
        <v>1</v>
      </c>
      <c r="E923" s="2">
        <f ca="1">IFERROR(__xludf.DUMMYFUNCTION("""COMPUTED_VALUE"""),1)</f>
        <v>1</v>
      </c>
    </row>
    <row r="924" spans="1:5" ht="13">
      <c r="A924" s="2" t="str">
        <f ca="1">IFERROR(__xludf.DUMMYFUNCTION("""COMPUTED_VALUE"""),"Bourgault, Louis")</f>
        <v>Bourgault, Louis</v>
      </c>
      <c r="B924" s="2">
        <f ca="1">IFERROR(__xludf.DUMMYFUNCTION("""COMPUTED_VALUE"""),1)</f>
        <v>1</v>
      </c>
      <c r="C924" s="7">
        <f ca="1">IFERROR(__xludf.DUMMYFUNCTION("""COMPUTED_VALUE"""),1)</f>
        <v>1</v>
      </c>
      <c r="D924" s="8">
        <f ca="1">IFERROR(__xludf.DUMMYFUNCTION("""COMPUTED_VALUE"""),5)</f>
        <v>5</v>
      </c>
      <c r="E924" s="2">
        <f ca="1">IFERROR(__xludf.DUMMYFUNCTION("""COMPUTED_VALUE"""),2)</f>
        <v>2</v>
      </c>
    </row>
    <row r="925" spans="1:5" ht="13">
      <c r="A925" s="8" t="str">
        <f ca="1">IFERROR(__xludf.DUMMYFUNCTION("""COMPUTED_VALUE"""),"Bourgeois, Derek")</f>
        <v>Bourgeois, Derek</v>
      </c>
      <c r="B925" s="3">
        <f ca="1">IFERROR(__xludf.DUMMYFUNCTION("""COMPUTED_VALUE"""),1)</f>
        <v>1</v>
      </c>
      <c r="C925" s="7">
        <f ca="1">IFERROR(__xludf.DUMMYFUNCTION("""COMPUTED_VALUE"""),1)</f>
        <v>1</v>
      </c>
      <c r="D925" s="8">
        <f ca="1">IFERROR(__xludf.DUMMYFUNCTION("""COMPUTED_VALUE"""),5)</f>
        <v>5</v>
      </c>
      <c r="E925" s="2">
        <f ca="1">IFERROR(__xludf.DUMMYFUNCTION("""COMPUTED_VALUE"""),2)</f>
        <v>2</v>
      </c>
    </row>
    <row r="926" spans="1:5" ht="13">
      <c r="A926" s="2" t="str">
        <f ca="1">IFERROR(__xludf.DUMMYFUNCTION("""COMPUTED_VALUE"""),"Bourgeois, John")</f>
        <v>Bourgeois, John</v>
      </c>
      <c r="B926" s="3">
        <f ca="1">IFERROR(__xludf.DUMMYFUNCTION("""COMPUTED_VALUE"""),1)</f>
        <v>1</v>
      </c>
      <c r="C926" s="7">
        <f ca="1">IFERROR(__xludf.DUMMYFUNCTION("""COMPUTED_VALUE"""),1)</f>
        <v>1</v>
      </c>
      <c r="D926" s="8">
        <f ca="1">IFERROR(__xludf.DUMMYFUNCTION("""COMPUTED_VALUE"""),1)</f>
        <v>1</v>
      </c>
      <c r="E926" s="2">
        <f ca="1">IFERROR(__xludf.DUMMYFUNCTION("""COMPUTED_VALUE"""),1)</f>
        <v>1</v>
      </c>
    </row>
    <row r="927" spans="1:5" ht="13">
      <c r="A927" s="8" t="str">
        <f ca="1">IFERROR(__xludf.DUMMYFUNCTION("""COMPUTED_VALUE"""),"Bourne, Francois")</f>
        <v>Bourne, Francois</v>
      </c>
      <c r="B927" s="3">
        <f ca="1">IFERROR(__xludf.DUMMYFUNCTION("""COMPUTED_VALUE"""),1)</f>
        <v>1</v>
      </c>
      <c r="C927" s="7">
        <f ca="1">IFERROR(__xludf.DUMMYFUNCTION("""COMPUTED_VALUE"""),1)</f>
        <v>1</v>
      </c>
      <c r="D927" s="8">
        <f ca="1">IFERROR(__xludf.DUMMYFUNCTION("""COMPUTED_VALUE"""),5)</f>
        <v>5</v>
      </c>
      <c r="E927" s="2">
        <f ca="1">IFERROR(__xludf.DUMMYFUNCTION("""COMPUTED_VALUE"""),2)</f>
        <v>2</v>
      </c>
    </row>
    <row r="928" spans="1:5" ht="13">
      <c r="A928" s="2" t="str">
        <f ca="1">IFERROR(__xludf.DUMMYFUNCTION("""COMPUTED_VALUE"""),"Bourque, Richard")</f>
        <v>Bourque, Richard</v>
      </c>
      <c r="B928" s="3">
        <f ca="1">IFERROR(__xludf.DUMMYFUNCTION("""COMPUTED_VALUE"""),1)</f>
        <v>1</v>
      </c>
      <c r="C928" s="7">
        <f ca="1">IFERROR(__xludf.DUMMYFUNCTION("""COMPUTED_VALUE"""),1)</f>
        <v>1</v>
      </c>
      <c r="D928" s="8">
        <f ca="1">IFERROR(__xludf.DUMMYFUNCTION("""COMPUTED_VALUE"""),1)</f>
        <v>1</v>
      </c>
      <c r="E928" s="2">
        <f ca="1">IFERROR(__xludf.DUMMYFUNCTION("""COMPUTED_VALUE"""),1)</f>
        <v>1</v>
      </c>
    </row>
    <row r="929" spans="1:5" ht="13">
      <c r="A929" s="8" t="str">
        <f ca="1">IFERROR(__xludf.DUMMYFUNCTION("""COMPUTED_VALUE"""),"Boutry, Roger")</f>
        <v>Boutry, Roger</v>
      </c>
      <c r="B929" s="3">
        <f ca="1">IFERROR(__xludf.DUMMYFUNCTION("""COMPUTED_VALUE"""),1)</f>
        <v>1</v>
      </c>
      <c r="C929" s="7">
        <f ca="1">IFERROR(__xludf.DUMMYFUNCTION("""COMPUTED_VALUE"""),1)</f>
        <v>1</v>
      </c>
      <c r="D929" s="8">
        <f ca="1">IFERROR(__xludf.DUMMYFUNCTION("""COMPUTED_VALUE"""),5)</f>
        <v>5</v>
      </c>
      <c r="E929" s="2">
        <f ca="1">IFERROR(__xludf.DUMMYFUNCTION("""COMPUTED_VALUE"""),2)</f>
        <v>2</v>
      </c>
    </row>
    <row r="930" spans="1:5" ht="13">
      <c r="A930" s="2" t="str">
        <f ca="1">IFERROR(__xludf.DUMMYFUNCTION("""COMPUTED_VALUE"""),"Bovet, Joseph")</f>
        <v>Bovet, Joseph</v>
      </c>
      <c r="B930" s="3">
        <f ca="1">IFERROR(__xludf.DUMMYFUNCTION("""COMPUTED_VALUE"""),1)</f>
        <v>1</v>
      </c>
      <c r="C930" s="7">
        <f ca="1">IFERROR(__xludf.DUMMYFUNCTION("""COMPUTED_VALUE"""),1)</f>
        <v>1</v>
      </c>
      <c r="D930" s="8">
        <f ca="1">IFERROR(__xludf.DUMMYFUNCTION("""COMPUTED_VALUE"""),5)</f>
        <v>5</v>
      </c>
      <c r="E930" s="2">
        <f ca="1">IFERROR(__xludf.DUMMYFUNCTION("""COMPUTED_VALUE"""),2)</f>
        <v>2</v>
      </c>
    </row>
    <row r="931" spans="1:5" ht="13">
      <c r="A931" s="8" t="str">
        <f ca="1">IFERROR(__xludf.DUMMYFUNCTION("""COMPUTED_VALUE"""),"Bowen, York")</f>
        <v>Bowen, York</v>
      </c>
      <c r="B931" s="3">
        <f ca="1">IFERROR(__xludf.DUMMYFUNCTION("""COMPUTED_VALUE"""),1)</f>
        <v>1</v>
      </c>
      <c r="C931" s="7">
        <f ca="1">IFERROR(__xludf.DUMMYFUNCTION("""COMPUTED_VALUE"""),1)</f>
        <v>1</v>
      </c>
      <c r="D931" s="8">
        <f ca="1">IFERROR(__xludf.DUMMYFUNCTION("""COMPUTED_VALUE"""),5)</f>
        <v>5</v>
      </c>
      <c r="E931" s="2">
        <f ca="1">IFERROR(__xludf.DUMMYFUNCTION("""COMPUTED_VALUE"""),2)</f>
        <v>2</v>
      </c>
    </row>
    <row r="932" spans="1:5" ht="13">
      <c r="A932" s="2" t="str">
        <f ca="1">IFERROR(__xludf.DUMMYFUNCTION("""COMPUTED_VALUE"""),"Bower, ""Bugs""")</f>
        <v>Bower, "Bugs"</v>
      </c>
      <c r="B932" s="3">
        <f ca="1">IFERROR(__xludf.DUMMYFUNCTION("""COMPUTED_VALUE"""),1)</f>
        <v>1</v>
      </c>
      <c r="C932" s="7">
        <f ca="1">IFERROR(__xludf.DUMMYFUNCTION("""COMPUTED_VALUE"""),1)</f>
        <v>1</v>
      </c>
      <c r="D932" s="8">
        <f ca="1">IFERROR(__xludf.DUMMYFUNCTION("""COMPUTED_VALUE"""),1)</f>
        <v>1</v>
      </c>
      <c r="E932" s="2">
        <f ca="1">IFERROR(__xludf.DUMMYFUNCTION("""COMPUTED_VALUE"""),1)</f>
        <v>1</v>
      </c>
    </row>
    <row r="933" spans="1:5" ht="13">
      <c r="A933" s="8" t="str">
        <f ca="1">IFERROR(__xludf.DUMMYFUNCTION("""COMPUTED_VALUE"""),"Bowie, David / Jones, Trevor")</f>
        <v>Bowie, David / Jones, Trevor</v>
      </c>
      <c r="B933" s="2">
        <f ca="1">IFERROR(__xludf.DUMMYFUNCTION("""COMPUTED_VALUE"""),1)</f>
        <v>1</v>
      </c>
      <c r="C933" s="2">
        <f ca="1">IFERROR(__xludf.DUMMYFUNCTION("""COMPUTED_VALUE"""),1)</f>
        <v>1</v>
      </c>
      <c r="D933" s="8">
        <f ca="1">IFERROR(__xludf.DUMMYFUNCTION("""COMPUTED_VALUE"""),1)</f>
        <v>1</v>
      </c>
      <c r="E933" s="2">
        <f ca="1">IFERROR(__xludf.DUMMYFUNCTION("""COMPUTED_VALUE"""),1)</f>
        <v>1</v>
      </c>
    </row>
    <row r="934" spans="1:5" ht="13">
      <c r="A934" s="2" t="str">
        <f ca="1">IFERROR(__xludf.DUMMYFUNCTION("""COMPUTED_VALUE"""),"Bowles, Paul")</f>
        <v>Bowles, Paul</v>
      </c>
      <c r="B934" s="2">
        <f ca="1">IFERROR(__xludf.DUMMYFUNCTION("""COMPUTED_VALUE"""),1)</f>
        <v>1</v>
      </c>
      <c r="C934" s="7">
        <f ca="1">IFERROR(__xludf.DUMMYFUNCTION("""COMPUTED_VALUE"""),1)</f>
        <v>1</v>
      </c>
      <c r="D934" s="8">
        <f ca="1">IFERROR(__xludf.DUMMYFUNCTION("""COMPUTED_VALUE"""),5)</f>
        <v>5</v>
      </c>
      <c r="E934" s="2">
        <f ca="1">IFERROR(__xludf.DUMMYFUNCTION("""COMPUTED_VALUE"""),2)</f>
        <v>2</v>
      </c>
    </row>
    <row r="935" spans="1:5" ht="13">
      <c r="A935" s="8" t="str">
        <f ca="1">IFERROR(__xludf.DUMMYFUNCTION("""COMPUTED_VALUE"""),"Bowles, Richard")</f>
        <v>Bowles, Richard</v>
      </c>
      <c r="B935" s="3">
        <f ca="1">IFERROR(__xludf.DUMMYFUNCTION("""COMPUTED_VALUE"""),1)</f>
        <v>1</v>
      </c>
      <c r="C935" s="7">
        <f ca="1">IFERROR(__xludf.DUMMYFUNCTION("""COMPUTED_VALUE"""),1)</f>
        <v>1</v>
      </c>
      <c r="D935" s="8">
        <f ca="1">IFERROR(__xludf.DUMMYFUNCTION("""COMPUTED_VALUE"""),5)</f>
        <v>5</v>
      </c>
      <c r="E935" s="2">
        <f ca="1">IFERROR(__xludf.DUMMYFUNCTION("""COMPUTED_VALUE"""),2)</f>
        <v>2</v>
      </c>
    </row>
    <row r="936" spans="1:5" ht="13">
      <c r="A936" s="8" t="str">
        <f ca="1">IFERROR(__xludf.DUMMYFUNCTION("""COMPUTED_VALUE"""),"Bowlin, Howard")</f>
        <v>Bowlin, Howard</v>
      </c>
      <c r="B936" s="3">
        <f ca="1">IFERROR(__xludf.DUMMYFUNCTION("""COMPUTED_VALUE"""),1)</f>
        <v>1</v>
      </c>
      <c r="C936" s="7">
        <f ca="1">IFERROR(__xludf.DUMMYFUNCTION("""COMPUTED_VALUE"""),1)</f>
        <v>1</v>
      </c>
      <c r="D936" s="8">
        <f ca="1">IFERROR(__xludf.DUMMYFUNCTION("""COMPUTED_VALUE"""),1)</f>
        <v>1</v>
      </c>
      <c r="E936" s="2">
        <f ca="1">IFERROR(__xludf.DUMMYFUNCTION("""COMPUTED_VALUE"""),1)</f>
        <v>1</v>
      </c>
    </row>
    <row r="937" spans="1:5" ht="13">
      <c r="A937" s="2" t="str">
        <f ca="1">IFERROR(__xludf.DUMMYFUNCTION("""COMPUTED_VALUE"""),"Bowman, Brooks")</f>
        <v>Bowman, Brooks</v>
      </c>
      <c r="B937" s="2">
        <f ca="1">IFERROR(__xludf.DUMMYFUNCTION("""COMPUTED_VALUE"""),1)</f>
        <v>1</v>
      </c>
      <c r="C937" s="7">
        <f ca="1">IFERROR(__xludf.DUMMYFUNCTION("""COMPUTED_VALUE"""),1)</f>
        <v>1</v>
      </c>
      <c r="D937" s="8">
        <f ca="1">IFERROR(__xludf.DUMMYFUNCTION("""COMPUTED_VALUE"""),5)</f>
        <v>5</v>
      </c>
      <c r="E937" s="2">
        <f ca="1">IFERROR(__xludf.DUMMYFUNCTION("""COMPUTED_VALUE"""),2)</f>
        <v>2</v>
      </c>
    </row>
    <row r="938" spans="1:5" ht="13">
      <c r="A938" s="8" t="str">
        <f ca="1">IFERROR(__xludf.DUMMYFUNCTION("""COMPUTED_VALUE"""),"Boyce, William")</f>
        <v>Boyce, William</v>
      </c>
      <c r="B938" s="3">
        <f ca="1">IFERROR(__xludf.DUMMYFUNCTION("""COMPUTED_VALUE"""),1)</f>
        <v>1</v>
      </c>
      <c r="C938" s="7">
        <f ca="1">IFERROR(__xludf.DUMMYFUNCTION("""COMPUTED_VALUE"""),1)</f>
        <v>1</v>
      </c>
      <c r="D938" s="8">
        <f ca="1">IFERROR(__xludf.DUMMYFUNCTION("""COMPUTED_VALUE"""),5)</f>
        <v>5</v>
      </c>
      <c r="E938" s="2">
        <f ca="1">IFERROR(__xludf.DUMMYFUNCTION("""COMPUTED_VALUE"""),2)</f>
        <v>2</v>
      </c>
    </row>
    <row r="939" spans="1:5" ht="13">
      <c r="A939" s="2" t="str">
        <f ca="1">IFERROR(__xludf.DUMMYFUNCTION("""COMPUTED_VALUE"""),"Boyd, Jack")</f>
        <v>Boyd, Jack</v>
      </c>
      <c r="B939" s="3">
        <f ca="1">IFERROR(__xludf.DUMMYFUNCTION("""COMPUTED_VALUE"""),1)</f>
        <v>1</v>
      </c>
      <c r="C939" s="7">
        <f ca="1">IFERROR(__xludf.DUMMYFUNCTION("""COMPUTED_VALUE"""),1)</f>
        <v>1</v>
      </c>
      <c r="D939" s="8">
        <f ca="1">IFERROR(__xludf.DUMMYFUNCTION("""COMPUTED_VALUE"""),1)</f>
        <v>1</v>
      </c>
      <c r="E939" s="2">
        <f ca="1">IFERROR(__xludf.DUMMYFUNCTION("""COMPUTED_VALUE"""),1)</f>
        <v>1</v>
      </c>
    </row>
    <row r="940" spans="1:5" ht="13">
      <c r="A940" s="8" t="str">
        <f ca="1">IFERROR(__xludf.DUMMYFUNCTION("""COMPUTED_VALUE"""),"Boyd, John")</f>
        <v>Boyd, John</v>
      </c>
      <c r="B940" s="3">
        <f ca="1">IFERROR(__xludf.DUMMYFUNCTION("""COMPUTED_VALUE"""),1)</f>
        <v>1</v>
      </c>
      <c r="C940" s="7">
        <f ca="1">IFERROR(__xludf.DUMMYFUNCTION("""COMPUTED_VALUE"""),1)</f>
        <v>1</v>
      </c>
      <c r="D940" s="8">
        <f ca="1">IFERROR(__xludf.DUMMYFUNCTION("""COMPUTED_VALUE"""),5)</f>
        <v>5</v>
      </c>
      <c r="E940" s="2">
        <f ca="1">IFERROR(__xludf.DUMMYFUNCTION("""COMPUTED_VALUE"""),2)</f>
        <v>2</v>
      </c>
    </row>
    <row r="941" spans="1:5" ht="13">
      <c r="A941" s="8" t="str">
        <f ca="1">IFERROR(__xludf.DUMMYFUNCTION("""COMPUTED_VALUE"""),"Boyd, John / Fennell, Frederick")</f>
        <v>Boyd, John / Fennell, Frederick</v>
      </c>
      <c r="B941" s="3">
        <f ca="1">IFERROR(__xludf.DUMMYFUNCTION("""COMPUTED_VALUE"""),1)</f>
        <v>1</v>
      </c>
      <c r="C941" s="7">
        <f ca="1">IFERROR(__xludf.DUMMYFUNCTION("""COMPUTED_VALUE"""),1)</f>
        <v>1</v>
      </c>
      <c r="D941" s="8">
        <f ca="1">IFERROR(__xludf.DUMMYFUNCTION("""COMPUTED_VALUE"""),5)</f>
        <v>5</v>
      </c>
      <c r="E941" s="2">
        <f ca="1">IFERROR(__xludf.DUMMYFUNCTION("""COMPUTED_VALUE"""),2)</f>
        <v>2</v>
      </c>
    </row>
    <row r="942" spans="1:5" ht="13">
      <c r="A942" s="2" t="str">
        <f ca="1">IFERROR(__xludf.DUMMYFUNCTION("""COMPUTED_VALUE"""),"Boyd, Robert")</f>
        <v>Boyd, Robert</v>
      </c>
      <c r="B942" s="3">
        <f ca="1">IFERROR(__xludf.DUMMYFUNCTION("""COMPUTED_VALUE"""),1)</f>
        <v>1</v>
      </c>
      <c r="C942" s="7">
        <f ca="1">IFERROR(__xludf.DUMMYFUNCTION("""COMPUTED_VALUE"""),1)</f>
        <v>1</v>
      </c>
      <c r="D942" s="8">
        <f ca="1">IFERROR(__xludf.DUMMYFUNCTION("""COMPUTED_VALUE"""),5)</f>
        <v>5</v>
      </c>
      <c r="E942" s="2">
        <f ca="1">IFERROR(__xludf.DUMMYFUNCTION("""COMPUTED_VALUE"""),2)</f>
        <v>2</v>
      </c>
    </row>
    <row r="943" spans="1:5" ht="13">
      <c r="A943" s="8" t="str">
        <f ca="1">IFERROR(__xludf.DUMMYFUNCTION("""COMPUTED_VALUE"""),"Boyd, Robert A.")</f>
        <v>Boyd, Robert A.</v>
      </c>
      <c r="B943" s="3">
        <f ca="1">IFERROR(__xludf.DUMMYFUNCTION("""COMPUTED_VALUE"""),1)</f>
        <v>1</v>
      </c>
      <c r="C943" s="7">
        <f ca="1">IFERROR(__xludf.DUMMYFUNCTION("""COMPUTED_VALUE"""),1)</f>
        <v>1</v>
      </c>
      <c r="D943" s="8">
        <f ca="1">IFERROR(__xludf.DUMMYFUNCTION("""COMPUTED_VALUE"""),1)</f>
        <v>1</v>
      </c>
      <c r="E943" s="2">
        <f ca="1">IFERROR(__xludf.DUMMYFUNCTION("""COMPUTED_VALUE"""),1)</f>
        <v>1</v>
      </c>
    </row>
    <row r="944" spans="1:5" ht="13">
      <c r="A944" s="2" t="str">
        <f ca="1">IFERROR(__xludf.DUMMYFUNCTION("""COMPUTED_VALUE"""),"Boyd, William")</f>
        <v>Boyd, William</v>
      </c>
      <c r="B944" s="2">
        <f ca="1">IFERROR(__xludf.DUMMYFUNCTION("""COMPUTED_VALUE"""),1)</f>
        <v>1</v>
      </c>
      <c r="C944" s="2">
        <f ca="1">IFERROR(__xludf.DUMMYFUNCTION("""COMPUTED_VALUE"""),1)</f>
        <v>1</v>
      </c>
      <c r="D944" s="8">
        <f ca="1">IFERROR(__xludf.DUMMYFUNCTION("""COMPUTED_VALUE"""),5)</f>
        <v>5</v>
      </c>
      <c r="E944" s="2">
        <f ca="1">IFERROR(__xludf.DUMMYFUNCTION("""COMPUTED_VALUE"""),2)</f>
        <v>2</v>
      </c>
    </row>
    <row r="945" spans="1:5" ht="13">
      <c r="A945" s="2" t="str">
        <f ca="1">IFERROR(__xludf.DUMMYFUNCTION("""COMPUTED_VALUE"""),"Boydell, Brian")</f>
        <v>Boydell, Brian</v>
      </c>
      <c r="B945" s="2">
        <f ca="1">IFERROR(__xludf.DUMMYFUNCTION("""COMPUTED_VALUE"""),1)</f>
        <v>1</v>
      </c>
      <c r="C945" s="7">
        <f ca="1">IFERROR(__xludf.DUMMYFUNCTION("""COMPUTED_VALUE"""),1)</f>
        <v>1</v>
      </c>
      <c r="D945" s="8">
        <f ca="1">IFERROR(__xludf.DUMMYFUNCTION("""COMPUTED_VALUE"""),5)</f>
        <v>5</v>
      </c>
      <c r="E945" s="2">
        <f ca="1">IFERROR(__xludf.DUMMYFUNCTION("""COMPUTED_VALUE"""),2)</f>
        <v>2</v>
      </c>
    </row>
    <row r="946" spans="1:5" ht="13">
      <c r="A946" s="2" t="str">
        <f ca="1">IFERROR(__xludf.DUMMYFUNCTION("""COMPUTED_VALUE"""),"Boyer, Louis")</f>
        <v>Boyer, Louis</v>
      </c>
      <c r="B946" s="2">
        <f ca="1">IFERROR(__xludf.DUMMYFUNCTION("""COMPUTED_VALUE"""),1)</f>
        <v>1</v>
      </c>
      <c r="C946" s="7">
        <f ca="1">IFERROR(__xludf.DUMMYFUNCTION("""COMPUTED_VALUE"""),1)</f>
        <v>1</v>
      </c>
      <c r="D946" s="8">
        <f ca="1">IFERROR(__xludf.DUMMYFUNCTION("""COMPUTED_VALUE"""),5)</f>
        <v>5</v>
      </c>
      <c r="E946" s="2">
        <f ca="1">IFERROR(__xludf.DUMMYFUNCTION("""COMPUTED_VALUE"""),2)</f>
        <v>2</v>
      </c>
    </row>
    <row r="947" spans="1:5" ht="13">
      <c r="A947" s="8" t="str">
        <f ca="1">IFERROR(__xludf.DUMMYFUNCTION("""COMPUTED_VALUE"""),"Boyer, Peter")</f>
        <v>Boyer, Peter</v>
      </c>
      <c r="B947" s="3">
        <f ca="1">IFERROR(__xludf.DUMMYFUNCTION("""COMPUTED_VALUE"""),1)</f>
        <v>1</v>
      </c>
      <c r="C947" s="7">
        <f ca="1">IFERROR(__xludf.DUMMYFUNCTION("""COMPUTED_VALUE"""),1)</f>
        <v>1</v>
      </c>
      <c r="D947" s="8">
        <f ca="1">IFERROR(__xludf.DUMMYFUNCTION("""COMPUTED_VALUE"""),1)</f>
        <v>1</v>
      </c>
      <c r="E947" s="2">
        <f ca="1">IFERROR(__xludf.DUMMYFUNCTION("""COMPUTED_VALUE"""),1)</f>
        <v>1</v>
      </c>
    </row>
    <row r="948" spans="1:5" ht="13">
      <c r="A948" s="8" t="str">
        <f ca="1">IFERROR(__xludf.DUMMYFUNCTION("""COMPUTED_VALUE"""),"Boyer, Thornton Barnes")</f>
        <v>Boyer, Thornton Barnes</v>
      </c>
      <c r="B948" s="3">
        <f ca="1">IFERROR(__xludf.DUMMYFUNCTION("""COMPUTED_VALUE"""),1)</f>
        <v>1</v>
      </c>
      <c r="C948" s="7">
        <f ca="1">IFERROR(__xludf.DUMMYFUNCTION("""COMPUTED_VALUE"""),1)</f>
        <v>1</v>
      </c>
      <c r="D948" s="8">
        <f ca="1">IFERROR(__xludf.DUMMYFUNCTION("""COMPUTED_VALUE"""),5)</f>
        <v>5</v>
      </c>
      <c r="E948" s="2">
        <f ca="1">IFERROR(__xludf.DUMMYFUNCTION("""COMPUTED_VALUE"""),2)</f>
        <v>2</v>
      </c>
    </row>
    <row r="949" spans="1:5" ht="13">
      <c r="A949" s="8" t="str">
        <f ca="1">IFERROR(__xludf.DUMMYFUNCTION("""COMPUTED_VALUE"""),"Boyle, John")</f>
        <v>Boyle, John</v>
      </c>
      <c r="B949" s="3">
        <f ca="1">IFERROR(__xludf.DUMMYFUNCTION("""COMPUTED_VALUE"""),1)</f>
        <v>1</v>
      </c>
      <c r="C949" s="7">
        <f ca="1">IFERROR(__xludf.DUMMYFUNCTION("""COMPUTED_VALUE"""),1)</f>
        <v>1</v>
      </c>
      <c r="D949" s="8">
        <f ca="1">IFERROR(__xludf.DUMMYFUNCTION("""COMPUTED_VALUE"""),1)</f>
        <v>1</v>
      </c>
      <c r="E949" s="2">
        <f ca="1">IFERROR(__xludf.DUMMYFUNCTION("""COMPUTED_VALUE"""),1)</f>
        <v>1</v>
      </c>
    </row>
    <row r="950" spans="1:5" ht="13">
      <c r="A950" s="8" t="str">
        <f ca="1">IFERROR(__xludf.DUMMYFUNCTION("""COMPUTED_VALUE"""),"Boyle, Rory")</f>
        <v>Boyle, Rory</v>
      </c>
      <c r="B950" s="3">
        <f ca="1">IFERROR(__xludf.DUMMYFUNCTION("""COMPUTED_VALUE"""),1)</f>
        <v>1</v>
      </c>
      <c r="C950" s="7">
        <f ca="1">IFERROR(__xludf.DUMMYFUNCTION("""COMPUTED_VALUE"""),1)</f>
        <v>1</v>
      </c>
      <c r="D950" s="8">
        <f ca="1">IFERROR(__xludf.DUMMYFUNCTION("""COMPUTED_VALUE"""),1)</f>
        <v>1</v>
      </c>
      <c r="E950" s="2">
        <f ca="1">IFERROR(__xludf.DUMMYFUNCTION("""COMPUTED_VALUE"""),1)</f>
        <v>1</v>
      </c>
    </row>
    <row r="951" spans="1:5" ht="13">
      <c r="A951" s="8" t="str">
        <f ca="1">IFERROR(__xludf.DUMMYFUNCTION("""COMPUTED_VALUE"""),"Boyman, Michael")</f>
        <v>Boyman, Michael</v>
      </c>
      <c r="B951" s="3">
        <f ca="1">IFERROR(__xludf.DUMMYFUNCTION("""COMPUTED_VALUE"""),1)</f>
        <v>1</v>
      </c>
      <c r="C951" s="7">
        <f ca="1">IFERROR(__xludf.DUMMYFUNCTION("""COMPUTED_VALUE"""),1)</f>
        <v>1</v>
      </c>
      <c r="D951" s="8">
        <f ca="1">IFERROR(__xludf.DUMMYFUNCTION("""COMPUTED_VALUE"""),1)</f>
        <v>1</v>
      </c>
      <c r="E951" s="2">
        <f ca="1">IFERROR(__xludf.DUMMYFUNCTION("""COMPUTED_VALUE"""),1)</f>
        <v>1</v>
      </c>
    </row>
    <row r="952" spans="1:5" ht="13">
      <c r="A952" s="2" t="str">
        <f ca="1">IFERROR(__xludf.DUMMYFUNCTION("""COMPUTED_VALUE"""),"Boysen, Jr., Andrew")</f>
        <v>Boysen, Jr., Andrew</v>
      </c>
      <c r="B952" s="3">
        <f ca="1">IFERROR(__xludf.DUMMYFUNCTION("""COMPUTED_VALUE"""),1)</f>
        <v>1</v>
      </c>
      <c r="C952" s="7">
        <f ca="1">IFERROR(__xludf.DUMMYFUNCTION("""COMPUTED_VALUE"""),1)</f>
        <v>1</v>
      </c>
      <c r="D952" s="8">
        <f ca="1">IFERROR(__xludf.DUMMYFUNCTION("""COMPUTED_VALUE"""),1)</f>
        <v>1</v>
      </c>
      <c r="E952" s="2">
        <f ca="1">IFERROR(__xludf.DUMMYFUNCTION("""COMPUTED_VALUE"""),1)</f>
        <v>1</v>
      </c>
    </row>
    <row r="953" spans="1:5" ht="13">
      <c r="A953" s="8" t="str">
        <f ca="1">IFERROR(__xludf.DUMMYFUNCTION("""COMPUTED_VALUE"""),"Bozza, Eugène")</f>
        <v>Bozza, Eugène</v>
      </c>
      <c r="B953" s="3">
        <f ca="1">IFERROR(__xludf.DUMMYFUNCTION("""COMPUTED_VALUE"""),1)</f>
        <v>1</v>
      </c>
      <c r="C953" s="7">
        <f ca="1">IFERROR(__xludf.DUMMYFUNCTION("""COMPUTED_VALUE"""),1)</f>
        <v>1</v>
      </c>
      <c r="D953" s="8">
        <f ca="1">IFERROR(__xludf.DUMMYFUNCTION("""COMPUTED_VALUE"""),5)</f>
        <v>5</v>
      </c>
      <c r="E953" s="2">
        <f ca="1">IFERROR(__xludf.DUMMYFUNCTION("""COMPUTED_VALUE"""),2)</f>
        <v>2</v>
      </c>
    </row>
    <row r="954" spans="1:5" ht="13">
      <c r="A954" s="8" t="str">
        <f ca="1">IFERROR(__xludf.DUMMYFUNCTION("""COMPUTED_VALUE"""),"Brackett, Joseph")</f>
        <v>Brackett, Joseph</v>
      </c>
      <c r="B954" s="3">
        <f ca="1">IFERROR(__xludf.DUMMYFUNCTION("""COMPUTED_VALUE"""),1)</f>
        <v>1</v>
      </c>
      <c r="C954" s="7">
        <f ca="1">IFERROR(__xludf.DUMMYFUNCTION("""COMPUTED_VALUE"""),1)</f>
        <v>1</v>
      </c>
      <c r="D954" s="8">
        <f ca="1">IFERROR(__xludf.DUMMYFUNCTION("""COMPUTED_VALUE"""),5)</f>
        <v>5</v>
      </c>
      <c r="E954" s="2">
        <f ca="1">IFERROR(__xludf.DUMMYFUNCTION("""COMPUTED_VALUE"""),2)</f>
        <v>2</v>
      </c>
    </row>
    <row r="955" spans="1:5" ht="13">
      <c r="A955" s="8" t="str">
        <f ca="1">IFERROR(__xludf.DUMMYFUNCTION("""COMPUTED_VALUE"""),"Bradbury, William")</f>
        <v>Bradbury, William</v>
      </c>
      <c r="B955" s="3">
        <f ca="1">IFERROR(__xludf.DUMMYFUNCTION("""COMPUTED_VALUE"""),1)</f>
        <v>1</v>
      </c>
      <c r="C955" s="7">
        <f ca="1">IFERROR(__xludf.DUMMYFUNCTION("""COMPUTED_VALUE"""),1)</f>
        <v>1</v>
      </c>
      <c r="D955" s="8">
        <f ca="1">IFERROR(__xludf.DUMMYFUNCTION("""COMPUTED_VALUE"""),5)</f>
        <v>5</v>
      </c>
      <c r="E955" s="2">
        <f ca="1">IFERROR(__xludf.DUMMYFUNCTION("""COMPUTED_VALUE"""),2)</f>
        <v>2</v>
      </c>
    </row>
    <row r="956" spans="1:5" ht="13">
      <c r="A956" s="8" t="str">
        <f ca="1">IFERROR(__xludf.DUMMYFUNCTION("""COMPUTED_VALUE"""),"Bradbury, William B.")</f>
        <v>Bradbury, William B.</v>
      </c>
      <c r="B956" s="3">
        <f ca="1">IFERROR(__xludf.DUMMYFUNCTION("""COMPUTED_VALUE"""),1)</f>
        <v>1</v>
      </c>
      <c r="C956" s="7">
        <f ca="1">IFERROR(__xludf.DUMMYFUNCTION("""COMPUTED_VALUE"""),1)</f>
        <v>1</v>
      </c>
      <c r="D956" s="8">
        <f ca="1">IFERROR(__xludf.DUMMYFUNCTION("""COMPUTED_VALUE"""),5)</f>
        <v>5</v>
      </c>
      <c r="E956" s="2">
        <f ca="1">IFERROR(__xludf.DUMMYFUNCTION("""COMPUTED_VALUE"""),2)</f>
        <v>2</v>
      </c>
    </row>
    <row r="957" spans="1:5" ht="13">
      <c r="A957" s="2" t="str">
        <f ca="1">IFERROR(__xludf.DUMMYFUNCTION("""COMPUTED_VALUE"""),"Brade, William")</f>
        <v>Brade, William</v>
      </c>
      <c r="B957" s="2">
        <f ca="1">IFERROR(__xludf.DUMMYFUNCTION("""COMPUTED_VALUE"""),1)</f>
        <v>1</v>
      </c>
      <c r="C957" s="7">
        <f ca="1">IFERROR(__xludf.DUMMYFUNCTION("""COMPUTED_VALUE"""),1)</f>
        <v>1</v>
      </c>
      <c r="D957" s="8">
        <f ca="1">IFERROR(__xludf.DUMMYFUNCTION("""COMPUTED_VALUE"""),1)</f>
        <v>1</v>
      </c>
      <c r="E957" s="2">
        <f ca="1">IFERROR(__xludf.DUMMYFUNCTION("""COMPUTED_VALUE"""),1)</f>
        <v>1</v>
      </c>
    </row>
    <row r="958" spans="1:5" ht="13">
      <c r="A958" s="2" t="str">
        <f ca="1">IFERROR(__xludf.DUMMYFUNCTION("""COMPUTED_VALUE"""),"Bradfield, Bart")</f>
        <v>Bradfield, Bart</v>
      </c>
      <c r="B958" s="3">
        <f ca="1">IFERROR(__xludf.DUMMYFUNCTION("""COMPUTED_VALUE"""),1)</f>
        <v>1</v>
      </c>
      <c r="C958" s="7">
        <f ca="1">IFERROR(__xludf.DUMMYFUNCTION("""COMPUTED_VALUE"""),1)</f>
        <v>1</v>
      </c>
      <c r="D958" s="8">
        <f ca="1">IFERROR(__xludf.DUMMYFUNCTION("""COMPUTED_VALUE"""),1)</f>
        <v>1</v>
      </c>
      <c r="E958" s="2">
        <f ca="1">IFERROR(__xludf.DUMMYFUNCTION("""COMPUTED_VALUE"""),1)</f>
        <v>1</v>
      </c>
    </row>
    <row r="959" spans="1:5" ht="13">
      <c r="A959" s="2" t="str">
        <f ca="1">IFERROR(__xludf.DUMMYFUNCTION("""COMPUTED_VALUE"""),"Bradford, Christopher")</f>
        <v>Bradford, Christopher</v>
      </c>
      <c r="B959" s="3">
        <f ca="1">IFERROR(__xludf.DUMMYFUNCTION("""COMPUTED_VALUE"""),1)</f>
        <v>1</v>
      </c>
      <c r="C959" s="7">
        <f ca="1">IFERROR(__xludf.DUMMYFUNCTION("""COMPUTED_VALUE"""),1)</f>
        <v>1</v>
      </c>
      <c r="D959" s="8">
        <f ca="1">IFERROR(__xludf.DUMMYFUNCTION("""COMPUTED_VALUE"""),1)</f>
        <v>1</v>
      </c>
      <c r="E959" s="2">
        <f ca="1">IFERROR(__xludf.DUMMYFUNCTION("""COMPUTED_VALUE"""),1)</f>
        <v>1</v>
      </c>
    </row>
    <row r="960" spans="1:5" ht="13">
      <c r="A960" s="2" t="str">
        <f ca="1">IFERROR(__xludf.DUMMYFUNCTION("""COMPUTED_VALUE"""),"Bradley, Douglas")</f>
        <v>Bradley, Douglas</v>
      </c>
      <c r="B960" s="3">
        <f ca="1">IFERROR(__xludf.DUMMYFUNCTION("""COMPUTED_VALUE"""),1)</f>
        <v>1</v>
      </c>
      <c r="C960" s="7">
        <f ca="1">IFERROR(__xludf.DUMMYFUNCTION("""COMPUTED_VALUE"""),1)</f>
        <v>1</v>
      </c>
      <c r="D960" s="8">
        <f ca="1">IFERROR(__xludf.DUMMYFUNCTION("""COMPUTED_VALUE"""),1)</f>
        <v>1</v>
      </c>
      <c r="E960" s="2">
        <f ca="1">IFERROR(__xludf.DUMMYFUNCTION("""COMPUTED_VALUE"""),1)</f>
        <v>1</v>
      </c>
    </row>
    <row r="961" spans="1:5" ht="13">
      <c r="A961" s="2" t="str">
        <f ca="1">IFERROR(__xludf.DUMMYFUNCTION("""COMPUTED_VALUE"""),"Bradley, Jan")</f>
        <v>Bradley, Jan</v>
      </c>
      <c r="B961" s="2">
        <f ca="1">IFERROR(__xludf.DUMMYFUNCTION("""COMPUTED_VALUE"""),1)</f>
        <v>1</v>
      </c>
      <c r="C961" s="7">
        <f ca="1">IFERROR(__xludf.DUMMYFUNCTION("""COMPUTED_VALUE"""),1)</f>
        <v>1</v>
      </c>
      <c r="D961" s="8">
        <f ca="1">IFERROR(__xludf.DUMMYFUNCTION("""COMPUTED_VALUE"""),1)</f>
        <v>1</v>
      </c>
      <c r="E961" s="2">
        <f ca="1">IFERROR(__xludf.DUMMYFUNCTION("""COMPUTED_VALUE"""),1)</f>
        <v>1</v>
      </c>
    </row>
    <row r="962" spans="1:5" ht="13">
      <c r="A962" s="2" t="str">
        <f ca="1">IFERROR(__xludf.DUMMYFUNCTION("""COMPUTED_VALUE"""),"Bradshaw, Shea")</f>
        <v>Bradshaw, Shea</v>
      </c>
      <c r="B962" s="3">
        <f ca="1">IFERROR(__xludf.DUMMYFUNCTION("""COMPUTED_VALUE"""),1)</f>
        <v>1</v>
      </c>
      <c r="C962" s="7">
        <f ca="1">IFERROR(__xludf.DUMMYFUNCTION("""COMPUTED_VALUE"""),1)</f>
        <v>1</v>
      </c>
      <c r="D962" s="8">
        <f ca="1">IFERROR(__xludf.DUMMYFUNCTION("""COMPUTED_VALUE"""),1)</f>
        <v>1</v>
      </c>
      <c r="E962" s="2">
        <f ca="1">IFERROR(__xludf.DUMMYFUNCTION("""COMPUTED_VALUE"""),1)</f>
        <v>1</v>
      </c>
    </row>
    <row r="963" spans="1:5" ht="13">
      <c r="A963" s="2" t="str">
        <f ca="1">IFERROR(__xludf.DUMMYFUNCTION("""COMPUTED_VALUE"""),"Bragato, José")</f>
        <v>Bragato, José</v>
      </c>
      <c r="B963" s="3">
        <f ca="1">IFERROR(__xludf.DUMMYFUNCTION("""COMPUTED_VALUE"""),1)</f>
        <v>1</v>
      </c>
      <c r="C963" s="7">
        <f ca="1">IFERROR(__xludf.DUMMYFUNCTION("""COMPUTED_VALUE"""),1)</f>
        <v>1</v>
      </c>
      <c r="D963" s="8">
        <f ca="1">IFERROR(__xludf.DUMMYFUNCTION("""COMPUTED_VALUE"""),5)</f>
        <v>5</v>
      </c>
      <c r="E963" s="2">
        <f ca="1">IFERROR(__xludf.DUMMYFUNCTION("""COMPUTED_VALUE"""),2)</f>
        <v>2</v>
      </c>
    </row>
    <row r="964" spans="1:5" ht="13">
      <c r="A964" s="2" t="str">
        <f ca="1">IFERROR(__xludf.DUMMYFUNCTION("""COMPUTED_VALUE"""),"Bragg, Glyn")</f>
        <v>Bragg, Glyn</v>
      </c>
      <c r="B964" s="3">
        <f ca="1">IFERROR(__xludf.DUMMYFUNCTION("""COMPUTED_VALUE"""),1)</f>
        <v>1</v>
      </c>
      <c r="C964" s="7">
        <f ca="1">IFERROR(__xludf.DUMMYFUNCTION("""COMPUTED_VALUE"""),1)</f>
        <v>1</v>
      </c>
      <c r="D964" s="8">
        <f ca="1">IFERROR(__xludf.DUMMYFUNCTION("""COMPUTED_VALUE"""),1)</f>
        <v>1</v>
      </c>
      <c r="E964" s="2">
        <f ca="1">IFERROR(__xludf.DUMMYFUNCTION("""COMPUTED_VALUE"""),1)</f>
        <v>1</v>
      </c>
    </row>
    <row r="965" spans="1:5" ht="13">
      <c r="A965" s="2" t="str">
        <f ca="1">IFERROR(__xludf.DUMMYFUNCTION("""COMPUTED_VALUE"""),"Braham, Philip")</f>
        <v>Braham, Philip</v>
      </c>
      <c r="B965" s="2">
        <f ca="1">IFERROR(__xludf.DUMMYFUNCTION("""COMPUTED_VALUE"""),1)</f>
        <v>1</v>
      </c>
      <c r="C965" s="7">
        <f ca="1">IFERROR(__xludf.DUMMYFUNCTION("""COMPUTED_VALUE"""),1)</f>
        <v>1</v>
      </c>
      <c r="D965" s="8">
        <f ca="1">IFERROR(__xludf.DUMMYFUNCTION("""COMPUTED_VALUE"""),5)</f>
        <v>5</v>
      </c>
      <c r="E965" s="2">
        <f ca="1">IFERROR(__xludf.DUMMYFUNCTION("""COMPUTED_VALUE"""),2)</f>
        <v>2</v>
      </c>
    </row>
    <row r="966" spans="1:5" ht="13">
      <c r="A966" s="8" t="str">
        <f ca="1">IFERROR(__xludf.DUMMYFUNCTION("""COMPUTED_VALUE"""),"Brahms, Johannes")</f>
        <v>Brahms, Johannes</v>
      </c>
      <c r="B966" s="3">
        <f ca="1">IFERROR(__xludf.DUMMYFUNCTION("""COMPUTED_VALUE"""),1)</f>
        <v>1</v>
      </c>
      <c r="C966" s="7">
        <f ca="1">IFERROR(__xludf.DUMMYFUNCTION("""COMPUTED_VALUE"""),1)</f>
        <v>1</v>
      </c>
      <c r="D966" s="8">
        <f ca="1">IFERROR(__xludf.DUMMYFUNCTION("""COMPUTED_VALUE"""),5)</f>
        <v>5</v>
      </c>
      <c r="E966" s="2">
        <f ca="1">IFERROR(__xludf.DUMMYFUNCTION("""COMPUTED_VALUE"""),2)</f>
        <v>2</v>
      </c>
    </row>
    <row r="967" spans="1:5" ht="13">
      <c r="A967" s="8" t="str">
        <f ca="1">IFERROR(__xludf.DUMMYFUNCTION("""COMPUTED_VALUE"""),"Brahmstedt, Ken")</f>
        <v>Brahmstedt, Ken</v>
      </c>
      <c r="B967" s="3">
        <f ca="1">IFERROR(__xludf.DUMMYFUNCTION("""COMPUTED_VALUE"""),1)</f>
        <v>1</v>
      </c>
      <c r="C967" s="7">
        <f ca="1">IFERROR(__xludf.DUMMYFUNCTION("""COMPUTED_VALUE"""),1)</f>
        <v>1</v>
      </c>
      <c r="D967" s="8">
        <f ca="1">IFERROR(__xludf.DUMMYFUNCTION("""COMPUTED_VALUE"""),1)</f>
        <v>1</v>
      </c>
      <c r="E967" s="2">
        <f ca="1">IFERROR(__xludf.DUMMYFUNCTION("""COMPUTED_VALUE"""),1)</f>
        <v>1</v>
      </c>
    </row>
    <row r="968" spans="1:5" ht="13">
      <c r="A968" s="2" t="str">
        <f ca="1">IFERROR(__xludf.DUMMYFUNCTION("""COMPUTED_VALUE"""),"Branchfield, Aric")</f>
        <v>Branchfield, Aric</v>
      </c>
      <c r="B968" s="3">
        <f ca="1">IFERROR(__xludf.DUMMYFUNCTION("""COMPUTED_VALUE"""),1)</f>
        <v>1</v>
      </c>
      <c r="C968" s="7">
        <f ca="1">IFERROR(__xludf.DUMMYFUNCTION("""COMPUTED_VALUE"""),1)</f>
        <v>1</v>
      </c>
      <c r="D968" s="8">
        <f ca="1">IFERROR(__xludf.DUMMYFUNCTION("""COMPUTED_VALUE"""),1)</f>
        <v>1</v>
      </c>
      <c r="E968" s="2">
        <f ca="1">IFERROR(__xludf.DUMMYFUNCTION("""COMPUTED_VALUE"""),1)</f>
        <v>1</v>
      </c>
    </row>
    <row r="969" spans="1:5" ht="13">
      <c r="A969" s="8" t="str">
        <f ca="1">IFERROR(__xludf.DUMMYFUNCTION("""COMPUTED_VALUE"""),"Branciard, Francois")</f>
        <v>Branciard, Francois</v>
      </c>
      <c r="B969" s="3">
        <f ca="1">IFERROR(__xludf.DUMMYFUNCTION("""COMPUTED_VALUE"""),1)</f>
        <v>1</v>
      </c>
      <c r="C969" s="7">
        <f ca="1">IFERROR(__xludf.DUMMYFUNCTION("""COMPUTED_VALUE"""),1)</f>
        <v>1</v>
      </c>
      <c r="D969" s="8">
        <f ca="1">IFERROR(__xludf.DUMMYFUNCTION("""COMPUTED_VALUE"""),1)</f>
        <v>1</v>
      </c>
      <c r="E969" s="2">
        <f ca="1">IFERROR(__xludf.DUMMYFUNCTION("""COMPUTED_VALUE"""),1)</f>
        <v>1</v>
      </c>
    </row>
    <row r="970" spans="1:5" ht="13">
      <c r="A970" s="8" t="str">
        <f ca="1">IFERROR(__xludf.DUMMYFUNCTION("""COMPUTED_VALUE"""),"Brand, Geoffrey")</f>
        <v>Brand, Geoffrey</v>
      </c>
      <c r="B970" s="3">
        <f ca="1">IFERROR(__xludf.DUMMYFUNCTION("""COMPUTED_VALUE"""),1)</f>
        <v>1</v>
      </c>
      <c r="C970" s="7">
        <f ca="1">IFERROR(__xludf.DUMMYFUNCTION("""COMPUTED_VALUE"""),1)</f>
        <v>1</v>
      </c>
      <c r="D970" s="8">
        <f ca="1">IFERROR(__xludf.DUMMYFUNCTION("""COMPUTED_VALUE"""),1)</f>
        <v>1</v>
      </c>
      <c r="E970" s="2">
        <f ca="1">IFERROR(__xludf.DUMMYFUNCTION("""COMPUTED_VALUE"""),1)</f>
        <v>1</v>
      </c>
    </row>
    <row r="971" spans="1:5" ht="13">
      <c r="A971" s="8" t="str">
        <f ca="1">IFERROR(__xludf.DUMMYFUNCTION("""COMPUTED_VALUE"""),"Brand, Michael")</f>
        <v>Brand, Michael</v>
      </c>
      <c r="B971" s="3">
        <f ca="1">IFERROR(__xludf.DUMMYFUNCTION("""COMPUTED_VALUE"""),1)</f>
        <v>1</v>
      </c>
      <c r="C971" s="7">
        <f ca="1">IFERROR(__xludf.DUMMYFUNCTION("""COMPUTED_VALUE"""),1)</f>
        <v>1</v>
      </c>
      <c r="D971" s="8">
        <f ca="1">IFERROR(__xludf.DUMMYFUNCTION("""COMPUTED_VALUE"""),1)</f>
        <v>1</v>
      </c>
      <c r="E971" s="2">
        <f ca="1">IFERROR(__xludf.DUMMYFUNCTION("""COMPUTED_VALUE"""),1)</f>
        <v>1</v>
      </c>
    </row>
    <row r="972" spans="1:5" ht="13">
      <c r="A972" s="8" t="str">
        <f ca="1">IFERROR(__xludf.DUMMYFUNCTION("""COMPUTED_VALUE"""),"Brand, Spencer")</f>
        <v>Brand, Spencer</v>
      </c>
      <c r="B972" s="3">
        <f ca="1">IFERROR(__xludf.DUMMYFUNCTION("""COMPUTED_VALUE"""),1)</f>
        <v>1</v>
      </c>
      <c r="C972" s="7">
        <f ca="1">IFERROR(__xludf.DUMMYFUNCTION("""COMPUTED_VALUE"""),1)</f>
        <v>1</v>
      </c>
      <c r="D972" s="8">
        <f ca="1">IFERROR(__xludf.DUMMYFUNCTION("""COMPUTED_VALUE"""),1)</f>
        <v>1</v>
      </c>
      <c r="E972" s="2">
        <f ca="1">IFERROR(__xludf.DUMMYFUNCTION("""COMPUTED_VALUE"""),1)</f>
        <v>1</v>
      </c>
    </row>
    <row r="973" spans="1:5" ht="13">
      <c r="A973" s="2" t="str">
        <f ca="1">IFERROR(__xludf.DUMMYFUNCTION("""COMPUTED_VALUE"""),"Brandon, Don")</f>
        <v>Brandon, Don</v>
      </c>
      <c r="B973" s="3">
        <f ca="1">IFERROR(__xludf.DUMMYFUNCTION("""COMPUTED_VALUE"""),1)</f>
        <v>1</v>
      </c>
      <c r="C973" s="7">
        <f ca="1">IFERROR(__xludf.DUMMYFUNCTION("""COMPUTED_VALUE"""),1)</f>
        <v>1</v>
      </c>
      <c r="D973" s="8">
        <f ca="1">IFERROR(__xludf.DUMMYFUNCTION("""COMPUTED_VALUE"""),5)</f>
        <v>5</v>
      </c>
      <c r="E973" s="2">
        <f ca="1">IFERROR(__xludf.DUMMYFUNCTION("""COMPUTED_VALUE"""),2)</f>
        <v>2</v>
      </c>
    </row>
    <row r="974" spans="1:5" ht="13">
      <c r="A974" s="2" t="str">
        <f ca="1">IFERROR(__xludf.DUMMYFUNCTION("""COMPUTED_VALUE"""),"Brandon, Luke")</f>
        <v>Brandon, Luke</v>
      </c>
      <c r="B974" s="3">
        <f ca="1">IFERROR(__xludf.DUMMYFUNCTION("""COMPUTED_VALUE"""),1)</f>
        <v>1</v>
      </c>
      <c r="C974" s="7">
        <f ca="1">IFERROR(__xludf.DUMMYFUNCTION("""COMPUTED_VALUE"""),1)</f>
        <v>1</v>
      </c>
      <c r="D974" s="8">
        <f ca="1">IFERROR(__xludf.DUMMYFUNCTION("""COMPUTED_VALUE"""),1)</f>
        <v>1</v>
      </c>
      <c r="E974" s="2">
        <f ca="1">IFERROR(__xludf.DUMMYFUNCTION("""COMPUTED_VALUE"""),1)</f>
        <v>1</v>
      </c>
    </row>
    <row r="975" spans="1:5" ht="13">
      <c r="A975" s="8" t="str">
        <f ca="1">IFERROR(__xludf.DUMMYFUNCTION("""COMPUTED_VALUE"""),"Brandon, Nico")</f>
        <v>Brandon, Nico</v>
      </c>
      <c r="B975" s="3">
        <f ca="1">IFERROR(__xludf.DUMMYFUNCTION("""COMPUTED_VALUE"""),1)</f>
        <v>1</v>
      </c>
      <c r="C975" s="7">
        <f ca="1">IFERROR(__xludf.DUMMYFUNCTION("""COMPUTED_VALUE"""),1)</f>
        <v>1</v>
      </c>
      <c r="D975" s="8">
        <f ca="1">IFERROR(__xludf.DUMMYFUNCTION("""COMPUTED_VALUE"""),1)</f>
        <v>1</v>
      </c>
      <c r="E975" s="2">
        <f ca="1">IFERROR(__xludf.DUMMYFUNCTION("""COMPUTED_VALUE"""),1)</f>
        <v>1</v>
      </c>
    </row>
    <row r="976" spans="1:5" ht="13">
      <c r="A976" s="2" t="str">
        <f ca="1">IFERROR(__xludf.DUMMYFUNCTION("""COMPUTED_VALUE"""),"Brandt, Alan / Haymes, Bob")</f>
        <v>Brandt, Alan / Haymes, Bob</v>
      </c>
      <c r="B976" s="3">
        <f ca="1">IFERROR(__xludf.DUMMYFUNCTION("""COMPUTED_VALUE"""),1)</f>
        <v>1</v>
      </c>
      <c r="C976" s="7">
        <f ca="1">IFERROR(__xludf.DUMMYFUNCTION("""COMPUTED_VALUE"""),1)</f>
        <v>1</v>
      </c>
      <c r="D976" s="8">
        <f ca="1">IFERROR(__xludf.DUMMYFUNCTION("""COMPUTED_VALUE"""),5)</f>
        <v>5</v>
      </c>
      <c r="E976" s="2">
        <f ca="1">IFERROR(__xludf.DUMMYFUNCTION("""COMPUTED_VALUE"""),2)</f>
        <v>2</v>
      </c>
    </row>
    <row r="977" spans="1:5" ht="13">
      <c r="A977" s="8" t="str">
        <f ca="1">IFERROR(__xludf.DUMMYFUNCTION("""COMPUTED_VALUE"""),"Brandt, Vassily")</f>
        <v>Brandt, Vassily</v>
      </c>
      <c r="B977" s="3">
        <f ca="1">IFERROR(__xludf.DUMMYFUNCTION("""COMPUTED_VALUE"""),1)</f>
        <v>1</v>
      </c>
      <c r="C977" s="7">
        <f ca="1">IFERROR(__xludf.DUMMYFUNCTION("""COMPUTED_VALUE"""),1)</f>
        <v>1</v>
      </c>
      <c r="D977" s="8">
        <f ca="1">IFERROR(__xludf.DUMMYFUNCTION("""COMPUTED_VALUE"""),5)</f>
        <v>5</v>
      </c>
      <c r="E977" s="2">
        <f ca="1">IFERROR(__xludf.DUMMYFUNCTION("""COMPUTED_VALUE"""),2)</f>
        <v>2</v>
      </c>
    </row>
    <row r="978" spans="1:5" ht="13">
      <c r="A978" s="2" t="str">
        <f ca="1">IFERROR(__xludf.DUMMYFUNCTION("""COMPUTED_VALUE"""),"Brandvik, Paul")</f>
        <v>Brandvik, Paul</v>
      </c>
      <c r="B978" s="3">
        <f ca="1">IFERROR(__xludf.DUMMYFUNCTION("""COMPUTED_VALUE"""),1)</f>
        <v>1</v>
      </c>
      <c r="C978" s="7">
        <f ca="1">IFERROR(__xludf.DUMMYFUNCTION("""COMPUTED_VALUE"""),1)</f>
        <v>1</v>
      </c>
      <c r="D978" s="8">
        <f ca="1">IFERROR(__xludf.DUMMYFUNCTION("""COMPUTED_VALUE"""),1)</f>
        <v>1</v>
      </c>
      <c r="E978" s="2">
        <f ca="1">IFERROR(__xludf.DUMMYFUNCTION("""COMPUTED_VALUE"""),1)</f>
        <v>1</v>
      </c>
    </row>
    <row r="979" spans="1:5" ht="13">
      <c r="A979" s="8" t="str">
        <f ca="1">IFERROR(__xludf.DUMMYFUNCTION("""COMPUTED_VALUE"""),"Branham, Chance")</f>
        <v>Branham, Chance</v>
      </c>
      <c r="B979" s="3">
        <f ca="1">IFERROR(__xludf.DUMMYFUNCTION("""COMPUTED_VALUE"""),1)</f>
        <v>1</v>
      </c>
      <c r="C979" s="7">
        <f ca="1">IFERROR(__xludf.DUMMYFUNCTION("""COMPUTED_VALUE"""),1)</f>
        <v>1</v>
      </c>
      <c r="D979" s="8">
        <f ca="1">IFERROR(__xludf.DUMMYFUNCTION("""COMPUTED_VALUE"""),1)</f>
        <v>1</v>
      </c>
      <c r="E979" s="2">
        <f ca="1">IFERROR(__xludf.DUMMYFUNCTION("""COMPUTED_VALUE"""),1)</f>
        <v>1</v>
      </c>
    </row>
    <row r="980" spans="1:5" ht="13">
      <c r="A980" s="2" t="str">
        <f ca="1">IFERROR(__xludf.DUMMYFUNCTION("""COMPUTED_VALUE"""),"Brannon, Samuel J.")</f>
        <v>Brannon, Samuel J.</v>
      </c>
      <c r="B980" s="2">
        <f ca="1">IFERROR(__xludf.DUMMYFUNCTION("""COMPUTED_VALUE"""),1)</f>
        <v>1</v>
      </c>
      <c r="C980" s="2">
        <f ca="1">IFERROR(__xludf.DUMMYFUNCTION("""COMPUTED_VALUE"""),1)</f>
        <v>1</v>
      </c>
      <c r="D980" s="8">
        <f ca="1">IFERROR(__xludf.DUMMYFUNCTION("""COMPUTED_VALUE"""),1)</f>
        <v>1</v>
      </c>
      <c r="E980" s="2">
        <f ca="1">IFERROR(__xludf.DUMMYFUNCTION("""COMPUTED_VALUE"""),1)</f>
        <v>1</v>
      </c>
    </row>
    <row r="981" spans="1:5" ht="13">
      <c r="A981" s="2" t="str">
        <f ca="1">IFERROR(__xludf.DUMMYFUNCTION("""COMPUTED_VALUE"""),"Branson, Taylor")</f>
        <v>Branson, Taylor</v>
      </c>
      <c r="B981" s="2">
        <f ca="1">IFERROR(__xludf.DUMMYFUNCTION("""COMPUTED_VALUE"""),1)</f>
        <v>1</v>
      </c>
      <c r="C981" s="7">
        <f ca="1">IFERROR(__xludf.DUMMYFUNCTION("""COMPUTED_VALUE"""),1)</f>
        <v>1</v>
      </c>
      <c r="D981" s="8">
        <f ca="1">IFERROR(__xludf.DUMMYFUNCTION("""COMPUTED_VALUE"""),5)</f>
        <v>5</v>
      </c>
      <c r="E981" s="2">
        <f ca="1">IFERROR(__xludf.DUMMYFUNCTION("""COMPUTED_VALUE"""),2)</f>
        <v>2</v>
      </c>
    </row>
    <row r="982" spans="1:5" ht="13">
      <c r="A982" s="8" t="str">
        <f ca="1">IFERROR(__xludf.DUMMYFUNCTION("""COMPUTED_VALUE"""),"Brant, Henry")</f>
        <v>Brant, Henry</v>
      </c>
      <c r="B982" s="3">
        <f ca="1">IFERROR(__xludf.DUMMYFUNCTION("""COMPUTED_VALUE"""),1)</f>
        <v>1</v>
      </c>
      <c r="C982" s="7">
        <f ca="1">IFERROR(__xludf.DUMMYFUNCTION("""COMPUTED_VALUE"""),1)</f>
        <v>1</v>
      </c>
      <c r="D982" s="8">
        <f ca="1">IFERROR(__xludf.DUMMYFUNCTION("""COMPUTED_VALUE"""),5)</f>
        <v>5</v>
      </c>
      <c r="E982" s="2">
        <f ca="1">IFERROR(__xludf.DUMMYFUNCTION("""COMPUTED_VALUE"""),2)</f>
        <v>2</v>
      </c>
    </row>
    <row r="983" spans="1:5" ht="13">
      <c r="A983" s="8" t="str">
        <f ca="1">IFERROR(__xludf.DUMMYFUNCTION("""COMPUTED_VALUE"""),"Bratt, Michael")</f>
        <v>Bratt, Michael</v>
      </c>
      <c r="B983" s="3">
        <f ca="1">IFERROR(__xludf.DUMMYFUNCTION("""COMPUTED_VALUE"""),1)</f>
        <v>1</v>
      </c>
      <c r="C983" s="7">
        <f ca="1">IFERROR(__xludf.DUMMYFUNCTION("""COMPUTED_VALUE"""),1)</f>
        <v>1</v>
      </c>
      <c r="D983" s="8">
        <f ca="1">IFERROR(__xludf.DUMMYFUNCTION("""COMPUTED_VALUE"""),1)</f>
        <v>1</v>
      </c>
      <c r="E983" s="2">
        <f ca="1">IFERROR(__xludf.DUMMYFUNCTION("""COMPUTED_VALUE"""),1)</f>
        <v>1</v>
      </c>
    </row>
    <row r="984" spans="1:5" ht="13">
      <c r="A984" s="8" t="str">
        <f ca="1">IFERROR(__xludf.DUMMYFUNCTION("""COMPUTED_VALUE"""),"Braun (unknown)")</f>
        <v>Braun (unknown)</v>
      </c>
      <c r="B984" s="3">
        <f ca="1">IFERROR(__xludf.DUMMYFUNCTION("""COMPUTED_VALUE"""),1)</f>
        <v>1</v>
      </c>
      <c r="C984" s="7">
        <f ca="1">IFERROR(__xludf.DUMMYFUNCTION("""COMPUTED_VALUE"""),1)</f>
        <v>1</v>
      </c>
      <c r="D984" s="8">
        <f ca="1">IFERROR(__xludf.DUMMYFUNCTION("""COMPUTED_VALUE"""),5)</f>
        <v>5</v>
      </c>
      <c r="E984" s="2">
        <f ca="1">IFERROR(__xludf.DUMMYFUNCTION("""COMPUTED_VALUE"""),2)</f>
        <v>2</v>
      </c>
    </row>
    <row r="985" spans="1:5" ht="13">
      <c r="A985" s="2" t="str">
        <f ca="1">IFERROR(__xludf.DUMMYFUNCTION("""COMPUTED_VALUE"""),"Braun, Gerhard")</f>
        <v>Braun, Gerhard</v>
      </c>
      <c r="B985" s="3">
        <f ca="1">IFERROR(__xludf.DUMMYFUNCTION("""COMPUTED_VALUE"""),1)</f>
        <v>1</v>
      </c>
      <c r="C985" s="7">
        <f ca="1">IFERROR(__xludf.DUMMYFUNCTION("""COMPUTED_VALUE"""),1)</f>
        <v>1</v>
      </c>
      <c r="D985" s="8">
        <f ca="1">IFERROR(__xludf.DUMMYFUNCTION("""COMPUTED_VALUE"""),5)</f>
        <v>5</v>
      </c>
      <c r="E985" s="2">
        <f ca="1">IFERROR(__xludf.DUMMYFUNCTION("""COMPUTED_VALUE"""),2)</f>
        <v>2</v>
      </c>
    </row>
    <row r="986" spans="1:5" ht="13">
      <c r="A986" s="8" t="str">
        <f ca="1">IFERROR(__xludf.DUMMYFUNCTION("""COMPUTED_VALUE"""),"Braun, Richard")</f>
        <v>Braun, Richard</v>
      </c>
      <c r="B986" s="3">
        <f ca="1">IFERROR(__xludf.DUMMYFUNCTION("""COMPUTED_VALUE"""),1)</f>
        <v>1</v>
      </c>
      <c r="C986" s="7">
        <f ca="1">IFERROR(__xludf.DUMMYFUNCTION("""COMPUTED_VALUE"""),1)</f>
        <v>1</v>
      </c>
      <c r="D986" s="8">
        <f ca="1">IFERROR(__xludf.DUMMYFUNCTION("""COMPUTED_VALUE"""),5)</f>
        <v>5</v>
      </c>
      <c r="E986" s="2">
        <f ca="1">IFERROR(__xludf.DUMMYFUNCTION("""COMPUTED_VALUE"""),2)</f>
        <v>2</v>
      </c>
    </row>
    <row r="987" spans="1:5" ht="13">
      <c r="A987" s="2" t="str">
        <f ca="1">IFERROR(__xludf.DUMMYFUNCTION("""COMPUTED_VALUE"""),"Braun, William")</f>
        <v>Braun, William</v>
      </c>
      <c r="B987" s="2">
        <f ca="1">IFERROR(__xludf.DUMMYFUNCTION("""COMPUTED_VALUE"""),1)</f>
        <v>1</v>
      </c>
      <c r="C987" s="2">
        <f ca="1">IFERROR(__xludf.DUMMYFUNCTION("""COMPUTED_VALUE"""),1)</f>
        <v>1</v>
      </c>
      <c r="D987" s="8">
        <f ca="1">IFERROR(__xludf.DUMMYFUNCTION("""COMPUTED_VALUE"""),1)</f>
        <v>1</v>
      </c>
      <c r="E987" s="2">
        <f ca="1">IFERROR(__xludf.DUMMYFUNCTION("""COMPUTED_VALUE"""),1)</f>
        <v>1</v>
      </c>
    </row>
    <row r="988" spans="1:5" ht="13">
      <c r="A988" s="8" t="str">
        <f ca="1">IFERROR(__xludf.DUMMYFUNCTION("""COMPUTED_VALUE"""),"Braunfels, Walter")</f>
        <v>Braunfels, Walter</v>
      </c>
      <c r="B988" s="3">
        <f ca="1">IFERROR(__xludf.DUMMYFUNCTION("""COMPUTED_VALUE"""),1)</f>
        <v>1</v>
      </c>
      <c r="C988" s="7">
        <f ca="1">IFERROR(__xludf.DUMMYFUNCTION("""COMPUTED_VALUE"""),1)</f>
        <v>1</v>
      </c>
      <c r="D988" s="8">
        <f ca="1">IFERROR(__xludf.DUMMYFUNCTION("""COMPUTED_VALUE"""),5)</f>
        <v>5</v>
      </c>
      <c r="E988" s="2">
        <f ca="1">IFERROR(__xludf.DUMMYFUNCTION("""COMPUTED_VALUE"""),2)</f>
        <v>2</v>
      </c>
    </row>
    <row r="989" spans="1:5" ht="13">
      <c r="A989" s="2" t="str">
        <f ca="1">IFERROR(__xludf.DUMMYFUNCTION("""COMPUTED_VALUE"""),"Bray, Bruce")</f>
        <v>Bray, Bruce</v>
      </c>
      <c r="B989" s="3">
        <f ca="1">IFERROR(__xludf.DUMMYFUNCTION("""COMPUTED_VALUE"""),1)</f>
        <v>1</v>
      </c>
      <c r="C989" s="7">
        <f ca="1">IFERROR(__xludf.DUMMYFUNCTION("""COMPUTED_VALUE"""),1)</f>
        <v>1</v>
      </c>
      <c r="D989" s="8">
        <f ca="1">IFERROR(__xludf.DUMMYFUNCTION("""COMPUTED_VALUE"""),1)</f>
        <v>1</v>
      </c>
      <c r="E989" s="2">
        <f ca="1">IFERROR(__xludf.DUMMYFUNCTION("""COMPUTED_VALUE"""),1)</f>
        <v>1</v>
      </c>
    </row>
    <row r="990" spans="1:5" ht="13">
      <c r="A990" s="8" t="str">
        <f ca="1">IFERROR(__xludf.DUMMYFUNCTION("""COMPUTED_VALUE"""),"Bray, Bruce C.")</f>
        <v>Bray, Bruce C.</v>
      </c>
      <c r="B990" s="3">
        <f ca="1">IFERROR(__xludf.DUMMYFUNCTION("""COMPUTED_VALUE"""),1)</f>
        <v>1</v>
      </c>
      <c r="C990" s="7">
        <f ca="1">IFERROR(__xludf.DUMMYFUNCTION("""COMPUTED_VALUE"""),1)</f>
        <v>1</v>
      </c>
      <c r="D990" s="8">
        <f ca="1">IFERROR(__xludf.DUMMYFUNCTION("""COMPUTED_VALUE"""),1)</f>
        <v>1</v>
      </c>
      <c r="E990" s="2">
        <f ca="1">IFERROR(__xludf.DUMMYFUNCTION("""COMPUTED_VALUE"""),1)</f>
        <v>1</v>
      </c>
    </row>
    <row r="991" spans="1:5" ht="13">
      <c r="A991" s="2" t="str">
        <f ca="1">IFERROR(__xludf.DUMMYFUNCTION("""COMPUTED_VALUE"""),"Brayn, Chas F.")</f>
        <v>Brayn, Chas F.</v>
      </c>
      <c r="B991" s="3">
        <f ca="1">IFERROR(__xludf.DUMMYFUNCTION("""COMPUTED_VALUE"""),1)</f>
        <v>1</v>
      </c>
      <c r="C991" s="7">
        <f ca="1">IFERROR(__xludf.DUMMYFUNCTION("""COMPUTED_VALUE"""),1)</f>
        <v>1</v>
      </c>
      <c r="D991" s="8">
        <f ca="1">IFERROR(__xludf.DUMMYFUNCTION("""COMPUTED_VALUE"""),5)</f>
        <v>5</v>
      </c>
      <c r="E991" s="2">
        <f ca="1">IFERROR(__xludf.DUMMYFUNCTION("""COMPUTED_VALUE"""),2)</f>
        <v>2</v>
      </c>
    </row>
    <row r="992" spans="1:5" ht="13">
      <c r="A992" s="2" t="str">
        <f ca="1">IFERROR(__xludf.DUMMYFUNCTION("""COMPUTED_VALUE"""),"Braz, Michael")</f>
        <v>Braz, Michael</v>
      </c>
      <c r="B992" s="3">
        <f ca="1">IFERROR(__xludf.DUMMYFUNCTION("""COMPUTED_VALUE"""),1)</f>
        <v>1</v>
      </c>
      <c r="C992" s="7">
        <f ca="1">IFERROR(__xludf.DUMMYFUNCTION("""COMPUTED_VALUE"""),1)</f>
        <v>1</v>
      </c>
      <c r="D992" s="8">
        <f ca="1">IFERROR(__xludf.DUMMYFUNCTION("""COMPUTED_VALUE"""),1)</f>
        <v>1</v>
      </c>
      <c r="E992" s="2">
        <f ca="1">IFERROR(__xludf.DUMMYFUNCTION("""COMPUTED_VALUE"""),1)</f>
        <v>1</v>
      </c>
    </row>
    <row r="993" spans="1:5" ht="13">
      <c r="A993" s="2" t="str">
        <f ca="1">IFERROR(__xludf.DUMMYFUNCTION("""COMPUTED_VALUE"""),"Brazauskas, Paul")</f>
        <v>Brazauskas, Paul</v>
      </c>
      <c r="B993" s="2">
        <f ca="1">IFERROR(__xludf.DUMMYFUNCTION("""COMPUTED_VALUE"""),1)</f>
        <v>1</v>
      </c>
      <c r="C993" s="2">
        <f ca="1">IFERROR(__xludf.DUMMYFUNCTION("""COMPUTED_VALUE"""),1)</f>
        <v>1</v>
      </c>
      <c r="D993" s="8">
        <f ca="1">IFERROR(__xludf.DUMMYFUNCTION("""COMPUTED_VALUE"""),1)</f>
        <v>1</v>
      </c>
      <c r="E993" s="2">
        <f ca="1">IFERROR(__xludf.DUMMYFUNCTION("""COMPUTED_VALUE"""),1)</f>
        <v>1</v>
      </c>
    </row>
    <row r="994" spans="1:5" ht="13">
      <c r="A994" s="2" t="str">
        <f ca="1">IFERROR(__xludf.DUMMYFUNCTION("""COMPUTED_VALUE"""),"Brebeuf, Jean de")</f>
        <v>Brebeuf, Jean de</v>
      </c>
      <c r="B994" s="3">
        <f ca="1">IFERROR(__xludf.DUMMYFUNCTION("""COMPUTED_VALUE"""),1)</f>
        <v>1</v>
      </c>
      <c r="C994" s="7">
        <f ca="1">IFERROR(__xludf.DUMMYFUNCTION("""COMPUTED_VALUE"""),1)</f>
        <v>1</v>
      </c>
      <c r="D994" s="8">
        <f ca="1">IFERROR(__xludf.DUMMYFUNCTION("""COMPUTED_VALUE"""),5)</f>
        <v>5</v>
      </c>
      <c r="E994" s="2">
        <f ca="1">IFERROR(__xludf.DUMMYFUNCTION("""COMPUTED_VALUE"""),2)</f>
        <v>2</v>
      </c>
    </row>
    <row r="995" spans="1:5" ht="13">
      <c r="A995" s="2" t="str">
        <f ca="1">IFERROR(__xludf.DUMMYFUNCTION("""COMPUTED_VALUE"""),"Brechmacher, Ryan")</f>
        <v>Brechmacher, Ryan</v>
      </c>
      <c r="B995" s="3">
        <f ca="1">IFERROR(__xludf.DUMMYFUNCTION("""COMPUTED_VALUE"""),1)</f>
        <v>1</v>
      </c>
      <c r="C995" s="7">
        <f ca="1">IFERROR(__xludf.DUMMYFUNCTION("""COMPUTED_VALUE"""),1)</f>
        <v>1</v>
      </c>
      <c r="D995" s="8">
        <f ca="1">IFERROR(__xludf.DUMMYFUNCTION("""COMPUTED_VALUE"""),1)</f>
        <v>1</v>
      </c>
      <c r="E995" s="2">
        <f ca="1">IFERROR(__xludf.DUMMYFUNCTION("""COMPUTED_VALUE"""),1)</f>
        <v>1</v>
      </c>
    </row>
    <row r="996" spans="1:5" ht="13">
      <c r="A996" s="2" t="str">
        <f ca="1">IFERROR(__xludf.DUMMYFUNCTION("""COMPUTED_VALUE"""),"Breck, Edward")</f>
        <v>Breck, Edward</v>
      </c>
      <c r="B996" s="2">
        <f ca="1">IFERROR(__xludf.DUMMYFUNCTION("""COMPUTED_VALUE"""),1)</f>
        <v>1</v>
      </c>
      <c r="C996" s="2">
        <f ca="1">IFERROR(__xludf.DUMMYFUNCTION("""COMPUTED_VALUE"""),1)</f>
        <v>1</v>
      </c>
      <c r="D996" s="8">
        <f ca="1">IFERROR(__xludf.DUMMYFUNCTION("""COMPUTED_VALUE"""),5)</f>
        <v>5</v>
      </c>
      <c r="E996" s="2">
        <f ca="1">IFERROR(__xludf.DUMMYFUNCTION("""COMPUTED_VALUE"""),2)</f>
        <v>2</v>
      </c>
    </row>
    <row r="997" spans="1:5" ht="13">
      <c r="A997" s="2" t="str">
        <f ca="1">IFERROR(__xludf.DUMMYFUNCTION("""COMPUTED_VALUE"""),"Brecker, Michael")</f>
        <v>Brecker, Michael</v>
      </c>
      <c r="B997" s="2">
        <f ca="1">IFERROR(__xludf.DUMMYFUNCTION("""COMPUTED_VALUE"""),1)</f>
        <v>1</v>
      </c>
      <c r="C997" s="7">
        <f ca="1">IFERROR(__xludf.DUMMYFUNCTION("""COMPUTED_VALUE"""),1)</f>
        <v>1</v>
      </c>
      <c r="D997" s="8">
        <f ca="1">IFERROR(__xludf.DUMMYFUNCTION("""COMPUTED_VALUE"""),5)</f>
        <v>5</v>
      </c>
      <c r="E997" s="2">
        <f ca="1">IFERROR(__xludf.DUMMYFUNCTION("""COMPUTED_VALUE"""),2)</f>
        <v>2</v>
      </c>
    </row>
    <row r="998" spans="1:5" ht="13">
      <c r="A998" s="2" t="str">
        <f ca="1">IFERROR(__xludf.DUMMYFUNCTION("""COMPUTED_VALUE"""),"Brecker, Randy")</f>
        <v>Brecker, Randy</v>
      </c>
      <c r="B998" s="3">
        <f ca="1">IFERROR(__xludf.DUMMYFUNCTION("""COMPUTED_VALUE"""),1)</f>
        <v>1</v>
      </c>
      <c r="C998" s="7">
        <f ca="1">IFERROR(__xludf.DUMMYFUNCTION("""COMPUTED_VALUE"""),1)</f>
        <v>1</v>
      </c>
      <c r="D998" s="8">
        <f ca="1">IFERROR(__xludf.DUMMYFUNCTION("""COMPUTED_VALUE"""),1)</f>
        <v>1</v>
      </c>
      <c r="E998" s="2">
        <f ca="1">IFERROR(__xludf.DUMMYFUNCTION("""COMPUTED_VALUE"""),1)</f>
        <v>1</v>
      </c>
    </row>
    <row r="999" spans="1:5" ht="13">
      <c r="A999" s="2" t="str">
        <f ca="1">IFERROR(__xludf.DUMMYFUNCTION("""COMPUTED_VALUE"""),"Breczinski, Stuart")</f>
        <v>Breczinski, Stuart</v>
      </c>
      <c r="B999" s="3">
        <f ca="1">IFERROR(__xludf.DUMMYFUNCTION("""COMPUTED_VALUE"""),1)</f>
        <v>1</v>
      </c>
      <c r="C999" s="7">
        <f ca="1">IFERROR(__xludf.DUMMYFUNCTION("""COMPUTED_VALUE"""),1)</f>
        <v>1</v>
      </c>
      <c r="D999" s="8">
        <f ca="1">IFERROR(__xludf.DUMMYFUNCTION("""COMPUTED_VALUE"""),1)</f>
        <v>1</v>
      </c>
      <c r="E999" s="2">
        <f ca="1">IFERROR(__xludf.DUMMYFUNCTION("""COMPUTED_VALUE"""),1)</f>
        <v>1</v>
      </c>
    </row>
    <row r="1000" spans="1:5" ht="13">
      <c r="A1000" s="8" t="str">
        <f ca="1">IFERROR(__xludf.DUMMYFUNCTION("""COMPUTED_VALUE"""),"Breedon, Daniel")</f>
        <v>Breedon, Daniel</v>
      </c>
      <c r="B1000" s="3">
        <f ca="1">IFERROR(__xludf.DUMMYFUNCTION("""COMPUTED_VALUE"""),1)</f>
        <v>1</v>
      </c>
      <c r="C1000" s="7">
        <f ca="1">IFERROR(__xludf.DUMMYFUNCTION("""COMPUTED_VALUE"""),1)</f>
        <v>1</v>
      </c>
      <c r="D1000" s="8">
        <f ca="1">IFERROR(__xludf.DUMMYFUNCTION("""COMPUTED_VALUE"""),1)</f>
        <v>1</v>
      </c>
      <c r="E1000" s="2">
        <f ca="1">IFERROR(__xludf.DUMMYFUNCTION("""COMPUTED_VALUE"""),1)</f>
        <v>1</v>
      </c>
    </row>
    <row r="1001" spans="1:5" ht="13">
      <c r="A1001" s="2" t="str">
        <f ca="1">IFERROR(__xludf.DUMMYFUNCTION("""COMPUTED_VALUE"""),"Breedon, Sam")</f>
        <v>Breedon, Sam</v>
      </c>
      <c r="B1001" s="3">
        <f ca="1">IFERROR(__xludf.DUMMYFUNCTION("""COMPUTED_VALUE"""),1)</f>
        <v>1</v>
      </c>
      <c r="C1001" s="7">
        <f ca="1">IFERROR(__xludf.DUMMYFUNCTION("""COMPUTED_VALUE"""),1)</f>
        <v>1</v>
      </c>
      <c r="D1001" s="8">
        <f ca="1">IFERROR(__xludf.DUMMYFUNCTION("""COMPUTED_VALUE"""),5)</f>
        <v>5</v>
      </c>
      <c r="E1001" s="2">
        <f ca="1">IFERROR(__xludf.DUMMYFUNCTION("""COMPUTED_VALUE"""),2)</f>
        <v>2</v>
      </c>
    </row>
    <row r="1002" spans="1:5" ht="13">
      <c r="A1002" s="2" t="str">
        <f ca="1">IFERROR(__xludf.DUMMYFUNCTION("""COMPUTED_VALUE"""),"Breiner, Peter")</f>
        <v>Breiner, Peter</v>
      </c>
      <c r="B1002" s="3">
        <f ca="1">IFERROR(__xludf.DUMMYFUNCTION("""COMPUTED_VALUE"""),1)</f>
        <v>1</v>
      </c>
      <c r="C1002" s="7">
        <f ca="1">IFERROR(__xludf.DUMMYFUNCTION("""COMPUTED_VALUE"""),1)</f>
        <v>1</v>
      </c>
      <c r="D1002" s="8">
        <f ca="1">IFERROR(__xludf.DUMMYFUNCTION("""COMPUTED_VALUE"""),1)</f>
        <v>1</v>
      </c>
      <c r="E1002" s="2">
        <f ca="1">IFERROR(__xludf.DUMMYFUNCTION("""COMPUTED_VALUE"""),1)</f>
        <v>1</v>
      </c>
    </row>
    <row r="1003" spans="1:5" ht="13">
      <c r="A1003" s="2" t="str">
        <f ca="1">IFERROR(__xludf.DUMMYFUNCTION("""COMPUTED_VALUE"""),"Brennan, Bill")</f>
        <v>Brennan, Bill</v>
      </c>
      <c r="B1003" s="3">
        <f ca="1">IFERROR(__xludf.DUMMYFUNCTION("""COMPUTED_VALUE"""),1)</f>
        <v>1</v>
      </c>
      <c r="C1003" s="7">
        <f ca="1">IFERROR(__xludf.DUMMYFUNCTION("""COMPUTED_VALUE"""),1)</f>
        <v>1</v>
      </c>
      <c r="D1003" s="8">
        <f ca="1">IFERROR(__xludf.DUMMYFUNCTION("""COMPUTED_VALUE"""),1)</f>
        <v>1</v>
      </c>
      <c r="E1003" s="2">
        <f ca="1">IFERROR(__xludf.DUMMYFUNCTION("""COMPUTED_VALUE"""),1)</f>
        <v>1</v>
      </c>
    </row>
    <row r="1004" spans="1:5" ht="13">
      <c r="A1004" s="8" t="str">
        <f ca="1">IFERROR(__xludf.DUMMYFUNCTION("""COMPUTED_VALUE"""),"Brent, Tim")</f>
        <v>Brent, Tim</v>
      </c>
      <c r="B1004" s="3">
        <f ca="1">IFERROR(__xludf.DUMMYFUNCTION("""COMPUTED_VALUE"""),1)</f>
        <v>1</v>
      </c>
      <c r="C1004" s="7">
        <f ca="1">IFERROR(__xludf.DUMMYFUNCTION("""COMPUTED_VALUE"""),1)</f>
        <v>1</v>
      </c>
      <c r="D1004" s="8">
        <f ca="1">IFERROR(__xludf.DUMMYFUNCTION("""COMPUTED_VALUE"""),1)</f>
        <v>1</v>
      </c>
      <c r="E1004" s="2">
        <f ca="1">IFERROR(__xludf.DUMMYFUNCTION("""COMPUTED_VALUE"""),1)</f>
        <v>1</v>
      </c>
    </row>
    <row r="1005" spans="1:5" ht="13">
      <c r="A1005" s="8" t="str">
        <f ca="1">IFERROR(__xludf.DUMMYFUNCTION("""COMPUTED_VALUE"""),"Brentlinger, Lee")</f>
        <v>Brentlinger, Lee</v>
      </c>
      <c r="B1005" s="3">
        <f ca="1">IFERROR(__xludf.DUMMYFUNCTION("""COMPUTED_VALUE"""),1)</f>
        <v>1</v>
      </c>
      <c r="C1005" s="7">
        <f ca="1">IFERROR(__xludf.DUMMYFUNCTION("""COMPUTED_VALUE"""),1)</f>
        <v>1</v>
      </c>
      <c r="D1005" s="8">
        <f ca="1">IFERROR(__xludf.DUMMYFUNCTION("""COMPUTED_VALUE"""),1)</f>
        <v>1</v>
      </c>
      <c r="E1005" s="2">
        <f ca="1">IFERROR(__xludf.DUMMYFUNCTION("""COMPUTED_VALUE"""),1)</f>
        <v>1</v>
      </c>
    </row>
    <row r="1006" spans="1:5" ht="13">
      <c r="A1006" s="2" t="str">
        <f ca="1">IFERROR(__xludf.DUMMYFUNCTION("""COMPUTED_VALUE"""),"Bresgen, Cesar")</f>
        <v>Bresgen, Cesar</v>
      </c>
      <c r="B1006" s="3">
        <f ca="1">IFERROR(__xludf.DUMMYFUNCTION("""COMPUTED_VALUE"""),1)</f>
        <v>1</v>
      </c>
      <c r="C1006" s="7">
        <f ca="1">IFERROR(__xludf.DUMMYFUNCTION("""COMPUTED_VALUE"""),1)</f>
        <v>1</v>
      </c>
      <c r="D1006" s="8">
        <f ca="1">IFERROR(__xludf.DUMMYFUNCTION("""COMPUTED_VALUE"""),5)</f>
        <v>5</v>
      </c>
      <c r="E1006" s="2">
        <f ca="1">IFERROR(__xludf.DUMMYFUNCTION("""COMPUTED_VALUE"""),2)</f>
        <v>2</v>
      </c>
    </row>
    <row r="1007" spans="1:5" ht="13">
      <c r="A1007" s="8" t="str">
        <f ca="1">IFERROR(__xludf.DUMMYFUNCTION("""COMPUTED_VALUE"""),"Bresnick, Martin")</f>
        <v>Bresnick, Martin</v>
      </c>
      <c r="B1007" s="3">
        <f ca="1">IFERROR(__xludf.DUMMYFUNCTION("""COMPUTED_VALUE"""),1)</f>
        <v>1</v>
      </c>
      <c r="C1007" s="7">
        <f ca="1">IFERROR(__xludf.DUMMYFUNCTION("""COMPUTED_VALUE"""),1)</f>
        <v>1</v>
      </c>
      <c r="D1007" s="8">
        <f ca="1">IFERROR(__xludf.DUMMYFUNCTION("""COMPUTED_VALUE"""),1)</f>
        <v>1</v>
      </c>
      <c r="E1007" s="2">
        <f ca="1">IFERROR(__xludf.DUMMYFUNCTION("""COMPUTED_VALUE"""),1)</f>
        <v>1</v>
      </c>
    </row>
    <row r="1008" spans="1:5" ht="13">
      <c r="A1008" s="8" t="str">
        <f ca="1">IFERROR(__xludf.DUMMYFUNCTION("""COMPUTED_VALUE"""),"Breton, Thomas")</f>
        <v>Breton, Thomas</v>
      </c>
      <c r="B1008" s="3">
        <f ca="1">IFERROR(__xludf.DUMMYFUNCTION("""COMPUTED_VALUE"""),1)</f>
        <v>1</v>
      </c>
      <c r="C1008" s="7">
        <f ca="1">IFERROR(__xludf.DUMMYFUNCTION("""COMPUTED_VALUE"""),1)</f>
        <v>1</v>
      </c>
      <c r="D1008" s="8">
        <f ca="1">IFERROR(__xludf.DUMMYFUNCTION("""COMPUTED_VALUE"""),5)</f>
        <v>5</v>
      </c>
      <c r="E1008" s="2">
        <f ca="1">IFERROR(__xludf.DUMMYFUNCTION("""COMPUTED_VALUE"""),2)</f>
        <v>2</v>
      </c>
    </row>
    <row r="1009" spans="1:5" ht="13">
      <c r="A1009" s="2" t="str">
        <f ca="1">IFERROR(__xludf.DUMMYFUNCTION("""COMPUTED_VALUE"""),"Breur, Arthur")</f>
        <v>Breur, Arthur</v>
      </c>
      <c r="B1009" s="3">
        <f ca="1">IFERROR(__xludf.DUMMYFUNCTION("""COMPUTED_VALUE"""),1)</f>
        <v>1</v>
      </c>
      <c r="C1009" s="7">
        <f ca="1">IFERROR(__xludf.DUMMYFUNCTION("""COMPUTED_VALUE"""),1)</f>
        <v>1</v>
      </c>
      <c r="D1009" s="8">
        <f ca="1">IFERROR(__xludf.DUMMYFUNCTION("""COMPUTED_VALUE"""),1)</f>
        <v>1</v>
      </c>
      <c r="E1009" s="2">
        <f ca="1">IFERROR(__xludf.DUMMYFUNCTION("""COMPUTED_VALUE"""),1)</f>
        <v>1</v>
      </c>
    </row>
    <row r="1010" spans="1:5" ht="13">
      <c r="A1010" s="8" t="str">
        <f ca="1">IFERROR(__xludf.DUMMYFUNCTION("""COMPUTED_VALUE"""),"Breval, Jean-Baptiste")</f>
        <v>Breval, Jean-Baptiste</v>
      </c>
      <c r="B1010" s="3">
        <f ca="1">IFERROR(__xludf.DUMMYFUNCTION("""COMPUTED_VALUE"""),1)</f>
        <v>1</v>
      </c>
      <c r="C1010" s="7">
        <f ca="1">IFERROR(__xludf.DUMMYFUNCTION("""COMPUTED_VALUE"""),1)</f>
        <v>1</v>
      </c>
      <c r="D1010" s="8">
        <f ca="1">IFERROR(__xludf.DUMMYFUNCTION("""COMPUTED_VALUE"""),5)</f>
        <v>5</v>
      </c>
      <c r="E1010" s="2">
        <f ca="1">IFERROR(__xludf.DUMMYFUNCTION("""COMPUTED_VALUE"""),2)</f>
        <v>2</v>
      </c>
    </row>
    <row r="1011" spans="1:5" ht="13">
      <c r="A1011" s="8" t="str">
        <f ca="1">IFERROR(__xludf.DUMMYFUNCTION("""COMPUTED_VALUE"""),"Brewbaker, Daniel")</f>
        <v>Brewbaker, Daniel</v>
      </c>
      <c r="B1011" s="3">
        <f ca="1">IFERROR(__xludf.DUMMYFUNCTION("""COMPUTED_VALUE"""),1)</f>
        <v>1</v>
      </c>
      <c r="C1011" s="7">
        <f ca="1">IFERROR(__xludf.DUMMYFUNCTION("""COMPUTED_VALUE"""),1)</f>
        <v>1</v>
      </c>
      <c r="D1011" s="8">
        <f ca="1">IFERROR(__xludf.DUMMYFUNCTION("""COMPUTED_VALUE"""),5)</f>
        <v>5</v>
      </c>
      <c r="E1011" s="2">
        <f ca="1">IFERROR(__xludf.DUMMYFUNCTION("""COMPUTED_VALUE"""),2)</f>
        <v>2</v>
      </c>
    </row>
    <row r="1012" spans="1:5" ht="13">
      <c r="A1012" s="2" t="str">
        <f ca="1">IFERROR(__xludf.DUMMYFUNCTION("""COMPUTED_VALUE"""),"Brewer, David W")</f>
        <v>Brewer, David W</v>
      </c>
      <c r="B1012" s="3">
        <f ca="1">IFERROR(__xludf.DUMMYFUNCTION("""COMPUTED_VALUE"""),1)</f>
        <v>1</v>
      </c>
      <c r="C1012" s="7">
        <f ca="1">IFERROR(__xludf.DUMMYFUNCTION("""COMPUTED_VALUE"""),1)</f>
        <v>1</v>
      </c>
      <c r="D1012" s="8">
        <f ca="1">IFERROR(__xludf.DUMMYFUNCTION("""COMPUTED_VALUE"""),1)</f>
        <v>1</v>
      </c>
      <c r="E1012" s="2">
        <f ca="1">IFERROR(__xludf.DUMMYFUNCTION("""COMPUTED_VALUE"""),1)</f>
        <v>1</v>
      </c>
    </row>
    <row r="1013" spans="1:5" ht="13">
      <c r="A1013" s="2" t="str">
        <f ca="1">IFERROR(__xludf.DUMMYFUNCTION("""COMPUTED_VALUE"""),"Brewer, Mike")</f>
        <v>Brewer, Mike</v>
      </c>
      <c r="B1013" s="3">
        <f ca="1">IFERROR(__xludf.DUMMYFUNCTION("""COMPUTED_VALUE"""),1)</f>
        <v>1</v>
      </c>
      <c r="C1013" s="7">
        <f ca="1">IFERROR(__xludf.DUMMYFUNCTION("""COMPUTED_VALUE"""),1)</f>
        <v>1</v>
      </c>
      <c r="D1013" s="8">
        <f ca="1">IFERROR(__xludf.DUMMYFUNCTION("""COMPUTED_VALUE"""),1)</f>
        <v>1</v>
      </c>
      <c r="E1013" s="2">
        <f ca="1">IFERROR(__xludf.DUMMYFUNCTION("""COMPUTED_VALUE"""),1)</f>
        <v>1</v>
      </c>
    </row>
    <row r="1014" spans="1:5" ht="13">
      <c r="A1014" s="2" t="str">
        <f ca="1">IFERROR(__xludf.DUMMYFUNCTION("""COMPUTED_VALUE"""),"Breydert, Frederick")</f>
        <v>Breydert, Frederick</v>
      </c>
      <c r="B1014" s="2">
        <f ca="1">IFERROR(__xludf.DUMMYFUNCTION("""COMPUTED_VALUE"""),1)</f>
        <v>1</v>
      </c>
      <c r="C1014" s="7">
        <f ca="1">IFERROR(__xludf.DUMMYFUNCTION("""COMPUTED_VALUE"""),1)</f>
        <v>1</v>
      </c>
      <c r="D1014" s="8">
        <f ca="1">IFERROR(__xludf.DUMMYFUNCTION("""COMPUTED_VALUE"""),5)</f>
        <v>5</v>
      </c>
      <c r="E1014" s="2">
        <f ca="1">IFERROR(__xludf.DUMMYFUNCTION("""COMPUTED_VALUE"""),2)</f>
        <v>2</v>
      </c>
    </row>
    <row r="1015" spans="1:5" ht="13">
      <c r="A1015" s="8" t="str">
        <f ca="1">IFERROR(__xludf.DUMMYFUNCTION("""COMPUTED_VALUE"""),"Briccialdi, Giulio")</f>
        <v>Briccialdi, Giulio</v>
      </c>
      <c r="B1015" s="3">
        <f ca="1">IFERROR(__xludf.DUMMYFUNCTION("""COMPUTED_VALUE"""),1)</f>
        <v>1</v>
      </c>
      <c r="C1015" s="7">
        <f ca="1">IFERROR(__xludf.DUMMYFUNCTION("""COMPUTED_VALUE"""),1)</f>
        <v>1</v>
      </c>
      <c r="D1015" s="8">
        <f ca="1">IFERROR(__xludf.DUMMYFUNCTION("""COMPUTED_VALUE"""),5)</f>
        <v>5</v>
      </c>
      <c r="E1015" s="2">
        <f ca="1">IFERROR(__xludf.DUMMYFUNCTION("""COMPUTED_VALUE"""),2)</f>
        <v>2</v>
      </c>
    </row>
    <row r="1016" spans="1:5" ht="13">
      <c r="A1016" s="2" t="str">
        <f ca="1">IFERROR(__xludf.DUMMYFUNCTION("""COMPUTED_VALUE"""),"Bricusse, Leslie")</f>
        <v>Bricusse, Leslie</v>
      </c>
      <c r="B1016" s="3">
        <f ca="1">IFERROR(__xludf.DUMMYFUNCTION("""COMPUTED_VALUE"""),1)</f>
        <v>1</v>
      </c>
      <c r="C1016" s="7">
        <f ca="1">IFERROR(__xludf.DUMMYFUNCTION("""COMPUTED_VALUE"""),1)</f>
        <v>1</v>
      </c>
      <c r="D1016" s="8">
        <f ca="1">IFERROR(__xludf.DUMMYFUNCTION("""COMPUTED_VALUE"""),5)</f>
        <v>5</v>
      </c>
      <c r="E1016" s="2">
        <f ca="1">IFERROR(__xludf.DUMMYFUNCTION("""COMPUTED_VALUE"""),2)</f>
        <v>2</v>
      </c>
    </row>
    <row r="1017" spans="1:5" ht="13">
      <c r="A1017" s="2" t="str">
        <f ca="1">IFERROR(__xludf.DUMMYFUNCTION("""COMPUTED_VALUE"""),"Bricusse, Leslie / Newley, Anthony")</f>
        <v>Bricusse, Leslie / Newley, Anthony</v>
      </c>
      <c r="B1017" s="3">
        <f ca="1">IFERROR(__xludf.DUMMYFUNCTION("""COMPUTED_VALUE"""),1)</f>
        <v>1</v>
      </c>
      <c r="C1017" s="7">
        <f ca="1">IFERROR(__xludf.DUMMYFUNCTION("""COMPUTED_VALUE"""),1)</f>
        <v>1</v>
      </c>
      <c r="D1017" s="8">
        <f ca="1">IFERROR(__xludf.DUMMYFUNCTION("""COMPUTED_VALUE"""),5)</f>
        <v>5</v>
      </c>
      <c r="E1017" s="2">
        <f ca="1">IFERROR(__xludf.DUMMYFUNCTION("""COMPUTED_VALUE"""),2)</f>
        <v>2</v>
      </c>
    </row>
    <row r="1018" spans="1:5" ht="13">
      <c r="A1018" s="8" t="str">
        <f ca="1">IFERROR(__xludf.DUMMYFUNCTION("""COMPUTED_VALUE"""),"Bridge, Frank")</f>
        <v>Bridge, Frank</v>
      </c>
      <c r="B1018" s="3">
        <f ca="1">IFERROR(__xludf.DUMMYFUNCTION("""COMPUTED_VALUE"""),1)</f>
        <v>1</v>
      </c>
      <c r="C1018" s="7">
        <f ca="1">IFERROR(__xludf.DUMMYFUNCTION("""COMPUTED_VALUE"""),1)</f>
        <v>1</v>
      </c>
      <c r="D1018" s="8">
        <f ca="1">IFERROR(__xludf.DUMMYFUNCTION("""COMPUTED_VALUE"""),5)</f>
        <v>5</v>
      </c>
      <c r="E1018" s="2">
        <f ca="1">IFERROR(__xludf.DUMMYFUNCTION("""COMPUTED_VALUE"""),2)</f>
        <v>2</v>
      </c>
    </row>
    <row r="1019" spans="1:5" ht="13">
      <c r="A1019" s="2" t="str">
        <f ca="1">IFERROR(__xludf.DUMMYFUNCTION("""COMPUTED_VALUE"""),"Bridger, Alexander")</f>
        <v>Bridger, Alexander</v>
      </c>
      <c r="B1019" s="3">
        <f ca="1">IFERROR(__xludf.DUMMYFUNCTION("""COMPUTED_VALUE"""),1)</f>
        <v>1</v>
      </c>
      <c r="C1019" s="7">
        <f ca="1">IFERROR(__xludf.DUMMYFUNCTION("""COMPUTED_VALUE"""),1)</f>
        <v>1</v>
      </c>
      <c r="D1019" s="8">
        <f ca="1">IFERROR(__xludf.DUMMYFUNCTION("""COMPUTED_VALUE"""),1)</f>
        <v>1</v>
      </c>
      <c r="E1019" s="2">
        <f ca="1">IFERROR(__xludf.DUMMYFUNCTION("""COMPUTED_VALUE"""),1)</f>
        <v>1</v>
      </c>
    </row>
    <row r="1020" spans="1:5" ht="13">
      <c r="A1020" s="8" t="str">
        <f ca="1">IFERROR(__xludf.DUMMYFUNCTION("""COMPUTED_VALUE"""),"Brien, Colin")</f>
        <v>Brien, Colin</v>
      </c>
      <c r="B1020" s="3">
        <f ca="1">IFERROR(__xludf.DUMMYFUNCTION("""COMPUTED_VALUE"""),1)</f>
        <v>1</v>
      </c>
      <c r="C1020" s="7">
        <f ca="1">IFERROR(__xludf.DUMMYFUNCTION("""COMPUTED_VALUE"""),1)</f>
        <v>1</v>
      </c>
      <c r="D1020" s="8">
        <f ca="1">IFERROR(__xludf.DUMMYFUNCTION("""COMPUTED_VALUE"""),1)</f>
        <v>1</v>
      </c>
      <c r="E1020" s="2">
        <f ca="1">IFERROR(__xludf.DUMMYFUNCTION("""COMPUTED_VALUE"""),1)</f>
        <v>1</v>
      </c>
    </row>
    <row r="1021" spans="1:5" ht="13">
      <c r="A1021" s="8" t="str">
        <f ca="1">IFERROR(__xludf.DUMMYFUNCTION("""COMPUTED_VALUE"""),"Briggs, Roger")</f>
        <v>Briggs, Roger</v>
      </c>
      <c r="B1021" s="3">
        <f ca="1">IFERROR(__xludf.DUMMYFUNCTION("""COMPUTED_VALUE"""),1)</f>
        <v>1</v>
      </c>
      <c r="C1021" s="7">
        <f ca="1">IFERROR(__xludf.DUMMYFUNCTION("""COMPUTED_VALUE"""),1)</f>
        <v>1</v>
      </c>
      <c r="D1021" s="8">
        <f ca="1">IFERROR(__xludf.DUMMYFUNCTION("""COMPUTED_VALUE"""),1)</f>
        <v>1</v>
      </c>
      <c r="E1021" s="2">
        <f ca="1">IFERROR(__xludf.DUMMYFUNCTION("""COMPUTED_VALUE"""),1)</f>
        <v>1</v>
      </c>
    </row>
    <row r="1022" spans="1:5" ht="13">
      <c r="A1022" s="8" t="str">
        <f ca="1">IFERROR(__xludf.DUMMYFUNCTION("""COMPUTED_VALUE"""),"Briggs, Thomas")</f>
        <v>Briggs, Thomas</v>
      </c>
      <c r="B1022" s="3">
        <f ca="1">IFERROR(__xludf.DUMMYFUNCTION("""COMPUTED_VALUE"""),1)</f>
        <v>1</v>
      </c>
      <c r="C1022" s="7">
        <f ca="1">IFERROR(__xludf.DUMMYFUNCTION("""COMPUTED_VALUE"""),1)</f>
        <v>1</v>
      </c>
      <c r="D1022" s="8">
        <f ca="1">IFERROR(__xludf.DUMMYFUNCTION("""COMPUTED_VALUE"""),1)</f>
        <v>1</v>
      </c>
      <c r="E1022" s="2">
        <f ca="1">IFERROR(__xludf.DUMMYFUNCTION("""COMPUTED_VALUE"""),1)</f>
        <v>1</v>
      </c>
    </row>
    <row r="1023" spans="1:5" ht="13">
      <c r="A1023" s="2" t="str">
        <f ca="1">IFERROR(__xludf.DUMMYFUNCTION("""COMPUTED_VALUE"""),"Bright, Houston")</f>
        <v>Bright, Houston</v>
      </c>
      <c r="B1023" s="2">
        <f ca="1">IFERROR(__xludf.DUMMYFUNCTION("""COMPUTED_VALUE"""),1)</f>
        <v>1</v>
      </c>
      <c r="C1023" s="7">
        <f ca="1">IFERROR(__xludf.DUMMYFUNCTION("""COMPUTED_VALUE"""),1)</f>
        <v>1</v>
      </c>
      <c r="D1023" s="8">
        <f ca="1">IFERROR(__xludf.DUMMYFUNCTION("""COMPUTED_VALUE"""),5)</f>
        <v>5</v>
      </c>
      <c r="E1023" s="2">
        <f ca="1">IFERROR(__xludf.DUMMYFUNCTION("""COMPUTED_VALUE"""),2)</f>
        <v>2</v>
      </c>
    </row>
    <row r="1024" spans="1:5" ht="13">
      <c r="A1024" s="2" t="str">
        <f ca="1">IFERROR(__xludf.DUMMYFUNCTION("""COMPUTED_VALUE"""),"Bright, Jeff")</f>
        <v>Bright, Jeff</v>
      </c>
      <c r="B1024" s="2">
        <f ca="1">IFERROR(__xludf.DUMMYFUNCTION("""COMPUTED_VALUE"""),1)</f>
        <v>1</v>
      </c>
      <c r="C1024" s="2">
        <f ca="1">IFERROR(__xludf.DUMMYFUNCTION("""COMPUTED_VALUE"""),1)</f>
        <v>1</v>
      </c>
      <c r="D1024" s="8">
        <f ca="1">IFERROR(__xludf.DUMMYFUNCTION("""COMPUTED_VALUE"""),1)</f>
        <v>1</v>
      </c>
      <c r="E1024" s="2">
        <f ca="1">IFERROR(__xludf.DUMMYFUNCTION("""COMPUTED_VALUE"""),1)</f>
        <v>1</v>
      </c>
    </row>
    <row r="1025" spans="1:5" ht="13">
      <c r="A1025" s="2" t="str">
        <f ca="1">IFERROR(__xludf.DUMMYFUNCTION("""COMPUTED_VALUE"""),"Bright, Robert Houston")</f>
        <v>Bright, Robert Houston</v>
      </c>
      <c r="B1025" s="3">
        <f ca="1">IFERROR(__xludf.DUMMYFUNCTION("""COMPUTED_VALUE"""),1)</f>
        <v>1</v>
      </c>
      <c r="C1025" s="7">
        <f ca="1">IFERROR(__xludf.DUMMYFUNCTION("""COMPUTED_VALUE"""),1)</f>
        <v>1</v>
      </c>
      <c r="D1025" s="8">
        <f ca="1">IFERROR(__xludf.DUMMYFUNCTION("""COMPUTED_VALUE"""),5)</f>
        <v>5</v>
      </c>
      <c r="E1025" s="2">
        <f ca="1">IFERROR(__xludf.DUMMYFUNCTION("""COMPUTED_VALUE"""),2)</f>
        <v>2</v>
      </c>
    </row>
    <row r="1026" spans="1:5" ht="13">
      <c r="A1026" s="2" t="str">
        <f ca="1">IFERROR(__xludf.DUMMYFUNCTION("""COMPUTED_VALUE"""),"Brindel, Bernard")</f>
        <v>Brindel, Bernard</v>
      </c>
      <c r="B1026" s="3">
        <f ca="1">IFERROR(__xludf.DUMMYFUNCTION("""COMPUTED_VALUE"""),1)</f>
        <v>1</v>
      </c>
      <c r="C1026" s="7">
        <f ca="1">IFERROR(__xludf.DUMMYFUNCTION("""COMPUTED_VALUE"""),1)</f>
        <v>1</v>
      </c>
      <c r="D1026" s="8">
        <f ca="1">IFERROR(__xludf.DUMMYFUNCTION("""COMPUTED_VALUE"""),5)</f>
        <v>5</v>
      </c>
      <c r="E1026" s="2">
        <f ca="1">IFERROR(__xludf.DUMMYFUNCTION("""COMPUTED_VALUE"""),2)</f>
        <v>2</v>
      </c>
    </row>
    <row r="1027" spans="1:5" ht="13">
      <c r="A1027" s="2" t="str">
        <f ca="1">IFERROR(__xludf.DUMMYFUNCTION("""COMPUTED_VALUE"""),"Briner, Dave")</f>
        <v>Briner, Dave</v>
      </c>
      <c r="B1027" s="2">
        <f ca="1">IFERROR(__xludf.DUMMYFUNCTION("""COMPUTED_VALUE"""),1)</f>
        <v>1</v>
      </c>
      <c r="C1027" s="7">
        <f ca="1">IFERROR(__xludf.DUMMYFUNCTION("""COMPUTED_VALUE"""),1)</f>
        <v>1</v>
      </c>
      <c r="D1027" s="8">
        <f ca="1">IFERROR(__xludf.DUMMYFUNCTION("""COMPUTED_VALUE"""),5)</f>
        <v>5</v>
      </c>
      <c r="E1027" s="2">
        <f ca="1">IFERROR(__xludf.DUMMYFUNCTION("""COMPUTED_VALUE"""),2)</f>
        <v>2</v>
      </c>
    </row>
    <row r="1028" spans="1:5" ht="13">
      <c r="A1028" s="8" t="str">
        <f ca="1">IFERROR(__xludf.DUMMYFUNCTION("""COMPUTED_VALUE"""),"Brings, Allen")</f>
        <v>Brings, Allen</v>
      </c>
      <c r="B1028" s="3">
        <f ca="1">IFERROR(__xludf.DUMMYFUNCTION("""COMPUTED_VALUE"""),1)</f>
        <v>1</v>
      </c>
      <c r="C1028" s="7">
        <f ca="1">IFERROR(__xludf.DUMMYFUNCTION("""COMPUTED_VALUE"""),1)</f>
        <v>1</v>
      </c>
      <c r="D1028" s="8">
        <f ca="1">IFERROR(__xludf.DUMMYFUNCTION("""COMPUTED_VALUE"""),1)</f>
        <v>1</v>
      </c>
      <c r="E1028" s="2">
        <f ca="1">IFERROR(__xludf.DUMMYFUNCTION("""COMPUTED_VALUE"""),1)</f>
        <v>1</v>
      </c>
    </row>
    <row r="1029" spans="1:5" ht="13">
      <c r="A1029" s="2" t="str">
        <f ca="1">IFERROR(__xludf.DUMMYFUNCTION("""COMPUTED_VALUE"""),"Brink, Paul")</f>
        <v>Brink, Paul</v>
      </c>
      <c r="B1029" s="3">
        <f ca="1">IFERROR(__xludf.DUMMYFUNCTION("""COMPUTED_VALUE"""),1)</f>
        <v>1</v>
      </c>
      <c r="C1029" s="7">
        <f ca="1">IFERROR(__xludf.DUMMYFUNCTION("""COMPUTED_VALUE"""),1)</f>
        <v>1</v>
      </c>
      <c r="D1029" s="8">
        <f ca="1">IFERROR(__xludf.DUMMYFUNCTION("""COMPUTED_VALUE"""),1)</f>
        <v>1</v>
      </c>
      <c r="E1029" s="2">
        <f ca="1">IFERROR(__xludf.DUMMYFUNCTION("""COMPUTED_VALUE"""),1)</f>
        <v>1</v>
      </c>
    </row>
    <row r="1030" spans="1:5" ht="13">
      <c r="A1030" s="2" t="str">
        <f ca="1">IFERROR(__xludf.DUMMYFUNCTION("""COMPUTED_VALUE"""),"Brinsmead, Daniel")</f>
        <v>Brinsmead, Daniel</v>
      </c>
      <c r="B1030" s="3">
        <f ca="1">IFERROR(__xludf.DUMMYFUNCTION("""COMPUTED_VALUE"""),1)</f>
        <v>1</v>
      </c>
      <c r="C1030" s="7">
        <f ca="1">IFERROR(__xludf.DUMMYFUNCTION("""COMPUTED_VALUE"""),1)</f>
        <v>1</v>
      </c>
      <c r="D1030" s="8">
        <f ca="1">IFERROR(__xludf.DUMMYFUNCTION("""COMPUTED_VALUE"""),1)</f>
        <v>1</v>
      </c>
      <c r="E1030" s="2">
        <f ca="1">IFERROR(__xludf.DUMMYFUNCTION("""COMPUTED_VALUE"""),1)</f>
        <v>1</v>
      </c>
    </row>
    <row r="1031" spans="1:5" ht="13">
      <c r="A1031" s="8" t="str">
        <f ca="1">IFERROR(__xludf.DUMMYFUNCTION("""COMPUTED_VALUE"""),"Brion, Keith")</f>
        <v>Brion, Keith</v>
      </c>
      <c r="B1031" s="3">
        <f ca="1">IFERROR(__xludf.DUMMYFUNCTION("""COMPUTED_VALUE"""),1)</f>
        <v>1</v>
      </c>
      <c r="C1031" s="7">
        <f ca="1">IFERROR(__xludf.DUMMYFUNCTION("""COMPUTED_VALUE"""),1)</f>
        <v>1</v>
      </c>
      <c r="D1031" s="8">
        <f ca="1">IFERROR(__xludf.DUMMYFUNCTION("""COMPUTED_VALUE"""),1)</f>
        <v>1</v>
      </c>
      <c r="E1031" s="2">
        <f ca="1">IFERROR(__xludf.DUMMYFUNCTION("""COMPUTED_VALUE"""),1)</f>
        <v>1</v>
      </c>
    </row>
    <row r="1032" spans="1:5" ht="13">
      <c r="A1032" s="2" t="str">
        <f ca="1">IFERROR(__xludf.DUMMYFUNCTION("""COMPUTED_VALUE"""),"Brion, Keith / Schissel, Loras")</f>
        <v>Brion, Keith / Schissel, Loras</v>
      </c>
      <c r="B1032" s="2">
        <f ca="1">IFERROR(__xludf.DUMMYFUNCTION("""COMPUTED_VALUE"""),1)</f>
        <v>1</v>
      </c>
      <c r="C1032" s="7">
        <f ca="1">IFERROR(__xludf.DUMMYFUNCTION("""COMPUTED_VALUE"""),1)</f>
        <v>1</v>
      </c>
      <c r="D1032" s="8">
        <f ca="1">IFERROR(__xludf.DUMMYFUNCTION("""COMPUTED_VALUE"""),1)</f>
        <v>1</v>
      </c>
      <c r="E1032" s="2">
        <f ca="1">IFERROR(__xludf.DUMMYFUNCTION("""COMPUTED_VALUE"""),1)</f>
        <v>1</v>
      </c>
    </row>
    <row r="1033" spans="1:5" ht="13">
      <c r="A1033" s="8" t="str">
        <f ca="1">IFERROR(__xludf.DUMMYFUNCTION("""COMPUTED_VALUE"""),"Brisbee, Wayne")</f>
        <v>Brisbee, Wayne</v>
      </c>
      <c r="B1033" s="3">
        <f ca="1">IFERROR(__xludf.DUMMYFUNCTION("""COMPUTED_VALUE"""),1)</f>
        <v>1</v>
      </c>
      <c r="C1033" s="7">
        <f ca="1">IFERROR(__xludf.DUMMYFUNCTION("""COMPUTED_VALUE"""),1)</f>
        <v>1</v>
      </c>
      <c r="D1033" s="8">
        <f ca="1">IFERROR(__xludf.DUMMYFUNCTION("""COMPUTED_VALUE"""),5)</f>
        <v>5</v>
      </c>
      <c r="E1033" s="2">
        <f ca="1">IFERROR(__xludf.DUMMYFUNCTION("""COMPUTED_VALUE"""),2)</f>
        <v>2</v>
      </c>
    </row>
    <row r="1034" spans="1:5" ht="13">
      <c r="A1034" s="2" t="str">
        <f ca="1">IFERROR(__xludf.DUMMYFUNCTION("""COMPUTED_VALUE"""),"Brisker, Gordon")</f>
        <v>Brisker, Gordon</v>
      </c>
      <c r="B1034" s="3">
        <f ca="1">IFERROR(__xludf.DUMMYFUNCTION("""COMPUTED_VALUE"""),1)</f>
        <v>1</v>
      </c>
      <c r="C1034" s="7">
        <f ca="1">IFERROR(__xludf.DUMMYFUNCTION("""COMPUTED_VALUE"""),1)</f>
        <v>1</v>
      </c>
      <c r="D1034" s="8">
        <f ca="1">IFERROR(__xludf.DUMMYFUNCTION("""COMPUTED_VALUE"""),5)</f>
        <v>5</v>
      </c>
      <c r="E1034" s="2">
        <f ca="1">IFERROR(__xludf.DUMMYFUNCTION("""COMPUTED_VALUE"""),2)</f>
        <v>2</v>
      </c>
    </row>
    <row r="1035" spans="1:5" ht="13">
      <c r="A1035" s="2" t="str">
        <f ca="1">IFERROR(__xludf.DUMMYFUNCTION("""COMPUTED_VALUE"""),"Brisman, Heskel")</f>
        <v>Brisman, Heskel</v>
      </c>
      <c r="B1035" s="3">
        <f ca="1">IFERROR(__xludf.DUMMYFUNCTION("""COMPUTED_VALUE"""),1)</f>
        <v>1</v>
      </c>
      <c r="C1035" s="7">
        <f ca="1">IFERROR(__xludf.DUMMYFUNCTION("""COMPUTED_VALUE"""),1)</f>
        <v>1</v>
      </c>
      <c r="D1035" s="8">
        <f ca="1">IFERROR(__xludf.DUMMYFUNCTION("""COMPUTED_VALUE"""),5)</f>
        <v>5</v>
      </c>
      <c r="E1035" s="2">
        <f ca="1">IFERROR(__xludf.DUMMYFUNCTION("""COMPUTED_VALUE"""),2)</f>
        <v>2</v>
      </c>
    </row>
    <row r="1036" spans="1:5" ht="13">
      <c r="A1036" s="8" t="str">
        <f ca="1">IFERROR(__xludf.DUMMYFUNCTION("""COMPUTED_VALUE"""),"Bristow, George Frederick")</f>
        <v>Bristow, George Frederick</v>
      </c>
      <c r="B1036" s="3">
        <f ca="1">IFERROR(__xludf.DUMMYFUNCTION("""COMPUTED_VALUE"""),1)</f>
        <v>1</v>
      </c>
      <c r="C1036" s="7">
        <f ca="1">IFERROR(__xludf.DUMMYFUNCTION("""COMPUTED_VALUE"""),1)</f>
        <v>1</v>
      </c>
      <c r="D1036" s="8">
        <f ca="1">IFERROR(__xludf.DUMMYFUNCTION("""COMPUTED_VALUE"""),5)</f>
        <v>5</v>
      </c>
      <c r="E1036" s="2">
        <f ca="1">IFERROR(__xludf.DUMMYFUNCTION("""COMPUTED_VALUE"""),2)</f>
        <v>2</v>
      </c>
    </row>
    <row r="1037" spans="1:5" ht="13">
      <c r="A1037" s="2" t="str">
        <f ca="1">IFERROR(__xludf.DUMMYFUNCTION("""COMPUTED_VALUE"""),"Britt, Colin")</f>
        <v>Britt, Colin</v>
      </c>
      <c r="B1037" s="3">
        <f ca="1">IFERROR(__xludf.DUMMYFUNCTION("""COMPUTED_VALUE"""),1)</f>
        <v>1</v>
      </c>
      <c r="C1037" s="7">
        <f ca="1">IFERROR(__xludf.DUMMYFUNCTION("""COMPUTED_VALUE"""),1)</f>
        <v>1</v>
      </c>
      <c r="D1037" s="8">
        <f ca="1">IFERROR(__xludf.DUMMYFUNCTION("""COMPUTED_VALUE"""),1)</f>
        <v>1</v>
      </c>
      <c r="E1037" s="2">
        <f ca="1">IFERROR(__xludf.DUMMYFUNCTION("""COMPUTED_VALUE"""),1)</f>
        <v>1</v>
      </c>
    </row>
    <row r="1038" spans="1:5" ht="13">
      <c r="A1038" s="2" t="str">
        <f ca="1">IFERROR(__xludf.DUMMYFUNCTION("""COMPUTED_VALUE"""),"Britt, Michael")</f>
        <v>Britt, Michael</v>
      </c>
      <c r="B1038" s="2">
        <f ca="1">IFERROR(__xludf.DUMMYFUNCTION("""COMPUTED_VALUE"""),1)</f>
        <v>1</v>
      </c>
      <c r="C1038" s="7">
        <f ca="1">IFERROR(__xludf.DUMMYFUNCTION("""COMPUTED_VALUE"""),1)</f>
        <v>1</v>
      </c>
      <c r="D1038" s="8">
        <f ca="1">IFERROR(__xludf.DUMMYFUNCTION("""COMPUTED_VALUE"""),5)</f>
        <v>5</v>
      </c>
      <c r="E1038" s="2">
        <f ca="1">IFERROR(__xludf.DUMMYFUNCTION("""COMPUTED_VALUE"""),2)</f>
        <v>2</v>
      </c>
    </row>
    <row r="1039" spans="1:5" ht="13">
      <c r="A1039" s="8" t="str">
        <f ca="1">IFERROR(__xludf.DUMMYFUNCTION("""COMPUTED_VALUE"""),"Britt, Sean")</f>
        <v>Britt, Sean</v>
      </c>
      <c r="B1039" s="3">
        <f ca="1">IFERROR(__xludf.DUMMYFUNCTION("""COMPUTED_VALUE"""),1)</f>
        <v>1</v>
      </c>
      <c r="C1039" s="7">
        <f ca="1">IFERROR(__xludf.DUMMYFUNCTION("""COMPUTED_VALUE"""),1)</f>
        <v>1</v>
      </c>
      <c r="D1039" s="8">
        <f ca="1">IFERROR(__xludf.DUMMYFUNCTION("""COMPUTED_VALUE"""),1)</f>
        <v>1</v>
      </c>
      <c r="E1039" s="2">
        <f ca="1">IFERROR(__xludf.DUMMYFUNCTION("""COMPUTED_VALUE"""),1)</f>
        <v>1</v>
      </c>
    </row>
    <row r="1040" spans="1:5" ht="13">
      <c r="A1040" s="8" t="str">
        <f ca="1">IFERROR(__xludf.DUMMYFUNCTION("""COMPUTED_VALUE"""),"Brittelle, William")</f>
        <v>Brittelle, William</v>
      </c>
      <c r="B1040" s="3">
        <f ca="1">IFERROR(__xludf.DUMMYFUNCTION("""COMPUTED_VALUE"""),1)</f>
        <v>1</v>
      </c>
      <c r="C1040" s="7">
        <f ca="1">IFERROR(__xludf.DUMMYFUNCTION("""COMPUTED_VALUE"""),1)</f>
        <v>1</v>
      </c>
      <c r="D1040" s="8">
        <f ca="1">IFERROR(__xludf.DUMMYFUNCTION("""COMPUTED_VALUE"""),1)</f>
        <v>1</v>
      </c>
      <c r="E1040" s="2">
        <f ca="1">IFERROR(__xludf.DUMMYFUNCTION("""COMPUTED_VALUE"""),1)</f>
        <v>1</v>
      </c>
    </row>
    <row r="1041" spans="1:5" ht="13">
      <c r="A1041" s="8" t="str">
        <f ca="1">IFERROR(__xludf.DUMMYFUNCTION("""COMPUTED_VALUE"""),"Britten, Benjamin")</f>
        <v>Britten, Benjamin</v>
      </c>
      <c r="B1041" s="3">
        <f ca="1">IFERROR(__xludf.DUMMYFUNCTION("""COMPUTED_VALUE"""),1)</f>
        <v>1</v>
      </c>
      <c r="C1041" s="7">
        <f ca="1">IFERROR(__xludf.DUMMYFUNCTION("""COMPUTED_VALUE"""),1)</f>
        <v>1</v>
      </c>
      <c r="D1041" s="8">
        <f ca="1">IFERROR(__xludf.DUMMYFUNCTION("""COMPUTED_VALUE"""),5)</f>
        <v>5</v>
      </c>
      <c r="E1041" s="2">
        <f ca="1">IFERROR(__xludf.DUMMYFUNCTION("""COMPUTED_VALUE"""),2)</f>
        <v>2</v>
      </c>
    </row>
    <row r="1042" spans="1:5" ht="13">
      <c r="A1042" s="2" t="str">
        <f ca="1">IFERROR(__xludf.DUMMYFUNCTION("""COMPUTED_VALUE"""),"Broadbent, Alan")</f>
        <v>Broadbent, Alan</v>
      </c>
      <c r="B1042" s="3">
        <f ca="1">IFERROR(__xludf.DUMMYFUNCTION("""COMPUTED_VALUE"""),1)</f>
        <v>1</v>
      </c>
      <c r="C1042" s="7">
        <f ca="1">IFERROR(__xludf.DUMMYFUNCTION("""COMPUTED_VALUE"""),1)</f>
        <v>1</v>
      </c>
      <c r="D1042" s="8">
        <f ca="1">IFERROR(__xludf.DUMMYFUNCTION("""COMPUTED_VALUE"""),1)</f>
        <v>1</v>
      </c>
      <c r="E1042" s="2">
        <f ca="1">IFERROR(__xludf.DUMMYFUNCTION("""COMPUTED_VALUE"""),1)</f>
        <v>1</v>
      </c>
    </row>
    <row r="1043" spans="1:5" ht="13">
      <c r="A1043" s="2" t="str">
        <f ca="1">IFERROR(__xludf.DUMMYFUNCTION("""COMPUTED_VALUE"""),"Broadbent, Patrick")</f>
        <v>Broadbent, Patrick</v>
      </c>
      <c r="B1043" s="2">
        <f ca="1">IFERROR(__xludf.DUMMYFUNCTION("""COMPUTED_VALUE"""),1)</f>
        <v>1</v>
      </c>
      <c r="C1043" s="7">
        <f ca="1">IFERROR(__xludf.DUMMYFUNCTION("""COMPUTED_VALUE"""),1)</f>
        <v>1</v>
      </c>
      <c r="D1043" s="8">
        <f ca="1">IFERROR(__xludf.DUMMYFUNCTION("""COMPUTED_VALUE"""),1)</f>
        <v>1</v>
      </c>
      <c r="E1043" s="2">
        <f ca="1">IFERROR(__xludf.DUMMYFUNCTION("""COMPUTED_VALUE"""),1)</f>
        <v>1</v>
      </c>
    </row>
    <row r="1044" spans="1:5" ht="13">
      <c r="A1044" s="2" t="str">
        <f ca="1">IFERROR(__xludf.DUMMYFUNCTION("""COMPUTED_VALUE"""),"Brochus, Johannes")</f>
        <v>Brochus, Johannes</v>
      </c>
      <c r="B1044" s="3">
        <f ca="1">IFERROR(__xludf.DUMMYFUNCTION("""COMPUTED_VALUE"""),1)</f>
        <v>1</v>
      </c>
      <c r="C1044" s="7">
        <f ca="1">IFERROR(__xludf.DUMMYFUNCTION("""COMPUTED_VALUE"""),1)</f>
        <v>1</v>
      </c>
      <c r="D1044" s="8">
        <f ca="1">IFERROR(__xludf.DUMMYFUNCTION("""COMPUTED_VALUE"""),5)</f>
        <v>5</v>
      </c>
      <c r="E1044" s="2">
        <f ca="1">IFERROR(__xludf.DUMMYFUNCTION("""COMPUTED_VALUE"""),2)</f>
        <v>2</v>
      </c>
    </row>
    <row r="1045" spans="1:5" ht="13">
      <c r="A1045" s="8" t="str">
        <f ca="1">IFERROR(__xludf.DUMMYFUNCTION("""COMPUTED_VALUE"""),"Brockton, Lester")</f>
        <v>Brockton, Lester</v>
      </c>
      <c r="B1045" s="2">
        <f ca="1">IFERROR(__xludf.DUMMYFUNCTION("""COMPUTED_VALUE"""),1)</f>
        <v>1</v>
      </c>
      <c r="C1045" s="7">
        <f ca="1">IFERROR(__xludf.DUMMYFUNCTION("""COMPUTED_VALUE"""),1)</f>
        <v>1</v>
      </c>
      <c r="D1045" s="8">
        <f ca="1">IFERROR(__xludf.DUMMYFUNCTION("""COMPUTED_VALUE"""),5)</f>
        <v>5</v>
      </c>
      <c r="E1045" s="2">
        <f ca="1">IFERROR(__xludf.DUMMYFUNCTION("""COMPUTED_VALUE"""),2)</f>
        <v>2</v>
      </c>
    </row>
    <row r="1046" spans="1:5" ht="13">
      <c r="A1046" s="2" t="str">
        <f ca="1">IFERROR(__xludf.DUMMYFUNCTION("""COMPUTED_VALUE"""),"Brodszky, Nicholas")</f>
        <v>Brodszky, Nicholas</v>
      </c>
      <c r="B1046" s="3">
        <f ca="1">IFERROR(__xludf.DUMMYFUNCTION("""COMPUTED_VALUE"""),1)</f>
        <v>1</v>
      </c>
      <c r="C1046" s="7">
        <f ca="1">IFERROR(__xludf.DUMMYFUNCTION("""COMPUTED_VALUE"""),1)</f>
        <v>1</v>
      </c>
      <c r="D1046" s="8">
        <f ca="1">IFERROR(__xludf.DUMMYFUNCTION("""COMPUTED_VALUE"""),5)</f>
        <v>5</v>
      </c>
      <c r="E1046" s="2">
        <f ca="1">IFERROR(__xludf.DUMMYFUNCTION("""COMPUTED_VALUE"""),2)</f>
        <v>2</v>
      </c>
    </row>
    <row r="1047" spans="1:5" ht="13">
      <c r="A1047" s="2" t="str">
        <f ca="1">IFERROR(__xludf.DUMMYFUNCTION("""COMPUTED_VALUE"""),"Brody, Benjamin N.")</f>
        <v>Brody, Benjamin N.</v>
      </c>
      <c r="B1047" s="3">
        <f ca="1">IFERROR(__xludf.DUMMYFUNCTION("""COMPUTED_VALUE"""),1)</f>
        <v>1</v>
      </c>
      <c r="C1047" s="7">
        <f ca="1">IFERROR(__xludf.DUMMYFUNCTION("""COMPUTED_VALUE"""),1)</f>
        <v>1</v>
      </c>
      <c r="D1047" s="8">
        <f ca="1">IFERROR(__xludf.DUMMYFUNCTION("""COMPUTED_VALUE"""),1)</f>
        <v>1</v>
      </c>
      <c r="E1047" s="2">
        <f ca="1">IFERROR(__xludf.DUMMYFUNCTION("""COMPUTED_VALUE"""),1)</f>
        <v>1</v>
      </c>
    </row>
    <row r="1048" spans="1:5" ht="13">
      <c r="A1048" s="8" t="str">
        <f ca="1">IFERROR(__xludf.DUMMYFUNCTION("""COMPUTED_VALUE"""),"Broege, Timothy")</f>
        <v>Broege, Timothy</v>
      </c>
      <c r="B1048" s="3">
        <f ca="1">IFERROR(__xludf.DUMMYFUNCTION("""COMPUTED_VALUE"""),1)</f>
        <v>1</v>
      </c>
      <c r="C1048" s="7">
        <f ca="1">IFERROR(__xludf.DUMMYFUNCTION("""COMPUTED_VALUE"""),1)</f>
        <v>1</v>
      </c>
      <c r="D1048" s="8">
        <f ca="1">IFERROR(__xludf.DUMMYFUNCTION("""COMPUTED_VALUE"""),1)</f>
        <v>1</v>
      </c>
      <c r="E1048" s="2">
        <f ca="1">IFERROR(__xludf.DUMMYFUNCTION("""COMPUTED_VALUE"""),1)</f>
        <v>1</v>
      </c>
    </row>
    <row r="1049" spans="1:5" ht="13">
      <c r="A1049" s="8" t="str">
        <f ca="1">IFERROR(__xludf.DUMMYFUNCTION("""COMPUTED_VALUE"""),"Broeker, Jay")</f>
        <v>Broeker, Jay</v>
      </c>
      <c r="B1049" s="8">
        <f ca="1">IFERROR(__xludf.DUMMYFUNCTION("""COMPUTED_VALUE"""),1)</f>
        <v>1</v>
      </c>
      <c r="C1049" s="7">
        <f ca="1">IFERROR(__xludf.DUMMYFUNCTION("""COMPUTED_VALUE"""),1)</f>
        <v>1</v>
      </c>
      <c r="D1049" s="8">
        <f ca="1">IFERROR(__xludf.DUMMYFUNCTION("""COMPUTED_VALUE"""),1)</f>
        <v>1</v>
      </c>
      <c r="E1049" s="8">
        <f ca="1">IFERROR(__xludf.DUMMYFUNCTION("""COMPUTED_VALUE"""),1)</f>
        <v>1</v>
      </c>
    </row>
    <row r="1050" spans="1:5" ht="13">
      <c r="A1050" s="8" t="str">
        <f ca="1">IFERROR(__xludf.DUMMYFUNCTION("""COMPUTED_VALUE"""),"Brogan, Alex")</f>
        <v>Brogan, Alex</v>
      </c>
      <c r="B1050" s="3">
        <f ca="1">IFERROR(__xludf.DUMMYFUNCTION("""COMPUTED_VALUE"""),1)</f>
        <v>1</v>
      </c>
      <c r="C1050" s="7">
        <f ca="1">IFERROR(__xludf.DUMMYFUNCTION("""COMPUTED_VALUE"""),1)</f>
        <v>1</v>
      </c>
      <c r="D1050" s="8">
        <f ca="1">IFERROR(__xludf.DUMMYFUNCTION("""COMPUTED_VALUE"""),1)</f>
        <v>1</v>
      </c>
      <c r="E1050" s="2">
        <f ca="1">IFERROR(__xludf.DUMMYFUNCTION("""COMPUTED_VALUE"""),1)</f>
        <v>1</v>
      </c>
    </row>
    <row r="1051" spans="1:5" ht="13">
      <c r="A1051" s="2" t="str">
        <f ca="1">IFERROR(__xludf.DUMMYFUNCTION("""COMPUTED_VALUE"""),"Brook, Harry")</f>
        <v>Brook, Harry</v>
      </c>
      <c r="B1051" s="3">
        <f ca="1">IFERROR(__xludf.DUMMYFUNCTION("""COMPUTED_VALUE"""),1)</f>
        <v>1</v>
      </c>
      <c r="C1051" s="7">
        <f ca="1">IFERROR(__xludf.DUMMYFUNCTION("""COMPUTED_VALUE"""),1)</f>
        <v>1</v>
      </c>
      <c r="D1051" s="8">
        <f ca="1">IFERROR(__xludf.DUMMYFUNCTION("""COMPUTED_VALUE"""),5)</f>
        <v>5</v>
      </c>
      <c r="E1051" s="2">
        <f ca="1">IFERROR(__xludf.DUMMYFUNCTION("""COMPUTED_VALUE"""),2)</f>
        <v>2</v>
      </c>
    </row>
    <row r="1052" spans="1:5" ht="13">
      <c r="A1052" s="2" t="str">
        <f ca="1">IFERROR(__xludf.DUMMYFUNCTION("""COMPUTED_VALUE"""),"Brook, Steven H.")</f>
        <v>Brook, Steven H.</v>
      </c>
      <c r="B1052" s="8">
        <f ca="1">IFERROR(__xludf.DUMMYFUNCTION("""COMPUTED_VALUE"""),1)</f>
        <v>1</v>
      </c>
      <c r="C1052" s="7">
        <f ca="1">IFERROR(__xludf.DUMMYFUNCTION("""COMPUTED_VALUE"""),1)</f>
        <v>1</v>
      </c>
      <c r="D1052" s="8">
        <f ca="1">IFERROR(__xludf.DUMMYFUNCTION("""COMPUTED_VALUE"""),1)</f>
        <v>1</v>
      </c>
      <c r="E1052" s="8">
        <f ca="1">IFERROR(__xludf.DUMMYFUNCTION("""COMPUTED_VALUE"""),1)</f>
        <v>1</v>
      </c>
    </row>
    <row r="1053" spans="1:5" ht="13">
      <c r="A1053" s="2" t="str">
        <f ca="1">IFERROR(__xludf.DUMMYFUNCTION("""COMPUTED_VALUE"""),"Brooke, Thomas Preston")</f>
        <v>Brooke, Thomas Preston</v>
      </c>
      <c r="B1053" s="3">
        <f ca="1">IFERROR(__xludf.DUMMYFUNCTION("""COMPUTED_VALUE"""),1)</f>
        <v>1</v>
      </c>
      <c r="C1053" s="7">
        <f ca="1">IFERROR(__xludf.DUMMYFUNCTION("""COMPUTED_VALUE"""),1)</f>
        <v>1</v>
      </c>
      <c r="D1053" s="8">
        <f ca="1">IFERROR(__xludf.DUMMYFUNCTION("""COMPUTED_VALUE"""),5)</f>
        <v>5</v>
      </c>
      <c r="E1053" s="2">
        <f ca="1">IFERROR(__xludf.DUMMYFUNCTION("""COMPUTED_VALUE"""),2)</f>
        <v>2</v>
      </c>
    </row>
    <row r="1054" spans="1:5" ht="13">
      <c r="A1054" s="8" t="str">
        <f ca="1">IFERROR(__xludf.DUMMYFUNCTION("""COMPUTED_VALUE"""),"Brookmeyer, Bob")</f>
        <v>Brookmeyer, Bob</v>
      </c>
      <c r="B1054" s="3">
        <f ca="1">IFERROR(__xludf.DUMMYFUNCTION("""COMPUTED_VALUE"""),1)</f>
        <v>1</v>
      </c>
      <c r="C1054" s="7">
        <f ca="1">IFERROR(__xludf.DUMMYFUNCTION("""COMPUTED_VALUE"""),1)</f>
        <v>1</v>
      </c>
      <c r="D1054" s="8">
        <f ca="1">IFERROR(__xludf.DUMMYFUNCTION("""COMPUTED_VALUE"""),5)</f>
        <v>5</v>
      </c>
      <c r="E1054" s="2">
        <f ca="1">IFERROR(__xludf.DUMMYFUNCTION("""COMPUTED_VALUE"""),2)</f>
        <v>2</v>
      </c>
    </row>
    <row r="1055" spans="1:5" ht="13">
      <c r="A1055" s="8" t="str">
        <f ca="1">IFERROR(__xludf.DUMMYFUNCTION("""COMPUTED_VALUE"""),"Brooks, B.J.")</f>
        <v>Brooks, B.J.</v>
      </c>
      <c r="B1055" s="3">
        <f ca="1">IFERROR(__xludf.DUMMYFUNCTION("""COMPUTED_VALUE"""),1)</f>
        <v>1</v>
      </c>
      <c r="C1055" s="7">
        <f ca="1">IFERROR(__xludf.DUMMYFUNCTION("""COMPUTED_VALUE"""),1)</f>
        <v>1</v>
      </c>
      <c r="D1055" s="8">
        <f ca="1">IFERROR(__xludf.DUMMYFUNCTION("""COMPUTED_VALUE"""),1)</f>
        <v>1</v>
      </c>
      <c r="E1055" s="2">
        <f ca="1">IFERROR(__xludf.DUMMYFUNCTION("""COMPUTED_VALUE"""),1)</f>
        <v>1</v>
      </c>
    </row>
    <row r="1056" spans="1:5" ht="13">
      <c r="A1056" s="2" t="str">
        <f ca="1">IFERROR(__xludf.DUMMYFUNCTION("""COMPUTED_VALUE"""),"Brooks, Chris")</f>
        <v>Brooks, Chris</v>
      </c>
      <c r="B1056" s="3">
        <f ca="1">IFERROR(__xludf.DUMMYFUNCTION("""COMPUTED_VALUE"""),1)</f>
        <v>1</v>
      </c>
      <c r="C1056" s="7">
        <f ca="1">IFERROR(__xludf.DUMMYFUNCTION("""COMPUTED_VALUE"""),1)</f>
        <v>1</v>
      </c>
      <c r="D1056" s="8">
        <f ca="1">IFERROR(__xludf.DUMMYFUNCTION("""COMPUTED_VALUE"""),1)</f>
        <v>1</v>
      </c>
      <c r="E1056" s="2">
        <f ca="1">IFERROR(__xludf.DUMMYFUNCTION("""COMPUTED_VALUE"""),1)</f>
        <v>1</v>
      </c>
    </row>
    <row r="1057" spans="1:5" ht="13">
      <c r="A1057" s="2" t="str">
        <f ca="1">IFERROR(__xludf.DUMMYFUNCTION("""COMPUTED_VALUE"""),"Brooks, Ellis L.")</f>
        <v>Brooks, Ellis L.</v>
      </c>
      <c r="B1057" s="3">
        <f ca="1">IFERROR(__xludf.DUMMYFUNCTION("""COMPUTED_VALUE"""),1)</f>
        <v>1</v>
      </c>
      <c r="C1057" s="7">
        <f ca="1">IFERROR(__xludf.DUMMYFUNCTION("""COMPUTED_VALUE"""),1)</f>
        <v>1</v>
      </c>
      <c r="D1057" s="8">
        <f ca="1">IFERROR(__xludf.DUMMYFUNCTION("""COMPUTED_VALUE"""),5)</f>
        <v>5</v>
      </c>
      <c r="E1057" s="2">
        <f ca="1">IFERROR(__xludf.DUMMYFUNCTION("""COMPUTED_VALUE"""),2)</f>
        <v>2</v>
      </c>
    </row>
    <row r="1058" spans="1:5" ht="13">
      <c r="A1058" s="2" t="str">
        <f ca="1">IFERROR(__xludf.DUMMYFUNCTION("""COMPUTED_VALUE"""),"Brooks, Garth")</f>
        <v>Brooks, Garth</v>
      </c>
      <c r="B1058" s="2">
        <f ca="1">IFERROR(__xludf.DUMMYFUNCTION("""COMPUTED_VALUE"""),1)</f>
        <v>1</v>
      </c>
      <c r="C1058" s="2">
        <f ca="1">IFERROR(__xludf.DUMMYFUNCTION("""COMPUTED_VALUE"""),1)</f>
        <v>1</v>
      </c>
      <c r="D1058" s="8">
        <f ca="1">IFERROR(__xludf.DUMMYFUNCTION("""COMPUTED_VALUE"""),1)</f>
        <v>1</v>
      </c>
      <c r="E1058" s="2">
        <f ca="1">IFERROR(__xludf.DUMMYFUNCTION("""COMPUTED_VALUE"""),1)</f>
        <v>1</v>
      </c>
    </row>
    <row r="1059" spans="1:5" ht="13">
      <c r="A1059" s="2" t="str">
        <f ca="1">IFERROR(__xludf.DUMMYFUNCTION("""COMPUTED_VALUE"""),"Brooks, Jeffrey")</f>
        <v>Brooks, Jeffrey</v>
      </c>
      <c r="B1059" s="3">
        <f ca="1">IFERROR(__xludf.DUMMYFUNCTION("""COMPUTED_VALUE"""),1)</f>
        <v>1</v>
      </c>
      <c r="C1059" s="7">
        <f ca="1">IFERROR(__xludf.DUMMYFUNCTION("""COMPUTED_VALUE"""),1)</f>
        <v>1</v>
      </c>
      <c r="D1059" s="8">
        <f ca="1">IFERROR(__xludf.DUMMYFUNCTION("""COMPUTED_VALUE"""),1)</f>
        <v>1</v>
      </c>
      <c r="E1059" s="2">
        <f ca="1">IFERROR(__xludf.DUMMYFUNCTION("""COMPUTED_VALUE"""),1)</f>
        <v>1</v>
      </c>
    </row>
    <row r="1060" spans="1:5" ht="13">
      <c r="A1060" s="8" t="str">
        <f ca="1">IFERROR(__xludf.DUMMYFUNCTION("""COMPUTED_VALUE"""),"Brookshire, Cody")</f>
        <v>Brookshire, Cody</v>
      </c>
      <c r="B1060" s="3">
        <f ca="1">IFERROR(__xludf.DUMMYFUNCTION("""COMPUTED_VALUE"""),1)</f>
        <v>1</v>
      </c>
      <c r="C1060" s="7">
        <f ca="1">IFERROR(__xludf.DUMMYFUNCTION("""COMPUTED_VALUE"""),1)</f>
        <v>1</v>
      </c>
      <c r="D1060" s="8">
        <f ca="1">IFERROR(__xludf.DUMMYFUNCTION("""COMPUTED_VALUE"""),1)</f>
        <v>1</v>
      </c>
      <c r="E1060" s="2">
        <f ca="1">IFERROR(__xludf.DUMMYFUNCTION("""COMPUTED_VALUE"""),1)</f>
        <v>1</v>
      </c>
    </row>
    <row r="1061" spans="1:5" ht="13">
      <c r="A1061" s="2" t="str">
        <f ca="1">IFERROR(__xludf.DUMMYFUNCTION("""COMPUTED_VALUE"""),"Brossé, Dirk")</f>
        <v>Brossé, Dirk</v>
      </c>
      <c r="B1061" s="3">
        <f ca="1">IFERROR(__xludf.DUMMYFUNCTION("""COMPUTED_VALUE"""),1)</f>
        <v>1</v>
      </c>
      <c r="C1061" s="7">
        <f ca="1">IFERROR(__xludf.DUMMYFUNCTION("""COMPUTED_VALUE"""),1)</f>
        <v>1</v>
      </c>
      <c r="D1061" s="8">
        <f ca="1">IFERROR(__xludf.DUMMYFUNCTION("""COMPUTED_VALUE"""),1)</f>
        <v>1</v>
      </c>
      <c r="E1061" s="2">
        <f ca="1">IFERROR(__xludf.DUMMYFUNCTION("""COMPUTED_VALUE"""),1)</f>
        <v>1</v>
      </c>
    </row>
    <row r="1062" spans="1:5" ht="13">
      <c r="A1062" s="2" t="str">
        <f ca="1">IFERROR(__xludf.DUMMYFUNCTION("""COMPUTED_VALUE"""),"Brotons, Salvador")</f>
        <v>Brotons, Salvador</v>
      </c>
      <c r="B1062" s="3">
        <f ca="1">IFERROR(__xludf.DUMMYFUNCTION("""COMPUTED_VALUE"""),1)</f>
        <v>1</v>
      </c>
      <c r="C1062" s="7">
        <f ca="1">IFERROR(__xludf.DUMMYFUNCTION("""COMPUTED_VALUE"""),1)</f>
        <v>1</v>
      </c>
      <c r="D1062" s="8">
        <f ca="1">IFERROR(__xludf.DUMMYFUNCTION("""COMPUTED_VALUE"""),1)</f>
        <v>1</v>
      </c>
      <c r="E1062" s="2">
        <f ca="1">IFERROR(__xludf.DUMMYFUNCTION("""COMPUTED_VALUE"""),1)</f>
        <v>1</v>
      </c>
    </row>
    <row r="1063" spans="1:5" ht="13">
      <c r="A1063" s="8" t="str">
        <f ca="1">IFERROR(__xludf.DUMMYFUNCTION("""COMPUTED_VALUE"""),"Broughton, Bruce")</f>
        <v>Broughton, Bruce</v>
      </c>
      <c r="B1063" s="3">
        <f ca="1">IFERROR(__xludf.DUMMYFUNCTION("""COMPUTED_VALUE"""),1)</f>
        <v>1</v>
      </c>
      <c r="C1063" s="7">
        <f ca="1">IFERROR(__xludf.DUMMYFUNCTION("""COMPUTED_VALUE"""),1)</f>
        <v>1</v>
      </c>
      <c r="D1063" s="8">
        <f ca="1">IFERROR(__xludf.DUMMYFUNCTION("""COMPUTED_VALUE"""),1)</f>
        <v>1</v>
      </c>
      <c r="E1063" s="2">
        <f ca="1">IFERROR(__xludf.DUMMYFUNCTION("""COMPUTED_VALUE"""),1)</f>
        <v>1</v>
      </c>
    </row>
    <row r="1064" spans="1:5" ht="13">
      <c r="A1064" s="2" t="str">
        <f ca="1">IFERROR(__xludf.DUMMYFUNCTION("""COMPUTED_VALUE"""),"Brower")</f>
        <v>Brower</v>
      </c>
      <c r="B1064" s="3">
        <f ca="1">IFERROR(__xludf.DUMMYFUNCTION("""COMPUTED_VALUE"""),1)</f>
        <v>1</v>
      </c>
      <c r="C1064" s="7">
        <f ca="1">IFERROR(__xludf.DUMMYFUNCTION("""COMPUTED_VALUE"""),1)</f>
        <v>1</v>
      </c>
      <c r="D1064" s="8">
        <f ca="1">IFERROR(__xludf.DUMMYFUNCTION("""COMPUTED_VALUE"""),5)</f>
        <v>5</v>
      </c>
      <c r="E1064" s="2">
        <f ca="1">IFERROR(__xludf.DUMMYFUNCTION("""COMPUTED_VALUE"""),2)</f>
        <v>2</v>
      </c>
    </row>
    <row r="1065" spans="1:5" ht="13">
      <c r="A1065" s="8" t="str">
        <f ca="1">IFERROR(__xludf.DUMMYFUNCTION("""COMPUTED_VALUE"""),"Brower, Russell")</f>
        <v>Brower, Russell</v>
      </c>
      <c r="B1065" s="3">
        <f ca="1">IFERROR(__xludf.DUMMYFUNCTION("""COMPUTED_VALUE"""),1)</f>
        <v>1</v>
      </c>
      <c r="C1065" s="7">
        <f ca="1">IFERROR(__xludf.DUMMYFUNCTION("""COMPUTED_VALUE"""),1)</f>
        <v>1</v>
      </c>
      <c r="D1065" s="8">
        <f ca="1">IFERROR(__xludf.DUMMYFUNCTION("""COMPUTED_VALUE"""),1)</f>
        <v>1</v>
      </c>
      <c r="E1065" s="2">
        <f ca="1">IFERROR(__xludf.DUMMYFUNCTION("""COMPUTED_VALUE"""),1)</f>
        <v>1</v>
      </c>
    </row>
    <row r="1066" spans="1:5" ht="13">
      <c r="A1066" s="2" t="str">
        <f ca="1">IFERROR(__xludf.DUMMYFUNCTION("""COMPUTED_VALUE"""),"Brower, Russell / Hayes, Jason")</f>
        <v>Brower, Russell / Hayes, Jason</v>
      </c>
      <c r="B1066" s="3">
        <f ca="1">IFERROR(__xludf.DUMMYFUNCTION("""COMPUTED_VALUE"""),1)</f>
        <v>1</v>
      </c>
      <c r="C1066" s="7">
        <f ca="1">IFERROR(__xludf.DUMMYFUNCTION("""COMPUTED_VALUE"""),1)</f>
        <v>1</v>
      </c>
      <c r="D1066" s="8">
        <f ca="1">IFERROR(__xludf.DUMMYFUNCTION("""COMPUTED_VALUE"""),1)</f>
        <v>1</v>
      </c>
      <c r="E1066" s="2">
        <f ca="1">IFERROR(__xludf.DUMMYFUNCTION("""COMPUTED_VALUE"""),1)</f>
        <v>1</v>
      </c>
    </row>
    <row r="1067" spans="1:5" ht="13">
      <c r="A1067" s="8" t="str">
        <f ca="1">IFERROR(__xludf.DUMMYFUNCTION("""COMPUTED_VALUE"""),"Brown, Bill")</f>
        <v>Brown, Bill</v>
      </c>
      <c r="B1067" s="8">
        <f ca="1">IFERROR(__xludf.DUMMYFUNCTION("""COMPUTED_VALUE"""),1)</f>
        <v>1</v>
      </c>
      <c r="C1067" s="7">
        <f ca="1">IFERROR(__xludf.DUMMYFUNCTION("""COMPUTED_VALUE"""),1)</f>
        <v>1</v>
      </c>
      <c r="D1067" s="8">
        <f ca="1">IFERROR(__xludf.DUMMYFUNCTION("""COMPUTED_VALUE"""),1)</f>
        <v>1</v>
      </c>
      <c r="E1067" s="8">
        <f ca="1">IFERROR(__xludf.DUMMYFUNCTION("""COMPUTED_VALUE"""),1)</f>
        <v>1</v>
      </c>
    </row>
    <row r="1068" spans="1:5" ht="13">
      <c r="A1068" s="2" t="str">
        <f ca="1">IFERROR(__xludf.DUMMYFUNCTION("""COMPUTED_VALUE"""),"Brown, Cameron")</f>
        <v>Brown, Cameron</v>
      </c>
      <c r="B1068" s="3">
        <f ca="1">IFERROR(__xludf.DUMMYFUNCTION("""COMPUTED_VALUE"""),1)</f>
        <v>1</v>
      </c>
      <c r="C1068" s="7">
        <f ca="1">IFERROR(__xludf.DUMMYFUNCTION("""COMPUTED_VALUE"""),1)</f>
        <v>1</v>
      </c>
      <c r="D1068" s="8">
        <f ca="1">IFERROR(__xludf.DUMMYFUNCTION("""COMPUTED_VALUE"""),1)</f>
        <v>1</v>
      </c>
      <c r="E1068" s="2">
        <f ca="1">IFERROR(__xludf.DUMMYFUNCTION("""COMPUTED_VALUE"""),1)</f>
        <v>1</v>
      </c>
    </row>
    <row r="1069" spans="1:5" ht="13">
      <c r="A1069" s="8" t="str">
        <f ca="1">IFERROR(__xludf.DUMMYFUNCTION("""COMPUTED_VALUE"""),"Brown, Christopher")</f>
        <v>Brown, Christopher</v>
      </c>
      <c r="B1069" s="3">
        <f ca="1">IFERROR(__xludf.DUMMYFUNCTION("""COMPUTED_VALUE"""),1)</f>
        <v>1</v>
      </c>
      <c r="C1069" s="7">
        <f ca="1">IFERROR(__xludf.DUMMYFUNCTION("""COMPUTED_VALUE"""),1)</f>
        <v>1</v>
      </c>
      <c r="D1069" s="8">
        <f ca="1">IFERROR(__xludf.DUMMYFUNCTION("""COMPUTED_VALUE"""),1)</f>
        <v>1</v>
      </c>
      <c r="E1069" s="2">
        <f ca="1">IFERROR(__xludf.DUMMYFUNCTION("""COMPUTED_VALUE"""),1)</f>
        <v>1</v>
      </c>
    </row>
    <row r="1070" spans="1:5" ht="13">
      <c r="A1070" s="8" t="str">
        <f ca="1">IFERROR(__xludf.DUMMYFUNCTION("""COMPUTED_VALUE"""),"Brown, Conor")</f>
        <v>Brown, Conor</v>
      </c>
      <c r="B1070" s="3">
        <f ca="1">IFERROR(__xludf.DUMMYFUNCTION("""COMPUTED_VALUE"""),1)</f>
        <v>1</v>
      </c>
      <c r="C1070" s="7">
        <f ca="1">IFERROR(__xludf.DUMMYFUNCTION("""COMPUTED_VALUE"""),1)</f>
        <v>1</v>
      </c>
      <c r="D1070" s="8">
        <f ca="1">IFERROR(__xludf.DUMMYFUNCTION("""COMPUTED_VALUE"""),1)</f>
        <v>1</v>
      </c>
      <c r="E1070" s="2">
        <f ca="1">IFERROR(__xludf.DUMMYFUNCTION("""COMPUTED_VALUE"""),1)</f>
        <v>1</v>
      </c>
    </row>
    <row r="1071" spans="1:5" ht="13">
      <c r="A1071" s="8" t="str">
        <f ca="1">IFERROR(__xludf.DUMMYFUNCTION("""COMPUTED_VALUE"""),"Brown, Conor Abbott")</f>
        <v>Brown, Conor Abbott</v>
      </c>
      <c r="B1071" s="3">
        <f ca="1">IFERROR(__xludf.DUMMYFUNCTION("""COMPUTED_VALUE"""),1)</f>
        <v>1</v>
      </c>
      <c r="C1071" s="7">
        <f ca="1">IFERROR(__xludf.DUMMYFUNCTION("""COMPUTED_VALUE"""),1)</f>
        <v>1</v>
      </c>
      <c r="D1071" s="8">
        <f ca="1">IFERROR(__xludf.DUMMYFUNCTION("""COMPUTED_VALUE"""),1)</f>
        <v>1</v>
      </c>
      <c r="E1071" s="2">
        <f ca="1">IFERROR(__xludf.DUMMYFUNCTION("""COMPUTED_VALUE"""),1)</f>
        <v>1</v>
      </c>
    </row>
    <row r="1072" spans="1:5" ht="13">
      <c r="A1072" s="8" t="str">
        <f ca="1">IFERROR(__xludf.DUMMYFUNCTION("""COMPUTED_VALUE"""),"Brown, Dan")</f>
        <v>Brown, Dan</v>
      </c>
      <c r="B1072" s="3">
        <f ca="1">IFERROR(__xludf.DUMMYFUNCTION("""COMPUTED_VALUE"""),1)</f>
        <v>1</v>
      </c>
      <c r="C1072" s="7">
        <f ca="1">IFERROR(__xludf.DUMMYFUNCTION("""COMPUTED_VALUE"""),1)</f>
        <v>1</v>
      </c>
      <c r="D1072" s="8">
        <f ca="1">IFERROR(__xludf.DUMMYFUNCTION("""COMPUTED_VALUE"""),1)</f>
        <v>1</v>
      </c>
      <c r="E1072" s="2">
        <f ca="1">IFERROR(__xludf.DUMMYFUNCTION("""COMPUTED_VALUE"""),1)</f>
        <v>1</v>
      </c>
    </row>
    <row r="1073" spans="1:5" ht="13">
      <c r="A1073" s="2" t="str">
        <f ca="1">IFERROR(__xludf.DUMMYFUNCTION("""COMPUTED_VALUE"""),"Brown, Darrell")</f>
        <v>Brown, Darrell</v>
      </c>
      <c r="B1073" s="2">
        <f ca="1">IFERROR(__xludf.DUMMYFUNCTION("""COMPUTED_VALUE"""),1)</f>
        <v>1</v>
      </c>
      <c r="C1073" s="7">
        <f ca="1">IFERROR(__xludf.DUMMYFUNCTION("""COMPUTED_VALUE"""),1)</f>
        <v>1</v>
      </c>
      <c r="D1073" s="8">
        <f ca="1">IFERROR(__xludf.DUMMYFUNCTION("""COMPUTED_VALUE"""),1)</f>
        <v>1</v>
      </c>
      <c r="E1073" s="2">
        <f ca="1">IFERROR(__xludf.DUMMYFUNCTION("""COMPUTED_VALUE"""),1)</f>
        <v>1</v>
      </c>
    </row>
    <row r="1074" spans="1:5" ht="13">
      <c r="A1074" s="2" t="str">
        <f ca="1">IFERROR(__xludf.DUMMYFUNCTION("""COMPUTED_VALUE"""),"Brown, David Asher")</f>
        <v>Brown, David Asher</v>
      </c>
      <c r="B1074" s="3">
        <f ca="1">IFERROR(__xludf.DUMMYFUNCTION("""COMPUTED_VALUE"""),1)</f>
        <v>1</v>
      </c>
      <c r="C1074" s="7">
        <f ca="1">IFERROR(__xludf.DUMMYFUNCTION("""COMPUTED_VALUE"""),1)</f>
        <v>1</v>
      </c>
      <c r="D1074" s="8">
        <f ca="1">IFERROR(__xludf.DUMMYFUNCTION("""COMPUTED_VALUE"""),1)</f>
        <v>1</v>
      </c>
      <c r="E1074" s="2">
        <f ca="1">IFERROR(__xludf.DUMMYFUNCTION("""COMPUTED_VALUE"""),1)</f>
        <v>1</v>
      </c>
    </row>
    <row r="1075" spans="1:5" ht="13">
      <c r="A1075" s="2" t="str">
        <f ca="1">IFERROR(__xludf.DUMMYFUNCTION("""COMPUTED_VALUE"""),"Brown, Derek")</f>
        <v>Brown, Derek</v>
      </c>
      <c r="B1075" s="3">
        <f ca="1">IFERROR(__xludf.DUMMYFUNCTION("""COMPUTED_VALUE"""),1)</f>
        <v>1</v>
      </c>
      <c r="C1075" s="7">
        <f ca="1">IFERROR(__xludf.DUMMYFUNCTION("""COMPUTED_VALUE"""),1)</f>
        <v>1</v>
      </c>
      <c r="D1075" s="8">
        <f ca="1">IFERROR(__xludf.DUMMYFUNCTION("""COMPUTED_VALUE"""),1)</f>
        <v>1</v>
      </c>
      <c r="E1075" s="2">
        <f ca="1">IFERROR(__xludf.DUMMYFUNCTION("""COMPUTED_VALUE"""),1)</f>
        <v>1</v>
      </c>
    </row>
    <row r="1076" spans="1:5" ht="13">
      <c r="A1076" s="8" t="str">
        <f ca="1">IFERROR(__xludf.DUMMYFUNCTION("""COMPUTED_VALUE"""),"Brown, James (musicologist)")</f>
        <v>Brown, James (musicologist)</v>
      </c>
      <c r="B1076" s="2">
        <f ca="1">IFERROR(__xludf.DUMMYFUNCTION("""COMPUTED_VALUE"""),1)</f>
        <v>1</v>
      </c>
      <c r="C1076" s="7">
        <f ca="1">IFERROR(__xludf.DUMMYFUNCTION("""COMPUTED_VALUE"""),1)</f>
        <v>1</v>
      </c>
      <c r="D1076" s="8">
        <f ca="1">IFERROR(__xludf.DUMMYFUNCTION("""COMPUTED_VALUE"""),1)</f>
        <v>1</v>
      </c>
      <c r="E1076" s="2">
        <f ca="1">IFERROR(__xludf.DUMMYFUNCTION("""COMPUTED_VALUE"""),1)</f>
        <v>1</v>
      </c>
    </row>
    <row r="1077" spans="1:5" ht="13">
      <c r="A1077" s="2" t="str">
        <f ca="1">IFERROR(__xludf.DUMMYFUNCTION("""COMPUTED_VALUE"""),"Brown, Jason Robert")</f>
        <v>Brown, Jason Robert</v>
      </c>
      <c r="B1077" s="3">
        <f ca="1">IFERROR(__xludf.DUMMYFUNCTION("""COMPUTED_VALUE"""),1)</f>
        <v>1</v>
      </c>
      <c r="C1077" s="7">
        <f ca="1">IFERROR(__xludf.DUMMYFUNCTION("""COMPUTED_VALUE"""),1)</f>
        <v>1</v>
      </c>
      <c r="D1077" s="8">
        <f ca="1">IFERROR(__xludf.DUMMYFUNCTION("""COMPUTED_VALUE"""),1)</f>
        <v>1</v>
      </c>
      <c r="E1077" s="2">
        <f ca="1">IFERROR(__xludf.DUMMYFUNCTION("""COMPUTED_VALUE"""),1)</f>
        <v>1</v>
      </c>
    </row>
    <row r="1078" spans="1:5" ht="13">
      <c r="A1078" s="8" t="str">
        <f ca="1">IFERROR(__xludf.DUMMYFUNCTION("""COMPUTED_VALUE"""),"Brown, Kyle")</f>
        <v>Brown, Kyle</v>
      </c>
      <c r="B1078" s="3">
        <f ca="1">IFERROR(__xludf.DUMMYFUNCTION("""COMPUTED_VALUE"""),1)</f>
        <v>1</v>
      </c>
      <c r="C1078" s="7">
        <f ca="1">IFERROR(__xludf.DUMMYFUNCTION("""COMPUTED_VALUE"""),1)</f>
        <v>1</v>
      </c>
      <c r="D1078" s="8">
        <f ca="1">IFERROR(__xludf.DUMMYFUNCTION("""COMPUTED_VALUE"""),1)</f>
        <v>1</v>
      </c>
      <c r="E1078" s="2">
        <f ca="1">IFERROR(__xludf.DUMMYFUNCTION("""COMPUTED_VALUE"""),1)</f>
        <v>1</v>
      </c>
    </row>
    <row r="1079" spans="1:5" ht="13">
      <c r="A1079" s="2" t="str">
        <f ca="1">IFERROR(__xludf.DUMMYFUNCTION("""COMPUTED_VALUE"""),"Brown, Larry")</f>
        <v>Brown, Larry</v>
      </c>
      <c r="B1079" s="3">
        <f ca="1">IFERROR(__xludf.DUMMYFUNCTION("""COMPUTED_VALUE"""),1)</f>
        <v>1</v>
      </c>
      <c r="C1079" s="7">
        <f ca="1">IFERROR(__xludf.DUMMYFUNCTION("""COMPUTED_VALUE"""),1)</f>
        <v>1</v>
      </c>
      <c r="D1079" s="8">
        <f ca="1">IFERROR(__xludf.DUMMYFUNCTION("""COMPUTED_VALUE"""),1)</f>
        <v>1</v>
      </c>
      <c r="E1079" s="2">
        <f ca="1">IFERROR(__xludf.DUMMYFUNCTION("""COMPUTED_VALUE"""),1)</f>
        <v>1</v>
      </c>
    </row>
    <row r="1080" spans="1:5" ht="13">
      <c r="A1080" s="2" t="str">
        <f ca="1">IFERROR(__xludf.DUMMYFUNCTION("""COMPUTED_VALUE"""),"Brown, Lee / Fain, Sammy")</f>
        <v>Brown, Lee / Fain, Sammy</v>
      </c>
      <c r="B1080" s="2">
        <f ca="1">IFERROR(__xludf.DUMMYFUNCTION("""COMPUTED_VALUE"""),1)</f>
        <v>1</v>
      </c>
      <c r="C1080" s="7">
        <f ca="1">IFERROR(__xludf.DUMMYFUNCTION("""COMPUTED_VALUE"""),1)</f>
        <v>1</v>
      </c>
      <c r="D1080" s="8">
        <f ca="1">IFERROR(__xludf.DUMMYFUNCTION("""COMPUTED_VALUE"""),5)</f>
        <v>5</v>
      </c>
      <c r="E1080" s="2">
        <f ca="1">IFERROR(__xludf.DUMMYFUNCTION("""COMPUTED_VALUE"""),2)</f>
        <v>2</v>
      </c>
    </row>
    <row r="1081" spans="1:5" ht="13">
      <c r="A1081" s="2" t="str">
        <f ca="1">IFERROR(__xludf.DUMMYFUNCTION("""COMPUTED_VALUE"""),"Brown, Lew / Henderson, Ray")</f>
        <v>Brown, Lew / Henderson, Ray</v>
      </c>
      <c r="B1081" s="3">
        <f ca="1">IFERROR(__xludf.DUMMYFUNCTION("""COMPUTED_VALUE"""),1)</f>
        <v>1</v>
      </c>
      <c r="C1081" s="7">
        <f ca="1">IFERROR(__xludf.DUMMYFUNCTION("""COMPUTED_VALUE"""),1)</f>
        <v>1</v>
      </c>
      <c r="D1081" s="8">
        <f ca="1">IFERROR(__xludf.DUMMYFUNCTION("""COMPUTED_VALUE"""),5)</f>
        <v>5</v>
      </c>
      <c r="E1081" s="2">
        <f ca="1">IFERROR(__xludf.DUMMYFUNCTION("""COMPUTED_VALUE"""),2)</f>
        <v>2</v>
      </c>
    </row>
    <row r="1082" spans="1:5" ht="13">
      <c r="A1082" s="2" t="str">
        <f ca="1">IFERROR(__xludf.DUMMYFUNCTION("""COMPUTED_VALUE"""),"Brown, Matthew")</f>
        <v>Brown, Matthew</v>
      </c>
      <c r="B1082" s="3">
        <f ca="1">IFERROR(__xludf.DUMMYFUNCTION("""COMPUTED_VALUE"""),1)</f>
        <v>1</v>
      </c>
      <c r="C1082" s="7">
        <f ca="1">IFERROR(__xludf.DUMMYFUNCTION("""COMPUTED_VALUE"""),1)</f>
        <v>1</v>
      </c>
      <c r="D1082" s="8">
        <f ca="1">IFERROR(__xludf.DUMMYFUNCTION("""COMPUTED_VALUE"""),1)</f>
        <v>1</v>
      </c>
      <c r="E1082" s="2">
        <f ca="1">IFERROR(__xludf.DUMMYFUNCTION("""COMPUTED_VALUE"""),1)</f>
        <v>1</v>
      </c>
    </row>
    <row r="1083" spans="1:5" ht="13">
      <c r="A1083" s="8" t="str">
        <f ca="1">IFERROR(__xludf.DUMMYFUNCTION("""COMPUTED_VALUE"""),"Brown, Michael")</f>
        <v>Brown, Michael</v>
      </c>
      <c r="B1083" s="3">
        <f ca="1">IFERROR(__xludf.DUMMYFUNCTION("""COMPUTED_VALUE"""),1)</f>
        <v>1</v>
      </c>
      <c r="C1083" s="7">
        <f ca="1">IFERROR(__xludf.DUMMYFUNCTION("""COMPUTED_VALUE"""),1)</f>
        <v>1</v>
      </c>
      <c r="D1083" s="8">
        <f ca="1">IFERROR(__xludf.DUMMYFUNCTION("""COMPUTED_VALUE"""),1)</f>
        <v>1</v>
      </c>
      <c r="E1083" s="2">
        <f ca="1">IFERROR(__xludf.DUMMYFUNCTION("""COMPUTED_VALUE"""),1)</f>
        <v>1</v>
      </c>
    </row>
    <row r="1084" spans="1:5" ht="13">
      <c r="A1084" s="2" t="str">
        <f ca="1">IFERROR(__xludf.DUMMYFUNCTION("""COMPUTED_VALUE"""),"Brown, Michael / Rapp, Will")</f>
        <v>Brown, Michael / Rapp, Will</v>
      </c>
      <c r="B1084" s="3">
        <f ca="1">IFERROR(__xludf.DUMMYFUNCTION("""COMPUTED_VALUE"""),1)</f>
        <v>1</v>
      </c>
      <c r="C1084" s="7">
        <f ca="1">IFERROR(__xludf.DUMMYFUNCTION("""COMPUTED_VALUE"""),1)</f>
        <v>1</v>
      </c>
      <c r="D1084" s="8">
        <f ca="1">IFERROR(__xludf.DUMMYFUNCTION("""COMPUTED_VALUE"""),1)</f>
        <v>1</v>
      </c>
      <c r="E1084" s="2">
        <f ca="1">IFERROR(__xludf.DUMMYFUNCTION("""COMPUTED_VALUE"""),1)</f>
        <v>1</v>
      </c>
    </row>
    <row r="1085" spans="1:5" ht="13">
      <c r="A1085" s="2" t="str">
        <f ca="1">IFERROR(__xludf.DUMMYFUNCTION("""COMPUTED_VALUE"""),"Brown, Raymond T.")</f>
        <v>Brown, Raymond T.</v>
      </c>
      <c r="B1085" s="3">
        <f ca="1">IFERROR(__xludf.DUMMYFUNCTION("""COMPUTED_VALUE"""),1)</f>
        <v>1</v>
      </c>
      <c r="C1085" s="7">
        <f ca="1">IFERROR(__xludf.DUMMYFUNCTION("""COMPUTED_VALUE"""),1)</f>
        <v>1</v>
      </c>
      <c r="D1085" s="8">
        <f ca="1">IFERROR(__xludf.DUMMYFUNCTION("""COMPUTED_VALUE"""),1)</f>
        <v>1</v>
      </c>
      <c r="E1085" s="2">
        <f ca="1">IFERROR(__xludf.DUMMYFUNCTION("""COMPUTED_VALUE"""),1)</f>
        <v>1</v>
      </c>
    </row>
    <row r="1086" spans="1:5" ht="13">
      <c r="A1086" s="2" t="str">
        <f ca="1">IFERROR(__xludf.DUMMYFUNCTION("""COMPUTED_VALUE"""),"Brown, Richard")</f>
        <v>Brown, Richard</v>
      </c>
      <c r="B1086" s="3">
        <f ca="1">IFERROR(__xludf.DUMMYFUNCTION("""COMPUTED_VALUE"""),1)</f>
        <v>1</v>
      </c>
      <c r="C1086" s="7">
        <f ca="1">IFERROR(__xludf.DUMMYFUNCTION("""COMPUTED_VALUE"""),1)</f>
        <v>1</v>
      </c>
      <c r="D1086" s="8">
        <f ca="1">IFERROR(__xludf.DUMMYFUNCTION("""COMPUTED_VALUE"""),1)</f>
        <v>1</v>
      </c>
      <c r="E1086" s="2">
        <f ca="1">IFERROR(__xludf.DUMMYFUNCTION("""COMPUTED_VALUE"""),1)</f>
        <v>1</v>
      </c>
    </row>
    <row r="1087" spans="1:5" ht="13">
      <c r="A1087" s="8" t="str">
        <f ca="1">IFERROR(__xludf.DUMMYFUNCTION("""COMPUTED_VALUE"""),"Brown, Richard E.")</f>
        <v>Brown, Richard E.</v>
      </c>
      <c r="B1087" s="3">
        <f ca="1">IFERROR(__xludf.DUMMYFUNCTION("""COMPUTED_VALUE"""),1)</f>
        <v>1</v>
      </c>
      <c r="C1087" s="7">
        <f ca="1">IFERROR(__xludf.DUMMYFUNCTION("""COMPUTED_VALUE"""),1)</f>
        <v>1</v>
      </c>
      <c r="D1087" s="8">
        <f ca="1">IFERROR(__xludf.DUMMYFUNCTION("""COMPUTED_VALUE"""),1)</f>
        <v>1</v>
      </c>
      <c r="E1087" s="2">
        <f ca="1">IFERROR(__xludf.DUMMYFUNCTION("""COMPUTED_VALUE"""),1)</f>
        <v>1</v>
      </c>
    </row>
    <row r="1088" spans="1:5" ht="13">
      <c r="A1088" s="2" t="str">
        <f ca="1">IFERROR(__xludf.DUMMYFUNCTION("""COMPUTED_VALUE"""),"Brown, Robert B.")</f>
        <v>Brown, Robert B.</v>
      </c>
      <c r="B1088" s="3">
        <f ca="1">IFERROR(__xludf.DUMMYFUNCTION("""COMPUTED_VALUE"""),1)</f>
        <v>1</v>
      </c>
      <c r="C1088" s="7">
        <f ca="1">IFERROR(__xludf.DUMMYFUNCTION("""COMPUTED_VALUE"""),1)</f>
        <v>1</v>
      </c>
      <c r="D1088" s="8">
        <f ca="1">IFERROR(__xludf.DUMMYFUNCTION("""COMPUTED_VALUE"""),5)</f>
        <v>5</v>
      </c>
      <c r="E1088" s="2">
        <f ca="1">IFERROR(__xludf.DUMMYFUNCTION("""COMPUTED_VALUE"""),2)</f>
        <v>2</v>
      </c>
    </row>
    <row r="1089" spans="1:5" ht="13">
      <c r="A1089" s="8" t="str">
        <f ca="1">IFERROR(__xludf.DUMMYFUNCTION("""COMPUTED_VALUE"""),"Brown, Robert. B.")</f>
        <v>Brown, Robert. B.</v>
      </c>
      <c r="B1089" s="2">
        <f ca="1">IFERROR(__xludf.DUMMYFUNCTION("""COMPUTED_VALUE"""),1)</f>
        <v>1</v>
      </c>
      <c r="C1089" s="7">
        <f ca="1">IFERROR(__xludf.DUMMYFUNCTION("""COMPUTED_VALUE"""),1)</f>
        <v>1</v>
      </c>
      <c r="D1089" s="8">
        <f ca="1">IFERROR(__xludf.DUMMYFUNCTION("""COMPUTED_VALUE"""),5)</f>
        <v>5</v>
      </c>
      <c r="E1089" s="2">
        <f ca="1">IFERROR(__xludf.DUMMYFUNCTION("""COMPUTED_VALUE"""),2)</f>
        <v>2</v>
      </c>
    </row>
    <row r="1090" spans="1:5" ht="13">
      <c r="A1090" s="2" t="str">
        <f ca="1">IFERROR(__xludf.DUMMYFUNCTION("""COMPUTED_VALUE"""),"Brown, Scott")</f>
        <v>Brown, Scott</v>
      </c>
      <c r="B1090" s="3">
        <f ca="1">IFERROR(__xludf.DUMMYFUNCTION("""COMPUTED_VALUE"""),1)</f>
        <v>1</v>
      </c>
      <c r="C1090" s="7">
        <f ca="1">IFERROR(__xludf.DUMMYFUNCTION("""COMPUTED_VALUE"""),1)</f>
        <v>1</v>
      </c>
      <c r="D1090" s="8">
        <f ca="1">IFERROR(__xludf.DUMMYFUNCTION("""COMPUTED_VALUE"""),1)</f>
        <v>1</v>
      </c>
      <c r="E1090" s="2">
        <f ca="1">IFERROR(__xludf.DUMMYFUNCTION("""COMPUTED_VALUE"""),1)</f>
        <v>1</v>
      </c>
    </row>
    <row r="1091" spans="1:5" ht="13">
      <c r="A1091" s="8" t="str">
        <f ca="1">IFERROR(__xludf.DUMMYFUNCTION("""COMPUTED_VALUE"""),"Brown, Sebastian H.")</f>
        <v>Brown, Sebastian H.</v>
      </c>
      <c r="B1091" s="3">
        <f ca="1">IFERROR(__xludf.DUMMYFUNCTION("""COMPUTED_VALUE"""),1)</f>
        <v>1</v>
      </c>
      <c r="C1091" s="7">
        <f ca="1">IFERROR(__xludf.DUMMYFUNCTION("""COMPUTED_VALUE"""),1)</f>
        <v>1</v>
      </c>
      <c r="D1091" s="8">
        <f ca="1">IFERROR(__xludf.DUMMYFUNCTION("""COMPUTED_VALUE"""),1)</f>
        <v>1</v>
      </c>
      <c r="E1091" s="2">
        <f ca="1">IFERROR(__xludf.DUMMYFUNCTION("""COMPUTED_VALUE"""),1)</f>
        <v>1</v>
      </c>
    </row>
    <row r="1092" spans="1:5" ht="13">
      <c r="A1092" s="8" t="str">
        <f ca="1">IFERROR(__xludf.DUMMYFUNCTION("""COMPUTED_VALUE"""),"Brown, T. Conway")</f>
        <v>Brown, T. Conway</v>
      </c>
      <c r="B1092" s="3">
        <f ca="1">IFERROR(__xludf.DUMMYFUNCTION("""COMPUTED_VALUE"""),1)</f>
        <v>1</v>
      </c>
      <c r="C1092" s="7">
        <f ca="1">IFERROR(__xludf.DUMMYFUNCTION("""COMPUTED_VALUE"""),1)</f>
        <v>1</v>
      </c>
      <c r="D1092" s="8">
        <f ca="1">IFERROR(__xludf.DUMMYFUNCTION("""COMPUTED_VALUE"""),5)</f>
        <v>5</v>
      </c>
      <c r="E1092" s="2">
        <f ca="1">IFERROR(__xludf.DUMMYFUNCTION("""COMPUTED_VALUE"""),2)</f>
        <v>2</v>
      </c>
    </row>
    <row r="1093" spans="1:5" ht="13">
      <c r="A1093" s="2" t="str">
        <f ca="1">IFERROR(__xludf.DUMMYFUNCTION("""COMPUTED_VALUE"""),"Brown, Timothy")</f>
        <v>Brown, Timothy</v>
      </c>
      <c r="B1093" s="2">
        <f ca="1">IFERROR(__xludf.DUMMYFUNCTION("""COMPUTED_VALUE"""),1)</f>
        <v>1</v>
      </c>
      <c r="C1093" s="2">
        <f ca="1">IFERROR(__xludf.DUMMYFUNCTION("""COMPUTED_VALUE"""),1)</f>
        <v>1</v>
      </c>
      <c r="D1093" s="8">
        <f ca="1">IFERROR(__xludf.DUMMYFUNCTION("""COMPUTED_VALUE"""),1)</f>
        <v>1</v>
      </c>
      <c r="E1093" s="2">
        <f ca="1">IFERROR(__xludf.DUMMYFUNCTION("""COMPUTED_VALUE"""),1)</f>
        <v>1</v>
      </c>
    </row>
    <row r="1094" spans="1:5" ht="13">
      <c r="A1094" s="8" t="str">
        <f ca="1">IFERROR(__xludf.DUMMYFUNCTION("""COMPUTED_VALUE"""),"Browne, Matt")</f>
        <v>Browne, Matt</v>
      </c>
      <c r="B1094" s="3">
        <f ca="1">IFERROR(__xludf.DUMMYFUNCTION("""COMPUTED_VALUE"""),1)</f>
        <v>1</v>
      </c>
      <c r="C1094" s="7">
        <f ca="1">IFERROR(__xludf.DUMMYFUNCTION("""COMPUTED_VALUE"""),1)</f>
        <v>1</v>
      </c>
      <c r="D1094" s="8">
        <f ca="1">IFERROR(__xludf.DUMMYFUNCTION("""COMPUTED_VALUE"""),1)</f>
        <v>1</v>
      </c>
      <c r="E1094" s="2">
        <f ca="1">IFERROR(__xludf.DUMMYFUNCTION("""COMPUTED_VALUE"""),1)</f>
        <v>1</v>
      </c>
    </row>
    <row r="1095" spans="1:5" ht="13">
      <c r="A1095" s="8" t="str">
        <f ca="1">IFERROR(__xludf.DUMMYFUNCTION("""COMPUTED_VALUE"""),"Browne, Matthew")</f>
        <v>Browne, Matthew</v>
      </c>
      <c r="B1095" s="3">
        <f ca="1">IFERROR(__xludf.DUMMYFUNCTION("""COMPUTED_VALUE"""),1)</f>
        <v>1</v>
      </c>
      <c r="C1095" s="7">
        <f ca="1">IFERROR(__xludf.DUMMYFUNCTION("""COMPUTED_VALUE"""),1)</f>
        <v>1</v>
      </c>
      <c r="D1095" s="8">
        <f ca="1">IFERROR(__xludf.DUMMYFUNCTION("""COMPUTED_VALUE"""),1)</f>
        <v>1</v>
      </c>
      <c r="E1095" s="2">
        <f ca="1">IFERROR(__xludf.DUMMYFUNCTION("""COMPUTED_VALUE"""),1)</f>
        <v>1</v>
      </c>
    </row>
    <row r="1096" spans="1:5" ht="13">
      <c r="A1096" s="2" t="str">
        <f ca="1">IFERROR(__xludf.DUMMYFUNCTION("""COMPUTED_VALUE"""),"Browne, Phillip")</f>
        <v>Browne, Phillip</v>
      </c>
      <c r="B1096" s="2">
        <f ca="1">IFERROR(__xludf.DUMMYFUNCTION("""COMPUTED_VALUE"""),1)</f>
        <v>1</v>
      </c>
      <c r="C1096" s="7">
        <f ca="1">IFERROR(__xludf.DUMMYFUNCTION("""COMPUTED_VALUE"""),1)</f>
        <v>1</v>
      </c>
      <c r="D1096" s="8">
        <f ca="1">IFERROR(__xludf.DUMMYFUNCTION("""COMPUTED_VALUE"""),5)</f>
        <v>5</v>
      </c>
      <c r="E1096" s="2">
        <f ca="1">IFERROR(__xludf.DUMMYFUNCTION("""COMPUTED_VALUE"""),2)</f>
        <v>2</v>
      </c>
    </row>
    <row r="1097" spans="1:5" ht="13">
      <c r="A1097" s="2" t="str">
        <f ca="1">IFERROR(__xludf.DUMMYFUNCTION("""COMPUTED_VALUE"""),"Browne, Richard")</f>
        <v>Browne, Richard</v>
      </c>
      <c r="B1097" s="3">
        <f ca="1">IFERROR(__xludf.DUMMYFUNCTION("""COMPUTED_VALUE"""),1)</f>
        <v>1</v>
      </c>
      <c r="C1097" s="7">
        <f ca="1">IFERROR(__xludf.DUMMYFUNCTION("""COMPUTED_VALUE"""),1)</f>
        <v>1</v>
      </c>
      <c r="D1097" s="8">
        <f ca="1">IFERROR(__xludf.DUMMYFUNCTION("""COMPUTED_VALUE"""),5)</f>
        <v>5</v>
      </c>
      <c r="E1097" s="2">
        <f ca="1">IFERROR(__xludf.DUMMYFUNCTION("""COMPUTED_VALUE"""),2)</f>
        <v>2</v>
      </c>
    </row>
    <row r="1098" spans="1:5" ht="13">
      <c r="A1098" s="2" t="str">
        <f ca="1">IFERROR(__xludf.DUMMYFUNCTION("""COMPUTED_VALUE"""),"Browning, Zack")</f>
        <v>Browning, Zack</v>
      </c>
      <c r="B1098" s="3">
        <f ca="1">IFERROR(__xludf.DUMMYFUNCTION("""COMPUTED_VALUE"""),1)</f>
        <v>1</v>
      </c>
      <c r="C1098" s="7">
        <f ca="1">IFERROR(__xludf.DUMMYFUNCTION("""COMPUTED_VALUE"""),1)</f>
        <v>1</v>
      </c>
      <c r="D1098" s="8">
        <f ca="1">IFERROR(__xludf.DUMMYFUNCTION("""COMPUTED_VALUE"""),1)</f>
        <v>1</v>
      </c>
      <c r="E1098" s="2">
        <f ca="1">IFERROR(__xludf.DUMMYFUNCTION("""COMPUTED_VALUE"""),1)</f>
        <v>1</v>
      </c>
    </row>
    <row r="1099" spans="1:5" ht="13">
      <c r="A1099" s="2" t="str">
        <f ca="1">IFERROR(__xludf.DUMMYFUNCTION("""COMPUTED_VALUE"""),"Brubaker, Dale")</f>
        <v>Brubaker, Dale</v>
      </c>
      <c r="B1099" s="3">
        <f ca="1">IFERROR(__xludf.DUMMYFUNCTION("""COMPUTED_VALUE"""),1)</f>
        <v>1</v>
      </c>
      <c r="C1099" s="7">
        <f ca="1">IFERROR(__xludf.DUMMYFUNCTION("""COMPUTED_VALUE"""),1)</f>
        <v>1</v>
      </c>
      <c r="D1099" s="8">
        <f ca="1">IFERROR(__xludf.DUMMYFUNCTION("""COMPUTED_VALUE"""),5)</f>
        <v>5</v>
      </c>
      <c r="E1099" s="2">
        <f ca="1">IFERROR(__xludf.DUMMYFUNCTION("""COMPUTED_VALUE"""),2)</f>
        <v>2</v>
      </c>
    </row>
    <row r="1100" spans="1:5" ht="13">
      <c r="A1100" s="2" t="str">
        <f ca="1">IFERROR(__xludf.DUMMYFUNCTION("""COMPUTED_VALUE"""),"Brubaker, Don")</f>
        <v>Brubaker, Don</v>
      </c>
      <c r="B1100" s="3">
        <f ca="1">IFERROR(__xludf.DUMMYFUNCTION("""COMPUTED_VALUE"""),1)</f>
        <v>1</v>
      </c>
      <c r="C1100" s="7">
        <f ca="1">IFERROR(__xludf.DUMMYFUNCTION("""COMPUTED_VALUE"""),1)</f>
        <v>1</v>
      </c>
      <c r="D1100" s="8">
        <f ca="1">IFERROR(__xludf.DUMMYFUNCTION("""COMPUTED_VALUE"""),1)</f>
        <v>1</v>
      </c>
      <c r="E1100" s="2">
        <f ca="1">IFERROR(__xludf.DUMMYFUNCTION("""COMPUTED_VALUE"""),1)</f>
        <v>1</v>
      </c>
    </row>
    <row r="1101" spans="1:5" ht="13">
      <c r="A1101" s="8" t="str">
        <f ca="1">IFERROR(__xludf.DUMMYFUNCTION("""COMPUTED_VALUE"""),"Brubaker, Jerry")</f>
        <v>Brubaker, Jerry</v>
      </c>
      <c r="B1101" s="3">
        <f ca="1">IFERROR(__xludf.DUMMYFUNCTION("""COMPUTED_VALUE"""),1)</f>
        <v>1</v>
      </c>
      <c r="C1101" s="7">
        <f ca="1">IFERROR(__xludf.DUMMYFUNCTION("""COMPUTED_VALUE"""),1)</f>
        <v>1</v>
      </c>
      <c r="D1101" s="8">
        <f ca="1">IFERROR(__xludf.DUMMYFUNCTION("""COMPUTED_VALUE"""),1)</f>
        <v>1</v>
      </c>
      <c r="E1101" s="2">
        <f ca="1">IFERROR(__xludf.DUMMYFUNCTION("""COMPUTED_VALUE"""),1)</f>
        <v>1</v>
      </c>
    </row>
    <row r="1102" spans="1:5" ht="13">
      <c r="A1102" s="8" t="str">
        <f ca="1">IFERROR(__xludf.DUMMYFUNCTION("""COMPUTED_VALUE"""),"Brubeck, Chris")</f>
        <v>Brubeck, Chris</v>
      </c>
      <c r="B1102" s="3">
        <f ca="1">IFERROR(__xludf.DUMMYFUNCTION("""COMPUTED_VALUE"""),1)</f>
        <v>1</v>
      </c>
      <c r="C1102" s="7">
        <f ca="1">IFERROR(__xludf.DUMMYFUNCTION("""COMPUTED_VALUE"""),1)</f>
        <v>1</v>
      </c>
      <c r="D1102" s="8">
        <f ca="1">IFERROR(__xludf.DUMMYFUNCTION("""COMPUTED_VALUE"""),1)</f>
        <v>1</v>
      </c>
      <c r="E1102" s="2">
        <f ca="1">IFERROR(__xludf.DUMMYFUNCTION("""COMPUTED_VALUE"""),1)</f>
        <v>1</v>
      </c>
    </row>
    <row r="1103" spans="1:5" ht="13">
      <c r="A1103" s="8" t="str">
        <f ca="1">IFERROR(__xludf.DUMMYFUNCTION("""COMPUTED_VALUE"""),"Brubeck, Chris and Dave")</f>
        <v>Brubeck, Chris and Dave</v>
      </c>
      <c r="B1103" s="3">
        <f ca="1">IFERROR(__xludf.DUMMYFUNCTION("""COMPUTED_VALUE"""),1)</f>
        <v>1</v>
      </c>
      <c r="C1103" s="7">
        <f ca="1">IFERROR(__xludf.DUMMYFUNCTION("""COMPUTED_VALUE"""),1)</f>
        <v>1</v>
      </c>
      <c r="D1103" s="8">
        <f ca="1">IFERROR(__xludf.DUMMYFUNCTION("""COMPUTED_VALUE"""),5)</f>
        <v>5</v>
      </c>
      <c r="E1103" s="2">
        <f ca="1">IFERROR(__xludf.DUMMYFUNCTION("""COMPUTED_VALUE"""),2)</f>
        <v>2</v>
      </c>
    </row>
    <row r="1104" spans="1:5" ht="13">
      <c r="A1104" s="8" t="str">
        <f ca="1">IFERROR(__xludf.DUMMYFUNCTION("""COMPUTED_VALUE"""),"Brubeck, Dave")</f>
        <v>Brubeck, Dave</v>
      </c>
      <c r="B1104" s="3">
        <f ca="1">IFERROR(__xludf.DUMMYFUNCTION("""COMPUTED_VALUE"""),1)</f>
        <v>1</v>
      </c>
      <c r="C1104" s="7">
        <f ca="1">IFERROR(__xludf.DUMMYFUNCTION("""COMPUTED_VALUE"""),1)</f>
        <v>1</v>
      </c>
      <c r="D1104" s="8">
        <f ca="1">IFERROR(__xludf.DUMMYFUNCTION("""COMPUTED_VALUE"""),5)</f>
        <v>5</v>
      </c>
      <c r="E1104" s="2">
        <f ca="1">IFERROR(__xludf.DUMMYFUNCTION("""COMPUTED_VALUE"""),2)</f>
        <v>2</v>
      </c>
    </row>
    <row r="1105" spans="1:5" ht="13">
      <c r="A1105" s="2" t="str">
        <f ca="1">IFERROR(__xludf.DUMMYFUNCTION("""COMPUTED_VALUE"""),"Brubeck. Dave")</f>
        <v>Brubeck. Dave</v>
      </c>
      <c r="B1105" s="3">
        <f ca="1">IFERROR(__xludf.DUMMYFUNCTION("""COMPUTED_VALUE"""),1)</f>
        <v>1</v>
      </c>
      <c r="C1105" s="7">
        <f ca="1">IFERROR(__xludf.DUMMYFUNCTION("""COMPUTED_VALUE"""),1)</f>
        <v>1</v>
      </c>
      <c r="D1105" s="8">
        <f ca="1">IFERROR(__xludf.DUMMYFUNCTION("""COMPUTED_VALUE"""),5)</f>
        <v>5</v>
      </c>
      <c r="E1105" s="2">
        <f ca="1">IFERROR(__xludf.DUMMYFUNCTION("""COMPUTED_VALUE"""),2)</f>
        <v>2</v>
      </c>
    </row>
    <row r="1106" spans="1:5" ht="13">
      <c r="A1106" s="2" t="str">
        <f ca="1">IFERROR(__xludf.DUMMYFUNCTION("""COMPUTED_VALUE"""),"Bruce, Adam")</f>
        <v>Bruce, Adam</v>
      </c>
      <c r="B1106" s="3">
        <f ca="1">IFERROR(__xludf.DUMMYFUNCTION("""COMPUTED_VALUE"""),1)</f>
        <v>1</v>
      </c>
      <c r="C1106" s="7">
        <f ca="1">IFERROR(__xludf.DUMMYFUNCTION("""COMPUTED_VALUE"""),1)</f>
        <v>1</v>
      </c>
      <c r="D1106" s="8">
        <f ca="1">IFERROR(__xludf.DUMMYFUNCTION("""COMPUTED_VALUE"""),1)</f>
        <v>1</v>
      </c>
      <c r="E1106" s="2">
        <f ca="1">IFERROR(__xludf.DUMMYFUNCTION("""COMPUTED_VALUE"""),1)</f>
        <v>1</v>
      </c>
    </row>
    <row r="1107" spans="1:5" ht="13">
      <c r="A1107" s="8" t="str">
        <f ca="1">IFERROR(__xludf.DUMMYFUNCTION("""COMPUTED_VALUE"""),"Bruce, Carl")</f>
        <v>Bruce, Carl</v>
      </c>
      <c r="B1107" s="2">
        <f ca="1">IFERROR(__xludf.DUMMYFUNCTION("""COMPUTED_VALUE"""),1)</f>
        <v>1</v>
      </c>
      <c r="C1107" s="7">
        <f ca="1">IFERROR(__xludf.DUMMYFUNCTION("""COMPUTED_VALUE"""),1)</f>
        <v>1</v>
      </c>
      <c r="D1107" s="8">
        <f ca="1">IFERROR(__xludf.DUMMYFUNCTION("""COMPUTED_VALUE"""),5)</f>
        <v>5</v>
      </c>
      <c r="E1107" s="2">
        <f ca="1">IFERROR(__xludf.DUMMYFUNCTION("""COMPUTED_VALUE"""),2)</f>
        <v>2</v>
      </c>
    </row>
    <row r="1108" spans="1:5" ht="13">
      <c r="A1108" s="8" t="str">
        <f ca="1">IFERROR(__xludf.DUMMYFUNCTION("""COMPUTED_VALUE"""),"Bruce, David")</f>
        <v>Bruce, David</v>
      </c>
      <c r="B1108" s="3">
        <f ca="1">IFERROR(__xludf.DUMMYFUNCTION("""COMPUTED_VALUE"""),1)</f>
        <v>1</v>
      </c>
      <c r="C1108" s="7">
        <f ca="1">IFERROR(__xludf.DUMMYFUNCTION("""COMPUTED_VALUE"""),1)</f>
        <v>1</v>
      </c>
      <c r="D1108" s="8">
        <f ca="1">IFERROR(__xludf.DUMMYFUNCTION("""COMPUTED_VALUE"""),1)</f>
        <v>1</v>
      </c>
      <c r="E1108" s="2">
        <f ca="1">IFERROR(__xludf.DUMMYFUNCTION("""COMPUTED_VALUE"""),1)</f>
        <v>1</v>
      </c>
    </row>
    <row r="1109" spans="1:5" ht="13">
      <c r="A1109" s="2" t="str">
        <f ca="1">IFERROR(__xludf.DUMMYFUNCTION("""COMPUTED_VALUE"""),"Bruce, Gary")</f>
        <v>Bruce, Gary</v>
      </c>
      <c r="B1109" s="3">
        <f ca="1">IFERROR(__xludf.DUMMYFUNCTION("""COMPUTED_VALUE"""),1)</f>
        <v>1</v>
      </c>
      <c r="C1109" s="7">
        <f ca="1">IFERROR(__xludf.DUMMYFUNCTION("""COMPUTED_VALUE"""),1)</f>
        <v>1</v>
      </c>
      <c r="D1109" s="8">
        <f ca="1">IFERROR(__xludf.DUMMYFUNCTION("""COMPUTED_VALUE"""),1)</f>
        <v>1</v>
      </c>
      <c r="E1109" s="2">
        <f ca="1">IFERROR(__xludf.DUMMYFUNCTION("""COMPUTED_VALUE"""),1)</f>
        <v>1</v>
      </c>
    </row>
    <row r="1110" spans="1:5" ht="13">
      <c r="A1110" s="8" t="str">
        <f ca="1">IFERROR(__xludf.DUMMYFUNCTION("""COMPUTED_VALUE"""),"Bruch, Max")</f>
        <v>Bruch, Max</v>
      </c>
      <c r="B1110" s="3">
        <f ca="1">IFERROR(__xludf.DUMMYFUNCTION("""COMPUTED_VALUE"""),1)</f>
        <v>1</v>
      </c>
      <c r="C1110" s="7">
        <f ca="1">IFERROR(__xludf.DUMMYFUNCTION("""COMPUTED_VALUE"""),1)</f>
        <v>1</v>
      </c>
      <c r="D1110" s="8">
        <f ca="1">IFERROR(__xludf.DUMMYFUNCTION("""COMPUTED_VALUE"""),5)</f>
        <v>5</v>
      </c>
      <c r="E1110" s="2">
        <f ca="1">IFERROR(__xludf.DUMMYFUNCTION("""COMPUTED_VALUE"""),2)</f>
        <v>2</v>
      </c>
    </row>
    <row r="1111" spans="1:5" ht="13">
      <c r="A1111" s="2" t="str">
        <f ca="1">IFERROR(__xludf.DUMMYFUNCTION("""COMPUTED_VALUE"""),"Bruck, Arnold von")</f>
        <v>Bruck, Arnold von</v>
      </c>
      <c r="B1111" s="3">
        <f ca="1">IFERROR(__xludf.DUMMYFUNCTION("""COMPUTED_VALUE"""),1)</f>
        <v>1</v>
      </c>
      <c r="C1111" s="7">
        <f ca="1">IFERROR(__xludf.DUMMYFUNCTION("""COMPUTED_VALUE"""),1)</f>
        <v>1</v>
      </c>
      <c r="D1111" s="8">
        <f ca="1">IFERROR(__xludf.DUMMYFUNCTION("""COMPUTED_VALUE"""),5)</f>
        <v>5</v>
      </c>
      <c r="E1111" s="2">
        <f ca="1">IFERROR(__xludf.DUMMYFUNCTION("""COMPUTED_VALUE"""),2)</f>
        <v>2</v>
      </c>
    </row>
    <row r="1112" spans="1:5" ht="13">
      <c r="A1112" s="8" t="str">
        <f ca="1">IFERROR(__xludf.DUMMYFUNCTION("""COMPUTED_VALUE"""),"Bruckmann, Kyle")</f>
        <v>Bruckmann, Kyle</v>
      </c>
      <c r="B1112" s="3">
        <f ca="1">IFERROR(__xludf.DUMMYFUNCTION("""COMPUTED_VALUE"""),1)</f>
        <v>1</v>
      </c>
      <c r="C1112" s="7">
        <f ca="1">IFERROR(__xludf.DUMMYFUNCTION("""COMPUTED_VALUE"""),1)</f>
        <v>1</v>
      </c>
      <c r="D1112" s="8">
        <f ca="1">IFERROR(__xludf.DUMMYFUNCTION("""COMPUTED_VALUE"""),1)</f>
        <v>1</v>
      </c>
      <c r="E1112" s="2">
        <f ca="1">IFERROR(__xludf.DUMMYFUNCTION("""COMPUTED_VALUE"""),1)</f>
        <v>1</v>
      </c>
    </row>
    <row r="1113" spans="1:5" ht="13">
      <c r="A1113" s="8" t="str">
        <f ca="1">IFERROR(__xludf.DUMMYFUNCTION("""COMPUTED_VALUE"""),"Bruckner, Anton")</f>
        <v>Bruckner, Anton</v>
      </c>
      <c r="B1113" s="3">
        <f ca="1">IFERROR(__xludf.DUMMYFUNCTION("""COMPUTED_VALUE"""),1)</f>
        <v>1</v>
      </c>
      <c r="C1113" s="7">
        <f ca="1">IFERROR(__xludf.DUMMYFUNCTION("""COMPUTED_VALUE"""),1)</f>
        <v>1</v>
      </c>
      <c r="D1113" s="8">
        <f ca="1">IFERROR(__xludf.DUMMYFUNCTION("""COMPUTED_VALUE"""),5)</f>
        <v>5</v>
      </c>
      <c r="E1113" s="2">
        <f ca="1">IFERROR(__xludf.DUMMYFUNCTION("""COMPUTED_VALUE"""),2)</f>
        <v>2</v>
      </c>
    </row>
    <row r="1114" spans="1:5" ht="13">
      <c r="A1114" s="2" t="str">
        <f ca="1">IFERROR(__xludf.DUMMYFUNCTION("""COMPUTED_VALUE"""),"Bruell, Ignaz")</f>
        <v>Bruell, Ignaz</v>
      </c>
      <c r="B1114" s="3">
        <f ca="1">IFERROR(__xludf.DUMMYFUNCTION("""COMPUTED_VALUE"""),1)</f>
        <v>1</v>
      </c>
      <c r="C1114" s="7">
        <f ca="1">IFERROR(__xludf.DUMMYFUNCTION("""COMPUTED_VALUE"""),1)</f>
        <v>1</v>
      </c>
      <c r="D1114" s="8">
        <f ca="1">IFERROR(__xludf.DUMMYFUNCTION("""COMPUTED_VALUE"""),5)</f>
        <v>5</v>
      </c>
      <c r="E1114" s="2">
        <f ca="1">IFERROR(__xludf.DUMMYFUNCTION("""COMPUTED_VALUE"""),2)</f>
        <v>2</v>
      </c>
    </row>
    <row r="1115" spans="1:5" ht="13">
      <c r="A1115" s="8" t="str">
        <f ca="1">IFERROR(__xludf.DUMMYFUNCTION("""COMPUTED_VALUE"""),"Bruffy, Charles")</f>
        <v>Bruffy, Charles</v>
      </c>
      <c r="B1115" s="8">
        <f ca="1">IFERROR(__xludf.DUMMYFUNCTION("""COMPUTED_VALUE"""),1)</f>
        <v>1</v>
      </c>
      <c r="C1115" s="7">
        <f ca="1">IFERROR(__xludf.DUMMYFUNCTION("""COMPUTED_VALUE"""),1)</f>
        <v>1</v>
      </c>
      <c r="D1115" s="8">
        <f ca="1">IFERROR(__xludf.DUMMYFUNCTION("""COMPUTED_VALUE"""),1)</f>
        <v>1</v>
      </c>
      <c r="E1115" s="8">
        <f ca="1">IFERROR(__xludf.DUMMYFUNCTION("""COMPUTED_VALUE"""),1)</f>
        <v>1</v>
      </c>
    </row>
    <row r="1116" spans="1:5" ht="13">
      <c r="A1116" s="8" t="str">
        <f ca="1">IFERROR(__xludf.DUMMYFUNCTION("""COMPUTED_VALUE"""),"Brügger, Lukas")</f>
        <v>Brügger, Lukas</v>
      </c>
      <c r="B1116" s="3">
        <f ca="1">IFERROR(__xludf.DUMMYFUNCTION("""COMPUTED_VALUE"""),1)</f>
        <v>1</v>
      </c>
      <c r="C1116" s="7">
        <f ca="1">IFERROR(__xludf.DUMMYFUNCTION("""COMPUTED_VALUE"""),1)</f>
        <v>1</v>
      </c>
      <c r="D1116" s="8">
        <f ca="1">IFERROR(__xludf.DUMMYFUNCTION("""COMPUTED_VALUE"""),1)</f>
        <v>1</v>
      </c>
      <c r="E1116" s="2">
        <f ca="1">IFERROR(__xludf.DUMMYFUNCTION("""COMPUTED_VALUE"""),1)</f>
        <v>1</v>
      </c>
    </row>
    <row r="1117" spans="1:5" ht="13">
      <c r="A1117" s="2" t="str">
        <f ca="1">IFERROR(__xludf.DUMMYFUNCTION("""COMPUTED_VALUE"""),"Bruhn, Andrew")</f>
        <v>Bruhn, Andrew</v>
      </c>
      <c r="B1117" s="3">
        <f ca="1">IFERROR(__xludf.DUMMYFUNCTION("""COMPUTED_VALUE"""),1)</f>
        <v>1</v>
      </c>
      <c r="C1117" s="7">
        <f ca="1">IFERROR(__xludf.DUMMYFUNCTION("""COMPUTED_VALUE"""),1)</f>
        <v>1</v>
      </c>
      <c r="D1117" s="8">
        <f ca="1">IFERROR(__xludf.DUMMYFUNCTION("""COMPUTED_VALUE"""),1)</f>
        <v>1</v>
      </c>
      <c r="E1117" s="2">
        <f ca="1">IFERROR(__xludf.DUMMYFUNCTION("""COMPUTED_VALUE"""),1)</f>
        <v>1</v>
      </c>
    </row>
    <row r="1118" spans="1:5" ht="13">
      <c r="A1118" s="2" t="str">
        <f ca="1">IFERROR(__xludf.DUMMYFUNCTION("""COMPUTED_VALUE"""),"Brumel, Antoine")</f>
        <v>Brumel, Antoine</v>
      </c>
      <c r="B1118" s="2">
        <f ca="1">IFERROR(__xludf.DUMMYFUNCTION("""COMPUTED_VALUE"""),1)</f>
        <v>1</v>
      </c>
      <c r="C1118" s="7">
        <f ca="1">IFERROR(__xludf.DUMMYFUNCTION("""COMPUTED_VALUE"""),1)</f>
        <v>1</v>
      </c>
      <c r="D1118" s="8">
        <f ca="1">IFERROR(__xludf.DUMMYFUNCTION("""COMPUTED_VALUE"""),5)</f>
        <v>5</v>
      </c>
      <c r="E1118" s="2">
        <f ca="1">IFERROR(__xludf.DUMMYFUNCTION("""COMPUTED_VALUE"""),2)</f>
        <v>2</v>
      </c>
    </row>
    <row r="1119" spans="1:5" ht="13">
      <c r="A1119" s="2" t="str">
        <f ca="1">IFERROR(__xludf.DUMMYFUNCTION("""COMPUTED_VALUE"""),"Brumley, Albert E.")</f>
        <v>Brumley, Albert E.</v>
      </c>
      <c r="B1119" s="2">
        <f ca="1">IFERROR(__xludf.DUMMYFUNCTION("""COMPUTED_VALUE"""),1)</f>
        <v>1</v>
      </c>
      <c r="C1119" s="7">
        <f ca="1">IFERROR(__xludf.DUMMYFUNCTION("""COMPUTED_VALUE"""),1)</f>
        <v>1</v>
      </c>
      <c r="D1119" s="8">
        <f ca="1">IFERROR(__xludf.DUMMYFUNCTION("""COMPUTED_VALUE"""),5)</f>
        <v>5</v>
      </c>
      <c r="E1119" s="2">
        <f ca="1">IFERROR(__xludf.DUMMYFUNCTION("""COMPUTED_VALUE"""),2)</f>
        <v>2</v>
      </c>
    </row>
    <row r="1120" spans="1:5" ht="13">
      <c r="A1120" s="2" t="str">
        <f ca="1">IFERROR(__xludf.DUMMYFUNCTION("""COMPUTED_VALUE"""),"Brunelle, Philip")</f>
        <v>Brunelle, Philip</v>
      </c>
      <c r="B1120" s="2">
        <f ca="1">IFERROR(__xludf.DUMMYFUNCTION("""COMPUTED_VALUE"""),1)</f>
        <v>1</v>
      </c>
      <c r="C1120" s="2">
        <f ca="1">IFERROR(__xludf.DUMMYFUNCTION("""COMPUTED_VALUE"""),1)</f>
        <v>1</v>
      </c>
      <c r="D1120" s="8">
        <f ca="1">IFERROR(__xludf.DUMMYFUNCTION("""COMPUTED_VALUE"""),1)</f>
        <v>1</v>
      </c>
      <c r="E1120" s="2">
        <f ca="1">IFERROR(__xludf.DUMMYFUNCTION("""COMPUTED_VALUE"""),1)</f>
        <v>1</v>
      </c>
    </row>
    <row r="1121" spans="1:5" ht="13">
      <c r="A1121" s="2" t="str">
        <f ca="1">IFERROR(__xludf.DUMMYFUNCTION("""COMPUTED_VALUE"""),"Brunelli, Louis Jean")</f>
        <v>Brunelli, Louis Jean</v>
      </c>
      <c r="B1121" s="2">
        <f ca="1">IFERROR(__xludf.DUMMYFUNCTION("""COMPUTED_VALUE"""),1)</f>
        <v>1</v>
      </c>
      <c r="C1121" s="7">
        <f ca="1">IFERROR(__xludf.DUMMYFUNCTION("""COMPUTED_VALUE"""),1)</f>
        <v>1</v>
      </c>
      <c r="D1121" s="8">
        <f ca="1">IFERROR(__xludf.DUMMYFUNCTION("""COMPUTED_VALUE"""),5)</f>
        <v>5</v>
      </c>
      <c r="E1121" s="2">
        <f ca="1">IFERROR(__xludf.DUMMYFUNCTION("""COMPUTED_VALUE"""),2)</f>
        <v>2</v>
      </c>
    </row>
    <row r="1122" spans="1:5" ht="13">
      <c r="A1122" s="8" t="str">
        <f ca="1">IFERROR(__xludf.DUMMYFUNCTION("""COMPUTED_VALUE"""),"Brunetti, Gaetano")</f>
        <v>Brunetti, Gaetano</v>
      </c>
      <c r="B1122" s="3">
        <f ca="1">IFERROR(__xludf.DUMMYFUNCTION("""COMPUTED_VALUE"""),1)</f>
        <v>1</v>
      </c>
      <c r="C1122" s="7">
        <f ca="1">IFERROR(__xludf.DUMMYFUNCTION("""COMPUTED_VALUE"""),1)</f>
        <v>1</v>
      </c>
      <c r="D1122" s="8">
        <f ca="1">IFERROR(__xludf.DUMMYFUNCTION("""COMPUTED_VALUE"""),5)</f>
        <v>5</v>
      </c>
      <c r="E1122" s="2">
        <f ca="1">IFERROR(__xludf.DUMMYFUNCTION("""COMPUTED_VALUE"""),2)</f>
        <v>2</v>
      </c>
    </row>
    <row r="1123" spans="1:5" ht="13">
      <c r="A1123" s="8" t="str">
        <f ca="1">IFERROR(__xludf.DUMMYFUNCTION("""COMPUTED_VALUE"""),"Brunetto, Rick")</f>
        <v>Brunetto, Rick</v>
      </c>
      <c r="B1123" s="3">
        <f ca="1">IFERROR(__xludf.DUMMYFUNCTION("""COMPUTED_VALUE"""),1)</f>
        <v>1</v>
      </c>
      <c r="C1123" s="7">
        <f ca="1">IFERROR(__xludf.DUMMYFUNCTION("""COMPUTED_VALUE"""),1)</f>
        <v>1</v>
      </c>
      <c r="D1123" s="8">
        <f ca="1">IFERROR(__xludf.DUMMYFUNCTION("""COMPUTED_VALUE"""),1)</f>
        <v>1</v>
      </c>
      <c r="E1123" s="2">
        <f ca="1">IFERROR(__xludf.DUMMYFUNCTION("""COMPUTED_VALUE"""),1)</f>
        <v>1</v>
      </c>
    </row>
    <row r="1124" spans="1:5" ht="13">
      <c r="A1124" s="8" t="str">
        <f ca="1">IFERROR(__xludf.DUMMYFUNCTION("""COMPUTED_VALUE"""),"Bruni, Antonio B.")</f>
        <v>Bruni, Antonio B.</v>
      </c>
      <c r="B1124" s="2">
        <f ca="1">IFERROR(__xludf.DUMMYFUNCTION("""COMPUTED_VALUE"""),1)</f>
        <v>1</v>
      </c>
      <c r="C1124" s="7">
        <f ca="1">IFERROR(__xludf.DUMMYFUNCTION("""COMPUTED_VALUE"""),1)</f>
        <v>1</v>
      </c>
      <c r="D1124" s="8">
        <f ca="1">IFERROR(__xludf.DUMMYFUNCTION("""COMPUTED_VALUE"""),5)</f>
        <v>5</v>
      </c>
      <c r="E1124" s="2">
        <f ca="1">IFERROR(__xludf.DUMMYFUNCTION("""COMPUTED_VALUE"""),2)</f>
        <v>2</v>
      </c>
    </row>
    <row r="1125" spans="1:5" ht="13">
      <c r="A1125" s="2" t="str">
        <f ca="1">IFERROR(__xludf.DUMMYFUNCTION("""COMPUTED_VALUE"""),"Brunies, Henry / Brunies, Merritt / Cassard, Jules")</f>
        <v>Brunies, Henry / Brunies, Merritt / Cassard, Jules</v>
      </c>
      <c r="B1125" s="3">
        <f ca="1">IFERROR(__xludf.DUMMYFUNCTION("""COMPUTED_VALUE"""),1)</f>
        <v>1</v>
      </c>
      <c r="C1125" s="7">
        <f ca="1">IFERROR(__xludf.DUMMYFUNCTION("""COMPUTED_VALUE"""),1)</f>
        <v>1</v>
      </c>
      <c r="D1125" s="8">
        <f ca="1">IFERROR(__xludf.DUMMYFUNCTION("""COMPUTED_VALUE"""),5)</f>
        <v>5</v>
      </c>
      <c r="E1125" s="2">
        <f ca="1">IFERROR(__xludf.DUMMYFUNCTION("""COMPUTED_VALUE"""),2)</f>
        <v>2</v>
      </c>
    </row>
    <row r="1126" spans="1:5" ht="13">
      <c r="A1126" s="2" t="str">
        <f ca="1">IFERROR(__xludf.DUMMYFUNCTION("""COMPUTED_VALUE"""),"Brunies, Henry / Mecum, Dudley")</f>
        <v>Brunies, Henry / Mecum, Dudley</v>
      </c>
      <c r="B1126" s="2">
        <f ca="1">IFERROR(__xludf.DUMMYFUNCTION("""COMPUTED_VALUE"""),1)</f>
        <v>1</v>
      </c>
      <c r="C1126" s="7">
        <f ca="1">IFERROR(__xludf.DUMMYFUNCTION("""COMPUTED_VALUE"""),1)</f>
        <v>1</v>
      </c>
      <c r="D1126" s="8">
        <f ca="1">IFERROR(__xludf.DUMMYFUNCTION("""COMPUTED_VALUE"""),5)</f>
        <v>5</v>
      </c>
      <c r="E1126" s="2">
        <f ca="1">IFERROR(__xludf.DUMMYFUNCTION("""COMPUTED_VALUE"""),2)</f>
        <v>2</v>
      </c>
    </row>
    <row r="1127" spans="1:5" ht="13">
      <c r="A1127" s="2" t="str">
        <f ca="1">IFERROR(__xludf.DUMMYFUNCTION("""COMPUTED_VALUE"""),"Brunner, David")</f>
        <v>Brunner, David</v>
      </c>
      <c r="B1127" s="3">
        <f ca="1">IFERROR(__xludf.DUMMYFUNCTION("""COMPUTED_VALUE"""),1)</f>
        <v>1</v>
      </c>
      <c r="C1127" s="7">
        <f ca="1">IFERROR(__xludf.DUMMYFUNCTION("""COMPUTED_VALUE"""),1)</f>
        <v>1</v>
      </c>
      <c r="D1127" s="8">
        <f ca="1">IFERROR(__xludf.DUMMYFUNCTION("""COMPUTED_VALUE"""),1)</f>
        <v>1</v>
      </c>
      <c r="E1127" s="2">
        <f ca="1">IFERROR(__xludf.DUMMYFUNCTION("""COMPUTED_VALUE"""),1)</f>
        <v>1</v>
      </c>
    </row>
    <row r="1128" spans="1:5" ht="13">
      <c r="A1128" s="8" t="str">
        <f ca="1">IFERROR(__xludf.DUMMYFUNCTION("""COMPUTED_VALUE"""),"Brunner, David L.")</f>
        <v>Brunner, David L.</v>
      </c>
      <c r="B1128" s="3">
        <f ca="1">IFERROR(__xludf.DUMMYFUNCTION("""COMPUTED_VALUE"""),1)</f>
        <v>1</v>
      </c>
      <c r="C1128" s="7">
        <f ca="1">IFERROR(__xludf.DUMMYFUNCTION("""COMPUTED_VALUE"""),1)</f>
        <v>1</v>
      </c>
      <c r="D1128" s="8">
        <f ca="1">IFERROR(__xludf.DUMMYFUNCTION("""COMPUTED_VALUE"""),1)</f>
        <v>1</v>
      </c>
      <c r="E1128" s="2">
        <f ca="1">IFERROR(__xludf.DUMMYFUNCTION("""COMPUTED_VALUE"""),1)</f>
        <v>1</v>
      </c>
    </row>
    <row r="1129" spans="1:5" ht="13">
      <c r="A1129" s="8" t="str">
        <f ca="1">IFERROR(__xludf.DUMMYFUNCTION("""COMPUTED_VALUE"""),"Brusick, William R.")</f>
        <v>Brusick, William R.</v>
      </c>
      <c r="B1129" s="3">
        <f ca="1">IFERROR(__xludf.DUMMYFUNCTION("""COMPUTED_VALUE"""),1)</f>
        <v>1</v>
      </c>
      <c r="C1129" s="7">
        <f ca="1">IFERROR(__xludf.DUMMYFUNCTION("""COMPUTED_VALUE"""),1)</f>
        <v>1</v>
      </c>
      <c r="D1129" s="8">
        <f ca="1">IFERROR(__xludf.DUMMYFUNCTION("""COMPUTED_VALUE"""),1)</f>
        <v>1</v>
      </c>
      <c r="E1129" s="2">
        <f ca="1">IFERROR(__xludf.DUMMYFUNCTION("""COMPUTED_VALUE"""),1)</f>
        <v>1</v>
      </c>
    </row>
    <row r="1130" spans="1:5" ht="13">
      <c r="A1130" s="2" t="str">
        <f ca="1">IFERROR(__xludf.DUMMYFUNCTION("""COMPUTED_VALUE"""),"Bryan Kidd")</f>
        <v>Bryan Kidd</v>
      </c>
      <c r="B1130" s="3">
        <f ca="1">IFERROR(__xludf.DUMMYFUNCTION("""COMPUTED_VALUE"""),1)</f>
        <v>1</v>
      </c>
      <c r="C1130" s="7">
        <f ca="1">IFERROR(__xludf.DUMMYFUNCTION("""COMPUTED_VALUE"""),1)</f>
        <v>1</v>
      </c>
      <c r="D1130" s="8">
        <f ca="1">IFERROR(__xludf.DUMMYFUNCTION("""COMPUTED_VALUE"""),1)</f>
        <v>1</v>
      </c>
      <c r="E1130" s="2">
        <f ca="1">IFERROR(__xludf.DUMMYFUNCTION("""COMPUTED_VALUE"""),1)</f>
        <v>1</v>
      </c>
    </row>
    <row r="1131" spans="1:5" ht="13">
      <c r="A1131" s="8" t="str">
        <f ca="1">IFERROR(__xludf.DUMMYFUNCTION("""COMPUTED_VALUE"""),"Bryan, Charles")</f>
        <v>Bryan, Charles</v>
      </c>
      <c r="B1131" s="3">
        <f ca="1">IFERROR(__xludf.DUMMYFUNCTION("""COMPUTED_VALUE"""),1)</f>
        <v>1</v>
      </c>
      <c r="C1131" s="7">
        <f ca="1">IFERROR(__xludf.DUMMYFUNCTION("""COMPUTED_VALUE"""),1)</f>
        <v>1</v>
      </c>
      <c r="D1131" s="8">
        <f ca="1">IFERROR(__xludf.DUMMYFUNCTION("""COMPUTED_VALUE"""),1)</f>
        <v>1</v>
      </c>
      <c r="E1131" s="2">
        <f ca="1">IFERROR(__xludf.DUMMYFUNCTION("""COMPUTED_VALUE"""),1)</f>
        <v>1</v>
      </c>
    </row>
    <row r="1132" spans="1:5" ht="13">
      <c r="A1132" s="8" t="str">
        <f ca="1">IFERROR(__xludf.DUMMYFUNCTION("""COMPUTED_VALUE"""),"Bryant, Curtis")</f>
        <v>Bryant, Curtis</v>
      </c>
      <c r="B1132" s="3">
        <f ca="1">IFERROR(__xludf.DUMMYFUNCTION("""COMPUTED_VALUE"""),1)</f>
        <v>1</v>
      </c>
      <c r="C1132" s="7">
        <f ca="1">IFERROR(__xludf.DUMMYFUNCTION("""COMPUTED_VALUE"""),1)</f>
        <v>1</v>
      </c>
      <c r="D1132" s="8">
        <f ca="1">IFERROR(__xludf.DUMMYFUNCTION("""COMPUTED_VALUE"""),1)</f>
        <v>1</v>
      </c>
      <c r="E1132" s="2">
        <f ca="1">IFERROR(__xludf.DUMMYFUNCTION("""COMPUTED_VALUE"""),1)</f>
        <v>1</v>
      </c>
    </row>
    <row r="1133" spans="1:5" ht="13">
      <c r="A1133" s="8" t="str">
        <f ca="1">IFERROR(__xludf.DUMMYFUNCTION("""COMPUTED_VALUE"""),"Bryant, Steven")</f>
        <v>Bryant, Steven</v>
      </c>
      <c r="B1133" s="3">
        <f ca="1">IFERROR(__xludf.DUMMYFUNCTION("""COMPUTED_VALUE"""),1)</f>
        <v>1</v>
      </c>
      <c r="C1133" s="7">
        <f ca="1">IFERROR(__xludf.DUMMYFUNCTION("""COMPUTED_VALUE"""),1)</f>
        <v>1</v>
      </c>
      <c r="D1133" s="8">
        <f ca="1">IFERROR(__xludf.DUMMYFUNCTION("""COMPUTED_VALUE"""),1)</f>
        <v>1</v>
      </c>
      <c r="E1133" s="2">
        <f ca="1">IFERROR(__xludf.DUMMYFUNCTION("""COMPUTED_VALUE"""),1)</f>
        <v>1</v>
      </c>
    </row>
    <row r="1134" spans="1:5" ht="13">
      <c r="A1134" s="8" t="str">
        <f ca="1">IFERROR(__xludf.DUMMYFUNCTION("""COMPUTED_VALUE"""),"Brymer, Mark")</f>
        <v>Brymer, Mark</v>
      </c>
      <c r="B1134" s="3">
        <f ca="1">IFERROR(__xludf.DUMMYFUNCTION("""COMPUTED_VALUE"""),1)</f>
        <v>1</v>
      </c>
      <c r="C1134" s="7">
        <f ca="1">IFERROR(__xludf.DUMMYFUNCTION("""COMPUTED_VALUE"""),1)</f>
        <v>1</v>
      </c>
      <c r="D1134" s="8">
        <f ca="1">IFERROR(__xludf.DUMMYFUNCTION("""COMPUTED_VALUE"""),1)</f>
        <v>1</v>
      </c>
      <c r="E1134" s="2">
        <f ca="1">IFERROR(__xludf.DUMMYFUNCTION("""COMPUTED_VALUE"""),1)</f>
        <v>1</v>
      </c>
    </row>
    <row r="1135" spans="1:5" ht="13">
      <c r="A1135" s="2" t="str">
        <f ca="1">IFERROR(__xludf.DUMMYFUNCTION("""COMPUTED_VALUE"""),"Bryson, Julian")</f>
        <v>Bryson, Julian</v>
      </c>
      <c r="B1135" s="2">
        <f ca="1">IFERROR(__xludf.DUMMYFUNCTION("""COMPUTED_VALUE"""),1)</f>
        <v>1</v>
      </c>
      <c r="C1135" s="7">
        <f ca="1">IFERROR(__xludf.DUMMYFUNCTION("""COMPUTED_VALUE"""),1)</f>
        <v>1</v>
      </c>
      <c r="D1135" s="8">
        <f ca="1">IFERROR(__xludf.DUMMYFUNCTION("""COMPUTED_VALUE"""),1)</f>
        <v>1</v>
      </c>
      <c r="E1135" s="2">
        <f ca="1">IFERROR(__xludf.DUMMYFUNCTION("""COMPUTED_VALUE"""),1)</f>
        <v>1</v>
      </c>
    </row>
    <row r="1136" spans="1:5" ht="13">
      <c r="A1136" s="2" t="str">
        <f ca="1">IFERROR(__xludf.DUMMYFUNCTION("""COMPUTED_VALUE"""),"Bubbett, Jon")</f>
        <v>Bubbett, Jon</v>
      </c>
      <c r="B1136" s="3">
        <f ca="1">IFERROR(__xludf.DUMMYFUNCTION("""COMPUTED_VALUE"""),1)</f>
        <v>1</v>
      </c>
      <c r="C1136" s="7">
        <f ca="1">IFERROR(__xludf.DUMMYFUNCTION("""COMPUTED_VALUE"""),1)</f>
        <v>1</v>
      </c>
      <c r="D1136" s="8">
        <f ca="1">IFERROR(__xludf.DUMMYFUNCTION("""COMPUTED_VALUE"""),1)</f>
        <v>1</v>
      </c>
      <c r="E1136" s="2">
        <f ca="1">IFERROR(__xludf.DUMMYFUNCTION("""COMPUTED_VALUE"""),1)</f>
        <v>1</v>
      </c>
    </row>
    <row r="1137" spans="1:5" ht="13">
      <c r="A1137" s="2" t="str">
        <f ca="1">IFERROR(__xludf.DUMMYFUNCTION("""COMPUTED_VALUE"""),"Bucalossi, Ernest")</f>
        <v>Bucalossi, Ernest</v>
      </c>
      <c r="B1137" s="2">
        <f ca="1">IFERROR(__xludf.DUMMYFUNCTION("""COMPUTED_VALUE"""),1)</f>
        <v>1</v>
      </c>
      <c r="C1137" s="7">
        <f ca="1">IFERROR(__xludf.DUMMYFUNCTION("""COMPUTED_VALUE"""),1)</f>
        <v>1</v>
      </c>
      <c r="D1137" s="8">
        <f ca="1">IFERROR(__xludf.DUMMYFUNCTION("""COMPUTED_VALUE"""),5)</f>
        <v>5</v>
      </c>
      <c r="E1137" s="2">
        <f ca="1">IFERROR(__xludf.DUMMYFUNCTION("""COMPUTED_VALUE"""),2)</f>
        <v>2</v>
      </c>
    </row>
    <row r="1138" spans="1:5" ht="13">
      <c r="A1138" s="2" t="str">
        <f ca="1">IFERROR(__xludf.DUMMYFUNCTION("""COMPUTED_VALUE"""),"Bucci, Thomas")</f>
        <v>Bucci, Thomas</v>
      </c>
      <c r="B1138" s="3">
        <f ca="1">IFERROR(__xludf.DUMMYFUNCTION("""COMPUTED_VALUE"""),1)</f>
        <v>1</v>
      </c>
      <c r="C1138" s="7">
        <f ca="1">IFERROR(__xludf.DUMMYFUNCTION("""COMPUTED_VALUE"""),1)</f>
        <v>1</v>
      </c>
      <c r="D1138" s="8">
        <f ca="1">IFERROR(__xludf.DUMMYFUNCTION("""COMPUTED_VALUE"""),5)</f>
        <v>5</v>
      </c>
      <c r="E1138" s="2">
        <f ca="1">IFERROR(__xludf.DUMMYFUNCTION("""COMPUTED_VALUE"""),2)</f>
        <v>2</v>
      </c>
    </row>
    <row r="1139" spans="1:5" ht="13">
      <c r="A1139" s="8" t="str">
        <f ca="1">IFERROR(__xludf.DUMMYFUNCTION("""COMPUTED_VALUE"""),"Bucci, Thomas V.")</f>
        <v>Bucci, Thomas V.</v>
      </c>
      <c r="B1139" s="3">
        <f ca="1">IFERROR(__xludf.DUMMYFUNCTION("""COMPUTED_VALUE"""),1)</f>
        <v>1</v>
      </c>
      <c r="C1139" s="7">
        <f ca="1">IFERROR(__xludf.DUMMYFUNCTION("""COMPUTED_VALUE"""),1)</f>
        <v>1</v>
      </c>
      <c r="D1139" s="8">
        <f ca="1">IFERROR(__xludf.DUMMYFUNCTION("""COMPUTED_VALUE"""),5)</f>
        <v>5</v>
      </c>
      <c r="E1139" s="2">
        <f ca="1">IFERROR(__xludf.DUMMYFUNCTION("""COMPUTED_VALUE"""),2)</f>
        <v>2</v>
      </c>
    </row>
    <row r="1140" spans="1:5" ht="13">
      <c r="A1140" s="2" t="str">
        <f ca="1">IFERROR(__xludf.DUMMYFUNCTION("""COMPUTED_VALUE"""),"Buchanan, Christopher")</f>
        <v>Buchanan, Christopher</v>
      </c>
      <c r="B1140" s="3">
        <f ca="1">IFERROR(__xludf.DUMMYFUNCTION("""COMPUTED_VALUE"""),1)</f>
        <v>1</v>
      </c>
      <c r="C1140" s="7">
        <f ca="1">IFERROR(__xludf.DUMMYFUNCTION("""COMPUTED_VALUE"""),1)</f>
        <v>1</v>
      </c>
      <c r="D1140" s="8">
        <f ca="1">IFERROR(__xludf.DUMMYFUNCTION("""COMPUTED_VALUE"""),1)</f>
        <v>1</v>
      </c>
      <c r="E1140" s="2">
        <f ca="1">IFERROR(__xludf.DUMMYFUNCTION("""COMPUTED_VALUE"""),1)</f>
        <v>1</v>
      </c>
    </row>
    <row r="1141" spans="1:5" ht="13">
      <c r="A1141" s="2" t="str">
        <f ca="1">IFERROR(__xludf.DUMMYFUNCTION("""COMPUTED_VALUE"""),"Buchtel, Forrest")</f>
        <v>Buchtel, Forrest</v>
      </c>
      <c r="B1141" s="3">
        <f ca="1">IFERROR(__xludf.DUMMYFUNCTION("""COMPUTED_VALUE"""),1)</f>
        <v>1</v>
      </c>
      <c r="C1141" s="7">
        <f ca="1">IFERROR(__xludf.DUMMYFUNCTION("""COMPUTED_VALUE"""),1)</f>
        <v>1</v>
      </c>
      <c r="D1141" s="8">
        <f ca="1">IFERROR(__xludf.DUMMYFUNCTION("""COMPUTED_VALUE"""),5)</f>
        <v>5</v>
      </c>
      <c r="E1141" s="3">
        <f ca="1">IFERROR(__xludf.DUMMYFUNCTION("""COMPUTED_VALUE"""),2)</f>
        <v>2</v>
      </c>
    </row>
    <row r="1142" spans="1:5" ht="13">
      <c r="A1142" s="8" t="str">
        <f ca="1">IFERROR(__xludf.DUMMYFUNCTION("""COMPUTED_VALUE"""),"Buck, Dudley")</f>
        <v>Buck, Dudley</v>
      </c>
      <c r="B1142" s="3">
        <f ca="1">IFERROR(__xludf.DUMMYFUNCTION("""COMPUTED_VALUE"""),1)</f>
        <v>1</v>
      </c>
      <c r="C1142" s="7">
        <f ca="1">IFERROR(__xludf.DUMMYFUNCTION("""COMPUTED_VALUE"""),1)</f>
        <v>1</v>
      </c>
      <c r="D1142" s="8">
        <f ca="1">IFERROR(__xludf.DUMMYFUNCTION("""COMPUTED_VALUE"""),5)</f>
        <v>5</v>
      </c>
      <c r="E1142" s="2">
        <f ca="1">IFERROR(__xludf.DUMMYFUNCTION("""COMPUTED_VALUE"""),2)</f>
        <v>2</v>
      </c>
    </row>
    <row r="1143" spans="1:5" ht="13">
      <c r="A1143" s="2" t="str">
        <f ca="1">IFERROR(__xludf.DUMMYFUNCTION("""COMPUTED_VALUE"""),"Buckley, Lewis J.")</f>
        <v>Buckley, Lewis J.</v>
      </c>
      <c r="B1143" s="3">
        <f ca="1">IFERROR(__xludf.DUMMYFUNCTION("""COMPUTED_VALUE"""),1)</f>
        <v>1</v>
      </c>
      <c r="C1143" s="7">
        <f ca="1">IFERROR(__xludf.DUMMYFUNCTION("""COMPUTED_VALUE"""),1)</f>
        <v>1</v>
      </c>
      <c r="D1143" s="8">
        <f ca="1">IFERROR(__xludf.DUMMYFUNCTION("""COMPUTED_VALUE"""),1)</f>
        <v>1</v>
      </c>
      <c r="E1143" s="2">
        <f ca="1">IFERROR(__xludf.DUMMYFUNCTION("""COMPUTED_VALUE"""),1)</f>
        <v>1</v>
      </c>
    </row>
    <row r="1144" spans="1:5" ht="13">
      <c r="A1144" s="2" t="str">
        <f ca="1">IFERROR(__xludf.DUMMYFUNCTION("""COMPUTED_VALUE"""),"Buckley, Lewis J.")</f>
        <v>Buckley, Lewis J.</v>
      </c>
      <c r="B1144" s="3">
        <f ca="1">IFERROR(__xludf.DUMMYFUNCTION("""COMPUTED_VALUE"""),1)</f>
        <v>1</v>
      </c>
      <c r="C1144" s="7">
        <f ca="1">IFERROR(__xludf.DUMMYFUNCTION("""COMPUTED_VALUE"""),1)</f>
        <v>1</v>
      </c>
      <c r="D1144" s="8">
        <f ca="1">IFERROR(__xludf.DUMMYFUNCTION("""COMPUTED_VALUE"""),5)</f>
        <v>5</v>
      </c>
      <c r="E1144" s="2">
        <f ca="1">IFERROR(__xludf.DUMMYFUNCTION("""COMPUTED_VALUE"""),2)</f>
        <v>2</v>
      </c>
    </row>
    <row r="1145" spans="1:5" ht="13">
      <c r="A1145" s="8" t="str">
        <f ca="1">IFERROR(__xludf.DUMMYFUNCTION("""COMPUTED_VALUE"""),"Buckley, Robert")</f>
        <v>Buckley, Robert</v>
      </c>
      <c r="B1145" s="3">
        <f ca="1">IFERROR(__xludf.DUMMYFUNCTION("""COMPUTED_VALUE"""),1)</f>
        <v>1</v>
      </c>
      <c r="C1145" s="7">
        <f ca="1">IFERROR(__xludf.DUMMYFUNCTION("""COMPUTED_VALUE"""),1)</f>
        <v>1</v>
      </c>
      <c r="D1145" s="8">
        <f ca="1">IFERROR(__xludf.DUMMYFUNCTION("""COMPUTED_VALUE"""),1)</f>
        <v>1</v>
      </c>
      <c r="E1145" s="2">
        <f ca="1">IFERROR(__xludf.DUMMYFUNCTION("""COMPUTED_VALUE"""),1)</f>
        <v>1</v>
      </c>
    </row>
    <row r="1146" spans="1:5" ht="13">
      <c r="A1146" s="2" t="str">
        <f ca="1">IFERROR(__xludf.DUMMYFUNCTION("""COMPUTED_VALUE"""),"Buffa, Todd")</f>
        <v>Buffa, Todd</v>
      </c>
      <c r="B1146" s="3">
        <f ca="1">IFERROR(__xludf.DUMMYFUNCTION("""COMPUTED_VALUE"""),1)</f>
        <v>1</v>
      </c>
      <c r="C1146" s="7">
        <f ca="1">IFERROR(__xludf.DUMMYFUNCTION("""COMPUTED_VALUE"""),1)</f>
        <v>1</v>
      </c>
      <c r="D1146" s="8">
        <f ca="1">IFERROR(__xludf.DUMMYFUNCTION("""COMPUTED_VALUE"""),5)</f>
        <v>5</v>
      </c>
      <c r="E1146" s="2">
        <f ca="1">IFERROR(__xludf.DUMMYFUNCTION("""COMPUTED_VALUE"""),2)</f>
        <v>2</v>
      </c>
    </row>
    <row r="1147" spans="1:5" ht="13">
      <c r="A1147" s="2" t="str">
        <f ca="1">IFERROR(__xludf.DUMMYFUNCTION("""COMPUTED_VALUE"""),"Bukin, Daniel")</f>
        <v>Bukin, Daniel</v>
      </c>
      <c r="B1147" s="3">
        <f ca="1">IFERROR(__xludf.DUMMYFUNCTION("""COMPUTED_VALUE"""),1)</f>
        <v>1</v>
      </c>
      <c r="C1147" s="7">
        <f ca="1">IFERROR(__xludf.DUMMYFUNCTION("""COMPUTED_VALUE"""),1)</f>
        <v>1</v>
      </c>
      <c r="D1147" s="8">
        <f ca="1">IFERROR(__xludf.DUMMYFUNCTION("""COMPUTED_VALUE"""),1)</f>
        <v>1</v>
      </c>
      <c r="E1147" s="2">
        <f ca="1">IFERROR(__xludf.DUMMYFUNCTION("""COMPUTED_VALUE"""),1)</f>
        <v>1</v>
      </c>
    </row>
    <row r="1148" spans="1:5" ht="13">
      <c r="A1148" s="8" t="str">
        <f ca="1">IFERROR(__xludf.DUMMYFUNCTION("""COMPUTED_VALUE"""),"Bukvich, Daniel")</f>
        <v>Bukvich, Daniel</v>
      </c>
      <c r="B1148" s="3">
        <f ca="1">IFERROR(__xludf.DUMMYFUNCTION("""COMPUTED_VALUE"""),1)</f>
        <v>1</v>
      </c>
      <c r="C1148" s="7">
        <f ca="1">IFERROR(__xludf.DUMMYFUNCTION("""COMPUTED_VALUE"""),1)</f>
        <v>1</v>
      </c>
      <c r="D1148" s="8">
        <f ca="1">IFERROR(__xludf.DUMMYFUNCTION("""COMPUTED_VALUE"""),1)</f>
        <v>1</v>
      </c>
      <c r="E1148" s="2">
        <f ca="1">IFERROR(__xludf.DUMMYFUNCTION("""COMPUTED_VALUE"""),1)</f>
        <v>1</v>
      </c>
    </row>
    <row r="1149" spans="1:5" ht="13">
      <c r="A1149" s="2" t="str">
        <f ca="1">IFERROR(__xludf.DUMMYFUNCTION("""COMPUTED_VALUE"""),"Bull, John")</f>
        <v>Bull, John</v>
      </c>
      <c r="B1149" s="2">
        <f ca="1">IFERROR(__xludf.DUMMYFUNCTION("""COMPUTED_VALUE"""),1)</f>
        <v>1</v>
      </c>
      <c r="C1149" s="7">
        <f ca="1">IFERROR(__xludf.DUMMYFUNCTION("""COMPUTED_VALUE"""),1)</f>
        <v>1</v>
      </c>
      <c r="D1149" s="8">
        <f ca="1">IFERROR(__xludf.DUMMYFUNCTION("""COMPUTED_VALUE"""),5)</f>
        <v>5</v>
      </c>
      <c r="E1149" s="2">
        <f ca="1">IFERROR(__xludf.DUMMYFUNCTION("""COMPUTED_VALUE"""),2)</f>
        <v>2</v>
      </c>
    </row>
    <row r="1150" spans="1:5" ht="13">
      <c r="A1150" s="2" t="str">
        <f ca="1">IFERROR(__xludf.DUMMYFUNCTION("""COMPUTED_VALUE"""),"Bull, Ole")</f>
        <v>Bull, Ole</v>
      </c>
      <c r="B1150" s="2">
        <f ca="1">IFERROR(__xludf.DUMMYFUNCTION("""COMPUTED_VALUE"""),1)</f>
        <v>1</v>
      </c>
      <c r="C1150" s="7">
        <f ca="1">IFERROR(__xludf.DUMMYFUNCTION("""COMPUTED_VALUE"""),1)</f>
        <v>1</v>
      </c>
      <c r="D1150" s="8">
        <f ca="1">IFERROR(__xludf.DUMMYFUNCTION("""COMPUTED_VALUE"""),5)</f>
        <v>5</v>
      </c>
      <c r="E1150" s="2">
        <f ca="1">IFERROR(__xludf.DUMMYFUNCTION("""COMPUTED_VALUE"""),2)</f>
        <v>2</v>
      </c>
    </row>
    <row r="1151" spans="1:5" ht="13">
      <c r="A1151" s="8" t="str">
        <f ca="1">IFERROR(__xludf.DUMMYFUNCTION("""COMPUTED_VALUE"""),"Bulla, Stephen")</f>
        <v>Bulla, Stephen</v>
      </c>
      <c r="B1151" s="3">
        <f ca="1">IFERROR(__xludf.DUMMYFUNCTION("""COMPUTED_VALUE"""),1)</f>
        <v>1</v>
      </c>
      <c r="C1151" s="7">
        <f ca="1">IFERROR(__xludf.DUMMYFUNCTION("""COMPUTED_VALUE"""),1)</f>
        <v>1</v>
      </c>
      <c r="D1151" s="8">
        <f ca="1">IFERROR(__xludf.DUMMYFUNCTION("""COMPUTED_VALUE"""),1)</f>
        <v>1</v>
      </c>
      <c r="E1151" s="2">
        <f ca="1">IFERROR(__xludf.DUMMYFUNCTION("""COMPUTED_VALUE"""),1)</f>
        <v>1</v>
      </c>
    </row>
    <row r="1152" spans="1:5" ht="13">
      <c r="A1152" s="2" t="str">
        <f ca="1">IFERROR(__xludf.DUMMYFUNCTION("""COMPUTED_VALUE"""),"Bullard, Alan")</f>
        <v>Bullard, Alan</v>
      </c>
      <c r="B1152" s="3">
        <f ca="1">IFERROR(__xludf.DUMMYFUNCTION("""COMPUTED_VALUE"""),1)</f>
        <v>1</v>
      </c>
      <c r="C1152" s="7">
        <f ca="1">IFERROR(__xludf.DUMMYFUNCTION("""COMPUTED_VALUE"""),1)</f>
        <v>1</v>
      </c>
      <c r="D1152" s="8">
        <f ca="1">IFERROR(__xludf.DUMMYFUNCTION("""COMPUTED_VALUE"""),1)</f>
        <v>1</v>
      </c>
      <c r="E1152" s="2">
        <f ca="1">IFERROR(__xludf.DUMMYFUNCTION("""COMPUTED_VALUE"""),1)</f>
        <v>1</v>
      </c>
    </row>
    <row r="1153" spans="1:5" ht="13">
      <c r="A1153" s="8" t="str">
        <f ca="1">IFERROR(__xludf.DUMMYFUNCTION("""COMPUTED_VALUE"""),"Buller, Mark")</f>
        <v>Buller, Mark</v>
      </c>
      <c r="B1153" s="3">
        <f ca="1">IFERROR(__xludf.DUMMYFUNCTION("""COMPUTED_VALUE"""),1)</f>
        <v>1</v>
      </c>
      <c r="C1153" s="7">
        <f ca="1">IFERROR(__xludf.DUMMYFUNCTION("""COMPUTED_VALUE"""),1)</f>
        <v>1</v>
      </c>
      <c r="D1153" s="8">
        <f ca="1">IFERROR(__xludf.DUMMYFUNCTION("""COMPUTED_VALUE"""),1)</f>
        <v>1</v>
      </c>
      <c r="E1153" s="2">
        <f ca="1">IFERROR(__xludf.DUMMYFUNCTION("""COMPUTED_VALUE"""),1)</f>
        <v>1</v>
      </c>
    </row>
    <row r="1154" spans="1:5" ht="13">
      <c r="A1154" s="8" t="str">
        <f ca="1">IFERROR(__xludf.DUMMYFUNCTION("""COMPUTED_VALUE"""),"Bullock, Jack")</f>
        <v>Bullock, Jack</v>
      </c>
      <c r="B1154" s="3">
        <f ca="1">IFERROR(__xludf.DUMMYFUNCTION("""COMPUTED_VALUE"""),1)</f>
        <v>1</v>
      </c>
      <c r="C1154" s="7">
        <f ca="1">IFERROR(__xludf.DUMMYFUNCTION("""COMPUTED_VALUE"""),1)</f>
        <v>1</v>
      </c>
      <c r="D1154" s="8">
        <f ca="1">IFERROR(__xludf.DUMMYFUNCTION("""COMPUTED_VALUE"""),1)</f>
        <v>1</v>
      </c>
      <c r="E1154" s="2">
        <f ca="1">IFERROR(__xludf.DUMMYFUNCTION("""COMPUTED_VALUE"""),1)</f>
        <v>1</v>
      </c>
    </row>
    <row r="1155" spans="1:5" ht="13">
      <c r="A1155" s="2" t="str">
        <f ca="1">IFERROR(__xludf.DUMMYFUNCTION("""COMPUTED_VALUE"""),"Bullock, Waymon")</f>
        <v>Bullock, Waymon</v>
      </c>
      <c r="B1155" s="3">
        <f ca="1">IFERROR(__xludf.DUMMYFUNCTION("""COMPUTED_VALUE"""),1)</f>
        <v>1</v>
      </c>
      <c r="C1155" s="7">
        <f ca="1">IFERROR(__xludf.DUMMYFUNCTION("""COMPUTED_VALUE"""),1)</f>
        <v>1</v>
      </c>
      <c r="D1155" s="8">
        <f ca="1">IFERROR(__xludf.DUMMYFUNCTION("""COMPUTED_VALUE"""),5)</f>
        <v>5</v>
      </c>
      <c r="E1155" s="2">
        <f ca="1">IFERROR(__xludf.DUMMYFUNCTION("""COMPUTED_VALUE"""),2)</f>
        <v>2</v>
      </c>
    </row>
    <row r="1156" spans="1:5" ht="13">
      <c r="A1156" s="2" t="str">
        <f ca="1">IFERROR(__xludf.DUMMYFUNCTION("""COMPUTED_VALUE"""),"Bullock, William J.")</f>
        <v>Bullock, William J.</v>
      </c>
      <c r="B1156" s="3">
        <f ca="1">IFERROR(__xludf.DUMMYFUNCTION("""COMPUTED_VALUE"""),1)</f>
        <v>1</v>
      </c>
      <c r="C1156" s="7">
        <f ca="1">IFERROR(__xludf.DUMMYFUNCTION("""COMPUTED_VALUE"""),1)</f>
        <v>1</v>
      </c>
      <c r="D1156" s="8">
        <f ca="1">IFERROR(__xludf.DUMMYFUNCTION("""COMPUTED_VALUE"""),1)</f>
        <v>1</v>
      </c>
      <c r="E1156" s="2">
        <f ca="1">IFERROR(__xludf.DUMMYFUNCTION("""COMPUTED_VALUE"""),1)</f>
        <v>1</v>
      </c>
    </row>
    <row r="1157" spans="1:5" ht="13">
      <c r="A1157" s="8" t="str">
        <f ca="1">IFERROR(__xludf.DUMMYFUNCTION("""COMPUTED_VALUE"""),"Bummerl, Franz")</f>
        <v>Bummerl, Franz</v>
      </c>
      <c r="B1157" s="3">
        <f ca="1">IFERROR(__xludf.DUMMYFUNCTION("""COMPUTED_VALUE"""),1)</f>
        <v>1</v>
      </c>
      <c r="C1157" s="7">
        <f ca="1">IFERROR(__xludf.DUMMYFUNCTION("""COMPUTED_VALUE"""),1)</f>
        <v>1</v>
      </c>
      <c r="D1157" s="8">
        <f ca="1">IFERROR(__xludf.DUMMYFUNCTION("""COMPUTED_VALUE"""),5)</f>
        <v>5</v>
      </c>
      <c r="E1157" s="2">
        <f ca="1">IFERROR(__xludf.DUMMYFUNCTION("""COMPUTED_VALUE"""),2)</f>
        <v>2</v>
      </c>
    </row>
    <row r="1158" spans="1:5" ht="13">
      <c r="A1158" s="8" t="str">
        <f ca="1">IFERROR(__xludf.DUMMYFUNCTION("""COMPUTED_VALUE"""),"Bune, Robert")</f>
        <v>Bune, Robert</v>
      </c>
      <c r="B1158" s="3">
        <f ca="1">IFERROR(__xludf.DUMMYFUNCTION("""COMPUTED_VALUE"""),1)</f>
        <v>1</v>
      </c>
      <c r="C1158" s="7">
        <f ca="1">IFERROR(__xludf.DUMMYFUNCTION("""COMPUTED_VALUE"""),1)</f>
        <v>1</v>
      </c>
      <c r="D1158" s="8">
        <f ca="1">IFERROR(__xludf.DUMMYFUNCTION("""COMPUTED_VALUE"""),5)</f>
        <v>5</v>
      </c>
      <c r="E1158" s="2">
        <f ca="1">IFERROR(__xludf.DUMMYFUNCTION("""COMPUTED_VALUE"""),2)</f>
        <v>2</v>
      </c>
    </row>
    <row r="1159" spans="1:5" ht="13">
      <c r="A1159" s="2" t="str">
        <f ca="1">IFERROR(__xludf.DUMMYFUNCTION("""COMPUTED_VALUE"""),"Bunjes, Paul")</f>
        <v>Bunjes, Paul</v>
      </c>
      <c r="B1159" s="2">
        <f ca="1">IFERROR(__xludf.DUMMYFUNCTION("""COMPUTED_VALUE"""),1)</f>
        <v>1</v>
      </c>
      <c r="C1159" s="2">
        <f ca="1">IFERROR(__xludf.DUMMYFUNCTION("""COMPUTED_VALUE"""),1)</f>
        <v>1</v>
      </c>
      <c r="D1159" s="8">
        <f ca="1">IFERROR(__xludf.DUMMYFUNCTION("""COMPUTED_VALUE"""),5)</f>
        <v>5</v>
      </c>
      <c r="E1159" s="2">
        <f ca="1">IFERROR(__xludf.DUMMYFUNCTION("""COMPUTED_VALUE"""),2)</f>
        <v>2</v>
      </c>
    </row>
    <row r="1160" spans="1:5" ht="13">
      <c r="A1160" s="2" t="str">
        <f ca="1">IFERROR(__xludf.DUMMYFUNCTION("""COMPUTED_VALUE"""),"Bunting, Christopher")</f>
        <v>Bunting, Christopher</v>
      </c>
      <c r="B1160" s="3">
        <f ca="1">IFERROR(__xludf.DUMMYFUNCTION("""COMPUTED_VALUE"""),1)</f>
        <v>1</v>
      </c>
      <c r="C1160" s="7">
        <f ca="1">IFERROR(__xludf.DUMMYFUNCTION("""COMPUTED_VALUE"""),1)</f>
        <v>1</v>
      </c>
      <c r="D1160" s="8">
        <f ca="1">IFERROR(__xludf.DUMMYFUNCTION("""COMPUTED_VALUE"""),5)</f>
        <v>5</v>
      </c>
      <c r="E1160" s="2">
        <f ca="1">IFERROR(__xludf.DUMMYFUNCTION("""COMPUTED_VALUE"""),2)</f>
        <v>2</v>
      </c>
    </row>
    <row r="1161" spans="1:5" ht="13">
      <c r="A1161" s="2" t="str">
        <f ca="1">IFERROR(__xludf.DUMMYFUNCTION("""COMPUTED_VALUE"""),"Buono, Joe")</f>
        <v>Buono, Joe</v>
      </c>
      <c r="B1161" s="3">
        <f ca="1">IFERROR(__xludf.DUMMYFUNCTION("""COMPUTED_VALUE"""),1)</f>
        <v>1</v>
      </c>
      <c r="C1161" s="7">
        <f ca="1">IFERROR(__xludf.DUMMYFUNCTION("""COMPUTED_VALUE"""),1)</f>
        <v>1</v>
      </c>
      <c r="D1161" s="8">
        <f ca="1">IFERROR(__xludf.DUMMYFUNCTION("""COMPUTED_VALUE"""),1)</f>
        <v>1</v>
      </c>
      <c r="E1161" s="2">
        <f ca="1">IFERROR(__xludf.DUMMYFUNCTION("""COMPUTED_VALUE"""),1)</f>
        <v>1</v>
      </c>
    </row>
    <row r="1162" spans="1:5" ht="13">
      <c r="A1162" s="8" t="str">
        <f ca="1">IFERROR(__xludf.DUMMYFUNCTION("""COMPUTED_VALUE"""),"Burch, Stephen W.")</f>
        <v>Burch, Stephen W.</v>
      </c>
      <c r="B1162" s="3">
        <f ca="1">IFERROR(__xludf.DUMMYFUNCTION("""COMPUTED_VALUE"""),1)</f>
        <v>1</v>
      </c>
      <c r="C1162" s="7">
        <f ca="1">IFERROR(__xludf.DUMMYFUNCTION("""COMPUTED_VALUE"""),1)</f>
        <v>1</v>
      </c>
      <c r="D1162" s="8">
        <f ca="1">IFERROR(__xludf.DUMMYFUNCTION("""COMPUTED_VALUE"""),1)</f>
        <v>1</v>
      </c>
      <c r="E1162" s="2">
        <f ca="1">IFERROR(__xludf.DUMMYFUNCTION("""COMPUTED_VALUE"""),1)</f>
        <v>1</v>
      </c>
    </row>
    <row r="1163" spans="1:5" ht="13">
      <c r="A1163" s="2" t="str">
        <f ca="1">IFERROR(__xludf.DUMMYFUNCTION("""COMPUTED_VALUE"""),"Burchard, Richard")</f>
        <v>Burchard, Richard</v>
      </c>
      <c r="B1163" s="2">
        <f ca="1">IFERROR(__xludf.DUMMYFUNCTION("""COMPUTED_VALUE"""),1)</f>
        <v>1</v>
      </c>
      <c r="C1163" s="7">
        <f ca="1">IFERROR(__xludf.DUMMYFUNCTION("""COMPUTED_VALUE"""),1)</f>
        <v>1</v>
      </c>
      <c r="D1163" s="8">
        <f ca="1">IFERROR(__xludf.DUMMYFUNCTION("""COMPUTED_VALUE"""),1)</f>
        <v>1</v>
      </c>
      <c r="E1163" s="2">
        <f ca="1">IFERROR(__xludf.DUMMYFUNCTION("""COMPUTED_VALUE"""),1)</f>
        <v>1</v>
      </c>
    </row>
    <row r="1164" spans="1:5" ht="13">
      <c r="A1164" s="2" t="str">
        <f ca="1">IFERROR(__xludf.DUMMYFUNCTION("""COMPUTED_VALUE"""),"Burck, Joachim von")</f>
        <v>Burck, Joachim von</v>
      </c>
      <c r="B1164" s="3">
        <f ca="1">IFERROR(__xludf.DUMMYFUNCTION("""COMPUTED_VALUE"""),1)</f>
        <v>1</v>
      </c>
      <c r="C1164" s="7">
        <f ca="1">IFERROR(__xludf.DUMMYFUNCTION("""COMPUTED_VALUE"""),1)</f>
        <v>1</v>
      </c>
      <c r="D1164" s="8">
        <f ca="1">IFERROR(__xludf.DUMMYFUNCTION("""COMPUTED_VALUE"""),1)</f>
        <v>1</v>
      </c>
      <c r="E1164" s="2">
        <f ca="1">IFERROR(__xludf.DUMMYFUNCTION("""COMPUTED_VALUE"""),1)</f>
        <v>1</v>
      </c>
    </row>
    <row r="1165" spans="1:5" ht="13">
      <c r="A1165" s="2" t="str">
        <f ca="1">IFERROR(__xludf.DUMMYFUNCTION("""COMPUTED_VALUE"""),"Burge, John")</f>
        <v>Burge, John</v>
      </c>
      <c r="B1165" s="3">
        <f ca="1">IFERROR(__xludf.DUMMYFUNCTION("""COMPUTED_VALUE"""),1)</f>
        <v>1</v>
      </c>
      <c r="C1165" s="7">
        <f ca="1">IFERROR(__xludf.DUMMYFUNCTION("""COMPUTED_VALUE"""),1)</f>
        <v>1</v>
      </c>
      <c r="D1165" s="8">
        <f ca="1">IFERROR(__xludf.DUMMYFUNCTION("""COMPUTED_VALUE"""),1)</f>
        <v>1</v>
      </c>
      <c r="E1165" s="2">
        <f ca="1">IFERROR(__xludf.DUMMYFUNCTION("""COMPUTED_VALUE"""),1)</f>
        <v>1</v>
      </c>
    </row>
    <row r="1166" spans="1:5" ht="13">
      <c r="A1166" s="2" t="str">
        <f ca="1">IFERROR(__xludf.DUMMYFUNCTION("""COMPUTED_VALUE"""),"Burger, Dave")</f>
        <v>Burger, Dave</v>
      </c>
      <c r="B1166" s="3">
        <f ca="1">IFERROR(__xludf.DUMMYFUNCTION("""COMPUTED_VALUE"""),1)</f>
        <v>1</v>
      </c>
      <c r="C1166" s="7">
        <f ca="1">IFERROR(__xludf.DUMMYFUNCTION("""COMPUTED_VALUE"""),1)</f>
        <v>1</v>
      </c>
      <c r="D1166" s="8">
        <f ca="1">IFERROR(__xludf.DUMMYFUNCTION("""COMPUTED_VALUE"""),1)</f>
        <v>1</v>
      </c>
      <c r="E1166" s="2">
        <f ca="1">IFERROR(__xludf.DUMMYFUNCTION("""COMPUTED_VALUE"""),1)</f>
        <v>1</v>
      </c>
    </row>
    <row r="1167" spans="1:5" ht="13">
      <c r="A1167" s="2" t="str">
        <f ca="1">IFERROR(__xludf.DUMMYFUNCTION("""COMPUTED_VALUE"""),"Burger, Eric")</f>
        <v>Burger, Eric</v>
      </c>
      <c r="B1167" s="3">
        <f ca="1">IFERROR(__xludf.DUMMYFUNCTION("""COMPUTED_VALUE"""),1)</f>
        <v>1</v>
      </c>
      <c r="C1167" s="7">
        <f ca="1">IFERROR(__xludf.DUMMYFUNCTION("""COMPUTED_VALUE"""),1)</f>
        <v>1</v>
      </c>
      <c r="D1167" s="8">
        <f ca="1">IFERROR(__xludf.DUMMYFUNCTION("""COMPUTED_VALUE"""),1)</f>
        <v>1</v>
      </c>
      <c r="E1167" s="2">
        <f ca="1">IFERROR(__xludf.DUMMYFUNCTION("""COMPUTED_VALUE"""),1)</f>
        <v>1</v>
      </c>
    </row>
    <row r="1168" spans="1:5" ht="13">
      <c r="A1168" s="2" t="str">
        <f ca="1">IFERROR(__xludf.DUMMYFUNCTION("""COMPUTED_VALUE"""),"Burgess, Andrew")</f>
        <v>Burgess, Andrew</v>
      </c>
      <c r="B1168" s="2">
        <f ca="1">IFERROR(__xludf.DUMMYFUNCTION("""COMPUTED_VALUE"""),1)</f>
        <v>1</v>
      </c>
      <c r="C1168" s="2">
        <f ca="1">IFERROR(__xludf.DUMMYFUNCTION("""COMPUTED_VALUE"""),1)</f>
        <v>1</v>
      </c>
      <c r="D1168" s="8">
        <f ca="1">IFERROR(__xludf.DUMMYFUNCTION("""COMPUTED_VALUE"""),5)</f>
        <v>5</v>
      </c>
      <c r="E1168" s="2">
        <f ca="1">IFERROR(__xludf.DUMMYFUNCTION("""COMPUTED_VALUE"""),2)</f>
        <v>2</v>
      </c>
    </row>
    <row r="1169" spans="1:5" ht="13">
      <c r="A1169" s="2" t="str">
        <f ca="1">IFERROR(__xludf.DUMMYFUNCTION("""COMPUTED_VALUE"""),"Burgess, Anthony")</f>
        <v>Burgess, Anthony</v>
      </c>
      <c r="B1169" s="3">
        <f ca="1">IFERROR(__xludf.DUMMYFUNCTION("""COMPUTED_VALUE"""),1)</f>
        <v>1</v>
      </c>
      <c r="C1169" s="7">
        <f ca="1">IFERROR(__xludf.DUMMYFUNCTION("""COMPUTED_VALUE"""),1)</f>
        <v>1</v>
      </c>
      <c r="D1169" s="8">
        <f ca="1">IFERROR(__xludf.DUMMYFUNCTION("""COMPUTED_VALUE"""),5)</f>
        <v>5</v>
      </c>
      <c r="E1169" s="2">
        <f ca="1">IFERROR(__xludf.DUMMYFUNCTION("""COMPUTED_VALUE"""),2)</f>
        <v>2</v>
      </c>
    </row>
    <row r="1170" spans="1:5" ht="13">
      <c r="A1170" s="8" t="str">
        <f ca="1">IFERROR(__xludf.DUMMYFUNCTION("""COMPUTED_VALUE"""),"Burgmüller, Friedrich")</f>
        <v>Burgmüller, Friedrich</v>
      </c>
      <c r="B1170" s="3">
        <f ca="1">IFERROR(__xludf.DUMMYFUNCTION("""COMPUTED_VALUE"""),1)</f>
        <v>1</v>
      </c>
      <c r="C1170" s="7">
        <f ca="1">IFERROR(__xludf.DUMMYFUNCTION("""COMPUTED_VALUE"""),1)</f>
        <v>1</v>
      </c>
      <c r="D1170" s="8">
        <f ca="1">IFERROR(__xludf.DUMMYFUNCTION("""COMPUTED_VALUE"""),5)</f>
        <v>5</v>
      </c>
      <c r="E1170" s="2">
        <f ca="1">IFERROR(__xludf.DUMMYFUNCTION("""COMPUTED_VALUE"""),2)</f>
        <v>2</v>
      </c>
    </row>
    <row r="1171" spans="1:5" ht="13">
      <c r="A1171" s="8" t="str">
        <f ca="1">IFERROR(__xludf.DUMMYFUNCTION("""COMPUTED_VALUE"""),"Burgmuller, Johann")</f>
        <v>Burgmuller, Johann</v>
      </c>
      <c r="B1171" s="3">
        <f ca="1">IFERROR(__xludf.DUMMYFUNCTION("""COMPUTED_VALUE"""),1)</f>
        <v>1</v>
      </c>
      <c r="C1171" s="7">
        <f ca="1">IFERROR(__xludf.DUMMYFUNCTION("""COMPUTED_VALUE"""),1)</f>
        <v>1</v>
      </c>
      <c r="D1171" s="8">
        <f ca="1">IFERROR(__xludf.DUMMYFUNCTION("""COMPUTED_VALUE"""),5)</f>
        <v>5</v>
      </c>
      <c r="E1171" s="2">
        <f ca="1">IFERROR(__xludf.DUMMYFUNCTION("""COMPUTED_VALUE"""),2)</f>
        <v>2</v>
      </c>
    </row>
    <row r="1172" spans="1:5" ht="13">
      <c r="A1172" s="2" t="str">
        <f ca="1">IFERROR(__xludf.DUMMYFUNCTION("""COMPUTED_VALUE"""),"Burke, Johnny")</f>
        <v>Burke, Johnny</v>
      </c>
      <c r="B1172" s="3">
        <f ca="1">IFERROR(__xludf.DUMMYFUNCTION("""COMPUTED_VALUE"""),1)</f>
        <v>1</v>
      </c>
      <c r="C1172" s="7">
        <f ca="1">IFERROR(__xludf.DUMMYFUNCTION("""COMPUTED_VALUE"""),1)</f>
        <v>1</v>
      </c>
      <c r="D1172" s="8">
        <f ca="1">IFERROR(__xludf.DUMMYFUNCTION("""COMPUTED_VALUE"""),5)</f>
        <v>5</v>
      </c>
      <c r="E1172" s="2">
        <f ca="1">IFERROR(__xludf.DUMMYFUNCTION("""COMPUTED_VALUE"""),2)</f>
        <v>2</v>
      </c>
    </row>
    <row r="1173" spans="1:5" ht="13">
      <c r="A1173" s="2" t="str">
        <f ca="1">IFERROR(__xludf.DUMMYFUNCTION("""COMPUTED_VALUE"""),"Burkhardt, Michael")</f>
        <v>Burkhardt, Michael</v>
      </c>
      <c r="B1173" s="3">
        <f ca="1">IFERROR(__xludf.DUMMYFUNCTION("""COMPUTED_VALUE"""),1)</f>
        <v>1</v>
      </c>
      <c r="C1173" s="7">
        <f ca="1">IFERROR(__xludf.DUMMYFUNCTION("""COMPUTED_VALUE"""),1)</f>
        <v>1</v>
      </c>
      <c r="D1173" s="8">
        <f ca="1">IFERROR(__xludf.DUMMYFUNCTION("""COMPUTED_VALUE"""),1)</f>
        <v>1</v>
      </c>
      <c r="E1173" s="2">
        <f ca="1">IFERROR(__xludf.DUMMYFUNCTION("""COMPUTED_VALUE"""),1)</f>
        <v>1</v>
      </c>
    </row>
    <row r="1174" spans="1:5" ht="13">
      <c r="A1174" s="8" t="str">
        <f ca="1">IFERROR(__xludf.DUMMYFUNCTION("""COMPUTED_VALUE"""),"Burkhart, Franz")</f>
        <v>Burkhart, Franz</v>
      </c>
      <c r="B1174" s="3">
        <f ca="1">IFERROR(__xludf.DUMMYFUNCTION("""COMPUTED_VALUE"""),1)</f>
        <v>1</v>
      </c>
      <c r="C1174" s="7">
        <f ca="1">IFERROR(__xludf.DUMMYFUNCTION("""COMPUTED_VALUE"""),1)</f>
        <v>1</v>
      </c>
      <c r="D1174" s="8">
        <f ca="1">IFERROR(__xludf.DUMMYFUNCTION("""COMPUTED_VALUE"""),5)</f>
        <v>5</v>
      </c>
      <c r="E1174" s="2">
        <f ca="1">IFERROR(__xludf.DUMMYFUNCTION("""COMPUTED_VALUE"""),2)</f>
        <v>2</v>
      </c>
    </row>
    <row r="1175" spans="1:5" ht="13">
      <c r="A1175" s="2" t="str">
        <f ca="1">IFERROR(__xludf.DUMMYFUNCTION("""COMPUTED_VALUE"""),"Burkhart, Raymond")</f>
        <v>Burkhart, Raymond</v>
      </c>
      <c r="B1175" s="3">
        <f ca="1">IFERROR(__xludf.DUMMYFUNCTION("""COMPUTED_VALUE"""),1)</f>
        <v>1</v>
      </c>
      <c r="C1175" s="7">
        <f ca="1">IFERROR(__xludf.DUMMYFUNCTION("""COMPUTED_VALUE"""),1)</f>
        <v>1</v>
      </c>
      <c r="D1175" s="8">
        <f ca="1">IFERROR(__xludf.DUMMYFUNCTION("""COMPUTED_VALUE"""),5)</f>
        <v>5</v>
      </c>
      <c r="E1175" s="2">
        <f ca="1">IFERROR(__xludf.DUMMYFUNCTION("""COMPUTED_VALUE"""),2)</f>
        <v>2</v>
      </c>
    </row>
    <row r="1176" spans="1:5" ht="13">
      <c r="A1176" s="2" t="str">
        <f ca="1">IFERROR(__xludf.DUMMYFUNCTION("""COMPUTED_VALUE"""),"Burleigh, Glenn")</f>
        <v>Burleigh, Glenn</v>
      </c>
      <c r="B1176" s="3">
        <f ca="1">IFERROR(__xludf.DUMMYFUNCTION("""COMPUTED_VALUE"""),1)</f>
        <v>1</v>
      </c>
      <c r="C1176" s="7">
        <f ca="1">IFERROR(__xludf.DUMMYFUNCTION("""COMPUTED_VALUE"""),1)</f>
        <v>1</v>
      </c>
      <c r="D1176" s="8">
        <f ca="1">IFERROR(__xludf.DUMMYFUNCTION("""COMPUTED_VALUE"""),5)</f>
        <v>5</v>
      </c>
      <c r="E1176" s="2">
        <f ca="1">IFERROR(__xludf.DUMMYFUNCTION("""COMPUTED_VALUE"""),2)</f>
        <v>2</v>
      </c>
    </row>
    <row r="1177" spans="1:5" ht="13">
      <c r="A1177" s="2" t="str">
        <f ca="1">IFERROR(__xludf.DUMMYFUNCTION("""COMPUTED_VALUE"""),"Burndrett, David")</f>
        <v>Burndrett, David</v>
      </c>
      <c r="B1177" s="3">
        <f ca="1">IFERROR(__xludf.DUMMYFUNCTION("""COMPUTED_VALUE"""),1)</f>
        <v>1</v>
      </c>
      <c r="C1177" s="7">
        <f ca="1">IFERROR(__xludf.DUMMYFUNCTION("""COMPUTED_VALUE"""),1)</f>
        <v>1</v>
      </c>
      <c r="D1177" s="8">
        <f ca="1">IFERROR(__xludf.DUMMYFUNCTION("""COMPUTED_VALUE"""),1)</f>
        <v>1</v>
      </c>
      <c r="E1177" s="2">
        <f ca="1">IFERROR(__xludf.DUMMYFUNCTION("""COMPUTED_VALUE"""),1)</f>
        <v>1</v>
      </c>
    </row>
    <row r="1178" spans="1:5" ht="13">
      <c r="A1178" s="2" t="str">
        <f ca="1">IFERROR(__xludf.DUMMYFUNCTION("""COMPUTED_VALUE"""),"Burnett, Ernie / Norton, George")</f>
        <v>Burnett, Ernie / Norton, George</v>
      </c>
      <c r="B1178" s="3">
        <f ca="1">IFERROR(__xludf.DUMMYFUNCTION("""COMPUTED_VALUE"""),1)</f>
        <v>1</v>
      </c>
      <c r="C1178" s="7">
        <f ca="1">IFERROR(__xludf.DUMMYFUNCTION("""COMPUTED_VALUE"""),1)</f>
        <v>1</v>
      </c>
      <c r="D1178" s="8">
        <f ca="1">IFERROR(__xludf.DUMMYFUNCTION("""COMPUTED_VALUE"""),5)</f>
        <v>5</v>
      </c>
      <c r="E1178" s="2">
        <f ca="1">IFERROR(__xludf.DUMMYFUNCTION("""COMPUTED_VALUE"""),2)</f>
        <v>2</v>
      </c>
    </row>
    <row r="1179" spans="1:5" ht="13">
      <c r="A1179" s="2" t="str">
        <f ca="1">IFERROR(__xludf.DUMMYFUNCTION("""COMPUTED_VALUE"""),"Burnett, Steven")</f>
        <v>Burnett, Steven</v>
      </c>
      <c r="B1179" s="3">
        <f ca="1">IFERROR(__xludf.DUMMYFUNCTION("""COMPUTED_VALUE"""),1)</f>
        <v>1</v>
      </c>
      <c r="C1179" s="7">
        <f ca="1">IFERROR(__xludf.DUMMYFUNCTION("""COMPUTED_VALUE"""),1)</f>
        <v>1</v>
      </c>
      <c r="D1179" s="8">
        <f ca="1">IFERROR(__xludf.DUMMYFUNCTION("""COMPUTED_VALUE"""),1)</f>
        <v>1</v>
      </c>
      <c r="E1179" s="2">
        <f ca="1">IFERROR(__xludf.DUMMYFUNCTION("""COMPUTED_VALUE"""),1)</f>
        <v>1</v>
      </c>
    </row>
    <row r="1180" spans="1:5" ht="13">
      <c r="A1180" s="8" t="str">
        <f ca="1">IFERROR(__xludf.DUMMYFUNCTION("""COMPUTED_VALUE"""),"Burns, Patrick")</f>
        <v>Burns, Patrick</v>
      </c>
      <c r="B1180" s="3">
        <f ca="1">IFERROR(__xludf.DUMMYFUNCTION("""COMPUTED_VALUE"""),1)</f>
        <v>1</v>
      </c>
      <c r="C1180" s="7">
        <f ca="1">IFERROR(__xludf.DUMMYFUNCTION("""COMPUTED_VALUE"""),1)</f>
        <v>1</v>
      </c>
      <c r="D1180" s="8">
        <f ca="1">IFERROR(__xludf.DUMMYFUNCTION("""COMPUTED_VALUE"""),1)</f>
        <v>1</v>
      </c>
      <c r="E1180" s="2">
        <f ca="1">IFERROR(__xludf.DUMMYFUNCTION("""COMPUTED_VALUE"""),1)</f>
        <v>1</v>
      </c>
    </row>
    <row r="1181" spans="1:5" ht="13">
      <c r="A1181" s="2" t="str">
        <f ca="1">IFERROR(__xludf.DUMMYFUNCTION("""COMPUTED_VALUE"""),"Burns, Patrick J.")</f>
        <v>Burns, Patrick J.</v>
      </c>
      <c r="B1181" s="3">
        <f ca="1">IFERROR(__xludf.DUMMYFUNCTION("""COMPUTED_VALUE"""),1)</f>
        <v>1</v>
      </c>
      <c r="C1181" s="7">
        <f ca="1">IFERROR(__xludf.DUMMYFUNCTION("""COMPUTED_VALUE"""),1)</f>
        <v>1</v>
      </c>
      <c r="D1181" s="8">
        <f ca="1">IFERROR(__xludf.DUMMYFUNCTION("""COMPUTED_VALUE"""),1)</f>
        <v>1</v>
      </c>
      <c r="E1181" s="2">
        <f ca="1">IFERROR(__xludf.DUMMYFUNCTION("""COMPUTED_VALUE"""),1)</f>
        <v>1</v>
      </c>
    </row>
    <row r="1182" spans="1:5" ht="13">
      <c r="A1182" s="2" t="str">
        <f ca="1">IFERROR(__xludf.DUMMYFUNCTION("""COMPUTED_VALUE"""),"Burns, Ralph")</f>
        <v>Burns, Ralph</v>
      </c>
      <c r="B1182" s="3">
        <f ca="1">IFERROR(__xludf.DUMMYFUNCTION("""COMPUTED_VALUE"""),1)</f>
        <v>1</v>
      </c>
      <c r="C1182" s="7">
        <f ca="1">IFERROR(__xludf.DUMMYFUNCTION("""COMPUTED_VALUE"""),1)</f>
        <v>1</v>
      </c>
      <c r="D1182" s="8">
        <f ca="1">IFERROR(__xludf.DUMMYFUNCTION("""COMPUTED_VALUE"""),5)</f>
        <v>5</v>
      </c>
      <c r="E1182" s="2">
        <f ca="1">IFERROR(__xludf.DUMMYFUNCTION("""COMPUTED_VALUE"""),2)</f>
        <v>2</v>
      </c>
    </row>
    <row r="1183" spans="1:5" ht="13">
      <c r="A1183" s="8" t="str">
        <f ca="1">IFERROR(__xludf.DUMMYFUNCTION("""COMPUTED_VALUE"""),"Burrell, Howard")</f>
        <v>Burrell, Howard</v>
      </c>
      <c r="B1183" s="3">
        <f ca="1">IFERROR(__xludf.DUMMYFUNCTION("""COMPUTED_VALUE"""),1)</f>
        <v>1</v>
      </c>
      <c r="C1183" s="7">
        <f ca="1">IFERROR(__xludf.DUMMYFUNCTION("""COMPUTED_VALUE"""),1)</f>
        <v>1</v>
      </c>
      <c r="D1183" s="8">
        <f ca="1">IFERROR(__xludf.DUMMYFUNCTION("""COMPUTED_VALUE"""),5)</f>
        <v>5</v>
      </c>
      <c r="E1183" s="2">
        <f ca="1">IFERROR(__xludf.DUMMYFUNCTION("""COMPUTED_VALUE"""),2)</f>
        <v>2</v>
      </c>
    </row>
    <row r="1184" spans="1:5" ht="13">
      <c r="A1184" s="2" t="str">
        <f ca="1">IFERROR(__xludf.DUMMYFUNCTION("""COMPUTED_VALUE"""),"Burritt, Michael")</f>
        <v>Burritt, Michael</v>
      </c>
      <c r="B1184" s="3">
        <f ca="1">IFERROR(__xludf.DUMMYFUNCTION("""COMPUTED_VALUE"""),1)</f>
        <v>1</v>
      </c>
      <c r="C1184" s="7">
        <f ca="1">IFERROR(__xludf.DUMMYFUNCTION("""COMPUTED_VALUE"""),1)</f>
        <v>1</v>
      </c>
      <c r="D1184" s="8">
        <f ca="1">IFERROR(__xludf.DUMMYFUNCTION("""COMPUTED_VALUE"""),1)</f>
        <v>1</v>
      </c>
      <c r="E1184" s="2">
        <f ca="1">IFERROR(__xludf.DUMMYFUNCTION("""COMPUTED_VALUE"""),1)</f>
        <v>1</v>
      </c>
    </row>
    <row r="1185" spans="1:5" ht="13">
      <c r="A1185" s="2" t="str">
        <f ca="1">IFERROR(__xludf.DUMMYFUNCTION("""COMPUTED_VALUE"""),"Burroughs, Bob")</f>
        <v>Burroughs, Bob</v>
      </c>
      <c r="B1185" s="3">
        <f ca="1">IFERROR(__xludf.DUMMYFUNCTION("""COMPUTED_VALUE"""),1)</f>
        <v>1</v>
      </c>
      <c r="C1185" s="7">
        <f ca="1">IFERROR(__xludf.DUMMYFUNCTION("""COMPUTED_VALUE"""),1)</f>
        <v>1</v>
      </c>
      <c r="D1185" s="8">
        <f ca="1">IFERROR(__xludf.DUMMYFUNCTION("""COMPUTED_VALUE"""),1)</f>
        <v>1</v>
      </c>
      <c r="E1185" s="2">
        <f ca="1">IFERROR(__xludf.DUMMYFUNCTION("""COMPUTED_VALUE"""),1)</f>
        <v>1</v>
      </c>
    </row>
    <row r="1186" spans="1:5" ht="13">
      <c r="A1186" s="2" t="str">
        <f ca="1">IFERROR(__xludf.DUMMYFUNCTION("""COMPUTED_VALUE"""),"Burrows, Mark")</f>
        <v>Burrows, Mark</v>
      </c>
      <c r="B1186" s="3">
        <f ca="1">IFERROR(__xludf.DUMMYFUNCTION("""COMPUTED_VALUE"""),1)</f>
        <v>1</v>
      </c>
      <c r="C1186" s="7">
        <f ca="1">IFERROR(__xludf.DUMMYFUNCTION("""COMPUTED_VALUE"""),1)</f>
        <v>1</v>
      </c>
      <c r="D1186" s="8">
        <f ca="1">IFERROR(__xludf.DUMMYFUNCTION("""COMPUTED_VALUE"""),1)</f>
        <v>1</v>
      </c>
      <c r="E1186" s="2">
        <f ca="1">IFERROR(__xludf.DUMMYFUNCTION("""COMPUTED_VALUE"""),1)</f>
        <v>1</v>
      </c>
    </row>
    <row r="1187" spans="1:5" ht="13">
      <c r="A1187" s="8" t="str">
        <f ca="1">IFERROR(__xludf.DUMMYFUNCTION("""COMPUTED_VALUE"""),"Burswold, Lee")</f>
        <v>Burswold, Lee</v>
      </c>
      <c r="B1187" s="3">
        <f ca="1">IFERROR(__xludf.DUMMYFUNCTION("""COMPUTED_VALUE"""),1)</f>
        <v>1</v>
      </c>
      <c r="C1187" s="7">
        <f ca="1">IFERROR(__xludf.DUMMYFUNCTION("""COMPUTED_VALUE"""),1)</f>
        <v>1</v>
      </c>
      <c r="D1187" s="8">
        <f ca="1">IFERROR(__xludf.DUMMYFUNCTION("""COMPUTED_VALUE"""),5)</f>
        <v>5</v>
      </c>
      <c r="E1187" s="2">
        <f ca="1">IFERROR(__xludf.DUMMYFUNCTION("""COMPUTED_VALUE"""),2)</f>
        <v>2</v>
      </c>
    </row>
    <row r="1188" spans="1:5" ht="13">
      <c r="A1188" s="2" t="str">
        <f ca="1">IFERROR(__xludf.DUMMYFUNCTION("""COMPUTED_VALUE"""),"Burt, Alfred")</f>
        <v>Burt, Alfred</v>
      </c>
      <c r="B1188" s="2">
        <f ca="1">IFERROR(__xludf.DUMMYFUNCTION("""COMPUTED_VALUE"""),1)</f>
        <v>1</v>
      </c>
      <c r="C1188" s="7">
        <f ca="1">IFERROR(__xludf.DUMMYFUNCTION("""COMPUTED_VALUE"""),1)</f>
        <v>1</v>
      </c>
      <c r="D1188" s="8">
        <f ca="1">IFERROR(__xludf.DUMMYFUNCTION("""COMPUTED_VALUE"""),5)</f>
        <v>5</v>
      </c>
      <c r="E1188" s="2">
        <f ca="1">IFERROR(__xludf.DUMMYFUNCTION("""COMPUTED_VALUE"""),2)</f>
        <v>2</v>
      </c>
    </row>
    <row r="1189" spans="1:5" ht="13">
      <c r="A1189" s="2" t="str">
        <f ca="1">IFERROR(__xludf.DUMMYFUNCTION("""COMPUTED_VALUE"""),"Burtch, Mervyn")</f>
        <v>Burtch, Mervyn</v>
      </c>
      <c r="B1189" s="3">
        <f ca="1">IFERROR(__xludf.DUMMYFUNCTION("""COMPUTED_VALUE"""),1)</f>
        <v>1</v>
      </c>
      <c r="C1189" s="7">
        <f ca="1">IFERROR(__xludf.DUMMYFUNCTION("""COMPUTED_VALUE"""),1)</f>
        <v>1</v>
      </c>
      <c r="D1189" s="8">
        <f ca="1">IFERROR(__xludf.DUMMYFUNCTION("""COMPUTED_VALUE"""),5)</f>
        <v>5</v>
      </c>
      <c r="E1189" s="2">
        <f ca="1">IFERROR(__xludf.DUMMYFUNCTION("""COMPUTED_VALUE"""),2)</f>
        <v>2</v>
      </c>
    </row>
    <row r="1190" spans="1:5" ht="13">
      <c r="A1190" s="2" t="str">
        <f ca="1">IFERROR(__xludf.DUMMYFUNCTION("""COMPUTED_VALUE"""),"Burton, Bryan")</f>
        <v>Burton, Bryan</v>
      </c>
      <c r="B1190" s="3">
        <f ca="1">IFERROR(__xludf.DUMMYFUNCTION("""COMPUTED_VALUE"""),1)</f>
        <v>1</v>
      </c>
      <c r="C1190" s="7">
        <f ca="1">IFERROR(__xludf.DUMMYFUNCTION("""COMPUTED_VALUE"""),1)</f>
        <v>1</v>
      </c>
      <c r="D1190" s="8">
        <f ca="1">IFERROR(__xludf.DUMMYFUNCTION("""COMPUTED_VALUE"""),1)</f>
        <v>1</v>
      </c>
      <c r="E1190" s="2">
        <f ca="1">IFERROR(__xludf.DUMMYFUNCTION("""COMPUTED_VALUE"""),1)</f>
        <v>1</v>
      </c>
    </row>
    <row r="1191" spans="1:5" ht="13">
      <c r="A1191" s="8" t="str">
        <f ca="1">IFERROR(__xludf.DUMMYFUNCTION("""COMPUTED_VALUE"""),"Burton, Daniel")</f>
        <v>Burton, Daniel</v>
      </c>
      <c r="B1191" s="3">
        <f ca="1">IFERROR(__xludf.DUMMYFUNCTION("""COMPUTED_VALUE"""),1)</f>
        <v>1</v>
      </c>
      <c r="C1191" s="7">
        <f ca="1">IFERROR(__xludf.DUMMYFUNCTION("""COMPUTED_VALUE"""),1)</f>
        <v>1</v>
      </c>
      <c r="D1191" s="8">
        <f ca="1">IFERROR(__xludf.DUMMYFUNCTION("""COMPUTED_VALUE"""),1)</f>
        <v>1</v>
      </c>
      <c r="E1191" s="2">
        <f ca="1">IFERROR(__xludf.DUMMYFUNCTION("""COMPUTED_VALUE"""),1)</f>
        <v>1</v>
      </c>
    </row>
    <row r="1192" spans="1:5" ht="13">
      <c r="A1192" s="2" t="str">
        <f ca="1">IFERROR(__xludf.DUMMYFUNCTION("""COMPUTED_VALUE"""),"Burtzos, Alex")</f>
        <v>Burtzos, Alex</v>
      </c>
      <c r="B1192" s="3">
        <f ca="1">IFERROR(__xludf.DUMMYFUNCTION("""COMPUTED_VALUE"""),1)</f>
        <v>1</v>
      </c>
      <c r="C1192" s="7">
        <f ca="1">IFERROR(__xludf.DUMMYFUNCTION("""COMPUTED_VALUE"""),1)</f>
        <v>1</v>
      </c>
      <c r="D1192" s="8">
        <f ca="1">IFERROR(__xludf.DUMMYFUNCTION("""COMPUTED_VALUE"""),1)</f>
        <v>1</v>
      </c>
      <c r="E1192" s="2">
        <f ca="1">IFERROR(__xludf.DUMMYFUNCTION("""COMPUTED_VALUE"""),1)</f>
        <v>1</v>
      </c>
    </row>
    <row r="1193" spans="1:5" ht="13">
      <c r="A1193" s="2" t="str">
        <f ca="1">IFERROR(__xludf.DUMMYFUNCTION("""COMPUTED_VALUE"""),"Bury, Edward")</f>
        <v>Bury, Edward</v>
      </c>
      <c r="B1193" s="3">
        <f ca="1">IFERROR(__xludf.DUMMYFUNCTION("""COMPUTED_VALUE"""),1)</f>
        <v>1</v>
      </c>
      <c r="C1193" s="7">
        <f ca="1">IFERROR(__xludf.DUMMYFUNCTION("""COMPUTED_VALUE"""),1)</f>
        <v>1</v>
      </c>
      <c r="D1193" s="8">
        <f ca="1">IFERROR(__xludf.DUMMYFUNCTION("""COMPUTED_VALUE"""),5)</f>
        <v>5</v>
      </c>
      <c r="E1193" s="2">
        <f ca="1">IFERROR(__xludf.DUMMYFUNCTION("""COMPUTED_VALUE"""),2)</f>
        <v>2</v>
      </c>
    </row>
    <row r="1194" spans="1:5" ht="13">
      <c r="A1194" s="2" t="str">
        <f ca="1">IFERROR(__xludf.DUMMYFUNCTION("""COMPUTED_VALUE"""),"Busch, Brian")</f>
        <v>Busch, Brian</v>
      </c>
      <c r="B1194" s="2">
        <f ca="1">IFERROR(__xludf.DUMMYFUNCTION("""COMPUTED_VALUE"""),1)</f>
        <v>1</v>
      </c>
      <c r="C1194" s="2">
        <f ca="1">IFERROR(__xludf.DUMMYFUNCTION("""COMPUTED_VALUE"""),1)</f>
        <v>1</v>
      </c>
      <c r="D1194" s="8">
        <f ca="1">IFERROR(__xludf.DUMMYFUNCTION("""COMPUTED_VALUE"""),1)</f>
        <v>1</v>
      </c>
      <c r="E1194" s="2">
        <f ca="1">IFERROR(__xludf.DUMMYFUNCTION("""COMPUTED_VALUE"""),1)</f>
        <v>1</v>
      </c>
    </row>
    <row r="1195" spans="1:5" ht="13">
      <c r="A1195" s="2" t="str">
        <f ca="1">IFERROR(__xludf.DUMMYFUNCTION("""COMPUTED_VALUE"""),"Busch, Carl")</f>
        <v>Busch, Carl</v>
      </c>
      <c r="B1195" s="3">
        <f ca="1">IFERROR(__xludf.DUMMYFUNCTION("""COMPUTED_VALUE"""),1)</f>
        <v>1</v>
      </c>
      <c r="C1195" s="7">
        <f ca="1">IFERROR(__xludf.DUMMYFUNCTION("""COMPUTED_VALUE"""),1)</f>
        <v>1</v>
      </c>
      <c r="D1195" s="8">
        <f ca="1">IFERROR(__xludf.DUMMYFUNCTION("""COMPUTED_VALUE"""),5)</f>
        <v>5</v>
      </c>
      <c r="E1195" s="2">
        <f ca="1">IFERROR(__xludf.DUMMYFUNCTION("""COMPUTED_VALUE"""),2)</f>
        <v>2</v>
      </c>
    </row>
    <row r="1196" spans="1:5" ht="13">
      <c r="A1196" s="8" t="str">
        <f ca="1">IFERROR(__xludf.DUMMYFUNCTION("""COMPUTED_VALUE"""),"Bush, Geoffrey")</f>
        <v>Bush, Geoffrey</v>
      </c>
      <c r="B1196" s="2">
        <f ca="1">IFERROR(__xludf.DUMMYFUNCTION("""COMPUTED_VALUE"""),1)</f>
        <v>1</v>
      </c>
      <c r="C1196" s="7">
        <f ca="1">IFERROR(__xludf.DUMMYFUNCTION("""COMPUTED_VALUE"""),1)</f>
        <v>1</v>
      </c>
      <c r="D1196" s="8">
        <f ca="1">IFERROR(__xludf.DUMMYFUNCTION("""COMPUTED_VALUE"""),5)</f>
        <v>5</v>
      </c>
      <c r="E1196" s="2">
        <f ca="1">IFERROR(__xludf.DUMMYFUNCTION("""COMPUTED_VALUE"""),2)</f>
        <v>2</v>
      </c>
    </row>
    <row r="1197" spans="1:5" ht="13">
      <c r="A1197" s="8" t="str">
        <f ca="1">IFERROR(__xludf.DUMMYFUNCTION("""COMPUTED_VALUE"""),"Bush, Sam")</f>
        <v>Bush, Sam</v>
      </c>
      <c r="B1197" s="3">
        <f ca="1">IFERROR(__xludf.DUMMYFUNCTION("""COMPUTED_VALUE"""),1)</f>
        <v>1</v>
      </c>
      <c r="C1197" s="7">
        <f ca="1">IFERROR(__xludf.DUMMYFUNCTION("""COMPUTED_VALUE"""),1)</f>
        <v>1</v>
      </c>
      <c r="D1197" s="8">
        <f ca="1">IFERROR(__xludf.DUMMYFUNCTION("""COMPUTED_VALUE"""),1)</f>
        <v>1</v>
      </c>
      <c r="E1197" s="2">
        <f ca="1">IFERROR(__xludf.DUMMYFUNCTION("""COMPUTED_VALUE"""),1)</f>
        <v>1</v>
      </c>
    </row>
    <row r="1198" spans="1:5" ht="13">
      <c r="A1198" s="2" t="str">
        <f ca="1">IFERROR(__xludf.DUMMYFUNCTION("""COMPUTED_VALUE"""),"Bushong, Tim")</f>
        <v>Bushong, Tim</v>
      </c>
      <c r="B1198" s="3">
        <f ca="1">IFERROR(__xludf.DUMMYFUNCTION("""COMPUTED_VALUE"""),1)</f>
        <v>1</v>
      </c>
      <c r="C1198" s="7">
        <f ca="1">IFERROR(__xludf.DUMMYFUNCTION("""COMPUTED_VALUE"""),1)</f>
        <v>1</v>
      </c>
      <c r="D1198" s="8">
        <f ca="1">IFERROR(__xludf.DUMMYFUNCTION("""COMPUTED_VALUE"""),1)</f>
        <v>1</v>
      </c>
      <c r="E1198" s="2">
        <f ca="1">IFERROR(__xludf.DUMMYFUNCTION("""COMPUTED_VALUE"""),1)</f>
        <v>1</v>
      </c>
    </row>
    <row r="1199" spans="1:5" ht="13">
      <c r="A1199" s="8" t="str">
        <f ca="1">IFERROR(__xludf.DUMMYFUNCTION("""COMPUTED_VALUE"""),"Busoni, Ferruccio")</f>
        <v>Busoni, Ferruccio</v>
      </c>
      <c r="B1199" s="3">
        <f ca="1">IFERROR(__xludf.DUMMYFUNCTION("""COMPUTED_VALUE"""),1)</f>
        <v>1</v>
      </c>
      <c r="C1199" s="7">
        <f ca="1">IFERROR(__xludf.DUMMYFUNCTION("""COMPUTED_VALUE"""),1)</f>
        <v>1</v>
      </c>
      <c r="D1199" s="8">
        <f ca="1">IFERROR(__xludf.DUMMYFUNCTION("""COMPUTED_VALUE"""),5)</f>
        <v>5</v>
      </c>
      <c r="E1199" s="2">
        <f ca="1">IFERROR(__xludf.DUMMYFUNCTION("""COMPUTED_VALUE"""),2)</f>
        <v>2</v>
      </c>
    </row>
    <row r="1200" spans="1:5" ht="13">
      <c r="A1200" s="8" t="str">
        <f ca="1">IFERROR(__xludf.DUMMYFUNCTION("""COMPUTED_VALUE"""),"Buss, Howard")</f>
        <v>Buss, Howard</v>
      </c>
      <c r="B1200" s="3">
        <f ca="1">IFERROR(__xludf.DUMMYFUNCTION("""COMPUTED_VALUE"""),1)</f>
        <v>1</v>
      </c>
      <c r="C1200" s="7">
        <f ca="1">IFERROR(__xludf.DUMMYFUNCTION("""COMPUTED_VALUE"""),1)</f>
        <v>1</v>
      </c>
      <c r="D1200" s="8">
        <f ca="1">IFERROR(__xludf.DUMMYFUNCTION("""COMPUTED_VALUE"""),1)</f>
        <v>1</v>
      </c>
      <c r="E1200" s="2">
        <f ca="1">IFERROR(__xludf.DUMMYFUNCTION("""COMPUTED_VALUE"""),1)</f>
        <v>1</v>
      </c>
    </row>
    <row r="1201" spans="1:5" ht="13">
      <c r="A1201" s="8" t="str">
        <f ca="1">IFERROR(__xludf.DUMMYFUNCTION("""COMPUTED_VALUE"""),"Busselberg, Paul")</f>
        <v>Busselberg, Paul</v>
      </c>
      <c r="B1201" s="3">
        <f ca="1">IFERROR(__xludf.DUMMYFUNCTION("""COMPUTED_VALUE"""),1)</f>
        <v>1</v>
      </c>
      <c r="C1201" s="7">
        <f ca="1">IFERROR(__xludf.DUMMYFUNCTION("""COMPUTED_VALUE"""),1)</f>
        <v>1</v>
      </c>
      <c r="D1201" s="8">
        <f ca="1">IFERROR(__xludf.DUMMYFUNCTION("""COMPUTED_VALUE"""),1)</f>
        <v>1</v>
      </c>
      <c r="E1201" s="2">
        <f ca="1">IFERROR(__xludf.DUMMYFUNCTION("""COMPUTED_VALUE"""),1)</f>
        <v>1</v>
      </c>
    </row>
    <row r="1202" spans="1:5" ht="13">
      <c r="A1202" s="2" t="str">
        <f ca="1">IFERROR(__xludf.DUMMYFUNCTION("""COMPUTED_VALUE"""),"Busser, Henri")</f>
        <v>Busser, Henri</v>
      </c>
      <c r="B1202" s="3">
        <f ca="1">IFERROR(__xludf.DUMMYFUNCTION("""COMPUTED_VALUE"""),1)</f>
        <v>1</v>
      </c>
      <c r="C1202" s="7">
        <f ca="1">IFERROR(__xludf.DUMMYFUNCTION("""COMPUTED_VALUE"""),1)</f>
        <v>1</v>
      </c>
      <c r="D1202" s="8">
        <f ca="1">IFERROR(__xludf.DUMMYFUNCTION("""COMPUTED_VALUE"""),5)</f>
        <v>5</v>
      </c>
      <c r="E1202" s="2">
        <f ca="1">IFERROR(__xludf.DUMMYFUNCTION("""COMPUTED_VALUE"""),2)</f>
        <v>2</v>
      </c>
    </row>
    <row r="1203" spans="1:5" ht="13">
      <c r="A1203" s="8" t="str">
        <f ca="1">IFERROR(__xludf.DUMMYFUNCTION("""COMPUTED_VALUE"""),"Busto, Javier")</f>
        <v>Busto, Javier</v>
      </c>
      <c r="B1203" s="3">
        <f ca="1">IFERROR(__xludf.DUMMYFUNCTION("""COMPUTED_VALUE"""),1)</f>
        <v>1</v>
      </c>
      <c r="C1203" s="7">
        <f ca="1">IFERROR(__xludf.DUMMYFUNCTION("""COMPUTED_VALUE"""),1)</f>
        <v>1</v>
      </c>
      <c r="D1203" s="8">
        <f ca="1">IFERROR(__xludf.DUMMYFUNCTION("""COMPUTED_VALUE"""),1)</f>
        <v>1</v>
      </c>
      <c r="E1203" s="2">
        <f ca="1">IFERROR(__xludf.DUMMYFUNCTION("""COMPUTED_VALUE"""),1)</f>
        <v>1</v>
      </c>
    </row>
    <row r="1204" spans="1:5" ht="13">
      <c r="A1204" s="2" t="str">
        <f ca="1">IFERROR(__xludf.DUMMYFUNCTION("""COMPUTED_VALUE"""),"Buszin, Walter")</f>
        <v>Buszin, Walter</v>
      </c>
      <c r="B1204" s="3">
        <f ca="1">IFERROR(__xludf.DUMMYFUNCTION("""COMPUTED_VALUE"""),1)</f>
        <v>1</v>
      </c>
      <c r="C1204" s="7">
        <f ca="1">IFERROR(__xludf.DUMMYFUNCTION("""COMPUTED_VALUE"""),1)</f>
        <v>1</v>
      </c>
      <c r="D1204" s="8">
        <f ca="1">IFERROR(__xludf.DUMMYFUNCTION("""COMPUTED_VALUE"""),5)</f>
        <v>5</v>
      </c>
      <c r="E1204" s="2">
        <f ca="1">IFERROR(__xludf.DUMMYFUNCTION("""COMPUTED_VALUE"""),2)</f>
        <v>2</v>
      </c>
    </row>
    <row r="1205" spans="1:5" ht="13">
      <c r="A1205" s="8" t="str">
        <f ca="1">IFERROR(__xludf.DUMMYFUNCTION("""COMPUTED_VALUE"""),"Butler")</f>
        <v>Butler</v>
      </c>
      <c r="B1205" s="3">
        <f ca="1">IFERROR(__xludf.DUMMYFUNCTION("""COMPUTED_VALUE"""),1)</f>
        <v>1</v>
      </c>
      <c r="C1205" s="7">
        <f ca="1">IFERROR(__xludf.DUMMYFUNCTION("""COMPUTED_VALUE"""),1)</f>
        <v>1</v>
      </c>
      <c r="D1205" s="8">
        <f ca="1">IFERROR(__xludf.DUMMYFUNCTION("""COMPUTED_VALUE"""),5)</f>
        <v>5</v>
      </c>
      <c r="E1205" s="2">
        <f ca="1">IFERROR(__xludf.DUMMYFUNCTION("""COMPUTED_VALUE"""),2)</f>
        <v>2</v>
      </c>
    </row>
    <row r="1206" spans="1:5" ht="13">
      <c r="A1206" s="8" t="str">
        <f ca="1">IFERROR(__xludf.DUMMYFUNCTION("""COMPUTED_VALUE"""),"Butler, Christopher")</f>
        <v>Butler, Christopher</v>
      </c>
      <c r="B1206" s="3">
        <f ca="1">IFERROR(__xludf.DUMMYFUNCTION("""COMPUTED_VALUE"""),1)</f>
        <v>1</v>
      </c>
      <c r="C1206" s="7">
        <f ca="1">IFERROR(__xludf.DUMMYFUNCTION("""COMPUTED_VALUE"""),1)</f>
        <v>1</v>
      </c>
      <c r="D1206" s="8">
        <f ca="1">IFERROR(__xludf.DUMMYFUNCTION("""COMPUTED_VALUE"""),1)</f>
        <v>1</v>
      </c>
      <c r="E1206" s="2">
        <f ca="1">IFERROR(__xludf.DUMMYFUNCTION("""COMPUTED_VALUE"""),1)</f>
        <v>1</v>
      </c>
    </row>
    <row r="1207" spans="1:5" ht="13">
      <c r="A1207" s="8" t="str">
        <f ca="1">IFERROR(__xludf.DUMMYFUNCTION("""COMPUTED_VALUE"""),"Butler, Eugene")</f>
        <v>Butler, Eugene</v>
      </c>
      <c r="B1207" s="3">
        <f ca="1">IFERROR(__xludf.DUMMYFUNCTION("""COMPUTED_VALUE"""),1)</f>
        <v>1</v>
      </c>
      <c r="C1207" s="7">
        <f ca="1">IFERROR(__xludf.DUMMYFUNCTION("""COMPUTED_VALUE"""),1)</f>
        <v>1</v>
      </c>
      <c r="D1207" s="8">
        <f ca="1">IFERROR(__xludf.DUMMYFUNCTION("""COMPUTED_VALUE"""),1)</f>
        <v>1</v>
      </c>
      <c r="E1207" s="2">
        <f ca="1">IFERROR(__xludf.DUMMYFUNCTION("""COMPUTED_VALUE"""),1)</f>
        <v>1</v>
      </c>
    </row>
    <row r="1208" spans="1:5" ht="13">
      <c r="A1208" s="2" t="str">
        <f ca="1">IFERROR(__xludf.DUMMYFUNCTION("""COMPUTED_VALUE"""),"Butler, J. Melvin")</f>
        <v>Butler, J. Melvin</v>
      </c>
      <c r="B1208" s="3">
        <f ca="1">IFERROR(__xludf.DUMMYFUNCTION("""COMPUTED_VALUE"""),1)</f>
        <v>1</v>
      </c>
      <c r="C1208" s="7">
        <f ca="1">IFERROR(__xludf.DUMMYFUNCTION("""COMPUTED_VALUE"""),1)</f>
        <v>1</v>
      </c>
      <c r="D1208" s="8">
        <f ca="1">IFERROR(__xludf.DUMMYFUNCTION("""COMPUTED_VALUE"""),1)</f>
        <v>1</v>
      </c>
      <c r="E1208" s="2">
        <f ca="1">IFERROR(__xludf.DUMMYFUNCTION("""COMPUTED_VALUE"""),1)</f>
        <v>1</v>
      </c>
    </row>
    <row r="1209" spans="1:5" ht="13">
      <c r="A1209" s="2" t="str">
        <f ca="1">IFERROR(__xludf.DUMMYFUNCTION("""COMPUTED_VALUE"""),"Butterfield, Daniel")</f>
        <v>Butterfield, Daniel</v>
      </c>
      <c r="B1209" s="2">
        <f ca="1">IFERROR(__xludf.DUMMYFUNCTION("""COMPUTED_VALUE"""),1)</f>
        <v>1</v>
      </c>
      <c r="C1209" s="7">
        <f ca="1">IFERROR(__xludf.DUMMYFUNCTION("""COMPUTED_VALUE"""),1)</f>
        <v>1</v>
      </c>
      <c r="D1209" s="8">
        <f ca="1">IFERROR(__xludf.DUMMYFUNCTION("""COMPUTED_VALUE"""),5)</f>
        <v>5</v>
      </c>
      <c r="E1209" s="2">
        <f ca="1">IFERROR(__xludf.DUMMYFUNCTION("""COMPUTED_VALUE"""),2)</f>
        <v>2</v>
      </c>
    </row>
    <row r="1210" spans="1:5" ht="13">
      <c r="A1210" s="2" t="str">
        <f ca="1">IFERROR(__xludf.DUMMYFUNCTION("""COMPUTED_VALUE"""),"Butterfield, General David")</f>
        <v>Butterfield, General David</v>
      </c>
      <c r="B1210" s="2">
        <f ca="1">IFERROR(__xludf.DUMMYFUNCTION("""COMPUTED_VALUE"""),1)</f>
        <v>1</v>
      </c>
      <c r="C1210" s="7">
        <f ca="1">IFERROR(__xludf.DUMMYFUNCTION("""COMPUTED_VALUE"""),1)</f>
        <v>1</v>
      </c>
      <c r="D1210" s="8">
        <f ca="1">IFERROR(__xludf.DUMMYFUNCTION("""COMPUTED_VALUE"""),5)</f>
        <v>5</v>
      </c>
      <c r="E1210" s="2">
        <f ca="1">IFERROR(__xludf.DUMMYFUNCTION("""COMPUTED_VALUE"""),2)</f>
        <v>2</v>
      </c>
    </row>
    <row r="1211" spans="1:5" ht="13">
      <c r="A1211" s="8" t="str">
        <f ca="1">IFERROR(__xludf.DUMMYFUNCTION("""COMPUTED_VALUE"""),"Butterfield, James")</f>
        <v>Butterfield, James</v>
      </c>
      <c r="B1211" s="3">
        <f ca="1">IFERROR(__xludf.DUMMYFUNCTION("""COMPUTED_VALUE"""),1)</f>
        <v>1</v>
      </c>
      <c r="C1211" s="7">
        <f ca="1">IFERROR(__xludf.DUMMYFUNCTION("""COMPUTED_VALUE"""),1)</f>
        <v>1</v>
      </c>
      <c r="D1211" s="8">
        <f ca="1">IFERROR(__xludf.DUMMYFUNCTION("""COMPUTED_VALUE"""),5)</f>
        <v>5</v>
      </c>
      <c r="E1211" s="2">
        <f ca="1">IFERROR(__xludf.DUMMYFUNCTION("""COMPUTED_VALUE"""),2)</f>
        <v>2</v>
      </c>
    </row>
    <row r="1212" spans="1:5" ht="13">
      <c r="A1212" s="8" t="str">
        <f ca="1">IFERROR(__xludf.DUMMYFUNCTION("""COMPUTED_VALUE"""),"Butterworth, George")</f>
        <v>Butterworth, George</v>
      </c>
      <c r="B1212" s="3">
        <f ca="1">IFERROR(__xludf.DUMMYFUNCTION("""COMPUTED_VALUE"""),1)</f>
        <v>1</v>
      </c>
      <c r="C1212" s="7">
        <f ca="1">IFERROR(__xludf.DUMMYFUNCTION("""COMPUTED_VALUE"""),1)</f>
        <v>1</v>
      </c>
      <c r="D1212" s="8">
        <f ca="1">IFERROR(__xludf.DUMMYFUNCTION("""COMPUTED_VALUE"""),5)</f>
        <v>5</v>
      </c>
      <c r="E1212" s="2">
        <f ca="1">IFERROR(__xludf.DUMMYFUNCTION("""COMPUTED_VALUE"""),2)</f>
        <v>2</v>
      </c>
    </row>
    <row r="1213" spans="1:5" ht="13">
      <c r="A1213" s="8" t="str">
        <f ca="1">IFERROR(__xludf.DUMMYFUNCTION("""COMPUTED_VALUE"""),"Butts, Carrol")</f>
        <v>Butts, Carrol</v>
      </c>
      <c r="B1213" s="3">
        <f ca="1">IFERROR(__xludf.DUMMYFUNCTION("""COMPUTED_VALUE"""),1)</f>
        <v>1</v>
      </c>
      <c r="C1213" s="7">
        <f ca="1">IFERROR(__xludf.DUMMYFUNCTION("""COMPUTED_VALUE"""),1)</f>
        <v>1</v>
      </c>
      <c r="D1213" s="8">
        <f ca="1">IFERROR(__xludf.DUMMYFUNCTION("""COMPUTED_VALUE"""),5)</f>
        <v>5</v>
      </c>
      <c r="E1213" s="2">
        <f ca="1">IFERROR(__xludf.DUMMYFUNCTION("""COMPUTED_VALUE"""),2)</f>
        <v>2</v>
      </c>
    </row>
    <row r="1214" spans="1:5" ht="13">
      <c r="A1214" s="2" t="str">
        <f ca="1">IFERROR(__xludf.DUMMYFUNCTION("""COMPUTED_VALUE"""),"Butz, Karel")</f>
        <v>Butz, Karel</v>
      </c>
      <c r="B1214" s="3">
        <f ca="1">IFERROR(__xludf.DUMMYFUNCTION("""COMPUTED_VALUE"""),1)</f>
        <v>1</v>
      </c>
      <c r="C1214" s="7">
        <f ca="1">IFERROR(__xludf.DUMMYFUNCTION("""COMPUTED_VALUE"""),1)</f>
        <v>1</v>
      </c>
      <c r="D1214" s="8">
        <f ca="1">IFERROR(__xludf.DUMMYFUNCTION("""COMPUTED_VALUE"""),1)</f>
        <v>1</v>
      </c>
      <c r="E1214" s="2">
        <f ca="1">IFERROR(__xludf.DUMMYFUNCTION("""COMPUTED_VALUE"""),1)</f>
        <v>1</v>
      </c>
    </row>
    <row r="1215" spans="1:5" ht="13">
      <c r="A1215" s="8" t="str">
        <f ca="1">IFERROR(__xludf.DUMMYFUNCTION("""COMPUTED_VALUE"""),"Buxtehude, Dietrich")</f>
        <v>Buxtehude, Dietrich</v>
      </c>
      <c r="B1215" s="3">
        <f ca="1">IFERROR(__xludf.DUMMYFUNCTION("""COMPUTED_VALUE"""),1)</f>
        <v>1</v>
      </c>
      <c r="C1215" s="7">
        <f ca="1">IFERROR(__xludf.DUMMYFUNCTION("""COMPUTED_VALUE"""),1)</f>
        <v>1</v>
      </c>
      <c r="D1215" s="8">
        <f ca="1">IFERROR(__xludf.DUMMYFUNCTION("""COMPUTED_VALUE"""),5)</f>
        <v>5</v>
      </c>
      <c r="E1215" s="2">
        <f ca="1">IFERROR(__xludf.DUMMYFUNCTION("""COMPUTED_VALUE"""),2)</f>
        <v>2</v>
      </c>
    </row>
    <row r="1216" spans="1:5" ht="13">
      <c r="A1216" s="2" t="str">
        <f ca="1">IFERROR(__xludf.DUMMYFUNCTION("""COMPUTED_VALUE"""),"Buys, Peter")</f>
        <v>Buys, Peter</v>
      </c>
      <c r="B1216" s="3">
        <f ca="1">IFERROR(__xludf.DUMMYFUNCTION("""COMPUTED_VALUE"""),1)</f>
        <v>1</v>
      </c>
      <c r="C1216" s="7">
        <f ca="1">IFERROR(__xludf.DUMMYFUNCTION("""COMPUTED_VALUE"""),1)</f>
        <v>1</v>
      </c>
      <c r="D1216" s="8">
        <f ca="1">IFERROR(__xludf.DUMMYFUNCTION("""COMPUTED_VALUE"""),5)</f>
        <v>5</v>
      </c>
      <c r="E1216" s="3">
        <f ca="1">IFERROR(__xludf.DUMMYFUNCTION("""COMPUTED_VALUE"""),2)</f>
        <v>2</v>
      </c>
    </row>
    <row r="1217" spans="1:5" ht="13">
      <c r="A1217" s="2" t="str">
        <f ca="1">IFERROR(__xludf.DUMMYFUNCTION("""COMPUTED_VALUE"""),"Buzzelli, Chris")</f>
        <v>Buzzelli, Chris</v>
      </c>
      <c r="B1217" s="3">
        <f ca="1">IFERROR(__xludf.DUMMYFUNCTION("""COMPUTED_VALUE"""),1)</f>
        <v>1</v>
      </c>
      <c r="C1217" s="7">
        <f ca="1">IFERROR(__xludf.DUMMYFUNCTION("""COMPUTED_VALUE"""),1)</f>
        <v>1</v>
      </c>
      <c r="D1217" s="8">
        <f ca="1">IFERROR(__xludf.DUMMYFUNCTION("""COMPUTED_VALUE"""),1)</f>
        <v>1</v>
      </c>
      <c r="E1217" s="2">
        <f ca="1">IFERROR(__xludf.DUMMYFUNCTION("""COMPUTED_VALUE"""),1)</f>
        <v>1</v>
      </c>
    </row>
    <row r="1218" spans="1:5" ht="13">
      <c r="A1218" s="2" t="str">
        <f ca="1">IFERROR(__xludf.DUMMYFUNCTION("""COMPUTED_VALUE"""),"Buzzi-Peccia, Arturo")</f>
        <v>Buzzi-Peccia, Arturo</v>
      </c>
      <c r="B1218" s="3">
        <f ca="1">IFERROR(__xludf.DUMMYFUNCTION("""COMPUTED_VALUE"""),1)</f>
        <v>1</v>
      </c>
      <c r="C1218" s="7">
        <f ca="1">IFERROR(__xludf.DUMMYFUNCTION("""COMPUTED_VALUE"""),1)</f>
        <v>1</v>
      </c>
      <c r="D1218" s="8">
        <f ca="1">IFERROR(__xludf.DUMMYFUNCTION("""COMPUTED_VALUE"""),5)</f>
        <v>5</v>
      </c>
      <c r="E1218" s="3">
        <f ca="1">IFERROR(__xludf.DUMMYFUNCTION("""COMPUTED_VALUE"""),2)</f>
        <v>2</v>
      </c>
    </row>
    <row r="1219" spans="1:5" ht="13">
      <c r="A1219" s="8" t="str">
        <f ca="1">IFERROR(__xludf.DUMMYFUNCTION("""COMPUTED_VALUE"""),"Byler, Douglas")</f>
        <v>Byler, Douglas</v>
      </c>
      <c r="B1219" s="3">
        <f ca="1">IFERROR(__xludf.DUMMYFUNCTION("""COMPUTED_VALUE"""),1)</f>
        <v>1</v>
      </c>
      <c r="C1219" s="7">
        <f ca="1">IFERROR(__xludf.DUMMYFUNCTION("""COMPUTED_VALUE"""),1)</f>
        <v>1</v>
      </c>
      <c r="D1219" s="8">
        <f ca="1">IFERROR(__xludf.DUMMYFUNCTION("""COMPUTED_VALUE"""),1)</f>
        <v>1</v>
      </c>
      <c r="E1219" s="2">
        <f ca="1">IFERROR(__xludf.DUMMYFUNCTION("""COMPUTED_VALUE"""),1)</f>
        <v>1</v>
      </c>
    </row>
    <row r="1220" spans="1:5" ht="13">
      <c r="A1220" s="2" t="str">
        <f ca="1">IFERROR(__xludf.DUMMYFUNCTION("""COMPUTED_VALUE"""),"Byrd, Richard W.")</f>
        <v>Byrd, Richard W.</v>
      </c>
      <c r="B1220" s="2">
        <f ca="1">IFERROR(__xludf.DUMMYFUNCTION("""COMPUTED_VALUE"""),1)</f>
        <v>1</v>
      </c>
      <c r="C1220" s="7">
        <f ca="1">IFERROR(__xludf.DUMMYFUNCTION("""COMPUTED_VALUE"""),1)</f>
        <v>1</v>
      </c>
      <c r="D1220" s="8">
        <f ca="1">IFERROR(__xludf.DUMMYFUNCTION("""COMPUTED_VALUE"""),1)</f>
        <v>1</v>
      </c>
      <c r="E1220" s="2">
        <f ca="1">IFERROR(__xludf.DUMMYFUNCTION("""COMPUTED_VALUE"""),1)</f>
        <v>1</v>
      </c>
    </row>
    <row r="1221" spans="1:5" ht="13">
      <c r="A1221" s="2" t="str">
        <f ca="1">IFERROR(__xludf.DUMMYFUNCTION("""COMPUTED_VALUE"""),"Byrd, Robert James")</f>
        <v>Byrd, Robert James</v>
      </c>
      <c r="B1221" s="3">
        <f ca="1">IFERROR(__xludf.DUMMYFUNCTION("""COMPUTED_VALUE"""),1)</f>
        <v>1</v>
      </c>
      <c r="C1221" s="7">
        <f ca="1">IFERROR(__xludf.DUMMYFUNCTION("""COMPUTED_VALUE"""),1)</f>
        <v>1</v>
      </c>
      <c r="D1221" s="8">
        <f ca="1">IFERROR(__xludf.DUMMYFUNCTION("""COMPUTED_VALUE"""),5)</f>
        <v>5</v>
      </c>
      <c r="E1221" s="2">
        <f ca="1">IFERROR(__xludf.DUMMYFUNCTION("""COMPUTED_VALUE"""),2)</f>
        <v>2</v>
      </c>
    </row>
    <row r="1222" spans="1:5" ht="13">
      <c r="A1222" s="8" t="str">
        <f ca="1">IFERROR(__xludf.DUMMYFUNCTION("""COMPUTED_VALUE"""),"Byrd, William")</f>
        <v>Byrd, William</v>
      </c>
      <c r="B1222" s="3">
        <f ca="1">IFERROR(__xludf.DUMMYFUNCTION("""COMPUTED_VALUE"""),1)</f>
        <v>1</v>
      </c>
      <c r="C1222" s="7">
        <f ca="1">IFERROR(__xludf.DUMMYFUNCTION("""COMPUTED_VALUE"""),1)</f>
        <v>1</v>
      </c>
      <c r="D1222" s="8">
        <f ca="1">IFERROR(__xludf.DUMMYFUNCTION("""COMPUTED_VALUE"""),5)</f>
        <v>5</v>
      </c>
      <c r="E1222" s="2">
        <f ca="1">IFERROR(__xludf.DUMMYFUNCTION("""COMPUTED_VALUE"""),2)</f>
        <v>2</v>
      </c>
    </row>
    <row r="1223" spans="1:5" ht="13">
      <c r="A1223" s="8" t="str">
        <f ca="1">IFERROR(__xludf.DUMMYFUNCTION("""COMPUTED_VALUE"""),"Byrne, Frank")</f>
        <v>Byrne, Frank</v>
      </c>
      <c r="B1223" s="3">
        <f ca="1">IFERROR(__xludf.DUMMYFUNCTION("""COMPUTED_VALUE"""),1)</f>
        <v>1</v>
      </c>
      <c r="C1223" s="7">
        <f ca="1">IFERROR(__xludf.DUMMYFUNCTION("""COMPUTED_VALUE"""),1)</f>
        <v>1</v>
      </c>
      <c r="D1223" s="8">
        <f ca="1">IFERROR(__xludf.DUMMYFUNCTION("""COMPUTED_VALUE"""),1)</f>
        <v>1</v>
      </c>
      <c r="E1223" s="2">
        <f ca="1">IFERROR(__xludf.DUMMYFUNCTION("""COMPUTED_VALUE"""),1)</f>
        <v>1</v>
      </c>
    </row>
    <row r="1224" spans="1:5" ht="13">
      <c r="A1224" s="2" t="str">
        <f ca="1">IFERROR(__xludf.DUMMYFUNCTION("""COMPUTED_VALUE"""),"Byrt, John")</f>
        <v>Byrt, John</v>
      </c>
      <c r="B1224" s="3">
        <f ca="1">IFERROR(__xludf.DUMMYFUNCTION("""COMPUTED_VALUE"""),1)</f>
        <v>1</v>
      </c>
      <c r="C1224" s="7">
        <f ca="1">IFERROR(__xludf.DUMMYFUNCTION("""COMPUTED_VALUE"""),1)</f>
        <v>1</v>
      </c>
      <c r="D1224" s="8">
        <f ca="1">IFERROR(__xludf.DUMMYFUNCTION("""COMPUTED_VALUE"""),5)</f>
        <v>5</v>
      </c>
      <c r="E1224" s="2">
        <f ca="1">IFERROR(__xludf.DUMMYFUNCTION("""COMPUTED_VALUE"""),2)</f>
        <v>2</v>
      </c>
    </row>
    <row r="1225" spans="1:5" ht="13">
      <c r="A1225" s="8" t="str">
        <f ca="1">IFERROR(__xludf.DUMMYFUNCTION("""COMPUTED_VALUE"""),"Byström, Oscar")</f>
        <v>Byström, Oscar</v>
      </c>
      <c r="B1225" s="3">
        <f ca="1">IFERROR(__xludf.DUMMYFUNCTION("""COMPUTED_VALUE"""),1)</f>
        <v>1</v>
      </c>
      <c r="C1225" s="7">
        <f ca="1">IFERROR(__xludf.DUMMYFUNCTION("""COMPUTED_VALUE"""),1)</f>
        <v>1</v>
      </c>
      <c r="D1225" s="8">
        <f ca="1">IFERROR(__xludf.DUMMYFUNCTION("""COMPUTED_VALUE"""),5)</f>
        <v>5</v>
      </c>
      <c r="E1225" s="2">
        <f ca="1">IFERROR(__xludf.DUMMYFUNCTION("""COMPUTED_VALUE"""),2)</f>
        <v>2</v>
      </c>
    </row>
    <row r="1226" spans="1:5" ht="13">
      <c r="A1226" s="8" t="str">
        <f ca="1">IFERROR(__xludf.DUMMYFUNCTION("""COMPUTED_VALUE"""),"Cabaniss, Thomas")</f>
        <v>Cabaniss, Thomas</v>
      </c>
      <c r="B1226" s="3">
        <f ca="1">IFERROR(__xludf.DUMMYFUNCTION("""COMPUTED_VALUE"""),1)</f>
        <v>1</v>
      </c>
      <c r="C1226" s="7">
        <f ca="1">IFERROR(__xludf.DUMMYFUNCTION("""COMPUTED_VALUE"""),1)</f>
        <v>1</v>
      </c>
      <c r="D1226" s="8">
        <f ca="1">IFERROR(__xludf.DUMMYFUNCTION("""COMPUTED_VALUE"""),1)</f>
        <v>1</v>
      </c>
      <c r="E1226" s="2">
        <f ca="1">IFERROR(__xludf.DUMMYFUNCTION("""COMPUTED_VALUE"""),1)</f>
        <v>1</v>
      </c>
    </row>
    <row r="1227" spans="1:5" ht="13">
      <c r="A1227" s="2" t="str">
        <f ca="1">IFERROR(__xludf.DUMMYFUNCTION("""COMPUTED_VALUE"""),"Cabena, Barrie")</f>
        <v>Cabena, Barrie</v>
      </c>
      <c r="B1227" s="3">
        <f ca="1">IFERROR(__xludf.DUMMYFUNCTION("""COMPUTED_VALUE"""),1)</f>
        <v>1</v>
      </c>
      <c r="C1227" s="7">
        <f ca="1">IFERROR(__xludf.DUMMYFUNCTION("""COMPUTED_VALUE"""),1)</f>
        <v>1</v>
      </c>
      <c r="D1227" s="8">
        <f ca="1">IFERROR(__xludf.DUMMYFUNCTION("""COMPUTED_VALUE"""),1)</f>
        <v>1</v>
      </c>
      <c r="E1227" s="2">
        <f ca="1">IFERROR(__xludf.DUMMYFUNCTION("""COMPUTED_VALUE"""),1)</f>
        <v>1</v>
      </c>
    </row>
    <row r="1228" spans="1:5" ht="13">
      <c r="A1228" s="2" t="str">
        <f ca="1">IFERROR(__xludf.DUMMYFUNCTION("""COMPUTED_VALUE"""),"Cabezón, Antonio de")</f>
        <v>Cabezón, Antonio de</v>
      </c>
      <c r="B1228" s="3">
        <f ca="1">IFERROR(__xludf.DUMMYFUNCTION("""COMPUTED_VALUE"""),1)</f>
        <v>1</v>
      </c>
      <c r="C1228" s="7">
        <f ca="1">IFERROR(__xludf.DUMMYFUNCTION("""COMPUTED_VALUE"""),1)</f>
        <v>1</v>
      </c>
      <c r="D1228" s="8">
        <f ca="1">IFERROR(__xludf.DUMMYFUNCTION("""COMPUTED_VALUE"""),5)</f>
        <v>5</v>
      </c>
      <c r="E1228" s="2">
        <f ca="1">IFERROR(__xludf.DUMMYFUNCTION("""COMPUTED_VALUE"""),2)</f>
        <v>2</v>
      </c>
    </row>
    <row r="1229" spans="1:5" ht="13">
      <c r="A1229" s="2" t="str">
        <f ca="1">IFERROR(__xludf.DUMMYFUNCTION("""COMPUTED_VALUE"""),"Cable, Howard")</f>
        <v>Cable, Howard</v>
      </c>
      <c r="B1229" s="2">
        <f ca="1">IFERROR(__xludf.DUMMYFUNCTION("""COMPUTED_VALUE"""),1)</f>
        <v>1</v>
      </c>
      <c r="C1229" s="7">
        <f ca="1">IFERROR(__xludf.DUMMYFUNCTION("""COMPUTED_VALUE"""),1)</f>
        <v>1</v>
      </c>
      <c r="D1229" s="8">
        <f ca="1">IFERROR(__xludf.DUMMYFUNCTION("""COMPUTED_VALUE"""),5)</f>
        <v>5</v>
      </c>
      <c r="E1229" s="2">
        <f ca="1">IFERROR(__xludf.DUMMYFUNCTION("""COMPUTED_VALUE"""),2)</f>
        <v>2</v>
      </c>
    </row>
    <row r="1230" spans="1:5" ht="13">
      <c r="A1230" s="8" t="str">
        <f ca="1">IFERROR(__xludf.DUMMYFUNCTION("""COMPUTED_VALUE"""),"Cacavas, John")</f>
        <v>Cacavas, John</v>
      </c>
      <c r="B1230" s="3">
        <f ca="1">IFERROR(__xludf.DUMMYFUNCTION("""COMPUTED_VALUE"""),1)</f>
        <v>1</v>
      </c>
      <c r="C1230" s="7">
        <f ca="1">IFERROR(__xludf.DUMMYFUNCTION("""COMPUTED_VALUE"""),1)</f>
        <v>1</v>
      </c>
      <c r="D1230" s="8">
        <f ca="1">IFERROR(__xludf.DUMMYFUNCTION("""COMPUTED_VALUE"""),5)</f>
        <v>5</v>
      </c>
      <c r="E1230" s="2">
        <f ca="1">IFERROR(__xludf.DUMMYFUNCTION("""COMPUTED_VALUE"""),2)</f>
        <v>2</v>
      </c>
    </row>
    <row r="1231" spans="1:5" ht="13">
      <c r="A1231" s="2" t="str">
        <f ca="1">IFERROR(__xludf.DUMMYFUNCTION("""COMPUTED_VALUE"""),"Caccini, Giulio")</f>
        <v>Caccini, Giulio</v>
      </c>
      <c r="B1231" s="3">
        <f ca="1">IFERROR(__xludf.DUMMYFUNCTION("""COMPUTED_VALUE"""),1)</f>
        <v>1</v>
      </c>
      <c r="C1231" s="7">
        <f ca="1">IFERROR(__xludf.DUMMYFUNCTION("""COMPUTED_VALUE"""),1)</f>
        <v>1</v>
      </c>
      <c r="D1231" s="8">
        <f ca="1">IFERROR(__xludf.DUMMYFUNCTION("""COMPUTED_VALUE"""),5)</f>
        <v>5</v>
      </c>
      <c r="E1231" s="2">
        <f ca="1">IFERROR(__xludf.DUMMYFUNCTION("""COMPUTED_VALUE"""),2)</f>
        <v>2</v>
      </c>
    </row>
    <row r="1232" spans="1:5" ht="13">
      <c r="A1232" s="2" t="str">
        <f ca="1">IFERROR(__xludf.DUMMYFUNCTION("""COMPUTED_VALUE"""),"Cadman, Charles")</f>
        <v>Cadman, Charles</v>
      </c>
      <c r="B1232" s="2">
        <f ca="1">IFERROR(__xludf.DUMMYFUNCTION("""COMPUTED_VALUE"""),1)</f>
        <v>1</v>
      </c>
      <c r="C1232" s="2">
        <f ca="1">IFERROR(__xludf.DUMMYFUNCTION("""COMPUTED_VALUE"""),1)</f>
        <v>1</v>
      </c>
      <c r="D1232" s="8">
        <f ca="1">IFERROR(__xludf.DUMMYFUNCTION("""COMPUTED_VALUE"""),5)</f>
        <v>5</v>
      </c>
      <c r="E1232" s="2">
        <f ca="1">IFERROR(__xludf.DUMMYFUNCTION("""COMPUTED_VALUE"""),2)</f>
        <v>2</v>
      </c>
    </row>
    <row r="1233" spans="1:5" ht="13">
      <c r="A1233" s="8" t="str">
        <f ca="1">IFERROR(__xludf.DUMMYFUNCTION("""COMPUTED_VALUE"""),"Cadman, Charles Wakefield")</f>
        <v>Cadman, Charles Wakefield</v>
      </c>
      <c r="B1233" s="3">
        <f ca="1">IFERROR(__xludf.DUMMYFUNCTION("""COMPUTED_VALUE"""),1)</f>
        <v>1</v>
      </c>
      <c r="C1233" s="7">
        <f ca="1">IFERROR(__xludf.DUMMYFUNCTION("""COMPUTED_VALUE"""),1)</f>
        <v>1</v>
      </c>
      <c r="D1233" s="8">
        <f ca="1">IFERROR(__xludf.DUMMYFUNCTION("""COMPUTED_VALUE"""),5)</f>
        <v>5</v>
      </c>
      <c r="E1233" s="2">
        <f ca="1">IFERROR(__xludf.DUMMYFUNCTION("""COMPUTED_VALUE"""),2)</f>
        <v>2</v>
      </c>
    </row>
    <row r="1234" spans="1:5" ht="13">
      <c r="A1234" s="2" t="str">
        <f ca="1">IFERROR(__xludf.DUMMYFUNCTION("""COMPUTED_VALUE"""),"Caesar, Irving / Bergman, Norma")</f>
        <v>Caesar, Irving / Bergman, Norma</v>
      </c>
      <c r="B1234" s="3">
        <f ca="1">IFERROR(__xludf.DUMMYFUNCTION("""COMPUTED_VALUE"""),1)</f>
        <v>1</v>
      </c>
      <c r="C1234" s="7">
        <f ca="1">IFERROR(__xludf.DUMMYFUNCTION("""COMPUTED_VALUE"""),1)</f>
        <v>1</v>
      </c>
      <c r="D1234" s="8">
        <f ca="1">IFERROR(__xludf.DUMMYFUNCTION("""COMPUTED_VALUE"""),5)</f>
        <v>5</v>
      </c>
      <c r="E1234" s="2">
        <f ca="1">IFERROR(__xludf.DUMMYFUNCTION("""COMPUTED_VALUE"""),2)</f>
        <v>2</v>
      </c>
    </row>
    <row r="1235" spans="1:5" ht="13">
      <c r="A1235" s="2" t="str">
        <f ca="1">IFERROR(__xludf.DUMMYFUNCTION("""COMPUTED_VALUE"""),"Caesar, William")</f>
        <v>Caesar, William</v>
      </c>
      <c r="B1235" s="3">
        <f ca="1">IFERROR(__xludf.DUMMYFUNCTION("""COMPUTED_VALUE"""),1)</f>
        <v>1</v>
      </c>
      <c r="C1235" s="7">
        <f ca="1">IFERROR(__xludf.DUMMYFUNCTION("""COMPUTED_VALUE"""),1)</f>
        <v>1</v>
      </c>
      <c r="D1235" s="8">
        <f ca="1">IFERROR(__xludf.DUMMYFUNCTION("""COMPUTED_VALUE"""),5)</f>
        <v>5</v>
      </c>
      <c r="E1235" s="2">
        <f ca="1">IFERROR(__xludf.DUMMYFUNCTION("""COMPUTED_VALUE"""),2)</f>
        <v>2</v>
      </c>
    </row>
    <row r="1236" spans="1:5" ht="13">
      <c r="A1236" s="2" t="str">
        <f ca="1">IFERROR(__xludf.DUMMYFUNCTION("""COMPUTED_VALUE"""),"Cafarella, Antonio")</f>
        <v>Cafarella, Antonio</v>
      </c>
      <c r="B1236" s="2">
        <f ca="1">IFERROR(__xludf.DUMMYFUNCTION("""COMPUTED_VALUE"""),1)</f>
        <v>1</v>
      </c>
      <c r="C1236" s="7">
        <f ca="1">IFERROR(__xludf.DUMMYFUNCTION("""COMPUTED_VALUE"""),1)</f>
        <v>1</v>
      </c>
      <c r="D1236" s="8">
        <f ca="1">IFERROR(__xludf.DUMMYFUNCTION("""COMPUTED_VALUE"""),5)</f>
        <v>5</v>
      </c>
      <c r="E1236" s="2">
        <f ca="1">IFERROR(__xludf.DUMMYFUNCTION("""COMPUTED_VALUE"""),2)</f>
        <v>2</v>
      </c>
    </row>
    <row r="1237" spans="1:5" ht="13">
      <c r="A1237" s="8" t="str">
        <f ca="1">IFERROR(__xludf.DUMMYFUNCTION("""COMPUTED_VALUE"""),"Cage, John")</f>
        <v>Cage, John</v>
      </c>
      <c r="B1237" s="3">
        <f ca="1">IFERROR(__xludf.DUMMYFUNCTION("""COMPUTED_VALUE"""),1)</f>
        <v>1</v>
      </c>
      <c r="C1237" s="7">
        <f ca="1">IFERROR(__xludf.DUMMYFUNCTION("""COMPUTED_VALUE"""),1)</f>
        <v>1</v>
      </c>
      <c r="D1237" s="8">
        <f ca="1">IFERROR(__xludf.DUMMYFUNCTION("""COMPUTED_VALUE"""),5)</f>
        <v>5</v>
      </c>
      <c r="E1237" s="2">
        <f ca="1">IFERROR(__xludf.DUMMYFUNCTION("""COMPUTED_VALUE"""),2)</f>
        <v>2</v>
      </c>
    </row>
    <row r="1238" spans="1:5" ht="13">
      <c r="A1238" s="2" t="str">
        <f ca="1">IFERROR(__xludf.DUMMYFUNCTION("""COMPUTED_VALUE"""),"Cagle, A. Marcus")</f>
        <v>Cagle, A. Marcus</v>
      </c>
      <c r="B1238" s="3">
        <f ca="1">IFERROR(__xludf.DUMMYFUNCTION("""COMPUTED_VALUE"""),1)</f>
        <v>1</v>
      </c>
      <c r="C1238" s="7">
        <f ca="1">IFERROR(__xludf.DUMMYFUNCTION("""COMPUTED_VALUE"""),1)</f>
        <v>1</v>
      </c>
      <c r="D1238" s="8">
        <f ca="1">IFERROR(__xludf.DUMMYFUNCTION("""COMPUTED_VALUE"""),1)</f>
        <v>1</v>
      </c>
      <c r="E1238" s="2">
        <f ca="1">IFERROR(__xludf.DUMMYFUNCTION("""COMPUTED_VALUE"""),1)</f>
        <v>1</v>
      </c>
    </row>
    <row r="1239" spans="1:5" ht="13">
      <c r="A1239" s="2" t="str">
        <f ca="1">IFERROR(__xludf.DUMMYFUNCTION("""COMPUTED_VALUE"""),"Cahn, Bill")</f>
        <v>Cahn, Bill</v>
      </c>
      <c r="B1239" s="3">
        <f ca="1">IFERROR(__xludf.DUMMYFUNCTION("""COMPUTED_VALUE"""),1)</f>
        <v>1</v>
      </c>
      <c r="C1239" s="7">
        <f ca="1">IFERROR(__xludf.DUMMYFUNCTION("""COMPUTED_VALUE"""),1)</f>
        <v>1</v>
      </c>
      <c r="D1239" s="8">
        <f ca="1">IFERROR(__xludf.DUMMYFUNCTION("""COMPUTED_VALUE"""),1)</f>
        <v>1</v>
      </c>
      <c r="E1239" s="2">
        <f ca="1">IFERROR(__xludf.DUMMYFUNCTION("""COMPUTED_VALUE"""),1)</f>
        <v>1</v>
      </c>
    </row>
    <row r="1240" spans="1:5" ht="13">
      <c r="A1240" s="2" t="str">
        <f ca="1">IFERROR(__xludf.DUMMYFUNCTION("""COMPUTED_VALUE"""),"Cahn, Sammy")</f>
        <v>Cahn, Sammy</v>
      </c>
      <c r="B1240" s="3">
        <f ca="1">IFERROR(__xludf.DUMMYFUNCTION("""COMPUTED_VALUE"""),1)</f>
        <v>1</v>
      </c>
      <c r="C1240" s="7">
        <f ca="1">IFERROR(__xludf.DUMMYFUNCTION("""COMPUTED_VALUE"""),1)</f>
        <v>1</v>
      </c>
      <c r="D1240" s="8">
        <f ca="1">IFERROR(__xludf.DUMMYFUNCTION("""COMPUTED_VALUE"""),5)</f>
        <v>5</v>
      </c>
      <c r="E1240" s="2">
        <f ca="1">IFERROR(__xludf.DUMMYFUNCTION("""COMPUTED_VALUE"""),2)</f>
        <v>2</v>
      </c>
    </row>
    <row r="1241" spans="1:5" ht="13">
      <c r="A1241" s="2" t="str">
        <f ca="1">IFERROR(__xludf.DUMMYFUNCTION("""COMPUTED_VALUE"""),"Cahn, Sammy / Lane, Ken")</f>
        <v>Cahn, Sammy / Lane, Ken</v>
      </c>
      <c r="B1241" s="2">
        <f ca="1">IFERROR(__xludf.DUMMYFUNCTION("""COMPUTED_VALUE"""),1)</f>
        <v>1</v>
      </c>
      <c r="C1241" s="7">
        <f ca="1">IFERROR(__xludf.DUMMYFUNCTION("""COMPUTED_VALUE"""),1)</f>
        <v>1</v>
      </c>
      <c r="D1241" s="8">
        <f ca="1">IFERROR(__xludf.DUMMYFUNCTION("""COMPUTED_VALUE"""),5)</f>
        <v>5</v>
      </c>
      <c r="E1241" s="2">
        <f ca="1">IFERROR(__xludf.DUMMYFUNCTION("""COMPUTED_VALUE"""),2)</f>
        <v>2</v>
      </c>
    </row>
    <row r="1242" spans="1:5" ht="13">
      <c r="A1242" s="2" t="str">
        <f ca="1">IFERROR(__xludf.DUMMYFUNCTION("""COMPUTED_VALUE"""),"Cahn, Sammy / Styne, Jule")</f>
        <v>Cahn, Sammy / Styne, Jule</v>
      </c>
      <c r="B1242" s="2">
        <f ca="1">IFERROR(__xludf.DUMMYFUNCTION("""COMPUTED_VALUE"""),1)</f>
        <v>1</v>
      </c>
      <c r="C1242" s="7">
        <f ca="1">IFERROR(__xludf.DUMMYFUNCTION("""COMPUTED_VALUE"""),1)</f>
        <v>1</v>
      </c>
      <c r="D1242" s="8">
        <f ca="1">IFERROR(__xludf.DUMMYFUNCTION("""COMPUTED_VALUE"""),5)</f>
        <v>5</v>
      </c>
      <c r="E1242" s="2">
        <f ca="1">IFERROR(__xludf.DUMMYFUNCTION("""COMPUTED_VALUE"""),2)</f>
        <v>2</v>
      </c>
    </row>
    <row r="1243" spans="1:5" ht="13">
      <c r="A1243" s="8" t="str">
        <f ca="1">IFERROR(__xludf.DUMMYFUNCTION("""COMPUTED_VALUE"""),"Cahn, Sammy / Van Heusen, Jimmy")</f>
        <v>Cahn, Sammy / Van Heusen, Jimmy</v>
      </c>
      <c r="B1243" s="2">
        <f ca="1">IFERROR(__xludf.DUMMYFUNCTION("""COMPUTED_VALUE"""),1)</f>
        <v>1</v>
      </c>
      <c r="C1243" s="7">
        <f ca="1">IFERROR(__xludf.DUMMYFUNCTION("""COMPUTED_VALUE"""),1)</f>
        <v>1</v>
      </c>
      <c r="D1243" s="8">
        <f ca="1">IFERROR(__xludf.DUMMYFUNCTION("""COMPUTED_VALUE"""),5)</f>
        <v>5</v>
      </c>
      <c r="E1243" s="2">
        <f ca="1">IFERROR(__xludf.DUMMYFUNCTION("""COMPUTED_VALUE"""),2)</f>
        <v>2</v>
      </c>
    </row>
    <row r="1244" spans="1:5" ht="13">
      <c r="A1244" s="8" t="str">
        <f ca="1">IFERROR(__xludf.DUMMYFUNCTION("""COMPUTED_VALUE"""),"Cahn, William L.")</f>
        <v>Cahn, William L.</v>
      </c>
      <c r="B1244" s="3">
        <f ca="1">IFERROR(__xludf.DUMMYFUNCTION("""COMPUTED_VALUE"""),1)</f>
        <v>1</v>
      </c>
      <c r="C1244" s="7">
        <f ca="1">IFERROR(__xludf.DUMMYFUNCTION("""COMPUTED_VALUE"""),1)</f>
        <v>1</v>
      </c>
      <c r="D1244" s="8">
        <f ca="1">IFERROR(__xludf.DUMMYFUNCTION("""COMPUTED_VALUE"""),1)</f>
        <v>1</v>
      </c>
      <c r="E1244" s="2">
        <f ca="1">IFERROR(__xludf.DUMMYFUNCTION("""COMPUTED_VALUE"""),1)</f>
        <v>1</v>
      </c>
    </row>
    <row r="1245" spans="1:5" ht="13">
      <c r="A1245" s="2" t="str">
        <f ca="1">IFERROR(__xludf.DUMMYFUNCTION("""COMPUTED_VALUE"""),"Cahuzac, Louis")</f>
        <v>Cahuzac, Louis</v>
      </c>
      <c r="B1245" s="2">
        <f ca="1">IFERROR(__xludf.DUMMYFUNCTION("""COMPUTED_VALUE"""),1)</f>
        <v>1</v>
      </c>
      <c r="C1245" s="7">
        <f ca="1">IFERROR(__xludf.DUMMYFUNCTION("""COMPUTED_VALUE"""),1)</f>
        <v>1</v>
      </c>
      <c r="D1245" s="8">
        <f ca="1">IFERROR(__xludf.DUMMYFUNCTION("""COMPUTED_VALUE"""),5)</f>
        <v>5</v>
      </c>
      <c r="E1245" s="2">
        <f ca="1">IFERROR(__xludf.DUMMYFUNCTION("""COMPUTED_VALUE"""),2)</f>
        <v>2</v>
      </c>
    </row>
    <row r="1246" spans="1:5" ht="13">
      <c r="A1246" s="8" t="str">
        <f ca="1">IFERROR(__xludf.DUMMYFUNCTION("""COMPUTED_VALUE"""),"Cailliet, Lucien")</f>
        <v>Cailliet, Lucien</v>
      </c>
      <c r="B1246" s="3">
        <f ca="1">IFERROR(__xludf.DUMMYFUNCTION("""COMPUTED_VALUE"""),1)</f>
        <v>1</v>
      </c>
      <c r="C1246" s="7">
        <f ca="1">IFERROR(__xludf.DUMMYFUNCTION("""COMPUTED_VALUE"""),1)</f>
        <v>1</v>
      </c>
      <c r="D1246" s="8">
        <f ca="1">IFERROR(__xludf.DUMMYFUNCTION("""COMPUTED_VALUE"""),5)</f>
        <v>5</v>
      </c>
      <c r="E1246" s="2">
        <f ca="1">IFERROR(__xludf.DUMMYFUNCTION("""COMPUTED_VALUE"""),2)</f>
        <v>2</v>
      </c>
    </row>
    <row r="1247" spans="1:5" ht="13">
      <c r="A1247" s="2" t="str">
        <f ca="1">IFERROR(__xludf.DUMMYFUNCTION("""COMPUTED_VALUE"""),"Cailliet, Lucien / Rogers, R. Mark")</f>
        <v>Cailliet, Lucien / Rogers, R. Mark</v>
      </c>
      <c r="B1247" s="2">
        <f ca="1">IFERROR(__xludf.DUMMYFUNCTION("""COMPUTED_VALUE"""),1)</f>
        <v>1</v>
      </c>
      <c r="C1247" s="2">
        <f ca="1">IFERROR(__xludf.DUMMYFUNCTION("""COMPUTED_VALUE"""),1)</f>
        <v>1</v>
      </c>
      <c r="D1247" s="8">
        <f ca="1">IFERROR(__xludf.DUMMYFUNCTION("""COMPUTED_VALUE"""),5)</f>
        <v>5</v>
      </c>
      <c r="E1247" s="2">
        <f ca="1">IFERROR(__xludf.DUMMYFUNCTION("""COMPUTED_VALUE"""),2)</f>
        <v>2</v>
      </c>
    </row>
    <row r="1248" spans="1:5" ht="13">
      <c r="A1248" s="2" t="str">
        <f ca="1">IFERROR(__xludf.DUMMYFUNCTION("""COMPUTED_VALUE"""),"Caimo, Gioseppe")</f>
        <v>Caimo, Gioseppe</v>
      </c>
      <c r="B1248" s="3">
        <f ca="1">IFERROR(__xludf.DUMMYFUNCTION("""COMPUTED_VALUE"""),1)</f>
        <v>1</v>
      </c>
      <c r="C1248" s="7">
        <f ca="1">IFERROR(__xludf.DUMMYFUNCTION("""COMPUTED_VALUE"""),1)</f>
        <v>1</v>
      </c>
      <c r="D1248" s="8">
        <f ca="1">IFERROR(__xludf.DUMMYFUNCTION("""COMPUTED_VALUE"""),5)</f>
        <v>5</v>
      </c>
      <c r="E1248" s="2">
        <f ca="1">IFERROR(__xludf.DUMMYFUNCTION("""COMPUTED_VALUE"""),2)</f>
        <v>2</v>
      </c>
    </row>
    <row r="1249" spans="1:5" ht="13">
      <c r="A1249" s="2" t="str">
        <f ca="1">IFERROR(__xludf.DUMMYFUNCTION("""COMPUTED_VALUE"""),"Cain, Noble")</f>
        <v>Cain, Noble</v>
      </c>
      <c r="B1249" s="3">
        <f ca="1">IFERROR(__xludf.DUMMYFUNCTION("""COMPUTED_VALUE"""),1)</f>
        <v>1</v>
      </c>
      <c r="C1249" s="7">
        <f ca="1">IFERROR(__xludf.DUMMYFUNCTION("""COMPUTED_VALUE"""),1)</f>
        <v>1</v>
      </c>
      <c r="D1249" s="8">
        <f ca="1">IFERROR(__xludf.DUMMYFUNCTION("""COMPUTED_VALUE"""),5)</f>
        <v>5</v>
      </c>
      <c r="E1249" s="2">
        <f ca="1">IFERROR(__xludf.DUMMYFUNCTION("""COMPUTED_VALUE"""),2)</f>
        <v>2</v>
      </c>
    </row>
    <row r="1250" spans="1:5" ht="13">
      <c r="A1250" s="8" t="str">
        <f ca="1">IFERROR(__xludf.DUMMYFUNCTION("""COMPUTED_VALUE"""),"Caine, Uri")</f>
        <v>Caine, Uri</v>
      </c>
      <c r="B1250" s="3">
        <f ca="1">IFERROR(__xludf.DUMMYFUNCTION("""COMPUTED_VALUE"""),1)</f>
        <v>1</v>
      </c>
      <c r="C1250" s="7">
        <f ca="1">IFERROR(__xludf.DUMMYFUNCTION("""COMPUTED_VALUE"""),1)</f>
        <v>1</v>
      </c>
      <c r="D1250" s="8">
        <f ca="1">IFERROR(__xludf.DUMMYFUNCTION("""COMPUTED_VALUE"""),1)</f>
        <v>1</v>
      </c>
      <c r="E1250" s="2">
        <f ca="1">IFERROR(__xludf.DUMMYFUNCTION("""COMPUTED_VALUE"""),1)</f>
        <v>1</v>
      </c>
    </row>
    <row r="1251" spans="1:5" ht="13">
      <c r="A1251" s="2" t="str">
        <f ca="1">IFERROR(__xludf.DUMMYFUNCTION("""COMPUTED_VALUE"""),"Cairns, Zachary")</f>
        <v>Cairns, Zachary</v>
      </c>
      <c r="B1251" s="3">
        <f ca="1">IFERROR(__xludf.DUMMYFUNCTION("""COMPUTED_VALUE"""),1)</f>
        <v>1</v>
      </c>
      <c r="C1251" s="7">
        <f ca="1">IFERROR(__xludf.DUMMYFUNCTION("""COMPUTED_VALUE"""),1)</f>
        <v>1</v>
      </c>
      <c r="D1251" s="8">
        <f ca="1">IFERROR(__xludf.DUMMYFUNCTION("""COMPUTED_VALUE"""),1)</f>
        <v>1</v>
      </c>
      <c r="E1251" s="2">
        <f ca="1">IFERROR(__xludf.DUMMYFUNCTION("""COMPUTED_VALUE"""),1)</f>
        <v>1</v>
      </c>
    </row>
    <row r="1252" spans="1:5" ht="13">
      <c r="A1252" s="2" t="str">
        <f ca="1">IFERROR(__xludf.DUMMYFUNCTION("""COMPUTED_VALUE"""),"Caix d'Hervelois, Louis de")</f>
        <v>Caix d'Hervelois, Louis de</v>
      </c>
      <c r="B1252" s="3">
        <f ca="1">IFERROR(__xludf.DUMMYFUNCTION("""COMPUTED_VALUE"""),1)</f>
        <v>1</v>
      </c>
      <c r="C1252" s="7">
        <f ca="1">IFERROR(__xludf.DUMMYFUNCTION("""COMPUTED_VALUE"""),1)</f>
        <v>1</v>
      </c>
      <c r="D1252" s="8">
        <f ca="1">IFERROR(__xludf.DUMMYFUNCTION("""COMPUTED_VALUE"""),5)</f>
        <v>5</v>
      </c>
      <c r="E1252" s="2">
        <f ca="1">IFERROR(__xludf.DUMMYFUNCTION("""COMPUTED_VALUE"""),2)</f>
        <v>2</v>
      </c>
    </row>
    <row r="1253" spans="1:5" ht="13">
      <c r="A1253" s="2" t="str">
        <f ca="1">IFERROR(__xludf.DUMMYFUNCTION("""COMPUTED_VALUE"""),"Calabro, Louis")</f>
        <v>Calabro, Louis</v>
      </c>
      <c r="B1253" s="3">
        <f ca="1">IFERROR(__xludf.DUMMYFUNCTION("""COMPUTED_VALUE"""),1)</f>
        <v>1</v>
      </c>
      <c r="C1253" s="7">
        <f ca="1">IFERROR(__xludf.DUMMYFUNCTION("""COMPUTED_VALUE"""),1)</f>
        <v>1</v>
      </c>
      <c r="D1253" s="8">
        <f ca="1">IFERROR(__xludf.DUMMYFUNCTION("""COMPUTED_VALUE"""),5)</f>
        <v>5</v>
      </c>
      <c r="E1253" s="2">
        <f ca="1">IFERROR(__xludf.DUMMYFUNCTION("""COMPUTED_VALUE"""),2)</f>
        <v>2</v>
      </c>
    </row>
    <row r="1254" spans="1:5" ht="13">
      <c r="A1254" s="8" t="str">
        <f ca="1">IFERROR(__xludf.DUMMYFUNCTION("""COMPUTED_VALUE"""),"Caldara, Antonio")</f>
        <v>Caldara, Antonio</v>
      </c>
      <c r="B1254" s="3">
        <f ca="1">IFERROR(__xludf.DUMMYFUNCTION("""COMPUTED_VALUE"""),1)</f>
        <v>1</v>
      </c>
      <c r="C1254" s="7">
        <f ca="1">IFERROR(__xludf.DUMMYFUNCTION("""COMPUTED_VALUE"""),1)</f>
        <v>1</v>
      </c>
      <c r="D1254" s="8">
        <f ca="1">IFERROR(__xludf.DUMMYFUNCTION("""COMPUTED_VALUE"""),5)</f>
        <v>5</v>
      </c>
      <c r="E1254" s="2">
        <f ca="1">IFERROR(__xludf.DUMMYFUNCTION("""COMPUTED_VALUE"""),2)</f>
        <v>2</v>
      </c>
    </row>
    <row r="1255" spans="1:5" ht="13">
      <c r="A1255" s="2" t="str">
        <f ca="1">IFERROR(__xludf.DUMMYFUNCTION("""COMPUTED_VALUE"""),"Calderazzo, Joey")</f>
        <v>Calderazzo, Joey</v>
      </c>
      <c r="B1255" s="3">
        <f ca="1">IFERROR(__xludf.DUMMYFUNCTION("""COMPUTED_VALUE"""),1)</f>
        <v>1</v>
      </c>
      <c r="C1255" s="7">
        <f ca="1">IFERROR(__xludf.DUMMYFUNCTION("""COMPUTED_VALUE"""),1)</f>
        <v>1</v>
      </c>
      <c r="D1255" s="8">
        <f ca="1">IFERROR(__xludf.DUMMYFUNCTION("""COMPUTED_VALUE"""),1)</f>
        <v>1</v>
      </c>
      <c r="E1255" s="2">
        <f ca="1">IFERROR(__xludf.DUMMYFUNCTION("""COMPUTED_VALUE"""),1)</f>
        <v>1</v>
      </c>
    </row>
    <row r="1256" spans="1:5" ht="13">
      <c r="A1256" s="8" t="str">
        <f ca="1">IFERROR(__xludf.DUMMYFUNCTION("""COMPUTED_VALUE"""),"Caldwell, Paul / Ivory, Sean")</f>
        <v>Caldwell, Paul / Ivory, Sean</v>
      </c>
      <c r="B1256" s="3">
        <f ca="1">IFERROR(__xludf.DUMMYFUNCTION("""COMPUTED_VALUE"""),1)</f>
        <v>1</v>
      </c>
      <c r="C1256" s="7">
        <f ca="1">IFERROR(__xludf.DUMMYFUNCTION("""COMPUTED_VALUE"""),1)</f>
        <v>1</v>
      </c>
      <c r="D1256" s="8">
        <f ca="1">IFERROR(__xludf.DUMMYFUNCTION("""COMPUTED_VALUE"""),1)</f>
        <v>1</v>
      </c>
      <c r="E1256" s="2">
        <f ca="1">IFERROR(__xludf.DUMMYFUNCTION("""COMPUTED_VALUE"""),1)</f>
        <v>1</v>
      </c>
    </row>
    <row r="1257" spans="1:5" ht="13">
      <c r="A1257" s="2" t="str">
        <f ca="1">IFERROR(__xludf.DUMMYFUNCTION("""COMPUTED_VALUE"""),"Caldwell, Paul and Ivory, Sean")</f>
        <v>Caldwell, Paul and Ivory, Sean</v>
      </c>
      <c r="B1257" s="2">
        <f ca="1">IFERROR(__xludf.DUMMYFUNCTION("""COMPUTED_VALUE"""),1)</f>
        <v>1</v>
      </c>
      <c r="C1257" s="7">
        <f ca="1">IFERROR(__xludf.DUMMYFUNCTION("""COMPUTED_VALUE"""),1)</f>
        <v>1</v>
      </c>
      <c r="D1257" s="8">
        <f ca="1">IFERROR(__xludf.DUMMYFUNCTION("""COMPUTED_VALUE"""),1)</f>
        <v>1</v>
      </c>
      <c r="E1257" s="2">
        <f ca="1">IFERROR(__xludf.DUMMYFUNCTION("""COMPUTED_VALUE"""),1)</f>
        <v>1</v>
      </c>
    </row>
    <row r="1258" spans="1:5" ht="13">
      <c r="A1258" s="2" t="str">
        <f ca="1">IFERROR(__xludf.DUMMYFUNCTION("""COMPUTED_VALUE"""),"Caldwell, Stephen")</f>
        <v>Caldwell, Stephen</v>
      </c>
      <c r="B1258" s="2">
        <f ca="1">IFERROR(__xludf.DUMMYFUNCTION("""COMPUTED_VALUE"""),1)</f>
        <v>1</v>
      </c>
      <c r="C1258" s="7">
        <f ca="1">IFERROR(__xludf.DUMMYFUNCTION("""COMPUTED_VALUE"""),1)</f>
        <v>1</v>
      </c>
      <c r="D1258" s="8">
        <f ca="1">IFERROR(__xludf.DUMMYFUNCTION("""COMPUTED_VALUE"""),1)</f>
        <v>1</v>
      </c>
      <c r="E1258" s="2">
        <f ca="1">IFERROR(__xludf.DUMMYFUNCTION("""COMPUTED_VALUE"""),1)</f>
        <v>1</v>
      </c>
    </row>
    <row r="1259" spans="1:5" ht="13">
      <c r="A1259" s="8" t="str">
        <f ca="1">IFERROR(__xludf.DUMMYFUNCTION("""COMPUTED_VALUE"""),"Calhoun, Bill")</f>
        <v>Calhoun, Bill</v>
      </c>
      <c r="B1259" s="3">
        <f ca="1">IFERROR(__xludf.DUMMYFUNCTION("""COMPUTED_VALUE"""),1)</f>
        <v>1</v>
      </c>
      <c r="C1259" s="7">
        <f ca="1">IFERROR(__xludf.DUMMYFUNCTION("""COMPUTED_VALUE"""),1)</f>
        <v>1</v>
      </c>
      <c r="D1259" s="8">
        <f ca="1">IFERROR(__xludf.DUMMYFUNCTION("""COMPUTED_VALUE"""),1)</f>
        <v>1</v>
      </c>
      <c r="E1259" s="2">
        <f ca="1">IFERROR(__xludf.DUMMYFUNCTION("""COMPUTED_VALUE"""),1)</f>
        <v>1</v>
      </c>
    </row>
    <row r="1260" spans="1:5" ht="13">
      <c r="A1260" s="2" t="str">
        <f ca="1">IFERROR(__xludf.DUMMYFUNCTION("""COMPUTED_VALUE"""),"Calianno, Vincent")</f>
        <v>Calianno, Vincent</v>
      </c>
      <c r="B1260" s="3">
        <f ca="1">IFERROR(__xludf.DUMMYFUNCTION("""COMPUTED_VALUE"""),1)</f>
        <v>1</v>
      </c>
      <c r="C1260" s="7">
        <f ca="1">IFERROR(__xludf.DUMMYFUNCTION("""COMPUTED_VALUE"""),1)</f>
        <v>1</v>
      </c>
      <c r="D1260" s="8">
        <f ca="1">IFERROR(__xludf.DUMMYFUNCTION("""COMPUTED_VALUE"""),1)</f>
        <v>1</v>
      </c>
      <c r="E1260" s="2">
        <f ca="1">IFERROR(__xludf.DUMMYFUNCTION("""COMPUTED_VALUE"""),1)</f>
        <v>1</v>
      </c>
    </row>
    <row r="1261" spans="1:5" ht="13">
      <c r="A1261" s="8" t="str">
        <f ca="1">IFERROR(__xludf.DUMMYFUNCTION("""COMPUTED_VALUE"""),"Callahan, Charles")</f>
        <v>Callahan, Charles</v>
      </c>
      <c r="B1261" s="3">
        <f ca="1">IFERROR(__xludf.DUMMYFUNCTION("""COMPUTED_VALUE"""),1)</f>
        <v>1</v>
      </c>
      <c r="C1261" s="7">
        <f ca="1">IFERROR(__xludf.DUMMYFUNCTION("""COMPUTED_VALUE"""),1)</f>
        <v>1</v>
      </c>
      <c r="D1261" s="8">
        <f ca="1">IFERROR(__xludf.DUMMYFUNCTION("""COMPUTED_VALUE"""),1)</f>
        <v>1</v>
      </c>
      <c r="E1261" s="2">
        <f ca="1">IFERROR(__xludf.DUMMYFUNCTION("""COMPUTED_VALUE"""),1)</f>
        <v>1</v>
      </c>
    </row>
    <row r="1262" spans="1:5" ht="13">
      <c r="A1262" s="8" t="str">
        <f ca="1">IFERROR(__xludf.DUMMYFUNCTION("""COMPUTED_VALUE"""),"Calle, Oriol Lopez")</f>
        <v>Calle, Oriol Lopez</v>
      </c>
      <c r="B1262" s="3">
        <f ca="1">IFERROR(__xludf.DUMMYFUNCTION("""COMPUTED_VALUE"""),1)</f>
        <v>1</v>
      </c>
      <c r="C1262" s="7">
        <f ca="1">IFERROR(__xludf.DUMMYFUNCTION("""COMPUTED_VALUE"""),1)</f>
        <v>1</v>
      </c>
      <c r="D1262" s="8">
        <f ca="1">IFERROR(__xludf.DUMMYFUNCTION("""COMPUTED_VALUE"""),1)</f>
        <v>1</v>
      </c>
      <c r="E1262" s="2">
        <f ca="1">IFERROR(__xludf.DUMMYFUNCTION("""COMPUTED_VALUE"""),1)</f>
        <v>1</v>
      </c>
    </row>
    <row r="1263" spans="1:5" ht="13">
      <c r="A1263" s="8" t="str">
        <f ca="1">IFERROR(__xludf.DUMMYFUNCTION("""COMPUTED_VALUE"""),"Calvert, Morley")</f>
        <v>Calvert, Morley</v>
      </c>
      <c r="B1263" s="3">
        <f ca="1">IFERROR(__xludf.DUMMYFUNCTION("""COMPUTED_VALUE"""),1)</f>
        <v>1</v>
      </c>
      <c r="C1263" s="7">
        <f ca="1">IFERROR(__xludf.DUMMYFUNCTION("""COMPUTED_VALUE"""),1)</f>
        <v>1</v>
      </c>
      <c r="D1263" s="8">
        <f ca="1">IFERROR(__xludf.DUMMYFUNCTION("""COMPUTED_VALUE"""),5)</f>
        <v>5</v>
      </c>
      <c r="E1263" s="2">
        <f ca="1">IFERROR(__xludf.DUMMYFUNCTION("""COMPUTED_VALUE"""),2)</f>
        <v>2</v>
      </c>
    </row>
    <row r="1264" spans="1:5" ht="13">
      <c r="A1264" s="8" t="str">
        <f ca="1">IFERROR(__xludf.DUMMYFUNCTION("""COMPUTED_VALUE"""),"Calvert, Stuart")</f>
        <v>Calvert, Stuart</v>
      </c>
      <c r="B1264" s="3">
        <f ca="1">IFERROR(__xludf.DUMMYFUNCTION("""COMPUTED_VALUE"""),1)</f>
        <v>1</v>
      </c>
      <c r="C1264" s="7">
        <f ca="1">IFERROR(__xludf.DUMMYFUNCTION("""COMPUTED_VALUE"""),1)</f>
        <v>1</v>
      </c>
      <c r="D1264" s="8">
        <f ca="1">IFERROR(__xludf.DUMMYFUNCTION("""COMPUTED_VALUE"""),1)</f>
        <v>1</v>
      </c>
      <c r="E1264" s="2">
        <f ca="1">IFERROR(__xludf.DUMMYFUNCTION("""COMPUTED_VALUE"""),1)</f>
        <v>1</v>
      </c>
    </row>
    <row r="1265" spans="1:5" ht="13">
      <c r="A1265" s="8" t="str">
        <f ca="1">IFERROR(__xludf.DUMMYFUNCTION("""COMPUTED_VALUE"""),"Calvin, D.")</f>
        <v>Calvin, D.</v>
      </c>
      <c r="B1265" s="3">
        <f ca="1">IFERROR(__xludf.DUMMYFUNCTION("""COMPUTED_VALUE"""),1)</f>
        <v>1</v>
      </c>
      <c r="C1265" s="7">
        <f ca="1">IFERROR(__xludf.DUMMYFUNCTION("""COMPUTED_VALUE"""),1)</f>
        <v>1</v>
      </c>
      <c r="D1265" s="8">
        <f ca="1">IFERROR(__xludf.DUMMYFUNCTION("""COMPUTED_VALUE"""),5)</f>
        <v>5</v>
      </c>
      <c r="E1265" s="2">
        <f ca="1">IFERROR(__xludf.DUMMYFUNCTION("""COMPUTED_VALUE"""),2)</f>
        <v>2</v>
      </c>
    </row>
    <row r="1266" spans="1:5" ht="13">
      <c r="A1266" s="2" t="str">
        <f ca="1">IFERROR(__xludf.DUMMYFUNCTION("""COMPUTED_VALUE"""),"Calvin, Dot")</f>
        <v>Calvin, Dot</v>
      </c>
      <c r="B1266" s="3">
        <f ca="1">IFERROR(__xludf.DUMMYFUNCTION("""COMPUTED_VALUE"""),1)</f>
        <v>1</v>
      </c>
      <c r="C1266" s="7">
        <f ca="1">IFERROR(__xludf.DUMMYFUNCTION("""COMPUTED_VALUE"""),1)</f>
        <v>1</v>
      </c>
      <c r="D1266" s="8">
        <f ca="1">IFERROR(__xludf.DUMMYFUNCTION("""COMPUTED_VALUE"""),5)</f>
        <v>5</v>
      </c>
      <c r="E1266" s="2">
        <f ca="1">IFERROR(__xludf.DUMMYFUNCTION("""COMPUTED_VALUE"""),2)</f>
        <v>2</v>
      </c>
    </row>
    <row r="1267" spans="1:5" ht="13">
      <c r="A1267" s="2" t="str">
        <f ca="1">IFERROR(__xludf.DUMMYFUNCTION("""COMPUTED_VALUE"""),"Calvisius, Sethus")</f>
        <v>Calvisius, Sethus</v>
      </c>
      <c r="B1267" s="3">
        <f ca="1">IFERROR(__xludf.DUMMYFUNCTION("""COMPUTED_VALUE"""),1)</f>
        <v>1</v>
      </c>
      <c r="C1267" s="7">
        <f ca="1">IFERROR(__xludf.DUMMYFUNCTION("""COMPUTED_VALUE"""),1)</f>
        <v>1</v>
      </c>
      <c r="D1267" s="8">
        <f ca="1">IFERROR(__xludf.DUMMYFUNCTION("""COMPUTED_VALUE"""),5)</f>
        <v>5</v>
      </c>
      <c r="E1267" s="2">
        <f ca="1">IFERROR(__xludf.DUMMYFUNCTION("""COMPUTED_VALUE"""),2)</f>
        <v>2</v>
      </c>
    </row>
    <row r="1268" spans="1:5" ht="13">
      <c r="A1268" s="2" t="str">
        <f ca="1">IFERROR(__xludf.DUMMYFUNCTION("""COMPUTED_VALUE"""),"Camarata, Salvadore / Reed, Alfred")</f>
        <v>Camarata, Salvadore / Reed, Alfred</v>
      </c>
      <c r="B1268" s="2">
        <f ca="1">IFERROR(__xludf.DUMMYFUNCTION("""COMPUTED_VALUE"""),1)</f>
        <v>1</v>
      </c>
      <c r="C1268" s="2">
        <f ca="1">IFERROR(__xludf.DUMMYFUNCTION("""COMPUTED_VALUE"""),1)</f>
        <v>1</v>
      </c>
      <c r="D1268" s="8">
        <f ca="1">IFERROR(__xludf.DUMMYFUNCTION("""COMPUTED_VALUE"""),5)</f>
        <v>5</v>
      </c>
      <c r="E1268" s="2">
        <f ca="1">IFERROR(__xludf.DUMMYFUNCTION("""COMPUTED_VALUE"""),2)</f>
        <v>2</v>
      </c>
    </row>
    <row r="1269" spans="1:5" ht="13">
      <c r="A1269" s="2" t="str">
        <f ca="1">IFERROR(__xludf.DUMMYFUNCTION("""COMPUTED_VALUE"""),"Cambio, Perissone")</f>
        <v>Cambio, Perissone</v>
      </c>
      <c r="B1269" s="3">
        <f ca="1">IFERROR(__xludf.DUMMYFUNCTION("""COMPUTED_VALUE"""),1)</f>
        <v>1</v>
      </c>
      <c r="C1269" s="7">
        <f ca="1">IFERROR(__xludf.DUMMYFUNCTION("""COMPUTED_VALUE"""),1)</f>
        <v>1</v>
      </c>
      <c r="D1269" s="8">
        <f ca="1">IFERROR(__xludf.DUMMYFUNCTION("""COMPUTED_VALUE"""),5)</f>
        <v>5</v>
      </c>
      <c r="E1269" s="2">
        <f ca="1">IFERROR(__xludf.DUMMYFUNCTION("""COMPUTED_VALUE"""),2)</f>
        <v>2</v>
      </c>
    </row>
    <row r="1270" spans="1:5" ht="13">
      <c r="A1270" s="2" t="str">
        <f ca="1">IFERROR(__xludf.DUMMYFUNCTION("""COMPUTED_VALUE"""),"Camerloher, Placidus von")</f>
        <v>Camerloher, Placidus von</v>
      </c>
      <c r="B1270" s="3">
        <f ca="1">IFERROR(__xludf.DUMMYFUNCTION("""COMPUTED_VALUE"""),1)</f>
        <v>1</v>
      </c>
      <c r="C1270" s="7">
        <f ca="1">IFERROR(__xludf.DUMMYFUNCTION("""COMPUTED_VALUE"""),1)</f>
        <v>1</v>
      </c>
      <c r="D1270" s="8">
        <f ca="1">IFERROR(__xludf.DUMMYFUNCTION("""COMPUTED_VALUE"""),5)</f>
        <v>5</v>
      </c>
      <c r="E1270" s="2">
        <f ca="1">IFERROR(__xludf.DUMMYFUNCTION("""COMPUTED_VALUE"""),2)</f>
        <v>2</v>
      </c>
    </row>
    <row r="1271" spans="1:5" ht="13">
      <c r="A1271" s="2" t="str">
        <f ca="1">IFERROR(__xludf.DUMMYFUNCTION("""COMPUTED_VALUE"""),"Cameron, Robert")</f>
        <v>Cameron, Robert</v>
      </c>
      <c r="B1271" s="3">
        <f ca="1">IFERROR(__xludf.DUMMYFUNCTION("""COMPUTED_VALUE"""),1)</f>
        <v>1</v>
      </c>
      <c r="C1271" s="7">
        <f ca="1">IFERROR(__xludf.DUMMYFUNCTION("""COMPUTED_VALUE"""),1)</f>
        <v>1</v>
      </c>
      <c r="D1271" s="8">
        <f ca="1">IFERROR(__xludf.DUMMYFUNCTION("""COMPUTED_VALUE"""),1)</f>
        <v>1</v>
      </c>
      <c r="E1271" s="2">
        <f ca="1">IFERROR(__xludf.DUMMYFUNCTION("""COMPUTED_VALUE"""),1)</f>
        <v>1</v>
      </c>
    </row>
    <row r="1272" spans="1:5" ht="13">
      <c r="A1272" s="2" t="str">
        <f ca="1">IFERROR(__xludf.DUMMYFUNCTION("""COMPUTED_VALUE"""),"Cameron, Wes")</f>
        <v>Cameron, Wes</v>
      </c>
      <c r="B1272" s="3">
        <f ca="1">IFERROR(__xludf.DUMMYFUNCTION("""COMPUTED_VALUE"""),1)</f>
        <v>1</v>
      </c>
      <c r="C1272" s="7">
        <f ca="1">IFERROR(__xludf.DUMMYFUNCTION("""COMPUTED_VALUE"""),1)</f>
        <v>1</v>
      </c>
      <c r="D1272" s="8">
        <f ca="1">IFERROR(__xludf.DUMMYFUNCTION("""COMPUTED_VALUE"""),1)</f>
        <v>1</v>
      </c>
      <c r="E1272" s="2">
        <f ca="1">IFERROR(__xludf.DUMMYFUNCTION("""COMPUTED_VALUE"""),1)</f>
        <v>1</v>
      </c>
    </row>
    <row r="1273" spans="1:5" ht="13">
      <c r="A1273" s="2" t="str">
        <f ca="1">IFERROR(__xludf.DUMMYFUNCTION("""COMPUTED_VALUE"""),"Camillo, Anthony")</f>
        <v>Camillo, Anthony</v>
      </c>
      <c r="B1273" s="2">
        <f ca="1">IFERROR(__xludf.DUMMYFUNCTION("""COMPUTED_VALUE"""),1)</f>
        <v>1</v>
      </c>
      <c r="C1273" s="2">
        <f ca="1">IFERROR(__xludf.DUMMYFUNCTION("""COMPUTED_VALUE"""),1)</f>
        <v>1</v>
      </c>
      <c r="D1273" s="8">
        <f ca="1">IFERROR(__xludf.DUMMYFUNCTION("""COMPUTED_VALUE"""),1)</f>
        <v>1</v>
      </c>
      <c r="E1273" s="2">
        <f ca="1">IFERROR(__xludf.DUMMYFUNCTION("""COMPUTED_VALUE"""),1)</f>
        <v>1</v>
      </c>
    </row>
    <row r="1274" spans="1:5" ht="13">
      <c r="A1274" s="2" t="str">
        <f ca="1">IFERROR(__xludf.DUMMYFUNCTION("""COMPUTED_VALUE"""),"Campbell-Watson, Frank")</f>
        <v>Campbell-Watson, Frank</v>
      </c>
      <c r="B1274" s="2">
        <f ca="1">IFERROR(__xludf.DUMMYFUNCTION("""COMPUTED_VALUE"""),1)</f>
        <v>1</v>
      </c>
      <c r="C1274" s="7">
        <f ca="1">IFERROR(__xludf.DUMMYFUNCTION("""COMPUTED_VALUE"""),1)</f>
        <v>1</v>
      </c>
      <c r="D1274" s="8">
        <f ca="1">IFERROR(__xludf.DUMMYFUNCTION("""COMPUTED_VALUE"""),5)</f>
        <v>5</v>
      </c>
      <c r="E1274" s="2">
        <f ca="1">IFERROR(__xludf.DUMMYFUNCTION("""COMPUTED_VALUE"""),2)</f>
        <v>2</v>
      </c>
    </row>
    <row r="1275" spans="1:5" ht="13">
      <c r="A1275" s="2" t="str">
        <f ca="1">IFERROR(__xludf.DUMMYFUNCTION("""COMPUTED_VALUE"""),"Campbell, Chris")</f>
        <v>Campbell, Chris</v>
      </c>
      <c r="B1275" s="3">
        <f ca="1">IFERROR(__xludf.DUMMYFUNCTION("""COMPUTED_VALUE"""),1)</f>
        <v>1</v>
      </c>
      <c r="C1275" s="7">
        <f ca="1">IFERROR(__xludf.DUMMYFUNCTION("""COMPUTED_VALUE"""),1)</f>
        <v>1</v>
      </c>
      <c r="D1275" s="8">
        <f ca="1">IFERROR(__xludf.DUMMYFUNCTION("""COMPUTED_VALUE"""),1)</f>
        <v>1</v>
      </c>
      <c r="E1275" s="2">
        <f ca="1">IFERROR(__xludf.DUMMYFUNCTION("""COMPUTED_VALUE"""),1)</f>
        <v>1</v>
      </c>
    </row>
    <row r="1276" spans="1:5" ht="13">
      <c r="A1276" s="8" t="str">
        <f ca="1">IFERROR(__xludf.DUMMYFUNCTION("""COMPUTED_VALUE"""),"Campbell, Douglas")</f>
        <v>Campbell, Douglas</v>
      </c>
      <c r="B1276" s="3">
        <f ca="1">IFERROR(__xludf.DUMMYFUNCTION("""COMPUTED_VALUE"""),1)</f>
        <v>1</v>
      </c>
      <c r="C1276" s="7">
        <f ca="1">IFERROR(__xludf.DUMMYFUNCTION("""COMPUTED_VALUE"""),1)</f>
        <v>1</v>
      </c>
      <c r="D1276" s="8">
        <f ca="1">IFERROR(__xludf.DUMMYFUNCTION("""COMPUTED_VALUE"""),5)</f>
        <v>5</v>
      </c>
      <c r="E1276" s="2">
        <f ca="1">IFERROR(__xludf.DUMMYFUNCTION("""COMPUTED_VALUE"""),2)</f>
        <v>2</v>
      </c>
    </row>
    <row r="1277" spans="1:5" ht="13">
      <c r="A1277" s="2" t="str">
        <f ca="1">IFERROR(__xludf.DUMMYFUNCTION("""COMPUTED_VALUE"""),"Campbell, James")</f>
        <v>Campbell, James</v>
      </c>
      <c r="B1277" s="3">
        <f ca="1">IFERROR(__xludf.DUMMYFUNCTION("""COMPUTED_VALUE"""),1)</f>
        <v>1</v>
      </c>
      <c r="C1277" s="7">
        <f ca="1">IFERROR(__xludf.DUMMYFUNCTION("""COMPUTED_VALUE"""),1)</f>
        <v>1</v>
      </c>
      <c r="D1277" s="8">
        <f ca="1">IFERROR(__xludf.DUMMYFUNCTION("""COMPUTED_VALUE"""),1)</f>
        <v>1</v>
      </c>
      <c r="E1277" s="2">
        <f ca="1">IFERROR(__xludf.DUMMYFUNCTION("""COMPUTED_VALUE"""),1)</f>
        <v>1</v>
      </c>
    </row>
    <row r="1278" spans="1:5" ht="13">
      <c r="A1278" s="2" t="str">
        <f ca="1">IFERROR(__xludf.DUMMYFUNCTION("""COMPUTED_VALUE"""),"Campbell, Jefferson")</f>
        <v>Campbell, Jefferson</v>
      </c>
      <c r="B1278" s="3">
        <f ca="1">IFERROR(__xludf.DUMMYFUNCTION("""COMPUTED_VALUE"""),1)</f>
        <v>1</v>
      </c>
      <c r="C1278" s="7">
        <f ca="1">IFERROR(__xludf.DUMMYFUNCTION("""COMPUTED_VALUE"""),1)</f>
        <v>1</v>
      </c>
      <c r="D1278" s="8">
        <f ca="1">IFERROR(__xludf.DUMMYFUNCTION("""COMPUTED_VALUE"""),1)</f>
        <v>1</v>
      </c>
      <c r="E1278" s="2">
        <f ca="1">IFERROR(__xludf.DUMMYFUNCTION("""COMPUTED_VALUE"""),1)</f>
        <v>1</v>
      </c>
    </row>
    <row r="1279" spans="1:5" ht="13">
      <c r="A1279" s="2" t="str">
        <f ca="1">IFERROR(__xludf.DUMMYFUNCTION("""COMPUTED_VALUE"""),"Campbell, John F.")</f>
        <v>Campbell, John F.</v>
      </c>
      <c r="B1279" s="3">
        <f ca="1">IFERROR(__xludf.DUMMYFUNCTION("""COMPUTED_VALUE"""),1)</f>
        <v>1</v>
      </c>
      <c r="C1279" s="7">
        <f ca="1">IFERROR(__xludf.DUMMYFUNCTION("""COMPUTED_VALUE"""),1)</f>
        <v>1</v>
      </c>
      <c r="D1279" s="8">
        <f ca="1">IFERROR(__xludf.DUMMYFUNCTION("""COMPUTED_VALUE"""),1)</f>
        <v>1</v>
      </c>
      <c r="E1279" s="2">
        <f ca="1">IFERROR(__xludf.DUMMYFUNCTION("""COMPUTED_VALUE"""),1)</f>
        <v>1</v>
      </c>
    </row>
    <row r="1280" spans="1:5" ht="13">
      <c r="A1280" s="8" t="str">
        <f ca="1">IFERROR(__xludf.DUMMYFUNCTION("""COMPUTED_VALUE"""),"Campbell, Lars")</f>
        <v>Campbell, Lars</v>
      </c>
      <c r="B1280" s="3">
        <f ca="1">IFERROR(__xludf.DUMMYFUNCTION("""COMPUTED_VALUE"""),1)</f>
        <v>1</v>
      </c>
      <c r="C1280" s="7">
        <f ca="1">IFERROR(__xludf.DUMMYFUNCTION("""COMPUTED_VALUE"""),1)</f>
        <v>1</v>
      </c>
      <c r="D1280" s="8">
        <f ca="1">IFERROR(__xludf.DUMMYFUNCTION("""COMPUTED_VALUE"""),1)</f>
        <v>1</v>
      </c>
      <c r="E1280" s="2">
        <f ca="1">IFERROR(__xludf.DUMMYFUNCTION("""COMPUTED_VALUE"""),1)</f>
        <v>1</v>
      </c>
    </row>
    <row r="1281" spans="1:5" ht="13">
      <c r="A1281" s="2" t="str">
        <f ca="1">IFERROR(__xludf.DUMMYFUNCTION("""COMPUTED_VALUE"""),"Campbell, Paul")</f>
        <v>Campbell, Paul</v>
      </c>
      <c r="B1281" s="2">
        <f ca="1">IFERROR(__xludf.DUMMYFUNCTION("""COMPUTED_VALUE"""),1)</f>
        <v>1</v>
      </c>
      <c r="C1281" s="2">
        <f ca="1">IFERROR(__xludf.DUMMYFUNCTION("""COMPUTED_VALUE"""),1)</f>
        <v>1</v>
      </c>
      <c r="D1281" s="8">
        <f ca="1">IFERROR(__xludf.DUMMYFUNCTION("""COMPUTED_VALUE"""),1)</f>
        <v>1</v>
      </c>
      <c r="E1281" s="2">
        <f ca="1">IFERROR(__xludf.DUMMYFUNCTION("""COMPUTED_VALUE"""),1)</f>
        <v>1</v>
      </c>
    </row>
    <row r="1282" spans="1:5" ht="13">
      <c r="A1282" s="2" t="str">
        <f ca="1">IFERROR(__xludf.DUMMYFUNCTION("""COMPUTED_VALUE"""),"Campbell, Rich")</f>
        <v>Campbell, Rich</v>
      </c>
      <c r="B1282" s="3">
        <f ca="1">IFERROR(__xludf.DUMMYFUNCTION("""COMPUTED_VALUE"""),1)</f>
        <v>1</v>
      </c>
      <c r="C1282" s="7">
        <f ca="1">IFERROR(__xludf.DUMMYFUNCTION("""COMPUTED_VALUE"""),1)</f>
        <v>1</v>
      </c>
      <c r="D1282" s="8">
        <f ca="1">IFERROR(__xludf.DUMMYFUNCTION("""COMPUTED_VALUE"""),1)</f>
        <v>1</v>
      </c>
      <c r="E1282" s="2">
        <f ca="1">IFERROR(__xludf.DUMMYFUNCTION("""COMPUTED_VALUE"""),1)</f>
        <v>1</v>
      </c>
    </row>
    <row r="1283" spans="1:5" ht="13">
      <c r="A1283" s="8" t="str">
        <f ca="1">IFERROR(__xludf.DUMMYFUNCTION("""COMPUTED_VALUE"""),"Campbell, Rob")</f>
        <v>Campbell, Rob</v>
      </c>
      <c r="B1283" s="3">
        <f ca="1">IFERROR(__xludf.DUMMYFUNCTION("""COMPUTED_VALUE"""),1)</f>
        <v>1</v>
      </c>
      <c r="C1283" s="7">
        <f ca="1">IFERROR(__xludf.DUMMYFUNCTION("""COMPUTED_VALUE"""),1)</f>
        <v>1</v>
      </c>
      <c r="D1283" s="8">
        <f ca="1">IFERROR(__xludf.DUMMYFUNCTION("""COMPUTED_VALUE"""),1)</f>
        <v>1</v>
      </c>
      <c r="E1283" s="2">
        <f ca="1">IFERROR(__xludf.DUMMYFUNCTION("""COMPUTED_VALUE"""),1)</f>
        <v>1</v>
      </c>
    </row>
    <row r="1284" spans="1:5" ht="13">
      <c r="A1284" s="8" t="str">
        <f ca="1">IFERROR(__xludf.DUMMYFUNCTION("""COMPUTED_VALUE"""),"Campbell, Rob / Hale, Mark")</f>
        <v>Campbell, Rob / Hale, Mark</v>
      </c>
      <c r="B1284" s="3">
        <f ca="1">IFERROR(__xludf.DUMMYFUNCTION("""COMPUTED_VALUE"""),1)</f>
        <v>1</v>
      </c>
      <c r="C1284" s="7">
        <f ca="1">IFERROR(__xludf.DUMMYFUNCTION("""COMPUTED_VALUE"""),1)</f>
        <v>1</v>
      </c>
      <c r="D1284" s="8">
        <f ca="1">IFERROR(__xludf.DUMMYFUNCTION("""COMPUTED_VALUE"""),1)</f>
        <v>1</v>
      </c>
      <c r="E1284" s="2">
        <f ca="1">IFERROR(__xludf.DUMMYFUNCTION("""COMPUTED_VALUE"""),1)</f>
        <v>1</v>
      </c>
    </row>
    <row r="1285" spans="1:5" ht="13">
      <c r="A1285" s="8" t="str">
        <f ca="1">IFERROR(__xludf.DUMMYFUNCTION("""COMPUTED_VALUE"""),"Campbell, Steven J.")</f>
        <v>Campbell, Steven J.</v>
      </c>
      <c r="B1285" s="3">
        <f ca="1">IFERROR(__xludf.DUMMYFUNCTION("""COMPUTED_VALUE"""),1)</f>
        <v>1</v>
      </c>
      <c r="C1285" s="7">
        <f ca="1">IFERROR(__xludf.DUMMYFUNCTION("""COMPUTED_VALUE"""),1)</f>
        <v>1</v>
      </c>
      <c r="D1285" s="8">
        <f ca="1">IFERROR(__xludf.DUMMYFUNCTION("""COMPUTED_VALUE"""),1)</f>
        <v>1</v>
      </c>
      <c r="E1285" s="2">
        <f ca="1">IFERROR(__xludf.DUMMYFUNCTION("""COMPUTED_VALUE"""),1)</f>
        <v>1</v>
      </c>
    </row>
    <row r="1286" spans="1:5" ht="13">
      <c r="A1286" s="2" t="str">
        <f ca="1">IFERROR(__xludf.DUMMYFUNCTION("""COMPUTED_VALUE"""),"Campbell, William")</f>
        <v>Campbell, William</v>
      </c>
      <c r="B1286" s="3">
        <f ca="1">IFERROR(__xludf.DUMMYFUNCTION("""COMPUTED_VALUE"""),1)</f>
        <v>1</v>
      </c>
      <c r="C1286" s="7">
        <f ca="1">IFERROR(__xludf.DUMMYFUNCTION("""COMPUTED_VALUE"""),1)</f>
        <v>1</v>
      </c>
      <c r="D1286" s="8">
        <f ca="1">IFERROR(__xludf.DUMMYFUNCTION("""COMPUTED_VALUE"""),1)</f>
        <v>1</v>
      </c>
      <c r="E1286" s="2">
        <f ca="1">IFERROR(__xludf.DUMMYFUNCTION("""COMPUTED_VALUE"""),1)</f>
        <v>1</v>
      </c>
    </row>
    <row r="1287" spans="1:5" ht="13">
      <c r="A1287" s="8" t="str">
        <f ca="1">IFERROR(__xludf.DUMMYFUNCTION("""COMPUTED_VALUE"""),"Camphouse, Mark")</f>
        <v>Camphouse, Mark</v>
      </c>
      <c r="B1287" s="3">
        <f ca="1">IFERROR(__xludf.DUMMYFUNCTION("""COMPUTED_VALUE"""),1)</f>
        <v>1</v>
      </c>
      <c r="C1287" s="7">
        <f ca="1">IFERROR(__xludf.DUMMYFUNCTION("""COMPUTED_VALUE"""),1)</f>
        <v>1</v>
      </c>
      <c r="D1287" s="8">
        <f ca="1">IFERROR(__xludf.DUMMYFUNCTION("""COMPUTED_VALUE"""),1)</f>
        <v>1</v>
      </c>
      <c r="E1287" s="2">
        <f ca="1">IFERROR(__xludf.DUMMYFUNCTION("""COMPUTED_VALUE"""),1)</f>
        <v>1</v>
      </c>
    </row>
    <row r="1288" spans="1:5" ht="13">
      <c r="A1288" s="8" t="str">
        <f ca="1">IFERROR(__xludf.DUMMYFUNCTION("""COMPUTED_VALUE"""),"Camphouse, William")</f>
        <v>Camphouse, William</v>
      </c>
      <c r="B1288" s="3">
        <f ca="1">IFERROR(__xludf.DUMMYFUNCTION("""COMPUTED_VALUE"""),1)</f>
        <v>1</v>
      </c>
      <c r="C1288" s="7">
        <f ca="1">IFERROR(__xludf.DUMMYFUNCTION("""COMPUTED_VALUE"""),1)</f>
        <v>1</v>
      </c>
      <c r="D1288" s="8">
        <f ca="1">IFERROR(__xludf.DUMMYFUNCTION("""COMPUTED_VALUE"""),1)</f>
        <v>1</v>
      </c>
      <c r="E1288" s="2">
        <f ca="1">IFERROR(__xludf.DUMMYFUNCTION("""COMPUTED_VALUE"""),1)</f>
        <v>1</v>
      </c>
    </row>
    <row r="1289" spans="1:5" ht="13">
      <c r="A1289" s="8" t="str">
        <f ca="1">IFERROR(__xludf.DUMMYFUNCTION("""COMPUTED_VALUE"""),"Campion, Edmund")</f>
        <v>Campion, Edmund</v>
      </c>
      <c r="B1289" s="3">
        <f ca="1">IFERROR(__xludf.DUMMYFUNCTION("""COMPUTED_VALUE"""),1)</f>
        <v>1</v>
      </c>
      <c r="C1289" s="7">
        <f ca="1">IFERROR(__xludf.DUMMYFUNCTION("""COMPUTED_VALUE"""),1)</f>
        <v>1</v>
      </c>
      <c r="D1289" s="8">
        <f ca="1">IFERROR(__xludf.DUMMYFUNCTION("""COMPUTED_VALUE"""),1)</f>
        <v>1</v>
      </c>
      <c r="E1289" s="2">
        <f ca="1">IFERROR(__xludf.DUMMYFUNCTION("""COMPUTED_VALUE"""),1)</f>
        <v>1</v>
      </c>
    </row>
    <row r="1290" spans="1:5" ht="13">
      <c r="A1290" s="8" t="str">
        <f ca="1">IFERROR(__xludf.DUMMYFUNCTION("""COMPUTED_VALUE"""),"Campion, Thomas")</f>
        <v>Campion, Thomas</v>
      </c>
      <c r="B1290" s="3">
        <f ca="1">IFERROR(__xludf.DUMMYFUNCTION("""COMPUTED_VALUE"""),1)</f>
        <v>1</v>
      </c>
      <c r="C1290" s="7">
        <f ca="1">IFERROR(__xludf.DUMMYFUNCTION("""COMPUTED_VALUE"""),1)</f>
        <v>1</v>
      </c>
      <c r="D1290" s="8">
        <f ca="1">IFERROR(__xludf.DUMMYFUNCTION("""COMPUTED_VALUE"""),5)</f>
        <v>5</v>
      </c>
      <c r="E1290" s="2">
        <f ca="1">IFERROR(__xludf.DUMMYFUNCTION("""COMPUTED_VALUE"""),2)</f>
        <v>2</v>
      </c>
    </row>
    <row r="1291" spans="1:5" ht="13">
      <c r="A1291" s="2" t="str">
        <f ca="1">IFERROR(__xludf.DUMMYFUNCTION("""COMPUTED_VALUE"""),"Campo, David")</f>
        <v>Campo, David</v>
      </c>
      <c r="B1291" s="3">
        <f ca="1">IFERROR(__xludf.DUMMYFUNCTION("""COMPUTED_VALUE"""),1)</f>
        <v>1</v>
      </c>
      <c r="C1291" s="7">
        <f ca="1">IFERROR(__xludf.DUMMYFUNCTION("""COMPUTED_VALUE"""),1)</f>
        <v>1</v>
      </c>
      <c r="D1291" s="8">
        <f ca="1">IFERROR(__xludf.DUMMYFUNCTION("""COMPUTED_VALUE"""),1)</f>
        <v>1</v>
      </c>
      <c r="E1291" s="2">
        <f ca="1">IFERROR(__xludf.DUMMYFUNCTION("""COMPUTED_VALUE"""),1)</f>
        <v>1</v>
      </c>
    </row>
    <row r="1292" spans="1:5" ht="13">
      <c r="A1292" s="8" t="str">
        <f ca="1">IFERROR(__xludf.DUMMYFUNCTION("""COMPUTED_VALUE"""),"Campo, David W.")</f>
        <v>Campo, David W.</v>
      </c>
      <c r="B1292" s="3">
        <f ca="1">IFERROR(__xludf.DUMMYFUNCTION("""COMPUTED_VALUE"""),1)</f>
        <v>1</v>
      </c>
      <c r="C1292" s="7">
        <f ca="1">IFERROR(__xludf.DUMMYFUNCTION("""COMPUTED_VALUE"""),1)</f>
        <v>1</v>
      </c>
      <c r="D1292" s="8">
        <f ca="1">IFERROR(__xludf.DUMMYFUNCTION("""COMPUTED_VALUE"""),1)</f>
        <v>1</v>
      </c>
      <c r="E1292" s="2">
        <f ca="1">IFERROR(__xludf.DUMMYFUNCTION("""COMPUTED_VALUE"""),1)</f>
        <v>1</v>
      </c>
    </row>
    <row r="1293" spans="1:5" ht="13">
      <c r="A1293" s="2" t="str">
        <f ca="1">IFERROR(__xludf.DUMMYFUNCTION("""COMPUTED_VALUE"""),"Campogrande, Nicola")</f>
        <v>Campogrande, Nicola</v>
      </c>
      <c r="B1293" s="3">
        <f ca="1">IFERROR(__xludf.DUMMYFUNCTION("""COMPUTED_VALUE"""),1)</f>
        <v>1</v>
      </c>
      <c r="C1293" s="7">
        <f ca="1">IFERROR(__xludf.DUMMYFUNCTION("""COMPUTED_VALUE"""),1)</f>
        <v>1</v>
      </c>
      <c r="D1293" s="8">
        <f ca="1">IFERROR(__xludf.DUMMYFUNCTION("""COMPUTED_VALUE"""),1)</f>
        <v>1</v>
      </c>
      <c r="E1293" s="2">
        <f ca="1">IFERROR(__xludf.DUMMYFUNCTION("""COMPUTED_VALUE"""),1)</f>
        <v>1</v>
      </c>
    </row>
    <row r="1294" spans="1:5" ht="13">
      <c r="A1294" s="2" t="str">
        <f ca="1">IFERROR(__xludf.DUMMYFUNCTION("""COMPUTED_VALUE"""),"Campolieta, Dan")</f>
        <v>Campolieta, Dan</v>
      </c>
      <c r="B1294" s="3">
        <f ca="1">IFERROR(__xludf.DUMMYFUNCTION("""COMPUTED_VALUE"""),1)</f>
        <v>1</v>
      </c>
      <c r="C1294" s="7">
        <f ca="1">IFERROR(__xludf.DUMMYFUNCTION("""COMPUTED_VALUE"""),1)</f>
        <v>1</v>
      </c>
      <c r="D1294" s="8">
        <f ca="1">IFERROR(__xludf.DUMMYFUNCTION("""COMPUTED_VALUE"""),1)</f>
        <v>1</v>
      </c>
      <c r="E1294" s="2">
        <f ca="1">IFERROR(__xludf.DUMMYFUNCTION("""COMPUTED_VALUE"""),1)</f>
        <v>1</v>
      </c>
    </row>
    <row r="1295" spans="1:5" ht="13">
      <c r="A1295" s="2" t="str">
        <f ca="1">IFERROR(__xludf.DUMMYFUNCTION("""COMPUTED_VALUE"""),"Campos, Javier Martínez")</f>
        <v>Campos, Javier Martínez</v>
      </c>
      <c r="B1295" s="2">
        <f ca="1">IFERROR(__xludf.DUMMYFUNCTION("""COMPUTED_VALUE"""),1)</f>
        <v>1</v>
      </c>
      <c r="C1295" s="2">
        <f ca="1">IFERROR(__xludf.DUMMYFUNCTION("""COMPUTED_VALUE"""),1)</f>
        <v>1</v>
      </c>
      <c r="D1295" s="8">
        <f ca="1">IFERROR(__xludf.DUMMYFUNCTION("""COMPUTED_VALUE"""),1)</f>
        <v>1</v>
      </c>
      <c r="E1295" s="2">
        <f ca="1">IFERROR(__xludf.DUMMYFUNCTION("""COMPUTED_VALUE"""),1)</f>
        <v>1</v>
      </c>
    </row>
    <row r="1296" spans="1:5" ht="13">
      <c r="A1296" s="2" t="str">
        <f ca="1">IFERROR(__xludf.DUMMYFUNCTION("""COMPUTED_VALUE"""),"Campra, Andre")</f>
        <v>Campra, Andre</v>
      </c>
      <c r="B1296" s="3">
        <f ca="1">IFERROR(__xludf.DUMMYFUNCTION("""COMPUTED_VALUE"""),1)</f>
        <v>1</v>
      </c>
      <c r="C1296" s="7">
        <f ca="1">IFERROR(__xludf.DUMMYFUNCTION("""COMPUTED_VALUE"""),1)</f>
        <v>1</v>
      </c>
      <c r="D1296" s="8">
        <f ca="1">IFERROR(__xludf.DUMMYFUNCTION("""COMPUTED_VALUE"""),5)</f>
        <v>5</v>
      </c>
      <c r="E1296" s="2">
        <f ca="1">IFERROR(__xludf.DUMMYFUNCTION("""COMPUTED_VALUE"""),2)</f>
        <v>2</v>
      </c>
    </row>
    <row r="1297" spans="1:5" ht="13">
      <c r="A1297" s="8" t="str">
        <f ca="1">IFERROR(__xludf.DUMMYFUNCTION("""COMPUTED_VALUE"""),"Campra, André")</f>
        <v>Campra, André</v>
      </c>
      <c r="B1297" s="3">
        <f ca="1">IFERROR(__xludf.DUMMYFUNCTION("""COMPUTED_VALUE"""),1)</f>
        <v>1</v>
      </c>
      <c r="C1297" s="7">
        <f ca="1">IFERROR(__xludf.DUMMYFUNCTION("""COMPUTED_VALUE"""),1)</f>
        <v>1</v>
      </c>
      <c r="D1297" s="8">
        <f ca="1">IFERROR(__xludf.DUMMYFUNCTION("""COMPUTED_VALUE"""),5)</f>
        <v>5</v>
      </c>
      <c r="E1297" s="2">
        <f ca="1">IFERROR(__xludf.DUMMYFUNCTION("""COMPUTED_VALUE"""),2)</f>
        <v>2</v>
      </c>
    </row>
    <row r="1298" spans="1:5" ht="13">
      <c r="A1298" s="8" t="str">
        <f ca="1">IFERROR(__xludf.DUMMYFUNCTION("""COMPUTED_VALUE"""),"Candela, Angelo")</f>
        <v>Candela, Angelo</v>
      </c>
      <c r="B1298" s="3">
        <f ca="1">IFERROR(__xludf.DUMMYFUNCTION("""COMPUTED_VALUE"""),1)</f>
        <v>1</v>
      </c>
      <c r="C1298" s="7">
        <f ca="1">IFERROR(__xludf.DUMMYFUNCTION("""COMPUTED_VALUE"""),1)</f>
        <v>1</v>
      </c>
      <c r="D1298" s="8">
        <f ca="1">IFERROR(__xludf.DUMMYFUNCTION("""COMPUTED_VALUE"""),1)</f>
        <v>1</v>
      </c>
      <c r="E1298" s="2">
        <f ca="1">IFERROR(__xludf.DUMMYFUNCTION("""COMPUTED_VALUE"""),1)</f>
        <v>1</v>
      </c>
    </row>
    <row r="1299" spans="1:5" ht="13">
      <c r="A1299" s="2" t="str">
        <f ca="1">IFERROR(__xludf.DUMMYFUNCTION("""COMPUTED_VALUE"""),"Caneva, Ernest")</f>
        <v>Caneva, Ernest</v>
      </c>
      <c r="B1299" s="3">
        <f ca="1">IFERROR(__xludf.DUMMYFUNCTION("""COMPUTED_VALUE"""),1)</f>
        <v>1</v>
      </c>
      <c r="C1299" s="7">
        <f ca="1">IFERROR(__xludf.DUMMYFUNCTION("""COMPUTED_VALUE"""),1)</f>
        <v>1</v>
      </c>
      <c r="D1299" s="8">
        <f ca="1">IFERROR(__xludf.DUMMYFUNCTION("""COMPUTED_VALUE"""),5)</f>
        <v>5</v>
      </c>
      <c r="E1299" s="2">
        <f ca="1">IFERROR(__xludf.DUMMYFUNCTION("""COMPUTED_VALUE"""),2)</f>
        <v>2</v>
      </c>
    </row>
    <row r="1300" spans="1:5" ht="13">
      <c r="A1300" s="2" t="str">
        <f ca="1">IFERROR(__xludf.DUMMYFUNCTION("""COMPUTED_VALUE"""),"Caneva, Tom")</f>
        <v>Caneva, Tom</v>
      </c>
      <c r="B1300" s="3">
        <f ca="1">IFERROR(__xludf.DUMMYFUNCTION("""COMPUTED_VALUE"""),1)</f>
        <v>1</v>
      </c>
      <c r="C1300" s="7">
        <f ca="1">IFERROR(__xludf.DUMMYFUNCTION("""COMPUTED_VALUE"""),1)</f>
        <v>1</v>
      </c>
      <c r="D1300" s="8">
        <f ca="1">IFERROR(__xludf.DUMMYFUNCTION("""COMPUTED_VALUE"""),1)</f>
        <v>1</v>
      </c>
      <c r="E1300" s="2">
        <f ca="1">IFERROR(__xludf.DUMMYFUNCTION("""COMPUTED_VALUE"""),1)</f>
        <v>1</v>
      </c>
    </row>
    <row r="1301" spans="1:5" ht="13">
      <c r="A1301" s="8" t="str">
        <f ca="1">IFERROR(__xludf.DUMMYFUNCTION("""COMPUTED_VALUE"""),"Canfield, David DeBoor")</f>
        <v>Canfield, David DeBoor</v>
      </c>
      <c r="B1301" s="3">
        <f ca="1">IFERROR(__xludf.DUMMYFUNCTION("""COMPUTED_VALUE"""),1)</f>
        <v>1</v>
      </c>
      <c r="C1301" s="7">
        <f ca="1">IFERROR(__xludf.DUMMYFUNCTION("""COMPUTED_VALUE"""),1)</f>
        <v>1</v>
      </c>
      <c r="D1301" s="8">
        <f ca="1">IFERROR(__xludf.DUMMYFUNCTION("""COMPUTED_VALUE"""),1)</f>
        <v>1</v>
      </c>
      <c r="E1301" s="2">
        <f ca="1">IFERROR(__xludf.DUMMYFUNCTION("""COMPUTED_VALUE"""),1)</f>
        <v>1</v>
      </c>
    </row>
    <row r="1302" spans="1:5" ht="13">
      <c r="A1302" s="2" t="str">
        <f ca="1">IFERROR(__xludf.DUMMYFUNCTION("""COMPUTED_VALUE"""),"Cangelosi, Casey")</f>
        <v>Cangelosi, Casey</v>
      </c>
      <c r="B1302" s="3">
        <f ca="1">IFERROR(__xludf.DUMMYFUNCTION("""COMPUTED_VALUE"""),1)</f>
        <v>1</v>
      </c>
      <c r="C1302" s="7">
        <f ca="1">IFERROR(__xludf.DUMMYFUNCTION("""COMPUTED_VALUE"""),1)</f>
        <v>1</v>
      </c>
      <c r="D1302" s="8">
        <f ca="1">IFERROR(__xludf.DUMMYFUNCTION("""COMPUTED_VALUE"""),1)</f>
        <v>1</v>
      </c>
      <c r="E1302" s="2">
        <f ca="1">IFERROR(__xludf.DUMMYFUNCTION("""COMPUTED_VALUE"""),1)</f>
        <v>1</v>
      </c>
    </row>
    <row r="1303" spans="1:5" ht="13">
      <c r="A1303" s="8" t="str">
        <f ca="1">IFERROR(__xludf.DUMMYFUNCTION("""COMPUTED_VALUE"""),"Cannabich, Christian")</f>
        <v>Cannabich, Christian</v>
      </c>
      <c r="B1303" s="3">
        <f ca="1">IFERROR(__xludf.DUMMYFUNCTION("""COMPUTED_VALUE"""),1)</f>
        <v>1</v>
      </c>
      <c r="C1303" s="7">
        <f ca="1">IFERROR(__xludf.DUMMYFUNCTION("""COMPUTED_VALUE"""),1)</f>
        <v>1</v>
      </c>
      <c r="D1303" s="8">
        <f ca="1">IFERROR(__xludf.DUMMYFUNCTION("""COMPUTED_VALUE"""),5)</f>
        <v>5</v>
      </c>
      <c r="E1303" s="2">
        <f ca="1">IFERROR(__xludf.DUMMYFUNCTION("""COMPUTED_VALUE"""),2)</f>
        <v>2</v>
      </c>
    </row>
    <row r="1304" spans="1:5" ht="13">
      <c r="A1304" s="8" t="str">
        <f ca="1">IFERROR(__xludf.DUMMYFUNCTION("""COMPUTED_VALUE"""),"Canning, Thomas")</f>
        <v>Canning, Thomas</v>
      </c>
      <c r="B1304" s="3">
        <f ca="1">IFERROR(__xludf.DUMMYFUNCTION("""COMPUTED_VALUE"""),1)</f>
        <v>1</v>
      </c>
      <c r="C1304" s="7">
        <f ca="1">IFERROR(__xludf.DUMMYFUNCTION("""COMPUTED_VALUE"""),1)</f>
        <v>1</v>
      </c>
      <c r="D1304" s="8">
        <f ca="1">IFERROR(__xludf.DUMMYFUNCTION("""COMPUTED_VALUE"""),5)</f>
        <v>5</v>
      </c>
      <c r="E1304" s="2">
        <f ca="1">IFERROR(__xludf.DUMMYFUNCTION("""COMPUTED_VALUE"""),2)</f>
        <v>2</v>
      </c>
    </row>
    <row r="1305" spans="1:5" ht="13">
      <c r="A1305" s="2" t="str">
        <f ca="1">IFERROR(__xludf.DUMMYFUNCTION("""COMPUTED_VALUE"""),"Cannio, Enrico")</f>
        <v>Cannio, Enrico</v>
      </c>
      <c r="B1305" s="3">
        <f ca="1">IFERROR(__xludf.DUMMYFUNCTION("""COMPUTED_VALUE"""),1)</f>
        <v>1</v>
      </c>
      <c r="C1305" s="7">
        <f ca="1">IFERROR(__xludf.DUMMYFUNCTION("""COMPUTED_VALUE"""),1)</f>
        <v>1</v>
      </c>
      <c r="D1305" s="8">
        <f ca="1">IFERROR(__xludf.DUMMYFUNCTION("""COMPUTED_VALUE"""),5)</f>
        <v>5</v>
      </c>
      <c r="E1305" s="2">
        <f ca="1">IFERROR(__xludf.DUMMYFUNCTION("""COMPUTED_VALUE"""),2)</f>
        <v>2</v>
      </c>
    </row>
    <row r="1306" spans="1:5" ht="13">
      <c r="A1306" s="8" t="str">
        <f ca="1">IFERROR(__xludf.DUMMYFUNCTION("""COMPUTED_VALUE"""),"Cannon, Chad")</f>
        <v>Cannon, Chad</v>
      </c>
      <c r="B1306" s="3">
        <f ca="1">IFERROR(__xludf.DUMMYFUNCTION("""COMPUTED_VALUE"""),1)</f>
        <v>1</v>
      </c>
      <c r="C1306" s="7">
        <f ca="1">IFERROR(__xludf.DUMMYFUNCTION("""COMPUTED_VALUE"""),1)</f>
        <v>1</v>
      </c>
      <c r="D1306" s="8">
        <f ca="1">IFERROR(__xludf.DUMMYFUNCTION("""COMPUTED_VALUE"""),1)</f>
        <v>1</v>
      </c>
      <c r="E1306" s="2">
        <f ca="1">IFERROR(__xludf.DUMMYFUNCTION("""COMPUTED_VALUE"""),1)</f>
        <v>1</v>
      </c>
    </row>
    <row r="1307" spans="1:5" ht="13">
      <c r="A1307" s="8" t="str">
        <f ca="1">IFERROR(__xludf.DUMMYFUNCTION("""COMPUTED_VALUE"""),"Cannon, Cormac")</f>
        <v>Cannon, Cormac</v>
      </c>
      <c r="B1307" s="3">
        <f ca="1">IFERROR(__xludf.DUMMYFUNCTION("""COMPUTED_VALUE"""),1)</f>
        <v>1</v>
      </c>
      <c r="C1307" s="7">
        <f ca="1">IFERROR(__xludf.DUMMYFUNCTION("""COMPUTED_VALUE"""),1)</f>
        <v>1</v>
      </c>
      <c r="D1307" s="8">
        <f ca="1">IFERROR(__xludf.DUMMYFUNCTION("""COMPUTED_VALUE"""),1)</f>
        <v>1</v>
      </c>
      <c r="E1307" s="2">
        <f ca="1">IFERROR(__xludf.DUMMYFUNCTION("""COMPUTED_VALUE"""),1)</f>
        <v>1</v>
      </c>
    </row>
    <row r="1308" spans="1:5" ht="13">
      <c r="A1308" s="8" t="str">
        <f ca="1">IFERROR(__xludf.DUMMYFUNCTION("""COMPUTED_VALUE"""),"Cannon, Wyatt")</f>
        <v>Cannon, Wyatt</v>
      </c>
      <c r="B1308" s="3">
        <f ca="1">IFERROR(__xludf.DUMMYFUNCTION("""COMPUTED_VALUE"""),1)</f>
        <v>1</v>
      </c>
      <c r="C1308" s="7">
        <f ca="1">IFERROR(__xludf.DUMMYFUNCTION("""COMPUTED_VALUE"""),1)</f>
        <v>1</v>
      </c>
      <c r="D1308" s="8">
        <f ca="1">IFERROR(__xludf.DUMMYFUNCTION("""COMPUTED_VALUE"""),1)</f>
        <v>1</v>
      </c>
      <c r="E1308" s="2">
        <f ca="1">IFERROR(__xludf.DUMMYFUNCTION("""COMPUTED_VALUE"""),1)</f>
        <v>1</v>
      </c>
    </row>
    <row r="1309" spans="1:5" ht="13">
      <c r="A1309" s="8" t="str">
        <f ca="1">IFERROR(__xludf.DUMMYFUNCTION("""COMPUTED_VALUE"""),"Canteloube, Joseph")</f>
        <v>Canteloube, Joseph</v>
      </c>
      <c r="B1309" s="3">
        <f ca="1">IFERROR(__xludf.DUMMYFUNCTION("""COMPUTED_VALUE"""),1)</f>
        <v>1</v>
      </c>
      <c r="C1309" s="7">
        <f ca="1">IFERROR(__xludf.DUMMYFUNCTION("""COMPUTED_VALUE"""),1)</f>
        <v>1</v>
      </c>
      <c r="D1309" s="8">
        <f ca="1">IFERROR(__xludf.DUMMYFUNCTION("""COMPUTED_VALUE"""),5)</f>
        <v>5</v>
      </c>
      <c r="E1309" s="2">
        <f ca="1">IFERROR(__xludf.DUMMYFUNCTION("""COMPUTED_VALUE"""),2)</f>
        <v>2</v>
      </c>
    </row>
    <row r="1310" spans="1:5" ht="13">
      <c r="A1310" s="8" t="str">
        <f ca="1">IFERROR(__xludf.DUMMYFUNCTION("""COMPUTED_VALUE"""),"Canterbury, Dylan / DuBoff, Rob / Sultanof, Jeffrey")</f>
        <v>Canterbury, Dylan / DuBoff, Rob / Sultanof, Jeffrey</v>
      </c>
      <c r="B1310" s="3">
        <f ca="1">IFERROR(__xludf.DUMMYFUNCTION("""COMPUTED_VALUE"""),1)</f>
        <v>1</v>
      </c>
      <c r="C1310" s="7">
        <f ca="1">IFERROR(__xludf.DUMMYFUNCTION("""COMPUTED_VALUE"""),1)</f>
        <v>1</v>
      </c>
      <c r="D1310" s="8">
        <f ca="1">IFERROR(__xludf.DUMMYFUNCTION("""COMPUTED_VALUE"""),1)</f>
        <v>1</v>
      </c>
      <c r="E1310" s="2">
        <f ca="1">IFERROR(__xludf.DUMMYFUNCTION("""COMPUTED_VALUE"""),1)</f>
        <v>1</v>
      </c>
    </row>
    <row r="1311" spans="1:5" ht="13">
      <c r="A1311" s="2" t="str">
        <f ca="1">IFERROR(__xludf.DUMMYFUNCTION("""COMPUTED_VALUE"""),"Cantos, Bill")</f>
        <v>Cantos, Bill</v>
      </c>
      <c r="B1311" s="3">
        <f ca="1">IFERROR(__xludf.DUMMYFUNCTION("""COMPUTED_VALUE"""),1)</f>
        <v>1</v>
      </c>
      <c r="C1311" s="7">
        <f ca="1">IFERROR(__xludf.DUMMYFUNCTION("""COMPUTED_VALUE"""),1)</f>
        <v>1</v>
      </c>
      <c r="D1311" s="8">
        <f ca="1">IFERROR(__xludf.DUMMYFUNCTION("""COMPUTED_VALUE"""),1)</f>
        <v>1</v>
      </c>
      <c r="E1311" s="2">
        <f ca="1">IFERROR(__xludf.DUMMYFUNCTION("""COMPUTED_VALUE"""),1)</f>
        <v>1</v>
      </c>
    </row>
    <row r="1312" spans="1:5" ht="13">
      <c r="A1312" s="2" t="str">
        <f ca="1">IFERROR(__xludf.DUMMYFUNCTION("""COMPUTED_VALUE"""),"Capaldo, Steven")</f>
        <v>Capaldo, Steven</v>
      </c>
      <c r="B1312" s="2">
        <f ca="1">IFERROR(__xludf.DUMMYFUNCTION("""COMPUTED_VALUE"""),1)</f>
        <v>1</v>
      </c>
      <c r="C1312" s="7">
        <f ca="1">IFERROR(__xludf.DUMMYFUNCTION("""COMPUTED_VALUE"""),1)</f>
        <v>1</v>
      </c>
      <c r="D1312" s="8">
        <f ca="1">IFERROR(__xludf.DUMMYFUNCTION("""COMPUTED_VALUE"""),1)</f>
        <v>1</v>
      </c>
      <c r="E1312" s="2">
        <f ca="1">IFERROR(__xludf.DUMMYFUNCTION("""COMPUTED_VALUE"""),1)</f>
        <v>1</v>
      </c>
    </row>
    <row r="1313" spans="1:5" ht="13">
      <c r="A1313" s="2" t="str">
        <f ca="1">IFERROR(__xludf.DUMMYFUNCTION("""COMPUTED_VALUE"""),"Caplan, Oliver")</f>
        <v>Caplan, Oliver</v>
      </c>
      <c r="B1313" s="3">
        <f ca="1">IFERROR(__xludf.DUMMYFUNCTION("""COMPUTED_VALUE"""),1)</f>
        <v>1</v>
      </c>
      <c r="C1313" s="7">
        <f ca="1">IFERROR(__xludf.DUMMYFUNCTION("""COMPUTED_VALUE"""),1)</f>
        <v>1</v>
      </c>
      <c r="D1313" s="8">
        <f ca="1">IFERROR(__xludf.DUMMYFUNCTION("""COMPUTED_VALUE"""),1)</f>
        <v>1</v>
      </c>
      <c r="E1313" s="2">
        <f ca="1">IFERROR(__xludf.DUMMYFUNCTION("""COMPUTED_VALUE"""),1)</f>
        <v>1</v>
      </c>
    </row>
    <row r="1314" spans="1:5" ht="13">
      <c r="A1314" s="8" t="str">
        <f ca="1">IFERROR(__xludf.DUMMYFUNCTION("""COMPUTED_VALUE"""),"Caplet, Andre")</f>
        <v>Caplet, Andre</v>
      </c>
      <c r="B1314" s="3">
        <f ca="1">IFERROR(__xludf.DUMMYFUNCTION("""COMPUTED_VALUE"""),1)</f>
        <v>1</v>
      </c>
      <c r="C1314" s="7">
        <f ca="1">IFERROR(__xludf.DUMMYFUNCTION("""COMPUTED_VALUE"""),1)</f>
        <v>1</v>
      </c>
      <c r="D1314" s="8">
        <f ca="1">IFERROR(__xludf.DUMMYFUNCTION("""COMPUTED_VALUE"""),5)</f>
        <v>5</v>
      </c>
      <c r="E1314" s="2">
        <f ca="1">IFERROR(__xludf.DUMMYFUNCTION("""COMPUTED_VALUE"""),2)</f>
        <v>2</v>
      </c>
    </row>
    <row r="1315" spans="1:5" ht="13">
      <c r="A1315" s="8" t="str">
        <f ca="1">IFERROR(__xludf.DUMMYFUNCTION("""COMPUTED_VALUE"""),"Caponegro, John")</f>
        <v>Caponegro, John</v>
      </c>
      <c r="B1315" s="3">
        <f ca="1">IFERROR(__xludf.DUMMYFUNCTION("""COMPUTED_VALUE"""),1)</f>
        <v>1</v>
      </c>
      <c r="C1315" s="7">
        <f ca="1">IFERROR(__xludf.DUMMYFUNCTION("""COMPUTED_VALUE"""),1)</f>
        <v>1</v>
      </c>
      <c r="D1315" s="8">
        <f ca="1">IFERROR(__xludf.DUMMYFUNCTION("""COMPUTED_VALUE"""),5)</f>
        <v>5</v>
      </c>
      <c r="E1315" s="2">
        <f ca="1">IFERROR(__xludf.DUMMYFUNCTION("""COMPUTED_VALUE"""),2)</f>
        <v>2</v>
      </c>
    </row>
    <row r="1316" spans="1:5" ht="13">
      <c r="A1316" s="2" t="str">
        <f ca="1">IFERROR(__xludf.DUMMYFUNCTION("""COMPUTED_VALUE"""),"Capua, Eduardo")</f>
        <v>Capua, Eduardo</v>
      </c>
      <c r="B1316" s="3">
        <f ca="1">IFERROR(__xludf.DUMMYFUNCTION("""COMPUTED_VALUE"""),1)</f>
        <v>1</v>
      </c>
      <c r="C1316" s="7">
        <f ca="1">IFERROR(__xludf.DUMMYFUNCTION("""COMPUTED_VALUE"""),1)</f>
        <v>1</v>
      </c>
      <c r="D1316" s="8">
        <f ca="1">IFERROR(__xludf.DUMMYFUNCTION("""COMPUTED_VALUE"""),5)</f>
        <v>5</v>
      </c>
      <c r="E1316" s="2">
        <f ca="1">IFERROR(__xludf.DUMMYFUNCTION("""COMPUTED_VALUE"""),2)</f>
        <v>2</v>
      </c>
    </row>
    <row r="1317" spans="1:5" ht="13">
      <c r="A1317" s="2" t="str">
        <f ca="1">IFERROR(__xludf.DUMMYFUNCTION("""COMPUTED_VALUE"""),"Capua, Eduardo Di")</f>
        <v>Capua, Eduardo Di</v>
      </c>
      <c r="B1317" s="2">
        <f ca="1">IFERROR(__xludf.DUMMYFUNCTION("""COMPUTED_VALUE"""),1)</f>
        <v>1</v>
      </c>
      <c r="C1317" s="7">
        <f ca="1">IFERROR(__xludf.DUMMYFUNCTION("""COMPUTED_VALUE"""),1)</f>
        <v>1</v>
      </c>
      <c r="D1317" s="8">
        <f ca="1">IFERROR(__xludf.DUMMYFUNCTION("""COMPUTED_VALUE"""),5)</f>
        <v>5</v>
      </c>
      <c r="E1317" s="2">
        <f ca="1">IFERROR(__xludf.DUMMYFUNCTION("""COMPUTED_VALUE"""),2)</f>
        <v>2</v>
      </c>
    </row>
    <row r="1318" spans="1:5" ht="13">
      <c r="A1318" s="2" t="str">
        <f ca="1">IFERROR(__xludf.DUMMYFUNCTION("""COMPUTED_VALUE"""),"Caputo, Bud")</f>
        <v>Caputo, Bud</v>
      </c>
      <c r="B1318" s="3">
        <f ca="1">IFERROR(__xludf.DUMMYFUNCTION("""COMPUTED_VALUE"""),1)</f>
        <v>1</v>
      </c>
      <c r="C1318" s="7">
        <f ca="1">IFERROR(__xludf.DUMMYFUNCTION("""COMPUTED_VALUE"""),1)</f>
        <v>1</v>
      </c>
      <c r="D1318" s="8">
        <f ca="1">IFERROR(__xludf.DUMMYFUNCTION("""COMPUTED_VALUE"""),1)</f>
        <v>1</v>
      </c>
      <c r="E1318" s="2">
        <f ca="1">IFERROR(__xludf.DUMMYFUNCTION("""COMPUTED_VALUE"""),1)</f>
        <v>1</v>
      </c>
    </row>
    <row r="1319" spans="1:5" ht="13">
      <c r="A1319" s="2" t="str">
        <f ca="1">IFERROR(__xludf.DUMMYFUNCTION("""COMPUTED_VALUE"""),"Cara, Marchetto")</f>
        <v>Cara, Marchetto</v>
      </c>
      <c r="B1319" s="3">
        <f ca="1">IFERROR(__xludf.DUMMYFUNCTION("""COMPUTED_VALUE"""),1)</f>
        <v>1</v>
      </c>
      <c r="C1319" s="7">
        <f ca="1">IFERROR(__xludf.DUMMYFUNCTION("""COMPUTED_VALUE"""),1)</f>
        <v>1</v>
      </c>
      <c r="D1319" s="8">
        <f ca="1">IFERROR(__xludf.DUMMYFUNCTION("""COMPUTED_VALUE"""),5)</f>
        <v>5</v>
      </c>
      <c r="E1319" s="2">
        <f ca="1">IFERROR(__xludf.DUMMYFUNCTION("""COMPUTED_VALUE"""),2)</f>
        <v>2</v>
      </c>
    </row>
    <row r="1320" spans="1:5" ht="13">
      <c r="A1320" s="8" t="str">
        <f ca="1">IFERROR(__xludf.DUMMYFUNCTION("""COMPUTED_VALUE"""),"Caracciolo, Stephen")</f>
        <v>Caracciolo, Stephen</v>
      </c>
      <c r="B1320" s="3">
        <f ca="1">IFERROR(__xludf.DUMMYFUNCTION("""COMPUTED_VALUE"""),1)</f>
        <v>1</v>
      </c>
      <c r="C1320" s="7">
        <f ca="1">IFERROR(__xludf.DUMMYFUNCTION("""COMPUTED_VALUE"""),1)</f>
        <v>1</v>
      </c>
      <c r="D1320" s="8">
        <f ca="1">IFERROR(__xludf.DUMMYFUNCTION("""COMPUTED_VALUE"""),1)</f>
        <v>1</v>
      </c>
      <c r="E1320" s="2">
        <f ca="1">IFERROR(__xludf.DUMMYFUNCTION("""COMPUTED_VALUE"""),1)</f>
        <v>1</v>
      </c>
    </row>
    <row r="1321" spans="1:5" ht="13">
      <c r="A1321" s="2" t="str">
        <f ca="1">IFERROR(__xludf.DUMMYFUNCTION("""COMPUTED_VALUE"""),"Caratini, Patrice")</f>
        <v>Caratini, Patrice</v>
      </c>
      <c r="B1321" s="3">
        <f ca="1">IFERROR(__xludf.DUMMYFUNCTION("""COMPUTED_VALUE"""),1)</f>
        <v>1</v>
      </c>
      <c r="C1321" s="7">
        <f ca="1">IFERROR(__xludf.DUMMYFUNCTION("""COMPUTED_VALUE"""),1)</f>
        <v>1</v>
      </c>
      <c r="D1321" s="8">
        <f ca="1">IFERROR(__xludf.DUMMYFUNCTION("""COMPUTED_VALUE"""),1)</f>
        <v>1</v>
      </c>
      <c r="E1321" s="2">
        <f ca="1">IFERROR(__xludf.DUMMYFUNCTION("""COMPUTED_VALUE"""),1)</f>
        <v>1</v>
      </c>
    </row>
    <row r="1322" spans="1:5" ht="13">
      <c r="A1322" s="2" t="str">
        <f ca="1">IFERROR(__xludf.DUMMYFUNCTION("""COMPUTED_VALUE"""),"Caravella, Francis")</f>
        <v>Caravella, Francis</v>
      </c>
      <c r="B1322" s="3">
        <f ca="1">IFERROR(__xludf.DUMMYFUNCTION("""COMPUTED_VALUE"""),1)</f>
        <v>1</v>
      </c>
      <c r="C1322" s="7">
        <f ca="1">IFERROR(__xludf.DUMMYFUNCTION("""COMPUTED_VALUE"""),1)</f>
        <v>1</v>
      </c>
      <c r="D1322" s="8">
        <f ca="1">IFERROR(__xludf.DUMMYFUNCTION("""COMPUTED_VALUE"""),1)</f>
        <v>1</v>
      </c>
      <c r="E1322" s="2">
        <f ca="1">IFERROR(__xludf.DUMMYFUNCTION("""COMPUTED_VALUE"""),1)</f>
        <v>1</v>
      </c>
    </row>
    <row r="1323" spans="1:5" ht="13">
      <c r="A1323" s="8" t="str">
        <f ca="1">IFERROR(__xludf.DUMMYFUNCTION("""COMPUTED_VALUE"""),"Caravella, Francis J.")</f>
        <v>Caravella, Francis J.</v>
      </c>
      <c r="B1323" s="3">
        <f ca="1">IFERROR(__xludf.DUMMYFUNCTION("""COMPUTED_VALUE"""),1)</f>
        <v>1</v>
      </c>
      <c r="C1323" s="7">
        <f ca="1">IFERROR(__xludf.DUMMYFUNCTION("""COMPUTED_VALUE"""),1)</f>
        <v>1</v>
      </c>
      <c r="D1323" s="8">
        <f ca="1">IFERROR(__xludf.DUMMYFUNCTION("""COMPUTED_VALUE"""),1)</f>
        <v>1</v>
      </c>
      <c r="E1323" s="2">
        <f ca="1">IFERROR(__xludf.DUMMYFUNCTION("""COMPUTED_VALUE"""),1)</f>
        <v>1</v>
      </c>
    </row>
    <row r="1324" spans="1:5" ht="13">
      <c r="A1324" s="2" t="str">
        <f ca="1">IFERROR(__xludf.DUMMYFUNCTION("""COMPUTED_VALUE"""),"Cardillo, Salvatore")</f>
        <v>Cardillo, Salvatore</v>
      </c>
      <c r="B1324" s="3">
        <f ca="1">IFERROR(__xludf.DUMMYFUNCTION("""COMPUTED_VALUE"""),1)</f>
        <v>1</v>
      </c>
      <c r="C1324" s="7">
        <f ca="1">IFERROR(__xludf.DUMMYFUNCTION("""COMPUTED_VALUE"""),1)</f>
        <v>1</v>
      </c>
      <c r="D1324" s="8">
        <f ca="1">IFERROR(__xludf.DUMMYFUNCTION("""COMPUTED_VALUE"""),5)</f>
        <v>5</v>
      </c>
      <c r="E1324" s="2">
        <f ca="1">IFERROR(__xludf.DUMMYFUNCTION("""COMPUTED_VALUE"""),2)</f>
        <v>2</v>
      </c>
    </row>
    <row r="1325" spans="1:5" ht="13">
      <c r="A1325" s="8" t="str">
        <f ca="1">IFERROR(__xludf.DUMMYFUNCTION("""COMPUTED_VALUE"""),"Carey, Paul")</f>
        <v>Carey, Paul</v>
      </c>
      <c r="B1325" s="3">
        <f ca="1">IFERROR(__xludf.DUMMYFUNCTION("""COMPUTED_VALUE"""),1)</f>
        <v>1</v>
      </c>
      <c r="C1325" s="7">
        <f ca="1">IFERROR(__xludf.DUMMYFUNCTION("""COMPUTED_VALUE"""),1)</f>
        <v>1</v>
      </c>
      <c r="D1325" s="8">
        <f ca="1">IFERROR(__xludf.DUMMYFUNCTION("""COMPUTED_VALUE"""),1)</f>
        <v>1</v>
      </c>
      <c r="E1325" s="2">
        <f ca="1">IFERROR(__xludf.DUMMYFUNCTION("""COMPUTED_VALUE"""),1)</f>
        <v>1</v>
      </c>
    </row>
    <row r="1326" spans="1:5" ht="13">
      <c r="A1326" s="8" t="str">
        <f ca="1">IFERROR(__xludf.DUMMYFUNCTION("""COMPUTED_VALUE"""),"Carissimi, Giacomo")</f>
        <v>Carissimi, Giacomo</v>
      </c>
      <c r="B1326" s="3">
        <f ca="1">IFERROR(__xludf.DUMMYFUNCTION("""COMPUTED_VALUE"""),1)</f>
        <v>1</v>
      </c>
      <c r="C1326" s="7">
        <f ca="1">IFERROR(__xludf.DUMMYFUNCTION("""COMPUTED_VALUE"""),1)</f>
        <v>1</v>
      </c>
      <c r="D1326" s="8">
        <f ca="1">IFERROR(__xludf.DUMMYFUNCTION("""COMPUTED_VALUE"""),5)</f>
        <v>5</v>
      </c>
      <c r="E1326" s="2">
        <f ca="1">IFERROR(__xludf.DUMMYFUNCTION("""COMPUTED_VALUE"""),2)</f>
        <v>2</v>
      </c>
    </row>
    <row r="1327" spans="1:5" ht="13">
      <c r="A1327" s="8" t="str">
        <f ca="1">IFERROR(__xludf.DUMMYFUNCTION("""COMPUTED_VALUE"""),"Carl, Robert")</f>
        <v>Carl, Robert</v>
      </c>
      <c r="B1327" s="3">
        <f ca="1">IFERROR(__xludf.DUMMYFUNCTION("""COMPUTED_VALUE"""),1)</f>
        <v>1</v>
      </c>
      <c r="C1327" s="7">
        <f ca="1">IFERROR(__xludf.DUMMYFUNCTION("""COMPUTED_VALUE"""),1)</f>
        <v>1</v>
      </c>
      <c r="D1327" s="8">
        <f ca="1">IFERROR(__xludf.DUMMYFUNCTION("""COMPUTED_VALUE"""),1)</f>
        <v>1</v>
      </c>
      <c r="E1327" s="2">
        <f ca="1">IFERROR(__xludf.DUMMYFUNCTION("""COMPUTED_VALUE"""),1)</f>
        <v>1</v>
      </c>
    </row>
    <row r="1328" spans="1:5" ht="13">
      <c r="A1328" s="2" t="str">
        <f ca="1">IFERROR(__xludf.DUMMYFUNCTION("""COMPUTED_VALUE"""),"Carlebach, Shlomo")</f>
        <v>Carlebach, Shlomo</v>
      </c>
      <c r="B1328" s="3">
        <f ca="1">IFERROR(__xludf.DUMMYFUNCTION("""COMPUTED_VALUE"""),1)</f>
        <v>1</v>
      </c>
      <c r="C1328" s="7">
        <f ca="1">IFERROR(__xludf.DUMMYFUNCTION("""COMPUTED_VALUE"""),1)</f>
        <v>1</v>
      </c>
      <c r="D1328" s="8">
        <f ca="1">IFERROR(__xludf.DUMMYFUNCTION("""COMPUTED_VALUE"""),5)</f>
        <v>5</v>
      </c>
      <c r="E1328" s="2">
        <f ca="1">IFERROR(__xludf.DUMMYFUNCTION("""COMPUTED_VALUE"""),2)</f>
        <v>2</v>
      </c>
    </row>
    <row r="1329" spans="1:5" ht="13">
      <c r="A1329" s="8" t="str">
        <f ca="1">IFERROR(__xludf.DUMMYFUNCTION("""COMPUTED_VALUE"""),"Carleton, Bob")</f>
        <v>Carleton, Bob</v>
      </c>
      <c r="B1329" s="3">
        <f ca="1">IFERROR(__xludf.DUMMYFUNCTION("""COMPUTED_VALUE"""),1)</f>
        <v>1</v>
      </c>
      <c r="C1329" s="7">
        <f ca="1">IFERROR(__xludf.DUMMYFUNCTION("""COMPUTED_VALUE"""),1)</f>
        <v>1</v>
      </c>
      <c r="D1329" s="8">
        <f ca="1">IFERROR(__xludf.DUMMYFUNCTION("""COMPUTED_VALUE"""),5)</f>
        <v>5</v>
      </c>
      <c r="E1329" s="2">
        <f ca="1">IFERROR(__xludf.DUMMYFUNCTION("""COMPUTED_VALUE"""),2)</f>
        <v>2</v>
      </c>
    </row>
    <row r="1330" spans="1:5" ht="13">
      <c r="A1330" s="2" t="str">
        <f ca="1">IFERROR(__xludf.DUMMYFUNCTION("""COMPUTED_VALUE"""),"Carlin, Alexandre")</f>
        <v>Carlin, Alexandre</v>
      </c>
      <c r="B1330" s="2">
        <f ca="1">IFERROR(__xludf.DUMMYFUNCTION("""COMPUTED_VALUE"""),1)</f>
        <v>1</v>
      </c>
      <c r="C1330" s="7">
        <f ca="1">IFERROR(__xludf.DUMMYFUNCTION("""COMPUTED_VALUE"""),1)</f>
        <v>1</v>
      </c>
      <c r="D1330" s="8">
        <f ca="1">IFERROR(__xludf.DUMMYFUNCTION("""COMPUTED_VALUE"""),1)</f>
        <v>1</v>
      </c>
      <c r="E1330" s="2">
        <f ca="1">IFERROR(__xludf.DUMMYFUNCTION("""COMPUTED_VALUE"""),1)</f>
        <v>1</v>
      </c>
    </row>
    <row r="1331" spans="1:5" ht="13">
      <c r="A1331" s="2" t="str">
        <f ca="1">IFERROR(__xludf.DUMMYFUNCTION("""COMPUTED_VALUE"""),"Carlin, Sidney")</f>
        <v>Carlin, Sidney</v>
      </c>
      <c r="B1331" s="2">
        <f ca="1">IFERROR(__xludf.DUMMYFUNCTION("""COMPUTED_VALUE"""),1)</f>
        <v>1</v>
      </c>
      <c r="C1331" s="7">
        <f ca="1">IFERROR(__xludf.DUMMYFUNCTION("""COMPUTED_VALUE"""),1)</f>
        <v>1</v>
      </c>
      <c r="D1331" s="8">
        <f ca="1">IFERROR(__xludf.DUMMYFUNCTION("""COMPUTED_VALUE"""),5)</f>
        <v>5</v>
      </c>
      <c r="E1331" s="2">
        <f ca="1">IFERROR(__xludf.DUMMYFUNCTION("""COMPUTED_VALUE"""),2)</f>
        <v>2</v>
      </c>
    </row>
    <row r="1332" spans="1:5" ht="13">
      <c r="A1332" s="2" t="str">
        <f ca="1">IFERROR(__xludf.DUMMYFUNCTION("""COMPUTED_VALUE"""),"Carlson, Bruce")</f>
        <v>Carlson, Bruce</v>
      </c>
      <c r="B1332" s="2">
        <f ca="1">IFERROR(__xludf.DUMMYFUNCTION("""COMPUTED_VALUE"""),1)</f>
        <v>1</v>
      </c>
      <c r="C1332" s="7">
        <f ca="1">IFERROR(__xludf.DUMMYFUNCTION("""COMPUTED_VALUE"""),1)</f>
        <v>1</v>
      </c>
      <c r="D1332" s="8">
        <f ca="1">IFERROR(__xludf.DUMMYFUNCTION("""COMPUTED_VALUE"""),1)</f>
        <v>1</v>
      </c>
      <c r="E1332" s="2">
        <f ca="1">IFERROR(__xludf.DUMMYFUNCTION("""COMPUTED_VALUE"""),1)</f>
        <v>1</v>
      </c>
    </row>
    <row r="1333" spans="1:5" ht="13">
      <c r="A1333" s="2" t="str">
        <f ca="1">IFERROR(__xludf.DUMMYFUNCTION("""COMPUTED_VALUE"""),"Carlson, Stephan")</f>
        <v>Carlson, Stephan</v>
      </c>
      <c r="B1333" s="3">
        <f ca="1">IFERROR(__xludf.DUMMYFUNCTION("""COMPUTED_VALUE"""),1)</f>
        <v>1</v>
      </c>
      <c r="C1333" s="7">
        <f ca="1">IFERROR(__xludf.DUMMYFUNCTION("""COMPUTED_VALUE"""),1)</f>
        <v>1</v>
      </c>
      <c r="D1333" s="8">
        <f ca="1">IFERROR(__xludf.DUMMYFUNCTION("""COMPUTED_VALUE"""),1)</f>
        <v>1</v>
      </c>
      <c r="E1333" s="2">
        <f ca="1">IFERROR(__xludf.DUMMYFUNCTION("""COMPUTED_VALUE"""),1)</f>
        <v>1</v>
      </c>
    </row>
    <row r="1334" spans="1:5" ht="13">
      <c r="A1334" s="2" t="str">
        <f ca="1">IFERROR(__xludf.DUMMYFUNCTION("""COMPUTED_VALUE"""),"Carlson, Stuart Ross")</f>
        <v>Carlson, Stuart Ross</v>
      </c>
      <c r="B1334" s="2">
        <f ca="1">IFERROR(__xludf.DUMMYFUNCTION("""COMPUTED_VALUE"""),1)</f>
        <v>1</v>
      </c>
      <c r="C1334" s="2">
        <f ca="1">IFERROR(__xludf.DUMMYFUNCTION("""COMPUTED_VALUE"""),1)</f>
        <v>1</v>
      </c>
      <c r="D1334" s="8">
        <f ca="1">IFERROR(__xludf.DUMMYFUNCTION("""COMPUTED_VALUE"""),1)</f>
        <v>1</v>
      </c>
      <c r="E1334" s="2">
        <f ca="1">IFERROR(__xludf.DUMMYFUNCTION("""COMPUTED_VALUE"""),1)</f>
        <v>1</v>
      </c>
    </row>
    <row r="1335" spans="1:5" ht="13">
      <c r="A1335" s="8" t="str">
        <f ca="1">IFERROR(__xludf.DUMMYFUNCTION("""COMPUTED_VALUE"""),"Carmichael, Hoagy")</f>
        <v>Carmichael, Hoagy</v>
      </c>
      <c r="B1335" s="3">
        <f ca="1">IFERROR(__xludf.DUMMYFUNCTION("""COMPUTED_VALUE"""),1)</f>
        <v>1</v>
      </c>
      <c r="C1335" s="7">
        <f ca="1">IFERROR(__xludf.DUMMYFUNCTION("""COMPUTED_VALUE"""),1)</f>
        <v>1</v>
      </c>
      <c r="D1335" s="8">
        <f ca="1">IFERROR(__xludf.DUMMYFUNCTION("""COMPUTED_VALUE"""),5)</f>
        <v>5</v>
      </c>
      <c r="E1335" s="2">
        <f ca="1">IFERROR(__xludf.DUMMYFUNCTION("""COMPUTED_VALUE"""),2)</f>
        <v>2</v>
      </c>
    </row>
    <row r="1336" spans="1:5" ht="13">
      <c r="A1336" s="8" t="str">
        <f ca="1">IFERROR(__xludf.DUMMYFUNCTION("""COMPUTED_VALUE"""),"Carmichael, Hoagy / Arodin, Sidney")</f>
        <v>Carmichael, Hoagy / Arodin, Sidney</v>
      </c>
      <c r="B1336" s="3">
        <f ca="1">IFERROR(__xludf.DUMMYFUNCTION("""COMPUTED_VALUE"""),1)</f>
        <v>1</v>
      </c>
      <c r="C1336" s="7">
        <f ca="1">IFERROR(__xludf.DUMMYFUNCTION("""COMPUTED_VALUE"""),1)</f>
        <v>1</v>
      </c>
      <c r="D1336" s="8">
        <f ca="1">IFERROR(__xludf.DUMMYFUNCTION("""COMPUTED_VALUE"""),5)</f>
        <v>5</v>
      </c>
      <c r="E1336" s="2">
        <f ca="1">IFERROR(__xludf.DUMMYFUNCTION("""COMPUTED_VALUE"""),2)</f>
        <v>2</v>
      </c>
    </row>
    <row r="1337" spans="1:5" ht="13">
      <c r="A1337" s="2" t="str">
        <f ca="1">IFERROR(__xludf.DUMMYFUNCTION("""COMPUTED_VALUE"""),"Carmichael, Hoagy / Gorrell, Stuart")</f>
        <v>Carmichael, Hoagy / Gorrell, Stuart</v>
      </c>
      <c r="B1337" s="3">
        <f ca="1">IFERROR(__xludf.DUMMYFUNCTION("""COMPUTED_VALUE"""),1)</f>
        <v>1</v>
      </c>
      <c r="C1337" s="7">
        <f ca="1">IFERROR(__xludf.DUMMYFUNCTION("""COMPUTED_VALUE"""),1)</f>
        <v>1</v>
      </c>
      <c r="D1337" s="8">
        <f ca="1">IFERROR(__xludf.DUMMYFUNCTION("""COMPUTED_VALUE"""),5)</f>
        <v>5</v>
      </c>
      <c r="E1337" s="2">
        <f ca="1">IFERROR(__xludf.DUMMYFUNCTION("""COMPUTED_VALUE"""),2)</f>
        <v>2</v>
      </c>
    </row>
    <row r="1338" spans="1:5" ht="13">
      <c r="A1338" s="8" t="str">
        <f ca="1">IFERROR(__xludf.DUMMYFUNCTION("""COMPUTED_VALUE"""),"Carmichael, Hoagy / Mercer, Johnny")</f>
        <v>Carmichael, Hoagy / Mercer, Johnny</v>
      </c>
      <c r="B1338" s="3">
        <f ca="1">IFERROR(__xludf.DUMMYFUNCTION("""COMPUTED_VALUE"""),1)</f>
        <v>1</v>
      </c>
      <c r="C1338" s="7">
        <f ca="1">IFERROR(__xludf.DUMMYFUNCTION("""COMPUTED_VALUE"""),1)</f>
        <v>1</v>
      </c>
      <c r="D1338" s="8">
        <f ca="1">IFERROR(__xludf.DUMMYFUNCTION("""COMPUTED_VALUE"""),5)</f>
        <v>5</v>
      </c>
      <c r="E1338" s="2">
        <f ca="1">IFERROR(__xludf.DUMMYFUNCTION("""COMPUTED_VALUE"""),2)</f>
        <v>2</v>
      </c>
    </row>
    <row r="1339" spans="1:5" ht="13">
      <c r="A1339" s="2" t="str">
        <f ca="1">IFERROR(__xludf.DUMMYFUNCTION("""COMPUTED_VALUE"""),"Carmichael, Hoagy / Washington, Ned")</f>
        <v>Carmichael, Hoagy / Washington, Ned</v>
      </c>
      <c r="B1339" s="3">
        <f ca="1">IFERROR(__xludf.DUMMYFUNCTION("""COMPUTED_VALUE"""),1)</f>
        <v>1</v>
      </c>
      <c r="C1339" s="7">
        <f ca="1">IFERROR(__xludf.DUMMYFUNCTION("""COMPUTED_VALUE"""),1)</f>
        <v>1</v>
      </c>
      <c r="D1339" s="8">
        <f ca="1">IFERROR(__xludf.DUMMYFUNCTION("""COMPUTED_VALUE"""),5)</f>
        <v>5</v>
      </c>
      <c r="E1339" s="2">
        <f ca="1">IFERROR(__xludf.DUMMYFUNCTION("""COMPUTED_VALUE"""),2)</f>
        <v>2</v>
      </c>
    </row>
    <row r="1340" spans="1:5" ht="13">
      <c r="A1340" s="2" t="str">
        <f ca="1">IFERROR(__xludf.DUMMYFUNCTION("""COMPUTED_VALUE"""),"Carnahan, Craig")</f>
        <v>Carnahan, Craig</v>
      </c>
      <c r="B1340" s="3">
        <f ca="1">IFERROR(__xludf.DUMMYFUNCTION("""COMPUTED_VALUE"""),1)</f>
        <v>1</v>
      </c>
      <c r="C1340" s="7">
        <f ca="1">IFERROR(__xludf.DUMMYFUNCTION("""COMPUTED_VALUE"""),1)</f>
        <v>1</v>
      </c>
      <c r="D1340" s="8">
        <f ca="1">IFERROR(__xludf.DUMMYFUNCTION("""COMPUTED_VALUE"""),1)</f>
        <v>1</v>
      </c>
      <c r="E1340" s="2">
        <f ca="1">IFERROR(__xludf.DUMMYFUNCTION("""COMPUTED_VALUE"""),1)</f>
        <v>1</v>
      </c>
    </row>
    <row r="1341" spans="1:5" ht="13">
      <c r="A1341" s="8" t="str">
        <f ca="1">IFERROR(__xludf.DUMMYFUNCTION("""COMPUTED_VALUE"""),"Carnahan, John")</f>
        <v>Carnahan, John</v>
      </c>
      <c r="B1341" s="3">
        <f ca="1">IFERROR(__xludf.DUMMYFUNCTION("""COMPUTED_VALUE"""),1)</f>
        <v>1</v>
      </c>
      <c r="C1341" s="7">
        <f ca="1">IFERROR(__xludf.DUMMYFUNCTION("""COMPUTED_VALUE"""),1)</f>
        <v>1</v>
      </c>
      <c r="D1341" s="8">
        <f ca="1">IFERROR(__xludf.DUMMYFUNCTION("""COMPUTED_VALUE"""),1)</f>
        <v>1</v>
      </c>
      <c r="E1341" s="2">
        <f ca="1">IFERROR(__xludf.DUMMYFUNCTION("""COMPUTED_VALUE"""),1)</f>
        <v>1</v>
      </c>
    </row>
    <row r="1342" spans="1:5" ht="13">
      <c r="A1342" s="2" t="str">
        <f ca="1">IFERROR(__xludf.DUMMYFUNCTION("""COMPUTED_VALUE"""),"Carnelia, Craig")</f>
        <v>Carnelia, Craig</v>
      </c>
      <c r="B1342" s="2">
        <f ca="1">IFERROR(__xludf.DUMMYFUNCTION("""COMPUTED_VALUE"""),1)</f>
        <v>1</v>
      </c>
      <c r="C1342" s="7">
        <f ca="1">IFERROR(__xludf.DUMMYFUNCTION("""COMPUTED_VALUE"""),1)</f>
        <v>1</v>
      </c>
      <c r="D1342" s="8">
        <f ca="1">IFERROR(__xludf.DUMMYFUNCTION("""COMPUTED_VALUE"""),1)</f>
        <v>1</v>
      </c>
      <c r="E1342" s="2">
        <f ca="1">IFERROR(__xludf.DUMMYFUNCTION("""COMPUTED_VALUE"""),1)</f>
        <v>1</v>
      </c>
    </row>
    <row r="1343" spans="1:5" ht="13">
      <c r="A1343" s="8" t="str">
        <f ca="1">IFERROR(__xludf.DUMMYFUNCTION("""COMPUTED_VALUE"""),"Carpenter, Cameron")</f>
        <v>Carpenter, Cameron</v>
      </c>
      <c r="B1343" s="3">
        <f ca="1">IFERROR(__xludf.DUMMYFUNCTION("""COMPUTED_VALUE"""),1)</f>
        <v>1</v>
      </c>
      <c r="C1343" s="7">
        <f ca="1">IFERROR(__xludf.DUMMYFUNCTION("""COMPUTED_VALUE"""),1)</f>
        <v>1</v>
      </c>
      <c r="D1343" s="8">
        <f ca="1">IFERROR(__xludf.DUMMYFUNCTION("""COMPUTED_VALUE"""),1)</f>
        <v>1</v>
      </c>
      <c r="E1343" s="2">
        <f ca="1">IFERROR(__xludf.DUMMYFUNCTION("""COMPUTED_VALUE"""),1)</f>
        <v>1</v>
      </c>
    </row>
    <row r="1344" spans="1:5" ht="13">
      <c r="A1344" s="8" t="str">
        <f ca="1">IFERROR(__xludf.DUMMYFUNCTION("""COMPUTED_VALUE"""),"Carpenter, John Alden")</f>
        <v>Carpenter, John Alden</v>
      </c>
      <c r="B1344" s="3">
        <f ca="1">IFERROR(__xludf.DUMMYFUNCTION("""COMPUTED_VALUE"""),1)</f>
        <v>1</v>
      </c>
      <c r="C1344" s="7">
        <f ca="1">IFERROR(__xludf.DUMMYFUNCTION("""COMPUTED_VALUE"""),1)</f>
        <v>1</v>
      </c>
      <c r="D1344" s="8">
        <f ca="1">IFERROR(__xludf.DUMMYFUNCTION("""COMPUTED_VALUE"""),5)</f>
        <v>5</v>
      </c>
      <c r="E1344" s="2">
        <f ca="1">IFERROR(__xludf.DUMMYFUNCTION("""COMPUTED_VALUE"""),2)</f>
        <v>2</v>
      </c>
    </row>
    <row r="1345" spans="1:5" ht="13">
      <c r="A1345" s="2" t="str">
        <f ca="1">IFERROR(__xludf.DUMMYFUNCTION("""COMPUTED_VALUE"""),"Carr, Paul")</f>
        <v>Carr, Paul</v>
      </c>
      <c r="B1345" s="3">
        <f ca="1">IFERROR(__xludf.DUMMYFUNCTION("""COMPUTED_VALUE"""),1)</f>
        <v>1</v>
      </c>
      <c r="C1345" s="7">
        <f ca="1">IFERROR(__xludf.DUMMYFUNCTION("""COMPUTED_VALUE"""),1)</f>
        <v>1</v>
      </c>
      <c r="D1345" s="8">
        <f ca="1">IFERROR(__xludf.DUMMYFUNCTION("""COMPUTED_VALUE"""),1)</f>
        <v>1</v>
      </c>
      <c r="E1345" s="2">
        <f ca="1">IFERROR(__xludf.DUMMYFUNCTION("""COMPUTED_VALUE"""),1)</f>
        <v>1</v>
      </c>
    </row>
    <row r="1346" spans="1:5" ht="13">
      <c r="A1346" s="2" t="str">
        <f ca="1">IFERROR(__xludf.DUMMYFUNCTION("""COMPUTED_VALUE"""),"Carrapatoso, Eurico")</f>
        <v>Carrapatoso, Eurico</v>
      </c>
      <c r="B1346" s="3">
        <f ca="1">IFERROR(__xludf.DUMMYFUNCTION("""COMPUTED_VALUE"""),1)</f>
        <v>1</v>
      </c>
      <c r="C1346" s="7">
        <f ca="1">IFERROR(__xludf.DUMMYFUNCTION("""COMPUTED_VALUE"""),1)</f>
        <v>1</v>
      </c>
      <c r="D1346" s="8">
        <f ca="1">IFERROR(__xludf.DUMMYFUNCTION("""COMPUTED_VALUE"""),5)</f>
        <v>5</v>
      </c>
      <c r="E1346" s="2">
        <f ca="1">IFERROR(__xludf.DUMMYFUNCTION("""COMPUTED_VALUE"""),2)</f>
        <v>2</v>
      </c>
    </row>
    <row r="1347" spans="1:5" ht="13">
      <c r="A1347" s="8" t="str">
        <f ca="1">IFERROR(__xludf.DUMMYFUNCTION("""COMPUTED_VALUE"""),"Carrara, Cristian")</f>
        <v>Carrara, Cristian</v>
      </c>
      <c r="B1347" s="3">
        <f ca="1">IFERROR(__xludf.DUMMYFUNCTION("""COMPUTED_VALUE"""),1)</f>
        <v>1</v>
      </c>
      <c r="C1347" s="7">
        <f ca="1">IFERROR(__xludf.DUMMYFUNCTION("""COMPUTED_VALUE"""),1)</f>
        <v>1</v>
      </c>
      <c r="D1347" s="8">
        <f ca="1">IFERROR(__xludf.DUMMYFUNCTION("""COMPUTED_VALUE"""),1)</f>
        <v>1</v>
      </c>
      <c r="E1347" s="2">
        <f ca="1">IFERROR(__xludf.DUMMYFUNCTION("""COMPUTED_VALUE"""),1)</f>
        <v>1</v>
      </c>
    </row>
    <row r="1348" spans="1:5" ht="13">
      <c r="A1348" s="2" t="str">
        <f ca="1">IFERROR(__xludf.DUMMYFUNCTION("""COMPUTED_VALUE"""),"Carrington, Simon")</f>
        <v>Carrington, Simon</v>
      </c>
      <c r="B1348" s="3">
        <f ca="1">IFERROR(__xludf.DUMMYFUNCTION("""COMPUTED_VALUE"""),1)</f>
        <v>1</v>
      </c>
      <c r="C1348" s="7">
        <f ca="1">IFERROR(__xludf.DUMMYFUNCTION("""COMPUTED_VALUE"""),1)</f>
        <v>1</v>
      </c>
      <c r="D1348" s="8">
        <f ca="1">IFERROR(__xludf.DUMMYFUNCTION("""COMPUTED_VALUE"""),1)</f>
        <v>1</v>
      </c>
      <c r="E1348" s="2">
        <f ca="1">IFERROR(__xludf.DUMMYFUNCTION("""COMPUTED_VALUE"""),1)</f>
        <v>1</v>
      </c>
    </row>
    <row r="1349" spans="1:5" ht="13">
      <c r="A1349" s="8" t="str">
        <f ca="1">IFERROR(__xludf.DUMMYFUNCTION("""COMPUTED_VALUE"""),"Carroll, Fergal")</f>
        <v>Carroll, Fergal</v>
      </c>
      <c r="B1349" s="3">
        <f ca="1">IFERROR(__xludf.DUMMYFUNCTION("""COMPUTED_VALUE"""),1)</f>
        <v>1</v>
      </c>
      <c r="C1349" s="7">
        <f ca="1">IFERROR(__xludf.DUMMYFUNCTION("""COMPUTED_VALUE"""),1)</f>
        <v>1</v>
      </c>
      <c r="D1349" s="8">
        <f ca="1">IFERROR(__xludf.DUMMYFUNCTION("""COMPUTED_VALUE"""),1)</f>
        <v>1</v>
      </c>
      <c r="E1349" s="2">
        <f ca="1">IFERROR(__xludf.DUMMYFUNCTION("""COMPUTED_VALUE"""),1)</f>
        <v>1</v>
      </c>
    </row>
    <row r="1350" spans="1:5" ht="13">
      <c r="A1350" s="2" t="str">
        <f ca="1">IFERROR(__xludf.DUMMYFUNCTION("""COMPUTED_VALUE"""),"Carroll, Harry / Atteridge, Harold")</f>
        <v>Carroll, Harry / Atteridge, Harold</v>
      </c>
      <c r="B1350" s="2">
        <f ca="1">IFERROR(__xludf.DUMMYFUNCTION("""COMPUTED_VALUE"""),1)</f>
        <v>1</v>
      </c>
      <c r="C1350" s="7">
        <f ca="1">IFERROR(__xludf.DUMMYFUNCTION("""COMPUTED_VALUE"""),1)</f>
        <v>1</v>
      </c>
      <c r="D1350" s="8">
        <f ca="1">IFERROR(__xludf.DUMMYFUNCTION("""COMPUTED_VALUE"""),5)</f>
        <v>5</v>
      </c>
      <c r="E1350" s="2">
        <f ca="1">IFERROR(__xludf.DUMMYFUNCTION("""COMPUTED_VALUE"""),2)</f>
        <v>2</v>
      </c>
    </row>
    <row r="1351" spans="1:5" ht="13">
      <c r="A1351" s="2" t="str">
        <f ca="1">IFERROR(__xludf.DUMMYFUNCTION("""COMPUTED_VALUE"""),"Carroll, Harry / MacDonald, Ballard / Fields, Dorothy")</f>
        <v>Carroll, Harry / MacDonald, Ballard / Fields, Dorothy</v>
      </c>
      <c r="B1351" s="2">
        <f ca="1">IFERROR(__xludf.DUMMYFUNCTION("""COMPUTED_VALUE"""),1)</f>
        <v>1</v>
      </c>
      <c r="C1351" s="7">
        <f ca="1">IFERROR(__xludf.DUMMYFUNCTION("""COMPUTED_VALUE"""),1)</f>
        <v>1</v>
      </c>
      <c r="D1351" s="8">
        <f ca="1">IFERROR(__xludf.DUMMYFUNCTION("""COMPUTED_VALUE"""),5)</f>
        <v>5</v>
      </c>
      <c r="E1351" s="2">
        <f ca="1">IFERROR(__xludf.DUMMYFUNCTION("""COMPUTED_VALUE"""),2)</f>
        <v>2</v>
      </c>
    </row>
    <row r="1352" spans="1:5" ht="13">
      <c r="A1352" s="8" t="str">
        <f ca="1">IFERROR(__xludf.DUMMYFUNCTION("""COMPUTED_VALUE"""),"Carroll, John")</f>
        <v>Carroll, John</v>
      </c>
      <c r="B1352" s="2">
        <f ca="1">IFERROR(__xludf.DUMMYFUNCTION("""COMPUTED_VALUE"""),1)</f>
        <v>1</v>
      </c>
      <c r="C1352" s="7">
        <f ca="1">IFERROR(__xludf.DUMMYFUNCTION("""COMPUTED_VALUE"""),1)</f>
        <v>1</v>
      </c>
      <c r="D1352" s="8">
        <f ca="1">IFERROR(__xludf.DUMMYFUNCTION("""COMPUTED_VALUE"""),5)</f>
        <v>5</v>
      </c>
      <c r="E1352" s="2">
        <f ca="1">IFERROR(__xludf.DUMMYFUNCTION("""COMPUTED_VALUE"""),2)</f>
        <v>2</v>
      </c>
    </row>
    <row r="1353" spans="1:5" ht="13">
      <c r="A1353" s="2" t="str">
        <f ca="1">IFERROR(__xludf.DUMMYFUNCTION("""COMPUTED_VALUE"""),"Carryl, Charles E.")</f>
        <v>Carryl, Charles E.</v>
      </c>
      <c r="B1353" s="3">
        <f ca="1">IFERROR(__xludf.DUMMYFUNCTION("""COMPUTED_VALUE"""),1)</f>
        <v>1</v>
      </c>
      <c r="C1353" s="7">
        <f ca="1">IFERROR(__xludf.DUMMYFUNCTION("""COMPUTED_VALUE"""),1)</f>
        <v>1</v>
      </c>
      <c r="D1353" s="8">
        <f ca="1">IFERROR(__xludf.DUMMYFUNCTION("""COMPUTED_VALUE"""),5)</f>
        <v>5</v>
      </c>
      <c r="E1353" s="2">
        <f ca="1">IFERROR(__xludf.DUMMYFUNCTION("""COMPUTED_VALUE"""),2)</f>
        <v>2</v>
      </c>
    </row>
    <row r="1354" spans="1:5" ht="13">
      <c r="A1354" s="2" t="str">
        <f ca="1">IFERROR(__xludf.DUMMYFUNCTION("""COMPUTED_VALUE"""),"Carse, Adam")</f>
        <v>Carse, Adam</v>
      </c>
      <c r="B1354" s="3">
        <f ca="1">IFERROR(__xludf.DUMMYFUNCTION("""COMPUTED_VALUE"""),1)</f>
        <v>1</v>
      </c>
      <c r="C1354" s="7">
        <f ca="1">IFERROR(__xludf.DUMMYFUNCTION("""COMPUTED_VALUE"""),1)</f>
        <v>1</v>
      </c>
      <c r="D1354" s="8">
        <f ca="1">IFERROR(__xludf.DUMMYFUNCTION("""COMPUTED_VALUE"""),5)</f>
        <v>5</v>
      </c>
      <c r="E1354" s="2">
        <f ca="1">IFERROR(__xludf.DUMMYFUNCTION("""COMPUTED_VALUE"""),2)</f>
        <v>2</v>
      </c>
    </row>
    <row r="1355" spans="1:5" ht="13">
      <c r="A1355" s="8" t="str">
        <f ca="1">IFERROR(__xludf.DUMMYFUNCTION("""COMPUTED_VALUE"""),"Carson, William S. / Naylor, Alan")</f>
        <v>Carson, William S. / Naylor, Alan</v>
      </c>
      <c r="B1355" s="3">
        <f ca="1">IFERROR(__xludf.DUMMYFUNCTION("""COMPUTED_VALUE"""),1)</f>
        <v>1</v>
      </c>
      <c r="C1355" s="7">
        <f ca="1">IFERROR(__xludf.DUMMYFUNCTION("""COMPUTED_VALUE"""),1)</f>
        <v>1</v>
      </c>
      <c r="D1355" s="8">
        <f ca="1">IFERROR(__xludf.DUMMYFUNCTION("""COMPUTED_VALUE"""),1)</f>
        <v>1</v>
      </c>
      <c r="E1355" s="2">
        <f ca="1">IFERROR(__xludf.DUMMYFUNCTION("""COMPUTED_VALUE"""),1)</f>
        <v>1</v>
      </c>
    </row>
    <row r="1356" spans="1:5" ht="13">
      <c r="A1356" s="2" t="str">
        <f ca="1">IFERROR(__xludf.DUMMYFUNCTION("""COMPUTED_VALUE"""),"Cartellieri, Casimir Anton")</f>
        <v>Cartellieri, Casimir Anton</v>
      </c>
      <c r="B1356" s="3">
        <f ca="1">IFERROR(__xludf.DUMMYFUNCTION("""COMPUTED_VALUE"""),1)</f>
        <v>1</v>
      </c>
      <c r="C1356" s="7">
        <f ca="1">IFERROR(__xludf.DUMMYFUNCTION("""COMPUTED_VALUE"""),1)</f>
        <v>1</v>
      </c>
      <c r="D1356" s="8">
        <f ca="1">IFERROR(__xludf.DUMMYFUNCTION("""COMPUTED_VALUE"""),1)</f>
        <v>1</v>
      </c>
      <c r="E1356" s="2">
        <f ca="1">IFERROR(__xludf.DUMMYFUNCTION("""COMPUTED_VALUE"""),1)</f>
        <v>1</v>
      </c>
    </row>
    <row r="1357" spans="1:5" ht="13">
      <c r="A1357" s="2" t="str">
        <f ca="1">IFERROR(__xludf.DUMMYFUNCTION("""COMPUTED_VALUE"""),"Carter, Andrew")</f>
        <v>Carter, Andrew</v>
      </c>
      <c r="B1357" s="3">
        <f ca="1">IFERROR(__xludf.DUMMYFUNCTION("""COMPUTED_VALUE"""),1)</f>
        <v>1</v>
      </c>
      <c r="C1357" s="7">
        <f ca="1">IFERROR(__xludf.DUMMYFUNCTION("""COMPUTED_VALUE"""),1)</f>
        <v>1</v>
      </c>
      <c r="D1357" s="8">
        <f ca="1">IFERROR(__xludf.DUMMYFUNCTION("""COMPUTED_VALUE"""),1)</f>
        <v>1</v>
      </c>
      <c r="E1357" s="2">
        <f ca="1">IFERROR(__xludf.DUMMYFUNCTION("""COMPUTED_VALUE"""),1)</f>
        <v>1</v>
      </c>
    </row>
    <row r="1358" spans="1:5" ht="13">
      <c r="A1358" s="2" t="str">
        <f ca="1">IFERROR(__xludf.DUMMYFUNCTION("""COMPUTED_VALUE"""),"Carter, Anthony")</f>
        <v>Carter, Anthony</v>
      </c>
      <c r="B1358" s="3">
        <f ca="1">IFERROR(__xludf.DUMMYFUNCTION("""COMPUTED_VALUE"""),1)</f>
        <v>1</v>
      </c>
      <c r="C1358" s="7">
        <f ca="1">IFERROR(__xludf.DUMMYFUNCTION("""COMPUTED_VALUE"""),1)</f>
        <v>1</v>
      </c>
      <c r="D1358" s="8">
        <f ca="1">IFERROR(__xludf.DUMMYFUNCTION("""COMPUTED_VALUE"""),1)</f>
        <v>1</v>
      </c>
      <c r="E1358" s="2">
        <f ca="1">IFERROR(__xludf.DUMMYFUNCTION("""COMPUTED_VALUE"""),1)</f>
        <v>1</v>
      </c>
    </row>
    <row r="1359" spans="1:5" ht="13">
      <c r="A1359" s="8" t="str">
        <f ca="1">IFERROR(__xludf.DUMMYFUNCTION("""COMPUTED_VALUE"""),"Carter, Charles")</f>
        <v>Carter, Charles</v>
      </c>
      <c r="B1359" s="3">
        <f ca="1">IFERROR(__xludf.DUMMYFUNCTION("""COMPUTED_VALUE"""),1)</f>
        <v>1</v>
      </c>
      <c r="C1359" s="7">
        <f ca="1">IFERROR(__xludf.DUMMYFUNCTION("""COMPUTED_VALUE"""),1)</f>
        <v>1</v>
      </c>
      <c r="D1359" s="8">
        <f ca="1">IFERROR(__xludf.DUMMYFUNCTION("""COMPUTED_VALUE"""),1)</f>
        <v>1</v>
      </c>
      <c r="E1359" s="2">
        <f ca="1">IFERROR(__xludf.DUMMYFUNCTION("""COMPUTED_VALUE"""),1)</f>
        <v>1</v>
      </c>
    </row>
    <row r="1360" spans="1:5" ht="13">
      <c r="A1360" s="8" t="str">
        <f ca="1">IFERROR(__xludf.DUMMYFUNCTION("""COMPUTED_VALUE"""),"Carter, Elliott")</f>
        <v>Carter, Elliott</v>
      </c>
      <c r="B1360" s="3">
        <f ca="1">IFERROR(__xludf.DUMMYFUNCTION("""COMPUTED_VALUE"""),1)</f>
        <v>1</v>
      </c>
      <c r="C1360" s="7">
        <f ca="1">IFERROR(__xludf.DUMMYFUNCTION("""COMPUTED_VALUE"""),1)</f>
        <v>1</v>
      </c>
      <c r="D1360" s="8">
        <f ca="1">IFERROR(__xludf.DUMMYFUNCTION("""COMPUTED_VALUE"""),5)</f>
        <v>5</v>
      </c>
      <c r="E1360" s="2">
        <f ca="1">IFERROR(__xludf.DUMMYFUNCTION("""COMPUTED_VALUE"""),2)</f>
        <v>2</v>
      </c>
    </row>
    <row r="1361" spans="1:5" ht="13">
      <c r="A1361" s="8" t="str">
        <f ca="1">IFERROR(__xludf.DUMMYFUNCTION("""COMPUTED_VALUE"""),"Carter, Fred")</f>
        <v>Carter, Fred</v>
      </c>
      <c r="B1361" s="3">
        <f ca="1">IFERROR(__xludf.DUMMYFUNCTION("""COMPUTED_VALUE"""),1)</f>
        <v>1</v>
      </c>
      <c r="C1361" s="7">
        <f ca="1">IFERROR(__xludf.DUMMYFUNCTION("""COMPUTED_VALUE"""),1)</f>
        <v>1</v>
      </c>
      <c r="D1361" s="8">
        <f ca="1">IFERROR(__xludf.DUMMYFUNCTION("""COMPUTED_VALUE"""),5)</f>
        <v>5</v>
      </c>
      <c r="E1361" s="2">
        <f ca="1">IFERROR(__xludf.DUMMYFUNCTION("""COMPUTED_VALUE"""),2)</f>
        <v>2</v>
      </c>
    </row>
    <row r="1362" spans="1:5" ht="13">
      <c r="A1362" s="2" t="str">
        <f ca="1">IFERROR(__xludf.DUMMYFUNCTION("""COMPUTED_VALUE"""),"Carter, John")</f>
        <v>Carter, John</v>
      </c>
      <c r="B1362" s="3">
        <f ca="1">IFERROR(__xludf.DUMMYFUNCTION("""COMPUTED_VALUE"""),1)</f>
        <v>1</v>
      </c>
      <c r="C1362" s="7">
        <f ca="1">IFERROR(__xludf.DUMMYFUNCTION("""COMPUTED_VALUE"""),1)</f>
        <v>1</v>
      </c>
      <c r="D1362" s="8">
        <f ca="1">IFERROR(__xludf.DUMMYFUNCTION("""COMPUTED_VALUE"""),1)</f>
        <v>1</v>
      </c>
      <c r="E1362" s="2">
        <f ca="1">IFERROR(__xludf.DUMMYFUNCTION("""COMPUTED_VALUE"""),1)</f>
        <v>1</v>
      </c>
    </row>
    <row r="1363" spans="1:5" ht="13">
      <c r="A1363" s="2" t="str">
        <f ca="1">IFERROR(__xludf.DUMMYFUNCTION("""COMPUTED_VALUE"""),"Carter, R. Alan")</f>
        <v>Carter, R. Alan</v>
      </c>
      <c r="B1363" s="3">
        <f ca="1">IFERROR(__xludf.DUMMYFUNCTION("""COMPUTED_VALUE"""),1)</f>
        <v>1</v>
      </c>
      <c r="C1363" s="7">
        <f ca="1">IFERROR(__xludf.DUMMYFUNCTION("""COMPUTED_VALUE"""),1)</f>
        <v>1</v>
      </c>
      <c r="D1363" s="8">
        <f ca="1">IFERROR(__xludf.DUMMYFUNCTION("""COMPUTED_VALUE"""),1)</f>
        <v>1</v>
      </c>
      <c r="E1363" s="2">
        <f ca="1">IFERROR(__xludf.DUMMYFUNCTION("""COMPUTED_VALUE"""),1)</f>
        <v>1</v>
      </c>
    </row>
    <row r="1364" spans="1:5" ht="13">
      <c r="A1364" s="8" t="str">
        <f ca="1">IFERROR(__xludf.DUMMYFUNCTION("""COMPUTED_VALUE"""),"Carter, Ryan")</f>
        <v>Carter, Ryan</v>
      </c>
      <c r="B1364" s="3">
        <f ca="1">IFERROR(__xludf.DUMMYFUNCTION("""COMPUTED_VALUE"""),1)</f>
        <v>1</v>
      </c>
      <c r="C1364" s="7">
        <f ca="1">IFERROR(__xludf.DUMMYFUNCTION("""COMPUTED_VALUE"""),1)</f>
        <v>1</v>
      </c>
      <c r="D1364" s="8">
        <f ca="1">IFERROR(__xludf.DUMMYFUNCTION("""COMPUTED_VALUE"""),1)</f>
        <v>1</v>
      </c>
      <c r="E1364" s="2">
        <f ca="1">IFERROR(__xludf.DUMMYFUNCTION("""COMPUTED_VALUE"""),1)</f>
        <v>1</v>
      </c>
    </row>
    <row r="1365" spans="1:5" ht="13">
      <c r="A1365" s="2" t="str">
        <f ca="1">IFERROR(__xludf.DUMMYFUNCTION("""COMPUTED_VALUE"""),"Carter, Sydney")</f>
        <v>Carter, Sydney</v>
      </c>
      <c r="B1365" s="3">
        <f ca="1">IFERROR(__xludf.DUMMYFUNCTION("""COMPUTED_VALUE"""),1)</f>
        <v>1</v>
      </c>
      <c r="C1365" s="7">
        <f ca="1">IFERROR(__xludf.DUMMYFUNCTION("""COMPUTED_VALUE"""),1)</f>
        <v>1</v>
      </c>
      <c r="D1365" s="8">
        <f ca="1">IFERROR(__xludf.DUMMYFUNCTION("""COMPUTED_VALUE"""),5)</f>
        <v>5</v>
      </c>
      <c r="E1365" s="2">
        <f ca="1">IFERROR(__xludf.DUMMYFUNCTION("""COMPUTED_VALUE"""),2)</f>
        <v>2</v>
      </c>
    </row>
    <row r="1366" spans="1:5" ht="13">
      <c r="A1366" s="2" t="str">
        <f ca="1">IFERROR(__xludf.DUMMYFUNCTION("""COMPUTED_VALUE"""),"Carter, Thomas M.")</f>
        <v>Carter, Thomas M.</v>
      </c>
      <c r="B1366" s="3">
        <f ca="1">IFERROR(__xludf.DUMMYFUNCTION("""COMPUTED_VALUE"""),1)</f>
        <v>1</v>
      </c>
      <c r="C1366" s="7">
        <f ca="1">IFERROR(__xludf.DUMMYFUNCTION("""COMPUTED_VALUE"""),1)</f>
        <v>1</v>
      </c>
      <c r="D1366" s="8">
        <f ca="1">IFERROR(__xludf.DUMMYFUNCTION("""COMPUTED_VALUE"""),1)</f>
        <v>1</v>
      </c>
      <c r="E1366" s="2">
        <f ca="1">IFERROR(__xludf.DUMMYFUNCTION("""COMPUTED_VALUE"""),1)</f>
        <v>1</v>
      </c>
    </row>
    <row r="1367" spans="1:5" ht="13">
      <c r="A1367" s="8" t="str">
        <f ca="1">IFERROR(__xludf.DUMMYFUNCTION("""COMPUTED_VALUE"""),"Carty, Patrick")</f>
        <v>Carty, Patrick</v>
      </c>
      <c r="B1367" s="3">
        <f ca="1">IFERROR(__xludf.DUMMYFUNCTION("""COMPUTED_VALUE"""),1)</f>
        <v>1</v>
      </c>
      <c r="C1367" s="7">
        <f ca="1">IFERROR(__xludf.DUMMYFUNCTION("""COMPUTED_VALUE"""),1)</f>
        <v>1</v>
      </c>
      <c r="D1367" s="8">
        <f ca="1">IFERROR(__xludf.DUMMYFUNCTION("""COMPUTED_VALUE"""),1)</f>
        <v>1</v>
      </c>
      <c r="E1367" s="2">
        <f ca="1">IFERROR(__xludf.DUMMYFUNCTION("""COMPUTED_VALUE"""),1)</f>
        <v>1</v>
      </c>
    </row>
    <row r="1368" spans="1:5" ht="13">
      <c r="A1368" s="8" t="str">
        <f ca="1">IFERROR(__xludf.DUMMYFUNCTION("""COMPUTED_VALUE"""),"Carubia, Mike")</f>
        <v>Carubia, Mike</v>
      </c>
      <c r="B1368" s="3">
        <f ca="1">IFERROR(__xludf.DUMMYFUNCTION("""COMPUTED_VALUE"""),1)</f>
        <v>1</v>
      </c>
      <c r="C1368" s="7">
        <f ca="1">IFERROR(__xludf.DUMMYFUNCTION("""COMPUTED_VALUE"""),1)</f>
        <v>1</v>
      </c>
      <c r="D1368" s="8">
        <f ca="1">IFERROR(__xludf.DUMMYFUNCTION("""COMPUTED_VALUE"""),1)</f>
        <v>1</v>
      </c>
      <c r="E1368" s="2">
        <f ca="1">IFERROR(__xludf.DUMMYFUNCTION("""COMPUTED_VALUE"""),1)</f>
        <v>1</v>
      </c>
    </row>
    <row r="1369" spans="1:5" ht="13">
      <c r="A1369" s="8" t="str">
        <f ca="1">IFERROR(__xludf.DUMMYFUNCTION("""COMPUTED_VALUE"""),"Caruso, John")</f>
        <v>Caruso, John</v>
      </c>
      <c r="B1369" s="3">
        <f ca="1">IFERROR(__xludf.DUMMYFUNCTION("""COMPUTED_VALUE"""),1)</f>
        <v>1</v>
      </c>
      <c r="C1369" s="7">
        <f ca="1">IFERROR(__xludf.DUMMYFUNCTION("""COMPUTED_VALUE"""),1)</f>
        <v>1</v>
      </c>
      <c r="D1369" s="8">
        <f ca="1">IFERROR(__xludf.DUMMYFUNCTION("""COMPUTED_VALUE"""),1)</f>
        <v>1</v>
      </c>
      <c r="E1369" s="2">
        <f ca="1">IFERROR(__xludf.DUMMYFUNCTION("""COMPUTED_VALUE"""),1)</f>
        <v>1</v>
      </c>
    </row>
    <row r="1370" spans="1:5" ht="13">
      <c r="A1370" s="8" t="str">
        <f ca="1">IFERROR(__xludf.DUMMYFUNCTION("""COMPUTED_VALUE"""),"Cary, Alfred")</f>
        <v>Cary, Alfred</v>
      </c>
      <c r="B1370" s="3">
        <f ca="1">IFERROR(__xludf.DUMMYFUNCTION("""COMPUTED_VALUE"""),1)</f>
        <v>1</v>
      </c>
      <c r="C1370" s="7">
        <f ca="1">IFERROR(__xludf.DUMMYFUNCTION("""COMPUTED_VALUE"""),1)</f>
        <v>1</v>
      </c>
      <c r="D1370" s="8">
        <f ca="1">IFERROR(__xludf.DUMMYFUNCTION("""COMPUTED_VALUE"""),5)</f>
        <v>5</v>
      </c>
      <c r="E1370" s="2">
        <f ca="1">IFERROR(__xludf.DUMMYFUNCTION("""COMPUTED_VALUE"""),2)</f>
        <v>2</v>
      </c>
    </row>
    <row r="1371" spans="1:5" ht="13">
      <c r="A1371" s="2" t="str">
        <f ca="1">IFERROR(__xludf.DUMMYFUNCTION("""COMPUTED_VALUE"""),"Casadesus, Henri")</f>
        <v>Casadesus, Henri</v>
      </c>
      <c r="B1371" s="3">
        <f ca="1">IFERROR(__xludf.DUMMYFUNCTION("""COMPUTED_VALUE"""),1)</f>
        <v>1</v>
      </c>
      <c r="C1371" s="7">
        <f ca="1">IFERROR(__xludf.DUMMYFUNCTION("""COMPUTED_VALUE"""),1)</f>
        <v>1</v>
      </c>
      <c r="D1371" s="8">
        <f ca="1">IFERROR(__xludf.DUMMYFUNCTION("""COMPUTED_VALUE"""),5)</f>
        <v>5</v>
      </c>
      <c r="E1371" s="2">
        <f ca="1">IFERROR(__xludf.DUMMYFUNCTION("""COMPUTED_VALUE"""),2)</f>
        <v>2</v>
      </c>
    </row>
    <row r="1372" spans="1:5" ht="13">
      <c r="A1372" s="8" t="str">
        <f ca="1">IFERROR(__xludf.DUMMYFUNCTION("""COMPUTED_VALUE"""),"Casals, Pablo")</f>
        <v>Casals, Pablo</v>
      </c>
      <c r="B1372" s="3">
        <f ca="1">IFERROR(__xludf.DUMMYFUNCTION("""COMPUTED_VALUE"""),1)</f>
        <v>1</v>
      </c>
      <c r="C1372" s="7">
        <f ca="1">IFERROR(__xludf.DUMMYFUNCTION("""COMPUTED_VALUE"""),1)</f>
        <v>1</v>
      </c>
      <c r="D1372" s="8">
        <f ca="1">IFERROR(__xludf.DUMMYFUNCTION("""COMPUTED_VALUE"""),5)</f>
        <v>5</v>
      </c>
      <c r="E1372" s="2">
        <f ca="1">IFERROR(__xludf.DUMMYFUNCTION("""COMPUTED_VALUE"""),2)</f>
        <v>2</v>
      </c>
    </row>
    <row r="1373" spans="1:5" ht="13">
      <c r="A1373" s="2" t="str">
        <f ca="1">IFERROR(__xludf.DUMMYFUNCTION("""COMPUTED_VALUE"""),"Cascarino, Romeo")</f>
        <v>Cascarino, Romeo</v>
      </c>
      <c r="B1373" s="2">
        <f ca="1">IFERROR(__xludf.DUMMYFUNCTION("""COMPUTED_VALUE"""),1)</f>
        <v>1</v>
      </c>
      <c r="C1373" s="7">
        <f ca="1">IFERROR(__xludf.DUMMYFUNCTION("""COMPUTED_VALUE"""),1)</f>
        <v>1</v>
      </c>
      <c r="D1373" s="8">
        <f ca="1">IFERROR(__xludf.DUMMYFUNCTION("""COMPUTED_VALUE"""),5)</f>
        <v>5</v>
      </c>
      <c r="E1373" s="2">
        <f ca="1">IFERROR(__xludf.DUMMYFUNCTION("""COMPUTED_VALUE"""),2)</f>
        <v>2</v>
      </c>
    </row>
    <row r="1374" spans="1:5" ht="13">
      <c r="A1374" s="2" t="str">
        <f ca="1">IFERROR(__xludf.DUMMYFUNCTION("""COMPUTED_VALUE"""),"Casciolini, Claudio")</f>
        <v>Casciolini, Claudio</v>
      </c>
      <c r="B1374" s="3">
        <f ca="1">IFERROR(__xludf.DUMMYFUNCTION("""COMPUTED_VALUE"""),1)</f>
        <v>1</v>
      </c>
      <c r="C1374" s="7">
        <f ca="1">IFERROR(__xludf.DUMMYFUNCTION("""COMPUTED_VALUE"""),1)</f>
        <v>1</v>
      </c>
      <c r="D1374" s="8">
        <f ca="1">IFERROR(__xludf.DUMMYFUNCTION("""COMPUTED_VALUE"""),5)</f>
        <v>5</v>
      </c>
      <c r="E1374" s="2">
        <f ca="1">IFERROR(__xludf.DUMMYFUNCTION("""COMPUTED_VALUE"""),2)</f>
        <v>2</v>
      </c>
    </row>
    <row r="1375" spans="1:5" ht="13">
      <c r="A1375" s="8" t="str">
        <f ca="1">IFERROR(__xludf.DUMMYFUNCTION("""COMPUTED_VALUE"""),"Case, Delvyn")</f>
        <v>Case, Delvyn</v>
      </c>
      <c r="B1375" s="3">
        <f ca="1">IFERROR(__xludf.DUMMYFUNCTION("""COMPUTED_VALUE"""),1)</f>
        <v>1</v>
      </c>
      <c r="C1375" s="7">
        <f ca="1">IFERROR(__xludf.DUMMYFUNCTION("""COMPUTED_VALUE"""),1)</f>
        <v>1</v>
      </c>
      <c r="D1375" s="8">
        <f ca="1">IFERROR(__xludf.DUMMYFUNCTION("""COMPUTED_VALUE"""),1)</f>
        <v>1</v>
      </c>
      <c r="E1375" s="2">
        <f ca="1">IFERROR(__xludf.DUMMYFUNCTION("""COMPUTED_VALUE"""),1)</f>
        <v>1</v>
      </c>
    </row>
    <row r="1376" spans="1:5" ht="13">
      <c r="A1376" s="8" t="str">
        <f ca="1">IFERROR(__xludf.DUMMYFUNCTION("""COMPUTED_VALUE"""),"Casella, Alfredo")</f>
        <v>Casella, Alfredo</v>
      </c>
      <c r="B1376" s="3">
        <f ca="1">IFERROR(__xludf.DUMMYFUNCTION("""COMPUTED_VALUE"""),1)</f>
        <v>1</v>
      </c>
      <c r="C1376" s="7">
        <f ca="1">IFERROR(__xludf.DUMMYFUNCTION("""COMPUTED_VALUE"""),1)</f>
        <v>1</v>
      </c>
      <c r="D1376" s="8">
        <f ca="1">IFERROR(__xludf.DUMMYFUNCTION("""COMPUTED_VALUE"""),5)</f>
        <v>5</v>
      </c>
      <c r="E1376" s="2">
        <f ca="1">IFERROR(__xludf.DUMMYFUNCTION("""COMPUTED_VALUE"""),2)</f>
        <v>2</v>
      </c>
    </row>
    <row r="1377" spans="1:5" ht="13">
      <c r="A1377" s="2" t="str">
        <f ca="1">IFERROR(__xludf.DUMMYFUNCTION("""COMPUTED_VALUE"""),"Casella, Jim")</f>
        <v>Casella, Jim</v>
      </c>
      <c r="B1377" s="3">
        <f ca="1">IFERROR(__xludf.DUMMYFUNCTION("""COMPUTED_VALUE"""),1)</f>
        <v>1</v>
      </c>
      <c r="C1377" s="7">
        <f ca="1">IFERROR(__xludf.DUMMYFUNCTION("""COMPUTED_VALUE"""),1)</f>
        <v>1</v>
      </c>
      <c r="D1377" s="8">
        <f ca="1">IFERROR(__xludf.DUMMYFUNCTION("""COMPUTED_VALUE"""),1)</f>
        <v>1</v>
      </c>
      <c r="E1377" s="2">
        <f ca="1">IFERROR(__xludf.DUMMYFUNCTION("""COMPUTED_VALUE"""),1)</f>
        <v>1</v>
      </c>
    </row>
    <row r="1378" spans="1:5" ht="13">
      <c r="A1378" s="2" t="str">
        <f ca="1">IFERROR(__xludf.DUMMYFUNCTION("""COMPUTED_VALUE"""),"Casey, Thomas")</f>
        <v>Casey, Thomas</v>
      </c>
      <c r="B1378" s="3">
        <f ca="1">IFERROR(__xludf.DUMMYFUNCTION("""COMPUTED_VALUE"""),1)</f>
        <v>1</v>
      </c>
      <c r="C1378" s="7">
        <f ca="1">IFERROR(__xludf.DUMMYFUNCTION("""COMPUTED_VALUE"""),1)</f>
        <v>1</v>
      </c>
      <c r="D1378" s="8">
        <f ca="1">IFERROR(__xludf.DUMMYFUNCTION("""COMPUTED_VALUE"""),1)</f>
        <v>1</v>
      </c>
      <c r="E1378" s="2">
        <f ca="1">IFERROR(__xludf.DUMMYFUNCTION("""COMPUTED_VALUE"""),1)</f>
        <v>1</v>
      </c>
    </row>
    <row r="1379" spans="1:5" ht="13">
      <c r="A1379" s="2" t="str">
        <f ca="1">IFERROR(__xludf.DUMMYFUNCTION("""COMPUTED_VALUE"""),"Cashmore, Donald")</f>
        <v>Cashmore, Donald</v>
      </c>
      <c r="B1379" s="3">
        <f ca="1">IFERROR(__xludf.DUMMYFUNCTION("""COMPUTED_VALUE"""),1)</f>
        <v>1</v>
      </c>
      <c r="C1379" s="7">
        <f ca="1">IFERROR(__xludf.DUMMYFUNCTION("""COMPUTED_VALUE"""),1)</f>
        <v>1</v>
      </c>
      <c r="D1379" s="8">
        <f ca="1">IFERROR(__xludf.DUMMYFUNCTION("""COMPUTED_VALUE"""),1)</f>
        <v>1</v>
      </c>
      <c r="E1379" s="2">
        <f ca="1">IFERROR(__xludf.DUMMYFUNCTION("""COMPUTED_VALUE"""),1)</f>
        <v>1</v>
      </c>
    </row>
    <row r="1380" spans="1:5" ht="13">
      <c r="A1380" s="2" t="str">
        <f ca="1">IFERROR(__xludf.DUMMYFUNCTION("""COMPUTED_VALUE"""),"Cason, Don")</f>
        <v>Cason, Don</v>
      </c>
      <c r="B1380" s="3">
        <f ca="1">IFERROR(__xludf.DUMMYFUNCTION("""COMPUTED_VALUE"""),1)</f>
        <v>1</v>
      </c>
      <c r="C1380" s="7">
        <f ca="1">IFERROR(__xludf.DUMMYFUNCTION("""COMPUTED_VALUE"""),1)</f>
        <v>1</v>
      </c>
      <c r="D1380" s="8">
        <f ca="1">IFERROR(__xludf.DUMMYFUNCTION("""COMPUTED_VALUE"""),1)</f>
        <v>1</v>
      </c>
      <c r="E1380" s="2">
        <f ca="1">IFERROR(__xludf.DUMMYFUNCTION("""COMPUTED_VALUE"""),1)</f>
        <v>1</v>
      </c>
    </row>
    <row r="1381" spans="1:5" ht="13">
      <c r="A1381" s="8" t="str">
        <f ca="1">IFERROR(__xludf.DUMMYFUNCTION("""COMPUTED_VALUE"""),"Cassado, Gaspar")</f>
        <v>Cassado, Gaspar</v>
      </c>
      <c r="B1381" s="3">
        <f ca="1">IFERROR(__xludf.DUMMYFUNCTION("""COMPUTED_VALUE"""),1)</f>
        <v>1</v>
      </c>
      <c r="C1381" s="7">
        <f ca="1">IFERROR(__xludf.DUMMYFUNCTION("""COMPUTED_VALUE"""),1)</f>
        <v>1</v>
      </c>
      <c r="D1381" s="8">
        <f ca="1">IFERROR(__xludf.DUMMYFUNCTION("""COMPUTED_VALUE"""),5)</f>
        <v>5</v>
      </c>
      <c r="E1381" s="2">
        <f ca="1">IFERROR(__xludf.DUMMYFUNCTION("""COMPUTED_VALUE"""),2)</f>
        <v>2</v>
      </c>
    </row>
    <row r="1382" spans="1:5" ht="13">
      <c r="A1382" s="2" t="str">
        <f ca="1">IFERROR(__xludf.DUMMYFUNCTION("""COMPUTED_VALUE"""),"Cassey, Charles")</f>
        <v>Cassey, Charles</v>
      </c>
      <c r="B1382" s="3">
        <f ca="1">IFERROR(__xludf.DUMMYFUNCTION("""COMPUTED_VALUE"""),1)</f>
        <v>1</v>
      </c>
      <c r="C1382" s="7">
        <f ca="1">IFERROR(__xludf.DUMMYFUNCTION("""COMPUTED_VALUE"""),1)</f>
        <v>1</v>
      </c>
      <c r="D1382" s="8">
        <f ca="1">IFERROR(__xludf.DUMMYFUNCTION("""COMPUTED_VALUE"""),1)</f>
        <v>1</v>
      </c>
      <c r="E1382" s="2">
        <f ca="1">IFERROR(__xludf.DUMMYFUNCTION("""COMPUTED_VALUE"""),1)</f>
        <v>1</v>
      </c>
    </row>
    <row r="1383" spans="1:5" ht="13">
      <c r="A1383" s="2" t="str">
        <f ca="1">IFERROR(__xludf.DUMMYFUNCTION("""COMPUTED_VALUE"""),"Cassler, G. W.")</f>
        <v>Cassler, G. W.</v>
      </c>
      <c r="B1383" s="3">
        <f ca="1">IFERROR(__xludf.DUMMYFUNCTION("""COMPUTED_VALUE"""),1)</f>
        <v>1</v>
      </c>
      <c r="C1383" s="7">
        <f ca="1">IFERROR(__xludf.DUMMYFUNCTION("""COMPUTED_VALUE"""),1)</f>
        <v>1</v>
      </c>
      <c r="D1383" s="8">
        <f ca="1">IFERROR(__xludf.DUMMYFUNCTION("""COMPUTED_VALUE"""),1)</f>
        <v>1</v>
      </c>
      <c r="E1383" s="2">
        <f ca="1">IFERROR(__xludf.DUMMYFUNCTION("""COMPUTED_VALUE"""),1)</f>
        <v>1</v>
      </c>
    </row>
    <row r="1384" spans="1:5" ht="13">
      <c r="A1384" s="2" t="str">
        <f ca="1">IFERROR(__xludf.DUMMYFUNCTION("""COMPUTED_VALUE"""),"Cassotta, Vincent")</f>
        <v>Cassotta, Vincent</v>
      </c>
      <c r="B1384" s="3">
        <f ca="1">IFERROR(__xludf.DUMMYFUNCTION("""COMPUTED_VALUE"""),1)</f>
        <v>1</v>
      </c>
      <c r="C1384" s="7">
        <f ca="1">IFERROR(__xludf.DUMMYFUNCTION("""COMPUTED_VALUE"""),1)</f>
        <v>1</v>
      </c>
      <c r="D1384" s="8">
        <f ca="1">IFERROR(__xludf.DUMMYFUNCTION("""COMPUTED_VALUE"""),1)</f>
        <v>1</v>
      </c>
      <c r="E1384" s="2">
        <f ca="1">IFERROR(__xludf.DUMMYFUNCTION("""COMPUTED_VALUE"""),1)</f>
        <v>1</v>
      </c>
    </row>
    <row r="1385" spans="1:5" ht="13">
      <c r="A1385" s="8" t="str">
        <f ca="1">IFERROR(__xludf.DUMMYFUNCTION("""COMPUTED_VALUE"""),"Castellanos, Santy")</f>
        <v>Castellanos, Santy</v>
      </c>
      <c r="B1385" s="3">
        <f ca="1">IFERROR(__xludf.DUMMYFUNCTION("""COMPUTED_VALUE"""),1)</f>
        <v>1</v>
      </c>
      <c r="C1385" s="7">
        <f ca="1">IFERROR(__xludf.DUMMYFUNCTION("""COMPUTED_VALUE"""),1)</f>
        <v>1</v>
      </c>
      <c r="D1385" s="8">
        <f ca="1">IFERROR(__xludf.DUMMYFUNCTION("""COMPUTED_VALUE"""),5)</f>
        <v>5</v>
      </c>
      <c r="E1385" s="2">
        <f ca="1">IFERROR(__xludf.DUMMYFUNCTION("""COMPUTED_VALUE"""),2)</f>
        <v>2</v>
      </c>
    </row>
    <row r="1386" spans="1:5" ht="13">
      <c r="A1386" s="2" t="str">
        <f ca="1">IFERROR(__xludf.DUMMYFUNCTION("""COMPUTED_VALUE"""),"Castellini, John")</f>
        <v>Castellini, John</v>
      </c>
      <c r="B1386" s="2">
        <f ca="1">IFERROR(__xludf.DUMMYFUNCTION("""COMPUTED_VALUE"""),1)</f>
        <v>1</v>
      </c>
      <c r="C1386" s="2">
        <f ca="1">IFERROR(__xludf.DUMMYFUNCTION("""COMPUTED_VALUE"""),1)</f>
        <v>1</v>
      </c>
      <c r="D1386" s="8">
        <f ca="1">IFERROR(__xludf.DUMMYFUNCTION("""COMPUTED_VALUE"""),5)</f>
        <v>5</v>
      </c>
      <c r="E1386" s="2">
        <f ca="1">IFERROR(__xludf.DUMMYFUNCTION("""COMPUTED_VALUE"""),2)</f>
        <v>2</v>
      </c>
    </row>
    <row r="1387" spans="1:5" ht="13">
      <c r="A1387" s="8" t="str">
        <f ca="1">IFERROR(__xludf.DUMMYFUNCTION("""COMPUTED_VALUE"""),"Castelnuovo-Tedesco, Mario")</f>
        <v>Castelnuovo-Tedesco, Mario</v>
      </c>
      <c r="B1387" s="3">
        <f ca="1">IFERROR(__xludf.DUMMYFUNCTION("""COMPUTED_VALUE"""),1)</f>
        <v>1</v>
      </c>
      <c r="C1387" s="7">
        <f ca="1">IFERROR(__xludf.DUMMYFUNCTION("""COMPUTED_VALUE"""),1)</f>
        <v>1</v>
      </c>
      <c r="D1387" s="8">
        <f ca="1">IFERROR(__xludf.DUMMYFUNCTION("""COMPUTED_VALUE"""),5)</f>
        <v>5</v>
      </c>
      <c r="E1387" s="2">
        <f ca="1">IFERROR(__xludf.DUMMYFUNCTION("""COMPUTED_VALUE"""),2)</f>
        <v>2</v>
      </c>
    </row>
    <row r="1388" spans="1:5" ht="13">
      <c r="A1388" s="2" t="str">
        <f ca="1">IFERROR(__xludf.DUMMYFUNCTION("""COMPUTED_VALUE"""),"Casterede, Jacques")</f>
        <v>Casterede, Jacques</v>
      </c>
      <c r="B1388" s="3">
        <f ca="1">IFERROR(__xludf.DUMMYFUNCTION("""COMPUTED_VALUE"""),1)</f>
        <v>1</v>
      </c>
      <c r="C1388" s="7">
        <f ca="1">IFERROR(__xludf.DUMMYFUNCTION("""COMPUTED_VALUE"""),1)</f>
        <v>1</v>
      </c>
      <c r="D1388" s="8">
        <f ca="1">IFERROR(__xludf.DUMMYFUNCTION("""COMPUTED_VALUE"""),5)</f>
        <v>5</v>
      </c>
      <c r="E1388" s="2">
        <f ca="1">IFERROR(__xludf.DUMMYFUNCTION("""COMPUTED_VALUE"""),2)</f>
        <v>2</v>
      </c>
    </row>
    <row r="1389" spans="1:5" ht="13">
      <c r="A1389" s="2" t="str">
        <f ca="1">IFERROR(__xludf.DUMMYFUNCTION("""COMPUTED_VALUE"""),"Castle, Alfred")</f>
        <v>Castle, Alfred</v>
      </c>
      <c r="B1389" s="2">
        <f ca="1">IFERROR(__xludf.DUMMYFUNCTION("""COMPUTED_VALUE"""),1)</f>
        <v>1</v>
      </c>
      <c r="C1389" s="2">
        <f ca="1">IFERROR(__xludf.DUMMYFUNCTION("""COMPUTED_VALUE"""),1)</f>
        <v>1</v>
      </c>
      <c r="D1389" s="8">
        <f ca="1">IFERROR(__xludf.DUMMYFUNCTION("""COMPUTED_VALUE"""),5)</f>
        <v>5</v>
      </c>
      <c r="E1389" s="2">
        <f ca="1">IFERROR(__xludf.DUMMYFUNCTION("""COMPUTED_VALUE"""),2)</f>
        <v>2</v>
      </c>
    </row>
    <row r="1390" spans="1:5" ht="13">
      <c r="A1390" s="8" t="str">
        <f ca="1">IFERROR(__xludf.DUMMYFUNCTION("""COMPUTED_VALUE"""),"Castonguay, Ron")</f>
        <v>Castonguay, Ron</v>
      </c>
      <c r="B1390" s="3">
        <f ca="1">IFERROR(__xludf.DUMMYFUNCTION("""COMPUTED_VALUE"""),1)</f>
        <v>1</v>
      </c>
      <c r="C1390" s="7">
        <f ca="1">IFERROR(__xludf.DUMMYFUNCTION("""COMPUTED_VALUE"""),1)</f>
        <v>1</v>
      </c>
      <c r="D1390" s="8">
        <f ca="1">IFERROR(__xludf.DUMMYFUNCTION("""COMPUTED_VALUE"""),1)</f>
        <v>1</v>
      </c>
      <c r="E1390" s="2">
        <f ca="1">IFERROR(__xludf.DUMMYFUNCTION("""COMPUTED_VALUE"""),1)</f>
        <v>1</v>
      </c>
    </row>
    <row r="1391" spans="1:5" ht="13">
      <c r="A1391" s="8" t="str">
        <f ca="1">IFERROR(__xludf.DUMMYFUNCTION("""COMPUTED_VALUE"""),"Castrucci")</f>
        <v>Castrucci</v>
      </c>
      <c r="B1391" s="3">
        <f ca="1">IFERROR(__xludf.DUMMYFUNCTION("""COMPUTED_VALUE"""),1)</f>
        <v>1</v>
      </c>
      <c r="C1391" s="7">
        <f ca="1">IFERROR(__xludf.DUMMYFUNCTION("""COMPUTED_VALUE"""),1)</f>
        <v>1</v>
      </c>
      <c r="D1391" s="8">
        <f ca="1">IFERROR(__xludf.DUMMYFUNCTION("""COMPUTED_VALUE"""),5)</f>
        <v>5</v>
      </c>
      <c r="E1391" s="2">
        <f ca="1">IFERROR(__xludf.DUMMYFUNCTION("""COMPUTED_VALUE"""),2)</f>
        <v>2</v>
      </c>
    </row>
    <row r="1392" spans="1:5" ht="13">
      <c r="A1392" s="8" t="str">
        <f ca="1">IFERROR(__xludf.DUMMYFUNCTION("""COMPUTED_VALUE"""),"Castrucci, Pietro")</f>
        <v>Castrucci, Pietro</v>
      </c>
      <c r="B1392" s="3">
        <f ca="1">IFERROR(__xludf.DUMMYFUNCTION("""COMPUTED_VALUE"""),1)</f>
        <v>1</v>
      </c>
      <c r="C1392" s="7">
        <f ca="1">IFERROR(__xludf.DUMMYFUNCTION("""COMPUTED_VALUE"""),1)</f>
        <v>1</v>
      </c>
      <c r="D1392" s="8">
        <f ca="1">IFERROR(__xludf.DUMMYFUNCTION("""COMPUTED_VALUE"""),5)</f>
        <v>5</v>
      </c>
      <c r="E1392" s="2">
        <f ca="1">IFERROR(__xludf.DUMMYFUNCTION("""COMPUTED_VALUE"""),2)</f>
        <v>2</v>
      </c>
    </row>
    <row r="1393" spans="1:5" ht="13">
      <c r="A1393" s="8" t="str">
        <f ca="1">IFERROR(__xludf.DUMMYFUNCTION("""COMPUTED_VALUE"""),"Catalani, Alfredo")</f>
        <v>Catalani, Alfredo</v>
      </c>
      <c r="B1393" s="3">
        <f ca="1">IFERROR(__xludf.DUMMYFUNCTION("""COMPUTED_VALUE"""),1)</f>
        <v>1</v>
      </c>
      <c r="C1393" s="7">
        <f ca="1">IFERROR(__xludf.DUMMYFUNCTION("""COMPUTED_VALUE"""),1)</f>
        <v>1</v>
      </c>
      <c r="D1393" s="8">
        <f ca="1">IFERROR(__xludf.DUMMYFUNCTION("""COMPUTED_VALUE"""),5)</f>
        <v>5</v>
      </c>
      <c r="E1393" s="2">
        <f ca="1">IFERROR(__xludf.DUMMYFUNCTION("""COMPUTED_VALUE"""),2)</f>
        <v>2</v>
      </c>
    </row>
    <row r="1394" spans="1:5" ht="13">
      <c r="A1394" s="8" t="str">
        <f ca="1">IFERROR(__xludf.DUMMYFUNCTION("""COMPUTED_VALUE"""),"Catanzaro, William")</f>
        <v>Catanzaro, William</v>
      </c>
      <c r="B1394" s="3">
        <f ca="1">IFERROR(__xludf.DUMMYFUNCTION("""COMPUTED_VALUE"""),1)</f>
        <v>1</v>
      </c>
      <c r="C1394" s="7">
        <f ca="1">IFERROR(__xludf.DUMMYFUNCTION("""COMPUTED_VALUE"""),1)</f>
        <v>1</v>
      </c>
      <c r="D1394" s="8">
        <f ca="1">IFERROR(__xludf.DUMMYFUNCTION("""COMPUTED_VALUE"""),1)</f>
        <v>1</v>
      </c>
      <c r="E1394" s="2">
        <f ca="1">IFERROR(__xludf.DUMMYFUNCTION("""COMPUTED_VALUE"""),1)</f>
        <v>1</v>
      </c>
    </row>
    <row r="1395" spans="1:5" ht="13">
      <c r="A1395" s="2" t="str">
        <f ca="1">IFERROR(__xludf.DUMMYFUNCTION("""COMPUTED_VALUE"""),"Catel, Charles-Simon")</f>
        <v>Catel, Charles-Simon</v>
      </c>
      <c r="B1395" s="3">
        <f ca="1">IFERROR(__xludf.DUMMYFUNCTION("""COMPUTED_VALUE"""),1)</f>
        <v>1</v>
      </c>
      <c r="C1395" s="7">
        <f ca="1">IFERROR(__xludf.DUMMYFUNCTION("""COMPUTED_VALUE"""),1)</f>
        <v>1</v>
      </c>
      <c r="D1395" s="8">
        <f ca="1">IFERROR(__xludf.DUMMYFUNCTION("""COMPUTED_VALUE"""),5)</f>
        <v>5</v>
      </c>
      <c r="E1395" s="3">
        <f ca="1">IFERROR(__xludf.DUMMYFUNCTION("""COMPUTED_VALUE"""),2)</f>
        <v>2</v>
      </c>
    </row>
    <row r="1396" spans="1:5" ht="13">
      <c r="A1396" s="2" t="str">
        <f ca="1">IFERROR(__xludf.DUMMYFUNCTION("""COMPUTED_VALUE"""),"Catel, Charles-Simon / Garofalo, Robert / Burch-Pesses, Michael")</f>
        <v>Catel, Charles-Simon / Garofalo, Robert / Burch-Pesses, Michael</v>
      </c>
      <c r="B1396" s="3">
        <f ca="1">IFERROR(__xludf.DUMMYFUNCTION("""COMPUTED_VALUE"""),1)</f>
        <v>1</v>
      </c>
      <c r="C1396" s="7">
        <f ca="1">IFERROR(__xludf.DUMMYFUNCTION("""COMPUTED_VALUE"""),1)</f>
        <v>1</v>
      </c>
      <c r="D1396" s="8">
        <f ca="1">IFERROR(__xludf.DUMMYFUNCTION("""COMPUTED_VALUE"""),5)</f>
        <v>5</v>
      </c>
      <c r="E1396" s="2">
        <f ca="1">IFERROR(__xludf.DUMMYFUNCTION("""COMPUTED_VALUE"""),2)</f>
        <v>2</v>
      </c>
    </row>
    <row r="1397" spans="1:5" ht="13">
      <c r="A1397" s="8" t="str">
        <f ca="1">IFERROR(__xludf.DUMMYFUNCTION("""COMPUTED_VALUE"""),"Catingub, Matt")</f>
        <v>Catingub, Matt</v>
      </c>
      <c r="B1397" s="3">
        <f ca="1">IFERROR(__xludf.DUMMYFUNCTION("""COMPUTED_VALUE"""),1)</f>
        <v>1</v>
      </c>
      <c r="C1397" s="7">
        <f ca="1">IFERROR(__xludf.DUMMYFUNCTION("""COMPUTED_VALUE"""),1)</f>
        <v>1</v>
      </c>
      <c r="D1397" s="8">
        <f ca="1">IFERROR(__xludf.DUMMYFUNCTION("""COMPUTED_VALUE"""),1)</f>
        <v>1</v>
      </c>
      <c r="E1397" s="2">
        <f ca="1">IFERROR(__xludf.DUMMYFUNCTION("""COMPUTED_VALUE"""),1)</f>
        <v>1</v>
      </c>
    </row>
    <row r="1398" spans="1:5" ht="13">
      <c r="A1398" s="2" t="str">
        <f ca="1">IFERROR(__xludf.DUMMYFUNCTION("""COMPUTED_VALUE"""),"Cattingub, Matt")</f>
        <v>Cattingub, Matt</v>
      </c>
      <c r="B1398" s="3">
        <f ca="1">IFERROR(__xludf.DUMMYFUNCTION("""COMPUTED_VALUE"""),1)</f>
        <v>1</v>
      </c>
      <c r="C1398" s="7">
        <f ca="1">IFERROR(__xludf.DUMMYFUNCTION("""COMPUTED_VALUE"""),1)</f>
        <v>1</v>
      </c>
      <c r="D1398" s="8">
        <f ca="1">IFERROR(__xludf.DUMMYFUNCTION("""COMPUTED_VALUE"""),1)</f>
        <v>1</v>
      </c>
      <c r="E1398" s="2">
        <f ca="1">IFERROR(__xludf.DUMMYFUNCTION("""COMPUTED_VALUE"""),1)</f>
        <v>1</v>
      </c>
    </row>
    <row r="1399" spans="1:5" ht="13">
      <c r="A1399" s="2" t="str">
        <f ca="1">IFERROR(__xludf.DUMMYFUNCTION("""COMPUTED_VALUE"""),"Caudill, J. A.")</f>
        <v>Caudill, J. A.</v>
      </c>
      <c r="B1399" s="3">
        <f ca="1">IFERROR(__xludf.DUMMYFUNCTION("""COMPUTED_VALUE"""),1)</f>
        <v>1</v>
      </c>
      <c r="C1399" s="7">
        <f ca="1">IFERROR(__xludf.DUMMYFUNCTION("""COMPUTED_VALUE"""),1)</f>
        <v>1</v>
      </c>
      <c r="D1399" s="8">
        <f ca="1">IFERROR(__xludf.DUMMYFUNCTION("""COMPUTED_VALUE"""),5)</f>
        <v>5</v>
      </c>
      <c r="E1399" s="3">
        <f ca="1">IFERROR(__xludf.DUMMYFUNCTION("""COMPUTED_VALUE"""),2)</f>
        <v>2</v>
      </c>
    </row>
    <row r="1400" spans="1:5" ht="13">
      <c r="A1400" s="8" t="str">
        <f ca="1">IFERROR(__xludf.DUMMYFUNCTION("""COMPUTED_VALUE"""),"Caudill, Jim")</f>
        <v>Caudill, Jim</v>
      </c>
      <c r="B1400" s="3">
        <f ca="1">IFERROR(__xludf.DUMMYFUNCTION("""COMPUTED_VALUE"""),1)</f>
        <v>1</v>
      </c>
      <c r="C1400" s="7">
        <f ca="1">IFERROR(__xludf.DUMMYFUNCTION("""COMPUTED_VALUE"""),1)</f>
        <v>1</v>
      </c>
      <c r="D1400" s="8">
        <f ca="1">IFERROR(__xludf.DUMMYFUNCTION("""COMPUTED_VALUE"""),5)</f>
        <v>5</v>
      </c>
      <c r="E1400" s="2">
        <f ca="1">IFERROR(__xludf.DUMMYFUNCTION("""COMPUTED_VALUE"""),2)</f>
        <v>2</v>
      </c>
    </row>
    <row r="1401" spans="1:5" ht="13">
      <c r="A1401" s="2" t="str">
        <f ca="1">IFERROR(__xludf.DUMMYFUNCTION("""COMPUTED_VALUE"""),"Caudill, Jim Andy")</f>
        <v>Caudill, Jim Andy</v>
      </c>
      <c r="B1401" s="3">
        <f ca="1">IFERROR(__xludf.DUMMYFUNCTION("""COMPUTED_VALUE"""),1)</f>
        <v>1</v>
      </c>
      <c r="C1401" s="7">
        <f ca="1">IFERROR(__xludf.DUMMYFUNCTION("""COMPUTED_VALUE"""),1)</f>
        <v>1</v>
      </c>
      <c r="D1401" s="8">
        <f ca="1">IFERROR(__xludf.DUMMYFUNCTION("""COMPUTED_VALUE"""),5)</f>
        <v>5</v>
      </c>
      <c r="E1401" s="3">
        <f ca="1">IFERROR(__xludf.DUMMYFUNCTION("""COMPUTED_VALUE"""),2)</f>
        <v>2</v>
      </c>
    </row>
    <row r="1402" spans="1:5" ht="13">
      <c r="A1402" s="2" t="str">
        <f ca="1">IFERROR(__xludf.DUMMYFUNCTION("""COMPUTED_VALUE"""),"Caurroy, Eustache du")</f>
        <v>Caurroy, Eustache du</v>
      </c>
      <c r="B1402" s="3">
        <f ca="1">IFERROR(__xludf.DUMMYFUNCTION("""COMPUTED_VALUE"""),1)</f>
        <v>1</v>
      </c>
      <c r="C1402" s="7">
        <f ca="1">IFERROR(__xludf.DUMMYFUNCTION("""COMPUTED_VALUE"""),1)</f>
        <v>1</v>
      </c>
      <c r="D1402" s="8">
        <f ca="1">IFERROR(__xludf.DUMMYFUNCTION("""COMPUTED_VALUE"""),5)</f>
        <v>5</v>
      </c>
      <c r="E1402" s="2">
        <f ca="1">IFERROR(__xludf.DUMMYFUNCTION("""COMPUTED_VALUE"""),2)</f>
        <v>2</v>
      </c>
    </row>
    <row r="1403" spans="1:5" ht="13">
      <c r="A1403" s="2" t="str">
        <f ca="1">IFERROR(__xludf.DUMMYFUNCTION("""COMPUTED_VALUE"""),"Cavallaro, Carmen")</f>
        <v>Cavallaro, Carmen</v>
      </c>
      <c r="B1403" s="3">
        <f ca="1">IFERROR(__xludf.DUMMYFUNCTION("""COMPUTED_VALUE"""),1)</f>
        <v>1</v>
      </c>
      <c r="C1403" s="7">
        <f ca="1">IFERROR(__xludf.DUMMYFUNCTION("""COMPUTED_VALUE"""),1)</f>
        <v>1</v>
      </c>
      <c r="D1403" s="8">
        <f ca="1">IFERROR(__xludf.DUMMYFUNCTION("""COMPUTED_VALUE"""),5)</f>
        <v>5</v>
      </c>
      <c r="E1403" s="2">
        <f ca="1">IFERROR(__xludf.DUMMYFUNCTION("""COMPUTED_VALUE"""),2)</f>
        <v>2</v>
      </c>
    </row>
    <row r="1404" spans="1:5" ht="13">
      <c r="A1404" s="8" t="str">
        <f ca="1">IFERROR(__xludf.DUMMYFUNCTION("""COMPUTED_VALUE"""),"Cavanagh, Dan")</f>
        <v>Cavanagh, Dan</v>
      </c>
      <c r="B1404" s="3">
        <f ca="1">IFERROR(__xludf.DUMMYFUNCTION("""COMPUTED_VALUE"""),1)</f>
        <v>1</v>
      </c>
      <c r="C1404" s="7">
        <f ca="1">IFERROR(__xludf.DUMMYFUNCTION("""COMPUTED_VALUE"""),1)</f>
        <v>1</v>
      </c>
      <c r="D1404" s="8">
        <f ca="1">IFERROR(__xludf.DUMMYFUNCTION("""COMPUTED_VALUE"""),1)</f>
        <v>1</v>
      </c>
      <c r="E1404" s="2">
        <f ca="1">IFERROR(__xludf.DUMMYFUNCTION("""COMPUTED_VALUE"""),1)</f>
        <v>1</v>
      </c>
    </row>
    <row r="1405" spans="1:5" ht="13">
      <c r="A1405" s="2" t="str">
        <f ca="1">IFERROR(__xludf.DUMMYFUNCTION("""COMPUTED_VALUE"""),"Cavanaugh, James / Barris, Harry")</f>
        <v>Cavanaugh, James / Barris, Harry</v>
      </c>
      <c r="B1405" s="3">
        <f ca="1">IFERROR(__xludf.DUMMYFUNCTION("""COMPUTED_VALUE"""),1)</f>
        <v>1</v>
      </c>
      <c r="C1405" s="7">
        <f ca="1">IFERROR(__xludf.DUMMYFUNCTION("""COMPUTED_VALUE"""),1)</f>
        <v>1</v>
      </c>
      <c r="D1405" s="8">
        <f ca="1">IFERROR(__xludf.DUMMYFUNCTION("""COMPUTED_VALUE"""),5)</f>
        <v>5</v>
      </c>
      <c r="E1405" s="2">
        <f ca="1">IFERROR(__xludf.DUMMYFUNCTION("""COMPUTED_VALUE"""),2)</f>
        <v>2</v>
      </c>
    </row>
    <row r="1406" spans="1:5" ht="13">
      <c r="A1406" s="2" t="str">
        <f ca="1">IFERROR(__xludf.DUMMYFUNCTION("""COMPUTED_VALUE"""),"Cavaterra, Jeremy")</f>
        <v>Cavaterra, Jeremy</v>
      </c>
      <c r="B1406" s="2">
        <f ca="1">IFERROR(__xludf.DUMMYFUNCTION("""COMPUTED_VALUE"""),1)</f>
        <v>1</v>
      </c>
      <c r="C1406" s="2">
        <f ca="1">IFERROR(__xludf.DUMMYFUNCTION("""COMPUTED_VALUE"""),1)</f>
        <v>1</v>
      </c>
      <c r="D1406" s="8">
        <f ca="1">IFERROR(__xludf.DUMMYFUNCTION("""COMPUTED_VALUE"""),1)</f>
        <v>1</v>
      </c>
      <c r="E1406" s="2">
        <f ca="1">IFERROR(__xludf.DUMMYFUNCTION("""COMPUTED_VALUE"""),1)</f>
        <v>1</v>
      </c>
    </row>
    <row r="1407" spans="1:5" ht="13">
      <c r="A1407" s="8" t="str">
        <f ca="1">IFERROR(__xludf.DUMMYFUNCTION("""COMPUTED_VALUE"""),"Cavazzoni, Girolamo")</f>
        <v>Cavazzoni, Girolamo</v>
      </c>
      <c r="B1407" s="3">
        <f ca="1">IFERROR(__xludf.DUMMYFUNCTION("""COMPUTED_VALUE"""),1)</f>
        <v>1</v>
      </c>
      <c r="C1407" s="7">
        <f ca="1">IFERROR(__xludf.DUMMYFUNCTION("""COMPUTED_VALUE"""),1)</f>
        <v>1</v>
      </c>
      <c r="D1407" s="8">
        <f ca="1">IFERROR(__xludf.DUMMYFUNCTION("""COMPUTED_VALUE"""),5)</f>
        <v>5</v>
      </c>
      <c r="E1407" s="2">
        <f ca="1">IFERROR(__xludf.DUMMYFUNCTION("""COMPUTED_VALUE"""),2)</f>
        <v>2</v>
      </c>
    </row>
    <row r="1408" spans="1:5" ht="13">
      <c r="A1408" s="2" t="str">
        <f ca="1">IFERROR(__xludf.DUMMYFUNCTION("""COMPUTED_VALUE"""),"Caviani, Ron")</f>
        <v>Caviani, Ron</v>
      </c>
      <c r="B1408" s="2">
        <f ca="1">IFERROR(__xludf.DUMMYFUNCTION("""COMPUTED_VALUE"""),1)</f>
        <v>1</v>
      </c>
      <c r="C1408" s="2">
        <f ca="1">IFERROR(__xludf.DUMMYFUNCTION("""COMPUTED_VALUE"""),1)</f>
        <v>1</v>
      </c>
      <c r="D1408" s="8">
        <f ca="1">IFERROR(__xludf.DUMMYFUNCTION("""COMPUTED_VALUE"""),5)</f>
        <v>5</v>
      </c>
      <c r="E1408" s="2">
        <f ca="1">IFERROR(__xludf.DUMMYFUNCTION("""COMPUTED_VALUE"""),2)</f>
        <v>2</v>
      </c>
    </row>
    <row r="1409" spans="1:5" ht="13">
      <c r="A1409" s="2" t="str">
        <f ca="1">IFERROR(__xludf.DUMMYFUNCTION("""COMPUTED_VALUE"""),"Cechvala, Al")</f>
        <v>Cechvala, Al</v>
      </c>
      <c r="B1409" s="3">
        <f ca="1">IFERROR(__xludf.DUMMYFUNCTION("""COMPUTED_VALUE"""),1)</f>
        <v>1</v>
      </c>
      <c r="C1409" s="7">
        <f ca="1">IFERROR(__xludf.DUMMYFUNCTION("""COMPUTED_VALUE"""),1)</f>
        <v>1</v>
      </c>
      <c r="D1409" s="8">
        <f ca="1">IFERROR(__xludf.DUMMYFUNCTION("""COMPUTED_VALUE"""),5)</f>
        <v>5</v>
      </c>
      <c r="E1409" s="2">
        <f ca="1">IFERROR(__xludf.DUMMYFUNCTION("""COMPUTED_VALUE"""),2)</f>
        <v>2</v>
      </c>
    </row>
    <row r="1410" spans="1:5" ht="13">
      <c r="A1410" s="2" t="str">
        <f ca="1">IFERROR(__xludf.DUMMYFUNCTION("""COMPUTED_VALUE"""),"Cemprola, Mike")</f>
        <v>Cemprola, Mike</v>
      </c>
      <c r="B1410" s="3">
        <f ca="1">IFERROR(__xludf.DUMMYFUNCTION("""COMPUTED_VALUE"""),1)</f>
        <v>1</v>
      </c>
      <c r="C1410" s="7">
        <f ca="1">IFERROR(__xludf.DUMMYFUNCTION("""COMPUTED_VALUE"""),1)</f>
        <v>1</v>
      </c>
      <c r="D1410" s="8">
        <f ca="1">IFERROR(__xludf.DUMMYFUNCTION("""COMPUTED_VALUE"""),1)</f>
        <v>1</v>
      </c>
      <c r="E1410" s="2">
        <f ca="1">IFERROR(__xludf.DUMMYFUNCTION("""COMPUTED_VALUE"""),1)</f>
        <v>1</v>
      </c>
    </row>
    <row r="1411" spans="1:5" ht="13">
      <c r="A1411" s="2" t="str">
        <f ca="1">IFERROR(__xludf.DUMMYFUNCTION("""COMPUTED_VALUE"""),"Center, Ronald")</f>
        <v>Center, Ronald</v>
      </c>
      <c r="B1411" s="3">
        <f ca="1">IFERROR(__xludf.DUMMYFUNCTION("""COMPUTED_VALUE"""),1)</f>
        <v>1</v>
      </c>
      <c r="C1411" s="7">
        <f ca="1">IFERROR(__xludf.DUMMYFUNCTION("""COMPUTED_VALUE"""),1)</f>
        <v>1</v>
      </c>
      <c r="D1411" s="8">
        <f ca="1">IFERROR(__xludf.DUMMYFUNCTION("""COMPUTED_VALUE"""),5)</f>
        <v>5</v>
      </c>
      <c r="E1411" s="2">
        <f ca="1">IFERROR(__xludf.DUMMYFUNCTION("""COMPUTED_VALUE"""),2)</f>
        <v>2</v>
      </c>
    </row>
    <row r="1412" spans="1:5" ht="13">
      <c r="A1412" s="2" t="str">
        <f ca="1">IFERROR(__xludf.DUMMYFUNCTION("""COMPUTED_VALUE"""),"Cerovich, Kevin")</f>
        <v>Cerovich, Kevin</v>
      </c>
      <c r="B1412" s="3">
        <f ca="1">IFERROR(__xludf.DUMMYFUNCTION("""COMPUTED_VALUE"""),1)</f>
        <v>1</v>
      </c>
      <c r="C1412" s="7">
        <f ca="1">IFERROR(__xludf.DUMMYFUNCTION("""COMPUTED_VALUE"""),1)</f>
        <v>1</v>
      </c>
      <c r="D1412" s="8">
        <f ca="1">IFERROR(__xludf.DUMMYFUNCTION("""COMPUTED_VALUE"""),1)</f>
        <v>1</v>
      </c>
      <c r="E1412" s="2">
        <f ca="1">IFERROR(__xludf.DUMMYFUNCTION("""COMPUTED_VALUE"""),1)</f>
        <v>1</v>
      </c>
    </row>
    <row r="1413" spans="1:5" ht="13">
      <c r="A1413" s="8" t="str">
        <f ca="1">IFERROR(__xludf.DUMMYFUNCTION("""COMPUTED_VALUE"""),"Cerrone, Chris")</f>
        <v>Cerrone, Chris</v>
      </c>
      <c r="B1413" s="3">
        <f ca="1">IFERROR(__xludf.DUMMYFUNCTION("""COMPUTED_VALUE"""),1)</f>
        <v>1</v>
      </c>
      <c r="C1413" s="7">
        <f ca="1">IFERROR(__xludf.DUMMYFUNCTION("""COMPUTED_VALUE"""),1)</f>
        <v>1</v>
      </c>
      <c r="D1413" s="8">
        <f ca="1">IFERROR(__xludf.DUMMYFUNCTION("""COMPUTED_VALUE"""),1)</f>
        <v>1</v>
      </c>
      <c r="E1413" s="2">
        <f ca="1">IFERROR(__xludf.DUMMYFUNCTION("""COMPUTED_VALUE"""),1)</f>
        <v>1</v>
      </c>
    </row>
    <row r="1414" spans="1:5" ht="13">
      <c r="A1414" s="8" t="str">
        <f ca="1">IFERROR(__xludf.DUMMYFUNCTION("""COMPUTED_VALUE"""),"Cerrone, Christopher")</f>
        <v>Cerrone, Christopher</v>
      </c>
      <c r="B1414" s="3">
        <f ca="1">IFERROR(__xludf.DUMMYFUNCTION("""COMPUTED_VALUE"""),1)</f>
        <v>1</v>
      </c>
      <c r="C1414" s="7">
        <f ca="1">IFERROR(__xludf.DUMMYFUNCTION("""COMPUTED_VALUE"""),1)</f>
        <v>1</v>
      </c>
      <c r="D1414" s="8">
        <f ca="1">IFERROR(__xludf.DUMMYFUNCTION("""COMPUTED_VALUE"""),1)</f>
        <v>1</v>
      </c>
      <c r="E1414" s="2">
        <f ca="1">IFERROR(__xludf.DUMMYFUNCTION("""COMPUTED_VALUE"""),1)</f>
        <v>1</v>
      </c>
    </row>
    <row r="1415" spans="1:5" ht="13">
      <c r="A1415" s="8" t="str">
        <f ca="1">IFERROR(__xludf.DUMMYFUNCTION("""COMPUTED_VALUE"""),"Certon, Pierre")</f>
        <v>Certon, Pierre</v>
      </c>
      <c r="B1415" s="3">
        <f ca="1">IFERROR(__xludf.DUMMYFUNCTION("""COMPUTED_VALUE"""),1)</f>
        <v>1</v>
      </c>
      <c r="C1415" s="7">
        <f ca="1">IFERROR(__xludf.DUMMYFUNCTION("""COMPUTED_VALUE"""),1)</f>
        <v>1</v>
      </c>
      <c r="D1415" s="8">
        <f ca="1">IFERROR(__xludf.DUMMYFUNCTION("""COMPUTED_VALUE"""),5)</f>
        <v>5</v>
      </c>
      <c r="E1415" s="2">
        <f ca="1">IFERROR(__xludf.DUMMYFUNCTION("""COMPUTED_VALUE"""),2)</f>
        <v>2</v>
      </c>
    </row>
    <row r="1416" spans="1:5" ht="13">
      <c r="A1416" s="8" t="str">
        <f ca="1">IFERROR(__xludf.DUMMYFUNCTION("""COMPUTED_VALUE"""),"Certon, Pierre / Hirt, Charles")</f>
        <v>Certon, Pierre / Hirt, Charles</v>
      </c>
      <c r="B1416" s="3">
        <f ca="1">IFERROR(__xludf.DUMMYFUNCTION("""COMPUTED_VALUE"""),1)</f>
        <v>1</v>
      </c>
      <c r="C1416" s="7">
        <f ca="1">IFERROR(__xludf.DUMMYFUNCTION("""COMPUTED_VALUE"""),1)</f>
        <v>1</v>
      </c>
      <c r="D1416" s="8">
        <f ca="1">IFERROR(__xludf.DUMMYFUNCTION("""COMPUTED_VALUE"""),5)</f>
        <v>5</v>
      </c>
      <c r="E1416" s="2">
        <f ca="1">IFERROR(__xludf.DUMMYFUNCTION("""COMPUTED_VALUE"""),2)</f>
        <v>2</v>
      </c>
    </row>
    <row r="1417" spans="1:5" ht="13">
      <c r="A1417" s="2" t="str">
        <f ca="1">IFERROR(__xludf.DUMMYFUNCTION("""COMPUTED_VALUE"""),"Cerulli, Bob")</f>
        <v>Cerulli, Bob</v>
      </c>
      <c r="B1417" s="3">
        <f ca="1">IFERROR(__xludf.DUMMYFUNCTION("""COMPUTED_VALUE"""),1)</f>
        <v>1</v>
      </c>
      <c r="C1417" s="7">
        <f ca="1">IFERROR(__xludf.DUMMYFUNCTION("""COMPUTED_VALUE"""),1)</f>
        <v>1</v>
      </c>
      <c r="D1417" s="8">
        <f ca="1">IFERROR(__xludf.DUMMYFUNCTION("""COMPUTED_VALUE"""),1)</f>
        <v>1</v>
      </c>
      <c r="E1417" s="2">
        <f ca="1">IFERROR(__xludf.DUMMYFUNCTION("""COMPUTED_VALUE"""),1)</f>
        <v>1</v>
      </c>
    </row>
    <row r="1418" spans="1:5" ht="13">
      <c r="A1418" s="8" t="str">
        <f ca="1">IFERROR(__xludf.DUMMYFUNCTION("""COMPUTED_VALUE"""),"César Franck")</f>
        <v>César Franck</v>
      </c>
      <c r="B1418" s="3">
        <f ca="1">IFERROR(__xludf.DUMMYFUNCTION("""COMPUTED_VALUE"""),1)</f>
        <v>1</v>
      </c>
      <c r="C1418" s="7">
        <f ca="1">IFERROR(__xludf.DUMMYFUNCTION("""COMPUTED_VALUE"""),1)</f>
        <v>1</v>
      </c>
      <c r="D1418" s="8">
        <f ca="1">IFERROR(__xludf.DUMMYFUNCTION("""COMPUTED_VALUE"""),5)</f>
        <v>5</v>
      </c>
      <c r="E1418" s="2">
        <f ca="1">IFERROR(__xludf.DUMMYFUNCTION("""COMPUTED_VALUE"""),2)</f>
        <v>2</v>
      </c>
    </row>
    <row r="1419" spans="1:5" ht="13">
      <c r="A1419" s="8" t="str">
        <f ca="1">IFERROR(__xludf.DUMMYFUNCTION("""COMPUTED_VALUE"""),"Cesarini, Franco")</f>
        <v>Cesarini, Franco</v>
      </c>
      <c r="B1419" s="3">
        <f ca="1">IFERROR(__xludf.DUMMYFUNCTION("""COMPUTED_VALUE"""),1)</f>
        <v>1</v>
      </c>
      <c r="C1419" s="7">
        <f ca="1">IFERROR(__xludf.DUMMYFUNCTION("""COMPUTED_VALUE"""),1)</f>
        <v>1</v>
      </c>
      <c r="D1419" s="8">
        <f ca="1">IFERROR(__xludf.DUMMYFUNCTION("""COMPUTED_VALUE"""),5)</f>
        <v>5</v>
      </c>
      <c r="E1419" s="2">
        <f ca="1">IFERROR(__xludf.DUMMYFUNCTION("""COMPUTED_VALUE"""),2)</f>
        <v>2</v>
      </c>
    </row>
    <row r="1420" spans="1:5" ht="13">
      <c r="A1420" s="8" t="str">
        <f ca="1">IFERROR(__xludf.DUMMYFUNCTION("""COMPUTED_VALUE"""),"Cese, David delle")</f>
        <v>Cese, David delle</v>
      </c>
      <c r="B1420" s="3">
        <f ca="1">IFERROR(__xludf.DUMMYFUNCTION("""COMPUTED_VALUE"""),1)</f>
        <v>1</v>
      </c>
      <c r="C1420" s="7">
        <f ca="1">IFERROR(__xludf.DUMMYFUNCTION("""COMPUTED_VALUE"""),1)</f>
        <v>1</v>
      </c>
      <c r="D1420" s="8">
        <f ca="1">IFERROR(__xludf.DUMMYFUNCTION("""COMPUTED_VALUE"""),5)</f>
        <v>5</v>
      </c>
      <c r="E1420" s="2">
        <f ca="1">IFERROR(__xludf.DUMMYFUNCTION("""COMPUTED_VALUE"""),2)</f>
        <v>2</v>
      </c>
    </row>
    <row r="1421" spans="1:5" ht="13">
      <c r="A1421" s="2" t="str">
        <f ca="1">IFERROR(__xludf.DUMMYFUNCTION("""COMPUTED_VALUE"""),"Cesti, Marc")</f>
        <v>Cesti, Marc</v>
      </c>
      <c r="B1421" s="3">
        <f ca="1">IFERROR(__xludf.DUMMYFUNCTION("""COMPUTED_VALUE"""),1)</f>
        <v>1</v>
      </c>
      <c r="C1421" s="7">
        <f ca="1">IFERROR(__xludf.DUMMYFUNCTION("""COMPUTED_VALUE"""),1)</f>
        <v>1</v>
      </c>
      <c r="D1421" s="8">
        <f ca="1">IFERROR(__xludf.DUMMYFUNCTION("""COMPUTED_VALUE"""),5)</f>
        <v>5</v>
      </c>
      <c r="E1421" s="2">
        <f ca="1">IFERROR(__xludf.DUMMYFUNCTION("""COMPUTED_VALUE"""),2)</f>
        <v>2</v>
      </c>
    </row>
    <row r="1422" spans="1:5" ht="13">
      <c r="A1422" s="8" t="str">
        <f ca="1">IFERROR(__xludf.DUMMYFUNCTION("""COMPUTED_VALUE"""),"Chabrier, Emmanuel")</f>
        <v>Chabrier, Emmanuel</v>
      </c>
      <c r="B1422" s="3">
        <f ca="1">IFERROR(__xludf.DUMMYFUNCTION("""COMPUTED_VALUE"""),1)</f>
        <v>1</v>
      </c>
      <c r="C1422" s="7">
        <f ca="1">IFERROR(__xludf.DUMMYFUNCTION("""COMPUTED_VALUE"""),1)</f>
        <v>1</v>
      </c>
      <c r="D1422" s="8">
        <f ca="1">IFERROR(__xludf.DUMMYFUNCTION("""COMPUTED_VALUE"""),5)</f>
        <v>5</v>
      </c>
      <c r="E1422" s="2">
        <f ca="1">IFERROR(__xludf.DUMMYFUNCTION("""COMPUTED_VALUE"""),2)</f>
        <v>2</v>
      </c>
    </row>
    <row r="1423" spans="1:5" ht="13">
      <c r="A1423" s="2" t="str">
        <f ca="1">IFERROR(__xludf.DUMMYFUNCTION("""COMPUTED_VALUE"""),"Chadwick, George")</f>
        <v>Chadwick, George</v>
      </c>
      <c r="B1423" s="3">
        <f ca="1">IFERROR(__xludf.DUMMYFUNCTION("""COMPUTED_VALUE"""),1)</f>
        <v>1</v>
      </c>
      <c r="C1423" s="7">
        <f ca="1">IFERROR(__xludf.DUMMYFUNCTION("""COMPUTED_VALUE"""),1)</f>
        <v>1</v>
      </c>
      <c r="D1423" s="8">
        <f ca="1">IFERROR(__xludf.DUMMYFUNCTION("""COMPUTED_VALUE"""),5)</f>
        <v>5</v>
      </c>
      <c r="E1423" s="2">
        <f ca="1">IFERROR(__xludf.DUMMYFUNCTION("""COMPUTED_VALUE"""),2)</f>
        <v>2</v>
      </c>
    </row>
    <row r="1424" spans="1:5" ht="13">
      <c r="A1424" s="8" t="str">
        <f ca="1">IFERROR(__xludf.DUMMYFUNCTION("""COMPUTED_VALUE"""),"Chadwick, George Whitefield")</f>
        <v>Chadwick, George Whitefield</v>
      </c>
      <c r="B1424" s="3">
        <f ca="1">IFERROR(__xludf.DUMMYFUNCTION("""COMPUTED_VALUE"""),1)</f>
        <v>1</v>
      </c>
      <c r="C1424" s="7">
        <f ca="1">IFERROR(__xludf.DUMMYFUNCTION("""COMPUTED_VALUE"""),1)</f>
        <v>1</v>
      </c>
      <c r="D1424" s="8">
        <f ca="1">IFERROR(__xludf.DUMMYFUNCTION("""COMPUTED_VALUE"""),5)</f>
        <v>5</v>
      </c>
      <c r="E1424" s="2">
        <f ca="1">IFERROR(__xludf.DUMMYFUNCTION("""COMPUTED_VALUE"""),2)</f>
        <v>2</v>
      </c>
    </row>
    <row r="1425" spans="1:5" ht="13">
      <c r="A1425" s="2" t="str">
        <f ca="1">IFERROR(__xludf.DUMMYFUNCTION("""COMPUTED_VALUE"""),"Chagnard, Christophe")</f>
        <v>Chagnard, Christophe</v>
      </c>
      <c r="B1425" s="3">
        <f ca="1">IFERROR(__xludf.DUMMYFUNCTION("""COMPUTED_VALUE"""),1)</f>
        <v>1</v>
      </c>
      <c r="C1425" s="7">
        <f ca="1">IFERROR(__xludf.DUMMYFUNCTION("""COMPUTED_VALUE"""),1)</f>
        <v>1</v>
      </c>
      <c r="D1425" s="8">
        <f ca="1">IFERROR(__xludf.DUMMYFUNCTION("""COMPUTED_VALUE"""),1)</f>
        <v>1</v>
      </c>
      <c r="E1425" s="2">
        <f ca="1">IFERROR(__xludf.DUMMYFUNCTION("""COMPUTED_VALUE"""),1)</f>
        <v>1</v>
      </c>
    </row>
    <row r="1426" spans="1:5" ht="13">
      <c r="A1426" s="8" t="str">
        <f ca="1">IFERROR(__xludf.DUMMYFUNCTION("""COMPUTED_VALUE"""),"Chagrin, Francis")</f>
        <v>Chagrin, Francis</v>
      </c>
      <c r="B1426" s="3">
        <f ca="1">IFERROR(__xludf.DUMMYFUNCTION("""COMPUTED_VALUE"""),1)</f>
        <v>1</v>
      </c>
      <c r="C1426" s="7">
        <f ca="1">IFERROR(__xludf.DUMMYFUNCTION("""COMPUTED_VALUE"""),1)</f>
        <v>1</v>
      </c>
      <c r="D1426" s="8">
        <f ca="1">IFERROR(__xludf.DUMMYFUNCTION("""COMPUTED_VALUE"""),5)</f>
        <v>5</v>
      </c>
      <c r="E1426" s="2">
        <f ca="1">IFERROR(__xludf.DUMMYFUNCTION("""COMPUTED_VALUE"""),2)</f>
        <v>2</v>
      </c>
    </row>
    <row r="1427" spans="1:5" ht="13">
      <c r="A1427" s="8" t="str">
        <f ca="1">IFERROR(__xludf.DUMMYFUNCTION("""COMPUTED_VALUE"""),"Chajes, Julius")</f>
        <v>Chajes, Julius</v>
      </c>
      <c r="B1427" s="3">
        <f ca="1">IFERROR(__xludf.DUMMYFUNCTION("""COMPUTED_VALUE"""),1)</f>
        <v>1</v>
      </c>
      <c r="C1427" s="7">
        <f ca="1">IFERROR(__xludf.DUMMYFUNCTION("""COMPUTED_VALUE"""),1)</f>
        <v>1</v>
      </c>
      <c r="D1427" s="8">
        <f ca="1">IFERROR(__xludf.DUMMYFUNCTION("""COMPUTED_VALUE"""),5)</f>
        <v>5</v>
      </c>
      <c r="E1427" s="2">
        <f ca="1">IFERROR(__xludf.DUMMYFUNCTION("""COMPUTED_VALUE"""),2)</f>
        <v>2</v>
      </c>
    </row>
    <row r="1428" spans="1:5" ht="13">
      <c r="A1428" s="2" t="str">
        <f ca="1">IFERROR(__xludf.DUMMYFUNCTION("""COMPUTED_VALUE"""),"Chambers, Evan")</f>
        <v>Chambers, Evan</v>
      </c>
      <c r="B1428" s="3">
        <f ca="1">IFERROR(__xludf.DUMMYFUNCTION("""COMPUTED_VALUE"""),1)</f>
        <v>1</v>
      </c>
      <c r="C1428" s="7">
        <f ca="1">IFERROR(__xludf.DUMMYFUNCTION("""COMPUTED_VALUE"""),1)</f>
        <v>1</v>
      </c>
      <c r="D1428" s="8">
        <f ca="1">IFERROR(__xludf.DUMMYFUNCTION("""COMPUTED_VALUE"""),1)</f>
        <v>1</v>
      </c>
      <c r="E1428" s="2">
        <f ca="1">IFERROR(__xludf.DUMMYFUNCTION("""COMPUTED_VALUE"""),1)</f>
        <v>1</v>
      </c>
    </row>
    <row r="1429" spans="1:5" ht="13">
      <c r="A1429" s="2" t="str">
        <f ca="1">IFERROR(__xludf.DUMMYFUNCTION("""COMPUTED_VALUE"""),"Chambers, William Paris")</f>
        <v>Chambers, William Paris</v>
      </c>
      <c r="B1429" s="3">
        <f ca="1">IFERROR(__xludf.DUMMYFUNCTION("""COMPUTED_VALUE"""),1)</f>
        <v>1</v>
      </c>
      <c r="C1429" s="7">
        <f ca="1">IFERROR(__xludf.DUMMYFUNCTION("""COMPUTED_VALUE"""),1)</f>
        <v>1</v>
      </c>
      <c r="D1429" s="8">
        <f ca="1">IFERROR(__xludf.DUMMYFUNCTION("""COMPUTED_VALUE"""),5)</f>
        <v>5</v>
      </c>
      <c r="E1429" s="2">
        <f ca="1">IFERROR(__xludf.DUMMYFUNCTION("""COMPUTED_VALUE"""),2)</f>
        <v>2</v>
      </c>
    </row>
    <row r="1430" spans="1:5" ht="13">
      <c r="A1430" s="8" t="str">
        <f ca="1">IFERROR(__xludf.DUMMYFUNCTION("""COMPUTED_VALUE"""),"Chance, John Barnes")</f>
        <v>Chance, John Barnes</v>
      </c>
      <c r="B1430" s="3">
        <f ca="1">IFERROR(__xludf.DUMMYFUNCTION("""COMPUTED_VALUE"""),1)</f>
        <v>1</v>
      </c>
      <c r="C1430" s="7">
        <f ca="1">IFERROR(__xludf.DUMMYFUNCTION("""COMPUTED_VALUE"""),1)</f>
        <v>1</v>
      </c>
      <c r="D1430" s="8">
        <f ca="1">IFERROR(__xludf.DUMMYFUNCTION("""COMPUTED_VALUE"""),5)</f>
        <v>5</v>
      </c>
      <c r="E1430" s="2">
        <f ca="1">IFERROR(__xludf.DUMMYFUNCTION("""COMPUTED_VALUE"""),2)</f>
        <v>2</v>
      </c>
    </row>
    <row r="1431" spans="1:5" ht="13">
      <c r="A1431" s="2" t="str">
        <f ca="1">IFERROR(__xludf.DUMMYFUNCTION("""COMPUTED_VALUE"""),"Chandler, Hugh")</f>
        <v>Chandler, Hugh</v>
      </c>
      <c r="B1431" s="3">
        <f ca="1">IFERROR(__xludf.DUMMYFUNCTION("""COMPUTED_VALUE"""),1)</f>
        <v>1</v>
      </c>
      <c r="C1431" s="7">
        <f ca="1">IFERROR(__xludf.DUMMYFUNCTION("""COMPUTED_VALUE"""),1)</f>
        <v>1</v>
      </c>
      <c r="D1431" s="8">
        <f ca="1">IFERROR(__xludf.DUMMYFUNCTION("""COMPUTED_VALUE"""),1)</f>
        <v>1</v>
      </c>
      <c r="E1431" s="2">
        <f ca="1">IFERROR(__xludf.DUMMYFUNCTION("""COMPUTED_VALUE"""),1)</f>
        <v>1</v>
      </c>
    </row>
    <row r="1432" spans="1:5" ht="13">
      <c r="A1432" s="8" t="str">
        <f ca="1">IFERROR(__xludf.DUMMYFUNCTION("""COMPUTED_VALUE"""),"Chantry, Benoit")</f>
        <v>Chantry, Benoit</v>
      </c>
      <c r="B1432" s="3">
        <f ca="1">IFERROR(__xludf.DUMMYFUNCTION("""COMPUTED_VALUE"""),1)</f>
        <v>1</v>
      </c>
      <c r="C1432" s="7">
        <f ca="1">IFERROR(__xludf.DUMMYFUNCTION("""COMPUTED_VALUE"""),1)</f>
        <v>1</v>
      </c>
      <c r="D1432" s="8">
        <f ca="1">IFERROR(__xludf.DUMMYFUNCTION("""COMPUTED_VALUE"""),1)</f>
        <v>1</v>
      </c>
      <c r="E1432" s="2">
        <f ca="1">IFERROR(__xludf.DUMMYFUNCTION("""COMPUTED_VALUE"""),1)</f>
        <v>1</v>
      </c>
    </row>
    <row r="1433" spans="1:5" ht="13">
      <c r="A1433" s="8" t="str">
        <f ca="1">IFERROR(__xludf.DUMMYFUNCTION("""COMPUTED_VALUE"""),"Chapí, Ruperto")</f>
        <v>Chapí, Ruperto</v>
      </c>
      <c r="B1433" s="3">
        <f ca="1">IFERROR(__xludf.DUMMYFUNCTION("""COMPUTED_VALUE"""),1)</f>
        <v>1</v>
      </c>
      <c r="C1433" s="7">
        <f ca="1">IFERROR(__xludf.DUMMYFUNCTION("""COMPUTED_VALUE"""),1)</f>
        <v>1</v>
      </c>
      <c r="D1433" s="8">
        <f ca="1">IFERROR(__xludf.DUMMYFUNCTION("""COMPUTED_VALUE"""),5)</f>
        <v>5</v>
      </c>
      <c r="E1433" s="2">
        <f ca="1">IFERROR(__xludf.DUMMYFUNCTION("""COMPUTED_VALUE"""),2)</f>
        <v>2</v>
      </c>
    </row>
    <row r="1434" spans="1:5" ht="13">
      <c r="A1434" s="8" t="str">
        <f ca="1">IFERROR(__xludf.DUMMYFUNCTION("""COMPUTED_VALUE"""),"Chaplin, Charles")</f>
        <v>Chaplin, Charles</v>
      </c>
      <c r="B1434" s="3">
        <f ca="1">IFERROR(__xludf.DUMMYFUNCTION("""COMPUTED_VALUE"""),1)</f>
        <v>1</v>
      </c>
      <c r="C1434" s="7">
        <f ca="1">IFERROR(__xludf.DUMMYFUNCTION("""COMPUTED_VALUE"""),1)</f>
        <v>1</v>
      </c>
      <c r="D1434" s="8">
        <f ca="1">IFERROR(__xludf.DUMMYFUNCTION("""COMPUTED_VALUE"""),5)</f>
        <v>5</v>
      </c>
      <c r="E1434" s="2">
        <f ca="1">IFERROR(__xludf.DUMMYFUNCTION("""COMPUTED_VALUE"""),2)</f>
        <v>2</v>
      </c>
    </row>
    <row r="1435" spans="1:5" ht="13">
      <c r="A1435" s="2" t="str">
        <f ca="1">IFERROR(__xludf.DUMMYFUNCTION("""COMPUTED_VALUE"""),"Chaplin, Charlie")</f>
        <v>Chaplin, Charlie</v>
      </c>
      <c r="B1435" s="3">
        <f ca="1">IFERROR(__xludf.DUMMYFUNCTION("""COMPUTED_VALUE"""),1)</f>
        <v>1</v>
      </c>
      <c r="C1435" s="7">
        <f ca="1">IFERROR(__xludf.DUMMYFUNCTION("""COMPUTED_VALUE"""),1)</f>
        <v>1</v>
      </c>
      <c r="D1435" s="8">
        <f ca="1">IFERROR(__xludf.DUMMYFUNCTION("""COMPUTED_VALUE"""),5)</f>
        <v>5</v>
      </c>
      <c r="E1435" s="2">
        <f ca="1">IFERROR(__xludf.DUMMYFUNCTION("""COMPUTED_VALUE"""),2)</f>
        <v>2</v>
      </c>
    </row>
    <row r="1436" spans="1:5" ht="13">
      <c r="A1436" s="8" t="str">
        <f ca="1">IFERROR(__xludf.DUMMYFUNCTION("""COMPUTED_VALUE"""),"Chapman, Chris")</f>
        <v>Chapman, Chris</v>
      </c>
      <c r="B1436" s="3">
        <f ca="1">IFERROR(__xludf.DUMMYFUNCTION("""COMPUTED_VALUE"""),1)</f>
        <v>1</v>
      </c>
      <c r="C1436" s="7">
        <f ca="1">IFERROR(__xludf.DUMMYFUNCTION("""COMPUTED_VALUE"""),1)</f>
        <v>1</v>
      </c>
      <c r="D1436" s="8">
        <f ca="1">IFERROR(__xludf.DUMMYFUNCTION("""COMPUTED_VALUE"""),1)</f>
        <v>1</v>
      </c>
      <c r="E1436" s="2">
        <f ca="1">IFERROR(__xludf.DUMMYFUNCTION("""COMPUTED_VALUE"""),1)</f>
        <v>1</v>
      </c>
    </row>
    <row r="1437" spans="1:5" ht="13">
      <c r="A1437" s="2" t="str">
        <f ca="1">IFERROR(__xludf.DUMMYFUNCTION("""COMPUTED_VALUE"""),"Chapman, Edward T")</f>
        <v>Chapman, Edward T</v>
      </c>
      <c r="B1437" s="3">
        <f ca="1">IFERROR(__xludf.DUMMYFUNCTION("""COMPUTED_VALUE"""),1)</f>
        <v>1</v>
      </c>
      <c r="C1437" s="7">
        <f ca="1">IFERROR(__xludf.DUMMYFUNCTION("""COMPUTED_VALUE"""),1)</f>
        <v>1</v>
      </c>
      <c r="D1437" s="8">
        <f ca="1">IFERROR(__xludf.DUMMYFUNCTION("""COMPUTED_VALUE"""),5)</f>
        <v>5</v>
      </c>
      <c r="E1437" s="2">
        <f ca="1">IFERROR(__xludf.DUMMYFUNCTION("""COMPUTED_VALUE"""),2)</f>
        <v>2</v>
      </c>
    </row>
    <row r="1438" spans="1:5" ht="13">
      <c r="A1438" s="2" t="str">
        <f ca="1">IFERROR(__xludf.DUMMYFUNCTION("""COMPUTED_VALUE"""),"Chapman, Evan")</f>
        <v>Chapman, Evan</v>
      </c>
      <c r="B1438" s="2">
        <f ca="1">IFERROR(__xludf.DUMMYFUNCTION("""COMPUTED_VALUE"""),1)</f>
        <v>1</v>
      </c>
      <c r="C1438" s="7">
        <f ca="1">IFERROR(__xludf.DUMMYFUNCTION("""COMPUTED_VALUE"""),1)</f>
        <v>1</v>
      </c>
      <c r="D1438" s="8">
        <f ca="1">IFERROR(__xludf.DUMMYFUNCTION("""COMPUTED_VALUE"""),1)</f>
        <v>1</v>
      </c>
      <c r="E1438" s="2">
        <f ca="1">IFERROR(__xludf.DUMMYFUNCTION("""COMPUTED_VALUE"""),1)</f>
        <v>1</v>
      </c>
    </row>
    <row r="1439" spans="1:5" ht="13">
      <c r="A1439" s="8" t="str">
        <f ca="1">IFERROR(__xludf.DUMMYFUNCTION("""COMPUTED_VALUE"""),"Charbonnier, Mauricio")</f>
        <v>Charbonnier, Mauricio</v>
      </c>
      <c r="B1439" s="3">
        <f ca="1">IFERROR(__xludf.DUMMYFUNCTION("""COMPUTED_VALUE"""),1)</f>
        <v>1</v>
      </c>
      <c r="C1439" s="7">
        <f ca="1">IFERROR(__xludf.DUMMYFUNCTION("""COMPUTED_VALUE"""),1)</f>
        <v>1</v>
      </c>
      <c r="D1439" s="8">
        <f ca="1">IFERROR(__xludf.DUMMYFUNCTION("""COMPUTED_VALUE"""),1)</f>
        <v>1</v>
      </c>
      <c r="E1439" s="2">
        <f ca="1">IFERROR(__xludf.DUMMYFUNCTION("""COMPUTED_VALUE"""),1)</f>
        <v>1</v>
      </c>
    </row>
    <row r="1440" spans="1:5" ht="13">
      <c r="A1440" s="8" t="str">
        <f ca="1">IFERROR(__xludf.DUMMYFUNCTION("""COMPUTED_VALUE"""),"Charbrier, Emmanuel")</f>
        <v>Charbrier, Emmanuel</v>
      </c>
      <c r="B1440" s="3">
        <f ca="1">IFERROR(__xludf.DUMMYFUNCTION("""COMPUTED_VALUE"""),1)</f>
        <v>1</v>
      </c>
      <c r="C1440" s="7">
        <f ca="1">IFERROR(__xludf.DUMMYFUNCTION("""COMPUTED_VALUE"""),1)</f>
        <v>1</v>
      </c>
      <c r="D1440" s="8">
        <f ca="1">IFERROR(__xludf.DUMMYFUNCTION("""COMPUTED_VALUE"""),5)</f>
        <v>5</v>
      </c>
      <c r="E1440" s="2">
        <f ca="1">IFERROR(__xludf.DUMMYFUNCTION("""COMPUTED_VALUE"""),2)</f>
        <v>2</v>
      </c>
    </row>
    <row r="1441" spans="1:5" ht="13">
      <c r="A1441" s="2" t="str">
        <f ca="1">IFERROR(__xludf.DUMMYFUNCTION("""COMPUTED_VALUE"""),"Charles, Ernest")</f>
        <v>Charles, Ernest</v>
      </c>
      <c r="B1441" s="3">
        <f ca="1">IFERROR(__xludf.DUMMYFUNCTION("""COMPUTED_VALUE"""),1)</f>
        <v>1</v>
      </c>
      <c r="C1441" s="7">
        <f ca="1">IFERROR(__xludf.DUMMYFUNCTION("""COMPUTED_VALUE"""),1)</f>
        <v>1</v>
      </c>
      <c r="D1441" s="8">
        <f ca="1">IFERROR(__xludf.DUMMYFUNCTION("""COMPUTED_VALUE"""),5)</f>
        <v>5</v>
      </c>
      <c r="E1441" s="2">
        <f ca="1">IFERROR(__xludf.DUMMYFUNCTION("""COMPUTED_VALUE"""),2)</f>
        <v>2</v>
      </c>
    </row>
    <row r="1442" spans="1:5" ht="13">
      <c r="A1442" s="2" t="str">
        <f ca="1">IFERROR(__xludf.DUMMYFUNCTION("""COMPUTED_VALUE"""),"Charles, Miller")</f>
        <v>Charles, Miller</v>
      </c>
      <c r="B1442" s="3">
        <f ca="1">IFERROR(__xludf.DUMMYFUNCTION("""COMPUTED_VALUE"""),1)</f>
        <v>1</v>
      </c>
      <c r="C1442" s="7">
        <f ca="1">IFERROR(__xludf.DUMMYFUNCTION("""COMPUTED_VALUE"""),1)</f>
        <v>1</v>
      </c>
      <c r="D1442" s="8">
        <f ca="1">IFERROR(__xludf.DUMMYFUNCTION("""COMPUTED_VALUE"""),1)</f>
        <v>1</v>
      </c>
      <c r="E1442" s="2">
        <f ca="1">IFERROR(__xludf.DUMMYFUNCTION("""COMPUTED_VALUE"""),1)</f>
        <v>1</v>
      </c>
    </row>
    <row r="1443" spans="1:5" ht="13">
      <c r="A1443" s="2" t="str">
        <f ca="1">IFERROR(__xludf.DUMMYFUNCTION("""COMPUTED_VALUE"""),"Charnin, Martin / Strouse, Charles")</f>
        <v>Charnin, Martin / Strouse, Charles</v>
      </c>
      <c r="B1443" s="3">
        <f ca="1">IFERROR(__xludf.DUMMYFUNCTION("""COMPUTED_VALUE"""),1)</f>
        <v>1</v>
      </c>
      <c r="C1443" s="7">
        <f ca="1">IFERROR(__xludf.DUMMYFUNCTION("""COMPUTED_VALUE"""),1)</f>
        <v>1</v>
      </c>
      <c r="D1443" s="8">
        <f ca="1">IFERROR(__xludf.DUMMYFUNCTION("""COMPUTED_VALUE"""),5)</f>
        <v>5</v>
      </c>
      <c r="E1443" s="2">
        <f ca="1">IFERROR(__xludf.DUMMYFUNCTION("""COMPUTED_VALUE"""),2)</f>
        <v>2</v>
      </c>
    </row>
    <row r="1444" spans="1:5" ht="13">
      <c r="A1444" s="8" t="str">
        <f ca="1">IFERROR(__xludf.DUMMYFUNCTION("""COMPUTED_VALUE"""),"Charpentier, Gustave")</f>
        <v>Charpentier, Gustave</v>
      </c>
      <c r="B1444" s="3">
        <f ca="1">IFERROR(__xludf.DUMMYFUNCTION("""COMPUTED_VALUE"""),1)</f>
        <v>1</v>
      </c>
      <c r="C1444" s="7">
        <f ca="1">IFERROR(__xludf.DUMMYFUNCTION("""COMPUTED_VALUE"""),1)</f>
        <v>1</v>
      </c>
      <c r="D1444" s="8">
        <f ca="1">IFERROR(__xludf.DUMMYFUNCTION("""COMPUTED_VALUE"""),5)</f>
        <v>5</v>
      </c>
      <c r="E1444" s="2">
        <f ca="1">IFERROR(__xludf.DUMMYFUNCTION("""COMPUTED_VALUE"""),2)</f>
        <v>2</v>
      </c>
    </row>
    <row r="1445" spans="1:5" ht="13">
      <c r="A1445" s="8" t="str">
        <f ca="1">IFERROR(__xludf.DUMMYFUNCTION("""COMPUTED_VALUE"""),"Charpentier, M.")</f>
        <v>Charpentier, M.</v>
      </c>
      <c r="B1445" s="3">
        <f ca="1">IFERROR(__xludf.DUMMYFUNCTION("""COMPUTED_VALUE"""),1)</f>
        <v>1</v>
      </c>
      <c r="C1445" s="7">
        <f ca="1">IFERROR(__xludf.DUMMYFUNCTION("""COMPUTED_VALUE"""),1)</f>
        <v>1</v>
      </c>
      <c r="D1445" s="8">
        <f ca="1">IFERROR(__xludf.DUMMYFUNCTION("""COMPUTED_VALUE"""),5)</f>
        <v>5</v>
      </c>
      <c r="E1445" s="2">
        <f ca="1">IFERROR(__xludf.DUMMYFUNCTION("""COMPUTED_VALUE"""),2)</f>
        <v>2</v>
      </c>
    </row>
    <row r="1446" spans="1:5" ht="13">
      <c r="A1446" s="8" t="str">
        <f ca="1">IFERROR(__xludf.DUMMYFUNCTION("""COMPUTED_VALUE"""),"Charpentier, Marc-Antoine")</f>
        <v>Charpentier, Marc-Antoine</v>
      </c>
      <c r="B1446" s="3">
        <f ca="1">IFERROR(__xludf.DUMMYFUNCTION("""COMPUTED_VALUE"""),1)</f>
        <v>1</v>
      </c>
      <c r="C1446" s="7">
        <f ca="1">IFERROR(__xludf.DUMMYFUNCTION("""COMPUTED_VALUE"""),1)</f>
        <v>1</v>
      </c>
      <c r="D1446" s="8">
        <f ca="1">IFERROR(__xludf.DUMMYFUNCTION("""COMPUTED_VALUE"""),5)</f>
        <v>5</v>
      </c>
      <c r="E1446" s="2">
        <f ca="1">IFERROR(__xludf.DUMMYFUNCTION("""COMPUTED_VALUE"""),2)</f>
        <v>2</v>
      </c>
    </row>
    <row r="1447" spans="1:5" ht="13">
      <c r="A1447" s="2" t="str">
        <f ca="1">IFERROR(__xludf.DUMMYFUNCTION("""COMPUTED_VALUE"""),"Charter, Ian")</f>
        <v>Charter, Ian</v>
      </c>
      <c r="B1447" s="3">
        <f ca="1">IFERROR(__xludf.DUMMYFUNCTION("""COMPUTED_VALUE"""),1)</f>
        <v>1</v>
      </c>
      <c r="C1447" s="7">
        <f ca="1">IFERROR(__xludf.DUMMYFUNCTION("""COMPUTED_VALUE"""),1)</f>
        <v>1</v>
      </c>
      <c r="D1447" s="8">
        <f ca="1">IFERROR(__xludf.DUMMYFUNCTION("""COMPUTED_VALUE"""),1)</f>
        <v>1</v>
      </c>
      <c r="E1447" s="2">
        <f ca="1">IFERROR(__xludf.DUMMYFUNCTION("""COMPUTED_VALUE"""),1)</f>
        <v>1</v>
      </c>
    </row>
    <row r="1448" spans="1:5" ht="13">
      <c r="A1448" s="8" t="str">
        <f ca="1">IFERROR(__xludf.DUMMYFUNCTION("""COMPUTED_VALUE"""),"Chase, Allen")</f>
        <v>Chase, Allen</v>
      </c>
      <c r="B1448" s="3">
        <f ca="1">IFERROR(__xludf.DUMMYFUNCTION("""COMPUTED_VALUE"""),1)</f>
        <v>1</v>
      </c>
      <c r="C1448" s="7">
        <f ca="1">IFERROR(__xludf.DUMMYFUNCTION("""COMPUTED_VALUE"""),1)</f>
        <v>1</v>
      </c>
      <c r="D1448" s="8">
        <f ca="1">IFERROR(__xludf.DUMMYFUNCTION("""COMPUTED_VALUE"""),1)</f>
        <v>1</v>
      </c>
      <c r="E1448" s="2">
        <f ca="1">IFERROR(__xludf.DUMMYFUNCTION("""COMPUTED_VALUE"""),1)</f>
        <v>1</v>
      </c>
    </row>
    <row r="1449" spans="1:5" ht="13">
      <c r="A1449" s="2" t="str">
        <f ca="1">IFERROR(__xludf.DUMMYFUNCTION("""COMPUTED_VALUE"""),"Chase, Bruce")</f>
        <v>Chase, Bruce</v>
      </c>
      <c r="B1449" s="3">
        <f ca="1">IFERROR(__xludf.DUMMYFUNCTION("""COMPUTED_VALUE"""),1)</f>
        <v>1</v>
      </c>
      <c r="C1449" s="7">
        <f ca="1">IFERROR(__xludf.DUMMYFUNCTION("""COMPUTED_VALUE"""),1)</f>
        <v>1</v>
      </c>
      <c r="D1449" s="8">
        <f ca="1">IFERROR(__xludf.DUMMYFUNCTION("""COMPUTED_VALUE"""),5)</f>
        <v>5</v>
      </c>
      <c r="E1449" s="2">
        <f ca="1">IFERROR(__xludf.DUMMYFUNCTION("""COMPUTED_VALUE"""),2)</f>
        <v>2</v>
      </c>
    </row>
    <row r="1450" spans="1:5" ht="13">
      <c r="A1450" s="8" t="str">
        <f ca="1">IFERROR(__xludf.DUMMYFUNCTION("""COMPUTED_VALUE"""),"Chase, David")</f>
        <v>Chase, David</v>
      </c>
      <c r="B1450" s="3">
        <f ca="1">IFERROR(__xludf.DUMMYFUNCTION("""COMPUTED_VALUE"""),1)</f>
        <v>1</v>
      </c>
      <c r="C1450" s="7">
        <f ca="1">IFERROR(__xludf.DUMMYFUNCTION("""COMPUTED_VALUE"""),1)</f>
        <v>1</v>
      </c>
      <c r="D1450" s="8">
        <f ca="1">IFERROR(__xludf.DUMMYFUNCTION("""COMPUTED_VALUE"""),1)</f>
        <v>1</v>
      </c>
      <c r="E1450" s="2">
        <f ca="1">IFERROR(__xludf.DUMMYFUNCTION("""COMPUTED_VALUE"""),1)</f>
        <v>1</v>
      </c>
    </row>
    <row r="1451" spans="1:5" ht="13">
      <c r="A1451" s="8" t="str">
        <f ca="1">IFERROR(__xludf.DUMMYFUNCTION("""COMPUTED_VALUE"""),"Chase, Jared")</f>
        <v>Chase, Jared</v>
      </c>
      <c r="B1451" s="3">
        <f ca="1">IFERROR(__xludf.DUMMYFUNCTION("""COMPUTED_VALUE"""),1)</f>
        <v>1</v>
      </c>
      <c r="C1451" s="7">
        <f ca="1">IFERROR(__xludf.DUMMYFUNCTION("""COMPUTED_VALUE"""),1)</f>
        <v>1</v>
      </c>
      <c r="D1451" s="8">
        <f ca="1">IFERROR(__xludf.DUMMYFUNCTION("""COMPUTED_VALUE"""),1)</f>
        <v>1</v>
      </c>
      <c r="E1451" s="2">
        <f ca="1">IFERROR(__xludf.DUMMYFUNCTION("""COMPUTED_VALUE"""),1)</f>
        <v>1</v>
      </c>
    </row>
    <row r="1452" spans="1:5" ht="13">
      <c r="A1452" s="2" t="str">
        <f ca="1">IFERROR(__xludf.DUMMYFUNCTION("""COMPUTED_VALUE"""),"Chase, Paul")</f>
        <v>Chase, Paul</v>
      </c>
      <c r="B1452" s="3">
        <f ca="1">IFERROR(__xludf.DUMMYFUNCTION("""COMPUTED_VALUE"""),1)</f>
        <v>1</v>
      </c>
      <c r="C1452" s="7">
        <f ca="1">IFERROR(__xludf.DUMMYFUNCTION("""COMPUTED_VALUE"""),1)</f>
        <v>1</v>
      </c>
      <c r="D1452" s="8">
        <f ca="1">IFERROR(__xludf.DUMMYFUNCTION("""COMPUTED_VALUE"""),1)</f>
        <v>1</v>
      </c>
      <c r="E1452" s="2">
        <f ca="1">IFERROR(__xludf.DUMMYFUNCTION("""COMPUTED_VALUE"""),1)</f>
        <v>1</v>
      </c>
    </row>
    <row r="1453" spans="1:5" ht="13">
      <c r="A1453" s="2" t="str">
        <f ca="1">IFERROR(__xludf.DUMMYFUNCTION("""COMPUTED_VALUE"""),"Chase, Ryan")</f>
        <v>Chase, Ryan</v>
      </c>
      <c r="B1453" s="2">
        <f ca="1">IFERROR(__xludf.DUMMYFUNCTION("""COMPUTED_VALUE"""),1)</f>
        <v>1</v>
      </c>
      <c r="C1453" s="7">
        <f ca="1">IFERROR(__xludf.DUMMYFUNCTION("""COMPUTED_VALUE"""),1)</f>
        <v>1</v>
      </c>
      <c r="D1453" s="8">
        <f ca="1">IFERROR(__xludf.DUMMYFUNCTION("""COMPUTED_VALUE"""),1)</f>
        <v>1</v>
      </c>
      <c r="E1453" s="2">
        <f ca="1">IFERROR(__xludf.DUMMYFUNCTION("""COMPUTED_VALUE"""),1)</f>
        <v>1</v>
      </c>
    </row>
    <row r="1454" spans="1:5" ht="13">
      <c r="A1454" s="8" t="str">
        <f ca="1">IFERROR(__xludf.DUMMYFUNCTION("""COMPUTED_VALUE"""),"Chatman, Stephen")</f>
        <v>Chatman, Stephen</v>
      </c>
      <c r="B1454" s="3">
        <f ca="1">IFERROR(__xludf.DUMMYFUNCTION("""COMPUTED_VALUE"""),1)</f>
        <v>1</v>
      </c>
      <c r="C1454" s="7">
        <f ca="1">IFERROR(__xludf.DUMMYFUNCTION("""COMPUTED_VALUE"""),1)</f>
        <v>1</v>
      </c>
      <c r="D1454" s="8">
        <f ca="1">IFERROR(__xludf.DUMMYFUNCTION("""COMPUTED_VALUE"""),1)</f>
        <v>1</v>
      </c>
      <c r="E1454" s="2">
        <f ca="1">IFERROR(__xludf.DUMMYFUNCTION("""COMPUTED_VALUE"""),1)</f>
        <v>1</v>
      </c>
    </row>
    <row r="1455" spans="1:5" ht="13">
      <c r="A1455" s="8" t="str">
        <f ca="1">IFERROR(__xludf.DUMMYFUNCTION("""COMPUTED_VALUE"""),"Chattaway, Jay")</f>
        <v>Chattaway, Jay</v>
      </c>
      <c r="B1455" s="3">
        <f ca="1">IFERROR(__xludf.DUMMYFUNCTION("""COMPUTED_VALUE"""),1)</f>
        <v>1</v>
      </c>
      <c r="C1455" s="7">
        <f ca="1">IFERROR(__xludf.DUMMYFUNCTION("""COMPUTED_VALUE"""),1)</f>
        <v>1</v>
      </c>
      <c r="D1455" s="8">
        <f ca="1">IFERROR(__xludf.DUMMYFUNCTION("""COMPUTED_VALUE"""),1)</f>
        <v>1</v>
      </c>
      <c r="E1455" s="2">
        <f ca="1">IFERROR(__xludf.DUMMYFUNCTION("""COMPUTED_VALUE"""),1)</f>
        <v>1</v>
      </c>
    </row>
    <row r="1456" spans="1:5" ht="13">
      <c r="A1456" s="8" t="str">
        <f ca="1">IFERROR(__xludf.DUMMYFUNCTION("""COMPUTED_VALUE"""),"Chausson, Ernest")</f>
        <v>Chausson, Ernest</v>
      </c>
      <c r="B1456" s="3">
        <f ca="1">IFERROR(__xludf.DUMMYFUNCTION("""COMPUTED_VALUE"""),1)</f>
        <v>1</v>
      </c>
      <c r="C1456" s="7">
        <f ca="1">IFERROR(__xludf.DUMMYFUNCTION("""COMPUTED_VALUE"""),1)</f>
        <v>1</v>
      </c>
      <c r="D1456" s="8">
        <f ca="1">IFERROR(__xludf.DUMMYFUNCTION("""COMPUTED_VALUE"""),5)</f>
        <v>5</v>
      </c>
      <c r="E1456" s="2">
        <f ca="1">IFERROR(__xludf.DUMMYFUNCTION("""COMPUTED_VALUE"""),2)</f>
        <v>2</v>
      </c>
    </row>
    <row r="1457" spans="1:5" ht="13">
      <c r="A1457" s="2" t="str">
        <f ca="1">IFERROR(__xludf.DUMMYFUNCTION("""COMPUTED_VALUE"""),"Chavarri, Eduardo")</f>
        <v>Chavarri, Eduardo</v>
      </c>
      <c r="B1457" s="3">
        <f ca="1">IFERROR(__xludf.DUMMYFUNCTION("""COMPUTED_VALUE"""),1)</f>
        <v>1</v>
      </c>
      <c r="C1457" s="7">
        <f ca="1">IFERROR(__xludf.DUMMYFUNCTION("""COMPUTED_VALUE"""),1)</f>
        <v>1</v>
      </c>
      <c r="D1457" s="8">
        <f ca="1">IFERROR(__xludf.DUMMYFUNCTION("""COMPUTED_VALUE"""),5)</f>
        <v>5</v>
      </c>
      <c r="E1457" s="2">
        <f ca="1">IFERROR(__xludf.DUMMYFUNCTION("""COMPUTED_VALUE"""),2)</f>
        <v>2</v>
      </c>
    </row>
    <row r="1458" spans="1:5" ht="13">
      <c r="A1458" s="2" t="str">
        <f ca="1">IFERROR(__xludf.DUMMYFUNCTION("""COMPUTED_VALUE"""),"Chavarria, Vincent")</f>
        <v>Chavarria, Vincent</v>
      </c>
      <c r="B1458" s="3">
        <f ca="1">IFERROR(__xludf.DUMMYFUNCTION("""COMPUTED_VALUE"""),1)</f>
        <v>1</v>
      </c>
      <c r="C1458" s="7">
        <f ca="1">IFERROR(__xludf.DUMMYFUNCTION("""COMPUTED_VALUE"""),1)</f>
        <v>1</v>
      </c>
      <c r="D1458" s="8">
        <f ca="1">IFERROR(__xludf.DUMMYFUNCTION("""COMPUTED_VALUE"""),5)</f>
        <v>5</v>
      </c>
      <c r="E1458" s="2">
        <f ca="1">IFERROR(__xludf.DUMMYFUNCTION("""COMPUTED_VALUE"""),2)</f>
        <v>2</v>
      </c>
    </row>
    <row r="1459" spans="1:5" ht="13">
      <c r="A1459" s="8" t="str">
        <f ca="1">IFERROR(__xludf.DUMMYFUNCTION("""COMPUTED_VALUE"""),"Chédeville, Nicolas")</f>
        <v>Chédeville, Nicolas</v>
      </c>
      <c r="B1459" s="3">
        <f ca="1">IFERROR(__xludf.DUMMYFUNCTION("""COMPUTED_VALUE"""),1)</f>
        <v>1</v>
      </c>
      <c r="C1459" s="7">
        <f ca="1">IFERROR(__xludf.DUMMYFUNCTION("""COMPUTED_VALUE"""),1)</f>
        <v>1</v>
      </c>
      <c r="D1459" s="8">
        <f ca="1">IFERROR(__xludf.DUMMYFUNCTION("""COMPUTED_VALUE"""),5)</f>
        <v>5</v>
      </c>
      <c r="E1459" s="2">
        <f ca="1">IFERROR(__xludf.DUMMYFUNCTION("""COMPUTED_VALUE"""),2)</f>
        <v>2</v>
      </c>
    </row>
    <row r="1460" spans="1:5" ht="13">
      <c r="A1460" s="8" t="str">
        <f ca="1">IFERROR(__xludf.DUMMYFUNCTION("""COMPUTED_VALUE"""),"Cheetham, John")</f>
        <v>Cheetham, John</v>
      </c>
      <c r="B1460" s="3">
        <f ca="1">IFERROR(__xludf.DUMMYFUNCTION("""COMPUTED_VALUE"""),1)</f>
        <v>1</v>
      </c>
      <c r="C1460" s="7">
        <f ca="1">IFERROR(__xludf.DUMMYFUNCTION("""COMPUTED_VALUE"""),1)</f>
        <v>1</v>
      </c>
      <c r="D1460" s="8">
        <f ca="1">IFERROR(__xludf.DUMMYFUNCTION("""COMPUTED_VALUE"""),1)</f>
        <v>1</v>
      </c>
      <c r="E1460" s="2">
        <f ca="1">IFERROR(__xludf.DUMMYFUNCTION("""COMPUTED_VALUE"""),1)</f>
        <v>1</v>
      </c>
    </row>
    <row r="1461" spans="1:5" ht="13">
      <c r="A1461" s="2" t="str">
        <f ca="1">IFERROR(__xludf.DUMMYFUNCTION("""COMPUTED_VALUE"""),"Chenoweth, Wilbur")</f>
        <v>Chenoweth, Wilbur</v>
      </c>
      <c r="B1461" s="3">
        <f ca="1">IFERROR(__xludf.DUMMYFUNCTION("""COMPUTED_VALUE"""),1)</f>
        <v>1</v>
      </c>
      <c r="C1461" s="7">
        <f ca="1">IFERROR(__xludf.DUMMYFUNCTION("""COMPUTED_VALUE"""),1)</f>
        <v>1</v>
      </c>
      <c r="D1461" s="8">
        <f ca="1">IFERROR(__xludf.DUMMYFUNCTION("""COMPUTED_VALUE"""),5)</f>
        <v>5</v>
      </c>
      <c r="E1461" s="2">
        <f ca="1">IFERROR(__xludf.DUMMYFUNCTION("""COMPUTED_VALUE"""),2)</f>
        <v>2</v>
      </c>
    </row>
    <row r="1462" spans="1:5" ht="13">
      <c r="A1462" s="2" t="str">
        <f ca="1">IFERROR(__xludf.DUMMYFUNCTION("""COMPUTED_VALUE"""),"Chepponis, James")</f>
        <v>Chepponis, James</v>
      </c>
      <c r="B1462" s="3">
        <f ca="1">IFERROR(__xludf.DUMMYFUNCTION("""COMPUTED_VALUE"""),1)</f>
        <v>1</v>
      </c>
      <c r="C1462" s="7">
        <f ca="1">IFERROR(__xludf.DUMMYFUNCTION("""COMPUTED_VALUE"""),1)</f>
        <v>1</v>
      </c>
      <c r="D1462" s="8">
        <f ca="1">IFERROR(__xludf.DUMMYFUNCTION("""COMPUTED_VALUE"""),1)</f>
        <v>1</v>
      </c>
      <c r="E1462" s="2">
        <f ca="1">IFERROR(__xludf.DUMMYFUNCTION("""COMPUTED_VALUE"""),1)</f>
        <v>1</v>
      </c>
    </row>
    <row r="1463" spans="1:5" ht="13">
      <c r="A1463" s="8" t="str">
        <f ca="1">IFERROR(__xludf.DUMMYFUNCTION("""COMPUTED_VALUE"""),"Chernetsky, Semyon")</f>
        <v>Chernetsky, Semyon</v>
      </c>
      <c r="B1463" s="3">
        <f ca="1">IFERROR(__xludf.DUMMYFUNCTION("""COMPUTED_VALUE"""),1)</f>
        <v>1</v>
      </c>
      <c r="C1463" s="7">
        <f ca="1">IFERROR(__xludf.DUMMYFUNCTION("""COMPUTED_VALUE"""),1)</f>
        <v>1</v>
      </c>
      <c r="D1463" s="8">
        <f ca="1">IFERROR(__xludf.DUMMYFUNCTION("""COMPUTED_VALUE"""),5)</f>
        <v>5</v>
      </c>
      <c r="E1463" s="2">
        <f ca="1">IFERROR(__xludf.DUMMYFUNCTION("""COMPUTED_VALUE"""),2)</f>
        <v>2</v>
      </c>
    </row>
    <row r="1464" spans="1:5" ht="13">
      <c r="A1464" s="2" t="str">
        <f ca="1">IFERROR(__xludf.DUMMYFUNCTION("""COMPUTED_VALUE"""),"Chernov, Gennadi")</f>
        <v>Chernov, Gennadi</v>
      </c>
      <c r="B1464" s="3">
        <f ca="1">IFERROR(__xludf.DUMMYFUNCTION("""COMPUTED_VALUE"""),1)</f>
        <v>1</v>
      </c>
      <c r="C1464" s="7">
        <f ca="1">IFERROR(__xludf.DUMMYFUNCTION("""COMPUTED_VALUE"""),1)</f>
        <v>1</v>
      </c>
      <c r="D1464" s="8">
        <f ca="1">IFERROR(__xludf.DUMMYFUNCTION("""COMPUTED_VALUE"""),5)</f>
        <v>5</v>
      </c>
      <c r="E1464" s="3">
        <f ca="1">IFERROR(__xludf.DUMMYFUNCTION("""COMPUTED_VALUE"""),2)</f>
        <v>2</v>
      </c>
    </row>
    <row r="1465" spans="1:5" ht="13">
      <c r="A1465" s="8" t="str">
        <f ca="1">IFERROR(__xludf.DUMMYFUNCTION("""COMPUTED_VALUE"""),"Cherubini, Luigi")</f>
        <v>Cherubini, Luigi</v>
      </c>
      <c r="B1465" s="3">
        <f ca="1">IFERROR(__xludf.DUMMYFUNCTION("""COMPUTED_VALUE"""),1)</f>
        <v>1</v>
      </c>
      <c r="C1465" s="7">
        <f ca="1">IFERROR(__xludf.DUMMYFUNCTION("""COMPUTED_VALUE"""),1)</f>
        <v>1</v>
      </c>
      <c r="D1465" s="8">
        <f ca="1">IFERROR(__xludf.DUMMYFUNCTION("""COMPUTED_VALUE"""),5)</f>
        <v>5</v>
      </c>
      <c r="E1465" s="2">
        <f ca="1">IFERROR(__xludf.DUMMYFUNCTION("""COMPUTED_VALUE"""),2)</f>
        <v>2</v>
      </c>
    </row>
    <row r="1466" spans="1:5" ht="13">
      <c r="A1466" s="2" t="str">
        <f ca="1">IFERROR(__xludf.DUMMYFUNCTION("""COMPUTED_VALUE"""),"Cherwien, David")</f>
        <v>Cherwien, David</v>
      </c>
      <c r="B1466" s="3">
        <f ca="1">IFERROR(__xludf.DUMMYFUNCTION("""COMPUTED_VALUE"""),1)</f>
        <v>1</v>
      </c>
      <c r="C1466" s="7">
        <f ca="1">IFERROR(__xludf.DUMMYFUNCTION("""COMPUTED_VALUE"""),1)</f>
        <v>1</v>
      </c>
      <c r="D1466" s="8">
        <f ca="1">IFERROR(__xludf.DUMMYFUNCTION("""COMPUTED_VALUE"""),1)</f>
        <v>1</v>
      </c>
      <c r="E1466" s="2">
        <f ca="1">IFERROR(__xludf.DUMMYFUNCTION("""COMPUTED_VALUE"""),1)</f>
        <v>1</v>
      </c>
    </row>
    <row r="1467" spans="1:5" ht="13">
      <c r="A1467" s="8" t="str">
        <f ca="1">IFERROR(__xludf.DUMMYFUNCTION("""COMPUTED_VALUE"""),"Chesky, David")</f>
        <v>Chesky, David</v>
      </c>
      <c r="B1467" s="3">
        <f ca="1">IFERROR(__xludf.DUMMYFUNCTION("""COMPUTED_VALUE"""),1)</f>
        <v>1</v>
      </c>
      <c r="C1467" s="7">
        <f ca="1">IFERROR(__xludf.DUMMYFUNCTION("""COMPUTED_VALUE"""),1)</f>
        <v>1</v>
      </c>
      <c r="D1467" s="8">
        <f ca="1">IFERROR(__xludf.DUMMYFUNCTION("""COMPUTED_VALUE"""),1)</f>
        <v>1</v>
      </c>
      <c r="E1467" s="2">
        <f ca="1">IFERROR(__xludf.DUMMYFUNCTION("""COMPUTED_VALUE"""),1)</f>
        <v>1</v>
      </c>
    </row>
    <row r="1468" spans="1:5" ht="13">
      <c r="A1468" s="2" t="str">
        <f ca="1">IFERROR(__xludf.DUMMYFUNCTION("""COMPUTED_VALUE"""),"Chesnokov, Pavel")</f>
        <v>Chesnokov, Pavel</v>
      </c>
      <c r="B1468" s="3">
        <f ca="1">IFERROR(__xludf.DUMMYFUNCTION("""COMPUTED_VALUE"""),1)</f>
        <v>1</v>
      </c>
      <c r="C1468" s="7">
        <f ca="1">IFERROR(__xludf.DUMMYFUNCTION("""COMPUTED_VALUE"""),1)</f>
        <v>1</v>
      </c>
      <c r="D1468" s="8">
        <f ca="1">IFERROR(__xludf.DUMMYFUNCTION("""COMPUTED_VALUE"""),5)</f>
        <v>5</v>
      </c>
      <c r="E1468" s="2">
        <f ca="1">IFERROR(__xludf.DUMMYFUNCTION("""COMPUTED_VALUE"""),2)</f>
        <v>2</v>
      </c>
    </row>
    <row r="1469" spans="1:5" ht="13">
      <c r="A1469" s="2" t="str">
        <f ca="1">IFERROR(__xludf.DUMMYFUNCTION("""COMPUTED_VALUE"""),"Cheyette, Irving")</f>
        <v>Cheyette, Irving</v>
      </c>
      <c r="B1469" s="3">
        <f ca="1">IFERROR(__xludf.DUMMYFUNCTION("""COMPUTED_VALUE"""),1)</f>
        <v>1</v>
      </c>
      <c r="C1469" s="7">
        <f ca="1">IFERROR(__xludf.DUMMYFUNCTION("""COMPUTED_VALUE"""),1)</f>
        <v>1</v>
      </c>
      <c r="D1469" s="8">
        <f ca="1">IFERROR(__xludf.DUMMYFUNCTION("""COMPUTED_VALUE"""),5)</f>
        <v>5</v>
      </c>
      <c r="E1469" s="3">
        <f ca="1">IFERROR(__xludf.DUMMYFUNCTION("""COMPUTED_VALUE"""),2)</f>
        <v>2</v>
      </c>
    </row>
    <row r="1470" spans="1:5" ht="13">
      <c r="A1470" s="2" t="str">
        <f ca="1">IFERROR(__xludf.DUMMYFUNCTION("""COMPUTED_VALUE"""),"Chiaffarelli, Alfred")</f>
        <v>Chiaffarelli, Alfred</v>
      </c>
      <c r="B1470" s="2">
        <f ca="1">IFERROR(__xludf.DUMMYFUNCTION("""COMPUTED_VALUE"""),1)</f>
        <v>1</v>
      </c>
      <c r="C1470" s="2">
        <f ca="1">IFERROR(__xludf.DUMMYFUNCTION("""COMPUTED_VALUE"""),1)</f>
        <v>1</v>
      </c>
      <c r="D1470" s="8">
        <f ca="1">IFERROR(__xludf.DUMMYFUNCTION("""COMPUTED_VALUE"""),5)</f>
        <v>5</v>
      </c>
      <c r="E1470" s="2">
        <f ca="1">IFERROR(__xludf.DUMMYFUNCTION("""COMPUTED_VALUE"""),2)</f>
        <v>2</v>
      </c>
    </row>
    <row r="1471" spans="1:5" ht="13">
      <c r="A1471" s="2" t="str">
        <f ca="1">IFERROR(__xludf.DUMMYFUNCTION("""COMPUTED_VALUE"""),"Chidester, Lawrence")</f>
        <v>Chidester, Lawrence</v>
      </c>
      <c r="B1471" s="3">
        <f ca="1">IFERROR(__xludf.DUMMYFUNCTION("""COMPUTED_VALUE"""),1)</f>
        <v>1</v>
      </c>
      <c r="C1471" s="7">
        <f ca="1">IFERROR(__xludf.DUMMYFUNCTION("""COMPUTED_VALUE"""),1)</f>
        <v>1</v>
      </c>
      <c r="D1471" s="8">
        <f ca="1">IFERROR(__xludf.DUMMYFUNCTION("""COMPUTED_VALUE"""),5)</f>
        <v>5</v>
      </c>
      <c r="E1471" s="3">
        <f ca="1">IFERROR(__xludf.DUMMYFUNCTION("""COMPUTED_VALUE"""),2)</f>
        <v>2</v>
      </c>
    </row>
    <row r="1472" spans="1:5" ht="13">
      <c r="A1472" s="8" t="str">
        <f ca="1">IFERROR(__xludf.DUMMYFUNCTION("""COMPUTED_VALUE"""),"Chilcott, Bob")</f>
        <v>Chilcott, Bob</v>
      </c>
      <c r="B1472" s="3">
        <f ca="1">IFERROR(__xludf.DUMMYFUNCTION("""COMPUTED_VALUE"""),1)</f>
        <v>1</v>
      </c>
      <c r="C1472" s="7">
        <f ca="1">IFERROR(__xludf.DUMMYFUNCTION("""COMPUTED_VALUE"""),1)</f>
        <v>1</v>
      </c>
      <c r="D1472" s="8">
        <f ca="1">IFERROR(__xludf.DUMMYFUNCTION("""COMPUTED_VALUE"""),1)</f>
        <v>1</v>
      </c>
      <c r="E1472" s="2">
        <f ca="1">IFERROR(__xludf.DUMMYFUNCTION("""COMPUTED_VALUE"""),1)</f>
        <v>1</v>
      </c>
    </row>
    <row r="1473" spans="1:5" ht="13">
      <c r="A1473" s="2" t="str">
        <f ca="1">IFERROR(__xludf.DUMMYFUNCTION("""COMPUTED_VALUE"""),"Childs, David N.")</f>
        <v>Childs, David N.</v>
      </c>
      <c r="B1473" s="3">
        <f ca="1">IFERROR(__xludf.DUMMYFUNCTION("""COMPUTED_VALUE"""),1)</f>
        <v>1</v>
      </c>
      <c r="C1473" s="7">
        <f ca="1">IFERROR(__xludf.DUMMYFUNCTION("""COMPUTED_VALUE"""),1)</f>
        <v>1</v>
      </c>
      <c r="D1473" s="8">
        <f ca="1">IFERROR(__xludf.DUMMYFUNCTION("""COMPUTED_VALUE"""),1)</f>
        <v>1</v>
      </c>
      <c r="E1473" s="2">
        <f ca="1">IFERROR(__xludf.DUMMYFUNCTION("""COMPUTED_VALUE"""),1)</f>
        <v>1</v>
      </c>
    </row>
    <row r="1474" spans="1:5" ht="13">
      <c r="A1474" s="2" t="str">
        <f ca="1">IFERROR(__xludf.DUMMYFUNCTION("""COMPUTED_VALUE"""),"Childs, Edwin")</f>
        <v>Childs, Edwin</v>
      </c>
      <c r="B1474" s="3">
        <f ca="1">IFERROR(__xludf.DUMMYFUNCTION("""COMPUTED_VALUE"""),1)</f>
        <v>1</v>
      </c>
      <c r="C1474" s="7">
        <f ca="1">IFERROR(__xludf.DUMMYFUNCTION("""COMPUTED_VALUE"""),1)</f>
        <v>1</v>
      </c>
      <c r="D1474" s="8">
        <f ca="1">IFERROR(__xludf.DUMMYFUNCTION("""COMPUTED_VALUE"""),1)</f>
        <v>1</v>
      </c>
      <c r="E1474" s="2">
        <f ca="1">IFERROR(__xludf.DUMMYFUNCTION("""COMPUTED_VALUE"""),1)</f>
        <v>1</v>
      </c>
    </row>
    <row r="1475" spans="1:5" ht="13">
      <c r="A1475" s="8" t="str">
        <f ca="1">IFERROR(__xludf.DUMMYFUNCTION("""COMPUTED_VALUE"""),"Childs, Tom")</f>
        <v>Childs, Tom</v>
      </c>
      <c r="B1475" s="3">
        <f ca="1">IFERROR(__xludf.DUMMYFUNCTION("""COMPUTED_VALUE"""),1)</f>
        <v>1</v>
      </c>
      <c r="C1475" s="7">
        <f ca="1">IFERROR(__xludf.DUMMYFUNCTION("""COMPUTED_VALUE"""),1)</f>
        <v>1</v>
      </c>
      <c r="D1475" s="8">
        <f ca="1">IFERROR(__xludf.DUMMYFUNCTION("""COMPUTED_VALUE"""),1)</f>
        <v>1</v>
      </c>
      <c r="E1475" s="2">
        <f ca="1">IFERROR(__xludf.DUMMYFUNCTION("""COMPUTED_VALUE"""),1)</f>
        <v>1</v>
      </c>
    </row>
    <row r="1476" spans="1:5" ht="13">
      <c r="A1476" s="2" t="str">
        <f ca="1">IFERROR(__xludf.DUMMYFUNCTION("""COMPUTED_VALUE"""),"Chisham, Daniel")</f>
        <v>Chisham, Daniel</v>
      </c>
      <c r="B1476" s="3">
        <f ca="1">IFERROR(__xludf.DUMMYFUNCTION("""COMPUTED_VALUE"""),1)</f>
        <v>1</v>
      </c>
      <c r="C1476" s="7">
        <f ca="1">IFERROR(__xludf.DUMMYFUNCTION("""COMPUTED_VALUE"""),1)</f>
        <v>1</v>
      </c>
      <c r="D1476" s="8">
        <f ca="1">IFERROR(__xludf.DUMMYFUNCTION("""COMPUTED_VALUE"""),1)</f>
        <v>1</v>
      </c>
      <c r="E1476" s="2">
        <f ca="1">IFERROR(__xludf.DUMMYFUNCTION("""COMPUTED_VALUE"""),1)</f>
        <v>1</v>
      </c>
    </row>
    <row r="1477" spans="1:5" ht="13">
      <c r="A1477" s="8" t="str">
        <f ca="1">IFERROR(__xludf.DUMMYFUNCTION("""COMPUTED_VALUE"""),"Chobanian, Loris")</f>
        <v>Chobanian, Loris</v>
      </c>
      <c r="B1477" s="3">
        <f ca="1">IFERROR(__xludf.DUMMYFUNCTION("""COMPUTED_VALUE"""),1)</f>
        <v>1</v>
      </c>
      <c r="C1477" s="7">
        <f ca="1">IFERROR(__xludf.DUMMYFUNCTION("""COMPUTED_VALUE"""),1)</f>
        <v>1</v>
      </c>
      <c r="D1477" s="8">
        <f ca="1">IFERROR(__xludf.DUMMYFUNCTION("""COMPUTED_VALUE"""),1)</f>
        <v>1</v>
      </c>
      <c r="E1477" s="2">
        <f ca="1">IFERROR(__xludf.DUMMYFUNCTION("""COMPUTED_VALUE"""),1)</f>
        <v>1</v>
      </c>
    </row>
    <row r="1478" spans="1:5" ht="13">
      <c r="A1478" s="8" t="str">
        <f ca="1">IFERROR(__xludf.DUMMYFUNCTION("""COMPUTED_VALUE"""),"Chopin, Frédéric")</f>
        <v>Chopin, Frédéric</v>
      </c>
      <c r="B1478" s="3">
        <f ca="1">IFERROR(__xludf.DUMMYFUNCTION("""COMPUTED_VALUE"""),1)</f>
        <v>1</v>
      </c>
      <c r="C1478" s="7">
        <f ca="1">IFERROR(__xludf.DUMMYFUNCTION("""COMPUTED_VALUE"""),1)</f>
        <v>1</v>
      </c>
      <c r="D1478" s="8">
        <f ca="1">IFERROR(__xludf.DUMMYFUNCTION("""COMPUTED_VALUE"""),5)</f>
        <v>5</v>
      </c>
      <c r="E1478" s="2">
        <f ca="1">IFERROR(__xludf.DUMMYFUNCTION("""COMPUTED_VALUE"""),2)</f>
        <v>2</v>
      </c>
    </row>
    <row r="1479" spans="1:5" ht="13">
      <c r="A1479" s="2" t="str">
        <f ca="1">IFERROR(__xludf.DUMMYFUNCTION("""COMPUTED_VALUE"""),"Choplin, Pepper")</f>
        <v>Choplin, Pepper</v>
      </c>
      <c r="B1479" s="3">
        <f ca="1">IFERROR(__xludf.DUMMYFUNCTION("""COMPUTED_VALUE"""),1)</f>
        <v>1</v>
      </c>
      <c r="C1479" s="7">
        <f ca="1">IFERROR(__xludf.DUMMYFUNCTION("""COMPUTED_VALUE"""),1)</f>
        <v>1</v>
      </c>
      <c r="D1479" s="8">
        <f ca="1">IFERROR(__xludf.DUMMYFUNCTION("""COMPUTED_VALUE"""),1)</f>
        <v>1</v>
      </c>
      <c r="E1479" s="2">
        <f ca="1">IFERROR(__xludf.DUMMYFUNCTION("""COMPUTED_VALUE"""),1)</f>
        <v>1</v>
      </c>
    </row>
    <row r="1480" spans="1:5" ht="13">
      <c r="A1480" s="2" t="str">
        <f ca="1">IFERROR(__xludf.DUMMYFUNCTION("""COMPUTED_VALUE"""),"Chorbajian, John")</f>
        <v>Chorbajian, John</v>
      </c>
      <c r="B1480" s="3">
        <f ca="1">IFERROR(__xludf.DUMMYFUNCTION("""COMPUTED_VALUE"""),1)</f>
        <v>1</v>
      </c>
      <c r="C1480" s="7">
        <f ca="1">IFERROR(__xludf.DUMMYFUNCTION("""COMPUTED_VALUE"""),1)</f>
        <v>1</v>
      </c>
      <c r="D1480" s="8">
        <f ca="1">IFERROR(__xludf.DUMMYFUNCTION("""COMPUTED_VALUE"""),5)</f>
        <v>5</v>
      </c>
      <c r="E1480" s="2">
        <f ca="1">IFERROR(__xludf.DUMMYFUNCTION("""COMPUTED_VALUE"""),2)</f>
        <v>2</v>
      </c>
    </row>
    <row r="1481" spans="1:5" ht="13">
      <c r="A1481" s="8" t="str">
        <f ca="1">IFERROR(__xludf.DUMMYFUNCTION("""COMPUTED_VALUE"""),"Choukeir, Samih")</f>
        <v>Choukeir, Samih</v>
      </c>
      <c r="B1481" s="3">
        <f ca="1">IFERROR(__xludf.DUMMYFUNCTION("""COMPUTED_VALUE"""),1)</f>
        <v>1</v>
      </c>
      <c r="C1481" s="7">
        <f ca="1">IFERROR(__xludf.DUMMYFUNCTION("""COMPUTED_VALUE"""),1)</f>
        <v>1</v>
      </c>
      <c r="D1481" s="8">
        <f ca="1">IFERROR(__xludf.DUMMYFUNCTION("""COMPUTED_VALUE"""),1)</f>
        <v>1</v>
      </c>
      <c r="E1481" s="2">
        <f ca="1">IFERROR(__xludf.DUMMYFUNCTION("""COMPUTED_VALUE"""),1)</f>
        <v>1</v>
      </c>
    </row>
    <row r="1482" spans="1:5" ht="13">
      <c r="A1482" s="2" t="str">
        <f ca="1">IFERROR(__xludf.DUMMYFUNCTION("""COMPUTED_VALUE"""),"Chovi, Pascual Perez")</f>
        <v>Chovi, Pascual Perez</v>
      </c>
      <c r="B1482" s="2">
        <f ca="1">IFERROR(__xludf.DUMMYFUNCTION("""COMPUTED_VALUE"""),1)</f>
        <v>1</v>
      </c>
      <c r="C1482" s="7">
        <f ca="1">IFERROR(__xludf.DUMMYFUNCTION("""COMPUTED_VALUE"""),1)</f>
        <v>1</v>
      </c>
      <c r="D1482" s="8">
        <f ca="1">IFERROR(__xludf.DUMMYFUNCTION("""COMPUTED_VALUE"""),5)</f>
        <v>5</v>
      </c>
      <c r="E1482" s="2">
        <f ca="1">IFERROR(__xludf.DUMMYFUNCTION("""COMPUTED_VALUE"""),2)</f>
        <v>2</v>
      </c>
    </row>
    <row r="1483" spans="1:5" ht="13">
      <c r="A1483" s="8" t="str">
        <f ca="1">IFERROR(__xludf.DUMMYFUNCTION("""COMPUTED_VALUE"""),"Christensen, James")</f>
        <v>Christensen, James</v>
      </c>
      <c r="B1483" s="3">
        <f ca="1">IFERROR(__xludf.DUMMYFUNCTION("""COMPUTED_VALUE"""),1)</f>
        <v>1</v>
      </c>
      <c r="C1483" s="7">
        <f ca="1">IFERROR(__xludf.DUMMYFUNCTION("""COMPUTED_VALUE"""),1)</f>
        <v>1</v>
      </c>
      <c r="D1483" s="8">
        <f ca="1">IFERROR(__xludf.DUMMYFUNCTION("""COMPUTED_VALUE"""),5)</f>
        <v>5</v>
      </c>
      <c r="E1483" s="2">
        <f ca="1">IFERROR(__xludf.DUMMYFUNCTION("""COMPUTED_VALUE"""),2)</f>
        <v>2</v>
      </c>
    </row>
    <row r="1484" spans="1:5" ht="13">
      <c r="A1484" s="2" t="str">
        <f ca="1">IFERROR(__xludf.DUMMYFUNCTION("""COMPUTED_VALUE"""),"Christian Gregor")</f>
        <v>Christian Gregor</v>
      </c>
      <c r="B1484" s="3">
        <f ca="1">IFERROR(__xludf.DUMMYFUNCTION("""COMPUTED_VALUE"""),1)</f>
        <v>1</v>
      </c>
      <c r="C1484" s="7">
        <f ca="1">IFERROR(__xludf.DUMMYFUNCTION("""COMPUTED_VALUE"""),1)</f>
        <v>1</v>
      </c>
      <c r="D1484" s="8">
        <f ca="1">IFERROR(__xludf.DUMMYFUNCTION("""COMPUTED_VALUE"""),5)</f>
        <v>5</v>
      </c>
      <c r="E1484" s="2">
        <f ca="1">IFERROR(__xludf.DUMMYFUNCTION("""COMPUTED_VALUE"""),2)</f>
        <v>2</v>
      </c>
    </row>
    <row r="1485" spans="1:5" ht="13">
      <c r="A1485" s="2" t="str">
        <f ca="1">IFERROR(__xludf.DUMMYFUNCTION("""COMPUTED_VALUE"""),"Christiansen, Carl")</f>
        <v>Christiansen, Carl</v>
      </c>
      <c r="B1485" s="3">
        <f ca="1">IFERROR(__xludf.DUMMYFUNCTION("""COMPUTED_VALUE"""),1)</f>
        <v>1</v>
      </c>
      <c r="C1485" s="7">
        <f ca="1">IFERROR(__xludf.DUMMYFUNCTION("""COMPUTED_VALUE"""),1)</f>
        <v>1</v>
      </c>
      <c r="D1485" s="8">
        <f ca="1">IFERROR(__xludf.DUMMYFUNCTION("""COMPUTED_VALUE"""),5)</f>
        <v>5</v>
      </c>
      <c r="E1485" s="3">
        <f ca="1">IFERROR(__xludf.DUMMYFUNCTION("""COMPUTED_VALUE"""),2)</f>
        <v>2</v>
      </c>
    </row>
    <row r="1486" spans="1:5" ht="13">
      <c r="A1486" s="8" t="str">
        <f ca="1">IFERROR(__xludf.DUMMYFUNCTION("""COMPUTED_VALUE"""),"Christiansen, F. Melius")</f>
        <v>Christiansen, F. Melius</v>
      </c>
      <c r="B1486" s="3">
        <f ca="1">IFERROR(__xludf.DUMMYFUNCTION("""COMPUTED_VALUE"""),1)</f>
        <v>1</v>
      </c>
      <c r="C1486" s="7">
        <f ca="1">IFERROR(__xludf.DUMMYFUNCTION("""COMPUTED_VALUE"""),1)</f>
        <v>1</v>
      </c>
      <c r="D1486" s="8">
        <f ca="1">IFERROR(__xludf.DUMMYFUNCTION("""COMPUTED_VALUE"""),5)</f>
        <v>5</v>
      </c>
      <c r="E1486" s="2">
        <f ca="1">IFERROR(__xludf.DUMMYFUNCTION("""COMPUTED_VALUE"""),2)</f>
        <v>2</v>
      </c>
    </row>
    <row r="1487" spans="1:5" ht="13">
      <c r="A1487" s="2" t="str">
        <f ca="1">IFERROR(__xludf.DUMMYFUNCTION("""COMPUTED_VALUE"""),"Christiansen, Larry")</f>
        <v>Christiansen, Larry</v>
      </c>
      <c r="B1487" s="3">
        <f ca="1">IFERROR(__xludf.DUMMYFUNCTION("""COMPUTED_VALUE"""),1)</f>
        <v>1</v>
      </c>
      <c r="C1487" s="7">
        <f ca="1">IFERROR(__xludf.DUMMYFUNCTION("""COMPUTED_VALUE"""),1)</f>
        <v>1</v>
      </c>
      <c r="D1487" s="8">
        <f ca="1">IFERROR(__xludf.DUMMYFUNCTION("""COMPUTED_VALUE"""),1)</f>
        <v>1</v>
      </c>
      <c r="E1487" s="2">
        <f ca="1">IFERROR(__xludf.DUMMYFUNCTION("""COMPUTED_VALUE"""),1)</f>
        <v>1</v>
      </c>
    </row>
    <row r="1488" spans="1:5" ht="13">
      <c r="A1488" s="8" t="str">
        <f ca="1">IFERROR(__xludf.DUMMYFUNCTION("""COMPUTED_VALUE"""),"Christiansen, Olaf")</f>
        <v>Christiansen, Olaf</v>
      </c>
      <c r="B1488" s="3">
        <f ca="1">IFERROR(__xludf.DUMMYFUNCTION("""COMPUTED_VALUE"""),1)</f>
        <v>1</v>
      </c>
      <c r="C1488" s="7">
        <f ca="1">IFERROR(__xludf.DUMMYFUNCTION("""COMPUTED_VALUE"""),1)</f>
        <v>1</v>
      </c>
      <c r="D1488" s="8">
        <f ca="1">IFERROR(__xludf.DUMMYFUNCTION("""COMPUTED_VALUE"""),5)</f>
        <v>5</v>
      </c>
      <c r="E1488" s="2">
        <f ca="1">IFERROR(__xludf.DUMMYFUNCTION("""COMPUTED_VALUE"""),2)</f>
        <v>2</v>
      </c>
    </row>
    <row r="1489" spans="1:5" ht="13">
      <c r="A1489" s="8" t="str">
        <f ca="1">IFERROR(__xludf.DUMMYFUNCTION("""COMPUTED_VALUE"""),"Christiansen, Paul")</f>
        <v>Christiansen, Paul</v>
      </c>
      <c r="B1489" s="3">
        <f ca="1">IFERROR(__xludf.DUMMYFUNCTION("""COMPUTED_VALUE"""),1)</f>
        <v>1</v>
      </c>
      <c r="C1489" s="7">
        <f ca="1">IFERROR(__xludf.DUMMYFUNCTION("""COMPUTED_VALUE"""),1)</f>
        <v>1</v>
      </c>
      <c r="D1489" s="8">
        <f ca="1">IFERROR(__xludf.DUMMYFUNCTION("""COMPUTED_VALUE"""),5)</f>
        <v>5</v>
      </c>
      <c r="E1489" s="2">
        <f ca="1">IFERROR(__xludf.DUMMYFUNCTION("""COMPUTED_VALUE"""),2)</f>
        <v>2</v>
      </c>
    </row>
    <row r="1490" spans="1:5" ht="13">
      <c r="A1490" s="8" t="str">
        <f ca="1">IFERROR(__xludf.DUMMYFUNCTION("""COMPUTED_VALUE"""),"Christiansen, Sigurd")</f>
        <v>Christiansen, Sigurd</v>
      </c>
      <c r="B1490" s="3">
        <f ca="1">IFERROR(__xludf.DUMMYFUNCTION("""COMPUTED_VALUE"""),1)</f>
        <v>1</v>
      </c>
      <c r="C1490" s="7">
        <f ca="1">IFERROR(__xludf.DUMMYFUNCTION("""COMPUTED_VALUE"""),1)</f>
        <v>1</v>
      </c>
      <c r="D1490" s="8">
        <f ca="1">IFERROR(__xludf.DUMMYFUNCTION("""COMPUTED_VALUE"""),5)</f>
        <v>5</v>
      </c>
      <c r="E1490" s="2">
        <f ca="1">IFERROR(__xludf.DUMMYFUNCTION("""COMPUTED_VALUE"""),2)</f>
        <v>2</v>
      </c>
    </row>
    <row r="1491" spans="1:5" ht="13">
      <c r="A1491" s="2" t="str">
        <f ca="1">IFERROR(__xludf.DUMMYFUNCTION("""COMPUTED_VALUE"""),"Christmann, Arthur H.")</f>
        <v>Christmann, Arthur H.</v>
      </c>
      <c r="B1491" s="2">
        <f ca="1">IFERROR(__xludf.DUMMYFUNCTION("""COMPUTED_VALUE"""),1)</f>
        <v>1</v>
      </c>
      <c r="C1491" s="2">
        <f ca="1">IFERROR(__xludf.DUMMYFUNCTION("""COMPUTED_VALUE"""),1)</f>
        <v>1</v>
      </c>
      <c r="D1491" s="8">
        <f ca="1">IFERROR(__xludf.DUMMYFUNCTION("""COMPUTED_VALUE"""),5)</f>
        <v>5</v>
      </c>
      <c r="E1491" s="2">
        <f ca="1">IFERROR(__xludf.DUMMYFUNCTION("""COMPUTED_VALUE"""),2)</f>
        <v>2</v>
      </c>
    </row>
    <row r="1492" spans="1:5" ht="13">
      <c r="A1492" s="2" t="str">
        <f ca="1">IFERROR(__xludf.DUMMYFUNCTION("""COMPUTED_VALUE"""),"Christopher, Keith")</f>
        <v>Christopher, Keith</v>
      </c>
      <c r="B1492" s="3">
        <f ca="1">IFERROR(__xludf.DUMMYFUNCTION("""COMPUTED_VALUE"""),1)</f>
        <v>1</v>
      </c>
      <c r="C1492" s="7">
        <f ca="1">IFERROR(__xludf.DUMMYFUNCTION("""COMPUTED_VALUE"""),1)</f>
        <v>1</v>
      </c>
      <c r="D1492" s="8">
        <f ca="1">IFERROR(__xludf.DUMMYFUNCTION("""COMPUTED_VALUE"""),1)</f>
        <v>1</v>
      </c>
      <c r="E1492" s="2">
        <f ca="1">IFERROR(__xludf.DUMMYFUNCTION("""COMPUTED_VALUE"""),1)</f>
        <v>1</v>
      </c>
    </row>
    <row r="1493" spans="1:5" ht="13">
      <c r="A1493" s="2" t="str">
        <f ca="1">IFERROR(__xludf.DUMMYFUNCTION("""COMPUTED_VALUE"""),"Christy, Edwin Pearce")</f>
        <v>Christy, Edwin Pearce</v>
      </c>
      <c r="B1493" s="3">
        <f ca="1">IFERROR(__xludf.DUMMYFUNCTION("""COMPUTED_VALUE"""),1)</f>
        <v>1</v>
      </c>
      <c r="C1493" s="7">
        <f ca="1">IFERROR(__xludf.DUMMYFUNCTION("""COMPUTED_VALUE"""),1)</f>
        <v>1</v>
      </c>
      <c r="D1493" s="8">
        <f ca="1">IFERROR(__xludf.DUMMYFUNCTION("""COMPUTED_VALUE"""),5)</f>
        <v>5</v>
      </c>
      <c r="E1493" s="2">
        <f ca="1">IFERROR(__xludf.DUMMYFUNCTION("""COMPUTED_VALUE"""),2)</f>
        <v>2</v>
      </c>
    </row>
    <row r="1494" spans="1:5" ht="13">
      <c r="A1494" s="2" t="str">
        <f ca="1">IFERROR(__xludf.DUMMYFUNCTION("""COMPUTED_VALUE"""),"Chueca, Federico")</f>
        <v>Chueca, Federico</v>
      </c>
      <c r="B1494" s="3">
        <f ca="1">IFERROR(__xludf.DUMMYFUNCTION("""COMPUTED_VALUE"""),1)</f>
        <v>1</v>
      </c>
      <c r="C1494" s="7">
        <f ca="1">IFERROR(__xludf.DUMMYFUNCTION("""COMPUTED_VALUE"""),1)</f>
        <v>1</v>
      </c>
      <c r="D1494" s="8">
        <f ca="1">IFERROR(__xludf.DUMMYFUNCTION("""COMPUTED_VALUE"""),5)</f>
        <v>5</v>
      </c>
      <c r="E1494" s="2">
        <f ca="1">IFERROR(__xludf.DUMMYFUNCTION("""COMPUTED_VALUE"""),2)</f>
        <v>2</v>
      </c>
    </row>
    <row r="1495" spans="1:5" ht="13">
      <c r="A1495" s="2" t="str">
        <f ca="1">IFERROR(__xludf.DUMMYFUNCTION("""COMPUTED_VALUE"""),"Churchill, Frank")</f>
        <v>Churchill, Frank</v>
      </c>
      <c r="B1495" s="3">
        <f ca="1">IFERROR(__xludf.DUMMYFUNCTION("""COMPUTED_VALUE"""),1)</f>
        <v>1</v>
      </c>
      <c r="C1495" s="7">
        <f ca="1">IFERROR(__xludf.DUMMYFUNCTION("""COMPUTED_VALUE"""),1)</f>
        <v>1</v>
      </c>
      <c r="D1495" s="8">
        <f ca="1">IFERROR(__xludf.DUMMYFUNCTION("""COMPUTED_VALUE"""),5)</f>
        <v>5</v>
      </c>
      <c r="E1495" s="2">
        <f ca="1">IFERROR(__xludf.DUMMYFUNCTION("""COMPUTED_VALUE"""),2)</f>
        <v>2</v>
      </c>
    </row>
    <row r="1496" spans="1:5" ht="13">
      <c r="A1496" s="2" t="str">
        <f ca="1">IFERROR(__xludf.DUMMYFUNCTION("""COMPUTED_VALUE"""),"Churchill, Stuart")</f>
        <v>Churchill, Stuart</v>
      </c>
      <c r="B1496" s="3">
        <f ca="1">IFERROR(__xludf.DUMMYFUNCTION("""COMPUTED_VALUE"""),1)</f>
        <v>1</v>
      </c>
      <c r="C1496" s="7">
        <f ca="1">IFERROR(__xludf.DUMMYFUNCTION("""COMPUTED_VALUE"""),1)</f>
        <v>1</v>
      </c>
      <c r="D1496" s="8">
        <f ca="1">IFERROR(__xludf.DUMMYFUNCTION("""COMPUTED_VALUE"""),5)</f>
        <v>5</v>
      </c>
      <c r="E1496" s="2">
        <f ca="1">IFERROR(__xludf.DUMMYFUNCTION("""COMPUTED_VALUE"""),2)</f>
        <v>2</v>
      </c>
    </row>
    <row r="1497" spans="1:5" ht="13">
      <c r="A1497" s="2" t="str">
        <f ca="1">IFERROR(__xludf.DUMMYFUNCTION("""COMPUTED_VALUE"""),"Chydenius, Jussi")</f>
        <v>Chydenius, Jussi</v>
      </c>
      <c r="B1497" s="2">
        <f ca="1">IFERROR(__xludf.DUMMYFUNCTION("""COMPUTED_VALUE"""),1)</f>
        <v>1</v>
      </c>
      <c r="C1497" s="7">
        <f ca="1">IFERROR(__xludf.DUMMYFUNCTION("""COMPUTED_VALUE"""),1)</f>
        <v>1</v>
      </c>
      <c r="D1497" s="8">
        <f ca="1">IFERROR(__xludf.DUMMYFUNCTION("""COMPUTED_VALUE"""),1)</f>
        <v>1</v>
      </c>
      <c r="E1497" s="2">
        <f ca="1">IFERROR(__xludf.DUMMYFUNCTION("""COMPUTED_VALUE"""),1)</f>
        <v>1</v>
      </c>
    </row>
    <row r="1498" spans="1:5" ht="13">
      <c r="A1498" s="8" t="str">
        <f ca="1">IFERROR(__xludf.DUMMYFUNCTION("""COMPUTED_VALUE"""),"Cicconi, Christopher")</f>
        <v>Cicconi, Christopher</v>
      </c>
      <c r="B1498" s="3">
        <f ca="1">IFERROR(__xludf.DUMMYFUNCTION("""COMPUTED_VALUE"""),1)</f>
        <v>1</v>
      </c>
      <c r="C1498" s="7">
        <f ca="1">IFERROR(__xludf.DUMMYFUNCTION("""COMPUTED_VALUE"""),1)</f>
        <v>1</v>
      </c>
      <c r="D1498" s="8">
        <f ca="1">IFERROR(__xludf.DUMMYFUNCTION("""COMPUTED_VALUE"""),1)</f>
        <v>1</v>
      </c>
      <c r="E1498" s="2">
        <f ca="1">IFERROR(__xludf.DUMMYFUNCTION("""COMPUTED_VALUE"""),1)</f>
        <v>1</v>
      </c>
    </row>
    <row r="1499" spans="1:5" ht="13">
      <c r="A1499" s="8" t="str">
        <f ca="1">IFERROR(__xludf.DUMMYFUNCTION("""COMPUTED_VALUE"""),"Cichy, Roger")</f>
        <v>Cichy, Roger</v>
      </c>
      <c r="B1499" s="3">
        <f ca="1">IFERROR(__xludf.DUMMYFUNCTION("""COMPUTED_VALUE"""),1)</f>
        <v>1</v>
      </c>
      <c r="C1499" s="7">
        <f ca="1">IFERROR(__xludf.DUMMYFUNCTION("""COMPUTED_VALUE"""),1)</f>
        <v>1</v>
      </c>
      <c r="D1499" s="8">
        <f ca="1">IFERROR(__xludf.DUMMYFUNCTION("""COMPUTED_VALUE"""),1)</f>
        <v>1</v>
      </c>
      <c r="E1499" s="2">
        <f ca="1">IFERROR(__xludf.DUMMYFUNCTION("""COMPUTED_VALUE"""),1)</f>
        <v>1</v>
      </c>
    </row>
    <row r="1500" spans="1:5" ht="13">
      <c r="A1500" s="8" t="str">
        <f ca="1">IFERROR(__xludf.DUMMYFUNCTION("""COMPUTED_VALUE"""),"Ciechomski, Brad")</f>
        <v>Ciechomski, Brad</v>
      </c>
      <c r="B1500" s="3">
        <f ca="1">IFERROR(__xludf.DUMMYFUNCTION("""COMPUTED_VALUE"""),1)</f>
        <v>1</v>
      </c>
      <c r="C1500" s="7">
        <f ca="1">IFERROR(__xludf.DUMMYFUNCTION("""COMPUTED_VALUE"""),1)</f>
        <v>1</v>
      </c>
      <c r="D1500" s="8">
        <f ca="1">IFERROR(__xludf.DUMMYFUNCTION("""COMPUTED_VALUE"""),1)</f>
        <v>1</v>
      </c>
      <c r="E1500" s="2">
        <f ca="1">IFERROR(__xludf.DUMMYFUNCTION("""COMPUTED_VALUE"""),1)</f>
        <v>1</v>
      </c>
    </row>
    <row r="1501" spans="1:5" ht="13">
      <c r="A1501" s="2" t="str">
        <f ca="1">IFERROR(__xludf.DUMMYFUNCTION("""COMPUTED_VALUE"""),"Cienniwa, Paul")</f>
        <v>Cienniwa, Paul</v>
      </c>
      <c r="B1501" s="2">
        <f ca="1">IFERROR(__xludf.DUMMYFUNCTION("""COMPUTED_VALUE"""),1)</f>
        <v>1</v>
      </c>
      <c r="C1501" s="2">
        <f ca="1">IFERROR(__xludf.DUMMYFUNCTION("""COMPUTED_VALUE"""),1)</f>
        <v>1</v>
      </c>
      <c r="D1501" s="8">
        <f ca="1">IFERROR(__xludf.DUMMYFUNCTION("""COMPUTED_VALUE"""),1)</f>
        <v>1</v>
      </c>
      <c r="E1501" s="2">
        <f ca="1">IFERROR(__xludf.DUMMYFUNCTION("""COMPUTED_VALUE"""),1)</f>
        <v>1</v>
      </c>
    </row>
    <row r="1502" spans="1:5" ht="13">
      <c r="A1502" s="8" t="str">
        <f ca="1">IFERROR(__xludf.DUMMYFUNCTION("""COMPUTED_VALUE"""),"Cifelli, Jim")</f>
        <v>Cifelli, Jim</v>
      </c>
      <c r="B1502" s="3">
        <f ca="1">IFERROR(__xludf.DUMMYFUNCTION("""COMPUTED_VALUE"""),1)</f>
        <v>1</v>
      </c>
      <c r="C1502" s="7">
        <f ca="1">IFERROR(__xludf.DUMMYFUNCTION("""COMPUTED_VALUE"""),1)</f>
        <v>1</v>
      </c>
      <c r="D1502" s="8">
        <f ca="1">IFERROR(__xludf.DUMMYFUNCTION("""COMPUTED_VALUE"""),1)</f>
        <v>1</v>
      </c>
      <c r="E1502" s="2">
        <f ca="1">IFERROR(__xludf.DUMMYFUNCTION("""COMPUTED_VALUE"""),1)</f>
        <v>1</v>
      </c>
    </row>
    <row r="1503" spans="1:5" ht="13">
      <c r="A1503" s="8" t="str">
        <f ca="1">IFERROR(__xludf.DUMMYFUNCTION("""COMPUTED_VALUE"""),"Cilea, Francesco")</f>
        <v>Cilea, Francesco</v>
      </c>
      <c r="B1503" s="3">
        <f ca="1">IFERROR(__xludf.DUMMYFUNCTION("""COMPUTED_VALUE"""),1)</f>
        <v>1</v>
      </c>
      <c r="C1503" s="7">
        <f ca="1">IFERROR(__xludf.DUMMYFUNCTION("""COMPUTED_VALUE"""),1)</f>
        <v>1</v>
      </c>
      <c r="D1503" s="8">
        <f ca="1">IFERROR(__xludf.DUMMYFUNCTION("""COMPUTED_VALUE"""),5)</f>
        <v>5</v>
      </c>
      <c r="E1503" s="2">
        <f ca="1">IFERROR(__xludf.DUMMYFUNCTION("""COMPUTED_VALUE"""),2)</f>
        <v>2</v>
      </c>
    </row>
    <row r="1504" spans="1:5" ht="13">
      <c r="A1504" s="8" t="str">
        <f ca="1">IFERROR(__xludf.DUMMYFUNCTION("""COMPUTED_VALUE"""),"Cimarosa, Domenico")</f>
        <v>Cimarosa, Domenico</v>
      </c>
      <c r="B1504" s="3">
        <f ca="1">IFERROR(__xludf.DUMMYFUNCTION("""COMPUTED_VALUE"""),1)</f>
        <v>1</v>
      </c>
      <c r="C1504" s="7">
        <f ca="1">IFERROR(__xludf.DUMMYFUNCTION("""COMPUTED_VALUE"""),1)</f>
        <v>1</v>
      </c>
      <c r="D1504" s="8">
        <f ca="1">IFERROR(__xludf.DUMMYFUNCTION("""COMPUTED_VALUE"""),5)</f>
        <v>5</v>
      </c>
      <c r="E1504" s="2">
        <f ca="1">IFERROR(__xludf.DUMMYFUNCTION("""COMPUTED_VALUE"""),2)</f>
        <v>2</v>
      </c>
    </row>
    <row r="1505" spans="1:5" ht="13">
      <c r="A1505" s="8" t="str">
        <f ca="1">IFERROR(__xludf.DUMMYFUNCTION("""COMPUTED_VALUE"""),"Cioffi, Giuseppe")</f>
        <v>Cioffi, Giuseppe</v>
      </c>
      <c r="B1505" s="3">
        <f ca="1">IFERROR(__xludf.DUMMYFUNCTION("""COMPUTED_VALUE"""),1)</f>
        <v>1</v>
      </c>
      <c r="C1505" s="7">
        <f ca="1">IFERROR(__xludf.DUMMYFUNCTION("""COMPUTED_VALUE"""),1)</f>
        <v>1</v>
      </c>
      <c r="D1505" s="8">
        <f ca="1">IFERROR(__xludf.DUMMYFUNCTION("""COMPUTED_VALUE"""),5)</f>
        <v>5</v>
      </c>
      <c r="E1505" s="2">
        <f ca="1">IFERROR(__xludf.DUMMYFUNCTION("""COMPUTED_VALUE"""),2)</f>
        <v>2</v>
      </c>
    </row>
    <row r="1506" spans="1:5" ht="13">
      <c r="A1506" s="2" t="str">
        <f ca="1">IFERROR(__xludf.DUMMYFUNCTION("""COMPUTED_VALUE"""),"Cionco, Richard")</f>
        <v>Cionco, Richard</v>
      </c>
      <c r="B1506" s="3">
        <f ca="1">IFERROR(__xludf.DUMMYFUNCTION("""COMPUTED_VALUE"""),1)</f>
        <v>1</v>
      </c>
      <c r="C1506" s="7">
        <f ca="1">IFERROR(__xludf.DUMMYFUNCTION("""COMPUTED_VALUE"""),1)</f>
        <v>1</v>
      </c>
      <c r="D1506" s="8">
        <f ca="1">IFERROR(__xludf.DUMMYFUNCTION("""COMPUTED_VALUE"""),1)</f>
        <v>1</v>
      </c>
      <c r="E1506" s="2">
        <f ca="1">IFERROR(__xludf.DUMMYFUNCTION("""COMPUTED_VALUE"""),1)</f>
        <v>1</v>
      </c>
    </row>
    <row r="1507" spans="1:5" ht="13">
      <c r="A1507" s="2" t="str">
        <f ca="1">IFERROR(__xludf.DUMMYFUNCTION("""COMPUTED_VALUE"""),"Cipolla, Frank")</f>
        <v>Cipolla, Frank</v>
      </c>
      <c r="B1507" s="3">
        <f ca="1">IFERROR(__xludf.DUMMYFUNCTION("""COMPUTED_VALUE"""),1)</f>
        <v>1</v>
      </c>
      <c r="C1507" s="7">
        <f ca="1">IFERROR(__xludf.DUMMYFUNCTION("""COMPUTED_VALUE"""),1)</f>
        <v>1</v>
      </c>
      <c r="D1507" s="8">
        <f ca="1">IFERROR(__xludf.DUMMYFUNCTION("""COMPUTED_VALUE"""),5)</f>
        <v>5</v>
      </c>
      <c r="E1507" s="2">
        <f ca="1">IFERROR(__xludf.DUMMYFUNCTION("""COMPUTED_VALUE"""),2)</f>
        <v>2</v>
      </c>
    </row>
    <row r="1508" spans="1:5" ht="13">
      <c r="A1508" s="8" t="str">
        <f ca="1">IFERROR(__xludf.DUMMYFUNCTION("""COMPUTED_VALUE"""),"Cipullo, Reilly")</f>
        <v>Cipullo, Reilly</v>
      </c>
      <c r="B1508" s="3">
        <f ca="1">IFERROR(__xludf.DUMMYFUNCTION("""COMPUTED_VALUE"""),1)</f>
        <v>1</v>
      </c>
      <c r="C1508" s="7">
        <f ca="1">IFERROR(__xludf.DUMMYFUNCTION("""COMPUTED_VALUE"""),1)</f>
        <v>1</v>
      </c>
      <c r="D1508" s="8">
        <f ca="1">IFERROR(__xludf.DUMMYFUNCTION("""COMPUTED_VALUE"""),1)</f>
        <v>1</v>
      </c>
      <c r="E1508" s="2">
        <f ca="1">IFERROR(__xludf.DUMMYFUNCTION("""COMPUTED_VALUE"""),1)</f>
        <v>1</v>
      </c>
    </row>
    <row r="1509" spans="1:5" ht="13">
      <c r="A1509" s="8" t="str">
        <f ca="1">IFERROR(__xludf.DUMMYFUNCTION("""COMPUTED_VALUE"""),"Cipullo, Tom")</f>
        <v>Cipullo, Tom</v>
      </c>
      <c r="B1509" s="3">
        <f ca="1">IFERROR(__xludf.DUMMYFUNCTION("""COMPUTED_VALUE"""),1)</f>
        <v>1</v>
      </c>
      <c r="C1509" s="7">
        <f ca="1">IFERROR(__xludf.DUMMYFUNCTION("""COMPUTED_VALUE"""),1)</f>
        <v>1</v>
      </c>
      <c r="D1509" s="8">
        <f ca="1">IFERROR(__xludf.DUMMYFUNCTION("""COMPUTED_VALUE"""),1)</f>
        <v>1</v>
      </c>
      <c r="E1509" s="2">
        <f ca="1">IFERROR(__xludf.DUMMYFUNCTION("""COMPUTED_VALUE"""),1)</f>
        <v>1</v>
      </c>
    </row>
    <row r="1510" spans="1:5" ht="13">
      <c r="A1510" s="2" t="str">
        <f ca="1">IFERROR(__xludf.DUMMYFUNCTION("""COMPUTED_VALUE"""),"Cirimele, Jason")</f>
        <v>Cirimele, Jason</v>
      </c>
      <c r="B1510" s="3">
        <f ca="1">IFERROR(__xludf.DUMMYFUNCTION("""COMPUTED_VALUE"""),1)</f>
        <v>1</v>
      </c>
      <c r="C1510" s="7">
        <f ca="1">IFERROR(__xludf.DUMMYFUNCTION("""COMPUTED_VALUE"""),1)</f>
        <v>1</v>
      </c>
      <c r="D1510" s="8">
        <f ca="1">IFERROR(__xludf.DUMMYFUNCTION("""COMPUTED_VALUE"""),1)</f>
        <v>1</v>
      </c>
      <c r="E1510" s="2">
        <f ca="1">IFERROR(__xludf.DUMMYFUNCTION("""COMPUTED_VALUE"""),1)</f>
        <v>1</v>
      </c>
    </row>
    <row r="1511" spans="1:5" ht="13">
      <c r="A1511" s="8" t="str">
        <f ca="1">IFERROR(__xludf.DUMMYFUNCTION("""COMPUTED_VALUE"""),"Cirone, Anthony J.")</f>
        <v>Cirone, Anthony J.</v>
      </c>
      <c r="B1511" s="3">
        <f ca="1">IFERROR(__xludf.DUMMYFUNCTION("""COMPUTED_VALUE"""),1)</f>
        <v>1</v>
      </c>
      <c r="C1511" s="7">
        <f ca="1">IFERROR(__xludf.DUMMYFUNCTION("""COMPUTED_VALUE"""),1)</f>
        <v>1</v>
      </c>
      <c r="D1511" s="8">
        <f ca="1">IFERROR(__xludf.DUMMYFUNCTION("""COMPUTED_VALUE"""),5)</f>
        <v>5</v>
      </c>
      <c r="E1511" s="2">
        <f ca="1">IFERROR(__xludf.DUMMYFUNCTION("""COMPUTED_VALUE"""),2)</f>
        <v>2</v>
      </c>
    </row>
    <row r="1512" spans="1:5" ht="13">
      <c r="A1512" s="2" t="str">
        <f ca="1">IFERROR(__xludf.DUMMYFUNCTION("""COMPUTED_VALUE"""),"Cirri, Giovanni Battista")</f>
        <v>Cirri, Giovanni Battista</v>
      </c>
      <c r="B1512" s="3">
        <f ca="1">IFERROR(__xludf.DUMMYFUNCTION("""COMPUTED_VALUE"""),1)</f>
        <v>1</v>
      </c>
      <c r="C1512" s="7">
        <f ca="1">IFERROR(__xludf.DUMMYFUNCTION("""COMPUTED_VALUE"""),1)</f>
        <v>1</v>
      </c>
      <c r="D1512" s="8">
        <f ca="1">IFERROR(__xludf.DUMMYFUNCTION("""COMPUTED_VALUE"""),5)</f>
        <v>5</v>
      </c>
      <c r="E1512" s="2">
        <f ca="1">IFERROR(__xludf.DUMMYFUNCTION("""COMPUTED_VALUE"""),2)</f>
        <v>2</v>
      </c>
    </row>
    <row r="1513" spans="1:5" ht="13">
      <c r="A1513" s="2" t="str">
        <f ca="1">IFERROR(__xludf.DUMMYFUNCTION("""COMPUTED_VALUE"""),"Clapp, Sunny")</f>
        <v>Clapp, Sunny</v>
      </c>
      <c r="B1513" s="3">
        <f ca="1">IFERROR(__xludf.DUMMYFUNCTION("""COMPUTED_VALUE"""),1)</f>
        <v>1</v>
      </c>
      <c r="C1513" s="7">
        <f ca="1">IFERROR(__xludf.DUMMYFUNCTION("""COMPUTED_VALUE"""),1)</f>
        <v>1</v>
      </c>
      <c r="D1513" s="8">
        <f ca="1">IFERROR(__xludf.DUMMYFUNCTION("""COMPUTED_VALUE"""),5)</f>
        <v>5</v>
      </c>
      <c r="E1513" s="2">
        <f ca="1">IFERROR(__xludf.DUMMYFUNCTION("""COMPUTED_VALUE"""),2)</f>
        <v>2</v>
      </c>
    </row>
    <row r="1514" spans="1:5" ht="13">
      <c r="A1514" s="2" t="str">
        <f ca="1">IFERROR(__xludf.DUMMYFUNCTION("""COMPUTED_VALUE"""),"Clari, Giovanni Carlo Maria")</f>
        <v>Clari, Giovanni Carlo Maria</v>
      </c>
      <c r="B1514" s="3">
        <f ca="1">IFERROR(__xludf.DUMMYFUNCTION("""COMPUTED_VALUE"""),1)</f>
        <v>1</v>
      </c>
      <c r="C1514" s="7">
        <f ca="1">IFERROR(__xludf.DUMMYFUNCTION("""COMPUTED_VALUE"""),1)</f>
        <v>1</v>
      </c>
      <c r="D1514" s="8">
        <f ca="1">IFERROR(__xludf.DUMMYFUNCTION("""COMPUTED_VALUE"""),5)</f>
        <v>5</v>
      </c>
      <c r="E1514" s="2">
        <f ca="1">IFERROR(__xludf.DUMMYFUNCTION("""COMPUTED_VALUE"""),2)</f>
        <v>2</v>
      </c>
    </row>
    <row r="1515" spans="1:5" ht="13">
      <c r="A1515" s="2" t="str">
        <f ca="1">IFERROR(__xludf.DUMMYFUNCTION("""COMPUTED_VALUE"""),"Clark / Feldstein")</f>
        <v>Clark / Feldstein</v>
      </c>
      <c r="B1515" s="2">
        <f ca="1">IFERROR(__xludf.DUMMYFUNCTION("""COMPUTED_VALUE"""),1)</f>
        <v>1</v>
      </c>
      <c r="C1515" s="7">
        <f ca="1">IFERROR(__xludf.DUMMYFUNCTION("""COMPUTED_VALUE"""),1)</f>
        <v>1</v>
      </c>
      <c r="D1515" s="8">
        <f ca="1">IFERROR(__xludf.DUMMYFUNCTION("""COMPUTED_VALUE"""),5)</f>
        <v>5</v>
      </c>
      <c r="E1515" s="2">
        <f ca="1">IFERROR(__xludf.DUMMYFUNCTION("""COMPUTED_VALUE"""),2)</f>
        <v>2</v>
      </c>
    </row>
    <row r="1516" spans="1:5" ht="13">
      <c r="A1516" s="2" t="str">
        <f ca="1">IFERROR(__xludf.DUMMYFUNCTION("""COMPUTED_VALUE"""),"Clark, Andy")</f>
        <v>Clark, Andy</v>
      </c>
      <c r="B1516" s="2">
        <f ca="1">IFERROR(__xludf.DUMMYFUNCTION("""COMPUTED_VALUE"""),1)</f>
        <v>1</v>
      </c>
      <c r="C1516" s="7">
        <f ca="1">IFERROR(__xludf.DUMMYFUNCTION("""COMPUTED_VALUE"""),1)</f>
        <v>1</v>
      </c>
      <c r="D1516" s="8">
        <f ca="1">IFERROR(__xludf.DUMMYFUNCTION("""COMPUTED_VALUE"""),1)</f>
        <v>1</v>
      </c>
      <c r="E1516" s="2">
        <f ca="1">IFERROR(__xludf.DUMMYFUNCTION("""COMPUTED_VALUE"""),1)</f>
        <v>1</v>
      </c>
    </row>
    <row r="1517" spans="1:5" ht="13">
      <c r="A1517" s="2" t="str">
        <f ca="1">IFERROR(__xludf.DUMMYFUNCTION("""COMPUTED_VALUE"""),"Clark, Chris")</f>
        <v>Clark, Chris</v>
      </c>
      <c r="B1517" s="3">
        <f ca="1">IFERROR(__xludf.DUMMYFUNCTION("""COMPUTED_VALUE"""),1)</f>
        <v>1</v>
      </c>
      <c r="C1517" s="7">
        <f ca="1">IFERROR(__xludf.DUMMYFUNCTION("""COMPUTED_VALUE"""),1)</f>
        <v>1</v>
      </c>
      <c r="D1517" s="8">
        <f ca="1">IFERROR(__xludf.DUMMYFUNCTION("""COMPUTED_VALUE"""),1)</f>
        <v>1</v>
      </c>
      <c r="E1517" s="2">
        <f ca="1">IFERROR(__xludf.DUMMYFUNCTION("""COMPUTED_VALUE"""),1)</f>
        <v>1</v>
      </c>
    </row>
    <row r="1518" spans="1:5" ht="13">
      <c r="A1518" s="2" t="str">
        <f ca="1">IFERROR(__xludf.DUMMYFUNCTION("""COMPUTED_VALUE"""),"Clark, Keith")</f>
        <v>Clark, Keith</v>
      </c>
      <c r="B1518" s="3">
        <f ca="1">IFERROR(__xludf.DUMMYFUNCTION("""COMPUTED_VALUE"""),1)</f>
        <v>1</v>
      </c>
      <c r="C1518" s="7">
        <f ca="1">IFERROR(__xludf.DUMMYFUNCTION("""COMPUTED_VALUE"""),1)</f>
        <v>1</v>
      </c>
      <c r="D1518" s="8">
        <f ca="1">IFERROR(__xludf.DUMMYFUNCTION("""COMPUTED_VALUE"""),1)</f>
        <v>1</v>
      </c>
      <c r="E1518" s="2">
        <f ca="1">IFERROR(__xludf.DUMMYFUNCTION("""COMPUTED_VALUE"""),1)</f>
        <v>1</v>
      </c>
    </row>
    <row r="1519" spans="1:5" ht="13">
      <c r="A1519" s="8" t="str">
        <f ca="1">IFERROR(__xludf.DUMMYFUNCTION("""COMPUTED_VALUE"""),"Clark, Larry")</f>
        <v>Clark, Larry</v>
      </c>
      <c r="B1519" s="3">
        <f ca="1">IFERROR(__xludf.DUMMYFUNCTION("""COMPUTED_VALUE"""),1)</f>
        <v>1</v>
      </c>
      <c r="C1519" s="7">
        <f ca="1">IFERROR(__xludf.DUMMYFUNCTION("""COMPUTED_VALUE"""),1)</f>
        <v>1</v>
      </c>
      <c r="D1519" s="8">
        <f ca="1">IFERROR(__xludf.DUMMYFUNCTION("""COMPUTED_VALUE"""),1)</f>
        <v>1</v>
      </c>
      <c r="E1519" s="2">
        <f ca="1">IFERROR(__xludf.DUMMYFUNCTION("""COMPUTED_VALUE"""),1)</f>
        <v>1</v>
      </c>
    </row>
    <row r="1520" spans="1:5" ht="13">
      <c r="A1520" s="8" t="str">
        <f ca="1">IFERROR(__xludf.DUMMYFUNCTION("""COMPUTED_VALUE"""),"Clark, Larry (as Keiko Yamada)")</f>
        <v>Clark, Larry (as Keiko Yamada)</v>
      </c>
      <c r="B1520" s="3">
        <f ca="1">IFERROR(__xludf.DUMMYFUNCTION("""COMPUTED_VALUE"""),1)</f>
        <v>1</v>
      </c>
      <c r="C1520" s="7">
        <f ca="1">IFERROR(__xludf.DUMMYFUNCTION("""COMPUTED_VALUE"""),1)</f>
        <v>1</v>
      </c>
      <c r="D1520" s="8">
        <f ca="1">IFERROR(__xludf.DUMMYFUNCTION("""COMPUTED_VALUE"""),1)</f>
        <v>1</v>
      </c>
      <c r="E1520" s="2">
        <f ca="1">IFERROR(__xludf.DUMMYFUNCTION("""COMPUTED_VALUE"""),1)</f>
        <v>1</v>
      </c>
    </row>
    <row r="1521" spans="1:5" ht="13">
      <c r="A1521" s="2" t="str">
        <f ca="1">IFERROR(__xludf.DUMMYFUNCTION("""COMPUTED_VALUE"""),"Clark, Larry / Schmidt, Daniel")</f>
        <v>Clark, Larry / Schmidt, Daniel</v>
      </c>
      <c r="B1521" s="3">
        <f ca="1">IFERROR(__xludf.DUMMYFUNCTION("""COMPUTED_VALUE"""),1)</f>
        <v>1</v>
      </c>
      <c r="C1521" s="7">
        <f ca="1">IFERROR(__xludf.DUMMYFUNCTION("""COMPUTED_VALUE"""),1)</f>
        <v>1</v>
      </c>
      <c r="D1521" s="8">
        <f ca="1">IFERROR(__xludf.DUMMYFUNCTION("""COMPUTED_VALUE"""),1)</f>
        <v>1</v>
      </c>
      <c r="E1521" s="2">
        <f ca="1">IFERROR(__xludf.DUMMYFUNCTION("""COMPUTED_VALUE"""),1)</f>
        <v>1</v>
      </c>
    </row>
    <row r="1522" spans="1:5" ht="13">
      <c r="A1522" s="2" t="str">
        <f ca="1">IFERROR(__xludf.DUMMYFUNCTION("""COMPUTED_VALUE"""),"Clark, N. Alan")</f>
        <v>Clark, N. Alan</v>
      </c>
      <c r="B1522" s="3">
        <f ca="1">IFERROR(__xludf.DUMMYFUNCTION("""COMPUTED_VALUE"""),1)</f>
        <v>1</v>
      </c>
      <c r="C1522" s="7">
        <f ca="1">IFERROR(__xludf.DUMMYFUNCTION("""COMPUTED_VALUE"""),1)</f>
        <v>1</v>
      </c>
      <c r="D1522" s="8">
        <f ca="1">IFERROR(__xludf.DUMMYFUNCTION("""COMPUTED_VALUE"""),1)</f>
        <v>1</v>
      </c>
      <c r="E1522" s="2">
        <f ca="1">IFERROR(__xludf.DUMMYFUNCTION("""COMPUTED_VALUE"""),1)</f>
        <v>1</v>
      </c>
    </row>
    <row r="1523" spans="1:5" ht="13">
      <c r="A1523" s="2" t="str">
        <f ca="1">IFERROR(__xludf.DUMMYFUNCTION("""COMPUTED_VALUE"""),"Clark, Paul")</f>
        <v>Clark, Paul</v>
      </c>
      <c r="B1523" s="2">
        <f ca="1">IFERROR(__xludf.DUMMYFUNCTION("""COMPUTED_VALUE"""),1)</f>
        <v>1</v>
      </c>
      <c r="C1523" s="7">
        <f ca="1">IFERROR(__xludf.DUMMYFUNCTION("""COMPUTED_VALUE"""),1)</f>
        <v>1</v>
      </c>
      <c r="D1523" s="8">
        <f ca="1">IFERROR(__xludf.DUMMYFUNCTION("""COMPUTED_VALUE"""),5)</f>
        <v>5</v>
      </c>
      <c r="E1523" s="2">
        <f ca="1">IFERROR(__xludf.DUMMYFUNCTION("""COMPUTED_VALUE"""),2)</f>
        <v>2</v>
      </c>
    </row>
    <row r="1524" spans="1:5" ht="13">
      <c r="A1524" s="2" t="str">
        <f ca="1">IFERROR(__xludf.DUMMYFUNCTION("""COMPUTED_VALUE"""),"Clark, Philip")</f>
        <v>Clark, Philip</v>
      </c>
      <c r="B1524" s="3">
        <f ca="1">IFERROR(__xludf.DUMMYFUNCTION("""COMPUTED_VALUE"""),1)</f>
        <v>1</v>
      </c>
      <c r="C1524" s="7">
        <f ca="1">IFERROR(__xludf.DUMMYFUNCTION("""COMPUTED_VALUE"""),1)</f>
        <v>1</v>
      </c>
      <c r="D1524" s="8">
        <f ca="1">IFERROR(__xludf.DUMMYFUNCTION("""COMPUTED_VALUE"""),1)</f>
        <v>1</v>
      </c>
      <c r="E1524" s="2">
        <f ca="1">IFERROR(__xludf.DUMMYFUNCTION("""COMPUTED_VALUE"""),1)</f>
        <v>1</v>
      </c>
    </row>
    <row r="1525" spans="1:5" ht="13">
      <c r="A1525" s="8" t="str">
        <f ca="1">IFERROR(__xludf.DUMMYFUNCTION("""COMPUTED_VALUE"""),"Clark, Reber")</f>
        <v>Clark, Reber</v>
      </c>
      <c r="B1525" s="3">
        <f ca="1">IFERROR(__xludf.DUMMYFUNCTION("""COMPUTED_VALUE"""),1)</f>
        <v>1</v>
      </c>
      <c r="C1525" s="7">
        <f ca="1">IFERROR(__xludf.DUMMYFUNCTION("""COMPUTED_VALUE"""),1)</f>
        <v>1</v>
      </c>
      <c r="D1525" s="8">
        <f ca="1">IFERROR(__xludf.DUMMYFUNCTION("""COMPUTED_VALUE"""),1)</f>
        <v>1</v>
      </c>
      <c r="E1525" s="2">
        <f ca="1">IFERROR(__xludf.DUMMYFUNCTION("""COMPUTED_VALUE"""),1)</f>
        <v>1</v>
      </c>
    </row>
    <row r="1526" spans="1:5" ht="13">
      <c r="A1526" s="2" t="str">
        <f ca="1">IFERROR(__xludf.DUMMYFUNCTION("""COMPUTED_VALUE"""),"Clark, Robert Keys")</f>
        <v>Clark, Robert Keys</v>
      </c>
      <c r="B1526" s="2">
        <f ca="1">IFERROR(__xludf.DUMMYFUNCTION("""COMPUTED_VALUE"""),1)</f>
        <v>1</v>
      </c>
      <c r="C1526" s="2">
        <f ca="1">IFERROR(__xludf.DUMMYFUNCTION("""COMPUTED_VALUE"""),1)</f>
        <v>1</v>
      </c>
      <c r="D1526" s="8">
        <f ca="1">IFERROR(__xludf.DUMMYFUNCTION("""COMPUTED_VALUE"""),5)</f>
        <v>5</v>
      </c>
      <c r="E1526" s="2">
        <f ca="1">IFERROR(__xludf.DUMMYFUNCTION("""COMPUTED_VALUE"""),2)</f>
        <v>2</v>
      </c>
    </row>
    <row r="1527" spans="1:5" ht="13">
      <c r="A1527" s="2" t="str">
        <f ca="1">IFERROR(__xludf.DUMMYFUNCTION("""COMPUTED_VALUE"""),"Clarke, Harry")</f>
        <v>Clarke, Harry</v>
      </c>
      <c r="B1527" s="3">
        <f ca="1">IFERROR(__xludf.DUMMYFUNCTION("""COMPUTED_VALUE"""),1)</f>
        <v>1</v>
      </c>
      <c r="C1527" s="7">
        <f ca="1">IFERROR(__xludf.DUMMYFUNCTION("""COMPUTED_VALUE"""),1)</f>
        <v>1</v>
      </c>
      <c r="D1527" s="8">
        <f ca="1">IFERROR(__xludf.DUMMYFUNCTION("""COMPUTED_VALUE"""),5)</f>
        <v>5</v>
      </c>
      <c r="E1527" s="2">
        <f ca="1">IFERROR(__xludf.DUMMYFUNCTION("""COMPUTED_VALUE"""),2)</f>
        <v>2</v>
      </c>
    </row>
    <row r="1528" spans="1:5" ht="13">
      <c r="A1528" s="8" t="str">
        <f ca="1">IFERROR(__xludf.DUMMYFUNCTION("""COMPUTED_VALUE"""),"Clarke, Herbert L.")</f>
        <v>Clarke, Herbert L.</v>
      </c>
      <c r="B1528" s="3">
        <f ca="1">IFERROR(__xludf.DUMMYFUNCTION("""COMPUTED_VALUE"""),1)</f>
        <v>1</v>
      </c>
      <c r="C1528" s="7">
        <f ca="1">IFERROR(__xludf.DUMMYFUNCTION("""COMPUTED_VALUE"""),1)</f>
        <v>1</v>
      </c>
      <c r="D1528" s="8">
        <f ca="1">IFERROR(__xludf.DUMMYFUNCTION("""COMPUTED_VALUE"""),5)</f>
        <v>5</v>
      </c>
      <c r="E1528" s="2">
        <f ca="1">IFERROR(__xludf.DUMMYFUNCTION("""COMPUTED_VALUE"""),2)</f>
        <v>2</v>
      </c>
    </row>
    <row r="1529" spans="1:5" ht="13">
      <c r="A1529" s="2" t="str">
        <f ca="1">IFERROR(__xludf.DUMMYFUNCTION("""COMPUTED_VALUE"""),"Clarke, Ian")</f>
        <v>Clarke, Ian</v>
      </c>
      <c r="B1529" s="3">
        <f ca="1">IFERROR(__xludf.DUMMYFUNCTION("""COMPUTED_VALUE"""),1)</f>
        <v>1</v>
      </c>
      <c r="C1529" s="7">
        <f ca="1">IFERROR(__xludf.DUMMYFUNCTION("""COMPUTED_VALUE"""),1)</f>
        <v>1</v>
      </c>
      <c r="D1529" s="8">
        <f ca="1">IFERROR(__xludf.DUMMYFUNCTION("""COMPUTED_VALUE"""),1)</f>
        <v>1</v>
      </c>
      <c r="E1529" s="2">
        <f ca="1">IFERROR(__xludf.DUMMYFUNCTION("""COMPUTED_VALUE"""),1)</f>
        <v>1</v>
      </c>
    </row>
    <row r="1530" spans="1:5" ht="13">
      <c r="A1530" s="8" t="str">
        <f ca="1">IFERROR(__xludf.DUMMYFUNCTION("""COMPUTED_VALUE"""),"Clarke, Jeremiah")</f>
        <v>Clarke, Jeremiah</v>
      </c>
      <c r="B1530" s="3">
        <f ca="1">IFERROR(__xludf.DUMMYFUNCTION("""COMPUTED_VALUE"""),1)</f>
        <v>1</v>
      </c>
      <c r="C1530" s="7">
        <f ca="1">IFERROR(__xludf.DUMMYFUNCTION("""COMPUTED_VALUE"""),1)</f>
        <v>1</v>
      </c>
      <c r="D1530" s="8">
        <f ca="1">IFERROR(__xludf.DUMMYFUNCTION("""COMPUTED_VALUE"""),5)</f>
        <v>5</v>
      </c>
      <c r="E1530" s="2">
        <f ca="1">IFERROR(__xludf.DUMMYFUNCTION("""COMPUTED_VALUE"""),2)</f>
        <v>2</v>
      </c>
    </row>
    <row r="1531" spans="1:5" ht="13">
      <c r="A1531" s="8" t="str">
        <f ca="1">IFERROR(__xludf.DUMMYFUNCTION("""COMPUTED_VALUE"""),"Clarke, Nigel")</f>
        <v>Clarke, Nigel</v>
      </c>
      <c r="B1531" s="3">
        <f ca="1">IFERROR(__xludf.DUMMYFUNCTION("""COMPUTED_VALUE"""),1)</f>
        <v>1</v>
      </c>
      <c r="C1531" s="7">
        <f ca="1">IFERROR(__xludf.DUMMYFUNCTION("""COMPUTED_VALUE"""),1)</f>
        <v>1</v>
      </c>
      <c r="D1531" s="8">
        <f ca="1">IFERROR(__xludf.DUMMYFUNCTION("""COMPUTED_VALUE"""),1)</f>
        <v>1</v>
      </c>
      <c r="E1531" s="2">
        <f ca="1">IFERROR(__xludf.DUMMYFUNCTION("""COMPUTED_VALUE"""),1)</f>
        <v>1</v>
      </c>
    </row>
    <row r="1532" spans="1:5" ht="13">
      <c r="A1532" s="2" t="str">
        <f ca="1">IFERROR(__xludf.DUMMYFUNCTION("""COMPUTED_VALUE"""),"Clary, Kevin")</f>
        <v>Clary, Kevin</v>
      </c>
      <c r="B1532" s="3">
        <f ca="1">IFERROR(__xludf.DUMMYFUNCTION("""COMPUTED_VALUE"""),1)</f>
        <v>1</v>
      </c>
      <c r="C1532" s="7">
        <f ca="1">IFERROR(__xludf.DUMMYFUNCTION("""COMPUTED_VALUE"""),1)</f>
        <v>1</v>
      </c>
      <c r="D1532" s="8">
        <f ca="1">IFERROR(__xludf.DUMMYFUNCTION("""COMPUTED_VALUE"""),1)</f>
        <v>1</v>
      </c>
      <c r="E1532" s="2">
        <f ca="1">IFERROR(__xludf.DUMMYFUNCTION("""COMPUTED_VALUE"""),1)</f>
        <v>1</v>
      </c>
    </row>
    <row r="1533" spans="1:5" ht="13">
      <c r="A1533" s="2" t="str">
        <f ca="1">IFERROR(__xludf.DUMMYFUNCTION("""COMPUTED_VALUE"""),"Classen, Andy")</f>
        <v>Classen, Andy</v>
      </c>
      <c r="B1533" s="3">
        <f ca="1">IFERROR(__xludf.DUMMYFUNCTION("""COMPUTED_VALUE"""),1)</f>
        <v>1</v>
      </c>
      <c r="C1533" s="7">
        <f ca="1">IFERROR(__xludf.DUMMYFUNCTION("""COMPUTED_VALUE"""),1)</f>
        <v>1</v>
      </c>
      <c r="D1533" s="8">
        <f ca="1">IFERROR(__xludf.DUMMYFUNCTION("""COMPUTED_VALUE"""),1)</f>
        <v>1</v>
      </c>
      <c r="E1533" s="2">
        <f ca="1">IFERROR(__xludf.DUMMYFUNCTION("""COMPUTED_VALUE"""),1)</f>
        <v>1</v>
      </c>
    </row>
    <row r="1534" spans="1:5" ht="13">
      <c r="A1534" s="2" t="str">
        <f ca="1">IFERROR(__xludf.DUMMYFUNCTION("""COMPUTED_VALUE"""),"Clatterbuck, Robert")</f>
        <v>Clatterbuck, Robert</v>
      </c>
      <c r="B1534" s="3">
        <f ca="1">IFERROR(__xludf.DUMMYFUNCTION("""COMPUTED_VALUE"""),1)</f>
        <v>1</v>
      </c>
      <c r="C1534" s="7">
        <f ca="1">IFERROR(__xludf.DUMMYFUNCTION("""COMPUTED_VALUE"""),1)</f>
        <v>1</v>
      </c>
      <c r="D1534" s="8">
        <f ca="1">IFERROR(__xludf.DUMMYFUNCTION("""COMPUTED_VALUE"""),1)</f>
        <v>1</v>
      </c>
      <c r="E1534" s="2">
        <f ca="1">IFERROR(__xludf.DUMMYFUNCTION("""COMPUTED_VALUE"""),1)</f>
        <v>1</v>
      </c>
    </row>
    <row r="1535" spans="1:5" ht="13">
      <c r="A1535" s="8" t="str">
        <f ca="1">IFERROR(__xludf.DUMMYFUNCTION("""COMPUTED_VALUE"""),"Clausen, René")</f>
        <v>Clausen, René</v>
      </c>
      <c r="B1535" s="3">
        <f ca="1">IFERROR(__xludf.DUMMYFUNCTION("""COMPUTED_VALUE"""),1)</f>
        <v>1</v>
      </c>
      <c r="C1535" s="7">
        <f ca="1">IFERROR(__xludf.DUMMYFUNCTION("""COMPUTED_VALUE"""),1)</f>
        <v>1</v>
      </c>
      <c r="D1535" s="8">
        <f ca="1">IFERROR(__xludf.DUMMYFUNCTION("""COMPUTED_VALUE"""),1)</f>
        <v>1</v>
      </c>
      <c r="E1535" s="2">
        <f ca="1">IFERROR(__xludf.DUMMYFUNCTION("""COMPUTED_VALUE"""),1)</f>
        <v>1</v>
      </c>
    </row>
    <row r="1536" spans="1:5" ht="13">
      <c r="A1536" s="8" t="str">
        <f ca="1">IFERROR(__xludf.DUMMYFUNCTION("""COMPUTED_VALUE"""),"Clausin, Rafael Oropesa")</f>
        <v>Clausin, Rafael Oropesa</v>
      </c>
      <c r="B1536" s="3">
        <f ca="1">IFERROR(__xludf.DUMMYFUNCTION("""COMPUTED_VALUE"""),1)</f>
        <v>1</v>
      </c>
      <c r="C1536" s="7">
        <f ca="1">IFERROR(__xludf.DUMMYFUNCTION("""COMPUTED_VALUE"""),1)</f>
        <v>1</v>
      </c>
      <c r="D1536" s="8">
        <f ca="1">IFERROR(__xludf.DUMMYFUNCTION("""COMPUTED_VALUE"""),5)</f>
        <v>5</v>
      </c>
      <c r="E1536" s="2">
        <f ca="1">IFERROR(__xludf.DUMMYFUNCTION("""COMPUTED_VALUE"""),2)</f>
        <v>2</v>
      </c>
    </row>
    <row r="1537" spans="1:5" ht="13">
      <c r="A1537" s="2" t="str">
        <f ca="1">IFERROR(__xludf.DUMMYFUNCTION("""COMPUTED_VALUE"""),"Clawson, Donald")</f>
        <v>Clawson, Donald</v>
      </c>
      <c r="B1537" s="3">
        <f ca="1">IFERROR(__xludf.DUMMYFUNCTION("""COMPUTED_VALUE"""),1)</f>
        <v>1</v>
      </c>
      <c r="C1537" s="7">
        <f ca="1">IFERROR(__xludf.DUMMYFUNCTION("""COMPUTED_VALUE"""),1)</f>
        <v>1</v>
      </c>
      <c r="D1537" s="8">
        <f ca="1">IFERROR(__xludf.DUMMYFUNCTION("""COMPUTED_VALUE"""),1)</f>
        <v>1</v>
      </c>
      <c r="E1537" s="2">
        <f ca="1">IFERROR(__xludf.DUMMYFUNCTION("""COMPUTED_VALUE"""),1)</f>
        <v>1</v>
      </c>
    </row>
    <row r="1538" spans="1:5" ht="13">
      <c r="A1538" s="2" t="str">
        <f ca="1">IFERROR(__xludf.DUMMYFUNCTION("""COMPUTED_VALUE"""),"Clebanoff, Herman")</f>
        <v>Clebanoff, Herman</v>
      </c>
      <c r="B1538" s="3">
        <f ca="1">IFERROR(__xludf.DUMMYFUNCTION("""COMPUTED_VALUE"""),1)</f>
        <v>1</v>
      </c>
      <c r="C1538" s="7">
        <f ca="1">IFERROR(__xludf.DUMMYFUNCTION("""COMPUTED_VALUE"""),1)</f>
        <v>1</v>
      </c>
      <c r="D1538" s="8">
        <f ca="1">IFERROR(__xludf.DUMMYFUNCTION("""COMPUTED_VALUE"""),5)</f>
        <v>5</v>
      </c>
      <c r="E1538" s="2">
        <f ca="1">IFERROR(__xludf.DUMMYFUNCTION("""COMPUTED_VALUE"""),2)</f>
        <v>2</v>
      </c>
    </row>
    <row r="1539" spans="1:5" ht="13">
      <c r="A1539" s="2" t="str">
        <f ca="1">IFERROR(__xludf.DUMMYFUNCTION("""COMPUTED_VALUE"""),"Clem, Mark")</f>
        <v>Clem, Mark</v>
      </c>
      <c r="B1539" s="2">
        <f ca="1">IFERROR(__xludf.DUMMYFUNCTION("""COMPUTED_VALUE"""),1)</f>
        <v>1</v>
      </c>
      <c r="C1539" s="7">
        <f ca="1">IFERROR(__xludf.DUMMYFUNCTION("""COMPUTED_VALUE"""),1)</f>
        <v>1</v>
      </c>
      <c r="D1539" s="8">
        <f ca="1">IFERROR(__xludf.DUMMYFUNCTION("""COMPUTED_VALUE"""),5)</f>
        <v>5</v>
      </c>
      <c r="E1539" s="2">
        <f ca="1">IFERROR(__xludf.DUMMYFUNCTION("""COMPUTED_VALUE"""),2)</f>
        <v>2</v>
      </c>
    </row>
    <row r="1540" spans="1:5" ht="13">
      <c r="A1540" s="2" t="str">
        <f ca="1">IFERROR(__xludf.DUMMYFUNCTION("""COMPUTED_VALUE"""),"Clemens non Papa, Jacobus")</f>
        <v>Clemens non Papa, Jacobus</v>
      </c>
      <c r="B1540" s="3">
        <f ca="1">IFERROR(__xludf.DUMMYFUNCTION("""COMPUTED_VALUE"""),1)</f>
        <v>1</v>
      </c>
      <c r="C1540" s="7">
        <f ca="1">IFERROR(__xludf.DUMMYFUNCTION("""COMPUTED_VALUE"""),1)</f>
        <v>1</v>
      </c>
      <c r="D1540" s="8">
        <f ca="1">IFERROR(__xludf.DUMMYFUNCTION("""COMPUTED_VALUE"""),5)</f>
        <v>5</v>
      </c>
      <c r="E1540" s="2">
        <f ca="1">IFERROR(__xludf.DUMMYFUNCTION("""COMPUTED_VALUE"""),2)</f>
        <v>2</v>
      </c>
    </row>
    <row r="1541" spans="1:5" ht="13">
      <c r="A1541" s="8" t="str">
        <f ca="1">IFERROR(__xludf.DUMMYFUNCTION("""COMPUTED_VALUE"""),"Clemens, James")</f>
        <v>Clemens, James</v>
      </c>
      <c r="B1541" s="3">
        <f ca="1">IFERROR(__xludf.DUMMYFUNCTION("""COMPUTED_VALUE"""),1)</f>
        <v>1</v>
      </c>
      <c r="C1541" s="7">
        <f ca="1">IFERROR(__xludf.DUMMYFUNCTION("""COMPUTED_VALUE"""),1)</f>
        <v>1</v>
      </c>
      <c r="D1541" s="8">
        <f ca="1">IFERROR(__xludf.DUMMYFUNCTION("""COMPUTED_VALUE"""),1)</f>
        <v>1</v>
      </c>
      <c r="E1541" s="2">
        <f ca="1">IFERROR(__xludf.DUMMYFUNCTION("""COMPUTED_VALUE"""),1)</f>
        <v>1</v>
      </c>
    </row>
    <row r="1542" spans="1:5" ht="13">
      <c r="A1542" s="2" t="str">
        <f ca="1">IFERROR(__xludf.DUMMYFUNCTION("""COMPUTED_VALUE"""),"Clement, Jacques")</f>
        <v>Clement, Jacques</v>
      </c>
      <c r="B1542" s="3">
        <f ca="1">IFERROR(__xludf.DUMMYFUNCTION("""COMPUTED_VALUE"""),1)</f>
        <v>1</v>
      </c>
      <c r="C1542" s="7">
        <f ca="1">IFERROR(__xludf.DUMMYFUNCTION("""COMPUTED_VALUE"""),1)</f>
        <v>1</v>
      </c>
      <c r="D1542" s="8">
        <f ca="1">IFERROR(__xludf.DUMMYFUNCTION("""COMPUTED_VALUE"""),5)</f>
        <v>5</v>
      </c>
      <c r="E1542" s="2">
        <f ca="1">IFERROR(__xludf.DUMMYFUNCTION("""COMPUTED_VALUE"""),2)</f>
        <v>2</v>
      </c>
    </row>
    <row r="1543" spans="1:5" ht="13">
      <c r="A1543" s="2" t="str">
        <f ca="1">IFERROR(__xludf.DUMMYFUNCTION("""COMPUTED_VALUE"""),"Clement, John")</f>
        <v>Clement, John</v>
      </c>
      <c r="B1543" s="3">
        <f ca="1">IFERROR(__xludf.DUMMYFUNCTION("""COMPUTED_VALUE"""),1)</f>
        <v>1</v>
      </c>
      <c r="C1543" s="7">
        <f ca="1">IFERROR(__xludf.DUMMYFUNCTION("""COMPUTED_VALUE"""),1)</f>
        <v>1</v>
      </c>
      <c r="D1543" s="8">
        <f ca="1">IFERROR(__xludf.DUMMYFUNCTION("""COMPUTED_VALUE"""),1)</f>
        <v>1</v>
      </c>
      <c r="E1543" s="2">
        <f ca="1">IFERROR(__xludf.DUMMYFUNCTION("""COMPUTED_VALUE"""),1)</f>
        <v>1</v>
      </c>
    </row>
    <row r="1544" spans="1:5" ht="13">
      <c r="A1544" s="2" t="str">
        <f ca="1">IFERROR(__xludf.DUMMYFUNCTION("""COMPUTED_VALUE"""),"Clementi, Muzio")</f>
        <v>Clementi, Muzio</v>
      </c>
      <c r="B1544" s="2">
        <f ca="1">IFERROR(__xludf.DUMMYFUNCTION("""COMPUTED_VALUE"""),1)</f>
        <v>1</v>
      </c>
      <c r="C1544" s="7">
        <f ca="1">IFERROR(__xludf.DUMMYFUNCTION("""COMPUTED_VALUE"""),1)</f>
        <v>1</v>
      </c>
      <c r="D1544" s="8">
        <f ca="1">IFERROR(__xludf.DUMMYFUNCTION("""COMPUTED_VALUE"""),5)</f>
        <v>5</v>
      </c>
      <c r="E1544" s="2">
        <f ca="1">IFERROR(__xludf.DUMMYFUNCTION("""COMPUTED_VALUE"""),2)</f>
        <v>2</v>
      </c>
    </row>
    <row r="1545" spans="1:5" ht="13">
      <c r="A1545" s="2" t="str">
        <f ca="1">IFERROR(__xludf.DUMMYFUNCTION("""COMPUTED_VALUE"""),"Clements, Jim")</f>
        <v>Clements, Jim</v>
      </c>
      <c r="B1545" s="3">
        <f ca="1">IFERROR(__xludf.DUMMYFUNCTION("""COMPUTED_VALUE"""),1)</f>
        <v>1</v>
      </c>
      <c r="C1545" s="7">
        <f ca="1">IFERROR(__xludf.DUMMYFUNCTION("""COMPUTED_VALUE"""),1)</f>
        <v>1</v>
      </c>
      <c r="D1545" s="8">
        <f ca="1">IFERROR(__xludf.DUMMYFUNCTION("""COMPUTED_VALUE"""),1)</f>
        <v>1</v>
      </c>
      <c r="E1545" s="2">
        <f ca="1">IFERROR(__xludf.DUMMYFUNCTION("""COMPUTED_VALUE"""),1)</f>
        <v>1</v>
      </c>
    </row>
    <row r="1546" spans="1:5" ht="13">
      <c r="A1546" s="2" t="str">
        <f ca="1">IFERROR(__xludf.DUMMYFUNCTION("""COMPUTED_VALUE"""),"Clements, John")</f>
        <v>Clements, John</v>
      </c>
      <c r="B1546" s="2">
        <f ca="1">IFERROR(__xludf.DUMMYFUNCTION("""COMPUTED_VALUE"""),1)</f>
        <v>1</v>
      </c>
      <c r="C1546" s="7">
        <f ca="1">IFERROR(__xludf.DUMMYFUNCTION("""COMPUTED_VALUE"""),1)</f>
        <v>1</v>
      </c>
      <c r="D1546" s="8">
        <f ca="1">IFERROR(__xludf.DUMMYFUNCTION("""COMPUTED_VALUE"""),5)</f>
        <v>5</v>
      </c>
      <c r="E1546" s="2">
        <f ca="1">IFERROR(__xludf.DUMMYFUNCTION("""COMPUTED_VALUE"""),2)</f>
        <v>2</v>
      </c>
    </row>
    <row r="1547" spans="1:5" ht="13">
      <c r="A1547" s="2" t="str">
        <f ca="1">IFERROR(__xludf.DUMMYFUNCTION("""COMPUTED_VALUE"""),"Clerambault, Louis.")</f>
        <v>Clerambault, Louis.</v>
      </c>
      <c r="B1547" s="2">
        <f ca="1">IFERROR(__xludf.DUMMYFUNCTION("""COMPUTED_VALUE"""),1)</f>
        <v>1</v>
      </c>
      <c r="C1547" s="7">
        <f ca="1">IFERROR(__xludf.DUMMYFUNCTION("""COMPUTED_VALUE"""),1)</f>
        <v>1</v>
      </c>
      <c r="D1547" s="8">
        <f ca="1">IFERROR(__xludf.DUMMYFUNCTION("""COMPUTED_VALUE"""),5)</f>
        <v>5</v>
      </c>
      <c r="E1547" s="2">
        <f ca="1">IFERROR(__xludf.DUMMYFUNCTION("""COMPUTED_VALUE"""),2)</f>
        <v>2</v>
      </c>
    </row>
    <row r="1548" spans="1:5" ht="13">
      <c r="A1548" s="2" t="str">
        <f ca="1">IFERROR(__xludf.DUMMYFUNCTION("""COMPUTED_VALUE"""),"Clereau, Pierre")</f>
        <v>Clereau, Pierre</v>
      </c>
      <c r="B1548" s="3">
        <f ca="1">IFERROR(__xludf.DUMMYFUNCTION("""COMPUTED_VALUE"""),1)</f>
        <v>1</v>
      </c>
      <c r="C1548" s="7">
        <f ca="1">IFERROR(__xludf.DUMMYFUNCTION("""COMPUTED_VALUE"""),1)</f>
        <v>1</v>
      </c>
      <c r="D1548" s="8">
        <f ca="1">IFERROR(__xludf.DUMMYFUNCTION("""COMPUTED_VALUE"""),5)</f>
        <v>5</v>
      </c>
      <c r="E1548" s="2">
        <f ca="1">IFERROR(__xludf.DUMMYFUNCTION("""COMPUTED_VALUE"""),2)</f>
        <v>2</v>
      </c>
    </row>
    <row r="1549" spans="1:5" ht="13">
      <c r="A1549" s="8" t="str">
        <f ca="1">IFERROR(__xludf.DUMMYFUNCTION("""COMPUTED_VALUE"""),"Clérisse, Robert")</f>
        <v>Clérisse, Robert</v>
      </c>
      <c r="B1549" s="3">
        <f ca="1">IFERROR(__xludf.DUMMYFUNCTION("""COMPUTED_VALUE"""),1)</f>
        <v>1</v>
      </c>
      <c r="C1549" s="7">
        <f ca="1">IFERROR(__xludf.DUMMYFUNCTION("""COMPUTED_VALUE"""),1)</f>
        <v>1</v>
      </c>
      <c r="D1549" s="8">
        <f ca="1">IFERROR(__xludf.DUMMYFUNCTION("""COMPUTED_VALUE"""),5)</f>
        <v>5</v>
      </c>
      <c r="E1549" s="2">
        <f ca="1">IFERROR(__xludf.DUMMYFUNCTION("""COMPUTED_VALUE"""),2)</f>
        <v>2</v>
      </c>
    </row>
    <row r="1550" spans="1:5" ht="13">
      <c r="A1550" s="2" t="str">
        <f ca="1">IFERROR(__xludf.DUMMYFUNCTION("""COMPUTED_VALUE"""),"Cleveland, Michael")</f>
        <v>Cleveland, Michael</v>
      </c>
      <c r="B1550" s="3">
        <f ca="1">IFERROR(__xludf.DUMMYFUNCTION("""COMPUTED_VALUE"""),1)</f>
        <v>1</v>
      </c>
      <c r="C1550" s="7">
        <f ca="1">IFERROR(__xludf.DUMMYFUNCTION("""COMPUTED_VALUE"""),1)</f>
        <v>1</v>
      </c>
      <c r="D1550" s="8">
        <f ca="1">IFERROR(__xludf.DUMMYFUNCTION("""COMPUTED_VALUE"""),5)</f>
        <v>5</v>
      </c>
      <c r="E1550" s="2">
        <f ca="1">IFERROR(__xludf.DUMMYFUNCTION("""COMPUTED_VALUE"""),2)</f>
        <v>2</v>
      </c>
    </row>
    <row r="1551" spans="1:5" ht="13">
      <c r="A1551" s="8" t="str">
        <f ca="1">IFERROR(__xludf.DUMMYFUNCTION("""COMPUTED_VALUE"""),"Clift, William")</f>
        <v>Clift, William</v>
      </c>
      <c r="B1551" s="3">
        <f ca="1">IFERROR(__xludf.DUMMYFUNCTION("""COMPUTED_VALUE"""),1)</f>
        <v>1</v>
      </c>
      <c r="C1551" s="7">
        <f ca="1">IFERROR(__xludf.DUMMYFUNCTION("""COMPUTED_VALUE"""),1)</f>
        <v>1</v>
      </c>
      <c r="D1551" s="8">
        <f ca="1">IFERROR(__xludf.DUMMYFUNCTION("""COMPUTED_VALUE"""),5)</f>
        <v>5</v>
      </c>
      <c r="E1551" s="2">
        <f ca="1">IFERROR(__xludf.DUMMYFUNCTION("""COMPUTED_VALUE"""),2)</f>
        <v>2</v>
      </c>
    </row>
    <row r="1552" spans="1:5" ht="13">
      <c r="A1552" s="8" t="str">
        <f ca="1">IFERROR(__xludf.DUMMYFUNCTION("""COMPUTED_VALUE"""),"Cline, Thornton")</f>
        <v>Cline, Thornton</v>
      </c>
      <c r="B1552" s="3">
        <f ca="1">IFERROR(__xludf.DUMMYFUNCTION("""COMPUTED_VALUE"""),1)</f>
        <v>1</v>
      </c>
      <c r="C1552" s="7">
        <f ca="1">IFERROR(__xludf.DUMMYFUNCTION("""COMPUTED_VALUE"""),1)</f>
        <v>1</v>
      </c>
      <c r="D1552" s="8">
        <f ca="1">IFERROR(__xludf.DUMMYFUNCTION("""COMPUTED_VALUE"""),1)</f>
        <v>1</v>
      </c>
      <c r="E1552" s="2">
        <f ca="1">IFERROR(__xludf.DUMMYFUNCTION("""COMPUTED_VALUE"""),1)</f>
        <v>1</v>
      </c>
    </row>
    <row r="1553" spans="1:5" ht="13">
      <c r="A1553" s="2" t="str">
        <f ca="1">IFERROR(__xludf.DUMMYFUNCTION("""COMPUTED_VALUE"""),"Clinesmith, Ben")</f>
        <v>Clinesmith, Ben</v>
      </c>
      <c r="B1553" s="3">
        <f ca="1">IFERROR(__xludf.DUMMYFUNCTION("""COMPUTED_VALUE"""),1)</f>
        <v>1</v>
      </c>
      <c r="C1553" s="7">
        <f ca="1">IFERROR(__xludf.DUMMYFUNCTION("""COMPUTED_VALUE"""),1)</f>
        <v>1</v>
      </c>
      <c r="D1553" s="8">
        <f ca="1">IFERROR(__xludf.DUMMYFUNCTION("""COMPUTED_VALUE"""),1)</f>
        <v>1</v>
      </c>
      <c r="E1553" s="2">
        <f ca="1">IFERROR(__xludf.DUMMYFUNCTION("""COMPUTED_VALUE"""),1)</f>
        <v>1</v>
      </c>
    </row>
    <row r="1554" spans="1:5" ht="13">
      <c r="A1554" s="8" t="str">
        <f ca="1">IFERROR(__xludf.DUMMYFUNCTION("""COMPUTED_VALUE"""),"Clinton, George. S.")</f>
        <v>Clinton, George. S.</v>
      </c>
      <c r="B1554" s="3">
        <f ca="1">IFERROR(__xludf.DUMMYFUNCTION("""COMPUTED_VALUE"""),1)</f>
        <v>1</v>
      </c>
      <c r="C1554" s="7">
        <f ca="1">IFERROR(__xludf.DUMMYFUNCTION("""COMPUTED_VALUE"""),1)</f>
        <v>1</v>
      </c>
      <c r="D1554" s="8">
        <f ca="1">IFERROR(__xludf.DUMMYFUNCTION("""COMPUTED_VALUE"""),1)</f>
        <v>1</v>
      </c>
      <c r="E1554" s="2">
        <f ca="1">IFERROR(__xludf.DUMMYFUNCTION("""COMPUTED_VALUE"""),1)</f>
        <v>1</v>
      </c>
    </row>
    <row r="1555" spans="1:5" ht="13">
      <c r="A1555" s="2" t="str">
        <f ca="1">IFERROR(__xludf.DUMMYFUNCTION("""COMPUTED_VALUE"""),"Clokey, Joseph")</f>
        <v>Clokey, Joseph</v>
      </c>
      <c r="B1555" s="3">
        <f ca="1">IFERROR(__xludf.DUMMYFUNCTION("""COMPUTED_VALUE"""),1)</f>
        <v>1</v>
      </c>
      <c r="C1555" s="7">
        <f ca="1">IFERROR(__xludf.DUMMYFUNCTION("""COMPUTED_VALUE"""),1)</f>
        <v>1</v>
      </c>
      <c r="D1555" s="8">
        <f ca="1">IFERROR(__xludf.DUMMYFUNCTION("""COMPUTED_VALUE"""),5)</f>
        <v>5</v>
      </c>
      <c r="E1555" s="2">
        <f ca="1">IFERROR(__xludf.DUMMYFUNCTION("""COMPUTED_VALUE"""),2)</f>
        <v>2</v>
      </c>
    </row>
    <row r="1556" spans="1:5" ht="13">
      <c r="A1556" s="8" t="str">
        <f ca="1">IFERROR(__xludf.DUMMYFUNCTION("""COMPUTED_VALUE"""),"Clough-Leighter, Henry")</f>
        <v>Clough-Leighter, Henry</v>
      </c>
      <c r="B1556" s="3">
        <f ca="1">IFERROR(__xludf.DUMMYFUNCTION("""COMPUTED_VALUE"""),1)</f>
        <v>1</v>
      </c>
      <c r="C1556" s="7">
        <f ca="1">IFERROR(__xludf.DUMMYFUNCTION("""COMPUTED_VALUE"""),1)</f>
        <v>1</v>
      </c>
      <c r="D1556" s="8">
        <f ca="1">IFERROR(__xludf.DUMMYFUNCTION("""COMPUTED_VALUE"""),5)</f>
        <v>5</v>
      </c>
      <c r="E1556" s="2">
        <f ca="1">IFERROR(__xludf.DUMMYFUNCTION("""COMPUTED_VALUE"""),2)</f>
        <v>2</v>
      </c>
    </row>
    <row r="1557" spans="1:5" ht="13">
      <c r="A1557" s="2" t="str">
        <f ca="1">IFERROR(__xludf.DUMMYFUNCTION("""COMPUTED_VALUE"""),"Cluett, Wally / Cole, Larry / The Boston Common")</f>
        <v>Cluett, Wally / Cole, Larry / The Boston Common</v>
      </c>
      <c r="B1557" s="3">
        <f ca="1">IFERROR(__xludf.DUMMYFUNCTION("""COMPUTED_VALUE"""),1)</f>
        <v>1</v>
      </c>
      <c r="C1557" s="7">
        <f ca="1">IFERROR(__xludf.DUMMYFUNCTION("""COMPUTED_VALUE"""),1)</f>
        <v>1</v>
      </c>
      <c r="D1557" s="8">
        <f ca="1">IFERROR(__xludf.DUMMYFUNCTION("""COMPUTED_VALUE"""),1)</f>
        <v>1</v>
      </c>
      <c r="E1557" s="2">
        <f ca="1">IFERROR(__xludf.DUMMYFUNCTION("""COMPUTED_VALUE"""),1)</f>
        <v>1</v>
      </c>
    </row>
    <row r="1558" spans="1:5" ht="13">
      <c r="A1558" s="8" t="str">
        <f ca="1">IFERROR(__xludf.DUMMYFUNCTION("""COMPUTED_VALUE"""),"Coakley, Donald")</f>
        <v>Coakley, Donald</v>
      </c>
      <c r="B1558" s="3">
        <f ca="1">IFERROR(__xludf.DUMMYFUNCTION("""COMPUTED_VALUE"""),1)</f>
        <v>1</v>
      </c>
      <c r="C1558" s="7">
        <f ca="1">IFERROR(__xludf.DUMMYFUNCTION("""COMPUTED_VALUE"""),1)</f>
        <v>1</v>
      </c>
      <c r="D1558" s="8">
        <f ca="1">IFERROR(__xludf.DUMMYFUNCTION("""COMPUTED_VALUE"""),1)</f>
        <v>1</v>
      </c>
      <c r="E1558" s="2">
        <f ca="1">IFERROR(__xludf.DUMMYFUNCTION("""COMPUTED_VALUE"""),1)</f>
        <v>1</v>
      </c>
    </row>
    <row r="1559" spans="1:5" ht="13">
      <c r="A1559" s="2" t="str">
        <f ca="1">IFERROR(__xludf.DUMMYFUNCTION("""COMPUTED_VALUE"""),"Coale, Jack / Anderson, Frank")</f>
        <v>Coale, Jack / Anderson, Frank</v>
      </c>
      <c r="B1559" s="3">
        <f ca="1">IFERROR(__xludf.DUMMYFUNCTION("""COMPUTED_VALUE"""),1)</f>
        <v>1</v>
      </c>
      <c r="C1559" s="7">
        <f ca="1">IFERROR(__xludf.DUMMYFUNCTION("""COMPUTED_VALUE"""),1)</f>
        <v>1</v>
      </c>
      <c r="D1559" s="8">
        <f ca="1">IFERROR(__xludf.DUMMYFUNCTION("""COMPUTED_VALUE"""),5)</f>
        <v>5</v>
      </c>
      <c r="E1559" s="2">
        <f ca="1">IFERROR(__xludf.DUMMYFUNCTION("""COMPUTED_VALUE"""),2)</f>
        <v>2</v>
      </c>
    </row>
    <row r="1560" spans="1:5" ht="13">
      <c r="A1560" s="2" t="str">
        <f ca="1">IFERROR(__xludf.DUMMYFUNCTION("""COMPUTED_VALUE"""),"Coates, Dan")</f>
        <v>Coates, Dan</v>
      </c>
      <c r="B1560" s="2">
        <f ca="1">IFERROR(__xludf.DUMMYFUNCTION("""COMPUTED_VALUE"""),1)</f>
        <v>1</v>
      </c>
      <c r="C1560" s="2">
        <f ca="1">IFERROR(__xludf.DUMMYFUNCTION("""COMPUTED_VALUE"""),1)</f>
        <v>1</v>
      </c>
      <c r="D1560" s="8">
        <f ca="1">IFERROR(__xludf.DUMMYFUNCTION("""COMPUTED_VALUE"""),1)</f>
        <v>1</v>
      </c>
      <c r="E1560" s="2">
        <f ca="1">IFERROR(__xludf.DUMMYFUNCTION("""COMPUTED_VALUE"""),1)</f>
        <v>1</v>
      </c>
    </row>
    <row r="1561" spans="1:5" ht="13">
      <c r="A1561" s="2" t="str">
        <f ca="1">IFERROR(__xludf.DUMMYFUNCTION("""COMPUTED_VALUE"""),"Coates, Eric")</f>
        <v>Coates, Eric</v>
      </c>
      <c r="B1561" s="2">
        <f ca="1">IFERROR(__xludf.DUMMYFUNCTION("""COMPUTED_VALUE"""),1)</f>
        <v>1</v>
      </c>
      <c r="C1561" s="7">
        <f ca="1">IFERROR(__xludf.DUMMYFUNCTION("""COMPUTED_VALUE"""),1)</f>
        <v>1</v>
      </c>
      <c r="D1561" s="8">
        <f ca="1">IFERROR(__xludf.DUMMYFUNCTION("""COMPUTED_VALUE"""),5)</f>
        <v>5</v>
      </c>
      <c r="E1561" s="2">
        <f ca="1">IFERROR(__xludf.DUMMYFUNCTION("""COMPUTED_VALUE"""),2)</f>
        <v>2</v>
      </c>
    </row>
    <row r="1562" spans="1:5" ht="13">
      <c r="A1562" s="8" t="str">
        <f ca="1">IFERROR(__xludf.DUMMYFUNCTION("""COMPUTED_VALUE"""),"Coates, John")</f>
        <v>Coates, John</v>
      </c>
      <c r="B1562" s="3">
        <f ca="1">IFERROR(__xludf.DUMMYFUNCTION("""COMPUTED_VALUE"""),1)</f>
        <v>1</v>
      </c>
      <c r="C1562" s="7">
        <f ca="1">IFERROR(__xludf.DUMMYFUNCTION("""COMPUTED_VALUE"""),1)</f>
        <v>1</v>
      </c>
      <c r="D1562" s="8">
        <f ca="1">IFERROR(__xludf.DUMMYFUNCTION("""COMPUTED_VALUE"""),5)</f>
        <v>5</v>
      </c>
      <c r="E1562" s="2">
        <f ca="1">IFERROR(__xludf.DUMMYFUNCTION("""COMPUTED_VALUE"""),2)</f>
        <v>2</v>
      </c>
    </row>
    <row r="1563" spans="1:5" ht="13">
      <c r="A1563" s="2" t="str">
        <f ca="1">IFERROR(__xludf.DUMMYFUNCTION("""COMPUTED_VALUE"""),"Cobb, Donald")</f>
        <v>Cobb, Donald</v>
      </c>
      <c r="B1563" s="3">
        <f ca="1">IFERROR(__xludf.DUMMYFUNCTION("""COMPUTED_VALUE"""),1)</f>
        <v>1</v>
      </c>
      <c r="C1563" s="7">
        <f ca="1">IFERROR(__xludf.DUMMYFUNCTION("""COMPUTED_VALUE"""),1)</f>
        <v>1</v>
      </c>
      <c r="D1563" s="8">
        <f ca="1">IFERROR(__xludf.DUMMYFUNCTION("""COMPUTED_VALUE"""),5)</f>
        <v>5</v>
      </c>
      <c r="E1563" s="2">
        <f ca="1">IFERROR(__xludf.DUMMYFUNCTION("""COMPUTED_VALUE"""),2)</f>
        <v>2</v>
      </c>
    </row>
    <row r="1564" spans="1:5" ht="13">
      <c r="A1564" s="2" t="str">
        <f ca="1">IFERROR(__xludf.DUMMYFUNCTION("""COMPUTED_VALUE"""),"Cobb, George L.")</f>
        <v>Cobb, George L.</v>
      </c>
      <c r="B1564" s="3">
        <f ca="1">IFERROR(__xludf.DUMMYFUNCTION("""COMPUTED_VALUE"""),1)</f>
        <v>1</v>
      </c>
      <c r="C1564" s="7">
        <f ca="1">IFERROR(__xludf.DUMMYFUNCTION("""COMPUTED_VALUE"""),1)</f>
        <v>1</v>
      </c>
      <c r="D1564" s="8">
        <f ca="1">IFERROR(__xludf.DUMMYFUNCTION("""COMPUTED_VALUE"""),5)</f>
        <v>5</v>
      </c>
      <c r="E1564" s="2">
        <f ca="1">IFERROR(__xludf.DUMMYFUNCTION("""COMPUTED_VALUE"""),2)</f>
        <v>2</v>
      </c>
    </row>
    <row r="1565" spans="1:5" ht="13">
      <c r="A1565" s="2" t="str">
        <f ca="1">IFERROR(__xludf.DUMMYFUNCTION("""COMPUTED_VALUE"""),"Cobb, Jeffrey")</f>
        <v>Cobb, Jeffrey</v>
      </c>
      <c r="B1565" s="3">
        <f ca="1">IFERROR(__xludf.DUMMYFUNCTION("""COMPUTED_VALUE"""),1)</f>
        <v>1</v>
      </c>
      <c r="C1565" s="7">
        <f ca="1">IFERROR(__xludf.DUMMYFUNCTION("""COMPUTED_VALUE"""),1)</f>
        <v>1</v>
      </c>
      <c r="D1565" s="8">
        <f ca="1">IFERROR(__xludf.DUMMYFUNCTION("""COMPUTED_VALUE"""),1)</f>
        <v>1</v>
      </c>
      <c r="E1565" s="2">
        <f ca="1">IFERROR(__xludf.DUMMYFUNCTION("""COMPUTED_VALUE"""),1)</f>
        <v>1</v>
      </c>
    </row>
    <row r="1566" spans="1:5" ht="13">
      <c r="A1566" s="8" t="str">
        <f ca="1">IFERROR(__xludf.DUMMYFUNCTION("""COMPUTED_VALUE"""),"Cobby, Jeffrey")</f>
        <v>Cobby, Jeffrey</v>
      </c>
      <c r="B1566" s="3">
        <f ca="1">IFERROR(__xludf.DUMMYFUNCTION("""COMPUTED_VALUE"""),1)</f>
        <v>1</v>
      </c>
      <c r="C1566" s="7">
        <f ca="1">IFERROR(__xludf.DUMMYFUNCTION("""COMPUTED_VALUE"""),1)</f>
        <v>1</v>
      </c>
      <c r="D1566" s="8">
        <f ca="1">IFERROR(__xludf.DUMMYFUNCTION("""COMPUTED_VALUE"""),1)</f>
        <v>1</v>
      </c>
      <c r="E1566" s="2">
        <f ca="1">IFERROR(__xludf.DUMMYFUNCTION("""COMPUTED_VALUE"""),1)</f>
        <v>1</v>
      </c>
    </row>
    <row r="1567" spans="1:5" ht="13">
      <c r="A1567" s="2" t="str">
        <f ca="1">IFERROR(__xludf.DUMMYFUNCTION("""COMPUTED_VALUE"""),"Coben, Cy")</f>
        <v>Coben, Cy</v>
      </c>
      <c r="B1567" s="3">
        <f ca="1">IFERROR(__xludf.DUMMYFUNCTION("""COMPUTED_VALUE"""),1)</f>
        <v>1</v>
      </c>
      <c r="C1567" s="7">
        <f ca="1">IFERROR(__xludf.DUMMYFUNCTION("""COMPUTED_VALUE"""),1)</f>
        <v>1</v>
      </c>
      <c r="D1567" s="8">
        <f ca="1">IFERROR(__xludf.DUMMYFUNCTION("""COMPUTED_VALUE"""),5)</f>
        <v>5</v>
      </c>
      <c r="E1567" s="2">
        <f ca="1">IFERROR(__xludf.DUMMYFUNCTION("""COMPUTED_VALUE"""),2)</f>
        <v>2</v>
      </c>
    </row>
    <row r="1568" spans="1:5" ht="13">
      <c r="A1568" s="2" t="str">
        <f ca="1">IFERROR(__xludf.DUMMYFUNCTION("""COMPUTED_VALUE"""),"Cobine, Al")</f>
        <v>Cobine, Al</v>
      </c>
      <c r="B1568" s="2">
        <f ca="1">IFERROR(__xludf.DUMMYFUNCTION("""COMPUTED_VALUE"""),1)</f>
        <v>1</v>
      </c>
      <c r="C1568" s="7">
        <f ca="1">IFERROR(__xludf.DUMMYFUNCTION("""COMPUTED_VALUE"""),1)</f>
        <v>1</v>
      </c>
      <c r="D1568" s="8">
        <f ca="1">IFERROR(__xludf.DUMMYFUNCTION("""COMPUTED_VALUE"""),5)</f>
        <v>5</v>
      </c>
      <c r="E1568" s="2">
        <f ca="1">IFERROR(__xludf.DUMMYFUNCTION("""COMPUTED_VALUE"""),2)</f>
        <v>2</v>
      </c>
    </row>
    <row r="1569" spans="1:5" ht="13">
      <c r="A1569" s="8" t="str">
        <f ca="1">IFERROR(__xludf.DUMMYFUNCTION("""COMPUTED_VALUE"""),"Cobine, Albert")</f>
        <v>Cobine, Albert</v>
      </c>
      <c r="B1569" s="3">
        <f ca="1">IFERROR(__xludf.DUMMYFUNCTION("""COMPUTED_VALUE"""),1)</f>
        <v>1</v>
      </c>
      <c r="C1569" s="7">
        <f ca="1">IFERROR(__xludf.DUMMYFUNCTION("""COMPUTED_VALUE"""),1)</f>
        <v>1</v>
      </c>
      <c r="D1569" s="8">
        <f ca="1">IFERROR(__xludf.DUMMYFUNCTION("""COMPUTED_VALUE"""),5)</f>
        <v>5</v>
      </c>
      <c r="E1569" s="2">
        <f ca="1">IFERROR(__xludf.DUMMYFUNCTION("""COMPUTED_VALUE"""),2)</f>
        <v>2</v>
      </c>
    </row>
    <row r="1570" spans="1:5" ht="13">
      <c r="A1570" s="8" t="str">
        <f ca="1">IFERROR(__xludf.DUMMYFUNCTION("""COMPUTED_VALUE"""),"Cockcroft, Barry")</f>
        <v>Cockcroft, Barry</v>
      </c>
      <c r="B1570" s="3">
        <f ca="1">IFERROR(__xludf.DUMMYFUNCTION("""COMPUTED_VALUE"""),1)</f>
        <v>1</v>
      </c>
      <c r="C1570" s="7">
        <f ca="1">IFERROR(__xludf.DUMMYFUNCTION("""COMPUTED_VALUE"""),1)</f>
        <v>1</v>
      </c>
      <c r="D1570" s="8">
        <f ca="1">IFERROR(__xludf.DUMMYFUNCTION("""COMPUTED_VALUE"""),1)</f>
        <v>1</v>
      </c>
      <c r="E1570" s="2">
        <f ca="1">IFERROR(__xludf.DUMMYFUNCTION("""COMPUTED_VALUE"""),1)</f>
        <v>1</v>
      </c>
    </row>
    <row r="1571" spans="1:5" ht="13">
      <c r="A1571" s="8" t="str">
        <f ca="1">IFERROR(__xludf.DUMMYFUNCTION("""COMPUTED_VALUE"""),"Cockey, Jim")</f>
        <v>Cockey, Jim</v>
      </c>
      <c r="B1571" s="3">
        <f ca="1">IFERROR(__xludf.DUMMYFUNCTION("""COMPUTED_VALUE"""),1)</f>
        <v>1</v>
      </c>
      <c r="C1571" s="7">
        <f ca="1">IFERROR(__xludf.DUMMYFUNCTION("""COMPUTED_VALUE"""),1)</f>
        <v>1</v>
      </c>
      <c r="D1571" s="8">
        <f ca="1">IFERROR(__xludf.DUMMYFUNCTION("""COMPUTED_VALUE"""),1)</f>
        <v>1</v>
      </c>
      <c r="E1571" s="2">
        <f ca="1">IFERROR(__xludf.DUMMYFUNCTION("""COMPUTED_VALUE"""),1)</f>
        <v>1</v>
      </c>
    </row>
    <row r="1572" spans="1:5" ht="13">
      <c r="A1572" s="2" t="str">
        <f ca="1">IFERROR(__xludf.DUMMYFUNCTION("""COMPUTED_VALUE"""),"Cockshott, George")</f>
        <v>Cockshott, George</v>
      </c>
      <c r="B1572" s="3">
        <f ca="1">IFERROR(__xludf.DUMMYFUNCTION("""COMPUTED_VALUE"""),1)</f>
        <v>1</v>
      </c>
      <c r="C1572" s="7">
        <f ca="1">IFERROR(__xludf.DUMMYFUNCTION("""COMPUTED_VALUE"""),1)</f>
        <v>1</v>
      </c>
      <c r="D1572" s="8">
        <f ca="1">IFERROR(__xludf.DUMMYFUNCTION("""COMPUTED_VALUE"""),5)</f>
        <v>5</v>
      </c>
      <c r="E1572" s="2">
        <f ca="1">IFERROR(__xludf.DUMMYFUNCTION("""COMPUTED_VALUE"""),2)</f>
        <v>2</v>
      </c>
    </row>
    <row r="1573" spans="1:5" ht="13">
      <c r="A1573" s="8" t="str">
        <f ca="1">IFERROR(__xludf.DUMMYFUNCTION("""COMPUTED_VALUE"""),"Coerne, Louis Adolphe")</f>
        <v>Coerne, Louis Adolphe</v>
      </c>
      <c r="B1573" s="2">
        <f ca="1">IFERROR(__xludf.DUMMYFUNCTION("""COMPUTED_VALUE"""),1)</f>
        <v>1</v>
      </c>
      <c r="C1573" s="7">
        <f ca="1">IFERROR(__xludf.DUMMYFUNCTION("""COMPUTED_VALUE"""),1)</f>
        <v>1</v>
      </c>
      <c r="D1573" s="8">
        <f ca="1">IFERROR(__xludf.DUMMYFUNCTION("""COMPUTED_VALUE"""),5)</f>
        <v>5</v>
      </c>
      <c r="E1573" s="2">
        <f ca="1">IFERROR(__xludf.DUMMYFUNCTION("""COMPUTED_VALUE"""),2)</f>
        <v>2</v>
      </c>
    </row>
    <row r="1574" spans="1:5" ht="13">
      <c r="A1574" s="2" t="str">
        <f ca="1">IFERROR(__xludf.DUMMYFUNCTION("""COMPUTED_VALUE"""),"Coffin, Jeff")</f>
        <v>Coffin, Jeff</v>
      </c>
      <c r="B1574" s="3">
        <f ca="1">IFERROR(__xludf.DUMMYFUNCTION("""COMPUTED_VALUE"""),1)</f>
        <v>1</v>
      </c>
      <c r="C1574" s="7">
        <f ca="1">IFERROR(__xludf.DUMMYFUNCTION("""COMPUTED_VALUE"""),1)</f>
        <v>1</v>
      </c>
      <c r="D1574" s="8">
        <f ca="1">IFERROR(__xludf.DUMMYFUNCTION("""COMPUTED_VALUE"""),1)</f>
        <v>1</v>
      </c>
      <c r="E1574" s="2">
        <f ca="1">IFERROR(__xludf.DUMMYFUNCTION("""COMPUTED_VALUE"""),1)</f>
        <v>1</v>
      </c>
    </row>
    <row r="1575" spans="1:5" ht="13">
      <c r="A1575" s="2" t="str">
        <f ca="1">IFERROR(__xludf.DUMMYFUNCTION("""COMPUTED_VALUE"""),"Cofield, Frank")</f>
        <v>Cofield, Frank</v>
      </c>
      <c r="B1575" s="2">
        <f ca="1">IFERROR(__xludf.DUMMYFUNCTION("""COMPUTED_VALUE"""),1)</f>
        <v>1</v>
      </c>
      <c r="C1575" s="7">
        <f ca="1">IFERROR(__xludf.DUMMYFUNCTION("""COMPUTED_VALUE"""),1)</f>
        <v>1</v>
      </c>
      <c r="D1575" s="8">
        <f ca="1">IFERROR(__xludf.DUMMYFUNCTION("""COMPUTED_VALUE"""),5)</f>
        <v>5</v>
      </c>
      <c r="E1575" s="2">
        <f ca="1">IFERROR(__xludf.DUMMYFUNCTION("""COMPUTED_VALUE"""),2)</f>
        <v>2</v>
      </c>
    </row>
    <row r="1576" spans="1:5" ht="13">
      <c r="A1576" s="8" t="str">
        <f ca="1">IFERROR(__xludf.DUMMYFUNCTION("""COMPUTED_VALUE"""),"Coggin, Elwood")</f>
        <v>Coggin, Elwood</v>
      </c>
      <c r="B1576" s="3">
        <f ca="1">IFERROR(__xludf.DUMMYFUNCTION("""COMPUTED_VALUE"""),1)</f>
        <v>1</v>
      </c>
      <c r="C1576" s="7">
        <f ca="1">IFERROR(__xludf.DUMMYFUNCTION("""COMPUTED_VALUE"""),1)</f>
        <v>1</v>
      </c>
      <c r="D1576" s="8">
        <f ca="1">IFERROR(__xludf.DUMMYFUNCTION("""COMPUTED_VALUE"""),5)</f>
        <v>5</v>
      </c>
      <c r="E1576" s="2">
        <f ca="1">IFERROR(__xludf.DUMMYFUNCTION("""COMPUTED_VALUE"""),2)</f>
        <v>2</v>
      </c>
    </row>
    <row r="1577" spans="1:5" ht="13">
      <c r="A1577" s="8" t="str">
        <f ca="1">IFERROR(__xludf.DUMMYFUNCTION("""COMPUTED_VALUE"""),"Coghlan, Michael")</f>
        <v>Coghlan, Michael</v>
      </c>
      <c r="B1577" s="3">
        <f ca="1">IFERROR(__xludf.DUMMYFUNCTION("""COMPUTED_VALUE"""),1)</f>
        <v>1</v>
      </c>
      <c r="C1577" s="7">
        <f ca="1">IFERROR(__xludf.DUMMYFUNCTION("""COMPUTED_VALUE"""),1)</f>
        <v>1</v>
      </c>
      <c r="D1577" s="8">
        <f ca="1">IFERROR(__xludf.DUMMYFUNCTION("""COMPUTED_VALUE"""),1)</f>
        <v>1</v>
      </c>
      <c r="E1577" s="2">
        <f ca="1">IFERROR(__xludf.DUMMYFUNCTION("""COMPUTED_VALUE"""),1)</f>
        <v>1</v>
      </c>
    </row>
    <row r="1578" spans="1:5" ht="13">
      <c r="A1578" s="2" t="str">
        <f ca="1">IFERROR(__xludf.DUMMYFUNCTION("""COMPUTED_VALUE"""),"Cohan, George M.")</f>
        <v>Cohan, George M.</v>
      </c>
      <c r="B1578" s="3">
        <f ca="1">IFERROR(__xludf.DUMMYFUNCTION("""COMPUTED_VALUE"""),1)</f>
        <v>1</v>
      </c>
      <c r="C1578" s="7">
        <f ca="1">IFERROR(__xludf.DUMMYFUNCTION("""COMPUTED_VALUE"""),1)</f>
        <v>1</v>
      </c>
      <c r="D1578" s="8">
        <f ca="1">IFERROR(__xludf.DUMMYFUNCTION("""COMPUTED_VALUE"""),5)</f>
        <v>5</v>
      </c>
      <c r="E1578" s="2">
        <f ca="1">IFERROR(__xludf.DUMMYFUNCTION("""COMPUTED_VALUE"""),2)</f>
        <v>2</v>
      </c>
    </row>
    <row r="1579" spans="1:5" ht="13">
      <c r="A1579" s="2" t="str">
        <f ca="1">IFERROR(__xludf.DUMMYFUNCTION("""COMPUTED_VALUE"""),"Cohen, Dudley")</f>
        <v>Cohen, Dudley</v>
      </c>
      <c r="B1579" s="3">
        <f ca="1">IFERROR(__xludf.DUMMYFUNCTION("""COMPUTED_VALUE"""),1)</f>
        <v>1</v>
      </c>
      <c r="C1579" s="7">
        <f ca="1">IFERROR(__xludf.DUMMYFUNCTION("""COMPUTED_VALUE"""),1)</f>
        <v>1</v>
      </c>
      <c r="D1579" s="8">
        <f ca="1">IFERROR(__xludf.DUMMYFUNCTION("""COMPUTED_VALUE"""),5)</f>
        <v>5</v>
      </c>
      <c r="E1579" s="2">
        <f ca="1">IFERROR(__xludf.DUMMYFUNCTION("""COMPUTED_VALUE"""),2)</f>
        <v>2</v>
      </c>
    </row>
    <row r="1580" spans="1:5" ht="13">
      <c r="A1580" s="2" t="str">
        <f ca="1">IFERROR(__xludf.DUMMYFUNCTION("""COMPUTED_VALUE"""),"Cohen, F.A.")</f>
        <v>Cohen, F.A.</v>
      </c>
      <c r="B1580" s="3">
        <f ca="1">IFERROR(__xludf.DUMMYFUNCTION("""COMPUTED_VALUE"""),1)</f>
        <v>1</v>
      </c>
      <c r="C1580" s="7">
        <f ca="1">IFERROR(__xludf.DUMMYFUNCTION("""COMPUTED_VALUE"""),1)</f>
        <v>1</v>
      </c>
      <c r="D1580" s="8">
        <f ca="1">IFERROR(__xludf.DUMMYFUNCTION("""COMPUTED_VALUE"""),5)</f>
        <v>5</v>
      </c>
      <c r="E1580" s="2">
        <f ca="1">IFERROR(__xludf.DUMMYFUNCTION("""COMPUTED_VALUE"""),2)</f>
        <v>2</v>
      </c>
    </row>
    <row r="1581" spans="1:5" ht="13">
      <c r="A1581" s="2" t="str">
        <f ca="1">IFERROR(__xludf.DUMMYFUNCTION("""COMPUTED_VALUE"""),"Cohen, Gerald")</f>
        <v>Cohen, Gerald</v>
      </c>
      <c r="B1581" s="3">
        <f ca="1">IFERROR(__xludf.DUMMYFUNCTION("""COMPUTED_VALUE"""),1)</f>
        <v>1</v>
      </c>
      <c r="C1581" s="7">
        <f ca="1">IFERROR(__xludf.DUMMYFUNCTION("""COMPUTED_VALUE"""),1)</f>
        <v>1</v>
      </c>
      <c r="D1581" s="8">
        <f ca="1">IFERROR(__xludf.DUMMYFUNCTION("""COMPUTED_VALUE"""),1)</f>
        <v>1</v>
      </c>
      <c r="E1581" s="2">
        <f ca="1">IFERROR(__xludf.DUMMYFUNCTION("""COMPUTED_VALUE"""),1)</f>
        <v>1</v>
      </c>
    </row>
    <row r="1582" spans="1:5" ht="13">
      <c r="A1582" s="8" t="str">
        <f ca="1">IFERROR(__xludf.DUMMYFUNCTION("""COMPUTED_VALUE"""),"Cohen, Jerome D.")</f>
        <v>Cohen, Jerome D.</v>
      </c>
      <c r="B1582" s="3">
        <f ca="1">IFERROR(__xludf.DUMMYFUNCTION("""COMPUTED_VALUE"""),1)</f>
        <v>1</v>
      </c>
      <c r="C1582" s="7">
        <f ca="1">IFERROR(__xludf.DUMMYFUNCTION("""COMPUTED_VALUE"""),1)</f>
        <v>1</v>
      </c>
      <c r="D1582" s="8">
        <f ca="1">IFERROR(__xludf.DUMMYFUNCTION("""COMPUTED_VALUE"""),5)</f>
        <v>5</v>
      </c>
      <c r="E1582" s="2">
        <f ca="1">IFERROR(__xludf.DUMMYFUNCTION("""COMPUTED_VALUE"""),2)</f>
        <v>2</v>
      </c>
    </row>
    <row r="1583" spans="1:5" ht="13">
      <c r="A1583" s="8" t="str">
        <f ca="1">IFERROR(__xludf.DUMMYFUNCTION("""COMPUTED_VALUE"""),"Cohen, Leonard")</f>
        <v>Cohen, Leonard</v>
      </c>
      <c r="B1583" s="3">
        <f ca="1">IFERROR(__xludf.DUMMYFUNCTION("""COMPUTED_VALUE"""),1)</f>
        <v>1</v>
      </c>
      <c r="C1583" s="7">
        <f ca="1">IFERROR(__xludf.DUMMYFUNCTION("""COMPUTED_VALUE"""),1)</f>
        <v>1</v>
      </c>
      <c r="D1583" s="8">
        <f ca="1">IFERROR(__xludf.DUMMYFUNCTION("""COMPUTED_VALUE"""),5)</f>
        <v>5</v>
      </c>
      <c r="E1583" s="2">
        <f ca="1">IFERROR(__xludf.DUMMYFUNCTION("""COMPUTED_VALUE"""),2)</f>
        <v>2</v>
      </c>
    </row>
    <row r="1584" spans="1:5" ht="13">
      <c r="A1584" s="8" t="str">
        <f ca="1">IFERROR(__xludf.DUMMYFUNCTION("""COMPUTED_VALUE"""),"Cohen, Richard Scott")</f>
        <v>Cohen, Richard Scott</v>
      </c>
      <c r="B1584" s="3">
        <f ca="1">IFERROR(__xludf.DUMMYFUNCTION("""COMPUTED_VALUE"""),1)</f>
        <v>1</v>
      </c>
      <c r="C1584" s="7">
        <f ca="1">IFERROR(__xludf.DUMMYFUNCTION("""COMPUTED_VALUE"""),1)</f>
        <v>1</v>
      </c>
      <c r="D1584" s="8">
        <f ca="1">IFERROR(__xludf.DUMMYFUNCTION("""COMPUTED_VALUE"""),1)</f>
        <v>1</v>
      </c>
      <c r="E1584" s="2">
        <f ca="1">IFERROR(__xludf.DUMMYFUNCTION("""COMPUTED_VALUE"""),1)</f>
        <v>1</v>
      </c>
    </row>
    <row r="1585" spans="1:5" ht="13">
      <c r="A1585" s="2" t="str">
        <f ca="1">IFERROR(__xludf.DUMMYFUNCTION("""COMPUTED_VALUE"""),"Cohen, Robert S.")</f>
        <v>Cohen, Robert S.</v>
      </c>
      <c r="B1585" s="3">
        <f ca="1">IFERROR(__xludf.DUMMYFUNCTION("""COMPUTED_VALUE"""),1)</f>
        <v>1</v>
      </c>
      <c r="C1585" s="7">
        <f ca="1">IFERROR(__xludf.DUMMYFUNCTION("""COMPUTED_VALUE"""),1)</f>
        <v>1</v>
      </c>
      <c r="D1585" s="8">
        <f ca="1">IFERROR(__xludf.DUMMYFUNCTION("""COMPUTED_VALUE"""),1)</f>
        <v>1</v>
      </c>
      <c r="E1585" s="2">
        <f ca="1">IFERROR(__xludf.DUMMYFUNCTION("""COMPUTED_VALUE"""),1)</f>
        <v>1</v>
      </c>
    </row>
    <row r="1586" spans="1:5" ht="13">
      <c r="A1586" s="8" t="str">
        <f ca="1">IFERROR(__xludf.DUMMYFUNCTION("""COMPUTED_VALUE"""),"Cohn, Ben")</f>
        <v>Cohn, Ben</v>
      </c>
      <c r="B1586" s="3">
        <f ca="1">IFERROR(__xludf.DUMMYFUNCTION("""COMPUTED_VALUE"""),1)</f>
        <v>1</v>
      </c>
      <c r="C1586" s="7">
        <f ca="1">IFERROR(__xludf.DUMMYFUNCTION("""COMPUTED_VALUE"""),1)</f>
        <v>1</v>
      </c>
      <c r="D1586" s="8">
        <f ca="1">IFERROR(__xludf.DUMMYFUNCTION("""COMPUTED_VALUE"""),1)</f>
        <v>1</v>
      </c>
      <c r="E1586" s="2">
        <f ca="1">IFERROR(__xludf.DUMMYFUNCTION("""COMPUTED_VALUE"""),1)</f>
        <v>1</v>
      </c>
    </row>
    <row r="1587" spans="1:5" ht="13">
      <c r="A1587" s="2" t="str">
        <f ca="1">IFERROR(__xludf.DUMMYFUNCTION("""COMPUTED_VALUE"""),"Cohn, James")</f>
        <v>Cohn, James</v>
      </c>
      <c r="B1587" s="2">
        <f ca="1">IFERROR(__xludf.DUMMYFUNCTION("""COMPUTED_VALUE"""),1)</f>
        <v>1</v>
      </c>
      <c r="C1587" s="7">
        <f ca="1">IFERROR(__xludf.DUMMYFUNCTION("""COMPUTED_VALUE"""),1)</f>
        <v>1</v>
      </c>
      <c r="D1587" s="8">
        <f ca="1">IFERROR(__xludf.DUMMYFUNCTION("""COMPUTED_VALUE"""),5)</f>
        <v>5</v>
      </c>
      <c r="E1587" s="2">
        <f ca="1">IFERROR(__xludf.DUMMYFUNCTION("""COMPUTED_VALUE"""),2)</f>
        <v>2</v>
      </c>
    </row>
    <row r="1588" spans="1:5" ht="13">
      <c r="A1588" s="2" t="str">
        <f ca="1">IFERROR(__xludf.DUMMYFUNCTION("""COMPUTED_VALUE"""),"Cohon, Baruch")</f>
        <v>Cohon, Baruch</v>
      </c>
      <c r="B1588" s="3">
        <f ca="1">IFERROR(__xludf.DUMMYFUNCTION("""COMPUTED_VALUE"""),1)</f>
        <v>1</v>
      </c>
      <c r="C1588" s="7">
        <f ca="1">IFERROR(__xludf.DUMMYFUNCTION("""COMPUTED_VALUE"""),1)</f>
        <v>1</v>
      </c>
      <c r="D1588" s="8">
        <f ca="1">IFERROR(__xludf.DUMMYFUNCTION("""COMPUTED_VALUE"""),1)</f>
        <v>1</v>
      </c>
      <c r="E1588" s="2">
        <f ca="1">IFERROR(__xludf.DUMMYFUNCTION("""COMPUTED_VALUE"""),1)</f>
        <v>1</v>
      </c>
    </row>
    <row r="1589" spans="1:5" ht="13">
      <c r="A1589" s="2" t="str">
        <f ca="1">IFERROR(__xludf.DUMMYFUNCTION("""COMPUTED_VALUE"""),"Cohrssen, Walter")</f>
        <v>Cohrssen, Walter</v>
      </c>
      <c r="B1589" s="3">
        <f ca="1">IFERROR(__xludf.DUMMYFUNCTION("""COMPUTED_VALUE"""),1)</f>
        <v>1</v>
      </c>
      <c r="C1589" s="7">
        <f ca="1">IFERROR(__xludf.DUMMYFUNCTION("""COMPUTED_VALUE"""),1)</f>
        <v>1</v>
      </c>
      <c r="D1589" s="8">
        <f ca="1">IFERROR(__xludf.DUMMYFUNCTION("""COMPUTED_VALUE"""),5)</f>
        <v>5</v>
      </c>
      <c r="E1589" s="2">
        <f ca="1">IFERROR(__xludf.DUMMYFUNCTION("""COMPUTED_VALUE"""),2)</f>
        <v>2</v>
      </c>
    </row>
    <row r="1590" spans="1:5" ht="13">
      <c r="A1590" s="8" t="str">
        <f ca="1">IFERROR(__xludf.DUMMYFUNCTION("""COMPUTED_VALUE"""),"Coke Escovedo, Tom Harrell, Errol Knowles")</f>
        <v>Coke Escovedo, Tom Harrell, Errol Knowles</v>
      </c>
      <c r="B1590" s="3">
        <f ca="1">IFERROR(__xludf.DUMMYFUNCTION("""COMPUTED_VALUE"""),1)</f>
        <v>1</v>
      </c>
      <c r="C1590" s="7">
        <f ca="1">IFERROR(__xludf.DUMMYFUNCTION("""COMPUTED_VALUE"""),1)</f>
        <v>1</v>
      </c>
      <c r="D1590" s="8">
        <f ca="1">IFERROR(__xludf.DUMMYFUNCTION("""COMPUTED_VALUE"""),5)</f>
        <v>5</v>
      </c>
      <c r="E1590" s="2">
        <f ca="1">IFERROR(__xludf.DUMMYFUNCTION("""COMPUTED_VALUE"""),2)</f>
        <v>2</v>
      </c>
    </row>
    <row r="1591" spans="1:5" ht="13">
      <c r="A1591" s="8" t="str">
        <f ca="1">IFERROR(__xludf.DUMMYFUNCTION("""COMPUTED_VALUE"""),"Coker, Wilson")</f>
        <v>Coker, Wilson</v>
      </c>
      <c r="B1591" s="3">
        <f ca="1">IFERROR(__xludf.DUMMYFUNCTION("""COMPUTED_VALUE"""),1)</f>
        <v>1</v>
      </c>
      <c r="C1591" s="7">
        <f ca="1">IFERROR(__xludf.DUMMYFUNCTION("""COMPUTED_VALUE"""),1)</f>
        <v>1</v>
      </c>
      <c r="D1591" s="8">
        <f ca="1">IFERROR(__xludf.DUMMYFUNCTION("""COMPUTED_VALUE"""),5)</f>
        <v>5</v>
      </c>
      <c r="E1591" s="2">
        <f ca="1">IFERROR(__xludf.DUMMYFUNCTION("""COMPUTED_VALUE"""),2)</f>
        <v>2</v>
      </c>
    </row>
    <row r="1592" spans="1:5" ht="13">
      <c r="A1592" s="8" t="str">
        <f ca="1">IFERROR(__xludf.DUMMYFUNCTION("""COMPUTED_VALUE"""),"Cokeroft, Gene")</f>
        <v>Cokeroft, Gene</v>
      </c>
      <c r="B1592" s="3">
        <f ca="1">IFERROR(__xludf.DUMMYFUNCTION("""COMPUTED_VALUE"""),1)</f>
        <v>1</v>
      </c>
      <c r="C1592" s="7">
        <f ca="1">IFERROR(__xludf.DUMMYFUNCTION("""COMPUTED_VALUE"""),1)</f>
        <v>1</v>
      </c>
      <c r="D1592" s="8">
        <f ca="1">IFERROR(__xludf.DUMMYFUNCTION("""COMPUTED_VALUE"""),5)</f>
        <v>5</v>
      </c>
      <c r="E1592" s="2">
        <f ca="1">IFERROR(__xludf.DUMMYFUNCTION("""COMPUTED_VALUE"""),2)</f>
        <v>2</v>
      </c>
    </row>
    <row r="1593" spans="1:5" ht="13">
      <c r="A1593" s="2" t="str">
        <f ca="1">IFERROR(__xludf.DUMMYFUNCTION("""COMPUTED_VALUE"""),"Colby, Mark")</f>
        <v>Colby, Mark</v>
      </c>
      <c r="B1593" s="3">
        <f ca="1">IFERROR(__xludf.DUMMYFUNCTION("""COMPUTED_VALUE"""),1)</f>
        <v>1</v>
      </c>
      <c r="C1593" s="7">
        <f ca="1">IFERROR(__xludf.DUMMYFUNCTION("""COMPUTED_VALUE"""),1)</f>
        <v>1</v>
      </c>
      <c r="D1593" s="8">
        <f ca="1">IFERROR(__xludf.DUMMYFUNCTION("""COMPUTED_VALUE"""),5)</f>
        <v>5</v>
      </c>
      <c r="E1593" s="2">
        <f ca="1">IFERROR(__xludf.DUMMYFUNCTION("""COMPUTED_VALUE"""),2)</f>
        <v>2</v>
      </c>
    </row>
    <row r="1594" spans="1:5" ht="13">
      <c r="A1594" s="2" t="str">
        <f ca="1">IFERROR(__xludf.DUMMYFUNCTION("""COMPUTED_VALUE"""),"Cole, Elliot")</f>
        <v>Cole, Elliot</v>
      </c>
      <c r="B1594" s="2">
        <f ca="1">IFERROR(__xludf.DUMMYFUNCTION("""COMPUTED_VALUE"""),1)</f>
        <v>1</v>
      </c>
      <c r="C1594" s="7">
        <f ca="1">IFERROR(__xludf.DUMMYFUNCTION("""COMPUTED_VALUE"""),1)</f>
        <v>1</v>
      </c>
      <c r="D1594" s="8">
        <f ca="1">IFERROR(__xludf.DUMMYFUNCTION("""COMPUTED_VALUE"""),1)</f>
        <v>1</v>
      </c>
      <c r="E1594" s="2">
        <f ca="1">IFERROR(__xludf.DUMMYFUNCTION("""COMPUTED_VALUE"""),1)</f>
        <v>1</v>
      </c>
    </row>
    <row r="1595" spans="1:5" ht="13">
      <c r="A1595" s="2" t="str">
        <f ca="1">IFERROR(__xludf.DUMMYFUNCTION("""COMPUTED_VALUE"""),"Cole, Jason")</f>
        <v>Cole, Jason</v>
      </c>
      <c r="B1595" s="3">
        <f ca="1">IFERROR(__xludf.DUMMYFUNCTION("""COMPUTED_VALUE"""),1)</f>
        <v>1</v>
      </c>
      <c r="C1595" s="7">
        <f ca="1">IFERROR(__xludf.DUMMYFUNCTION("""COMPUTED_VALUE"""),1)</f>
        <v>1</v>
      </c>
      <c r="D1595" s="8">
        <f ca="1">IFERROR(__xludf.DUMMYFUNCTION("""COMPUTED_VALUE"""),1)</f>
        <v>1</v>
      </c>
      <c r="E1595" s="2">
        <f ca="1">IFERROR(__xludf.DUMMYFUNCTION("""COMPUTED_VALUE"""),1)</f>
        <v>1</v>
      </c>
    </row>
    <row r="1596" spans="1:5" ht="13">
      <c r="A1596" s="2" t="str">
        <f ca="1">IFERROR(__xludf.DUMMYFUNCTION("""COMPUTED_VALUE"""),"Cole, Kevin")</f>
        <v>Cole, Kevin</v>
      </c>
      <c r="B1596" s="3">
        <f ca="1">IFERROR(__xludf.DUMMYFUNCTION("""COMPUTED_VALUE"""),1)</f>
        <v>1</v>
      </c>
      <c r="C1596" s="7">
        <f ca="1">IFERROR(__xludf.DUMMYFUNCTION("""COMPUTED_VALUE"""),1)</f>
        <v>1</v>
      </c>
      <c r="D1596" s="8">
        <f ca="1">IFERROR(__xludf.DUMMYFUNCTION("""COMPUTED_VALUE"""),1)</f>
        <v>1</v>
      </c>
      <c r="E1596" s="2">
        <f ca="1">IFERROR(__xludf.DUMMYFUNCTION("""COMPUTED_VALUE"""),1)</f>
        <v>1</v>
      </c>
    </row>
    <row r="1597" spans="1:5" ht="13">
      <c r="A1597" s="2" t="str">
        <f ca="1">IFERROR(__xludf.DUMMYFUNCTION("""COMPUTED_VALUE"""),"Cole, Richie")</f>
        <v>Cole, Richie</v>
      </c>
      <c r="B1597" s="3">
        <f ca="1">IFERROR(__xludf.DUMMYFUNCTION("""COMPUTED_VALUE"""),1)</f>
        <v>1</v>
      </c>
      <c r="C1597" s="7">
        <f ca="1">IFERROR(__xludf.DUMMYFUNCTION("""COMPUTED_VALUE"""),1)</f>
        <v>1</v>
      </c>
      <c r="D1597" s="8">
        <f ca="1">IFERROR(__xludf.DUMMYFUNCTION("""COMPUTED_VALUE"""),5)</f>
        <v>5</v>
      </c>
      <c r="E1597" s="2">
        <f ca="1">IFERROR(__xludf.DUMMYFUNCTION("""COMPUTED_VALUE"""),2)</f>
        <v>2</v>
      </c>
    </row>
    <row r="1598" spans="1:5" ht="13">
      <c r="A1598" s="8" t="str">
        <f ca="1">IFERROR(__xludf.DUMMYFUNCTION("""COMPUTED_VALUE"""),"Coleman, Alistair")</f>
        <v>Coleman, Alistair</v>
      </c>
      <c r="B1598" s="3">
        <f ca="1">IFERROR(__xludf.DUMMYFUNCTION("""COMPUTED_VALUE"""),1)</f>
        <v>1</v>
      </c>
      <c r="C1598" s="7">
        <f ca="1">IFERROR(__xludf.DUMMYFUNCTION("""COMPUTED_VALUE"""),1)</f>
        <v>1</v>
      </c>
      <c r="D1598" s="8">
        <f ca="1">IFERROR(__xludf.DUMMYFUNCTION("""COMPUTED_VALUE"""),1)</f>
        <v>1</v>
      </c>
      <c r="E1598" s="2">
        <f ca="1">IFERROR(__xludf.DUMMYFUNCTION("""COMPUTED_VALUE"""),1)</f>
        <v>1</v>
      </c>
    </row>
    <row r="1599" spans="1:5" ht="13">
      <c r="A1599" s="2" t="str">
        <f ca="1">IFERROR(__xludf.DUMMYFUNCTION("""COMPUTED_VALUE"""),"Coleman, Charles D.")</f>
        <v>Coleman, Charles D.</v>
      </c>
      <c r="B1599" s="3">
        <f ca="1">IFERROR(__xludf.DUMMYFUNCTION("""COMPUTED_VALUE"""),1)</f>
        <v>1</v>
      </c>
      <c r="C1599" s="7">
        <f ca="1">IFERROR(__xludf.DUMMYFUNCTION("""COMPUTED_VALUE"""),1)</f>
        <v>1</v>
      </c>
      <c r="D1599" s="8">
        <f ca="1">IFERROR(__xludf.DUMMYFUNCTION("""COMPUTED_VALUE"""),5)</f>
        <v>5</v>
      </c>
      <c r="E1599" s="2">
        <f ca="1">IFERROR(__xludf.DUMMYFUNCTION("""COMPUTED_VALUE"""),2)</f>
        <v>2</v>
      </c>
    </row>
    <row r="1600" spans="1:5" ht="13">
      <c r="A1600" s="2" t="str">
        <f ca="1">IFERROR(__xludf.DUMMYFUNCTION("""COMPUTED_VALUE"""),"Coleman, Cy")</f>
        <v>Coleman, Cy</v>
      </c>
      <c r="B1600" s="3">
        <f ca="1">IFERROR(__xludf.DUMMYFUNCTION("""COMPUTED_VALUE"""),1)</f>
        <v>1</v>
      </c>
      <c r="C1600" s="7">
        <f ca="1">IFERROR(__xludf.DUMMYFUNCTION("""COMPUTED_VALUE"""),1)</f>
        <v>1</v>
      </c>
      <c r="D1600" s="8">
        <f ca="1">IFERROR(__xludf.DUMMYFUNCTION("""COMPUTED_VALUE"""),5)</f>
        <v>5</v>
      </c>
      <c r="E1600" s="2">
        <f ca="1">IFERROR(__xludf.DUMMYFUNCTION("""COMPUTED_VALUE"""),2)</f>
        <v>2</v>
      </c>
    </row>
    <row r="1601" spans="1:5" ht="13">
      <c r="A1601" s="2" t="str">
        <f ca="1">IFERROR(__xludf.DUMMYFUNCTION("""COMPUTED_VALUE"""),"Coleman, Cy / Leigh, Carolyn")</f>
        <v>Coleman, Cy / Leigh, Carolyn</v>
      </c>
      <c r="B1601" s="2">
        <f ca="1">IFERROR(__xludf.DUMMYFUNCTION("""COMPUTED_VALUE"""),1)</f>
        <v>1</v>
      </c>
      <c r="C1601" s="7">
        <f ca="1">IFERROR(__xludf.DUMMYFUNCTION("""COMPUTED_VALUE"""),1)</f>
        <v>1</v>
      </c>
      <c r="D1601" s="8">
        <f ca="1">IFERROR(__xludf.DUMMYFUNCTION("""COMPUTED_VALUE"""),5)</f>
        <v>5</v>
      </c>
      <c r="E1601" s="2">
        <f ca="1">IFERROR(__xludf.DUMMYFUNCTION("""COMPUTED_VALUE"""),2)</f>
        <v>2</v>
      </c>
    </row>
    <row r="1602" spans="1:5" ht="13">
      <c r="A1602" s="2" t="str">
        <f ca="1">IFERROR(__xludf.DUMMYFUNCTION("""COMPUTED_VALUE"""),"Coleman, Cy and Carolyn Leigh")</f>
        <v>Coleman, Cy and Carolyn Leigh</v>
      </c>
      <c r="B1602" s="3">
        <f ca="1">IFERROR(__xludf.DUMMYFUNCTION("""COMPUTED_VALUE"""),1)</f>
        <v>1</v>
      </c>
      <c r="C1602" s="7">
        <f ca="1">IFERROR(__xludf.DUMMYFUNCTION("""COMPUTED_VALUE"""),1)</f>
        <v>1</v>
      </c>
      <c r="D1602" s="8">
        <f ca="1">IFERROR(__xludf.DUMMYFUNCTION("""COMPUTED_VALUE"""),5)</f>
        <v>5</v>
      </c>
      <c r="E1602" s="2">
        <f ca="1">IFERROR(__xludf.DUMMYFUNCTION("""COMPUTED_VALUE"""),2)</f>
        <v>2</v>
      </c>
    </row>
    <row r="1603" spans="1:5" ht="13">
      <c r="A1603" s="2" t="str">
        <f ca="1">IFERROR(__xludf.DUMMYFUNCTION("""COMPUTED_VALUE"""),"Coleman, Dennis")</f>
        <v>Coleman, Dennis</v>
      </c>
      <c r="B1603" s="2">
        <f ca="1">IFERROR(__xludf.DUMMYFUNCTION("""COMPUTED_VALUE"""),1)</f>
        <v>1</v>
      </c>
      <c r="C1603" s="2">
        <f ca="1">IFERROR(__xludf.DUMMYFUNCTION("""COMPUTED_VALUE"""),1)</f>
        <v>1</v>
      </c>
      <c r="D1603" s="8">
        <f ca="1">IFERROR(__xludf.DUMMYFUNCTION("""COMPUTED_VALUE"""),1)</f>
        <v>1</v>
      </c>
      <c r="E1603" s="2">
        <f ca="1">IFERROR(__xludf.DUMMYFUNCTION("""COMPUTED_VALUE"""),1)</f>
        <v>1</v>
      </c>
    </row>
    <row r="1604" spans="1:5" ht="13">
      <c r="A1604" s="2" t="str">
        <f ca="1">IFERROR(__xludf.DUMMYFUNCTION("""COMPUTED_VALUE"""),"Coleman, Ian David")</f>
        <v>Coleman, Ian David</v>
      </c>
      <c r="B1604" s="3">
        <f ca="1">IFERROR(__xludf.DUMMYFUNCTION("""COMPUTED_VALUE"""),1)</f>
        <v>1</v>
      </c>
      <c r="C1604" s="7">
        <f ca="1">IFERROR(__xludf.DUMMYFUNCTION("""COMPUTED_VALUE"""),1)</f>
        <v>1</v>
      </c>
      <c r="D1604" s="8">
        <f ca="1">IFERROR(__xludf.DUMMYFUNCTION("""COMPUTED_VALUE"""),1)</f>
        <v>1</v>
      </c>
      <c r="E1604" s="2">
        <f ca="1">IFERROR(__xludf.DUMMYFUNCTION("""COMPUTED_VALUE"""),1)</f>
        <v>1</v>
      </c>
    </row>
    <row r="1605" spans="1:5" ht="13">
      <c r="A1605" s="8" t="str">
        <f ca="1">IFERROR(__xludf.DUMMYFUNCTION("""COMPUTED_VALUE"""),"Coleman, Todd")</f>
        <v>Coleman, Todd</v>
      </c>
      <c r="B1605" s="3">
        <f ca="1">IFERROR(__xludf.DUMMYFUNCTION("""COMPUTED_VALUE"""),1)</f>
        <v>1</v>
      </c>
      <c r="C1605" s="7">
        <f ca="1">IFERROR(__xludf.DUMMYFUNCTION("""COMPUTED_VALUE"""),1)</f>
        <v>1</v>
      </c>
      <c r="D1605" s="8">
        <f ca="1">IFERROR(__xludf.DUMMYFUNCTION("""COMPUTED_VALUE"""),1)</f>
        <v>1</v>
      </c>
      <c r="E1605" s="2">
        <f ca="1">IFERROR(__xludf.DUMMYFUNCTION("""COMPUTED_VALUE"""),1)</f>
        <v>1</v>
      </c>
    </row>
    <row r="1606" spans="1:5" ht="13">
      <c r="A1606" s="8" t="str">
        <f ca="1">IFERROR(__xludf.DUMMYFUNCTION("""COMPUTED_VALUE"""),"Coletti, Chris")</f>
        <v>Coletti, Chris</v>
      </c>
      <c r="B1606" s="3">
        <f ca="1">IFERROR(__xludf.DUMMYFUNCTION("""COMPUTED_VALUE"""),1)</f>
        <v>1</v>
      </c>
      <c r="C1606" s="7">
        <f ca="1">IFERROR(__xludf.DUMMYFUNCTION("""COMPUTED_VALUE"""),1)</f>
        <v>1</v>
      </c>
      <c r="D1606" s="8">
        <f ca="1">IFERROR(__xludf.DUMMYFUNCTION("""COMPUTED_VALUE"""),1)</f>
        <v>1</v>
      </c>
      <c r="E1606" s="2">
        <f ca="1">IFERROR(__xludf.DUMMYFUNCTION("""COMPUTED_VALUE"""),1)</f>
        <v>1</v>
      </c>
    </row>
    <row r="1607" spans="1:5" ht="13">
      <c r="A1607" s="8" t="str">
        <f ca="1">IFERROR(__xludf.DUMMYFUNCTION("""COMPUTED_VALUE"""),"Colgrass, Michael")</f>
        <v>Colgrass, Michael</v>
      </c>
      <c r="B1607" s="3">
        <f ca="1">IFERROR(__xludf.DUMMYFUNCTION("""COMPUTED_VALUE"""),1)</f>
        <v>1</v>
      </c>
      <c r="C1607" s="7">
        <f ca="1">IFERROR(__xludf.DUMMYFUNCTION("""COMPUTED_VALUE"""),1)</f>
        <v>1</v>
      </c>
      <c r="D1607" s="8">
        <f ca="1">IFERROR(__xludf.DUMMYFUNCTION("""COMPUTED_VALUE"""),5)</f>
        <v>5</v>
      </c>
      <c r="E1607" s="2">
        <f ca="1">IFERROR(__xludf.DUMMYFUNCTION("""COMPUTED_VALUE"""),2)</f>
        <v>2</v>
      </c>
    </row>
    <row r="1608" spans="1:5" ht="13">
      <c r="A1608" s="8" t="str">
        <f ca="1">IFERROR(__xludf.DUMMYFUNCTION("""COMPUTED_VALUE"""),"Coll, Francisco")</f>
        <v>Coll, Francisco</v>
      </c>
      <c r="B1608" s="3">
        <f ca="1">IFERROR(__xludf.DUMMYFUNCTION("""COMPUTED_VALUE"""),1)</f>
        <v>1</v>
      </c>
      <c r="C1608" s="7">
        <f ca="1">IFERROR(__xludf.DUMMYFUNCTION("""COMPUTED_VALUE"""),1)</f>
        <v>1</v>
      </c>
      <c r="D1608" s="8">
        <f ca="1">IFERROR(__xludf.DUMMYFUNCTION("""COMPUTED_VALUE"""),1)</f>
        <v>1</v>
      </c>
      <c r="E1608" s="2">
        <f ca="1">IFERROR(__xludf.DUMMYFUNCTION("""COMPUTED_VALUE"""),1)</f>
        <v>1</v>
      </c>
    </row>
    <row r="1609" spans="1:5" ht="13">
      <c r="A1609" s="2" t="str">
        <f ca="1">IFERROR(__xludf.DUMMYFUNCTION("""COMPUTED_VALUE"""),"Colligan, John")</f>
        <v>Colligan, John</v>
      </c>
      <c r="B1609" s="3">
        <f ca="1">IFERROR(__xludf.DUMMYFUNCTION("""COMPUTED_VALUE"""),1)</f>
        <v>1</v>
      </c>
      <c r="C1609" s="7">
        <f ca="1">IFERROR(__xludf.DUMMYFUNCTION("""COMPUTED_VALUE"""),1)</f>
        <v>1</v>
      </c>
      <c r="D1609" s="8">
        <f ca="1">IFERROR(__xludf.DUMMYFUNCTION("""COMPUTED_VALUE"""),5)</f>
        <v>5</v>
      </c>
      <c r="E1609" s="2">
        <f ca="1">IFERROR(__xludf.DUMMYFUNCTION("""COMPUTED_VALUE"""),2)</f>
        <v>2</v>
      </c>
    </row>
    <row r="1610" spans="1:5" ht="13">
      <c r="A1610" s="2" t="str">
        <f ca="1">IFERROR(__xludf.DUMMYFUNCTION("""COMPUTED_VALUE"""),"Collins-Dowden, Mike")</f>
        <v>Collins-Dowden, Mike</v>
      </c>
      <c r="B1610" s="3">
        <f ca="1">IFERROR(__xludf.DUMMYFUNCTION("""COMPUTED_VALUE"""),1)</f>
        <v>1</v>
      </c>
      <c r="C1610" s="7">
        <f ca="1">IFERROR(__xludf.DUMMYFUNCTION("""COMPUTED_VALUE"""),1)</f>
        <v>1</v>
      </c>
      <c r="D1610" s="8">
        <f ca="1">IFERROR(__xludf.DUMMYFUNCTION("""COMPUTED_VALUE"""),1)</f>
        <v>1</v>
      </c>
      <c r="E1610" s="2">
        <f ca="1">IFERROR(__xludf.DUMMYFUNCTION("""COMPUTED_VALUE"""),1)</f>
        <v>1</v>
      </c>
    </row>
    <row r="1611" spans="1:5" ht="13">
      <c r="A1611" s="2" t="str">
        <f ca="1">IFERROR(__xludf.DUMMYFUNCTION("""COMPUTED_VALUE"""),"Collins, Brendan")</f>
        <v>Collins, Brendan</v>
      </c>
      <c r="B1611" s="3">
        <f ca="1">IFERROR(__xludf.DUMMYFUNCTION("""COMPUTED_VALUE"""),1)</f>
        <v>1</v>
      </c>
      <c r="C1611" s="7">
        <f ca="1">IFERROR(__xludf.DUMMYFUNCTION("""COMPUTED_VALUE"""),1)</f>
        <v>1</v>
      </c>
      <c r="D1611" s="8">
        <f ca="1">IFERROR(__xludf.DUMMYFUNCTION("""COMPUTED_VALUE"""),1)</f>
        <v>1</v>
      </c>
      <c r="E1611" s="2">
        <f ca="1">IFERROR(__xludf.DUMMYFUNCTION("""COMPUTED_VALUE"""),1)</f>
        <v>1</v>
      </c>
    </row>
    <row r="1612" spans="1:5" ht="13">
      <c r="A1612" s="2" t="str">
        <f ca="1">IFERROR(__xludf.DUMMYFUNCTION("""COMPUTED_VALUE"""),"Collins, Brendon")</f>
        <v>Collins, Brendon</v>
      </c>
      <c r="B1612" s="2">
        <f ca="1">IFERROR(__xludf.DUMMYFUNCTION("""COMPUTED_VALUE"""),1)</f>
        <v>1</v>
      </c>
      <c r="C1612" s="2">
        <f ca="1">IFERROR(__xludf.DUMMYFUNCTION("""COMPUTED_VALUE"""),1)</f>
        <v>1</v>
      </c>
      <c r="D1612" s="8">
        <f ca="1">IFERROR(__xludf.DUMMYFUNCTION("""COMPUTED_VALUE"""),1)</f>
        <v>1</v>
      </c>
      <c r="E1612" s="2">
        <f ca="1">IFERROR(__xludf.DUMMYFUNCTION("""COMPUTED_VALUE"""),1)</f>
        <v>1</v>
      </c>
    </row>
    <row r="1613" spans="1:5" ht="13">
      <c r="A1613" s="2" t="str">
        <f ca="1">IFERROR(__xludf.DUMMYFUNCTION("""COMPUTED_VALUE"""),"Collins, Charles")</f>
        <v>Collins, Charles</v>
      </c>
      <c r="B1613" s="3">
        <f ca="1">IFERROR(__xludf.DUMMYFUNCTION("""COMPUTED_VALUE"""),1)</f>
        <v>1</v>
      </c>
      <c r="C1613" s="7">
        <f ca="1">IFERROR(__xludf.DUMMYFUNCTION("""COMPUTED_VALUE"""),1)</f>
        <v>1</v>
      </c>
      <c r="D1613" s="8">
        <f ca="1">IFERROR(__xludf.DUMMYFUNCTION("""COMPUTED_VALUE"""),5)</f>
        <v>5</v>
      </c>
      <c r="E1613" s="2">
        <f ca="1">IFERROR(__xludf.DUMMYFUNCTION("""COMPUTED_VALUE"""),2)</f>
        <v>2</v>
      </c>
    </row>
    <row r="1614" spans="1:5" ht="13">
      <c r="A1614" s="2" t="str">
        <f ca="1">IFERROR(__xludf.DUMMYFUNCTION("""COMPUTED_VALUE"""),"Collins, Dave")</f>
        <v>Collins, Dave</v>
      </c>
      <c r="B1614" s="2">
        <f ca="1">IFERROR(__xludf.DUMMYFUNCTION("""COMPUTED_VALUE"""),1)</f>
        <v>1</v>
      </c>
      <c r="C1614" s="2">
        <f ca="1">IFERROR(__xludf.DUMMYFUNCTION("""COMPUTED_VALUE"""),1)</f>
        <v>1</v>
      </c>
      <c r="D1614" s="8">
        <f ca="1">IFERROR(__xludf.DUMMYFUNCTION("""COMPUTED_VALUE"""),1)</f>
        <v>1</v>
      </c>
      <c r="E1614" s="2">
        <f ca="1">IFERROR(__xludf.DUMMYFUNCTION("""COMPUTED_VALUE"""),1)</f>
        <v>1</v>
      </c>
    </row>
    <row r="1615" spans="1:5" ht="13">
      <c r="A1615" s="2" t="str">
        <f ca="1">IFERROR(__xludf.DUMMYFUNCTION("""COMPUTED_VALUE"""),"Collins, Don")</f>
        <v>Collins, Don</v>
      </c>
      <c r="B1615" s="3">
        <f ca="1">IFERROR(__xludf.DUMMYFUNCTION("""COMPUTED_VALUE"""),1)</f>
        <v>1</v>
      </c>
      <c r="C1615" s="7">
        <f ca="1">IFERROR(__xludf.DUMMYFUNCTION("""COMPUTED_VALUE"""),1)</f>
        <v>1</v>
      </c>
      <c r="D1615" s="8">
        <f ca="1">IFERROR(__xludf.DUMMYFUNCTION("""COMPUTED_VALUE"""),1)</f>
        <v>1</v>
      </c>
      <c r="E1615" s="2">
        <f ca="1">IFERROR(__xludf.DUMMYFUNCTION("""COMPUTED_VALUE"""),1)</f>
        <v>1</v>
      </c>
    </row>
    <row r="1616" spans="1:5" ht="13">
      <c r="A1616" s="2" t="str">
        <f ca="1">IFERROR(__xludf.DUMMYFUNCTION("""COMPUTED_VALUE"""),"Collins, Drew")</f>
        <v>Collins, Drew</v>
      </c>
      <c r="B1616" s="2">
        <f ca="1">IFERROR(__xludf.DUMMYFUNCTION("""COMPUTED_VALUE"""),1)</f>
        <v>1</v>
      </c>
      <c r="C1616" s="7">
        <f ca="1">IFERROR(__xludf.DUMMYFUNCTION("""COMPUTED_VALUE"""),1)</f>
        <v>1</v>
      </c>
      <c r="D1616" s="8">
        <f ca="1">IFERROR(__xludf.DUMMYFUNCTION("""COMPUTED_VALUE"""),1)</f>
        <v>1</v>
      </c>
      <c r="E1616" s="2">
        <f ca="1">IFERROR(__xludf.DUMMYFUNCTION("""COMPUTED_VALUE"""),1)</f>
        <v>1</v>
      </c>
    </row>
    <row r="1617" spans="1:5" ht="13">
      <c r="A1617" s="8" t="str">
        <f ca="1">IFERROR(__xludf.DUMMYFUNCTION("""COMPUTED_VALUE"""),"Collins, Edward Joseph")</f>
        <v>Collins, Edward Joseph</v>
      </c>
      <c r="B1617" s="3">
        <f ca="1">IFERROR(__xludf.DUMMYFUNCTION("""COMPUTED_VALUE"""),1)</f>
        <v>1</v>
      </c>
      <c r="C1617" s="7">
        <f ca="1">IFERROR(__xludf.DUMMYFUNCTION("""COMPUTED_VALUE"""),1)</f>
        <v>1</v>
      </c>
      <c r="D1617" s="8">
        <f ca="1">IFERROR(__xludf.DUMMYFUNCTION("""COMPUTED_VALUE"""),5)</f>
        <v>5</v>
      </c>
      <c r="E1617" s="2">
        <f ca="1">IFERROR(__xludf.DUMMYFUNCTION("""COMPUTED_VALUE"""),2)</f>
        <v>2</v>
      </c>
    </row>
    <row r="1618" spans="1:5" ht="13">
      <c r="A1618" s="2" t="str">
        <f ca="1">IFERROR(__xludf.DUMMYFUNCTION("""COMPUTED_VALUE"""),"Collins, H. B.")</f>
        <v>Collins, H. B.</v>
      </c>
      <c r="B1618" s="2">
        <f ca="1">IFERROR(__xludf.DUMMYFUNCTION("""COMPUTED_VALUE"""),1)</f>
        <v>1</v>
      </c>
      <c r="C1618" s="2">
        <f ca="1">IFERROR(__xludf.DUMMYFUNCTION("""COMPUTED_VALUE"""),1)</f>
        <v>1</v>
      </c>
      <c r="D1618" s="8">
        <f ca="1">IFERROR(__xludf.DUMMYFUNCTION("""COMPUTED_VALUE"""),5)</f>
        <v>5</v>
      </c>
      <c r="E1618" s="2">
        <f ca="1">IFERROR(__xludf.DUMMYFUNCTION("""COMPUTED_VALUE"""),2)</f>
        <v>2</v>
      </c>
    </row>
    <row r="1619" spans="1:5" ht="13">
      <c r="A1619" s="2" t="str">
        <f ca="1">IFERROR(__xludf.DUMMYFUNCTION("""COMPUTED_VALUE"""),"Collins, Harrison")</f>
        <v>Collins, Harrison</v>
      </c>
      <c r="B1619" s="3">
        <f ca="1">IFERROR(__xludf.DUMMYFUNCTION("""COMPUTED_VALUE"""),1)</f>
        <v>1</v>
      </c>
      <c r="C1619" s="7">
        <f ca="1">IFERROR(__xludf.DUMMYFUNCTION("""COMPUTED_VALUE"""),1)</f>
        <v>1</v>
      </c>
      <c r="D1619" s="8">
        <f ca="1">IFERROR(__xludf.DUMMYFUNCTION("""COMPUTED_VALUE"""),1)</f>
        <v>1</v>
      </c>
      <c r="E1619" s="2">
        <f ca="1">IFERROR(__xludf.DUMMYFUNCTION("""COMPUTED_VALUE"""),1)</f>
        <v>1</v>
      </c>
    </row>
    <row r="1620" spans="1:5" ht="13">
      <c r="A1620" s="2" t="str">
        <f ca="1">IFERROR(__xludf.DUMMYFUNCTION("""COMPUTED_VALUE"""),"Collins, Harrison J.")</f>
        <v>Collins, Harrison J.</v>
      </c>
      <c r="B1620" s="3">
        <f ca="1">IFERROR(__xludf.DUMMYFUNCTION("""COMPUTED_VALUE"""),1)</f>
        <v>1</v>
      </c>
      <c r="C1620" s="7">
        <f ca="1">IFERROR(__xludf.DUMMYFUNCTION("""COMPUTED_VALUE"""),1)</f>
        <v>1</v>
      </c>
      <c r="D1620" s="8">
        <f ca="1">IFERROR(__xludf.DUMMYFUNCTION("""COMPUTED_VALUE"""),1)</f>
        <v>1</v>
      </c>
      <c r="E1620" s="2">
        <f ca="1">IFERROR(__xludf.DUMMYFUNCTION("""COMPUTED_VALUE"""),1)</f>
        <v>1</v>
      </c>
    </row>
    <row r="1621" spans="1:5" ht="13">
      <c r="A1621" s="8" t="str">
        <f ca="1">IFERROR(__xludf.DUMMYFUNCTION("""COMPUTED_VALUE"""),"Collins, Phil")</f>
        <v>Collins, Phil</v>
      </c>
      <c r="B1621" s="3">
        <f ca="1">IFERROR(__xludf.DUMMYFUNCTION("""COMPUTED_VALUE"""),1)</f>
        <v>1</v>
      </c>
      <c r="C1621" s="7">
        <f ca="1">IFERROR(__xludf.DUMMYFUNCTION("""COMPUTED_VALUE"""),1)</f>
        <v>1</v>
      </c>
      <c r="D1621" s="8">
        <f ca="1">IFERROR(__xludf.DUMMYFUNCTION("""COMPUTED_VALUE"""),1)</f>
        <v>1</v>
      </c>
      <c r="E1621" s="2">
        <f ca="1">IFERROR(__xludf.DUMMYFUNCTION("""COMPUTED_VALUE"""),1)</f>
        <v>1</v>
      </c>
    </row>
    <row r="1622" spans="1:5" ht="13">
      <c r="A1622" s="2" t="str">
        <f ca="1">IFERROR(__xludf.DUMMYFUNCTION("""COMPUTED_VALUE"""),"Collins, Walter")</f>
        <v>Collins, Walter</v>
      </c>
      <c r="B1622" s="2">
        <f ca="1">IFERROR(__xludf.DUMMYFUNCTION("""COMPUTED_VALUE"""),1)</f>
        <v>1</v>
      </c>
      <c r="C1622" s="2">
        <f ca="1">IFERROR(__xludf.DUMMYFUNCTION("""COMPUTED_VALUE"""),1)</f>
        <v>1</v>
      </c>
      <c r="D1622" s="8">
        <f ca="1">IFERROR(__xludf.DUMMYFUNCTION("""COMPUTED_VALUE"""),5)</f>
        <v>5</v>
      </c>
      <c r="E1622" s="2">
        <f ca="1">IFERROR(__xludf.DUMMYFUNCTION("""COMPUTED_VALUE"""),2)</f>
        <v>2</v>
      </c>
    </row>
    <row r="1623" spans="1:5" ht="13">
      <c r="A1623" s="8" t="str">
        <f ca="1">IFERROR(__xludf.DUMMYFUNCTION("""COMPUTED_VALUE"""),"Collinsworth, Andy")</f>
        <v>Collinsworth, Andy</v>
      </c>
      <c r="B1623" s="3">
        <f ca="1">IFERROR(__xludf.DUMMYFUNCTION("""COMPUTED_VALUE"""),1)</f>
        <v>1</v>
      </c>
      <c r="C1623" s="7">
        <f ca="1">IFERROR(__xludf.DUMMYFUNCTION("""COMPUTED_VALUE"""),1)</f>
        <v>1</v>
      </c>
      <c r="D1623" s="8">
        <f ca="1">IFERROR(__xludf.DUMMYFUNCTION("""COMPUTED_VALUE"""),1)</f>
        <v>1</v>
      </c>
      <c r="E1623" s="2">
        <f ca="1">IFERROR(__xludf.DUMMYFUNCTION("""COMPUTED_VALUE"""),1)</f>
        <v>1</v>
      </c>
    </row>
    <row r="1624" spans="1:5" ht="13">
      <c r="A1624" s="2" t="str">
        <f ca="1">IFERROR(__xludf.DUMMYFUNCTION("""COMPUTED_VALUE"""),"Collinsworth, R. Anderson")</f>
        <v>Collinsworth, R. Anderson</v>
      </c>
      <c r="B1624" s="2">
        <f ca="1">IFERROR(__xludf.DUMMYFUNCTION("""COMPUTED_VALUE"""),1)</f>
        <v>1</v>
      </c>
      <c r="C1624" s="7">
        <f ca="1">IFERROR(__xludf.DUMMYFUNCTION("""COMPUTED_VALUE"""),1)</f>
        <v>1</v>
      </c>
      <c r="D1624" s="8">
        <f ca="1">IFERROR(__xludf.DUMMYFUNCTION("""COMPUTED_VALUE"""),1)</f>
        <v>1</v>
      </c>
      <c r="E1624" s="2">
        <f ca="1">IFERROR(__xludf.DUMMYFUNCTION("""COMPUTED_VALUE"""),1)</f>
        <v>1</v>
      </c>
    </row>
    <row r="1625" spans="1:5" ht="13">
      <c r="A1625" s="8" t="str">
        <f ca="1">IFERROR(__xludf.DUMMYFUNCTION("""COMPUTED_VALUE"""),"Colnot, Cliff")</f>
        <v>Colnot, Cliff</v>
      </c>
      <c r="B1625" s="3">
        <f ca="1">IFERROR(__xludf.DUMMYFUNCTION("""COMPUTED_VALUE"""),1)</f>
        <v>1</v>
      </c>
      <c r="C1625" s="7">
        <f ca="1">IFERROR(__xludf.DUMMYFUNCTION("""COMPUTED_VALUE"""),1)</f>
        <v>1</v>
      </c>
      <c r="D1625" s="8">
        <f ca="1">IFERROR(__xludf.DUMMYFUNCTION("""COMPUTED_VALUE"""),1)</f>
        <v>1</v>
      </c>
      <c r="E1625" s="2">
        <f ca="1">IFERROR(__xludf.DUMMYFUNCTION("""COMPUTED_VALUE"""),1)</f>
        <v>1</v>
      </c>
    </row>
    <row r="1626" spans="1:5" ht="13">
      <c r="A1626" s="8" t="str">
        <f ca="1">IFERROR(__xludf.DUMMYFUNCTION("""COMPUTED_VALUE"""),"Colomer, Juan")</f>
        <v>Colomer, Juan</v>
      </c>
      <c r="B1626" s="3">
        <f ca="1">IFERROR(__xludf.DUMMYFUNCTION("""COMPUTED_VALUE"""),1)</f>
        <v>1</v>
      </c>
      <c r="C1626" s="7">
        <f ca="1">IFERROR(__xludf.DUMMYFUNCTION("""COMPUTED_VALUE"""),1)</f>
        <v>1</v>
      </c>
      <c r="D1626" s="8">
        <f ca="1">IFERROR(__xludf.DUMMYFUNCTION("""COMPUTED_VALUE"""),1)</f>
        <v>1</v>
      </c>
      <c r="E1626" s="2">
        <f ca="1">IFERROR(__xludf.DUMMYFUNCTION("""COMPUTED_VALUE"""),1)</f>
        <v>1</v>
      </c>
    </row>
    <row r="1627" spans="1:5" ht="13">
      <c r="A1627" s="8" t="str">
        <f ca="1">IFERROR(__xludf.DUMMYFUNCTION("""COMPUTED_VALUE"""),"Colonna, James")</f>
        <v>Colonna, James</v>
      </c>
      <c r="B1627" s="3">
        <f ca="1">IFERROR(__xludf.DUMMYFUNCTION("""COMPUTED_VALUE"""),1)</f>
        <v>1</v>
      </c>
      <c r="C1627" s="7">
        <f ca="1">IFERROR(__xludf.DUMMYFUNCTION("""COMPUTED_VALUE"""),1)</f>
        <v>1</v>
      </c>
      <c r="D1627" s="8">
        <f ca="1">IFERROR(__xludf.DUMMYFUNCTION("""COMPUTED_VALUE"""),1)</f>
        <v>1</v>
      </c>
      <c r="E1627" s="2">
        <f ca="1">IFERROR(__xludf.DUMMYFUNCTION("""COMPUTED_VALUE"""),1)</f>
        <v>1</v>
      </c>
    </row>
    <row r="1628" spans="1:5" ht="13">
      <c r="A1628" s="8" t="str">
        <f ca="1">IFERROR(__xludf.DUMMYFUNCTION("""COMPUTED_VALUE"""),"Colonna, Jim")</f>
        <v>Colonna, Jim</v>
      </c>
      <c r="B1628" s="3">
        <f ca="1">IFERROR(__xludf.DUMMYFUNCTION("""COMPUTED_VALUE"""),1)</f>
        <v>1</v>
      </c>
      <c r="C1628" s="7">
        <f ca="1">IFERROR(__xludf.DUMMYFUNCTION("""COMPUTED_VALUE"""),1)</f>
        <v>1</v>
      </c>
      <c r="D1628" s="8">
        <f ca="1">IFERROR(__xludf.DUMMYFUNCTION("""COMPUTED_VALUE"""),1)</f>
        <v>1</v>
      </c>
      <c r="E1628" s="2">
        <f ca="1">IFERROR(__xludf.DUMMYFUNCTION("""COMPUTED_VALUE"""),1)</f>
        <v>1</v>
      </c>
    </row>
    <row r="1629" spans="1:5" ht="13">
      <c r="A1629" s="8" t="str">
        <f ca="1">IFERROR(__xludf.DUMMYFUNCTION("""COMPUTED_VALUE"""),"Colquitt, Don")</f>
        <v>Colquitt, Don</v>
      </c>
      <c r="B1629" s="3">
        <f ca="1">IFERROR(__xludf.DUMMYFUNCTION("""COMPUTED_VALUE"""),1)</f>
        <v>1</v>
      </c>
      <c r="C1629" s="7">
        <f ca="1">IFERROR(__xludf.DUMMYFUNCTION("""COMPUTED_VALUE"""),1)</f>
        <v>1</v>
      </c>
      <c r="D1629" s="8">
        <f ca="1">IFERROR(__xludf.DUMMYFUNCTION("""COMPUTED_VALUE"""),1)</f>
        <v>1</v>
      </c>
      <c r="E1629" s="2">
        <f ca="1">IFERROR(__xludf.DUMMYFUNCTION("""COMPUTED_VALUE"""),1)</f>
        <v>1</v>
      </c>
    </row>
    <row r="1630" spans="1:5" ht="13">
      <c r="A1630" s="2" t="str">
        <f ca="1">IFERROR(__xludf.DUMMYFUNCTION("""COMPUTED_VALUE"""),"Coltart, Robert")</f>
        <v>Coltart, Robert</v>
      </c>
      <c r="B1630" s="3">
        <f ca="1">IFERROR(__xludf.DUMMYFUNCTION("""COMPUTED_VALUE"""),1)</f>
        <v>1</v>
      </c>
      <c r="C1630" s="7">
        <f ca="1">IFERROR(__xludf.DUMMYFUNCTION("""COMPUTED_VALUE"""),1)</f>
        <v>1</v>
      </c>
      <c r="D1630" s="8">
        <f ca="1">IFERROR(__xludf.DUMMYFUNCTION("""COMPUTED_VALUE"""),5)</f>
        <v>5</v>
      </c>
      <c r="E1630" s="2">
        <f ca="1">IFERROR(__xludf.DUMMYFUNCTION("""COMPUTED_VALUE"""),2)</f>
        <v>2</v>
      </c>
    </row>
    <row r="1631" spans="1:5" ht="13">
      <c r="A1631" s="2" t="str">
        <f ca="1">IFERROR(__xludf.DUMMYFUNCTION("""COMPUTED_VALUE"""),"Colton, Donald")</f>
        <v>Colton, Donald</v>
      </c>
      <c r="B1631" s="2">
        <f ca="1">IFERROR(__xludf.DUMMYFUNCTION("""COMPUTED_VALUE"""),1)</f>
        <v>1</v>
      </c>
      <c r="C1631" s="2">
        <f ca="1">IFERROR(__xludf.DUMMYFUNCTION("""COMPUTED_VALUE"""),1)</f>
        <v>1</v>
      </c>
      <c r="D1631" s="8">
        <f ca="1">IFERROR(__xludf.DUMMYFUNCTION("""COMPUTED_VALUE"""),1)</f>
        <v>1</v>
      </c>
      <c r="E1631" s="2">
        <f ca="1">IFERROR(__xludf.DUMMYFUNCTION("""COMPUTED_VALUE"""),1)</f>
        <v>1</v>
      </c>
    </row>
    <row r="1632" spans="1:5" ht="13">
      <c r="A1632" s="2" t="str">
        <f ca="1">IFERROR(__xludf.DUMMYFUNCTION("""COMPUTED_VALUE"""),"Colvin, Herbert")</f>
        <v>Colvin, Herbert</v>
      </c>
      <c r="B1632" s="2">
        <f ca="1">IFERROR(__xludf.DUMMYFUNCTION("""COMPUTED_VALUE"""),1)</f>
        <v>1</v>
      </c>
      <c r="C1632" s="2">
        <f ca="1">IFERROR(__xludf.DUMMYFUNCTION("""COMPUTED_VALUE"""),1)</f>
        <v>1</v>
      </c>
      <c r="D1632" s="8">
        <f ca="1">IFERROR(__xludf.DUMMYFUNCTION("""COMPUTED_VALUE"""),5)</f>
        <v>5</v>
      </c>
      <c r="E1632" s="2">
        <f ca="1">IFERROR(__xludf.DUMMYFUNCTION("""COMPUTED_VALUE"""),2)</f>
        <v>2</v>
      </c>
    </row>
    <row r="1633" spans="1:5" ht="13">
      <c r="A1633" s="2" t="str">
        <f ca="1">IFERROR(__xludf.DUMMYFUNCTION("""COMPUTED_VALUE"""),"Comer, Chandler")</f>
        <v>Comer, Chandler</v>
      </c>
      <c r="B1633" s="3">
        <f ca="1">IFERROR(__xludf.DUMMYFUNCTION("""COMPUTED_VALUE"""),1)</f>
        <v>1</v>
      </c>
      <c r="C1633" s="7">
        <f ca="1">IFERROR(__xludf.DUMMYFUNCTION("""COMPUTED_VALUE"""),1)</f>
        <v>1</v>
      </c>
      <c r="D1633" s="8">
        <f ca="1">IFERROR(__xludf.DUMMYFUNCTION("""COMPUTED_VALUE"""),1)</f>
        <v>1</v>
      </c>
      <c r="E1633" s="2">
        <f ca="1">IFERROR(__xludf.DUMMYFUNCTION("""COMPUTED_VALUE"""),1)</f>
        <v>1</v>
      </c>
    </row>
    <row r="1634" spans="1:5" ht="13">
      <c r="A1634" s="2" t="str">
        <f ca="1">IFERROR(__xludf.DUMMYFUNCTION("""COMPUTED_VALUE"""),"Comes, Juan Bautista")</f>
        <v>Comes, Juan Bautista</v>
      </c>
      <c r="B1634" s="3">
        <f ca="1">IFERROR(__xludf.DUMMYFUNCTION("""COMPUTED_VALUE"""),1)</f>
        <v>1</v>
      </c>
      <c r="C1634" s="7">
        <f ca="1">IFERROR(__xludf.DUMMYFUNCTION("""COMPUTED_VALUE"""),1)</f>
        <v>1</v>
      </c>
      <c r="D1634" s="8">
        <f ca="1">IFERROR(__xludf.DUMMYFUNCTION("""COMPUTED_VALUE"""),1)</f>
        <v>1</v>
      </c>
      <c r="E1634" s="2">
        <f ca="1">IFERROR(__xludf.DUMMYFUNCTION("""COMPUTED_VALUE"""),1)</f>
        <v>1</v>
      </c>
    </row>
    <row r="1635" spans="1:5" ht="13">
      <c r="A1635" s="8" t="str">
        <f ca="1">IFERROR(__xludf.DUMMYFUNCTION("""COMPUTED_VALUE"""),"Compello, Joseph")</f>
        <v>Compello, Joseph</v>
      </c>
      <c r="B1635" s="3">
        <f ca="1">IFERROR(__xludf.DUMMYFUNCTION("""COMPUTED_VALUE"""),1)</f>
        <v>1</v>
      </c>
      <c r="C1635" s="7">
        <f ca="1">IFERROR(__xludf.DUMMYFUNCTION("""COMPUTED_VALUE"""),1)</f>
        <v>1</v>
      </c>
      <c r="D1635" s="8">
        <f ca="1">IFERROR(__xludf.DUMMYFUNCTION("""COMPUTED_VALUE"""),1)</f>
        <v>1</v>
      </c>
      <c r="E1635" s="2">
        <f ca="1">IFERROR(__xludf.DUMMYFUNCTION("""COMPUTED_VALUE"""),1)</f>
        <v>1</v>
      </c>
    </row>
    <row r="1636" spans="1:5" ht="13">
      <c r="A1636" s="2" t="str">
        <f ca="1">IFERROR(__xludf.DUMMYFUNCTION("""COMPUTED_VALUE"""),"Compère, Loyset")</f>
        <v>Compère, Loyset</v>
      </c>
      <c r="B1636" s="3">
        <f ca="1">IFERROR(__xludf.DUMMYFUNCTION("""COMPUTED_VALUE"""),1)</f>
        <v>1</v>
      </c>
      <c r="C1636" s="7">
        <f ca="1">IFERROR(__xludf.DUMMYFUNCTION("""COMPUTED_VALUE"""),1)</f>
        <v>1</v>
      </c>
      <c r="D1636" s="8">
        <f ca="1">IFERROR(__xludf.DUMMYFUNCTION("""COMPUTED_VALUE"""),5)</f>
        <v>5</v>
      </c>
      <c r="E1636" s="2">
        <f ca="1">IFERROR(__xludf.DUMMYFUNCTION("""COMPUTED_VALUE"""),2)</f>
        <v>2</v>
      </c>
    </row>
    <row r="1637" spans="1:5" ht="13">
      <c r="A1637" s="2" t="str">
        <f ca="1">IFERROR(__xludf.DUMMYFUNCTION("""COMPUTED_VALUE"""),"Conahan, John")</f>
        <v>Conahan, John</v>
      </c>
      <c r="B1637" s="3">
        <f ca="1">IFERROR(__xludf.DUMMYFUNCTION("""COMPUTED_VALUE"""),1)</f>
        <v>1</v>
      </c>
      <c r="C1637" s="7">
        <f ca="1">IFERROR(__xludf.DUMMYFUNCTION("""COMPUTED_VALUE"""),1)</f>
        <v>1</v>
      </c>
      <c r="D1637" s="8">
        <f ca="1">IFERROR(__xludf.DUMMYFUNCTION("""COMPUTED_VALUE"""),1)</f>
        <v>1</v>
      </c>
      <c r="E1637" s="2">
        <f ca="1">IFERROR(__xludf.DUMMYFUNCTION("""COMPUTED_VALUE"""),1)</f>
        <v>1</v>
      </c>
    </row>
    <row r="1638" spans="1:5" ht="13">
      <c r="A1638" s="8" t="str">
        <f ca="1">IFERROR(__xludf.DUMMYFUNCTION("""COMPUTED_VALUE"""),"Conaway, Matt")</f>
        <v>Conaway, Matt</v>
      </c>
      <c r="B1638" s="3">
        <f ca="1">IFERROR(__xludf.DUMMYFUNCTION("""COMPUTED_VALUE"""),1)</f>
        <v>1</v>
      </c>
      <c r="C1638" s="7">
        <f ca="1">IFERROR(__xludf.DUMMYFUNCTION("""COMPUTED_VALUE"""),1)</f>
        <v>1</v>
      </c>
      <c r="D1638" s="8">
        <f ca="1">IFERROR(__xludf.DUMMYFUNCTION("""COMPUTED_VALUE"""),1)</f>
        <v>1</v>
      </c>
      <c r="E1638" s="2">
        <f ca="1">IFERROR(__xludf.DUMMYFUNCTION("""COMPUTED_VALUE"""),1)</f>
        <v>1</v>
      </c>
    </row>
    <row r="1639" spans="1:5" ht="13">
      <c r="A1639" s="8" t="str">
        <f ca="1">IFERROR(__xludf.DUMMYFUNCTION("""COMPUTED_VALUE"""),"Concone, Giuseppe")</f>
        <v>Concone, Giuseppe</v>
      </c>
      <c r="B1639" s="3">
        <f ca="1">IFERROR(__xludf.DUMMYFUNCTION("""COMPUTED_VALUE"""),1)</f>
        <v>1</v>
      </c>
      <c r="C1639" s="7">
        <f ca="1">IFERROR(__xludf.DUMMYFUNCTION("""COMPUTED_VALUE"""),1)</f>
        <v>1</v>
      </c>
      <c r="D1639" s="8">
        <f ca="1">IFERROR(__xludf.DUMMYFUNCTION("""COMPUTED_VALUE"""),5)</f>
        <v>5</v>
      </c>
      <c r="E1639" s="2">
        <f ca="1">IFERROR(__xludf.DUMMYFUNCTION("""COMPUTED_VALUE"""),2)</f>
        <v>2</v>
      </c>
    </row>
    <row r="1640" spans="1:5" ht="13">
      <c r="A1640" s="2" t="str">
        <f ca="1">IFERROR(__xludf.DUMMYFUNCTION("""COMPUTED_VALUE"""),"Condie, Richard")</f>
        <v>Condie, Richard</v>
      </c>
      <c r="B1640" s="2">
        <f ca="1">IFERROR(__xludf.DUMMYFUNCTION("""COMPUTED_VALUE"""),1)</f>
        <v>1</v>
      </c>
      <c r="C1640" s="2">
        <f ca="1">IFERROR(__xludf.DUMMYFUNCTION("""COMPUTED_VALUE"""),1)</f>
        <v>1</v>
      </c>
      <c r="D1640" s="8">
        <f ca="1">IFERROR(__xludf.DUMMYFUNCTION("""COMPUTED_VALUE"""),5)</f>
        <v>5</v>
      </c>
      <c r="E1640" s="2">
        <f ca="1">IFERROR(__xludf.DUMMYFUNCTION("""COMPUTED_VALUE"""),2)</f>
        <v>2</v>
      </c>
    </row>
    <row r="1641" spans="1:5" ht="13">
      <c r="A1641" s="2" t="str">
        <f ca="1">IFERROR(__xludf.DUMMYFUNCTION("""COMPUTED_VALUE"""),"Condon, Bill")</f>
        <v>Condon, Bill</v>
      </c>
      <c r="B1641" s="3">
        <f ca="1">IFERROR(__xludf.DUMMYFUNCTION("""COMPUTED_VALUE"""),1)</f>
        <v>1</v>
      </c>
      <c r="C1641" s="7">
        <f ca="1">IFERROR(__xludf.DUMMYFUNCTION("""COMPUTED_VALUE"""),1)</f>
        <v>1</v>
      </c>
      <c r="D1641" s="8">
        <f ca="1">IFERROR(__xludf.DUMMYFUNCTION("""COMPUTED_VALUE"""),5)</f>
        <v>5</v>
      </c>
      <c r="E1641" s="2">
        <f ca="1">IFERROR(__xludf.DUMMYFUNCTION("""COMPUTED_VALUE"""),2)</f>
        <v>2</v>
      </c>
    </row>
    <row r="1642" spans="1:5" ht="13">
      <c r="A1642" s="2" t="str">
        <f ca="1">IFERROR(__xludf.DUMMYFUNCTION("""COMPUTED_VALUE"""),"Condon, Owen Clayton")</f>
        <v>Condon, Owen Clayton</v>
      </c>
      <c r="B1642" s="2">
        <f ca="1">IFERROR(__xludf.DUMMYFUNCTION("""COMPUTED_VALUE"""),1)</f>
        <v>1</v>
      </c>
      <c r="C1642" s="7">
        <f ca="1">IFERROR(__xludf.DUMMYFUNCTION("""COMPUTED_VALUE"""),1)</f>
        <v>1</v>
      </c>
      <c r="D1642" s="8">
        <f ca="1">IFERROR(__xludf.DUMMYFUNCTION("""COMPUTED_VALUE"""),1)</f>
        <v>1</v>
      </c>
      <c r="E1642" s="2">
        <f ca="1">IFERROR(__xludf.DUMMYFUNCTION("""COMPUTED_VALUE"""),1)</f>
        <v>1</v>
      </c>
    </row>
    <row r="1643" spans="1:5" ht="13">
      <c r="A1643" s="2" t="str">
        <f ca="1">IFERROR(__xludf.DUMMYFUNCTION("""COMPUTED_VALUE"""),"Confrey, Zez")</f>
        <v>Confrey, Zez</v>
      </c>
      <c r="B1643" s="2">
        <f ca="1">IFERROR(__xludf.DUMMYFUNCTION("""COMPUTED_VALUE"""),1)</f>
        <v>1</v>
      </c>
      <c r="C1643" s="7">
        <f ca="1">IFERROR(__xludf.DUMMYFUNCTION("""COMPUTED_VALUE"""),1)</f>
        <v>1</v>
      </c>
      <c r="D1643" s="8">
        <f ca="1">IFERROR(__xludf.DUMMYFUNCTION("""COMPUTED_VALUE"""),5)</f>
        <v>5</v>
      </c>
      <c r="E1643" s="2">
        <f ca="1">IFERROR(__xludf.DUMMYFUNCTION("""COMPUTED_VALUE"""),2)</f>
        <v>2</v>
      </c>
    </row>
    <row r="1644" spans="1:5" ht="13">
      <c r="A1644" s="2" t="str">
        <f ca="1">IFERROR(__xludf.DUMMYFUNCTION("""COMPUTED_VALUE"""),"Conklin, Andrew")</f>
        <v>Conklin, Andrew</v>
      </c>
      <c r="B1644" s="3">
        <f ca="1">IFERROR(__xludf.DUMMYFUNCTION("""COMPUTED_VALUE"""),1)</f>
        <v>1</v>
      </c>
      <c r="C1644" s="7">
        <f ca="1">IFERROR(__xludf.DUMMYFUNCTION("""COMPUTED_VALUE"""),1)</f>
        <v>1</v>
      </c>
      <c r="D1644" s="8">
        <f ca="1">IFERROR(__xludf.DUMMYFUNCTION("""COMPUTED_VALUE"""),1)</f>
        <v>1</v>
      </c>
      <c r="E1644" s="2">
        <f ca="1">IFERROR(__xludf.DUMMYFUNCTION("""COMPUTED_VALUE"""),1)</f>
        <v>1</v>
      </c>
    </row>
    <row r="1645" spans="1:5" ht="13">
      <c r="A1645" s="8" t="str">
        <f ca="1">IFERROR(__xludf.DUMMYFUNCTION("""COMPUTED_VALUE"""),"Conley, Lloyd")</f>
        <v>Conley, Lloyd</v>
      </c>
      <c r="B1645" s="3">
        <f ca="1">IFERROR(__xludf.DUMMYFUNCTION("""COMPUTED_VALUE"""),1)</f>
        <v>1</v>
      </c>
      <c r="C1645" s="7">
        <f ca="1">IFERROR(__xludf.DUMMYFUNCTION("""COMPUTED_VALUE"""),1)</f>
        <v>1</v>
      </c>
      <c r="D1645" s="8">
        <f ca="1">IFERROR(__xludf.DUMMYFUNCTION("""COMPUTED_VALUE"""),1)</f>
        <v>1</v>
      </c>
      <c r="E1645" s="2">
        <f ca="1">IFERROR(__xludf.DUMMYFUNCTION("""COMPUTED_VALUE"""),1)</f>
        <v>1</v>
      </c>
    </row>
    <row r="1646" spans="1:5" ht="13">
      <c r="A1646" s="2" t="str">
        <f ca="1">IFERROR(__xludf.DUMMYFUNCTION("""COMPUTED_VALUE"""),"Conlon, Patrick")</f>
        <v>Conlon, Patrick</v>
      </c>
      <c r="B1646" s="3">
        <f ca="1">IFERROR(__xludf.DUMMYFUNCTION("""COMPUTED_VALUE"""),1)</f>
        <v>1</v>
      </c>
      <c r="C1646" s="7">
        <f ca="1">IFERROR(__xludf.DUMMYFUNCTION("""COMPUTED_VALUE"""),1)</f>
        <v>1</v>
      </c>
      <c r="D1646" s="8">
        <f ca="1">IFERROR(__xludf.DUMMYFUNCTION("""COMPUTED_VALUE"""),1)</f>
        <v>1</v>
      </c>
      <c r="E1646" s="2">
        <f ca="1">IFERROR(__xludf.DUMMYFUNCTION("""COMPUTED_VALUE"""),1)</f>
        <v>1</v>
      </c>
    </row>
    <row r="1647" spans="1:5" ht="13">
      <c r="A1647" s="2" t="str">
        <f ca="1">IFERROR(__xludf.DUMMYFUNCTION("""COMPUTED_VALUE"""),"Conner, Mark")</f>
        <v>Conner, Mark</v>
      </c>
      <c r="B1647" s="3">
        <f ca="1">IFERROR(__xludf.DUMMYFUNCTION("""COMPUTED_VALUE"""),1)</f>
        <v>1</v>
      </c>
      <c r="C1647" s="7">
        <f ca="1">IFERROR(__xludf.DUMMYFUNCTION("""COMPUTED_VALUE"""),1)</f>
        <v>1</v>
      </c>
      <c r="D1647" s="8">
        <f ca="1">IFERROR(__xludf.DUMMYFUNCTION("""COMPUTED_VALUE"""),1)</f>
        <v>1</v>
      </c>
      <c r="E1647" s="2">
        <f ca="1">IFERROR(__xludf.DUMMYFUNCTION("""COMPUTED_VALUE"""),1)</f>
        <v>1</v>
      </c>
    </row>
    <row r="1648" spans="1:5" ht="13">
      <c r="A1648" s="8" t="str">
        <f ca="1">IFERROR(__xludf.DUMMYFUNCTION("""COMPUTED_VALUE"""),"Connery, Brian")</f>
        <v>Connery, Brian</v>
      </c>
      <c r="B1648" s="3">
        <f ca="1">IFERROR(__xludf.DUMMYFUNCTION("""COMPUTED_VALUE"""),1)</f>
        <v>1</v>
      </c>
      <c r="C1648" s="7">
        <f ca="1">IFERROR(__xludf.DUMMYFUNCTION("""COMPUTED_VALUE"""),1)</f>
        <v>1</v>
      </c>
      <c r="D1648" s="8">
        <f ca="1">IFERROR(__xludf.DUMMYFUNCTION("""COMPUTED_VALUE"""),1)</f>
        <v>1</v>
      </c>
      <c r="E1648" s="2">
        <f ca="1">IFERROR(__xludf.DUMMYFUNCTION("""COMPUTED_VALUE"""),1)</f>
        <v>1</v>
      </c>
    </row>
    <row r="1649" spans="1:5" ht="13">
      <c r="A1649" s="8" t="str">
        <f ca="1">IFERROR(__xludf.DUMMYFUNCTION("""COMPUTED_VALUE"""),"Connesson, Guillaume")</f>
        <v>Connesson, Guillaume</v>
      </c>
      <c r="B1649" s="3">
        <f ca="1">IFERROR(__xludf.DUMMYFUNCTION("""COMPUTED_VALUE"""),1)</f>
        <v>1</v>
      </c>
      <c r="C1649" s="7">
        <f ca="1">IFERROR(__xludf.DUMMYFUNCTION("""COMPUTED_VALUE"""),1)</f>
        <v>1</v>
      </c>
      <c r="D1649" s="8">
        <f ca="1">IFERROR(__xludf.DUMMYFUNCTION("""COMPUTED_VALUE"""),1)</f>
        <v>1</v>
      </c>
      <c r="E1649" s="2">
        <f ca="1">IFERROR(__xludf.DUMMYFUNCTION("""COMPUTED_VALUE"""),1)</f>
        <v>1</v>
      </c>
    </row>
    <row r="1650" spans="1:5" ht="13">
      <c r="A1650" s="2" t="str">
        <f ca="1">IFERROR(__xludf.DUMMYFUNCTION("""COMPUTED_VALUE"""),"Connett, Floyd")</f>
        <v>Connett, Floyd</v>
      </c>
      <c r="B1650" s="3">
        <f ca="1">IFERROR(__xludf.DUMMYFUNCTION("""COMPUTED_VALUE"""),1)</f>
        <v>1</v>
      </c>
      <c r="C1650" s="7">
        <f ca="1">IFERROR(__xludf.DUMMYFUNCTION("""COMPUTED_VALUE"""),1)</f>
        <v>1</v>
      </c>
      <c r="D1650" s="8">
        <f ca="1">IFERROR(__xludf.DUMMYFUNCTION("""COMPUTED_VALUE"""),5)</f>
        <v>5</v>
      </c>
      <c r="E1650" s="2">
        <f ca="1">IFERROR(__xludf.DUMMYFUNCTION("""COMPUTED_VALUE"""),2)</f>
        <v>2</v>
      </c>
    </row>
    <row r="1651" spans="1:5" ht="13">
      <c r="A1651" s="2" t="str">
        <f ca="1">IFERROR(__xludf.DUMMYFUNCTION("""COMPUTED_VALUE"""),"Connor, Mark")</f>
        <v>Connor, Mark</v>
      </c>
      <c r="B1651" s="3">
        <f ca="1">IFERROR(__xludf.DUMMYFUNCTION("""COMPUTED_VALUE"""),1)</f>
        <v>1</v>
      </c>
      <c r="C1651" s="7">
        <f ca="1">IFERROR(__xludf.DUMMYFUNCTION("""COMPUTED_VALUE"""),1)</f>
        <v>1</v>
      </c>
      <c r="D1651" s="8">
        <f ca="1">IFERROR(__xludf.DUMMYFUNCTION("""COMPUTED_VALUE"""),1)</f>
        <v>1</v>
      </c>
      <c r="E1651" s="2">
        <f ca="1">IFERROR(__xludf.DUMMYFUNCTION("""COMPUTED_VALUE"""),1)</f>
        <v>1</v>
      </c>
    </row>
    <row r="1652" spans="1:5" ht="13">
      <c r="A1652" s="8" t="str">
        <f ca="1">IFERROR(__xludf.DUMMYFUNCTION("""COMPUTED_VALUE"""),"Connor, Mark J.")</f>
        <v>Connor, Mark J.</v>
      </c>
      <c r="B1652" s="3">
        <f ca="1">IFERROR(__xludf.DUMMYFUNCTION("""COMPUTED_VALUE"""),1)</f>
        <v>1</v>
      </c>
      <c r="C1652" s="7">
        <f ca="1">IFERROR(__xludf.DUMMYFUNCTION("""COMPUTED_VALUE"""),1)</f>
        <v>1</v>
      </c>
      <c r="D1652" s="8">
        <f ca="1">IFERROR(__xludf.DUMMYFUNCTION("""COMPUTED_VALUE"""),1)</f>
        <v>1</v>
      </c>
      <c r="E1652" s="2">
        <f ca="1">IFERROR(__xludf.DUMMYFUNCTION("""COMPUTED_VALUE"""),1)</f>
        <v>1</v>
      </c>
    </row>
    <row r="1653" spans="1:5" ht="13">
      <c r="A1653" s="8" t="str">
        <f ca="1">IFERROR(__xludf.DUMMYFUNCTION("""COMPUTED_VALUE"""),"Connors, Sean")</f>
        <v>Connors, Sean</v>
      </c>
      <c r="B1653" s="3">
        <f ca="1">IFERROR(__xludf.DUMMYFUNCTION("""COMPUTED_VALUE"""),1)</f>
        <v>1</v>
      </c>
      <c r="C1653" s="7">
        <f ca="1">IFERROR(__xludf.DUMMYFUNCTION("""COMPUTED_VALUE"""),1)</f>
        <v>1</v>
      </c>
      <c r="D1653" s="8">
        <f ca="1">IFERROR(__xludf.DUMMYFUNCTION("""COMPUTED_VALUE"""),1)</f>
        <v>1</v>
      </c>
      <c r="E1653" s="2">
        <f ca="1">IFERROR(__xludf.DUMMYFUNCTION("""COMPUTED_VALUE"""),1)</f>
        <v>1</v>
      </c>
    </row>
    <row r="1654" spans="1:5" ht="13">
      <c r="A1654" s="2" t="str">
        <f ca="1">IFERROR(__xludf.DUMMYFUNCTION("""COMPUTED_VALUE"""),"Conrad, Mike")</f>
        <v>Conrad, Mike</v>
      </c>
      <c r="B1654" s="3">
        <f ca="1">IFERROR(__xludf.DUMMYFUNCTION("""COMPUTED_VALUE"""),1)</f>
        <v>1</v>
      </c>
      <c r="C1654" s="7">
        <f ca="1">IFERROR(__xludf.DUMMYFUNCTION("""COMPUTED_VALUE"""),1)</f>
        <v>1</v>
      </c>
      <c r="D1654" s="8">
        <f ca="1">IFERROR(__xludf.DUMMYFUNCTION("""COMPUTED_VALUE"""),1)</f>
        <v>1</v>
      </c>
      <c r="E1654" s="2">
        <f ca="1">IFERROR(__xludf.DUMMYFUNCTION("""COMPUTED_VALUE"""),1)</f>
        <v>1</v>
      </c>
    </row>
    <row r="1655" spans="1:5" ht="13">
      <c r="A1655" s="2" t="str">
        <f ca="1">IFERROR(__xludf.DUMMYFUNCTION("""COMPUTED_VALUE"""),"Conseil, Jean")</f>
        <v>Conseil, Jean</v>
      </c>
      <c r="B1655" s="3">
        <f ca="1">IFERROR(__xludf.DUMMYFUNCTION("""COMPUTED_VALUE"""),1)</f>
        <v>1</v>
      </c>
      <c r="C1655" s="7">
        <f ca="1">IFERROR(__xludf.DUMMYFUNCTION("""COMPUTED_VALUE"""),1)</f>
        <v>1</v>
      </c>
      <c r="D1655" s="8">
        <f ca="1">IFERROR(__xludf.DUMMYFUNCTION("""COMPUTED_VALUE"""),5)</f>
        <v>5</v>
      </c>
      <c r="E1655" s="2">
        <f ca="1">IFERROR(__xludf.DUMMYFUNCTION("""COMPUTED_VALUE"""),2)</f>
        <v>2</v>
      </c>
    </row>
    <row r="1656" spans="1:5" ht="13">
      <c r="A1656" s="2" t="str">
        <f ca="1">IFERROR(__xludf.DUMMYFUNCTION("""COMPUTED_VALUE"""),"Constantine, John")</f>
        <v>Constantine, John</v>
      </c>
      <c r="B1656" s="3">
        <f ca="1">IFERROR(__xludf.DUMMYFUNCTION("""COMPUTED_VALUE"""),1)</f>
        <v>1</v>
      </c>
      <c r="C1656" s="7">
        <f ca="1">IFERROR(__xludf.DUMMYFUNCTION("""COMPUTED_VALUE"""),1)</f>
        <v>1</v>
      </c>
      <c r="D1656" s="8">
        <f ca="1">IFERROR(__xludf.DUMMYFUNCTION("""COMPUTED_VALUE"""),5)</f>
        <v>5</v>
      </c>
      <c r="E1656" s="3">
        <f ca="1">IFERROR(__xludf.DUMMYFUNCTION("""COMPUTED_VALUE"""),2)</f>
        <v>2</v>
      </c>
    </row>
    <row r="1657" spans="1:5" ht="13">
      <c r="A1657" s="2" t="str">
        <f ca="1">IFERROR(__xludf.DUMMYFUNCTION("""COMPUTED_VALUE"""),"Constantini, Alessandro")</f>
        <v>Constantini, Alessandro</v>
      </c>
      <c r="B1657" s="2">
        <f ca="1">IFERROR(__xludf.DUMMYFUNCTION("""COMPUTED_VALUE"""),1)</f>
        <v>1</v>
      </c>
      <c r="C1657" s="7">
        <f ca="1">IFERROR(__xludf.DUMMYFUNCTION("""COMPUTED_VALUE"""),1)</f>
        <v>1</v>
      </c>
      <c r="D1657" s="8">
        <f ca="1">IFERROR(__xludf.DUMMYFUNCTION("""COMPUTED_VALUE"""),5)</f>
        <v>5</v>
      </c>
      <c r="E1657" s="2">
        <f ca="1">IFERROR(__xludf.DUMMYFUNCTION("""COMPUTED_VALUE"""),2)</f>
        <v>2</v>
      </c>
    </row>
    <row r="1658" spans="1:5" ht="13">
      <c r="A1658" s="8" t="str">
        <f ca="1">IFERROR(__xludf.DUMMYFUNCTION("""COMPUTED_VALUE"""),"Constantino, Anthony")</f>
        <v>Constantino, Anthony</v>
      </c>
      <c r="B1658" s="3">
        <f ca="1">IFERROR(__xludf.DUMMYFUNCTION("""COMPUTED_VALUE"""),1)</f>
        <v>1</v>
      </c>
      <c r="C1658" s="7">
        <f ca="1">IFERROR(__xludf.DUMMYFUNCTION("""COMPUTED_VALUE"""),1)</f>
        <v>1</v>
      </c>
      <c r="D1658" s="8">
        <f ca="1">IFERROR(__xludf.DUMMYFUNCTION("""COMPUTED_VALUE"""),1)</f>
        <v>1</v>
      </c>
      <c r="E1658" s="2">
        <f ca="1">IFERROR(__xludf.DUMMYFUNCTION("""COMPUTED_VALUE"""),1)</f>
        <v>1</v>
      </c>
    </row>
    <row r="1659" spans="1:5" ht="13">
      <c r="A1659" s="8" t="str">
        <f ca="1">IFERROR(__xludf.DUMMYFUNCTION("""COMPUTED_VALUE"""),"Constantino, Joseph")</f>
        <v>Constantino, Joseph</v>
      </c>
      <c r="B1659" s="3">
        <f ca="1">IFERROR(__xludf.DUMMYFUNCTION("""COMPUTED_VALUE"""),1)</f>
        <v>1</v>
      </c>
      <c r="C1659" s="7">
        <f ca="1">IFERROR(__xludf.DUMMYFUNCTION("""COMPUTED_VALUE"""),1)</f>
        <v>1</v>
      </c>
      <c r="D1659" s="8">
        <f ca="1">IFERROR(__xludf.DUMMYFUNCTION("""COMPUTED_VALUE"""),1)</f>
        <v>1</v>
      </c>
      <c r="E1659" s="2">
        <f ca="1">IFERROR(__xludf.DUMMYFUNCTION("""COMPUTED_VALUE"""),1)</f>
        <v>1</v>
      </c>
    </row>
    <row r="1660" spans="1:5" ht="13">
      <c r="A1660" s="8" t="str">
        <f ca="1">IFERROR(__xludf.DUMMYFUNCTION("""COMPUTED_VALUE"""),"Conte, David")</f>
        <v>Conte, David</v>
      </c>
      <c r="B1660" s="3">
        <f ca="1">IFERROR(__xludf.DUMMYFUNCTION("""COMPUTED_VALUE"""),1)</f>
        <v>1</v>
      </c>
      <c r="C1660" s="7">
        <f ca="1">IFERROR(__xludf.DUMMYFUNCTION("""COMPUTED_VALUE"""),1)</f>
        <v>1</v>
      </c>
      <c r="D1660" s="8">
        <f ca="1">IFERROR(__xludf.DUMMYFUNCTION("""COMPUTED_VALUE"""),1)</f>
        <v>1</v>
      </c>
      <c r="E1660" s="2">
        <f ca="1">IFERROR(__xludf.DUMMYFUNCTION("""COMPUTED_VALUE"""),1)</f>
        <v>1</v>
      </c>
    </row>
    <row r="1661" spans="1:5" ht="13">
      <c r="A1661" s="8" t="str">
        <f ca="1">IFERROR(__xludf.DUMMYFUNCTION("""COMPUTED_VALUE"""),"Conti, Francesco Bartolomeo")</f>
        <v>Conti, Francesco Bartolomeo</v>
      </c>
      <c r="B1661" s="3">
        <f ca="1">IFERROR(__xludf.DUMMYFUNCTION("""COMPUTED_VALUE"""),1)</f>
        <v>1</v>
      </c>
      <c r="C1661" s="7">
        <f ca="1">IFERROR(__xludf.DUMMYFUNCTION("""COMPUTED_VALUE"""),1)</f>
        <v>1</v>
      </c>
      <c r="D1661" s="8">
        <f ca="1">IFERROR(__xludf.DUMMYFUNCTION("""COMPUTED_VALUE"""),5)</f>
        <v>5</v>
      </c>
      <c r="E1661" s="2">
        <f ca="1">IFERROR(__xludf.DUMMYFUNCTION("""COMPUTED_VALUE"""),2)</f>
        <v>2</v>
      </c>
    </row>
    <row r="1662" spans="1:5" ht="13">
      <c r="A1662" s="8" t="str">
        <f ca="1">IFERROR(__xludf.DUMMYFUNCTION("""COMPUTED_VALUE"""),"Contorno, Nicholas")</f>
        <v>Contorno, Nicholas</v>
      </c>
      <c r="B1662" s="3">
        <f ca="1">IFERROR(__xludf.DUMMYFUNCTION("""COMPUTED_VALUE"""),1)</f>
        <v>1</v>
      </c>
      <c r="C1662" s="7">
        <f ca="1">IFERROR(__xludf.DUMMYFUNCTION("""COMPUTED_VALUE"""),1)</f>
        <v>1</v>
      </c>
      <c r="D1662" s="8">
        <f ca="1">IFERROR(__xludf.DUMMYFUNCTION("""COMPUTED_VALUE"""),5)</f>
        <v>5</v>
      </c>
      <c r="E1662" s="2">
        <f ca="1">IFERROR(__xludf.DUMMYFUNCTION("""COMPUTED_VALUE"""),2)</f>
        <v>2</v>
      </c>
    </row>
    <row r="1663" spans="1:5" ht="13">
      <c r="A1663" s="8" t="str">
        <f ca="1">IFERROR(__xludf.DUMMYFUNCTION("""COMPUTED_VALUE"""),"Contorno, Nick")</f>
        <v>Contorno, Nick</v>
      </c>
      <c r="B1663" s="3">
        <f ca="1">IFERROR(__xludf.DUMMYFUNCTION("""COMPUTED_VALUE"""),1)</f>
        <v>1</v>
      </c>
      <c r="C1663" s="7">
        <f ca="1">IFERROR(__xludf.DUMMYFUNCTION("""COMPUTED_VALUE"""),1)</f>
        <v>1</v>
      </c>
      <c r="D1663" s="8">
        <f ca="1">IFERROR(__xludf.DUMMYFUNCTION("""COMPUTED_VALUE"""),5)</f>
        <v>5</v>
      </c>
      <c r="E1663" s="2">
        <f ca="1">IFERROR(__xludf.DUMMYFUNCTION("""COMPUTED_VALUE"""),2)</f>
        <v>2</v>
      </c>
    </row>
    <row r="1664" spans="1:5" ht="13">
      <c r="A1664" s="8" t="str">
        <f ca="1">IFERROR(__xludf.DUMMYFUNCTION("""COMPUTED_VALUE"""),"Conus, Jules")</f>
        <v>Conus, Jules</v>
      </c>
      <c r="B1664" s="3">
        <f ca="1">IFERROR(__xludf.DUMMYFUNCTION("""COMPUTED_VALUE"""),1)</f>
        <v>1</v>
      </c>
      <c r="C1664" s="7">
        <f ca="1">IFERROR(__xludf.DUMMYFUNCTION("""COMPUTED_VALUE"""),1)</f>
        <v>1</v>
      </c>
      <c r="D1664" s="8">
        <f ca="1">IFERROR(__xludf.DUMMYFUNCTION("""COMPUTED_VALUE"""),5)</f>
        <v>5</v>
      </c>
      <c r="E1664" s="2">
        <f ca="1">IFERROR(__xludf.DUMMYFUNCTION("""COMPUTED_VALUE"""),2)</f>
        <v>2</v>
      </c>
    </row>
    <row r="1665" spans="1:5" ht="13">
      <c r="A1665" s="2" t="str">
        <f ca="1">IFERROR(__xludf.DUMMYFUNCTION("""COMPUTED_VALUE"""),"Conus, Julius")</f>
        <v>Conus, Julius</v>
      </c>
      <c r="B1665" s="3">
        <f ca="1">IFERROR(__xludf.DUMMYFUNCTION("""COMPUTED_VALUE"""),1)</f>
        <v>1</v>
      </c>
      <c r="C1665" s="7">
        <f ca="1">IFERROR(__xludf.DUMMYFUNCTION("""COMPUTED_VALUE"""),1)</f>
        <v>1</v>
      </c>
      <c r="D1665" s="8">
        <f ca="1">IFERROR(__xludf.DUMMYFUNCTION("""COMPUTED_VALUE"""),5)</f>
        <v>5</v>
      </c>
      <c r="E1665" s="2">
        <f ca="1">IFERROR(__xludf.DUMMYFUNCTION("""COMPUTED_VALUE"""),2)</f>
        <v>2</v>
      </c>
    </row>
    <row r="1666" spans="1:5" ht="13">
      <c r="A1666" s="8" t="str">
        <f ca="1">IFERROR(__xludf.DUMMYFUNCTION("""COMPUTED_VALUE"""),"Converse, Frederick")</f>
        <v>Converse, Frederick</v>
      </c>
      <c r="B1666" s="3">
        <f ca="1">IFERROR(__xludf.DUMMYFUNCTION("""COMPUTED_VALUE"""),1)</f>
        <v>1</v>
      </c>
      <c r="C1666" s="7">
        <f ca="1">IFERROR(__xludf.DUMMYFUNCTION("""COMPUTED_VALUE"""),1)</f>
        <v>1</v>
      </c>
      <c r="D1666" s="8">
        <f ca="1">IFERROR(__xludf.DUMMYFUNCTION("""COMPUTED_VALUE"""),5)</f>
        <v>5</v>
      </c>
      <c r="E1666" s="2">
        <f ca="1">IFERROR(__xludf.DUMMYFUNCTION("""COMPUTED_VALUE"""),2)</f>
        <v>2</v>
      </c>
    </row>
    <row r="1667" spans="1:5" ht="13">
      <c r="A1667" s="2" t="str">
        <f ca="1">IFERROR(__xludf.DUMMYFUNCTION("""COMPUTED_VALUE"""),"Convery, Robert")</f>
        <v>Convery, Robert</v>
      </c>
      <c r="B1667" s="3">
        <f ca="1">IFERROR(__xludf.DUMMYFUNCTION("""COMPUTED_VALUE"""),1)</f>
        <v>1</v>
      </c>
      <c r="C1667" s="7">
        <f ca="1">IFERROR(__xludf.DUMMYFUNCTION("""COMPUTED_VALUE"""),1)</f>
        <v>1</v>
      </c>
      <c r="D1667" s="8">
        <f ca="1">IFERROR(__xludf.DUMMYFUNCTION("""COMPUTED_VALUE"""),1)</f>
        <v>1</v>
      </c>
      <c r="E1667" s="2">
        <f ca="1">IFERROR(__xludf.DUMMYFUNCTION("""COMPUTED_VALUE"""),1)</f>
        <v>1</v>
      </c>
    </row>
    <row r="1668" spans="1:5" ht="13">
      <c r="A1668" s="2" t="str">
        <f ca="1">IFERROR(__xludf.DUMMYFUNCTION("""COMPUTED_VALUE"""),"Conway, Matt")</f>
        <v>Conway, Matt</v>
      </c>
      <c r="B1668" s="3">
        <f ca="1">IFERROR(__xludf.DUMMYFUNCTION("""COMPUTED_VALUE"""),1)</f>
        <v>1</v>
      </c>
      <c r="C1668" s="7">
        <f ca="1">IFERROR(__xludf.DUMMYFUNCTION("""COMPUTED_VALUE"""),1)</f>
        <v>1</v>
      </c>
      <c r="D1668" s="8">
        <f ca="1">IFERROR(__xludf.DUMMYFUNCTION("""COMPUTED_VALUE"""),1)</f>
        <v>1</v>
      </c>
      <c r="E1668" s="2">
        <f ca="1">IFERROR(__xludf.DUMMYFUNCTION("""COMPUTED_VALUE"""),1)</f>
        <v>1</v>
      </c>
    </row>
    <row r="1669" spans="1:5" ht="13">
      <c r="A1669" s="2" t="str">
        <f ca="1">IFERROR(__xludf.DUMMYFUNCTION("""COMPUTED_VALUE"""),"Conway, Patrick")</f>
        <v>Conway, Patrick</v>
      </c>
      <c r="B1669" s="3">
        <f ca="1">IFERROR(__xludf.DUMMYFUNCTION("""COMPUTED_VALUE"""),1)</f>
        <v>1</v>
      </c>
      <c r="C1669" s="7">
        <f ca="1">IFERROR(__xludf.DUMMYFUNCTION("""COMPUTED_VALUE"""),1)</f>
        <v>1</v>
      </c>
      <c r="D1669" s="8">
        <f ca="1">IFERROR(__xludf.DUMMYFUNCTION("""COMPUTED_VALUE"""),5)</f>
        <v>5</v>
      </c>
      <c r="E1669" s="2">
        <f ca="1">IFERROR(__xludf.DUMMYFUNCTION("""COMPUTED_VALUE"""),2)</f>
        <v>2</v>
      </c>
    </row>
    <row r="1670" spans="1:5" ht="13">
      <c r="A1670" s="8" t="str">
        <f ca="1">IFERROR(__xludf.DUMMYFUNCTION("""COMPUTED_VALUE"""),"Cook, Alun")</f>
        <v>Cook, Alun</v>
      </c>
      <c r="B1670" s="3">
        <f ca="1">IFERROR(__xludf.DUMMYFUNCTION("""COMPUTED_VALUE"""),1)</f>
        <v>1</v>
      </c>
      <c r="C1670" s="7">
        <f ca="1">IFERROR(__xludf.DUMMYFUNCTION("""COMPUTED_VALUE"""),1)</f>
        <v>1</v>
      </c>
      <c r="D1670" s="8">
        <f ca="1">IFERROR(__xludf.DUMMYFUNCTION("""COMPUTED_VALUE"""),1)</f>
        <v>1</v>
      </c>
      <c r="E1670" s="2">
        <f ca="1">IFERROR(__xludf.DUMMYFUNCTION("""COMPUTED_VALUE"""),1)</f>
        <v>1</v>
      </c>
    </row>
    <row r="1671" spans="1:5" ht="13">
      <c r="A1671" s="2" t="str">
        <f ca="1">IFERROR(__xludf.DUMMYFUNCTION("""COMPUTED_VALUE"""),"Cook, Brian")</f>
        <v>Cook, Brian</v>
      </c>
      <c r="B1671" s="3">
        <f ca="1">IFERROR(__xludf.DUMMYFUNCTION("""COMPUTED_VALUE"""),1)</f>
        <v>1</v>
      </c>
      <c r="C1671" s="7">
        <f ca="1">IFERROR(__xludf.DUMMYFUNCTION("""COMPUTED_VALUE"""),1)</f>
        <v>1</v>
      </c>
      <c r="D1671" s="8">
        <f ca="1">IFERROR(__xludf.DUMMYFUNCTION("""COMPUTED_VALUE"""),1)</f>
        <v>1</v>
      </c>
      <c r="E1671" s="2">
        <f ca="1">IFERROR(__xludf.DUMMYFUNCTION("""COMPUTED_VALUE"""),1)</f>
        <v>1</v>
      </c>
    </row>
    <row r="1672" spans="1:5" ht="13">
      <c r="A1672" s="8" t="str">
        <f ca="1">IFERROR(__xludf.DUMMYFUNCTION("""COMPUTED_VALUE"""),"Cook, Eric")</f>
        <v>Cook, Eric</v>
      </c>
      <c r="B1672" s="3">
        <f ca="1">IFERROR(__xludf.DUMMYFUNCTION("""COMPUTED_VALUE"""),1)</f>
        <v>1</v>
      </c>
      <c r="C1672" s="7">
        <f ca="1">IFERROR(__xludf.DUMMYFUNCTION("""COMPUTED_VALUE"""),1)</f>
        <v>1</v>
      </c>
      <c r="D1672" s="8">
        <f ca="1">IFERROR(__xludf.DUMMYFUNCTION("""COMPUTED_VALUE"""),5)</f>
        <v>5</v>
      </c>
      <c r="E1672" s="2">
        <f ca="1">IFERROR(__xludf.DUMMYFUNCTION("""COMPUTED_VALUE"""),2)</f>
        <v>2</v>
      </c>
    </row>
    <row r="1673" spans="1:5" ht="13">
      <c r="A1673" s="8" t="str">
        <f ca="1">IFERROR(__xludf.DUMMYFUNCTION("""COMPUTED_VALUE"""),"Cook, Paul")</f>
        <v>Cook, Paul</v>
      </c>
      <c r="B1673" s="3">
        <f ca="1">IFERROR(__xludf.DUMMYFUNCTION("""COMPUTED_VALUE"""),1)</f>
        <v>1</v>
      </c>
      <c r="C1673" s="7">
        <f ca="1">IFERROR(__xludf.DUMMYFUNCTION("""COMPUTED_VALUE"""),1)</f>
        <v>1</v>
      </c>
      <c r="D1673" s="8">
        <f ca="1">IFERROR(__xludf.DUMMYFUNCTION("""COMPUTED_VALUE"""),1)</f>
        <v>1</v>
      </c>
      <c r="E1673" s="2">
        <f ca="1">IFERROR(__xludf.DUMMYFUNCTION("""COMPUTED_VALUE"""),1)</f>
        <v>1</v>
      </c>
    </row>
    <row r="1674" spans="1:5" ht="13">
      <c r="A1674" s="2" t="str">
        <f ca="1">IFERROR(__xludf.DUMMYFUNCTION("""COMPUTED_VALUE"""),"Cooke, Antony")</f>
        <v>Cooke, Antony</v>
      </c>
      <c r="B1674" s="2">
        <f ca="1">IFERROR(__xludf.DUMMYFUNCTION("""COMPUTED_VALUE"""),1)</f>
        <v>1</v>
      </c>
      <c r="C1674" s="2">
        <f ca="1">IFERROR(__xludf.DUMMYFUNCTION("""COMPUTED_VALUE"""),1)</f>
        <v>1</v>
      </c>
      <c r="D1674" s="8">
        <f ca="1">IFERROR(__xludf.DUMMYFUNCTION("""COMPUTED_VALUE"""),1)</f>
        <v>1</v>
      </c>
      <c r="E1674" s="2">
        <f ca="1">IFERROR(__xludf.DUMMYFUNCTION("""COMPUTED_VALUE"""),1)</f>
        <v>1</v>
      </c>
    </row>
    <row r="1675" spans="1:5" ht="13">
      <c r="A1675" s="8" t="str">
        <f ca="1">IFERROR(__xludf.DUMMYFUNCTION("""COMPUTED_VALUE"""),"Cooke, Arnold")</f>
        <v>Cooke, Arnold</v>
      </c>
      <c r="B1675" s="3">
        <f ca="1">IFERROR(__xludf.DUMMYFUNCTION("""COMPUTED_VALUE"""),1)</f>
        <v>1</v>
      </c>
      <c r="C1675" s="7">
        <f ca="1">IFERROR(__xludf.DUMMYFUNCTION("""COMPUTED_VALUE"""),1)</f>
        <v>1</v>
      </c>
      <c r="D1675" s="8">
        <f ca="1">IFERROR(__xludf.DUMMYFUNCTION("""COMPUTED_VALUE"""),5)</f>
        <v>5</v>
      </c>
      <c r="E1675" s="2">
        <f ca="1">IFERROR(__xludf.DUMMYFUNCTION("""COMPUTED_VALUE"""),2)</f>
        <v>2</v>
      </c>
    </row>
    <row r="1676" spans="1:5" ht="13">
      <c r="A1676" s="2" t="str">
        <f ca="1">IFERROR(__xludf.DUMMYFUNCTION("""COMPUTED_VALUE"""),"Cookson, Frank")</f>
        <v>Cookson, Frank</v>
      </c>
      <c r="B1676" s="3">
        <f ca="1">IFERROR(__xludf.DUMMYFUNCTION("""COMPUTED_VALUE"""),1)</f>
        <v>1</v>
      </c>
      <c r="C1676" s="7">
        <f ca="1">IFERROR(__xludf.DUMMYFUNCTION("""COMPUTED_VALUE"""),1)</f>
        <v>1</v>
      </c>
      <c r="D1676" s="8">
        <f ca="1">IFERROR(__xludf.DUMMYFUNCTION("""COMPUTED_VALUE"""),5)</f>
        <v>5</v>
      </c>
      <c r="E1676" s="2">
        <f ca="1">IFERROR(__xludf.DUMMYFUNCTION("""COMPUTED_VALUE"""),2)</f>
        <v>2</v>
      </c>
    </row>
    <row r="1677" spans="1:5" ht="13">
      <c r="A1677" s="2" t="str">
        <f ca="1">IFERROR(__xludf.DUMMYFUNCTION("""COMPUTED_VALUE"""),"Coolen, Michael")</f>
        <v>Coolen, Michael</v>
      </c>
      <c r="B1677" s="3">
        <f ca="1">IFERROR(__xludf.DUMMYFUNCTION("""COMPUTED_VALUE"""),1)</f>
        <v>1</v>
      </c>
      <c r="C1677" s="7">
        <f ca="1">IFERROR(__xludf.DUMMYFUNCTION("""COMPUTED_VALUE"""),1)</f>
        <v>1</v>
      </c>
      <c r="D1677" s="8">
        <f ca="1">IFERROR(__xludf.DUMMYFUNCTION("""COMPUTED_VALUE"""),1)</f>
        <v>1</v>
      </c>
      <c r="E1677" s="2">
        <f ca="1">IFERROR(__xludf.DUMMYFUNCTION("""COMPUTED_VALUE"""),1)</f>
        <v>1</v>
      </c>
    </row>
    <row r="1678" spans="1:5" ht="13">
      <c r="A1678" s="8" t="str">
        <f ca="1">IFERROR(__xludf.DUMMYFUNCTION("""COMPUTED_VALUE"""),"Cooley, Carlton")</f>
        <v>Cooley, Carlton</v>
      </c>
      <c r="B1678" s="2">
        <f ca="1">IFERROR(__xludf.DUMMYFUNCTION("""COMPUTED_VALUE"""),1)</f>
        <v>1</v>
      </c>
      <c r="C1678" s="7">
        <f ca="1">IFERROR(__xludf.DUMMYFUNCTION("""COMPUTED_VALUE"""),1)</f>
        <v>1</v>
      </c>
      <c r="D1678" s="8">
        <f ca="1">IFERROR(__xludf.DUMMYFUNCTION("""COMPUTED_VALUE"""),5)</f>
        <v>5</v>
      </c>
      <c r="E1678" s="2">
        <f ca="1">IFERROR(__xludf.DUMMYFUNCTION("""COMPUTED_VALUE"""),2)</f>
        <v>2</v>
      </c>
    </row>
    <row r="1679" spans="1:5" ht="13">
      <c r="A1679" s="2" t="str">
        <f ca="1">IFERROR(__xludf.DUMMYFUNCTION("""COMPUTED_VALUE"""),"Cooman, Carson")</f>
        <v>Cooman, Carson</v>
      </c>
      <c r="B1679" s="3">
        <f ca="1">IFERROR(__xludf.DUMMYFUNCTION("""COMPUTED_VALUE"""),1)</f>
        <v>1</v>
      </c>
      <c r="C1679" s="7">
        <f ca="1">IFERROR(__xludf.DUMMYFUNCTION("""COMPUTED_VALUE"""),1)</f>
        <v>1</v>
      </c>
      <c r="D1679" s="8">
        <f ca="1">IFERROR(__xludf.DUMMYFUNCTION("""COMPUTED_VALUE"""),1)</f>
        <v>1</v>
      </c>
      <c r="E1679" s="2">
        <f ca="1">IFERROR(__xludf.DUMMYFUNCTION("""COMPUTED_VALUE"""),1)</f>
        <v>1</v>
      </c>
    </row>
    <row r="1680" spans="1:5" ht="13">
      <c r="A1680" s="2" t="str">
        <f ca="1">IFERROR(__xludf.DUMMYFUNCTION("""COMPUTED_VALUE"""),"Cooper, Jack")</f>
        <v>Cooper, Jack</v>
      </c>
      <c r="B1680" s="3">
        <f ca="1">IFERROR(__xludf.DUMMYFUNCTION("""COMPUTED_VALUE"""),1)</f>
        <v>1</v>
      </c>
      <c r="C1680" s="7">
        <f ca="1">IFERROR(__xludf.DUMMYFUNCTION("""COMPUTED_VALUE"""),1)</f>
        <v>1</v>
      </c>
      <c r="D1680" s="8">
        <f ca="1">IFERROR(__xludf.DUMMYFUNCTION("""COMPUTED_VALUE"""),1)</f>
        <v>1</v>
      </c>
      <c r="E1680" s="2">
        <f ca="1">IFERROR(__xludf.DUMMYFUNCTION("""COMPUTED_VALUE"""),1)</f>
        <v>1</v>
      </c>
    </row>
    <row r="1681" spans="1:5" ht="13">
      <c r="A1681" s="8" t="str">
        <f ca="1">IFERROR(__xludf.DUMMYFUNCTION("""COMPUTED_VALUE"""),"Cooper, Jacob")</f>
        <v>Cooper, Jacob</v>
      </c>
      <c r="B1681" s="3">
        <f ca="1">IFERROR(__xludf.DUMMYFUNCTION("""COMPUTED_VALUE"""),1)</f>
        <v>1</v>
      </c>
      <c r="C1681" s="7">
        <f ca="1">IFERROR(__xludf.DUMMYFUNCTION("""COMPUTED_VALUE"""),1)</f>
        <v>1</v>
      </c>
      <c r="D1681" s="8">
        <f ca="1">IFERROR(__xludf.DUMMYFUNCTION("""COMPUTED_VALUE"""),1)</f>
        <v>1</v>
      </c>
      <c r="E1681" s="2">
        <f ca="1">IFERROR(__xludf.DUMMYFUNCTION("""COMPUTED_VALUE"""),1)</f>
        <v>1</v>
      </c>
    </row>
    <row r="1682" spans="1:5" ht="13">
      <c r="A1682" s="2" t="str">
        <f ca="1">IFERROR(__xludf.DUMMYFUNCTION("""COMPUTED_VALUE"""),"Cooper, Steve")</f>
        <v>Cooper, Steve</v>
      </c>
      <c r="B1682" s="3">
        <f ca="1">IFERROR(__xludf.DUMMYFUNCTION("""COMPUTED_VALUE"""),1)</f>
        <v>1</v>
      </c>
      <c r="C1682" s="7">
        <f ca="1">IFERROR(__xludf.DUMMYFUNCTION("""COMPUTED_VALUE"""),1)</f>
        <v>1</v>
      </c>
      <c r="D1682" s="8">
        <f ca="1">IFERROR(__xludf.DUMMYFUNCTION("""COMPUTED_VALUE"""),1)</f>
        <v>1</v>
      </c>
      <c r="E1682" s="2">
        <f ca="1">IFERROR(__xludf.DUMMYFUNCTION("""COMPUTED_VALUE"""),1)</f>
        <v>1</v>
      </c>
    </row>
    <row r="1683" spans="1:5" ht="13">
      <c r="A1683" s="2" t="str">
        <f ca="1">IFERROR(__xludf.DUMMYFUNCTION("""COMPUTED_VALUE"""),"Cooper, Timothy P.")</f>
        <v>Cooper, Timothy P.</v>
      </c>
      <c r="B1683" s="3">
        <f ca="1">IFERROR(__xludf.DUMMYFUNCTION("""COMPUTED_VALUE"""),1)</f>
        <v>1</v>
      </c>
      <c r="C1683" s="7">
        <f ca="1">IFERROR(__xludf.DUMMYFUNCTION("""COMPUTED_VALUE"""),1)</f>
        <v>1</v>
      </c>
      <c r="D1683" s="8">
        <f ca="1">IFERROR(__xludf.DUMMYFUNCTION("""COMPUTED_VALUE"""),1)</f>
        <v>1</v>
      </c>
      <c r="E1683" s="2">
        <f ca="1">IFERROR(__xludf.DUMMYFUNCTION("""COMPUTED_VALUE"""),1)</f>
        <v>1</v>
      </c>
    </row>
    <row r="1684" spans="1:5" ht="13">
      <c r="A1684" s="2" t="str">
        <f ca="1">IFERROR(__xludf.DUMMYFUNCTION("""COMPUTED_VALUE"""),"Coots, J. Fred")</f>
        <v>Coots, J. Fred</v>
      </c>
      <c r="B1684" s="3">
        <f ca="1">IFERROR(__xludf.DUMMYFUNCTION("""COMPUTED_VALUE"""),1)</f>
        <v>1</v>
      </c>
      <c r="C1684" s="7">
        <f ca="1">IFERROR(__xludf.DUMMYFUNCTION("""COMPUTED_VALUE"""),1)</f>
        <v>1</v>
      </c>
      <c r="D1684" s="8">
        <f ca="1">IFERROR(__xludf.DUMMYFUNCTION("""COMPUTED_VALUE"""),5)</f>
        <v>5</v>
      </c>
      <c r="E1684" s="2">
        <f ca="1">IFERROR(__xludf.DUMMYFUNCTION("""COMPUTED_VALUE"""),2)</f>
        <v>2</v>
      </c>
    </row>
    <row r="1685" spans="1:5" ht="13">
      <c r="A1685" s="8" t="str">
        <f ca="1">IFERROR(__xludf.DUMMYFUNCTION("""COMPUTED_VALUE"""),"Coots, J. Fred / Gillespie, Haven")</f>
        <v>Coots, J. Fred / Gillespie, Haven</v>
      </c>
      <c r="B1685" s="3">
        <f ca="1">IFERROR(__xludf.DUMMYFUNCTION("""COMPUTED_VALUE"""),1)</f>
        <v>1</v>
      </c>
      <c r="C1685" s="7">
        <f ca="1">IFERROR(__xludf.DUMMYFUNCTION("""COMPUTED_VALUE"""),1)</f>
        <v>1</v>
      </c>
      <c r="D1685" s="8">
        <f ca="1">IFERROR(__xludf.DUMMYFUNCTION("""COMPUTED_VALUE"""),5)</f>
        <v>5</v>
      </c>
      <c r="E1685" s="2">
        <f ca="1">IFERROR(__xludf.DUMMYFUNCTION("""COMPUTED_VALUE"""),2)</f>
        <v>2</v>
      </c>
    </row>
    <row r="1686" spans="1:5" ht="13">
      <c r="A1686" s="2" t="str">
        <f ca="1">IFERROR(__xludf.DUMMYFUNCTION("""COMPUTED_VALUE"""),"Coots, J. Fred / Lewis, Sam")</f>
        <v>Coots, J. Fred / Lewis, Sam</v>
      </c>
      <c r="B1686" s="2">
        <f ca="1">IFERROR(__xludf.DUMMYFUNCTION("""COMPUTED_VALUE"""),1)</f>
        <v>1</v>
      </c>
      <c r="C1686" s="7">
        <f ca="1">IFERROR(__xludf.DUMMYFUNCTION("""COMPUTED_VALUE"""),1)</f>
        <v>1</v>
      </c>
      <c r="D1686" s="8">
        <f ca="1">IFERROR(__xludf.DUMMYFUNCTION("""COMPUTED_VALUE"""),5)</f>
        <v>5</v>
      </c>
      <c r="E1686" s="2">
        <f ca="1">IFERROR(__xludf.DUMMYFUNCTION("""COMPUTED_VALUE"""),2)</f>
        <v>2</v>
      </c>
    </row>
    <row r="1687" spans="1:5" ht="13">
      <c r="A1687" s="8" t="str">
        <f ca="1">IFERROR(__xludf.DUMMYFUNCTION("""COMPUTED_VALUE"""),"Copeland, Stewart")</f>
        <v>Copeland, Stewart</v>
      </c>
      <c r="B1687" s="3">
        <f ca="1">IFERROR(__xludf.DUMMYFUNCTION("""COMPUTED_VALUE"""),1)</f>
        <v>1</v>
      </c>
      <c r="C1687" s="7">
        <f ca="1">IFERROR(__xludf.DUMMYFUNCTION("""COMPUTED_VALUE"""),1)</f>
        <v>1</v>
      </c>
      <c r="D1687" s="8">
        <f ca="1">IFERROR(__xludf.DUMMYFUNCTION("""COMPUTED_VALUE"""),1)</f>
        <v>1</v>
      </c>
      <c r="E1687" s="2">
        <f ca="1">IFERROR(__xludf.DUMMYFUNCTION("""COMPUTED_VALUE"""),1)</f>
        <v>1</v>
      </c>
    </row>
    <row r="1688" spans="1:5" ht="13">
      <c r="A1688" s="2" t="str">
        <f ca="1">IFERROR(__xludf.DUMMYFUNCTION("""COMPUTED_VALUE"""),"Copi, Ambroz")</f>
        <v>Copi, Ambroz</v>
      </c>
      <c r="B1688" s="2">
        <f ca="1">IFERROR(__xludf.DUMMYFUNCTION("""COMPUTED_VALUE"""),1)</f>
        <v>1</v>
      </c>
      <c r="C1688" s="7">
        <f ca="1">IFERROR(__xludf.DUMMYFUNCTION("""COMPUTED_VALUE"""),1)</f>
        <v>1</v>
      </c>
      <c r="D1688" s="8">
        <f ca="1">IFERROR(__xludf.DUMMYFUNCTION("""COMPUTED_VALUE"""),1)</f>
        <v>1</v>
      </c>
      <c r="E1688" s="2">
        <f ca="1">IFERROR(__xludf.DUMMYFUNCTION("""COMPUTED_VALUE"""),1)</f>
        <v>1</v>
      </c>
    </row>
    <row r="1689" spans="1:5" ht="13">
      <c r="A1689" s="8" t="str">
        <f ca="1">IFERROR(__xludf.DUMMYFUNCTION("""COMPUTED_VALUE"""),"Copland, Aaron")</f>
        <v>Copland, Aaron</v>
      </c>
      <c r="B1689" s="3">
        <f ca="1">IFERROR(__xludf.DUMMYFUNCTION("""COMPUTED_VALUE"""),1)</f>
        <v>1</v>
      </c>
      <c r="C1689" s="7">
        <f ca="1">IFERROR(__xludf.DUMMYFUNCTION("""COMPUTED_VALUE"""),1)</f>
        <v>1</v>
      </c>
      <c r="D1689" s="8">
        <f ca="1">IFERROR(__xludf.DUMMYFUNCTION("""COMPUTED_VALUE"""),5)</f>
        <v>5</v>
      </c>
      <c r="E1689" s="2">
        <f ca="1">IFERROR(__xludf.DUMMYFUNCTION("""COMPUTED_VALUE"""),2)</f>
        <v>2</v>
      </c>
    </row>
    <row r="1690" spans="1:5" ht="13">
      <c r="A1690" s="2" t="str">
        <f ca="1">IFERROR(__xludf.DUMMYFUNCTION("""COMPUTED_VALUE"""),"Copland, Aaron / Althouse, Jay")</f>
        <v>Copland, Aaron / Althouse, Jay</v>
      </c>
      <c r="B1690" s="3">
        <f ca="1">IFERROR(__xludf.DUMMYFUNCTION("""COMPUTED_VALUE"""),1)</f>
        <v>1</v>
      </c>
      <c r="C1690" s="7">
        <f ca="1">IFERROR(__xludf.DUMMYFUNCTION("""COMPUTED_VALUE"""),1)</f>
        <v>1</v>
      </c>
      <c r="D1690" s="8">
        <f ca="1">IFERROR(__xludf.DUMMYFUNCTION("""COMPUTED_VALUE"""),5)</f>
        <v>5</v>
      </c>
      <c r="E1690" s="2">
        <f ca="1">IFERROR(__xludf.DUMMYFUNCTION("""COMPUTED_VALUE"""),2)</f>
        <v>2</v>
      </c>
    </row>
    <row r="1691" spans="1:5" ht="13">
      <c r="A1691" s="2" t="str">
        <f ca="1">IFERROR(__xludf.DUMMYFUNCTION("""COMPUTED_VALUE"""),"Copland, Aaron / Brunner, David L.")</f>
        <v>Copland, Aaron / Brunner, David L.</v>
      </c>
      <c r="B1691" s="2">
        <f ca="1">IFERROR(__xludf.DUMMYFUNCTION("""COMPUTED_VALUE"""),1)</f>
        <v>1</v>
      </c>
      <c r="C1691" s="2">
        <f ca="1">IFERROR(__xludf.DUMMYFUNCTION("""COMPUTED_VALUE"""),1)</f>
        <v>1</v>
      </c>
      <c r="D1691" s="8">
        <f ca="1">IFERROR(__xludf.DUMMYFUNCTION("""COMPUTED_VALUE"""),5)</f>
        <v>5</v>
      </c>
      <c r="E1691" s="2">
        <f ca="1">IFERROR(__xludf.DUMMYFUNCTION("""COMPUTED_VALUE"""),2)</f>
        <v>2</v>
      </c>
    </row>
    <row r="1692" spans="1:5" ht="13">
      <c r="A1692" s="2" t="str">
        <f ca="1">IFERROR(__xludf.DUMMYFUNCTION("""COMPUTED_VALUE"""),"Copley, Evan")</f>
        <v>Copley, Evan</v>
      </c>
      <c r="B1692" s="3">
        <f ca="1">IFERROR(__xludf.DUMMYFUNCTION("""COMPUTED_VALUE"""),1)</f>
        <v>1</v>
      </c>
      <c r="C1692" s="7">
        <f ca="1">IFERROR(__xludf.DUMMYFUNCTION("""COMPUTED_VALUE"""),1)</f>
        <v>1</v>
      </c>
      <c r="D1692" s="8">
        <f ca="1">IFERROR(__xludf.DUMMYFUNCTION("""COMPUTED_VALUE"""),5)</f>
        <v>5</v>
      </c>
      <c r="E1692" s="2">
        <f ca="1">IFERROR(__xludf.DUMMYFUNCTION("""COMPUTED_VALUE"""),2)</f>
        <v>2</v>
      </c>
    </row>
    <row r="1693" spans="1:5" ht="13">
      <c r="A1693" s="2" t="str">
        <f ca="1">IFERROR(__xludf.DUMMYFUNCTION("""COMPUTED_VALUE"""),"Copley, R. Evan")</f>
        <v>Copley, R. Evan</v>
      </c>
      <c r="B1693" s="3">
        <f ca="1">IFERROR(__xludf.DUMMYFUNCTION("""COMPUTED_VALUE"""),1)</f>
        <v>1</v>
      </c>
      <c r="C1693" s="7">
        <f ca="1">IFERROR(__xludf.DUMMYFUNCTION("""COMPUTED_VALUE"""),1)</f>
        <v>1</v>
      </c>
      <c r="D1693" s="8">
        <f ca="1">IFERROR(__xludf.DUMMYFUNCTION("""COMPUTED_VALUE"""),1)</f>
        <v>1</v>
      </c>
      <c r="E1693" s="2">
        <f ca="1">IFERROR(__xludf.DUMMYFUNCTION("""COMPUTED_VALUE"""),1)</f>
        <v>1</v>
      </c>
    </row>
    <row r="1694" spans="1:5" ht="13">
      <c r="A1694" s="2" t="str">
        <f ca="1">IFERROR(__xludf.DUMMYFUNCTION("""COMPUTED_VALUE"""),"Corcoran, Jeremy")</f>
        <v>Corcoran, Jeremy</v>
      </c>
      <c r="B1694" s="3">
        <f ca="1">IFERROR(__xludf.DUMMYFUNCTION("""COMPUTED_VALUE"""),1)</f>
        <v>1</v>
      </c>
      <c r="C1694" s="7">
        <f ca="1">IFERROR(__xludf.DUMMYFUNCTION("""COMPUTED_VALUE"""),1)</f>
        <v>1</v>
      </c>
      <c r="D1694" s="8">
        <f ca="1">IFERROR(__xludf.DUMMYFUNCTION("""COMPUTED_VALUE"""),1)</f>
        <v>1</v>
      </c>
      <c r="E1694" s="2">
        <f ca="1">IFERROR(__xludf.DUMMYFUNCTION("""COMPUTED_VALUE"""),1)</f>
        <v>1</v>
      </c>
    </row>
    <row r="1695" spans="1:5" ht="13">
      <c r="A1695" s="2" t="str">
        <f ca="1">IFERROR(__xludf.DUMMYFUNCTION("""COMPUTED_VALUE"""),"Cordell, Blake")</f>
        <v>Cordell, Blake</v>
      </c>
      <c r="B1695" s="3">
        <f ca="1">IFERROR(__xludf.DUMMYFUNCTION("""COMPUTED_VALUE"""),1)</f>
        <v>1</v>
      </c>
      <c r="C1695" s="7">
        <f ca="1">IFERROR(__xludf.DUMMYFUNCTION("""COMPUTED_VALUE"""),1)</f>
        <v>1</v>
      </c>
      <c r="D1695" s="8">
        <f ca="1">IFERROR(__xludf.DUMMYFUNCTION("""COMPUTED_VALUE"""),1)</f>
        <v>1</v>
      </c>
      <c r="E1695" s="2">
        <f ca="1">IFERROR(__xludf.DUMMYFUNCTION("""COMPUTED_VALUE"""),1)</f>
        <v>1</v>
      </c>
    </row>
    <row r="1696" spans="1:5" ht="13">
      <c r="A1696" s="8" t="str">
        <f ca="1">IFERROR(__xludf.DUMMYFUNCTION("""COMPUTED_VALUE"""),"Corea, Chick")</f>
        <v>Corea, Chick</v>
      </c>
      <c r="B1696" s="3">
        <f ca="1">IFERROR(__xludf.DUMMYFUNCTION("""COMPUTED_VALUE"""),1)</f>
        <v>1</v>
      </c>
      <c r="C1696" s="7">
        <f ca="1">IFERROR(__xludf.DUMMYFUNCTION("""COMPUTED_VALUE"""),1)</f>
        <v>1</v>
      </c>
      <c r="D1696" s="8">
        <f ca="1">IFERROR(__xludf.DUMMYFUNCTION("""COMPUTED_VALUE"""),5)</f>
        <v>5</v>
      </c>
      <c r="E1696" s="2">
        <f ca="1">IFERROR(__xludf.DUMMYFUNCTION("""COMPUTED_VALUE"""),2)</f>
        <v>2</v>
      </c>
    </row>
    <row r="1697" spans="1:5" ht="13">
      <c r="A1697" s="2" t="str">
        <f ca="1">IFERROR(__xludf.DUMMYFUNCTION("""COMPUTED_VALUE"""),"Corea, Chick / Potter, Neville")</f>
        <v>Corea, Chick / Potter, Neville</v>
      </c>
      <c r="B1697" s="3">
        <f ca="1">IFERROR(__xludf.DUMMYFUNCTION("""COMPUTED_VALUE"""),1)</f>
        <v>1</v>
      </c>
      <c r="C1697" s="7">
        <f ca="1">IFERROR(__xludf.DUMMYFUNCTION("""COMPUTED_VALUE"""),1)</f>
        <v>1</v>
      </c>
      <c r="D1697" s="8">
        <f ca="1">IFERROR(__xludf.DUMMYFUNCTION("""COMPUTED_VALUE"""),5)</f>
        <v>5</v>
      </c>
      <c r="E1697" s="2">
        <f ca="1">IFERROR(__xludf.DUMMYFUNCTION("""COMPUTED_VALUE"""),2)</f>
        <v>2</v>
      </c>
    </row>
    <row r="1698" spans="1:5" ht="13">
      <c r="A1698" s="8" t="str">
        <f ca="1">IFERROR(__xludf.DUMMYFUNCTION("""COMPUTED_VALUE"""),"Corelli, Arcangelo")</f>
        <v>Corelli, Arcangelo</v>
      </c>
      <c r="B1698" s="3">
        <f ca="1">IFERROR(__xludf.DUMMYFUNCTION("""COMPUTED_VALUE"""),1)</f>
        <v>1</v>
      </c>
      <c r="C1698" s="7">
        <f ca="1">IFERROR(__xludf.DUMMYFUNCTION("""COMPUTED_VALUE"""),1)</f>
        <v>1</v>
      </c>
      <c r="D1698" s="8">
        <f ca="1">IFERROR(__xludf.DUMMYFUNCTION("""COMPUTED_VALUE"""),5)</f>
        <v>5</v>
      </c>
      <c r="E1698" s="2">
        <f ca="1">IFERROR(__xludf.DUMMYFUNCTION("""COMPUTED_VALUE"""),2)</f>
        <v>2</v>
      </c>
    </row>
    <row r="1699" spans="1:5" ht="13">
      <c r="A1699" s="8" t="str">
        <f ca="1">IFERROR(__xludf.DUMMYFUNCTION("""COMPUTED_VALUE"""),"Corelli, Arcangelo / Cowell, Henry / Miller, Malloy")</f>
        <v>Corelli, Arcangelo / Cowell, Henry / Miller, Malloy</v>
      </c>
      <c r="B1699" s="3">
        <f ca="1">IFERROR(__xludf.DUMMYFUNCTION("""COMPUTED_VALUE"""),1)</f>
        <v>1</v>
      </c>
      <c r="C1699" s="7">
        <f ca="1">IFERROR(__xludf.DUMMYFUNCTION("""COMPUTED_VALUE"""),1)</f>
        <v>1</v>
      </c>
      <c r="D1699" s="8">
        <f ca="1">IFERROR(__xludf.DUMMYFUNCTION("""COMPUTED_VALUE"""),5)</f>
        <v>5</v>
      </c>
      <c r="E1699" s="2">
        <f ca="1">IFERROR(__xludf.DUMMYFUNCTION("""COMPUTED_VALUE"""),2)</f>
        <v>2</v>
      </c>
    </row>
    <row r="1700" spans="1:5" ht="13">
      <c r="A1700" s="8" t="str">
        <f ca="1">IFERROR(__xludf.DUMMYFUNCTION("""COMPUTED_VALUE"""),"Corey, Charles")</f>
        <v>Corey, Charles</v>
      </c>
      <c r="B1700" s="3">
        <f ca="1">IFERROR(__xludf.DUMMYFUNCTION("""COMPUTED_VALUE"""),1)</f>
        <v>1</v>
      </c>
      <c r="C1700" s="7">
        <f ca="1">IFERROR(__xludf.DUMMYFUNCTION("""COMPUTED_VALUE"""),1)</f>
        <v>1</v>
      </c>
      <c r="D1700" s="8">
        <f ca="1">IFERROR(__xludf.DUMMYFUNCTION("""COMPUTED_VALUE"""),1)</f>
        <v>1</v>
      </c>
      <c r="E1700" s="2">
        <f ca="1">IFERROR(__xludf.DUMMYFUNCTION("""COMPUTED_VALUE"""),1)</f>
        <v>1</v>
      </c>
    </row>
    <row r="1701" spans="1:5" ht="13">
      <c r="A1701" s="2" t="str">
        <f ca="1">IFERROR(__xludf.DUMMYFUNCTION("""COMPUTED_VALUE"""),"Corfe, Joseph")</f>
        <v>Corfe, Joseph</v>
      </c>
      <c r="B1701" s="3">
        <f ca="1">IFERROR(__xludf.DUMMYFUNCTION("""COMPUTED_VALUE"""),1)</f>
        <v>1</v>
      </c>
      <c r="C1701" s="7">
        <f ca="1">IFERROR(__xludf.DUMMYFUNCTION("""COMPUTED_VALUE"""),1)</f>
        <v>1</v>
      </c>
      <c r="D1701" s="8">
        <f ca="1">IFERROR(__xludf.DUMMYFUNCTION("""COMPUTED_VALUE"""),5)</f>
        <v>5</v>
      </c>
      <c r="E1701" s="2">
        <f ca="1">IFERROR(__xludf.DUMMYFUNCTION("""COMPUTED_VALUE"""),2)</f>
        <v>2</v>
      </c>
    </row>
    <row r="1702" spans="1:5" ht="13">
      <c r="A1702" s="8" t="str">
        <f ca="1">IFERROR(__xludf.DUMMYFUNCTION("""COMPUTED_VALUE"""),"Corigliano, John")</f>
        <v>Corigliano, John</v>
      </c>
      <c r="B1702" s="3">
        <f ca="1">IFERROR(__xludf.DUMMYFUNCTION("""COMPUTED_VALUE"""),1)</f>
        <v>1</v>
      </c>
      <c r="C1702" s="7">
        <f ca="1">IFERROR(__xludf.DUMMYFUNCTION("""COMPUTED_VALUE"""),1)</f>
        <v>1</v>
      </c>
      <c r="D1702" s="8">
        <f ca="1">IFERROR(__xludf.DUMMYFUNCTION("""COMPUTED_VALUE"""),1)</f>
        <v>1</v>
      </c>
      <c r="E1702" s="2">
        <f ca="1">IFERROR(__xludf.DUMMYFUNCTION("""COMPUTED_VALUE"""),1)</f>
        <v>1</v>
      </c>
    </row>
    <row r="1703" spans="1:5" ht="13">
      <c r="A1703" s="8" t="str">
        <f ca="1">IFERROR(__xludf.DUMMYFUNCTION("""COMPUTED_VALUE"""),"Corina, John")</f>
        <v>Corina, John</v>
      </c>
      <c r="B1703" s="3">
        <f ca="1">IFERROR(__xludf.DUMMYFUNCTION("""COMPUTED_VALUE"""),1)</f>
        <v>1</v>
      </c>
      <c r="C1703" s="7">
        <f ca="1">IFERROR(__xludf.DUMMYFUNCTION("""COMPUTED_VALUE"""),1)</f>
        <v>1</v>
      </c>
      <c r="D1703" s="8">
        <f ca="1">IFERROR(__xludf.DUMMYFUNCTION("""COMPUTED_VALUE"""),5)</f>
        <v>5</v>
      </c>
      <c r="E1703" s="2">
        <f ca="1">IFERROR(__xludf.DUMMYFUNCTION("""COMPUTED_VALUE"""),2)</f>
        <v>2</v>
      </c>
    </row>
    <row r="1704" spans="1:5" ht="13">
      <c r="A1704" s="8" t="str">
        <f ca="1">IFERROR(__xludf.DUMMYFUNCTION("""COMPUTED_VALUE"""),"Corley, Alex")</f>
        <v>Corley, Alex</v>
      </c>
      <c r="B1704" s="3">
        <f ca="1">IFERROR(__xludf.DUMMYFUNCTION("""COMPUTED_VALUE"""),1)</f>
        <v>1</v>
      </c>
      <c r="C1704" s="7">
        <f ca="1">IFERROR(__xludf.DUMMYFUNCTION("""COMPUTED_VALUE"""),1)</f>
        <v>1</v>
      </c>
      <c r="D1704" s="8">
        <f ca="1">IFERROR(__xludf.DUMMYFUNCTION("""COMPUTED_VALUE"""),1)</f>
        <v>1</v>
      </c>
      <c r="E1704" s="2">
        <f ca="1">IFERROR(__xludf.DUMMYFUNCTION("""COMPUTED_VALUE"""),1)</f>
        <v>1</v>
      </c>
    </row>
    <row r="1705" spans="1:5" ht="13">
      <c r="A1705" s="8" t="str">
        <f ca="1">IFERROR(__xludf.DUMMYFUNCTION("""COMPUTED_VALUE"""),"Corley, John")</f>
        <v>Corley, John</v>
      </c>
      <c r="B1705" s="3">
        <f ca="1">IFERROR(__xludf.DUMMYFUNCTION("""COMPUTED_VALUE"""),1)</f>
        <v>1</v>
      </c>
      <c r="C1705" s="7">
        <f ca="1">IFERROR(__xludf.DUMMYFUNCTION("""COMPUTED_VALUE"""),1)</f>
        <v>1</v>
      </c>
      <c r="D1705" s="8">
        <f ca="1">IFERROR(__xludf.DUMMYFUNCTION("""COMPUTED_VALUE"""),5)</f>
        <v>5</v>
      </c>
      <c r="E1705" s="2">
        <f ca="1">IFERROR(__xludf.DUMMYFUNCTION("""COMPUTED_VALUE"""),2)</f>
        <v>2</v>
      </c>
    </row>
    <row r="1706" spans="1:5" ht="13">
      <c r="A1706" s="2" t="str">
        <f ca="1">IFERROR(__xludf.DUMMYFUNCTION("""COMPUTED_VALUE"""),"Corlis, Timothy")</f>
        <v>Corlis, Timothy</v>
      </c>
      <c r="B1706" s="3">
        <f ca="1">IFERROR(__xludf.DUMMYFUNCTION("""COMPUTED_VALUE"""),1)</f>
        <v>1</v>
      </c>
      <c r="C1706" s="7">
        <f ca="1">IFERROR(__xludf.DUMMYFUNCTION("""COMPUTED_VALUE"""),1)</f>
        <v>1</v>
      </c>
      <c r="D1706" s="8">
        <f ca="1">IFERROR(__xludf.DUMMYFUNCTION("""COMPUTED_VALUE"""),1)</f>
        <v>1</v>
      </c>
      <c r="E1706" s="2">
        <f ca="1">IFERROR(__xludf.DUMMYFUNCTION("""COMPUTED_VALUE"""),1)</f>
        <v>1</v>
      </c>
    </row>
    <row r="1707" spans="1:5" ht="13">
      <c r="A1707" s="2" t="str">
        <f ca="1">IFERROR(__xludf.DUMMYFUNCTION("""COMPUTED_VALUE"""),"Cornelius, Jack")</f>
        <v>Cornelius, Jack</v>
      </c>
      <c r="B1707" s="3">
        <f ca="1">IFERROR(__xludf.DUMMYFUNCTION("""COMPUTED_VALUE"""),1)</f>
        <v>1</v>
      </c>
      <c r="C1707" s="7">
        <f ca="1">IFERROR(__xludf.DUMMYFUNCTION("""COMPUTED_VALUE"""),1)</f>
        <v>1</v>
      </c>
      <c r="D1707" s="8">
        <f ca="1">IFERROR(__xludf.DUMMYFUNCTION("""COMPUTED_VALUE"""),5)</f>
        <v>5</v>
      </c>
      <c r="E1707" s="2">
        <f ca="1">IFERROR(__xludf.DUMMYFUNCTION("""COMPUTED_VALUE"""),2)</f>
        <v>2</v>
      </c>
    </row>
    <row r="1708" spans="1:5" ht="13">
      <c r="A1708" s="2" t="str">
        <f ca="1">IFERROR(__xludf.DUMMYFUNCTION("""COMPUTED_VALUE"""),"Cornelius, Peter")</f>
        <v>Cornelius, Peter</v>
      </c>
      <c r="B1708" s="3">
        <f ca="1">IFERROR(__xludf.DUMMYFUNCTION("""COMPUTED_VALUE"""),1)</f>
        <v>1</v>
      </c>
      <c r="C1708" s="7">
        <f ca="1">IFERROR(__xludf.DUMMYFUNCTION("""COMPUTED_VALUE"""),1)</f>
        <v>1</v>
      </c>
      <c r="D1708" s="8">
        <f ca="1">IFERROR(__xludf.DUMMYFUNCTION("""COMPUTED_VALUE"""),5)</f>
        <v>5</v>
      </c>
      <c r="E1708" s="2">
        <f ca="1">IFERROR(__xludf.DUMMYFUNCTION("""COMPUTED_VALUE"""),2)</f>
        <v>2</v>
      </c>
    </row>
    <row r="1709" spans="1:5" ht="13">
      <c r="A1709" s="2" t="str">
        <f ca="1">IFERROR(__xludf.DUMMYFUNCTION("""COMPUTED_VALUE"""),"Cornish, John")</f>
        <v>Cornish, John</v>
      </c>
      <c r="B1709" s="3">
        <f ca="1">IFERROR(__xludf.DUMMYFUNCTION("""COMPUTED_VALUE"""),1)</f>
        <v>1</v>
      </c>
      <c r="C1709" s="7">
        <f ca="1">IFERROR(__xludf.DUMMYFUNCTION("""COMPUTED_VALUE"""),1)</f>
        <v>1</v>
      </c>
      <c r="D1709" s="8">
        <f ca="1">IFERROR(__xludf.DUMMYFUNCTION("""COMPUTED_VALUE"""),1)</f>
        <v>1</v>
      </c>
      <c r="E1709" s="2">
        <f ca="1">IFERROR(__xludf.DUMMYFUNCTION("""COMPUTED_VALUE"""),1)</f>
        <v>1</v>
      </c>
    </row>
    <row r="1710" spans="1:5" ht="13">
      <c r="A1710" s="2" t="str">
        <f ca="1">IFERROR(__xludf.DUMMYFUNCTION("""COMPUTED_VALUE"""),"Cornysh, William")</f>
        <v>Cornysh, William</v>
      </c>
      <c r="B1710" s="3">
        <f ca="1">IFERROR(__xludf.DUMMYFUNCTION("""COMPUTED_VALUE"""),1)</f>
        <v>1</v>
      </c>
      <c r="C1710" s="7">
        <f ca="1">IFERROR(__xludf.DUMMYFUNCTION("""COMPUTED_VALUE"""),1)</f>
        <v>1</v>
      </c>
      <c r="D1710" s="8">
        <f ca="1">IFERROR(__xludf.DUMMYFUNCTION("""COMPUTED_VALUE"""),5)</f>
        <v>5</v>
      </c>
      <c r="E1710" s="2">
        <f ca="1">IFERROR(__xludf.DUMMYFUNCTION("""COMPUTED_VALUE"""),2)</f>
        <v>2</v>
      </c>
    </row>
    <row r="1711" spans="1:5" ht="13">
      <c r="A1711" s="8" t="str">
        <f ca="1">IFERROR(__xludf.DUMMYFUNCTION("""COMPUTED_VALUE"""),"Corozine, Vince")</f>
        <v>Corozine, Vince</v>
      </c>
      <c r="B1711" s="3">
        <f ca="1">IFERROR(__xludf.DUMMYFUNCTION("""COMPUTED_VALUE"""),1)</f>
        <v>1</v>
      </c>
      <c r="C1711" s="7">
        <f ca="1">IFERROR(__xludf.DUMMYFUNCTION("""COMPUTED_VALUE"""),1)</f>
        <v>1</v>
      </c>
      <c r="D1711" s="8">
        <f ca="1">IFERROR(__xludf.DUMMYFUNCTION("""COMPUTED_VALUE"""),1)</f>
        <v>1</v>
      </c>
      <c r="E1711" s="2">
        <f ca="1">IFERROR(__xludf.DUMMYFUNCTION("""COMPUTED_VALUE"""),1)</f>
        <v>1</v>
      </c>
    </row>
    <row r="1712" spans="1:5" ht="13">
      <c r="A1712" s="2" t="str">
        <f ca="1">IFERROR(__xludf.DUMMYFUNCTION("""COMPUTED_VALUE"""),"Corozine, Vincent")</f>
        <v>Corozine, Vincent</v>
      </c>
      <c r="B1712" s="2">
        <f ca="1">IFERROR(__xludf.DUMMYFUNCTION("""COMPUTED_VALUE"""),1)</f>
        <v>1</v>
      </c>
      <c r="C1712" s="7">
        <f ca="1">IFERROR(__xludf.DUMMYFUNCTION("""COMPUTED_VALUE"""),1)</f>
        <v>1</v>
      </c>
      <c r="D1712" s="8">
        <f ca="1">IFERROR(__xludf.DUMMYFUNCTION("""COMPUTED_VALUE"""),5)</f>
        <v>5</v>
      </c>
      <c r="E1712" s="2">
        <f ca="1">IFERROR(__xludf.DUMMYFUNCTION("""COMPUTED_VALUE"""),2)</f>
        <v>2</v>
      </c>
    </row>
    <row r="1713" spans="1:5" ht="13">
      <c r="A1713" s="2" t="str">
        <f ca="1">IFERROR(__xludf.DUMMYFUNCTION("""COMPUTED_VALUE"""),"Corp, Ronald")</f>
        <v>Corp, Ronald</v>
      </c>
      <c r="B1713" s="3">
        <f ca="1">IFERROR(__xludf.DUMMYFUNCTION("""COMPUTED_VALUE"""),1)</f>
        <v>1</v>
      </c>
      <c r="C1713" s="7">
        <f ca="1">IFERROR(__xludf.DUMMYFUNCTION("""COMPUTED_VALUE"""),1)</f>
        <v>1</v>
      </c>
      <c r="D1713" s="8">
        <f ca="1">IFERROR(__xludf.DUMMYFUNCTION("""COMPUTED_VALUE"""),1)</f>
        <v>1</v>
      </c>
      <c r="E1713" s="2">
        <f ca="1">IFERROR(__xludf.DUMMYFUNCTION("""COMPUTED_VALUE"""),1)</f>
        <v>1</v>
      </c>
    </row>
    <row r="1714" spans="1:5" ht="13">
      <c r="A1714" s="2" t="str">
        <f ca="1">IFERROR(__xludf.DUMMYFUNCTION("""COMPUTED_VALUE"""),"Corrette, Michael")</f>
        <v>Corrette, Michael</v>
      </c>
      <c r="B1714" s="2">
        <f ca="1">IFERROR(__xludf.DUMMYFUNCTION("""COMPUTED_VALUE"""),1)</f>
        <v>1</v>
      </c>
      <c r="C1714" s="7">
        <f ca="1">IFERROR(__xludf.DUMMYFUNCTION("""COMPUTED_VALUE"""),1)</f>
        <v>1</v>
      </c>
      <c r="D1714" s="8">
        <f ca="1">IFERROR(__xludf.DUMMYFUNCTION("""COMPUTED_VALUE"""),5)</f>
        <v>5</v>
      </c>
      <c r="E1714" s="2">
        <f ca="1">IFERROR(__xludf.DUMMYFUNCTION("""COMPUTED_VALUE"""),2)</f>
        <v>2</v>
      </c>
    </row>
    <row r="1715" spans="1:5" ht="13">
      <c r="A1715" s="2" t="str">
        <f ca="1">IFERROR(__xludf.DUMMYFUNCTION("""COMPUTED_VALUE"""),"Corrigan, Bruce")</f>
        <v>Corrigan, Bruce</v>
      </c>
      <c r="B1715" s="3">
        <f ca="1">IFERROR(__xludf.DUMMYFUNCTION("""COMPUTED_VALUE"""),1)</f>
        <v>1</v>
      </c>
      <c r="C1715" s="7">
        <f ca="1">IFERROR(__xludf.DUMMYFUNCTION("""COMPUTED_VALUE"""),1)</f>
        <v>1</v>
      </c>
      <c r="D1715" s="8">
        <f ca="1">IFERROR(__xludf.DUMMYFUNCTION("""COMPUTED_VALUE"""),1)</f>
        <v>1</v>
      </c>
      <c r="E1715" s="2">
        <f ca="1">IFERROR(__xludf.DUMMYFUNCTION("""COMPUTED_VALUE"""),1)</f>
        <v>1</v>
      </c>
    </row>
    <row r="1716" spans="1:5" ht="13">
      <c r="A1716" s="2" t="str">
        <f ca="1">IFERROR(__xludf.DUMMYFUNCTION("""COMPUTED_VALUE"""),"Corsi, Giuseppe")</f>
        <v>Corsi, Giuseppe</v>
      </c>
      <c r="B1716" s="3">
        <f ca="1">IFERROR(__xludf.DUMMYFUNCTION("""COMPUTED_VALUE"""),1)</f>
        <v>1</v>
      </c>
      <c r="C1716" s="7">
        <f ca="1">IFERROR(__xludf.DUMMYFUNCTION("""COMPUTED_VALUE"""),1)</f>
        <v>1</v>
      </c>
      <c r="D1716" s="8">
        <f ca="1">IFERROR(__xludf.DUMMYFUNCTION("""COMPUTED_VALUE"""),5)</f>
        <v>5</v>
      </c>
      <c r="E1716" s="2">
        <f ca="1">IFERROR(__xludf.DUMMYFUNCTION("""COMPUTED_VALUE"""),2)</f>
        <v>2</v>
      </c>
    </row>
    <row r="1717" spans="1:5" ht="13">
      <c r="A1717" s="2" t="str">
        <f ca="1">IFERROR(__xludf.DUMMYFUNCTION("""COMPUTED_VALUE"""),"Corteccia, Francesco")</f>
        <v>Corteccia, Francesco</v>
      </c>
      <c r="B1717" s="3">
        <f ca="1">IFERROR(__xludf.DUMMYFUNCTION("""COMPUTED_VALUE"""),1)</f>
        <v>1</v>
      </c>
      <c r="C1717" s="7">
        <f ca="1">IFERROR(__xludf.DUMMYFUNCTION("""COMPUTED_VALUE"""),1)</f>
        <v>1</v>
      </c>
      <c r="D1717" s="8">
        <f ca="1">IFERROR(__xludf.DUMMYFUNCTION("""COMPUTED_VALUE"""),5)</f>
        <v>5</v>
      </c>
      <c r="E1717" s="2">
        <f ca="1">IFERROR(__xludf.DUMMYFUNCTION("""COMPUTED_VALUE"""),2)</f>
        <v>2</v>
      </c>
    </row>
    <row r="1718" spans="1:5" ht="13">
      <c r="A1718" s="8" t="str">
        <f ca="1">IFERROR(__xludf.DUMMYFUNCTION("""COMPUTED_VALUE"""),"Cortes, Michael")</f>
        <v>Cortes, Michael</v>
      </c>
      <c r="B1718" s="3">
        <f ca="1">IFERROR(__xludf.DUMMYFUNCTION("""COMPUTED_VALUE"""),1)</f>
        <v>1</v>
      </c>
      <c r="C1718" s="7">
        <f ca="1">IFERROR(__xludf.DUMMYFUNCTION("""COMPUTED_VALUE"""),1)</f>
        <v>1</v>
      </c>
      <c r="D1718" s="8">
        <f ca="1">IFERROR(__xludf.DUMMYFUNCTION("""COMPUTED_VALUE"""),1)</f>
        <v>1</v>
      </c>
      <c r="E1718" s="2">
        <f ca="1">IFERROR(__xludf.DUMMYFUNCTION("""COMPUTED_VALUE"""),1)</f>
        <v>1</v>
      </c>
    </row>
    <row r="1719" spans="1:5" ht="13">
      <c r="A1719" s="2" t="str">
        <f ca="1">IFERROR(__xludf.DUMMYFUNCTION("""COMPUTED_VALUE"""),"Cortese, Glen")</f>
        <v>Cortese, Glen</v>
      </c>
      <c r="B1719" s="2">
        <f ca="1">IFERROR(__xludf.DUMMYFUNCTION("""COMPUTED_VALUE"""),1)</f>
        <v>1</v>
      </c>
      <c r="C1719" s="2">
        <f ca="1">IFERROR(__xludf.DUMMYFUNCTION("""COMPUTED_VALUE"""),1)</f>
        <v>1</v>
      </c>
      <c r="D1719" s="8">
        <f ca="1">IFERROR(__xludf.DUMMYFUNCTION("""COMPUTED_VALUE"""),1)</f>
        <v>1</v>
      </c>
      <c r="E1719" s="2">
        <f ca="1">IFERROR(__xludf.DUMMYFUNCTION("""COMPUTED_VALUE"""),1)</f>
        <v>1</v>
      </c>
    </row>
    <row r="1720" spans="1:5" ht="13">
      <c r="A1720" s="8" t="str">
        <f ca="1">IFERROR(__xludf.DUMMYFUNCTION("""COMPUTED_VALUE"""),"Cosma, Vladimir")</f>
        <v>Cosma, Vladimir</v>
      </c>
      <c r="B1720" s="3">
        <f ca="1">IFERROR(__xludf.DUMMYFUNCTION("""COMPUTED_VALUE"""),1)</f>
        <v>1</v>
      </c>
      <c r="C1720" s="7">
        <f ca="1">IFERROR(__xludf.DUMMYFUNCTION("""COMPUTED_VALUE"""),1)</f>
        <v>1</v>
      </c>
      <c r="D1720" s="8">
        <f ca="1">IFERROR(__xludf.DUMMYFUNCTION("""COMPUTED_VALUE"""),1)</f>
        <v>1</v>
      </c>
      <c r="E1720" s="2">
        <f ca="1">IFERROR(__xludf.DUMMYFUNCTION("""COMPUTED_VALUE"""),1)</f>
        <v>1</v>
      </c>
    </row>
    <row r="1721" spans="1:5" ht="13">
      <c r="A1721" s="2" t="str">
        <f ca="1">IFERROR(__xludf.DUMMYFUNCTION("""COMPUTED_VALUE"""),"Costantini, Alessandro")</f>
        <v>Costantini, Alessandro</v>
      </c>
      <c r="B1721" s="3">
        <f ca="1">IFERROR(__xludf.DUMMYFUNCTION("""COMPUTED_VALUE"""),1)</f>
        <v>1</v>
      </c>
      <c r="C1721" s="7">
        <f ca="1">IFERROR(__xludf.DUMMYFUNCTION("""COMPUTED_VALUE"""),1)</f>
        <v>1</v>
      </c>
      <c r="D1721" s="8">
        <f ca="1">IFERROR(__xludf.DUMMYFUNCTION("""COMPUTED_VALUE"""),5)</f>
        <v>5</v>
      </c>
      <c r="E1721" s="2">
        <f ca="1">IFERROR(__xludf.DUMMYFUNCTION("""COMPUTED_VALUE"""),2)</f>
        <v>2</v>
      </c>
    </row>
    <row r="1722" spans="1:5" ht="13">
      <c r="A1722" s="2" t="str">
        <f ca="1">IFERROR(__xludf.DUMMYFUNCTION("""COMPUTED_VALUE"""),"Costanza, Nicholas")</f>
        <v>Costanza, Nicholas</v>
      </c>
      <c r="B1722" s="3">
        <f ca="1">IFERROR(__xludf.DUMMYFUNCTION("""COMPUTED_VALUE"""),1)</f>
        <v>1</v>
      </c>
      <c r="C1722" s="7">
        <f ca="1">IFERROR(__xludf.DUMMYFUNCTION("""COMPUTED_VALUE"""),1)</f>
        <v>1</v>
      </c>
      <c r="D1722" s="8">
        <f ca="1">IFERROR(__xludf.DUMMYFUNCTION("""COMPUTED_VALUE"""),1)</f>
        <v>1</v>
      </c>
      <c r="E1722" s="2">
        <f ca="1">IFERROR(__xludf.DUMMYFUNCTION("""COMPUTED_VALUE"""),1)</f>
        <v>1</v>
      </c>
    </row>
    <row r="1723" spans="1:5" ht="13">
      <c r="A1723" s="8" t="str">
        <f ca="1">IFERROR(__xludf.DUMMYFUNCTION("""COMPUTED_VALUE"""),"Costanza, Nick")</f>
        <v>Costanza, Nick</v>
      </c>
      <c r="B1723" s="3">
        <f ca="1">IFERROR(__xludf.DUMMYFUNCTION("""COMPUTED_VALUE"""),1)</f>
        <v>1</v>
      </c>
      <c r="C1723" s="7">
        <f ca="1">IFERROR(__xludf.DUMMYFUNCTION("""COMPUTED_VALUE"""),1)</f>
        <v>1</v>
      </c>
      <c r="D1723" s="8">
        <f ca="1">IFERROR(__xludf.DUMMYFUNCTION("""COMPUTED_VALUE"""),1)</f>
        <v>1</v>
      </c>
      <c r="E1723" s="2">
        <f ca="1">IFERROR(__xludf.DUMMYFUNCTION("""COMPUTED_VALUE"""),1)</f>
        <v>1</v>
      </c>
    </row>
    <row r="1724" spans="1:5" ht="13">
      <c r="A1724" s="8" t="str">
        <f ca="1">IFERROR(__xludf.DUMMYFUNCTION("""COMPUTED_VALUE"""),"Costeley, Guillaume")</f>
        <v>Costeley, Guillaume</v>
      </c>
      <c r="B1724" s="3">
        <f ca="1">IFERROR(__xludf.DUMMYFUNCTION("""COMPUTED_VALUE"""),1)</f>
        <v>1</v>
      </c>
      <c r="C1724" s="7">
        <f ca="1">IFERROR(__xludf.DUMMYFUNCTION("""COMPUTED_VALUE"""),1)</f>
        <v>1</v>
      </c>
      <c r="D1724" s="8">
        <f ca="1">IFERROR(__xludf.DUMMYFUNCTION("""COMPUTED_VALUE"""),5)</f>
        <v>5</v>
      </c>
      <c r="E1724" s="2">
        <f ca="1">IFERROR(__xludf.DUMMYFUNCTION("""COMPUTED_VALUE"""),2)</f>
        <v>2</v>
      </c>
    </row>
    <row r="1725" spans="1:5" ht="13">
      <c r="A1725" s="2" t="str">
        <f ca="1">IFERROR(__xludf.DUMMYFUNCTION("""COMPUTED_VALUE"""),"Cotter, Bob")</f>
        <v>Cotter, Bob</v>
      </c>
      <c r="B1725" s="3">
        <f ca="1">IFERROR(__xludf.DUMMYFUNCTION("""COMPUTED_VALUE"""),1)</f>
        <v>1</v>
      </c>
      <c r="C1725" s="7">
        <f ca="1">IFERROR(__xludf.DUMMYFUNCTION("""COMPUTED_VALUE"""),1)</f>
        <v>1</v>
      </c>
      <c r="D1725" s="8">
        <f ca="1">IFERROR(__xludf.DUMMYFUNCTION("""COMPUTED_VALUE"""),1)</f>
        <v>1</v>
      </c>
      <c r="E1725" s="2">
        <f ca="1">IFERROR(__xludf.DUMMYFUNCTION("""COMPUTED_VALUE"""),1)</f>
        <v>1</v>
      </c>
    </row>
    <row r="1726" spans="1:5" ht="13">
      <c r="A1726" s="2" t="str">
        <f ca="1">IFERROR(__xludf.DUMMYFUNCTION("""COMPUTED_VALUE"""),"Cotton, M.J.")</f>
        <v>Cotton, M.J.</v>
      </c>
      <c r="B1726" s="3">
        <f ca="1">IFERROR(__xludf.DUMMYFUNCTION("""COMPUTED_VALUE"""),1)</f>
        <v>1</v>
      </c>
      <c r="C1726" s="7">
        <f ca="1">IFERROR(__xludf.DUMMYFUNCTION("""COMPUTED_VALUE"""),1)</f>
        <v>1</v>
      </c>
      <c r="D1726" s="8">
        <f ca="1">IFERROR(__xludf.DUMMYFUNCTION("""COMPUTED_VALUE"""),1)</f>
        <v>1</v>
      </c>
      <c r="E1726" s="2">
        <f ca="1">IFERROR(__xludf.DUMMYFUNCTION("""COMPUTED_VALUE"""),1)</f>
        <v>1</v>
      </c>
    </row>
    <row r="1727" spans="1:5" ht="13">
      <c r="A1727" s="2" t="str">
        <f ca="1">IFERROR(__xludf.DUMMYFUNCTION("""COMPUTED_VALUE"""),"Cotton, Michael")</f>
        <v>Cotton, Michael</v>
      </c>
      <c r="B1727" s="3">
        <f ca="1">IFERROR(__xludf.DUMMYFUNCTION("""COMPUTED_VALUE"""),1)</f>
        <v>1</v>
      </c>
      <c r="C1727" s="7">
        <f ca="1">IFERROR(__xludf.DUMMYFUNCTION("""COMPUTED_VALUE"""),1)</f>
        <v>1</v>
      </c>
      <c r="D1727" s="8">
        <f ca="1">IFERROR(__xludf.DUMMYFUNCTION("""COMPUTED_VALUE"""),1)</f>
        <v>1</v>
      </c>
      <c r="E1727" s="2">
        <f ca="1">IFERROR(__xludf.DUMMYFUNCTION("""COMPUTED_VALUE"""),1)</f>
        <v>1</v>
      </c>
    </row>
    <row r="1728" spans="1:5" ht="13">
      <c r="A1728" s="2" t="str">
        <f ca="1">IFERROR(__xludf.DUMMYFUNCTION("""COMPUTED_VALUE"""),"Cottrau, Giulio")</f>
        <v>Cottrau, Giulio</v>
      </c>
      <c r="B1728" s="2">
        <f ca="1">IFERROR(__xludf.DUMMYFUNCTION("""COMPUTED_VALUE"""),1)</f>
        <v>1</v>
      </c>
      <c r="C1728" s="7">
        <f ca="1">IFERROR(__xludf.DUMMYFUNCTION("""COMPUTED_VALUE"""),1)</f>
        <v>1</v>
      </c>
      <c r="D1728" s="8">
        <f ca="1">IFERROR(__xludf.DUMMYFUNCTION("""COMPUTED_VALUE"""),5)</f>
        <v>5</v>
      </c>
      <c r="E1728" s="2">
        <f ca="1">IFERROR(__xludf.DUMMYFUNCTION("""COMPUTED_VALUE"""),2)</f>
        <v>2</v>
      </c>
    </row>
    <row r="1729" spans="1:5" ht="13">
      <c r="A1729" s="2" t="str">
        <f ca="1">IFERROR(__xludf.DUMMYFUNCTION("""COMPUTED_VALUE"""),"Cottrau, Teodoro")</f>
        <v>Cottrau, Teodoro</v>
      </c>
      <c r="B1729" s="3">
        <f ca="1">IFERROR(__xludf.DUMMYFUNCTION("""COMPUTED_VALUE"""),1)</f>
        <v>1</v>
      </c>
      <c r="C1729" s="7">
        <f ca="1">IFERROR(__xludf.DUMMYFUNCTION("""COMPUTED_VALUE"""),1)</f>
        <v>1</v>
      </c>
      <c r="D1729" s="8">
        <f ca="1">IFERROR(__xludf.DUMMYFUNCTION("""COMPUTED_VALUE"""),5)</f>
        <v>5</v>
      </c>
      <c r="E1729" s="2">
        <f ca="1">IFERROR(__xludf.DUMMYFUNCTION("""COMPUTED_VALUE"""),2)</f>
        <v>2</v>
      </c>
    </row>
    <row r="1730" spans="1:5" ht="13">
      <c r="A1730" s="2" t="str">
        <f ca="1">IFERROR(__xludf.DUMMYFUNCTION("""COMPUTED_VALUE"""),"Couillart, Dulos")</f>
        <v>Couillart, Dulos</v>
      </c>
      <c r="B1730" s="3">
        <f ca="1">IFERROR(__xludf.DUMMYFUNCTION("""COMPUTED_VALUE"""),1)</f>
        <v>1</v>
      </c>
      <c r="C1730" s="7">
        <f ca="1">IFERROR(__xludf.DUMMYFUNCTION("""COMPUTED_VALUE"""),1)</f>
        <v>1</v>
      </c>
      <c r="D1730" s="8">
        <f ca="1">IFERROR(__xludf.DUMMYFUNCTION("""COMPUTED_VALUE"""),5)</f>
        <v>5</v>
      </c>
      <c r="E1730" s="2">
        <f ca="1">IFERROR(__xludf.DUMMYFUNCTION("""COMPUTED_VALUE"""),2)</f>
        <v>2</v>
      </c>
    </row>
    <row r="1731" spans="1:5" ht="13">
      <c r="A1731" s="2" t="str">
        <f ca="1">IFERROR(__xludf.DUMMYFUNCTION("""COMPUTED_VALUE"""),"Coulais, Bruno")</f>
        <v>Coulais, Bruno</v>
      </c>
      <c r="B1731" s="3">
        <f ca="1">IFERROR(__xludf.DUMMYFUNCTION("""COMPUTED_VALUE"""),1)</f>
        <v>1</v>
      </c>
      <c r="C1731" s="7">
        <f ca="1">IFERROR(__xludf.DUMMYFUNCTION("""COMPUTED_VALUE"""),1)</f>
        <v>1</v>
      </c>
      <c r="D1731" s="8">
        <f ca="1">IFERROR(__xludf.DUMMYFUNCTION("""COMPUTED_VALUE"""),1)</f>
        <v>1</v>
      </c>
      <c r="E1731" s="2">
        <f ca="1">IFERROR(__xludf.DUMMYFUNCTION("""COMPUTED_VALUE"""),1)</f>
        <v>1</v>
      </c>
    </row>
    <row r="1732" spans="1:5" ht="13">
      <c r="A1732" s="2" t="str">
        <f ca="1">IFERROR(__xludf.DUMMYFUNCTION("""COMPUTED_VALUE"""),"Coulter, Phil")</f>
        <v>Coulter, Phil</v>
      </c>
      <c r="B1732" s="3">
        <f ca="1">IFERROR(__xludf.DUMMYFUNCTION("""COMPUTED_VALUE"""),1)</f>
        <v>1</v>
      </c>
      <c r="C1732" s="7">
        <f ca="1">IFERROR(__xludf.DUMMYFUNCTION("""COMPUTED_VALUE"""),1)</f>
        <v>1</v>
      </c>
      <c r="D1732" s="8">
        <f ca="1">IFERROR(__xludf.DUMMYFUNCTION("""COMPUTED_VALUE"""),1)</f>
        <v>1</v>
      </c>
      <c r="E1732" s="2">
        <f ca="1">IFERROR(__xludf.DUMMYFUNCTION("""COMPUTED_VALUE"""),1)</f>
        <v>1</v>
      </c>
    </row>
    <row r="1733" spans="1:5" ht="13">
      <c r="A1733" s="8" t="str">
        <f ca="1">IFERROR(__xludf.DUMMYFUNCTION("""COMPUTED_VALUE"""),"Coulter, R. Scott")</f>
        <v>Coulter, R. Scott</v>
      </c>
      <c r="B1733" s="3">
        <f ca="1">IFERROR(__xludf.DUMMYFUNCTION("""COMPUTED_VALUE"""),1)</f>
        <v>1</v>
      </c>
      <c r="C1733" s="7">
        <f ca="1">IFERROR(__xludf.DUMMYFUNCTION("""COMPUTED_VALUE"""),1)</f>
        <v>1</v>
      </c>
      <c r="D1733" s="8">
        <f ca="1">IFERROR(__xludf.DUMMYFUNCTION("""COMPUTED_VALUE"""),5)</f>
        <v>5</v>
      </c>
      <c r="E1733" s="2">
        <f ca="1">IFERROR(__xludf.DUMMYFUNCTION("""COMPUTED_VALUE"""),2)</f>
        <v>2</v>
      </c>
    </row>
    <row r="1734" spans="1:5" ht="13">
      <c r="A1734" s="8" t="str">
        <f ca="1">IFERROR(__xludf.DUMMYFUNCTION("""COMPUTED_VALUE"""),"Council, Tom")</f>
        <v>Council, Tom</v>
      </c>
      <c r="B1734" s="3">
        <f ca="1">IFERROR(__xludf.DUMMYFUNCTION("""COMPUTED_VALUE"""),1)</f>
        <v>1</v>
      </c>
      <c r="C1734" s="7">
        <f ca="1">IFERROR(__xludf.DUMMYFUNCTION("""COMPUTED_VALUE"""),1)</f>
        <v>1</v>
      </c>
      <c r="D1734" s="8">
        <f ca="1">IFERROR(__xludf.DUMMYFUNCTION("""COMPUTED_VALUE"""),1)</f>
        <v>1</v>
      </c>
      <c r="E1734" s="2">
        <f ca="1">IFERROR(__xludf.DUMMYFUNCTION("""COMPUTED_VALUE"""),1)</f>
        <v>1</v>
      </c>
    </row>
    <row r="1735" spans="1:5" ht="13">
      <c r="A1735" s="8" t="str">
        <f ca="1">IFERROR(__xludf.DUMMYFUNCTION("""COMPUTED_VALUE"""),"Couperin, François")</f>
        <v>Couperin, François</v>
      </c>
      <c r="B1735" s="3">
        <f ca="1">IFERROR(__xludf.DUMMYFUNCTION("""COMPUTED_VALUE"""),1)</f>
        <v>1</v>
      </c>
      <c r="C1735" s="7">
        <f ca="1">IFERROR(__xludf.DUMMYFUNCTION("""COMPUTED_VALUE"""),1)</f>
        <v>1</v>
      </c>
      <c r="D1735" s="8">
        <f ca="1">IFERROR(__xludf.DUMMYFUNCTION("""COMPUTED_VALUE"""),5)</f>
        <v>5</v>
      </c>
      <c r="E1735" s="2">
        <f ca="1">IFERROR(__xludf.DUMMYFUNCTION("""COMPUTED_VALUE"""),2)</f>
        <v>2</v>
      </c>
    </row>
    <row r="1736" spans="1:5" ht="13">
      <c r="A1736" s="8" t="str">
        <f ca="1">IFERROR(__xludf.DUMMYFUNCTION("""COMPUTED_VALUE"""),"Couperin, LaCosta")</f>
        <v>Couperin, LaCosta</v>
      </c>
      <c r="B1736" s="3">
        <f ca="1">IFERROR(__xludf.DUMMYFUNCTION("""COMPUTED_VALUE"""),1)</f>
        <v>1</v>
      </c>
      <c r="C1736" s="7">
        <f ca="1">IFERROR(__xludf.DUMMYFUNCTION("""COMPUTED_VALUE"""),1)</f>
        <v>1</v>
      </c>
      <c r="D1736" s="8">
        <f ca="1">IFERROR(__xludf.DUMMYFUNCTION("""COMPUTED_VALUE"""),5)</f>
        <v>5</v>
      </c>
      <c r="E1736" s="2">
        <f ca="1">IFERROR(__xludf.DUMMYFUNCTION("""COMPUTED_VALUE"""),2)</f>
        <v>2</v>
      </c>
    </row>
    <row r="1737" spans="1:5" ht="13">
      <c r="A1737" s="2" t="str">
        <f ca="1">IFERROR(__xludf.DUMMYFUNCTION("""COMPUTED_VALUE"""),"Courage, Alexander and Fried, Gerald")</f>
        <v>Courage, Alexander and Fried, Gerald</v>
      </c>
      <c r="B1737" s="3">
        <f ca="1">IFERROR(__xludf.DUMMYFUNCTION("""COMPUTED_VALUE"""),1)</f>
        <v>1</v>
      </c>
      <c r="C1737" s="7">
        <f ca="1">IFERROR(__xludf.DUMMYFUNCTION("""COMPUTED_VALUE"""),1)</f>
        <v>1</v>
      </c>
      <c r="D1737" s="8">
        <f ca="1">IFERROR(__xludf.DUMMYFUNCTION("""COMPUTED_VALUE"""),5)</f>
        <v>5</v>
      </c>
      <c r="E1737" s="2">
        <f ca="1">IFERROR(__xludf.DUMMYFUNCTION("""COMPUTED_VALUE"""),2)</f>
        <v>2</v>
      </c>
    </row>
    <row r="1738" spans="1:5" ht="13">
      <c r="A1738" s="8" t="str">
        <f ca="1">IFERROR(__xludf.DUMMYFUNCTION("""COMPUTED_VALUE"""),"Court, Douglas")</f>
        <v>Court, Douglas</v>
      </c>
      <c r="B1738" s="3">
        <f ca="1">IFERROR(__xludf.DUMMYFUNCTION("""COMPUTED_VALUE"""),1)</f>
        <v>1</v>
      </c>
      <c r="C1738" s="7">
        <f ca="1">IFERROR(__xludf.DUMMYFUNCTION("""COMPUTED_VALUE"""),1)</f>
        <v>1</v>
      </c>
      <c r="D1738" s="8">
        <f ca="1">IFERROR(__xludf.DUMMYFUNCTION("""COMPUTED_VALUE"""),1)</f>
        <v>1</v>
      </c>
      <c r="E1738" s="2">
        <f ca="1">IFERROR(__xludf.DUMMYFUNCTION("""COMPUTED_VALUE"""),1)</f>
        <v>1</v>
      </c>
    </row>
    <row r="1739" spans="1:5" ht="13">
      <c r="A1739" s="2" t="str">
        <f ca="1">IFERROR(__xludf.DUMMYFUNCTION("""COMPUTED_VALUE"""),"Courtney, Craig")</f>
        <v>Courtney, Craig</v>
      </c>
      <c r="B1739" s="3">
        <f ca="1">IFERROR(__xludf.DUMMYFUNCTION("""COMPUTED_VALUE"""),1)</f>
        <v>1</v>
      </c>
      <c r="C1739" s="7">
        <f ca="1">IFERROR(__xludf.DUMMYFUNCTION("""COMPUTED_VALUE"""),1)</f>
        <v>1</v>
      </c>
      <c r="D1739" s="8">
        <f ca="1">IFERROR(__xludf.DUMMYFUNCTION("""COMPUTED_VALUE"""),1)</f>
        <v>1</v>
      </c>
      <c r="E1739" s="2">
        <f ca="1">IFERROR(__xludf.DUMMYFUNCTION("""COMPUTED_VALUE"""),1)</f>
        <v>1</v>
      </c>
    </row>
    <row r="1740" spans="1:5" ht="13">
      <c r="A1740" s="2" t="str">
        <f ca="1">IFERROR(__xludf.DUMMYFUNCTION("""COMPUTED_VALUE"""),"Cousins, M. Thomas")</f>
        <v>Cousins, M. Thomas</v>
      </c>
      <c r="B1740" s="3">
        <f ca="1">IFERROR(__xludf.DUMMYFUNCTION("""COMPUTED_VALUE"""),1)</f>
        <v>1</v>
      </c>
      <c r="C1740" s="7">
        <f ca="1">IFERROR(__xludf.DUMMYFUNCTION("""COMPUTED_VALUE"""),1)</f>
        <v>1</v>
      </c>
      <c r="D1740" s="8">
        <f ca="1">IFERROR(__xludf.DUMMYFUNCTION("""COMPUTED_VALUE"""),5)</f>
        <v>5</v>
      </c>
      <c r="E1740" s="2">
        <f ca="1">IFERROR(__xludf.DUMMYFUNCTION("""COMPUTED_VALUE"""),2)</f>
        <v>2</v>
      </c>
    </row>
    <row r="1741" spans="1:5" ht="13">
      <c r="A1741" s="8" t="str">
        <f ca="1">IFERROR(__xludf.DUMMYFUNCTION("""COMPUTED_VALUE"""),"Cowell, Henry")</f>
        <v>Cowell, Henry</v>
      </c>
      <c r="B1741" s="3">
        <f ca="1">IFERROR(__xludf.DUMMYFUNCTION("""COMPUTED_VALUE"""),1)</f>
        <v>1</v>
      </c>
      <c r="C1741" s="7">
        <f ca="1">IFERROR(__xludf.DUMMYFUNCTION("""COMPUTED_VALUE"""),1)</f>
        <v>1</v>
      </c>
      <c r="D1741" s="8">
        <f ca="1">IFERROR(__xludf.DUMMYFUNCTION("""COMPUTED_VALUE"""),5)</f>
        <v>5</v>
      </c>
      <c r="E1741" s="2">
        <f ca="1">IFERROR(__xludf.DUMMYFUNCTION("""COMPUTED_VALUE"""),2)</f>
        <v>2</v>
      </c>
    </row>
    <row r="1742" spans="1:5" ht="13">
      <c r="A1742" s="2" t="str">
        <f ca="1">IFERROR(__xludf.DUMMYFUNCTION("""COMPUTED_VALUE"""),"Cowen, Sir Frederic")</f>
        <v>Cowen, Sir Frederic</v>
      </c>
      <c r="B1742" s="2">
        <f ca="1">IFERROR(__xludf.DUMMYFUNCTION("""COMPUTED_VALUE"""),1)</f>
        <v>1</v>
      </c>
      <c r="C1742" s="7">
        <f ca="1">IFERROR(__xludf.DUMMYFUNCTION("""COMPUTED_VALUE"""),1)</f>
        <v>1</v>
      </c>
      <c r="D1742" s="8">
        <f ca="1">IFERROR(__xludf.DUMMYFUNCTION("""COMPUTED_VALUE"""),5)</f>
        <v>5</v>
      </c>
      <c r="E1742" s="2">
        <f ca="1">IFERROR(__xludf.DUMMYFUNCTION("""COMPUTED_VALUE"""),2)</f>
        <v>2</v>
      </c>
    </row>
    <row r="1743" spans="1:5" ht="13">
      <c r="A1743" s="2" t="str">
        <f ca="1">IFERROR(__xludf.DUMMYFUNCTION("""COMPUTED_VALUE"""),"Cowherd, Ron")</f>
        <v>Cowherd, Ron</v>
      </c>
      <c r="B1743" s="3">
        <f ca="1">IFERROR(__xludf.DUMMYFUNCTION("""COMPUTED_VALUE"""),1)</f>
        <v>1</v>
      </c>
      <c r="C1743" s="7">
        <f ca="1">IFERROR(__xludf.DUMMYFUNCTION("""COMPUTED_VALUE"""),1)</f>
        <v>1</v>
      </c>
      <c r="D1743" s="8">
        <f ca="1">IFERROR(__xludf.DUMMYFUNCTION("""COMPUTED_VALUE"""),1)</f>
        <v>1</v>
      </c>
      <c r="E1743" s="2">
        <f ca="1">IFERROR(__xludf.DUMMYFUNCTION("""COMPUTED_VALUE"""),1)</f>
        <v>1</v>
      </c>
    </row>
    <row r="1744" spans="1:5" ht="13">
      <c r="A1744" s="2" t="str">
        <f ca="1">IFERROR(__xludf.DUMMYFUNCTION("""COMPUTED_VALUE"""),"Cox, David")</f>
        <v>Cox, David</v>
      </c>
      <c r="B1744" s="3">
        <f ca="1">IFERROR(__xludf.DUMMYFUNCTION("""COMPUTED_VALUE"""),1)</f>
        <v>1</v>
      </c>
      <c r="C1744" s="7">
        <f ca="1">IFERROR(__xludf.DUMMYFUNCTION("""COMPUTED_VALUE"""),1)</f>
        <v>1</v>
      </c>
      <c r="D1744" s="8">
        <f ca="1">IFERROR(__xludf.DUMMYFUNCTION("""COMPUTED_VALUE"""),5)</f>
        <v>5</v>
      </c>
      <c r="E1744" s="2">
        <f ca="1">IFERROR(__xludf.DUMMYFUNCTION("""COMPUTED_VALUE"""),2)</f>
        <v>2</v>
      </c>
    </row>
    <row r="1745" spans="1:5" ht="13">
      <c r="A1745" s="2" t="str">
        <f ca="1">IFERROR(__xludf.DUMMYFUNCTION("""COMPUTED_VALUE"""),"Cox, Joe")</f>
        <v>Cox, Joe</v>
      </c>
      <c r="B1745" s="3">
        <f ca="1">IFERROR(__xludf.DUMMYFUNCTION("""COMPUTED_VALUE"""),1)</f>
        <v>1</v>
      </c>
      <c r="C1745" s="7">
        <f ca="1">IFERROR(__xludf.DUMMYFUNCTION("""COMPUTED_VALUE"""),1)</f>
        <v>1</v>
      </c>
      <c r="D1745" s="8">
        <f ca="1">IFERROR(__xludf.DUMMYFUNCTION("""COMPUTED_VALUE"""),1)</f>
        <v>1</v>
      </c>
      <c r="E1745" s="2">
        <f ca="1">IFERROR(__xludf.DUMMYFUNCTION("""COMPUTED_VALUE"""),1)</f>
        <v>1</v>
      </c>
    </row>
    <row r="1746" spans="1:5" ht="13">
      <c r="A1746" s="8" t="str">
        <f ca="1">IFERROR(__xludf.DUMMYFUNCTION("""COMPUTED_VALUE"""),"Cox, Leonard RR")</f>
        <v>Cox, Leonard RR</v>
      </c>
      <c r="B1746" s="3">
        <f ca="1">IFERROR(__xludf.DUMMYFUNCTION("""COMPUTED_VALUE"""),1)</f>
        <v>1</v>
      </c>
      <c r="C1746" s="7">
        <f ca="1">IFERROR(__xludf.DUMMYFUNCTION("""COMPUTED_VALUE"""),1)</f>
        <v>1</v>
      </c>
      <c r="D1746" s="8">
        <f ca="1">IFERROR(__xludf.DUMMYFUNCTION("""COMPUTED_VALUE"""),1)</f>
        <v>1</v>
      </c>
      <c r="E1746" s="2">
        <f ca="1">IFERROR(__xludf.DUMMYFUNCTION("""COMPUTED_VALUE"""),1)</f>
        <v>1</v>
      </c>
    </row>
    <row r="1747" spans="1:5" ht="13">
      <c r="A1747" s="2" t="str">
        <f ca="1">IFERROR(__xludf.DUMMYFUNCTION("""COMPUTED_VALUE"""),"Cox, Michael")</f>
        <v>Cox, Michael</v>
      </c>
      <c r="B1747" s="3">
        <f ca="1">IFERROR(__xludf.DUMMYFUNCTION("""COMPUTED_VALUE"""),1)</f>
        <v>1</v>
      </c>
      <c r="C1747" s="7">
        <f ca="1">IFERROR(__xludf.DUMMYFUNCTION("""COMPUTED_VALUE"""),1)</f>
        <v>1</v>
      </c>
      <c r="D1747" s="8">
        <f ca="1">IFERROR(__xludf.DUMMYFUNCTION("""COMPUTED_VALUE"""),1)</f>
        <v>1</v>
      </c>
      <c r="E1747" s="2">
        <f ca="1">IFERROR(__xludf.DUMMYFUNCTION("""COMPUTED_VALUE"""),1)</f>
        <v>1</v>
      </c>
    </row>
    <row r="1748" spans="1:5" ht="13">
      <c r="A1748" s="2" t="str">
        <f ca="1">IFERROR(__xludf.DUMMYFUNCTION("""COMPUTED_VALUE"""),"Cox, Richard")</f>
        <v>Cox, Richard</v>
      </c>
      <c r="B1748" s="2">
        <f ca="1">IFERROR(__xludf.DUMMYFUNCTION("""COMPUTED_VALUE"""),1)</f>
        <v>1</v>
      </c>
      <c r="C1748" s="2">
        <f ca="1">IFERROR(__xludf.DUMMYFUNCTION("""COMPUTED_VALUE"""),1)</f>
        <v>1</v>
      </c>
      <c r="D1748" s="8">
        <f ca="1">IFERROR(__xludf.DUMMYFUNCTION("""COMPUTED_VALUE"""),1)</f>
        <v>1</v>
      </c>
      <c r="E1748" s="2">
        <f ca="1">IFERROR(__xludf.DUMMYFUNCTION("""COMPUTED_VALUE"""),1)</f>
        <v>1</v>
      </c>
    </row>
    <row r="1749" spans="1:5" ht="13">
      <c r="A1749" s="2" t="str">
        <f ca="1">IFERROR(__xludf.DUMMYFUNCTION("""COMPUTED_VALUE"""),"Cox, Ronald")</f>
        <v>Cox, Ronald</v>
      </c>
      <c r="B1749" s="3">
        <f ca="1">IFERROR(__xludf.DUMMYFUNCTION("""COMPUTED_VALUE"""),1)</f>
        <v>1</v>
      </c>
      <c r="C1749" s="7">
        <f ca="1">IFERROR(__xludf.DUMMYFUNCTION("""COMPUTED_VALUE"""),1)</f>
        <v>1</v>
      </c>
      <c r="D1749" s="8">
        <f ca="1">IFERROR(__xludf.DUMMYFUNCTION("""COMPUTED_VALUE"""),1)</f>
        <v>1</v>
      </c>
      <c r="E1749" s="2">
        <f ca="1">IFERROR(__xludf.DUMMYFUNCTION("""COMPUTED_VALUE"""),1)</f>
        <v>1</v>
      </c>
    </row>
    <row r="1750" spans="1:5" ht="13">
      <c r="A1750" s="2" t="str">
        <f ca="1">IFERROR(__xludf.DUMMYFUNCTION("""COMPUTED_VALUE"""),"Craff, Luis")</f>
        <v>Craff, Luis</v>
      </c>
      <c r="B1750" s="3">
        <f ca="1">IFERROR(__xludf.DUMMYFUNCTION("""COMPUTED_VALUE"""),1)</f>
        <v>1</v>
      </c>
      <c r="C1750" s="7">
        <f ca="1">IFERROR(__xludf.DUMMYFUNCTION("""COMPUTED_VALUE"""),1)</f>
        <v>1</v>
      </c>
      <c r="D1750" s="8">
        <f ca="1">IFERROR(__xludf.DUMMYFUNCTION("""COMPUTED_VALUE"""),1)</f>
        <v>1</v>
      </c>
      <c r="E1750" s="2">
        <f ca="1">IFERROR(__xludf.DUMMYFUNCTION("""COMPUTED_VALUE"""),1)</f>
        <v>1</v>
      </c>
    </row>
    <row r="1751" spans="1:5" ht="13">
      <c r="A1751" s="8" t="str">
        <f ca="1">IFERROR(__xludf.DUMMYFUNCTION("""COMPUTED_VALUE"""),"Craig, Don")</f>
        <v>Craig, Don</v>
      </c>
      <c r="B1751" s="3">
        <f ca="1">IFERROR(__xludf.DUMMYFUNCTION("""COMPUTED_VALUE"""),1)</f>
        <v>1</v>
      </c>
      <c r="C1751" s="7">
        <f ca="1">IFERROR(__xludf.DUMMYFUNCTION("""COMPUTED_VALUE"""),1)</f>
        <v>1</v>
      </c>
      <c r="D1751" s="8">
        <f ca="1">IFERROR(__xludf.DUMMYFUNCTION("""COMPUTED_VALUE"""),5)</f>
        <v>5</v>
      </c>
      <c r="E1751" s="2">
        <f ca="1">IFERROR(__xludf.DUMMYFUNCTION("""COMPUTED_VALUE"""),2)</f>
        <v>2</v>
      </c>
    </row>
    <row r="1752" spans="1:5" ht="13">
      <c r="A1752" s="8" t="str">
        <f ca="1">IFERROR(__xludf.DUMMYFUNCTION("""COMPUTED_VALUE"""),"Craig, Don / Mason, Harold")</f>
        <v>Craig, Don / Mason, Harold</v>
      </c>
      <c r="B1752" s="3">
        <f ca="1">IFERROR(__xludf.DUMMYFUNCTION("""COMPUTED_VALUE"""),1)</f>
        <v>1</v>
      </c>
      <c r="C1752" s="7">
        <f ca="1">IFERROR(__xludf.DUMMYFUNCTION("""COMPUTED_VALUE"""),1)</f>
        <v>1</v>
      </c>
      <c r="D1752" s="8">
        <f ca="1">IFERROR(__xludf.DUMMYFUNCTION("""COMPUTED_VALUE"""),5)</f>
        <v>5</v>
      </c>
      <c r="E1752" s="2">
        <f ca="1">IFERROR(__xludf.DUMMYFUNCTION("""COMPUTED_VALUE"""),2)</f>
        <v>2</v>
      </c>
    </row>
    <row r="1753" spans="1:5" ht="13">
      <c r="A1753" s="2" t="str">
        <f ca="1">IFERROR(__xludf.DUMMYFUNCTION("""COMPUTED_VALUE"""),"Cramer, John")</f>
        <v>Cramer, John</v>
      </c>
      <c r="B1753" s="2">
        <f ca="1">IFERROR(__xludf.DUMMYFUNCTION("""COMPUTED_VALUE"""),1)</f>
        <v>1</v>
      </c>
      <c r="C1753" s="2">
        <f ca="1">IFERROR(__xludf.DUMMYFUNCTION("""COMPUTED_VALUE"""),1)</f>
        <v>1</v>
      </c>
      <c r="D1753" s="8">
        <f ca="1">IFERROR(__xludf.DUMMYFUNCTION("""COMPUTED_VALUE"""),1)</f>
        <v>1</v>
      </c>
      <c r="E1753" s="2">
        <f ca="1">IFERROR(__xludf.DUMMYFUNCTION("""COMPUTED_VALUE"""),1)</f>
        <v>1</v>
      </c>
    </row>
    <row r="1754" spans="1:5" ht="13">
      <c r="A1754" s="8" t="str">
        <f ca="1">IFERROR(__xludf.DUMMYFUNCTION("""COMPUTED_VALUE"""),"Cramer, Ray")</f>
        <v>Cramer, Ray</v>
      </c>
      <c r="B1754" s="3">
        <f ca="1">IFERROR(__xludf.DUMMYFUNCTION("""COMPUTED_VALUE"""),1)</f>
        <v>1</v>
      </c>
      <c r="C1754" s="7">
        <f ca="1">IFERROR(__xludf.DUMMYFUNCTION("""COMPUTED_VALUE"""),1)</f>
        <v>1</v>
      </c>
      <c r="D1754" s="8">
        <f ca="1">IFERROR(__xludf.DUMMYFUNCTION("""COMPUTED_VALUE"""),1)</f>
        <v>1</v>
      </c>
      <c r="E1754" s="2">
        <f ca="1">IFERROR(__xludf.DUMMYFUNCTION("""COMPUTED_VALUE"""),1)</f>
        <v>1</v>
      </c>
    </row>
    <row r="1755" spans="1:5" ht="13">
      <c r="A1755" s="2" t="str">
        <f ca="1">IFERROR(__xludf.DUMMYFUNCTION("""COMPUTED_VALUE"""),"Cramer, Trevor")</f>
        <v>Cramer, Trevor</v>
      </c>
      <c r="B1755" s="3">
        <f ca="1">IFERROR(__xludf.DUMMYFUNCTION("""COMPUTED_VALUE"""),1)</f>
        <v>1</v>
      </c>
      <c r="C1755" s="7">
        <f ca="1">IFERROR(__xludf.DUMMYFUNCTION("""COMPUTED_VALUE"""),1)</f>
        <v>1</v>
      </c>
      <c r="D1755" s="8">
        <f ca="1">IFERROR(__xludf.DUMMYFUNCTION("""COMPUTED_VALUE"""),1)</f>
        <v>1</v>
      </c>
      <c r="E1755" s="2">
        <f ca="1">IFERROR(__xludf.DUMMYFUNCTION("""COMPUTED_VALUE"""),1)</f>
        <v>1</v>
      </c>
    </row>
    <row r="1756" spans="1:5" ht="13">
      <c r="A1756" s="8" t="str">
        <f ca="1">IFERROR(__xludf.DUMMYFUNCTION("""COMPUTED_VALUE"""),"Crane, Lawrence")</f>
        <v>Crane, Lawrence</v>
      </c>
      <c r="B1756" s="3">
        <f ca="1">IFERROR(__xludf.DUMMYFUNCTION("""COMPUTED_VALUE"""),1)</f>
        <v>1</v>
      </c>
      <c r="C1756" s="7">
        <f ca="1">IFERROR(__xludf.DUMMYFUNCTION("""COMPUTED_VALUE"""),1)</f>
        <v>1</v>
      </c>
      <c r="D1756" s="8">
        <f ca="1">IFERROR(__xludf.DUMMYFUNCTION("""COMPUTED_VALUE"""),1)</f>
        <v>1</v>
      </c>
      <c r="E1756" s="2">
        <f ca="1">IFERROR(__xludf.DUMMYFUNCTION("""COMPUTED_VALUE"""),1)</f>
        <v>1</v>
      </c>
    </row>
    <row r="1757" spans="1:5" ht="13">
      <c r="A1757" s="8" t="str">
        <f ca="1">IFERROR(__xludf.DUMMYFUNCTION("""COMPUTED_VALUE"""),"Cravens, Paul")</f>
        <v>Cravens, Paul</v>
      </c>
      <c r="B1757" s="3">
        <f ca="1">IFERROR(__xludf.DUMMYFUNCTION("""COMPUTED_VALUE"""),1)</f>
        <v>1</v>
      </c>
      <c r="C1757" s="7">
        <f ca="1">IFERROR(__xludf.DUMMYFUNCTION("""COMPUTED_VALUE"""),1)</f>
        <v>1</v>
      </c>
      <c r="D1757" s="8">
        <f ca="1">IFERROR(__xludf.DUMMYFUNCTION("""COMPUTED_VALUE"""),1)</f>
        <v>1</v>
      </c>
      <c r="E1757" s="2">
        <f ca="1">IFERROR(__xludf.DUMMYFUNCTION("""COMPUTED_VALUE"""),1)</f>
        <v>1</v>
      </c>
    </row>
    <row r="1758" spans="1:5" ht="13">
      <c r="A1758" s="2" t="str">
        <f ca="1">IFERROR(__xludf.DUMMYFUNCTION("""COMPUTED_VALUE"""),"Crawford, Robert")</f>
        <v>Crawford, Robert</v>
      </c>
      <c r="B1758" s="3">
        <f ca="1">IFERROR(__xludf.DUMMYFUNCTION("""COMPUTED_VALUE"""),1)</f>
        <v>1</v>
      </c>
      <c r="C1758" s="7">
        <f ca="1">IFERROR(__xludf.DUMMYFUNCTION("""COMPUTED_VALUE"""),1)</f>
        <v>1</v>
      </c>
      <c r="D1758" s="8">
        <f ca="1">IFERROR(__xludf.DUMMYFUNCTION("""COMPUTED_VALUE"""),5)</f>
        <v>5</v>
      </c>
      <c r="E1758" s="2">
        <f ca="1">IFERROR(__xludf.DUMMYFUNCTION("""COMPUTED_VALUE"""),2)</f>
        <v>2</v>
      </c>
    </row>
    <row r="1759" spans="1:5" ht="13">
      <c r="A1759" s="8" t="str">
        <f ca="1">IFERROR(__xludf.DUMMYFUNCTION("""COMPUTED_VALUE"""),"Creatore, Giuseppe")</f>
        <v>Creatore, Giuseppe</v>
      </c>
      <c r="B1759" s="3">
        <f ca="1">IFERROR(__xludf.DUMMYFUNCTION("""COMPUTED_VALUE"""),1)</f>
        <v>1</v>
      </c>
      <c r="C1759" s="7">
        <f ca="1">IFERROR(__xludf.DUMMYFUNCTION("""COMPUTED_VALUE"""),1)</f>
        <v>1</v>
      </c>
      <c r="D1759" s="8">
        <f ca="1">IFERROR(__xludf.DUMMYFUNCTION("""COMPUTED_VALUE"""),5)</f>
        <v>5</v>
      </c>
      <c r="E1759" s="2">
        <f ca="1">IFERROR(__xludf.DUMMYFUNCTION("""COMPUTED_VALUE"""),2)</f>
        <v>2</v>
      </c>
    </row>
    <row r="1760" spans="1:5" ht="13">
      <c r="A1760" s="8" t="str">
        <f ca="1">IFERROR(__xludf.DUMMYFUNCTION("""COMPUTED_VALUE"""),"Crees, Eric")</f>
        <v>Crees, Eric</v>
      </c>
      <c r="B1760" s="3">
        <f ca="1">IFERROR(__xludf.DUMMYFUNCTION("""COMPUTED_VALUE"""),1)</f>
        <v>1</v>
      </c>
      <c r="C1760" s="7">
        <f ca="1">IFERROR(__xludf.DUMMYFUNCTION("""COMPUTED_VALUE"""),1)</f>
        <v>1</v>
      </c>
      <c r="D1760" s="8">
        <f ca="1">IFERROR(__xludf.DUMMYFUNCTION("""COMPUTED_VALUE"""),1)</f>
        <v>1</v>
      </c>
      <c r="E1760" s="2">
        <f ca="1">IFERROR(__xludf.DUMMYFUNCTION("""COMPUTED_VALUE"""),1)</f>
        <v>1</v>
      </c>
    </row>
    <row r="1761" spans="1:5" ht="13">
      <c r="A1761" s="8" t="str">
        <f ca="1">IFERROR(__xludf.DUMMYFUNCTION("""COMPUTED_VALUE"""),"Crenshaw, Randy")</f>
        <v>Crenshaw, Randy</v>
      </c>
      <c r="B1761" s="3">
        <f ca="1">IFERROR(__xludf.DUMMYFUNCTION("""COMPUTED_VALUE"""),1)</f>
        <v>1</v>
      </c>
      <c r="C1761" s="7">
        <f ca="1">IFERROR(__xludf.DUMMYFUNCTION("""COMPUTED_VALUE"""),1)</f>
        <v>1</v>
      </c>
      <c r="D1761" s="8">
        <f ca="1">IFERROR(__xludf.DUMMYFUNCTION("""COMPUTED_VALUE"""),1)</f>
        <v>1</v>
      </c>
      <c r="E1761" s="2">
        <f ca="1">IFERROR(__xludf.DUMMYFUNCTION("""COMPUTED_VALUE"""),1)</f>
        <v>1</v>
      </c>
    </row>
    <row r="1762" spans="1:5" ht="13">
      <c r="A1762" s="8" t="str">
        <f ca="1">IFERROR(__xludf.DUMMYFUNCTION("""COMPUTED_VALUE"""),"Creston, Paul")</f>
        <v>Creston, Paul</v>
      </c>
      <c r="B1762" s="3">
        <f ca="1">IFERROR(__xludf.DUMMYFUNCTION("""COMPUTED_VALUE"""),1)</f>
        <v>1</v>
      </c>
      <c r="C1762" s="7">
        <f ca="1">IFERROR(__xludf.DUMMYFUNCTION("""COMPUTED_VALUE"""),1)</f>
        <v>1</v>
      </c>
      <c r="D1762" s="8">
        <f ca="1">IFERROR(__xludf.DUMMYFUNCTION("""COMPUTED_VALUE"""),5)</f>
        <v>5</v>
      </c>
      <c r="E1762" s="2">
        <f ca="1">IFERROR(__xludf.DUMMYFUNCTION("""COMPUTED_VALUE"""),2)</f>
        <v>2</v>
      </c>
    </row>
    <row r="1763" spans="1:5" ht="13">
      <c r="A1763" s="2" t="str">
        <f ca="1">IFERROR(__xludf.DUMMYFUNCTION("""COMPUTED_VALUE"""),"Criddle, Reed")</f>
        <v>Criddle, Reed</v>
      </c>
      <c r="B1763" s="3">
        <f ca="1">IFERROR(__xludf.DUMMYFUNCTION("""COMPUTED_VALUE"""),1)</f>
        <v>1</v>
      </c>
      <c r="C1763" s="7">
        <f ca="1">IFERROR(__xludf.DUMMYFUNCTION("""COMPUTED_VALUE"""),1)</f>
        <v>1</v>
      </c>
      <c r="D1763" s="8">
        <f ca="1">IFERROR(__xludf.DUMMYFUNCTION("""COMPUTED_VALUE"""),1)</f>
        <v>1</v>
      </c>
      <c r="E1763" s="2">
        <f ca="1">IFERROR(__xludf.DUMMYFUNCTION("""COMPUTED_VALUE"""),1)</f>
        <v>1</v>
      </c>
    </row>
    <row r="1764" spans="1:5" ht="13">
      <c r="A1764" s="2" t="str">
        <f ca="1">IFERROR(__xludf.DUMMYFUNCTION("""COMPUTED_VALUE"""),"Cristopher, Keith")</f>
        <v>Cristopher, Keith</v>
      </c>
      <c r="B1764" s="3">
        <f ca="1">IFERROR(__xludf.DUMMYFUNCTION("""COMPUTED_VALUE"""),1)</f>
        <v>1</v>
      </c>
      <c r="C1764" s="7">
        <f ca="1">IFERROR(__xludf.DUMMYFUNCTION("""COMPUTED_VALUE"""),1)</f>
        <v>1</v>
      </c>
      <c r="D1764" s="8">
        <f ca="1">IFERROR(__xludf.DUMMYFUNCTION("""COMPUTED_VALUE"""),1)</f>
        <v>1</v>
      </c>
      <c r="E1764" s="2">
        <f ca="1">IFERROR(__xludf.DUMMYFUNCTION("""COMPUTED_VALUE"""),1)</f>
        <v>1</v>
      </c>
    </row>
    <row r="1765" spans="1:5" ht="13">
      <c r="A1765" s="8" t="str">
        <f ca="1">IFERROR(__xludf.DUMMYFUNCTION("""COMPUTED_VALUE"""),"Croce, Giovanni")</f>
        <v>Croce, Giovanni</v>
      </c>
      <c r="B1765" s="3">
        <f ca="1">IFERROR(__xludf.DUMMYFUNCTION("""COMPUTED_VALUE"""),1)</f>
        <v>1</v>
      </c>
      <c r="C1765" s="7">
        <f ca="1">IFERROR(__xludf.DUMMYFUNCTION("""COMPUTED_VALUE"""),1)</f>
        <v>1</v>
      </c>
      <c r="D1765" s="8">
        <f ca="1">IFERROR(__xludf.DUMMYFUNCTION("""COMPUTED_VALUE"""),5)</f>
        <v>5</v>
      </c>
      <c r="E1765" s="2">
        <f ca="1">IFERROR(__xludf.DUMMYFUNCTION("""COMPUTED_VALUE"""),2)</f>
        <v>2</v>
      </c>
    </row>
    <row r="1766" spans="1:5" ht="13">
      <c r="A1766" s="2" t="str">
        <f ca="1">IFERROR(__xludf.DUMMYFUNCTION("""COMPUTED_VALUE"""),"Crockett, McKay")</f>
        <v>Crockett, McKay</v>
      </c>
      <c r="B1766" s="3">
        <f ca="1">IFERROR(__xludf.DUMMYFUNCTION("""COMPUTED_VALUE"""),1)</f>
        <v>1</v>
      </c>
      <c r="C1766" s="7">
        <f ca="1">IFERROR(__xludf.DUMMYFUNCTION("""COMPUTED_VALUE"""),1)</f>
        <v>1</v>
      </c>
      <c r="D1766" s="8">
        <f ca="1">IFERROR(__xludf.DUMMYFUNCTION("""COMPUTED_VALUE"""),1)</f>
        <v>1</v>
      </c>
      <c r="E1766" s="2">
        <f ca="1">IFERROR(__xludf.DUMMYFUNCTION("""COMPUTED_VALUE"""),1)</f>
        <v>1</v>
      </c>
    </row>
    <row r="1767" spans="1:5" ht="13">
      <c r="A1767" s="8" t="str">
        <f ca="1">IFERROR(__xludf.DUMMYFUNCTION("""COMPUTED_VALUE"""),"Croft, James")</f>
        <v>Croft, James</v>
      </c>
      <c r="B1767" s="3">
        <f ca="1">IFERROR(__xludf.DUMMYFUNCTION("""COMPUTED_VALUE"""),1)</f>
        <v>1</v>
      </c>
      <c r="C1767" s="7">
        <f ca="1">IFERROR(__xludf.DUMMYFUNCTION("""COMPUTED_VALUE"""),1)</f>
        <v>1</v>
      </c>
      <c r="D1767" s="8">
        <f ca="1">IFERROR(__xludf.DUMMYFUNCTION("""COMPUTED_VALUE"""),5)</f>
        <v>5</v>
      </c>
      <c r="E1767" s="2">
        <f ca="1">IFERROR(__xludf.DUMMYFUNCTION("""COMPUTED_VALUE"""),2)</f>
        <v>2</v>
      </c>
    </row>
    <row r="1768" spans="1:5" ht="13">
      <c r="A1768" s="8" t="str">
        <f ca="1">IFERROR(__xludf.DUMMYFUNCTION("""COMPUTED_VALUE"""),"Croft, William")</f>
        <v>Croft, William</v>
      </c>
      <c r="B1768" s="3">
        <f ca="1">IFERROR(__xludf.DUMMYFUNCTION("""COMPUTED_VALUE"""),1)</f>
        <v>1</v>
      </c>
      <c r="C1768" s="7">
        <f ca="1">IFERROR(__xludf.DUMMYFUNCTION("""COMPUTED_VALUE"""),1)</f>
        <v>1</v>
      </c>
      <c r="D1768" s="8">
        <f ca="1">IFERROR(__xludf.DUMMYFUNCTION("""COMPUTED_VALUE"""),5)</f>
        <v>5</v>
      </c>
      <c r="E1768" s="2">
        <f ca="1">IFERROR(__xludf.DUMMYFUNCTION("""COMPUTED_VALUE"""),2)</f>
        <v>2</v>
      </c>
    </row>
    <row r="1769" spans="1:5" ht="13">
      <c r="A1769" s="8" t="str">
        <f ca="1">IFERROR(__xludf.DUMMYFUNCTION("""COMPUTED_VALUE"""),"Crombie, Tony")</f>
        <v>Crombie, Tony</v>
      </c>
      <c r="B1769" s="3">
        <f ca="1">IFERROR(__xludf.DUMMYFUNCTION("""COMPUTED_VALUE"""),1)</f>
        <v>1</v>
      </c>
      <c r="C1769" s="7">
        <f ca="1">IFERROR(__xludf.DUMMYFUNCTION("""COMPUTED_VALUE"""),1)</f>
        <v>1</v>
      </c>
      <c r="D1769" s="8">
        <f ca="1">IFERROR(__xludf.DUMMYFUNCTION("""COMPUTED_VALUE"""),1)</f>
        <v>1</v>
      </c>
      <c r="E1769" s="2">
        <f ca="1">IFERROR(__xludf.DUMMYFUNCTION("""COMPUTED_VALUE"""),1)</f>
        <v>1</v>
      </c>
    </row>
    <row r="1770" spans="1:5" ht="13">
      <c r="A1770" s="2" t="str">
        <f ca="1">IFERROR(__xludf.DUMMYFUNCTION("""COMPUTED_VALUE"""),"Crosby, Bing / Stone, Wilson")</f>
        <v>Crosby, Bing / Stone, Wilson</v>
      </c>
      <c r="B1770" s="2">
        <f ca="1">IFERROR(__xludf.DUMMYFUNCTION("""COMPUTED_VALUE"""),1)</f>
        <v>1</v>
      </c>
      <c r="C1770" s="7">
        <f ca="1">IFERROR(__xludf.DUMMYFUNCTION("""COMPUTED_VALUE"""),1)</f>
        <v>1</v>
      </c>
      <c r="D1770" s="8">
        <f ca="1">IFERROR(__xludf.DUMMYFUNCTION("""COMPUTED_VALUE"""),5)</f>
        <v>5</v>
      </c>
      <c r="E1770" s="2">
        <f ca="1">IFERROR(__xludf.DUMMYFUNCTION("""COMPUTED_VALUE"""),2)</f>
        <v>2</v>
      </c>
    </row>
    <row r="1771" spans="1:5" ht="13">
      <c r="A1771" s="2" t="str">
        <f ca="1">IFERROR(__xludf.DUMMYFUNCTION("""COMPUTED_VALUE"""),"Crosby, Richard")</f>
        <v>Crosby, Richard</v>
      </c>
      <c r="B1771" s="3">
        <f ca="1">IFERROR(__xludf.DUMMYFUNCTION("""COMPUTED_VALUE"""),1)</f>
        <v>1</v>
      </c>
      <c r="C1771" s="7">
        <f ca="1">IFERROR(__xludf.DUMMYFUNCTION("""COMPUTED_VALUE"""),1)</f>
        <v>1</v>
      </c>
      <c r="D1771" s="8">
        <f ca="1">IFERROR(__xludf.DUMMYFUNCTION("""COMPUTED_VALUE"""),1)</f>
        <v>1</v>
      </c>
      <c r="E1771" s="2">
        <f ca="1">IFERROR(__xludf.DUMMYFUNCTION("""COMPUTED_VALUE"""),1)</f>
        <v>1</v>
      </c>
    </row>
    <row r="1772" spans="1:5" ht="13">
      <c r="A1772" s="8" t="str">
        <f ca="1">IFERROR(__xludf.DUMMYFUNCTION("""COMPUTED_VALUE"""),"Crosmer, Jeremy")</f>
        <v>Crosmer, Jeremy</v>
      </c>
      <c r="B1772" s="3">
        <f ca="1">IFERROR(__xludf.DUMMYFUNCTION("""COMPUTED_VALUE"""),1)</f>
        <v>1</v>
      </c>
      <c r="C1772" s="7">
        <f ca="1">IFERROR(__xludf.DUMMYFUNCTION("""COMPUTED_VALUE"""),1)</f>
        <v>1</v>
      </c>
      <c r="D1772" s="8">
        <f ca="1">IFERROR(__xludf.DUMMYFUNCTION("""COMPUTED_VALUE"""),1)</f>
        <v>1</v>
      </c>
      <c r="E1772" s="2">
        <f ca="1">IFERROR(__xludf.DUMMYFUNCTION("""COMPUTED_VALUE"""),1)</f>
        <v>1</v>
      </c>
    </row>
    <row r="1773" spans="1:5" ht="13">
      <c r="A1773" s="8" t="str">
        <f ca="1">IFERROR(__xludf.DUMMYFUNCTION("""COMPUTED_VALUE"""),"Cross, Dave")</f>
        <v>Cross, Dave</v>
      </c>
      <c r="B1773" s="3">
        <f ca="1">IFERROR(__xludf.DUMMYFUNCTION("""COMPUTED_VALUE"""),1)</f>
        <v>1</v>
      </c>
      <c r="C1773" s="7">
        <f ca="1">IFERROR(__xludf.DUMMYFUNCTION("""COMPUTED_VALUE"""),1)</f>
        <v>1</v>
      </c>
      <c r="D1773" s="8">
        <f ca="1">IFERROR(__xludf.DUMMYFUNCTION("""COMPUTED_VALUE"""),1)</f>
        <v>1</v>
      </c>
      <c r="E1773" s="2">
        <f ca="1">IFERROR(__xludf.DUMMYFUNCTION("""COMPUTED_VALUE"""),1)</f>
        <v>1</v>
      </c>
    </row>
    <row r="1774" spans="1:5" ht="13">
      <c r="A1774" s="8" t="str">
        <f ca="1">IFERROR(__xludf.DUMMYFUNCTION("""COMPUTED_VALUE"""),"Cross, Dougles")</f>
        <v>Cross, Dougles</v>
      </c>
      <c r="B1774" s="3">
        <f ca="1">IFERROR(__xludf.DUMMYFUNCTION("""COMPUTED_VALUE"""),1)</f>
        <v>1</v>
      </c>
      <c r="C1774" s="7">
        <f ca="1">IFERROR(__xludf.DUMMYFUNCTION("""COMPUTED_VALUE"""),1)</f>
        <v>1</v>
      </c>
      <c r="D1774" s="8">
        <f ca="1">IFERROR(__xludf.DUMMYFUNCTION("""COMPUTED_VALUE"""),1)</f>
        <v>1</v>
      </c>
      <c r="E1774" s="2">
        <f ca="1">IFERROR(__xludf.DUMMYFUNCTION("""COMPUTED_VALUE"""),1)</f>
        <v>1</v>
      </c>
    </row>
    <row r="1775" spans="1:5" ht="13">
      <c r="A1775" s="2" t="str">
        <f ca="1">IFERROR(__xludf.DUMMYFUNCTION("""COMPUTED_VALUE"""),"Crotch, William")</f>
        <v>Crotch, William</v>
      </c>
      <c r="B1775" s="3">
        <f ca="1">IFERROR(__xludf.DUMMYFUNCTION("""COMPUTED_VALUE"""),1)</f>
        <v>1</v>
      </c>
      <c r="C1775" s="7">
        <f ca="1">IFERROR(__xludf.DUMMYFUNCTION("""COMPUTED_VALUE"""),1)</f>
        <v>1</v>
      </c>
      <c r="D1775" s="8">
        <f ca="1">IFERROR(__xludf.DUMMYFUNCTION("""COMPUTED_VALUE"""),5)</f>
        <v>5</v>
      </c>
      <c r="E1775" s="2">
        <f ca="1">IFERROR(__xludf.DUMMYFUNCTION("""COMPUTED_VALUE"""),2)</f>
        <v>2</v>
      </c>
    </row>
    <row r="1776" spans="1:5" ht="13">
      <c r="A1776" s="2" t="str">
        <f ca="1">IFERROR(__xludf.DUMMYFUNCTION("""COMPUTED_VALUE"""),"Crotty, Mike")</f>
        <v>Crotty, Mike</v>
      </c>
      <c r="B1776" s="3">
        <f ca="1">IFERROR(__xludf.DUMMYFUNCTION("""COMPUTED_VALUE"""),1)</f>
        <v>1</v>
      </c>
      <c r="C1776" s="7">
        <f ca="1">IFERROR(__xludf.DUMMYFUNCTION("""COMPUTED_VALUE"""),1)</f>
        <v>1</v>
      </c>
      <c r="D1776" s="8">
        <f ca="1">IFERROR(__xludf.DUMMYFUNCTION("""COMPUTED_VALUE"""),1)</f>
        <v>1</v>
      </c>
      <c r="E1776" s="2">
        <f ca="1">IFERROR(__xludf.DUMMYFUNCTION("""COMPUTED_VALUE"""),1)</f>
        <v>1</v>
      </c>
    </row>
    <row r="1777" spans="1:5" ht="13">
      <c r="A1777" s="2" t="str">
        <f ca="1">IFERROR(__xludf.DUMMYFUNCTION("""COMPUTED_VALUE"""),"Crouch, Shawn")</f>
        <v>Crouch, Shawn</v>
      </c>
      <c r="B1777" s="3">
        <f ca="1">IFERROR(__xludf.DUMMYFUNCTION("""COMPUTED_VALUE"""),1)</f>
        <v>1</v>
      </c>
      <c r="C1777" s="7">
        <f ca="1">IFERROR(__xludf.DUMMYFUNCTION("""COMPUTED_VALUE"""),1)</f>
        <v>1</v>
      </c>
      <c r="D1777" s="8">
        <f ca="1">IFERROR(__xludf.DUMMYFUNCTION("""COMPUTED_VALUE"""),1)</f>
        <v>1</v>
      </c>
      <c r="E1777" s="2">
        <f ca="1">IFERROR(__xludf.DUMMYFUNCTION("""COMPUTED_VALUE"""),1)</f>
        <v>1</v>
      </c>
    </row>
    <row r="1778" spans="1:5" ht="13">
      <c r="A1778" s="8" t="str">
        <f ca="1">IFERROR(__xludf.DUMMYFUNCTION("""COMPUTED_VALUE"""),"Cruger, Johann")</f>
        <v>Cruger, Johann</v>
      </c>
      <c r="B1778" s="3">
        <f ca="1">IFERROR(__xludf.DUMMYFUNCTION("""COMPUTED_VALUE"""),1)</f>
        <v>1</v>
      </c>
      <c r="C1778" s="7">
        <f ca="1">IFERROR(__xludf.DUMMYFUNCTION("""COMPUTED_VALUE"""),1)</f>
        <v>1</v>
      </c>
      <c r="D1778" s="8">
        <f ca="1">IFERROR(__xludf.DUMMYFUNCTION("""COMPUTED_VALUE"""),5)</f>
        <v>5</v>
      </c>
      <c r="E1778" s="2">
        <f ca="1">IFERROR(__xludf.DUMMYFUNCTION("""COMPUTED_VALUE"""),2)</f>
        <v>2</v>
      </c>
    </row>
    <row r="1779" spans="1:5" ht="13">
      <c r="A1779" s="8" t="str">
        <f ca="1">IFERROR(__xludf.DUMMYFUNCTION("""COMPUTED_VALUE"""),"Cruixent, Ferran")</f>
        <v>Cruixent, Ferran</v>
      </c>
      <c r="B1779" s="3">
        <f ca="1">IFERROR(__xludf.DUMMYFUNCTION("""COMPUTED_VALUE"""),1)</f>
        <v>1</v>
      </c>
      <c r="C1779" s="7">
        <f ca="1">IFERROR(__xludf.DUMMYFUNCTION("""COMPUTED_VALUE"""),1)</f>
        <v>1</v>
      </c>
      <c r="D1779" s="8">
        <f ca="1">IFERROR(__xludf.DUMMYFUNCTION("""COMPUTED_VALUE"""),1)</f>
        <v>1</v>
      </c>
      <c r="E1779" s="2">
        <f ca="1">IFERROR(__xludf.DUMMYFUNCTION("""COMPUTED_VALUE"""),1)</f>
        <v>1</v>
      </c>
    </row>
    <row r="1780" spans="1:5" ht="13">
      <c r="A1780" s="8" t="str">
        <f ca="1">IFERROR(__xludf.DUMMYFUNCTION("""COMPUTED_VALUE"""),"Crumb, George")</f>
        <v>Crumb, George</v>
      </c>
      <c r="B1780" s="3">
        <f ca="1">IFERROR(__xludf.DUMMYFUNCTION("""COMPUTED_VALUE"""),1)</f>
        <v>1</v>
      </c>
      <c r="C1780" s="7">
        <f ca="1">IFERROR(__xludf.DUMMYFUNCTION("""COMPUTED_VALUE"""),1)</f>
        <v>1</v>
      </c>
      <c r="D1780" s="8">
        <f ca="1">IFERROR(__xludf.DUMMYFUNCTION("""COMPUTED_VALUE"""),1)</f>
        <v>1</v>
      </c>
      <c r="E1780" s="2">
        <f ca="1">IFERROR(__xludf.DUMMYFUNCTION("""COMPUTED_VALUE"""),1)</f>
        <v>1</v>
      </c>
    </row>
    <row r="1781" spans="1:5" ht="13">
      <c r="A1781" s="8" t="str">
        <f ca="1">IFERROR(__xludf.DUMMYFUNCTION("""COMPUTED_VALUE"""),"Crummel, Jerry")</f>
        <v>Crummel, Jerry</v>
      </c>
      <c r="B1781" s="3">
        <f ca="1">IFERROR(__xludf.DUMMYFUNCTION("""COMPUTED_VALUE"""),1)</f>
        <v>1</v>
      </c>
      <c r="C1781" s="7">
        <f ca="1">IFERROR(__xludf.DUMMYFUNCTION("""COMPUTED_VALUE"""),1)</f>
        <v>1</v>
      </c>
      <c r="D1781" s="8">
        <f ca="1">IFERROR(__xludf.DUMMYFUNCTION("""COMPUTED_VALUE"""),1)</f>
        <v>1</v>
      </c>
      <c r="E1781" s="2">
        <f ca="1">IFERROR(__xludf.DUMMYFUNCTION("""COMPUTED_VALUE"""),1)</f>
        <v>1</v>
      </c>
    </row>
    <row r="1782" spans="1:5" ht="13">
      <c r="A1782" s="2" t="str">
        <f ca="1">IFERROR(__xludf.DUMMYFUNCTION("""COMPUTED_VALUE"""),"Crump, Robert")</f>
        <v>Crump, Robert</v>
      </c>
      <c r="B1782" s="3">
        <f ca="1">IFERROR(__xludf.DUMMYFUNCTION("""COMPUTED_VALUE"""),1)</f>
        <v>1</v>
      </c>
      <c r="C1782" s="7">
        <f ca="1">IFERROR(__xludf.DUMMYFUNCTION("""COMPUTED_VALUE"""),1)</f>
        <v>1</v>
      </c>
      <c r="D1782" s="8">
        <f ca="1">IFERROR(__xludf.DUMMYFUNCTION("""COMPUTED_VALUE"""),5)</f>
        <v>5</v>
      </c>
      <c r="E1782" s="3">
        <f ca="1">IFERROR(__xludf.DUMMYFUNCTION("""COMPUTED_VALUE"""),2)</f>
        <v>2</v>
      </c>
    </row>
    <row r="1783" spans="1:5" ht="13">
      <c r="A1783" s="2" t="str">
        <f ca="1">IFERROR(__xludf.DUMMYFUNCTION("""COMPUTED_VALUE"""),"Crusell, Bernhard")</f>
        <v>Crusell, Bernhard</v>
      </c>
      <c r="B1783" s="3">
        <f ca="1">IFERROR(__xludf.DUMMYFUNCTION("""COMPUTED_VALUE"""),1)</f>
        <v>1</v>
      </c>
      <c r="C1783" s="7">
        <f ca="1">IFERROR(__xludf.DUMMYFUNCTION("""COMPUTED_VALUE"""),1)</f>
        <v>1</v>
      </c>
      <c r="D1783" s="8">
        <f ca="1">IFERROR(__xludf.DUMMYFUNCTION("""COMPUTED_VALUE"""),5)</f>
        <v>5</v>
      </c>
      <c r="E1783" s="2">
        <f ca="1">IFERROR(__xludf.DUMMYFUNCTION("""COMPUTED_VALUE"""),2)</f>
        <v>2</v>
      </c>
    </row>
    <row r="1784" spans="1:5" ht="13">
      <c r="A1784" s="8" t="str">
        <f ca="1">IFERROR(__xludf.DUMMYFUNCTION("""COMPUTED_VALUE"""),"Crussell, Bernhard")</f>
        <v>Crussell, Bernhard</v>
      </c>
      <c r="B1784" s="3">
        <f ca="1">IFERROR(__xludf.DUMMYFUNCTION("""COMPUTED_VALUE"""),1)</f>
        <v>1</v>
      </c>
      <c r="C1784" s="7">
        <f ca="1">IFERROR(__xludf.DUMMYFUNCTION("""COMPUTED_VALUE"""),1)</f>
        <v>1</v>
      </c>
      <c r="D1784" s="8">
        <f ca="1">IFERROR(__xludf.DUMMYFUNCTION("""COMPUTED_VALUE"""),5)</f>
        <v>5</v>
      </c>
      <c r="E1784" s="2">
        <f ca="1">IFERROR(__xludf.DUMMYFUNCTION("""COMPUTED_VALUE"""),2)</f>
        <v>2</v>
      </c>
    </row>
    <row r="1785" spans="1:5" ht="13">
      <c r="A1785" s="2" t="str">
        <f ca="1">IFERROR(__xludf.DUMMYFUNCTION("""COMPUTED_VALUE"""),"Crussell, Bernhard Henrik")</f>
        <v>Crussell, Bernhard Henrik</v>
      </c>
      <c r="B1785" s="2">
        <f ca="1">IFERROR(__xludf.DUMMYFUNCTION("""COMPUTED_VALUE"""),1)</f>
        <v>1</v>
      </c>
      <c r="C1785" s="7">
        <f ca="1">IFERROR(__xludf.DUMMYFUNCTION("""COMPUTED_VALUE"""),1)</f>
        <v>1</v>
      </c>
      <c r="D1785" s="8">
        <f ca="1">IFERROR(__xludf.DUMMYFUNCTION("""COMPUTED_VALUE"""),1)</f>
        <v>1</v>
      </c>
      <c r="E1785" s="2">
        <f ca="1">IFERROR(__xludf.DUMMYFUNCTION("""COMPUTED_VALUE"""),1)</f>
        <v>1</v>
      </c>
    </row>
    <row r="1786" spans="1:5" ht="13">
      <c r="A1786" s="8" t="str">
        <f ca="1">IFERROR(__xludf.DUMMYFUNCTION("""COMPUTED_VALUE"""),"Crutchfield, Jonathan")</f>
        <v>Crutchfield, Jonathan</v>
      </c>
      <c r="B1786" s="3">
        <f ca="1">IFERROR(__xludf.DUMMYFUNCTION("""COMPUTED_VALUE"""),1)</f>
        <v>1</v>
      </c>
      <c r="C1786" s="7">
        <f ca="1">IFERROR(__xludf.DUMMYFUNCTION("""COMPUTED_VALUE"""),1)</f>
        <v>1</v>
      </c>
      <c r="D1786" s="8">
        <f ca="1">IFERROR(__xludf.DUMMYFUNCTION("""COMPUTED_VALUE"""),1)</f>
        <v>1</v>
      </c>
      <c r="E1786" s="2">
        <f ca="1">IFERROR(__xludf.DUMMYFUNCTION("""COMPUTED_VALUE"""),1)</f>
        <v>1</v>
      </c>
    </row>
    <row r="1787" spans="1:5" ht="13">
      <c r="A1787" s="8" t="str">
        <f ca="1">IFERROR(__xludf.DUMMYFUNCTION("""COMPUTED_VALUE"""),"Cui, César")</f>
        <v>Cui, César</v>
      </c>
      <c r="B1787" s="3">
        <f ca="1">IFERROR(__xludf.DUMMYFUNCTION("""COMPUTED_VALUE"""),1)</f>
        <v>1</v>
      </c>
      <c r="C1787" s="7">
        <f ca="1">IFERROR(__xludf.DUMMYFUNCTION("""COMPUTED_VALUE"""),1)</f>
        <v>1</v>
      </c>
      <c r="D1787" s="8">
        <f ca="1">IFERROR(__xludf.DUMMYFUNCTION("""COMPUTED_VALUE"""),1)</f>
        <v>1</v>
      </c>
      <c r="E1787" s="2">
        <f ca="1">IFERROR(__xludf.DUMMYFUNCTION("""COMPUTED_VALUE"""),1)</f>
        <v>1</v>
      </c>
    </row>
    <row r="1788" spans="1:5" ht="13">
      <c r="A1788" s="8" t="str">
        <f ca="1">IFERROR(__xludf.DUMMYFUNCTION("""COMPUTED_VALUE"""),"Culli, Benjamin")</f>
        <v>Culli, Benjamin</v>
      </c>
      <c r="B1788" s="3">
        <f ca="1">IFERROR(__xludf.DUMMYFUNCTION("""COMPUTED_VALUE"""),1)</f>
        <v>1</v>
      </c>
      <c r="C1788" s="7">
        <f ca="1">IFERROR(__xludf.DUMMYFUNCTION("""COMPUTED_VALUE"""),1)</f>
        <v>1</v>
      </c>
      <c r="D1788" s="8">
        <f ca="1">IFERROR(__xludf.DUMMYFUNCTION("""COMPUTED_VALUE"""),1)</f>
        <v>1</v>
      </c>
      <c r="E1788" s="2">
        <f ca="1">IFERROR(__xludf.DUMMYFUNCTION("""COMPUTED_VALUE"""),1)</f>
        <v>1</v>
      </c>
    </row>
    <row r="1789" spans="1:5" ht="13">
      <c r="A1789" s="2" t="str">
        <f ca="1">IFERROR(__xludf.DUMMYFUNCTION("""COMPUTED_VALUE"""),"Culloton, Matthew")</f>
        <v>Culloton, Matthew</v>
      </c>
      <c r="B1789" s="3">
        <f ca="1">IFERROR(__xludf.DUMMYFUNCTION("""COMPUTED_VALUE"""),1)</f>
        <v>1</v>
      </c>
      <c r="C1789" s="7">
        <f ca="1">IFERROR(__xludf.DUMMYFUNCTION("""COMPUTED_VALUE"""),1)</f>
        <v>1</v>
      </c>
      <c r="D1789" s="8">
        <f ca="1">IFERROR(__xludf.DUMMYFUNCTION("""COMPUTED_VALUE"""),1)</f>
        <v>1</v>
      </c>
      <c r="E1789" s="2">
        <f ca="1">IFERROR(__xludf.DUMMYFUNCTION("""COMPUTED_VALUE"""),1)</f>
        <v>1</v>
      </c>
    </row>
    <row r="1790" spans="1:5" ht="13">
      <c r="A1790" s="2" t="str">
        <f ca="1">IFERROR(__xludf.DUMMYFUNCTION("""COMPUTED_VALUE"""),"Culver, James")</f>
        <v>Culver, James</v>
      </c>
      <c r="B1790" s="3">
        <f ca="1">IFERROR(__xludf.DUMMYFUNCTION("""COMPUTED_VALUE"""),1)</f>
        <v>1</v>
      </c>
      <c r="C1790" s="7">
        <f ca="1">IFERROR(__xludf.DUMMYFUNCTION("""COMPUTED_VALUE"""),1)</f>
        <v>1</v>
      </c>
      <c r="D1790" s="8">
        <f ca="1">IFERROR(__xludf.DUMMYFUNCTION("""COMPUTED_VALUE"""),5)</f>
        <v>5</v>
      </c>
      <c r="E1790" s="2">
        <f ca="1">IFERROR(__xludf.DUMMYFUNCTION("""COMPUTED_VALUE"""),2)</f>
        <v>2</v>
      </c>
    </row>
    <row r="1791" spans="1:5" ht="13">
      <c r="A1791" s="8" t="str">
        <f ca="1">IFERROR(__xludf.DUMMYFUNCTION("""COMPUTED_VALUE"""),"Cumming, Richard")</f>
        <v>Cumming, Richard</v>
      </c>
      <c r="B1791" s="3">
        <f ca="1">IFERROR(__xludf.DUMMYFUNCTION("""COMPUTED_VALUE"""),1)</f>
        <v>1</v>
      </c>
      <c r="C1791" s="7">
        <f ca="1">IFERROR(__xludf.DUMMYFUNCTION("""COMPUTED_VALUE"""),1)</f>
        <v>1</v>
      </c>
      <c r="D1791" s="8">
        <f ca="1">IFERROR(__xludf.DUMMYFUNCTION("""COMPUTED_VALUE"""),5)</f>
        <v>5</v>
      </c>
      <c r="E1791" s="2">
        <f ca="1">IFERROR(__xludf.DUMMYFUNCTION("""COMPUTED_VALUE"""),2)</f>
        <v>2</v>
      </c>
    </row>
    <row r="1792" spans="1:5" ht="13">
      <c r="A1792" s="8" t="str">
        <f ca="1">IFERROR(__xludf.DUMMYFUNCTION("""COMPUTED_VALUE"""),"Cummings, Walter")</f>
        <v>Cummings, Walter</v>
      </c>
      <c r="B1792" s="3">
        <f ca="1">IFERROR(__xludf.DUMMYFUNCTION("""COMPUTED_VALUE"""),1)</f>
        <v>1</v>
      </c>
      <c r="C1792" s="7">
        <f ca="1">IFERROR(__xludf.DUMMYFUNCTION("""COMPUTED_VALUE"""),1)</f>
        <v>1</v>
      </c>
      <c r="D1792" s="8">
        <f ca="1">IFERROR(__xludf.DUMMYFUNCTION("""COMPUTED_VALUE"""),1)</f>
        <v>1</v>
      </c>
      <c r="E1792" s="2">
        <f ca="1">IFERROR(__xludf.DUMMYFUNCTION("""COMPUTED_VALUE"""),1)</f>
        <v>1</v>
      </c>
    </row>
    <row r="1793" spans="1:5" ht="13">
      <c r="A1793" s="2" t="str">
        <f ca="1">IFERROR(__xludf.DUMMYFUNCTION("""COMPUTED_VALUE"""),"Cummins, Cameron")</f>
        <v>Cummins, Cameron</v>
      </c>
      <c r="B1793" s="3">
        <f ca="1">IFERROR(__xludf.DUMMYFUNCTION("""COMPUTED_VALUE"""),1)</f>
        <v>1</v>
      </c>
      <c r="C1793" s="7">
        <f ca="1">IFERROR(__xludf.DUMMYFUNCTION("""COMPUTED_VALUE"""),1)</f>
        <v>1</v>
      </c>
      <c r="D1793" s="8">
        <f ca="1">IFERROR(__xludf.DUMMYFUNCTION("""COMPUTED_VALUE"""),1)</f>
        <v>1</v>
      </c>
      <c r="E1793" s="2">
        <f ca="1">IFERROR(__xludf.DUMMYFUNCTION("""COMPUTED_VALUE"""),1)</f>
        <v>1</v>
      </c>
    </row>
    <row r="1794" spans="1:5" ht="13">
      <c r="A1794" s="2" t="str">
        <f ca="1">IFERROR(__xludf.DUMMYFUNCTION("""COMPUTED_VALUE"""),"Cunliffe, Bill")</f>
        <v>Cunliffe, Bill</v>
      </c>
      <c r="B1794" s="3">
        <f ca="1">IFERROR(__xludf.DUMMYFUNCTION("""COMPUTED_VALUE"""),1)</f>
        <v>1</v>
      </c>
      <c r="C1794" s="7">
        <f ca="1">IFERROR(__xludf.DUMMYFUNCTION("""COMPUTED_VALUE"""),1)</f>
        <v>1</v>
      </c>
      <c r="D1794" s="8">
        <f ca="1">IFERROR(__xludf.DUMMYFUNCTION("""COMPUTED_VALUE"""),1)</f>
        <v>1</v>
      </c>
      <c r="E1794" s="2">
        <f ca="1">IFERROR(__xludf.DUMMYFUNCTION("""COMPUTED_VALUE"""),1)</f>
        <v>1</v>
      </c>
    </row>
    <row r="1795" spans="1:5" ht="13">
      <c r="A1795" s="2" t="str">
        <f ca="1">IFERROR(__xludf.DUMMYFUNCTION("""COMPUTED_VALUE"""),"Cunningham, John")</f>
        <v>Cunningham, John</v>
      </c>
      <c r="B1795" s="3">
        <f ca="1">IFERROR(__xludf.DUMMYFUNCTION("""COMPUTED_VALUE"""),1)</f>
        <v>1</v>
      </c>
      <c r="C1795" s="7">
        <f ca="1">IFERROR(__xludf.DUMMYFUNCTION("""COMPUTED_VALUE"""),1)</f>
        <v>1</v>
      </c>
      <c r="D1795" s="8">
        <f ca="1">IFERROR(__xludf.DUMMYFUNCTION("""COMPUTED_VALUE"""),1)</f>
        <v>1</v>
      </c>
      <c r="E1795" s="2">
        <f ca="1">IFERROR(__xludf.DUMMYFUNCTION("""COMPUTED_VALUE"""),1)</f>
        <v>1</v>
      </c>
    </row>
    <row r="1796" spans="1:5" ht="13">
      <c r="A1796" s="8" t="str">
        <f ca="1">IFERROR(__xludf.DUMMYFUNCTION("""COMPUTED_VALUE"""),"Cunningham, Thomas")</f>
        <v>Cunningham, Thomas</v>
      </c>
      <c r="B1796" s="3">
        <f ca="1">IFERROR(__xludf.DUMMYFUNCTION("""COMPUTED_VALUE"""),1)</f>
        <v>1</v>
      </c>
      <c r="C1796" s="7">
        <f ca="1">IFERROR(__xludf.DUMMYFUNCTION("""COMPUTED_VALUE"""),1)</f>
        <v>1</v>
      </c>
      <c r="D1796" s="8">
        <f ca="1">IFERROR(__xludf.DUMMYFUNCTION("""COMPUTED_VALUE"""),5)</f>
        <v>5</v>
      </c>
      <c r="E1796" s="2">
        <f ca="1">IFERROR(__xludf.DUMMYFUNCTION("""COMPUTED_VALUE"""),2)</f>
        <v>2</v>
      </c>
    </row>
    <row r="1797" spans="1:5" ht="13">
      <c r="A1797" s="2" t="str">
        <f ca="1">IFERROR(__xludf.DUMMYFUNCTION("""COMPUTED_VALUE"""),"Cuomo, Douglas J.")</f>
        <v>Cuomo, Douglas J.</v>
      </c>
      <c r="B1797" s="2">
        <f ca="1">IFERROR(__xludf.DUMMYFUNCTION("""COMPUTED_VALUE"""),1)</f>
        <v>1</v>
      </c>
      <c r="C1797" s="7">
        <f ca="1">IFERROR(__xludf.DUMMYFUNCTION("""COMPUTED_VALUE"""),1)</f>
        <v>1</v>
      </c>
      <c r="D1797" s="8">
        <f ca="1">IFERROR(__xludf.DUMMYFUNCTION("""COMPUTED_VALUE"""),1)</f>
        <v>1</v>
      </c>
      <c r="E1797" s="2">
        <f ca="1">IFERROR(__xludf.DUMMYFUNCTION("""COMPUTED_VALUE"""),1)</f>
        <v>1</v>
      </c>
    </row>
    <row r="1798" spans="1:5" ht="13">
      <c r="A1798" s="2" t="str">
        <f ca="1">IFERROR(__xludf.DUMMYFUNCTION("""COMPUTED_VALUE"""),"Cupero, Edward")</f>
        <v>Cupero, Edward</v>
      </c>
      <c r="B1798" s="2">
        <f ca="1">IFERROR(__xludf.DUMMYFUNCTION("""COMPUTED_VALUE"""),1)</f>
        <v>1</v>
      </c>
      <c r="C1798" s="7">
        <f ca="1">IFERROR(__xludf.DUMMYFUNCTION("""COMPUTED_VALUE"""),1)</f>
        <v>1</v>
      </c>
      <c r="D1798" s="8">
        <f ca="1">IFERROR(__xludf.DUMMYFUNCTION("""COMPUTED_VALUE"""),5)</f>
        <v>5</v>
      </c>
      <c r="E1798" s="2">
        <f ca="1">IFERROR(__xludf.DUMMYFUNCTION("""COMPUTED_VALUE"""),2)</f>
        <v>2</v>
      </c>
    </row>
    <row r="1799" spans="1:5" ht="13">
      <c r="A1799" s="8" t="str">
        <f ca="1">IFERROR(__xludf.DUMMYFUNCTION("""COMPUTED_VALUE"""),"Cupero, Edward Victor")</f>
        <v>Cupero, Edward Victor</v>
      </c>
      <c r="B1799" s="3">
        <f ca="1">IFERROR(__xludf.DUMMYFUNCTION("""COMPUTED_VALUE"""),1)</f>
        <v>1</v>
      </c>
      <c r="C1799" s="7">
        <f ca="1">IFERROR(__xludf.DUMMYFUNCTION("""COMPUTED_VALUE"""),1)</f>
        <v>1</v>
      </c>
      <c r="D1799" s="8">
        <f ca="1">IFERROR(__xludf.DUMMYFUNCTION("""COMPUTED_VALUE"""),5)</f>
        <v>5</v>
      </c>
      <c r="E1799" s="2">
        <f ca="1">IFERROR(__xludf.DUMMYFUNCTION("""COMPUTED_VALUE"""),2)</f>
        <v>2</v>
      </c>
    </row>
    <row r="1800" spans="1:5" ht="13">
      <c r="A1800" s="8" t="str">
        <f ca="1">IFERROR(__xludf.DUMMYFUNCTION("""COMPUTED_VALUE"""),"Curiale, Joseph")</f>
        <v>Curiale, Joseph</v>
      </c>
      <c r="B1800" s="3">
        <f ca="1">IFERROR(__xludf.DUMMYFUNCTION("""COMPUTED_VALUE"""),1)</f>
        <v>1</v>
      </c>
      <c r="C1800" s="7">
        <f ca="1">IFERROR(__xludf.DUMMYFUNCTION("""COMPUTED_VALUE"""),1)</f>
        <v>1</v>
      </c>
      <c r="D1800" s="8">
        <f ca="1">IFERROR(__xludf.DUMMYFUNCTION("""COMPUTED_VALUE"""),1)</f>
        <v>1</v>
      </c>
      <c r="E1800" s="2">
        <f ca="1">IFERROR(__xludf.DUMMYFUNCTION("""COMPUTED_VALUE"""),1)</f>
        <v>1</v>
      </c>
    </row>
    <row r="1801" spans="1:5" ht="13">
      <c r="A1801" s="2" t="str">
        <f ca="1">IFERROR(__xludf.DUMMYFUNCTION("""COMPUTED_VALUE"""),"Curley, Matthew")</f>
        <v>Curley, Matthew</v>
      </c>
      <c r="B1801" s="3">
        <f ca="1">IFERROR(__xludf.DUMMYFUNCTION("""COMPUTED_VALUE"""),1)</f>
        <v>1</v>
      </c>
      <c r="C1801" s="7">
        <f ca="1">IFERROR(__xludf.DUMMYFUNCTION("""COMPUTED_VALUE"""),1)</f>
        <v>1</v>
      </c>
      <c r="D1801" s="8">
        <f ca="1">IFERROR(__xludf.DUMMYFUNCTION("""COMPUTED_VALUE"""),1)</f>
        <v>1</v>
      </c>
      <c r="E1801" s="2">
        <f ca="1">IFERROR(__xludf.DUMMYFUNCTION("""COMPUTED_VALUE"""),1)</f>
        <v>1</v>
      </c>
    </row>
    <row r="1802" spans="1:5" ht="13">
      <c r="A1802" s="2" t="str">
        <f ca="1">IFERROR(__xludf.DUMMYFUNCTION("""COMPUTED_VALUE"""),"Curnow, Bob")</f>
        <v>Curnow, Bob</v>
      </c>
      <c r="B1802" s="3">
        <f ca="1">IFERROR(__xludf.DUMMYFUNCTION("""COMPUTED_VALUE"""),1)</f>
        <v>1</v>
      </c>
      <c r="C1802" s="7">
        <f ca="1">IFERROR(__xludf.DUMMYFUNCTION("""COMPUTED_VALUE"""),1)</f>
        <v>1</v>
      </c>
      <c r="D1802" s="8">
        <f ca="1">IFERROR(__xludf.DUMMYFUNCTION("""COMPUTED_VALUE"""),1)</f>
        <v>1</v>
      </c>
      <c r="E1802" s="2">
        <f ca="1">IFERROR(__xludf.DUMMYFUNCTION("""COMPUTED_VALUE"""),1)</f>
        <v>1</v>
      </c>
    </row>
    <row r="1803" spans="1:5" ht="13">
      <c r="A1803" s="8" t="str">
        <f ca="1">IFERROR(__xludf.DUMMYFUNCTION("""COMPUTED_VALUE"""),"Curnow, James")</f>
        <v>Curnow, James</v>
      </c>
      <c r="B1803" s="3">
        <f ca="1">IFERROR(__xludf.DUMMYFUNCTION("""COMPUTED_VALUE"""),1)</f>
        <v>1</v>
      </c>
      <c r="C1803" s="7">
        <f ca="1">IFERROR(__xludf.DUMMYFUNCTION("""COMPUTED_VALUE"""),1)</f>
        <v>1</v>
      </c>
      <c r="D1803" s="8">
        <f ca="1">IFERROR(__xludf.DUMMYFUNCTION("""COMPUTED_VALUE"""),1)</f>
        <v>1</v>
      </c>
      <c r="E1803" s="2">
        <f ca="1">IFERROR(__xludf.DUMMYFUNCTION("""COMPUTED_VALUE"""),1)</f>
        <v>1</v>
      </c>
    </row>
    <row r="1804" spans="1:5" ht="13">
      <c r="A1804" s="2" t="str">
        <f ca="1">IFERROR(__xludf.DUMMYFUNCTION("""COMPUTED_VALUE"""),"Curnow, Robert")</f>
        <v>Curnow, Robert</v>
      </c>
      <c r="B1804" s="3">
        <f ca="1">IFERROR(__xludf.DUMMYFUNCTION("""COMPUTED_VALUE"""),1)</f>
        <v>1</v>
      </c>
      <c r="C1804" s="7">
        <f ca="1">IFERROR(__xludf.DUMMYFUNCTION("""COMPUTED_VALUE"""),1)</f>
        <v>1</v>
      </c>
      <c r="D1804" s="8">
        <f ca="1">IFERROR(__xludf.DUMMYFUNCTION("""COMPUTED_VALUE"""),1)</f>
        <v>1</v>
      </c>
      <c r="E1804" s="2">
        <f ca="1">IFERROR(__xludf.DUMMYFUNCTION("""COMPUTED_VALUE"""),1)</f>
        <v>1</v>
      </c>
    </row>
    <row r="1805" spans="1:5" ht="13">
      <c r="A1805" s="2" t="str">
        <f ca="1">IFERROR(__xludf.DUMMYFUNCTION("""COMPUTED_VALUE"""),"Currier, Robert")</f>
        <v>Currier, Robert</v>
      </c>
      <c r="B1805" s="3">
        <f ca="1">IFERROR(__xludf.DUMMYFUNCTION("""COMPUTED_VALUE"""),1)</f>
        <v>1</v>
      </c>
      <c r="C1805" s="7">
        <f ca="1">IFERROR(__xludf.DUMMYFUNCTION("""COMPUTED_VALUE"""),1)</f>
        <v>1</v>
      </c>
      <c r="D1805" s="8">
        <f ca="1">IFERROR(__xludf.DUMMYFUNCTION("""COMPUTED_VALUE"""),5)</f>
        <v>5</v>
      </c>
      <c r="E1805" s="2">
        <f ca="1">IFERROR(__xludf.DUMMYFUNCTION("""COMPUTED_VALUE"""),2)</f>
        <v>2</v>
      </c>
    </row>
    <row r="1806" spans="1:5" ht="13">
      <c r="A1806" s="8" t="str">
        <f ca="1">IFERROR(__xludf.DUMMYFUNCTION("""COMPUTED_VALUE"""),"Currier, Sebastian")</f>
        <v>Currier, Sebastian</v>
      </c>
      <c r="B1806" s="3">
        <f ca="1">IFERROR(__xludf.DUMMYFUNCTION("""COMPUTED_VALUE"""),1)</f>
        <v>1</v>
      </c>
      <c r="C1806" s="7">
        <f ca="1">IFERROR(__xludf.DUMMYFUNCTION("""COMPUTED_VALUE"""),1)</f>
        <v>1</v>
      </c>
      <c r="D1806" s="8">
        <f ca="1">IFERROR(__xludf.DUMMYFUNCTION("""COMPUTED_VALUE"""),1)</f>
        <v>1</v>
      </c>
      <c r="E1806" s="2">
        <f ca="1">IFERROR(__xludf.DUMMYFUNCTION("""COMPUTED_VALUE"""),1)</f>
        <v>1</v>
      </c>
    </row>
    <row r="1807" spans="1:5" ht="13">
      <c r="A1807" s="2" t="str">
        <f ca="1">IFERROR(__xludf.DUMMYFUNCTION("""COMPUTED_VALUE"""),"Curry, Craig")</f>
        <v>Curry, Craig</v>
      </c>
      <c r="B1807" s="3">
        <f ca="1">IFERROR(__xludf.DUMMYFUNCTION("""COMPUTED_VALUE"""),1)</f>
        <v>1</v>
      </c>
      <c r="C1807" s="7">
        <f ca="1">IFERROR(__xludf.DUMMYFUNCTION("""COMPUTED_VALUE"""),1)</f>
        <v>1</v>
      </c>
      <c r="D1807" s="8">
        <f ca="1">IFERROR(__xludf.DUMMYFUNCTION("""COMPUTED_VALUE"""),1)</f>
        <v>1</v>
      </c>
      <c r="E1807" s="2">
        <f ca="1">IFERROR(__xludf.DUMMYFUNCTION("""COMPUTED_VALUE"""),1)</f>
        <v>1</v>
      </c>
    </row>
    <row r="1808" spans="1:5" ht="13">
      <c r="A1808" s="2" t="str">
        <f ca="1">IFERROR(__xludf.DUMMYFUNCTION("""COMPUTED_VALUE"""),"Curry, Sheldon")</f>
        <v>Curry, Sheldon</v>
      </c>
      <c r="B1808" s="3">
        <f ca="1">IFERROR(__xludf.DUMMYFUNCTION("""COMPUTED_VALUE"""),1)</f>
        <v>1</v>
      </c>
      <c r="C1808" s="7">
        <f ca="1">IFERROR(__xludf.DUMMYFUNCTION("""COMPUTED_VALUE"""),1)</f>
        <v>1</v>
      </c>
      <c r="D1808" s="8">
        <f ca="1">IFERROR(__xludf.DUMMYFUNCTION("""COMPUTED_VALUE"""),1)</f>
        <v>1</v>
      </c>
      <c r="E1808" s="2">
        <f ca="1">IFERROR(__xludf.DUMMYFUNCTION("""COMPUTED_VALUE"""),1)</f>
        <v>1</v>
      </c>
    </row>
    <row r="1809" spans="1:5" ht="13">
      <c r="A1809" s="2" t="str">
        <f ca="1">IFERROR(__xludf.DUMMYFUNCTION("""COMPUTED_VALUE"""),"Curtin, Hoyt")</f>
        <v>Curtin, Hoyt</v>
      </c>
      <c r="B1809" s="2">
        <f ca="1">IFERROR(__xludf.DUMMYFUNCTION("""COMPUTED_VALUE"""),1)</f>
        <v>1</v>
      </c>
      <c r="C1809" s="2">
        <f ca="1">IFERROR(__xludf.DUMMYFUNCTION("""COMPUTED_VALUE"""),1)</f>
        <v>1</v>
      </c>
      <c r="D1809" s="8">
        <f ca="1">IFERROR(__xludf.DUMMYFUNCTION("""COMPUTED_VALUE"""),5)</f>
        <v>5</v>
      </c>
      <c r="E1809" s="2">
        <f ca="1">IFERROR(__xludf.DUMMYFUNCTION("""COMPUTED_VALUE"""),2)</f>
        <v>2</v>
      </c>
    </row>
    <row r="1810" spans="1:5" ht="13">
      <c r="A1810" s="2" t="str">
        <f ca="1">IFERROR(__xludf.DUMMYFUNCTION("""COMPUTED_VALUE"""),"Curtis, Ernesto de")</f>
        <v>Curtis, Ernesto de</v>
      </c>
      <c r="B1810" s="3">
        <f ca="1">IFERROR(__xludf.DUMMYFUNCTION("""COMPUTED_VALUE"""),1)</f>
        <v>1</v>
      </c>
      <c r="C1810" s="7">
        <f ca="1">IFERROR(__xludf.DUMMYFUNCTION("""COMPUTED_VALUE"""),1)</f>
        <v>1</v>
      </c>
      <c r="D1810" s="8">
        <f ca="1">IFERROR(__xludf.DUMMYFUNCTION("""COMPUTED_VALUE"""),5)</f>
        <v>5</v>
      </c>
      <c r="E1810" s="2">
        <f ca="1">IFERROR(__xludf.DUMMYFUNCTION("""COMPUTED_VALUE"""),2)</f>
        <v>2</v>
      </c>
    </row>
    <row r="1811" spans="1:5" ht="13">
      <c r="A1811" s="2" t="str">
        <f ca="1">IFERROR(__xludf.DUMMYFUNCTION("""COMPUTED_VALUE"""),"Curtis, Giambattista de")</f>
        <v>Curtis, Giambattista de</v>
      </c>
      <c r="B1811" s="3">
        <f ca="1">IFERROR(__xludf.DUMMYFUNCTION("""COMPUTED_VALUE"""),1)</f>
        <v>1</v>
      </c>
      <c r="C1811" s="7">
        <f ca="1">IFERROR(__xludf.DUMMYFUNCTION("""COMPUTED_VALUE"""),1)</f>
        <v>1</v>
      </c>
      <c r="D1811" s="8">
        <f ca="1">IFERROR(__xludf.DUMMYFUNCTION("""COMPUTED_VALUE"""),5)</f>
        <v>5</v>
      </c>
      <c r="E1811" s="2">
        <f ca="1">IFERROR(__xludf.DUMMYFUNCTION("""COMPUTED_VALUE"""),2)</f>
        <v>2</v>
      </c>
    </row>
    <row r="1812" spans="1:5" ht="13">
      <c r="A1812" s="2" t="str">
        <f ca="1">IFERROR(__xludf.DUMMYFUNCTION("""COMPUTED_VALUE"""),"Curtis, Mann / Hoffman, Al / Kent, Walter")</f>
        <v>Curtis, Mann / Hoffman, Al / Kent, Walter</v>
      </c>
      <c r="B1812" s="2">
        <f ca="1">IFERROR(__xludf.DUMMYFUNCTION("""COMPUTED_VALUE"""),1)</f>
        <v>1</v>
      </c>
      <c r="C1812" s="7">
        <f ca="1">IFERROR(__xludf.DUMMYFUNCTION("""COMPUTED_VALUE"""),1)</f>
        <v>1</v>
      </c>
      <c r="D1812" s="8">
        <f ca="1">IFERROR(__xludf.DUMMYFUNCTION("""COMPUTED_VALUE"""),5)</f>
        <v>5</v>
      </c>
      <c r="E1812" s="2">
        <f ca="1">IFERROR(__xludf.DUMMYFUNCTION("""COMPUTED_VALUE"""),2)</f>
        <v>2</v>
      </c>
    </row>
    <row r="1813" spans="1:5" ht="13">
      <c r="A1813" s="2" t="str">
        <f ca="1">IFERROR(__xludf.DUMMYFUNCTION("""COMPUTED_VALUE"""),"Curtis, Mike")</f>
        <v>Curtis, Mike</v>
      </c>
      <c r="B1813" s="2">
        <f ca="1">IFERROR(__xludf.DUMMYFUNCTION("""COMPUTED_VALUE"""),1)</f>
        <v>1</v>
      </c>
      <c r="C1813" s="2">
        <f ca="1">IFERROR(__xludf.DUMMYFUNCTION("""COMPUTED_VALUE"""),1)</f>
        <v>1</v>
      </c>
      <c r="D1813" s="8">
        <f ca="1">IFERROR(__xludf.DUMMYFUNCTION("""COMPUTED_VALUE"""),1)</f>
        <v>1</v>
      </c>
      <c r="E1813" s="2">
        <f ca="1">IFERROR(__xludf.DUMMYFUNCTION("""COMPUTED_VALUE"""),1)</f>
        <v>1</v>
      </c>
    </row>
    <row r="1814" spans="1:5" ht="13">
      <c r="A1814" s="8" t="str">
        <f ca="1">IFERROR(__xludf.DUMMYFUNCTION("""COMPUTED_VALUE"""),"Cushing, Charles")</f>
        <v>Cushing, Charles</v>
      </c>
      <c r="B1814" s="3">
        <f ca="1">IFERROR(__xludf.DUMMYFUNCTION("""COMPUTED_VALUE"""),1)</f>
        <v>1</v>
      </c>
      <c r="C1814" s="7">
        <f ca="1">IFERROR(__xludf.DUMMYFUNCTION("""COMPUTED_VALUE"""),1)</f>
        <v>1</v>
      </c>
      <c r="D1814" s="8">
        <f ca="1">IFERROR(__xludf.DUMMYFUNCTION("""COMPUTED_VALUE"""),5)</f>
        <v>5</v>
      </c>
      <c r="E1814" s="2">
        <f ca="1">IFERROR(__xludf.DUMMYFUNCTION("""COMPUTED_VALUE"""),2)</f>
        <v>2</v>
      </c>
    </row>
    <row r="1815" spans="1:5" ht="13">
      <c r="A1815" s="8" t="str">
        <f ca="1">IFERROR(__xludf.DUMMYFUNCTION("""COMPUTED_VALUE"""),"Custer, Calvin")</f>
        <v>Custer, Calvin</v>
      </c>
      <c r="B1815" s="3">
        <f ca="1">IFERROR(__xludf.DUMMYFUNCTION("""COMPUTED_VALUE"""),1)</f>
        <v>1</v>
      </c>
      <c r="C1815" s="7">
        <f ca="1">IFERROR(__xludf.DUMMYFUNCTION("""COMPUTED_VALUE"""),1)</f>
        <v>1</v>
      </c>
      <c r="D1815" s="8">
        <f ca="1">IFERROR(__xludf.DUMMYFUNCTION("""COMPUTED_VALUE"""),5)</f>
        <v>5</v>
      </c>
      <c r="E1815" s="2">
        <f ca="1">IFERROR(__xludf.DUMMYFUNCTION("""COMPUTED_VALUE"""),2)</f>
        <v>2</v>
      </c>
    </row>
    <row r="1816" spans="1:5" ht="13">
      <c r="A1816" s="2" t="str">
        <f ca="1">IFERROR(__xludf.DUMMYFUNCTION("""COMPUTED_VALUE"""),"Custer, Calvin / Mills, Fred")</f>
        <v>Custer, Calvin / Mills, Fred</v>
      </c>
      <c r="B1816" s="2">
        <f ca="1">IFERROR(__xludf.DUMMYFUNCTION("""COMPUTED_VALUE"""),1)</f>
        <v>1</v>
      </c>
      <c r="C1816" s="2">
        <f ca="1">IFERROR(__xludf.DUMMYFUNCTION("""COMPUTED_VALUE"""),1)</f>
        <v>1</v>
      </c>
      <c r="D1816" s="8">
        <f ca="1">IFERROR(__xludf.DUMMYFUNCTION("""COMPUTED_VALUE"""),5)</f>
        <v>5</v>
      </c>
      <c r="E1816" s="2">
        <f ca="1">IFERROR(__xludf.DUMMYFUNCTION("""COMPUTED_VALUE"""),2)</f>
        <v>2</v>
      </c>
    </row>
    <row r="1817" spans="1:5" ht="13">
      <c r="A1817" s="8" t="str">
        <f ca="1">IFERROR(__xludf.DUMMYFUNCTION("""COMPUTED_VALUE"""),"Custer, Gerald")</f>
        <v>Custer, Gerald</v>
      </c>
      <c r="B1817" s="3">
        <f ca="1">IFERROR(__xludf.DUMMYFUNCTION("""COMPUTED_VALUE"""),1)</f>
        <v>1</v>
      </c>
      <c r="C1817" s="7">
        <f ca="1">IFERROR(__xludf.DUMMYFUNCTION("""COMPUTED_VALUE"""),1)</f>
        <v>1</v>
      </c>
      <c r="D1817" s="8">
        <f ca="1">IFERROR(__xludf.DUMMYFUNCTION("""COMPUTED_VALUE"""),1)</f>
        <v>1</v>
      </c>
      <c r="E1817" s="2">
        <f ca="1">IFERROR(__xludf.DUMMYFUNCTION("""COMPUTED_VALUE"""),1)</f>
        <v>1</v>
      </c>
    </row>
    <row r="1818" spans="1:5" ht="13">
      <c r="A1818" s="8" t="str">
        <f ca="1">IFERROR(__xludf.DUMMYFUNCTION("""COMPUTED_VALUE"""),"Custer, Seth")</f>
        <v>Custer, Seth</v>
      </c>
      <c r="B1818" s="3">
        <f ca="1">IFERROR(__xludf.DUMMYFUNCTION("""COMPUTED_VALUE"""),1)</f>
        <v>1</v>
      </c>
      <c r="C1818" s="7">
        <f ca="1">IFERROR(__xludf.DUMMYFUNCTION("""COMPUTED_VALUE"""),1)</f>
        <v>1</v>
      </c>
      <c r="D1818" s="8">
        <f ca="1">IFERROR(__xludf.DUMMYFUNCTION("""COMPUTED_VALUE"""),1)</f>
        <v>1</v>
      </c>
      <c r="E1818" s="2">
        <f ca="1">IFERROR(__xludf.DUMMYFUNCTION("""COMPUTED_VALUE"""),1)</f>
        <v>1</v>
      </c>
    </row>
    <row r="1819" spans="1:5" ht="13">
      <c r="A1819" s="2" t="str">
        <f ca="1">IFERROR(__xludf.DUMMYFUNCTION("""COMPUTED_VALUE"""),"Cutter, Bill")</f>
        <v>Cutter, Bill</v>
      </c>
      <c r="B1819" s="3">
        <f ca="1">IFERROR(__xludf.DUMMYFUNCTION("""COMPUTED_VALUE"""),1)</f>
        <v>1</v>
      </c>
      <c r="C1819" s="7">
        <f ca="1">IFERROR(__xludf.DUMMYFUNCTION("""COMPUTED_VALUE"""),1)</f>
        <v>1</v>
      </c>
      <c r="D1819" s="8">
        <f ca="1">IFERROR(__xludf.DUMMYFUNCTION("""COMPUTED_VALUE"""),1)</f>
        <v>1</v>
      </c>
      <c r="E1819" s="2">
        <f ca="1">IFERROR(__xludf.DUMMYFUNCTION("""COMPUTED_VALUE"""),1)</f>
        <v>1</v>
      </c>
    </row>
    <row r="1820" spans="1:5" ht="13">
      <c r="A1820" s="2" t="str">
        <f ca="1">IFERROR(__xludf.DUMMYFUNCTION("""COMPUTED_VALUE"""),"Cuzner, Caleb")</f>
        <v>Cuzner, Caleb</v>
      </c>
      <c r="B1820" s="3">
        <f ca="1">IFERROR(__xludf.DUMMYFUNCTION("""COMPUTED_VALUE"""),1)</f>
        <v>1</v>
      </c>
      <c r="C1820" s="7">
        <f ca="1">IFERROR(__xludf.DUMMYFUNCTION("""COMPUTED_VALUE"""),1)</f>
        <v>1</v>
      </c>
      <c r="D1820" s="8">
        <f ca="1">IFERROR(__xludf.DUMMYFUNCTION("""COMPUTED_VALUE"""),1)</f>
        <v>1</v>
      </c>
      <c r="E1820" s="2">
        <f ca="1">IFERROR(__xludf.DUMMYFUNCTION("""COMPUTED_VALUE"""),1)</f>
        <v>1</v>
      </c>
    </row>
    <row r="1821" spans="1:5" ht="13">
      <c r="A1821" s="2" t="str">
        <f ca="1">IFERROR(__xludf.DUMMYFUNCTION("""COMPUTED_VALUE"""),"Czerny, Carl")</f>
        <v>Czerny, Carl</v>
      </c>
      <c r="B1821" s="3">
        <f ca="1">IFERROR(__xludf.DUMMYFUNCTION("""COMPUTED_VALUE"""),1)</f>
        <v>1</v>
      </c>
      <c r="C1821" s="7">
        <f ca="1">IFERROR(__xludf.DUMMYFUNCTION("""COMPUTED_VALUE"""),1)</f>
        <v>1</v>
      </c>
      <c r="D1821" s="8">
        <f ca="1">IFERROR(__xludf.DUMMYFUNCTION("""COMPUTED_VALUE"""),5)</f>
        <v>5</v>
      </c>
      <c r="E1821" s="2">
        <f ca="1">IFERROR(__xludf.DUMMYFUNCTION("""COMPUTED_VALUE"""),2)</f>
        <v>2</v>
      </c>
    </row>
    <row r="1822" spans="1:5" ht="13">
      <c r="A1822" s="2" t="str">
        <f ca="1">IFERROR(__xludf.DUMMYFUNCTION("""COMPUTED_VALUE"""),"Czibulka, Alphons")</f>
        <v>Czibulka, Alphons</v>
      </c>
      <c r="B1822" s="3">
        <f ca="1">IFERROR(__xludf.DUMMYFUNCTION("""COMPUTED_VALUE"""),1)</f>
        <v>1</v>
      </c>
      <c r="C1822" s="7">
        <f ca="1">IFERROR(__xludf.DUMMYFUNCTION("""COMPUTED_VALUE"""),1)</f>
        <v>1</v>
      </c>
      <c r="D1822" s="8">
        <f ca="1">IFERROR(__xludf.DUMMYFUNCTION("""COMPUTED_VALUE"""),5)</f>
        <v>5</v>
      </c>
      <c r="E1822" s="2">
        <f ca="1">IFERROR(__xludf.DUMMYFUNCTION("""COMPUTED_VALUE"""),2)</f>
        <v>2</v>
      </c>
    </row>
    <row r="1823" spans="1:5" ht="13">
      <c r="A1823" s="8" t="str">
        <f ca="1">IFERROR(__xludf.DUMMYFUNCTION("""COMPUTED_VALUE"""),"Cziner, Jonathan")</f>
        <v>Cziner, Jonathan</v>
      </c>
      <c r="B1823" s="3">
        <f ca="1">IFERROR(__xludf.DUMMYFUNCTION("""COMPUTED_VALUE"""),1)</f>
        <v>1</v>
      </c>
      <c r="C1823" s="7">
        <f ca="1">IFERROR(__xludf.DUMMYFUNCTION("""COMPUTED_VALUE"""),1)</f>
        <v>1</v>
      </c>
      <c r="D1823" s="8">
        <f ca="1">IFERROR(__xludf.DUMMYFUNCTION("""COMPUTED_VALUE"""),1)</f>
        <v>1</v>
      </c>
      <c r="E1823" s="2">
        <f ca="1">IFERROR(__xludf.DUMMYFUNCTION("""COMPUTED_VALUE"""),1)</f>
        <v>1</v>
      </c>
    </row>
    <row r="1824" spans="1:5" ht="13">
      <c r="A1824" s="2" t="str">
        <f ca="1">IFERROR(__xludf.DUMMYFUNCTION("""COMPUTED_VALUE"""),"d'Albert, Eugene")</f>
        <v>d'Albert, Eugene</v>
      </c>
      <c r="B1824" s="2">
        <f ca="1">IFERROR(__xludf.DUMMYFUNCTION("""COMPUTED_VALUE"""),1)</f>
        <v>1</v>
      </c>
      <c r="C1824" s="7">
        <f ca="1">IFERROR(__xludf.DUMMYFUNCTION("""COMPUTED_VALUE"""),1)</f>
        <v>1</v>
      </c>
      <c r="D1824" s="8">
        <f ca="1">IFERROR(__xludf.DUMMYFUNCTION("""COMPUTED_VALUE"""),5)</f>
        <v>5</v>
      </c>
      <c r="E1824" s="2">
        <f ca="1">IFERROR(__xludf.DUMMYFUNCTION("""COMPUTED_VALUE"""),2)</f>
        <v>2</v>
      </c>
    </row>
    <row r="1825" spans="1:5" ht="13">
      <c r="A1825" s="8" t="str">
        <f ca="1">IFERROR(__xludf.DUMMYFUNCTION("""COMPUTED_VALUE"""),"D'Alicandro, Joseph P.")</f>
        <v>D'Alicandro, Joseph P.</v>
      </c>
      <c r="B1825" s="3">
        <f ca="1">IFERROR(__xludf.DUMMYFUNCTION("""COMPUTED_VALUE"""),1)</f>
        <v>1</v>
      </c>
      <c r="C1825" s="7">
        <f ca="1">IFERROR(__xludf.DUMMYFUNCTION("""COMPUTED_VALUE"""),1)</f>
        <v>1</v>
      </c>
      <c r="D1825" s="8">
        <f ca="1">IFERROR(__xludf.DUMMYFUNCTION("""COMPUTED_VALUE"""),1)</f>
        <v>1</v>
      </c>
      <c r="E1825" s="2">
        <f ca="1">IFERROR(__xludf.DUMMYFUNCTION("""COMPUTED_VALUE"""),1)</f>
        <v>1</v>
      </c>
    </row>
    <row r="1826" spans="1:5" ht="13">
      <c r="A1826" s="2" t="str">
        <f ca="1">IFERROR(__xludf.DUMMYFUNCTION("""COMPUTED_VALUE"""),"D'Ambrosio, Alfredo")</f>
        <v>D'Ambrosio, Alfredo</v>
      </c>
      <c r="B1826" s="3">
        <f ca="1">IFERROR(__xludf.DUMMYFUNCTION("""COMPUTED_VALUE"""),1)</f>
        <v>1</v>
      </c>
      <c r="C1826" s="7">
        <f ca="1">IFERROR(__xludf.DUMMYFUNCTION("""COMPUTED_VALUE"""),1)</f>
        <v>1</v>
      </c>
      <c r="D1826" s="8">
        <f ca="1">IFERROR(__xludf.DUMMYFUNCTION("""COMPUTED_VALUE"""),5)</f>
        <v>5</v>
      </c>
      <c r="E1826" s="2">
        <f ca="1">IFERROR(__xludf.DUMMYFUNCTION("""COMPUTED_VALUE"""),2)</f>
        <v>2</v>
      </c>
    </row>
    <row r="1827" spans="1:5" ht="13">
      <c r="A1827" s="2" t="str">
        <f ca="1">IFERROR(__xludf.DUMMYFUNCTION("""COMPUTED_VALUE"""),"D’Angelo, James")</f>
        <v>D’Angelo, James</v>
      </c>
      <c r="B1827" s="3">
        <f ca="1">IFERROR(__xludf.DUMMYFUNCTION("""COMPUTED_VALUE"""),1)</f>
        <v>1</v>
      </c>
      <c r="C1827" s="7">
        <f ca="1">IFERROR(__xludf.DUMMYFUNCTION("""COMPUTED_VALUE"""),1)</f>
        <v>1</v>
      </c>
      <c r="D1827" s="8">
        <f ca="1">IFERROR(__xludf.DUMMYFUNCTION("""COMPUTED_VALUE"""),1)</f>
        <v>1</v>
      </c>
      <c r="E1827" s="2">
        <f ca="1">IFERROR(__xludf.DUMMYFUNCTION("""COMPUTED_VALUE"""),1)</f>
        <v>1</v>
      </c>
    </row>
    <row r="1828" spans="1:5" ht="13">
      <c r="A1828" s="8" t="str">
        <f ca="1">IFERROR(__xludf.DUMMYFUNCTION("""COMPUTED_VALUE"""),"d'Anglebert, Jean-Henri")</f>
        <v>d'Anglebert, Jean-Henri</v>
      </c>
      <c r="B1828" s="3">
        <f ca="1">IFERROR(__xludf.DUMMYFUNCTION("""COMPUTED_VALUE"""),1)</f>
        <v>1</v>
      </c>
      <c r="C1828" s="7">
        <f ca="1">IFERROR(__xludf.DUMMYFUNCTION("""COMPUTED_VALUE"""),1)</f>
        <v>1</v>
      </c>
      <c r="D1828" s="8">
        <f ca="1">IFERROR(__xludf.DUMMYFUNCTION("""COMPUTED_VALUE"""),5)</f>
        <v>5</v>
      </c>
      <c r="E1828" s="2">
        <f ca="1">IFERROR(__xludf.DUMMYFUNCTION("""COMPUTED_VALUE"""),2)</f>
        <v>2</v>
      </c>
    </row>
    <row r="1829" spans="1:5" ht="13">
      <c r="A1829" s="2" t="str">
        <f ca="1">IFERROR(__xludf.DUMMYFUNCTION("""COMPUTED_VALUE"""),"D'Anna, Angelo")</f>
        <v>D'Anna, Angelo</v>
      </c>
      <c r="B1829" s="3">
        <f ca="1">IFERROR(__xludf.DUMMYFUNCTION("""COMPUTED_VALUE"""),1)</f>
        <v>1</v>
      </c>
      <c r="C1829" s="7">
        <f ca="1">IFERROR(__xludf.DUMMYFUNCTION("""COMPUTED_VALUE"""),1)</f>
        <v>1</v>
      </c>
      <c r="D1829" s="8">
        <f ca="1">IFERROR(__xludf.DUMMYFUNCTION("""COMPUTED_VALUE"""),5)</f>
        <v>5</v>
      </c>
      <c r="E1829" s="2">
        <f ca="1">IFERROR(__xludf.DUMMYFUNCTION("""COMPUTED_VALUE"""),2)</f>
        <v>2</v>
      </c>
    </row>
    <row r="1830" spans="1:5" ht="13">
      <c r="A1830" s="8" t="str">
        <f ca="1">IFERROR(__xludf.DUMMYFUNCTION("""COMPUTED_VALUE"""),"d'Elia, Antonio")</f>
        <v>d'Elia, Antonio</v>
      </c>
      <c r="B1830" s="3">
        <f ca="1">IFERROR(__xludf.DUMMYFUNCTION("""COMPUTED_VALUE"""),1)</f>
        <v>1</v>
      </c>
      <c r="C1830" s="7">
        <f ca="1">IFERROR(__xludf.DUMMYFUNCTION("""COMPUTED_VALUE"""),1)</f>
        <v>1</v>
      </c>
      <c r="D1830" s="8">
        <f ca="1">IFERROR(__xludf.DUMMYFUNCTION("""COMPUTED_VALUE"""),5)</f>
        <v>5</v>
      </c>
      <c r="E1830" s="2">
        <f ca="1">IFERROR(__xludf.DUMMYFUNCTION("""COMPUTED_VALUE"""),2)</f>
        <v>2</v>
      </c>
    </row>
    <row r="1831" spans="1:5" ht="13">
      <c r="A1831" s="2" t="str">
        <f ca="1">IFERROR(__xludf.DUMMYFUNCTION("""COMPUTED_VALUE"""),"d'Elia, Antonio / Leidzén, Erik")</f>
        <v>d'Elia, Antonio / Leidzén, Erik</v>
      </c>
      <c r="B1831" s="2">
        <f ca="1">IFERROR(__xludf.DUMMYFUNCTION("""COMPUTED_VALUE"""),1)</f>
        <v>1</v>
      </c>
      <c r="C1831" s="2">
        <f ca="1">IFERROR(__xludf.DUMMYFUNCTION("""COMPUTED_VALUE"""),1)</f>
        <v>1</v>
      </c>
      <c r="D1831" s="8">
        <f ca="1">IFERROR(__xludf.DUMMYFUNCTION("""COMPUTED_VALUE"""),5)</f>
        <v>5</v>
      </c>
      <c r="E1831" s="2">
        <f ca="1">IFERROR(__xludf.DUMMYFUNCTION("""COMPUTED_VALUE"""),2)</f>
        <v>2</v>
      </c>
    </row>
    <row r="1832" spans="1:5" ht="13">
      <c r="A1832" s="8" t="str">
        <f ca="1">IFERROR(__xludf.DUMMYFUNCTION("""COMPUTED_VALUE"""),"d'Indy, Vincent")</f>
        <v>d'Indy, Vincent</v>
      </c>
      <c r="B1832" s="3">
        <f ca="1">IFERROR(__xludf.DUMMYFUNCTION("""COMPUTED_VALUE"""),1)</f>
        <v>1</v>
      </c>
      <c r="C1832" s="7">
        <f ca="1">IFERROR(__xludf.DUMMYFUNCTION("""COMPUTED_VALUE"""),1)</f>
        <v>1</v>
      </c>
      <c r="D1832" s="8">
        <f ca="1">IFERROR(__xludf.DUMMYFUNCTION("""COMPUTED_VALUE"""),5)</f>
        <v>5</v>
      </c>
      <c r="E1832" s="2">
        <f ca="1">IFERROR(__xludf.DUMMYFUNCTION("""COMPUTED_VALUE"""),2)</f>
        <v>2</v>
      </c>
    </row>
    <row r="1833" spans="1:5" ht="13">
      <c r="A1833" s="2" t="str">
        <f ca="1">IFERROR(__xludf.DUMMYFUNCTION("""COMPUTED_VALUE"""),"da Nola, Giovanni")</f>
        <v>da Nola, Giovanni</v>
      </c>
      <c r="B1833" s="3">
        <f ca="1">IFERROR(__xludf.DUMMYFUNCTION("""COMPUTED_VALUE"""),1)</f>
        <v>1</v>
      </c>
      <c r="C1833" s="7">
        <f ca="1">IFERROR(__xludf.DUMMYFUNCTION("""COMPUTED_VALUE"""),1)</f>
        <v>1</v>
      </c>
      <c r="D1833" s="8">
        <f ca="1">IFERROR(__xludf.DUMMYFUNCTION("""COMPUTED_VALUE"""),1)</f>
        <v>1</v>
      </c>
      <c r="E1833" s="2">
        <f ca="1">IFERROR(__xludf.DUMMYFUNCTION("""COMPUTED_VALUE"""),1)</f>
        <v>1</v>
      </c>
    </row>
    <row r="1834" spans="1:5" ht="13">
      <c r="A1834" s="2" t="str">
        <f ca="1">IFERROR(__xludf.DUMMYFUNCTION("""COMPUTED_VALUE"""),"da Rold, Manolo")</f>
        <v>da Rold, Manolo</v>
      </c>
      <c r="B1834" s="3">
        <f ca="1">IFERROR(__xludf.DUMMYFUNCTION("""COMPUTED_VALUE"""),1)</f>
        <v>1</v>
      </c>
      <c r="C1834" s="7">
        <f ca="1">IFERROR(__xludf.DUMMYFUNCTION("""COMPUTED_VALUE"""),1)</f>
        <v>1</v>
      </c>
      <c r="D1834" s="8">
        <f ca="1">IFERROR(__xludf.DUMMYFUNCTION("""COMPUTED_VALUE"""),1)</f>
        <v>1</v>
      </c>
      <c r="E1834" s="2">
        <f ca="1">IFERROR(__xludf.DUMMYFUNCTION("""COMPUTED_VALUE"""),1)</f>
        <v>1</v>
      </c>
    </row>
    <row r="1835" spans="1:5" ht="13">
      <c r="A1835" s="8" t="str">
        <f ca="1">IFERROR(__xludf.DUMMYFUNCTION("""COMPUTED_VALUE"""),"da Viadana, Ludovico")</f>
        <v>da Viadana, Ludovico</v>
      </c>
      <c r="B1835" s="3">
        <f ca="1">IFERROR(__xludf.DUMMYFUNCTION("""COMPUTED_VALUE"""),1)</f>
        <v>1</v>
      </c>
      <c r="C1835" s="7">
        <f ca="1">IFERROR(__xludf.DUMMYFUNCTION("""COMPUTED_VALUE"""),1)</f>
        <v>1</v>
      </c>
      <c r="D1835" s="8">
        <f ca="1">IFERROR(__xludf.DUMMYFUNCTION("""COMPUTED_VALUE"""),5)</f>
        <v>5</v>
      </c>
      <c r="E1835" s="2">
        <f ca="1">IFERROR(__xludf.DUMMYFUNCTION("""COMPUTED_VALUE"""),2)</f>
        <v>2</v>
      </c>
    </row>
    <row r="1836" spans="1:5" ht="13">
      <c r="A1836" s="2" t="str">
        <f ca="1">IFERROR(__xludf.DUMMYFUNCTION("""COMPUTED_VALUE"""),"Dabczynski, Andrew")</f>
        <v>Dabczynski, Andrew</v>
      </c>
      <c r="B1836" s="3">
        <f ca="1">IFERROR(__xludf.DUMMYFUNCTION("""COMPUTED_VALUE"""),1)</f>
        <v>1</v>
      </c>
      <c r="C1836" s="7">
        <f ca="1">IFERROR(__xludf.DUMMYFUNCTION("""COMPUTED_VALUE"""),1)</f>
        <v>1</v>
      </c>
      <c r="D1836" s="8">
        <f ca="1">IFERROR(__xludf.DUMMYFUNCTION("""COMPUTED_VALUE"""),1)</f>
        <v>1</v>
      </c>
      <c r="E1836" s="2">
        <f ca="1">IFERROR(__xludf.DUMMYFUNCTION("""COMPUTED_VALUE"""),1)</f>
        <v>1</v>
      </c>
    </row>
    <row r="1837" spans="1:5" ht="13">
      <c r="A1837" s="8" t="str">
        <f ca="1">IFERROR(__xludf.DUMMYFUNCTION("""COMPUTED_VALUE"""),"Daehn, Larry")</f>
        <v>Daehn, Larry</v>
      </c>
      <c r="B1837" s="3">
        <f ca="1">IFERROR(__xludf.DUMMYFUNCTION("""COMPUTED_VALUE"""),1)</f>
        <v>1</v>
      </c>
      <c r="C1837" s="7">
        <f ca="1">IFERROR(__xludf.DUMMYFUNCTION("""COMPUTED_VALUE"""),1)</f>
        <v>1</v>
      </c>
      <c r="D1837" s="8">
        <f ca="1">IFERROR(__xludf.DUMMYFUNCTION("""COMPUTED_VALUE"""),1)</f>
        <v>1</v>
      </c>
      <c r="E1837" s="2">
        <f ca="1">IFERROR(__xludf.DUMMYFUNCTION("""COMPUTED_VALUE"""),1)</f>
        <v>1</v>
      </c>
    </row>
    <row r="1838" spans="1:5" ht="13">
      <c r="A1838" s="8" t="str">
        <f ca="1">IFERROR(__xludf.DUMMYFUNCTION("""COMPUTED_VALUE"""),"Dagenais, Jonathan")</f>
        <v>Dagenais, Jonathan</v>
      </c>
      <c r="B1838" s="3">
        <f ca="1">IFERROR(__xludf.DUMMYFUNCTION("""COMPUTED_VALUE"""),1)</f>
        <v>1</v>
      </c>
      <c r="C1838" s="7">
        <f ca="1">IFERROR(__xludf.DUMMYFUNCTION("""COMPUTED_VALUE"""),1)</f>
        <v>1</v>
      </c>
      <c r="D1838" s="8">
        <f ca="1">IFERROR(__xludf.DUMMYFUNCTION("""COMPUTED_VALUE"""),1)</f>
        <v>1</v>
      </c>
      <c r="E1838" s="2">
        <f ca="1">IFERROR(__xludf.DUMMYFUNCTION("""COMPUTED_VALUE"""),1)</f>
        <v>1</v>
      </c>
    </row>
    <row r="1839" spans="1:5" ht="13">
      <c r="A1839" s="8" t="str">
        <f ca="1">IFERROR(__xludf.DUMMYFUNCTION("""COMPUTED_VALUE"""),"Dahl, Ingolf")</f>
        <v>Dahl, Ingolf</v>
      </c>
      <c r="B1839" s="3">
        <f ca="1">IFERROR(__xludf.DUMMYFUNCTION("""COMPUTED_VALUE"""),1)</f>
        <v>1</v>
      </c>
      <c r="C1839" s="7">
        <f ca="1">IFERROR(__xludf.DUMMYFUNCTION("""COMPUTED_VALUE"""),1)</f>
        <v>1</v>
      </c>
      <c r="D1839" s="8">
        <f ca="1">IFERROR(__xludf.DUMMYFUNCTION("""COMPUTED_VALUE"""),5)</f>
        <v>5</v>
      </c>
      <c r="E1839" s="2">
        <f ca="1">IFERROR(__xludf.DUMMYFUNCTION("""COMPUTED_VALUE"""),2)</f>
        <v>2</v>
      </c>
    </row>
    <row r="1840" spans="1:5" ht="13">
      <c r="A1840" s="2" t="str">
        <f ca="1">IFERROR(__xludf.DUMMYFUNCTION("""COMPUTED_VALUE"""),"Dailey, Raleigh")</f>
        <v>Dailey, Raleigh</v>
      </c>
      <c r="B1840" s="3">
        <f ca="1">IFERROR(__xludf.DUMMYFUNCTION("""COMPUTED_VALUE"""),1)</f>
        <v>1</v>
      </c>
      <c r="C1840" s="7">
        <f ca="1">IFERROR(__xludf.DUMMYFUNCTION("""COMPUTED_VALUE"""),1)</f>
        <v>1</v>
      </c>
      <c r="D1840" s="8">
        <f ca="1">IFERROR(__xludf.DUMMYFUNCTION("""COMPUTED_VALUE"""),1)</f>
        <v>1</v>
      </c>
      <c r="E1840" s="2">
        <f ca="1">IFERROR(__xludf.DUMMYFUNCTION("""COMPUTED_VALUE"""),1)</f>
        <v>1</v>
      </c>
    </row>
    <row r="1841" spans="1:5" ht="13">
      <c r="A1841" s="2" t="str">
        <f ca="1">IFERROR(__xludf.DUMMYFUNCTION("""COMPUTED_VALUE"""),"Dal Porto, Mark")</f>
        <v>Dal Porto, Mark</v>
      </c>
      <c r="B1841" s="3">
        <f ca="1">IFERROR(__xludf.DUMMYFUNCTION("""COMPUTED_VALUE"""),1)</f>
        <v>1</v>
      </c>
      <c r="C1841" s="7">
        <f ca="1">IFERROR(__xludf.DUMMYFUNCTION("""COMPUTED_VALUE"""),1)</f>
        <v>1</v>
      </c>
      <c r="D1841" s="8">
        <f ca="1">IFERROR(__xludf.DUMMYFUNCTION("""COMPUTED_VALUE"""),1)</f>
        <v>1</v>
      </c>
      <c r="E1841" s="2">
        <f ca="1">IFERROR(__xludf.DUMMYFUNCTION("""COMPUTED_VALUE"""),1)</f>
        <v>1</v>
      </c>
    </row>
    <row r="1842" spans="1:5" ht="13">
      <c r="A1842" s="2" t="str">
        <f ca="1">IFERROR(__xludf.DUMMYFUNCTION("""COMPUTED_VALUE"""),"Dalager, Jacob")</f>
        <v>Dalager, Jacob</v>
      </c>
      <c r="B1842" s="2">
        <f ca="1">IFERROR(__xludf.DUMMYFUNCTION("""COMPUTED_VALUE"""),1)</f>
        <v>1</v>
      </c>
      <c r="C1842" s="2">
        <f ca="1">IFERROR(__xludf.DUMMYFUNCTION("""COMPUTED_VALUE"""),1)</f>
        <v>1</v>
      </c>
      <c r="D1842" s="8">
        <f ca="1">IFERROR(__xludf.DUMMYFUNCTION("""COMPUTED_VALUE"""),1)</f>
        <v>1</v>
      </c>
      <c r="E1842" s="2">
        <f ca="1">IFERROR(__xludf.DUMMYFUNCTION("""COMPUTED_VALUE"""),1)</f>
        <v>1</v>
      </c>
    </row>
    <row r="1843" spans="1:5" ht="13">
      <c r="A1843" s="2" t="str">
        <f ca="1">IFERROR(__xludf.DUMMYFUNCTION("""COMPUTED_VALUE"""),"Dalayrac, Nicolas")</f>
        <v>Dalayrac, Nicolas</v>
      </c>
      <c r="B1843" s="3">
        <f ca="1">IFERROR(__xludf.DUMMYFUNCTION("""COMPUTED_VALUE"""),1)</f>
        <v>1</v>
      </c>
      <c r="C1843" s="7">
        <f ca="1">IFERROR(__xludf.DUMMYFUNCTION("""COMPUTED_VALUE"""),1)</f>
        <v>1</v>
      </c>
      <c r="D1843" s="8">
        <f ca="1">IFERROR(__xludf.DUMMYFUNCTION("""COMPUTED_VALUE"""),5)</f>
        <v>5</v>
      </c>
      <c r="E1843" s="2">
        <f ca="1">IFERROR(__xludf.DUMMYFUNCTION("""COMPUTED_VALUE"""),2)</f>
        <v>2</v>
      </c>
    </row>
    <row r="1844" spans="1:5" ht="13">
      <c r="A1844" s="8" t="str">
        <f ca="1">IFERROR(__xludf.DUMMYFUNCTION("""COMPUTED_VALUE"""),"Dalbavie, Marc-André")</f>
        <v>Dalbavie, Marc-André</v>
      </c>
      <c r="B1844" s="3">
        <f ca="1">IFERROR(__xludf.DUMMYFUNCTION("""COMPUTED_VALUE"""),1)</f>
        <v>1</v>
      </c>
      <c r="C1844" s="7">
        <f ca="1">IFERROR(__xludf.DUMMYFUNCTION("""COMPUTED_VALUE"""),1)</f>
        <v>1</v>
      </c>
      <c r="D1844" s="8">
        <f ca="1">IFERROR(__xludf.DUMMYFUNCTION("""COMPUTED_VALUE"""),1)</f>
        <v>1</v>
      </c>
      <c r="E1844" s="2">
        <f ca="1">IFERROR(__xludf.DUMMYFUNCTION("""COMPUTED_VALUE"""),1)</f>
        <v>1</v>
      </c>
    </row>
    <row r="1845" spans="1:5" ht="13">
      <c r="A1845" s="2" t="str">
        <f ca="1">IFERROR(__xludf.DUMMYFUNCTION("""COMPUTED_VALUE"""),"Dale, A.")</f>
        <v>Dale, A.</v>
      </c>
      <c r="B1845" s="3">
        <f ca="1">IFERROR(__xludf.DUMMYFUNCTION("""COMPUTED_VALUE"""),1)</f>
        <v>1</v>
      </c>
      <c r="C1845" s="7">
        <f ca="1">IFERROR(__xludf.DUMMYFUNCTION("""COMPUTED_VALUE"""),1)</f>
        <v>1</v>
      </c>
      <c r="D1845" s="8">
        <f ca="1">IFERROR(__xludf.DUMMYFUNCTION("""COMPUTED_VALUE"""),5)</f>
        <v>5</v>
      </c>
      <c r="E1845" s="2">
        <f ca="1">IFERROR(__xludf.DUMMYFUNCTION("""COMPUTED_VALUE"""),2)</f>
        <v>2</v>
      </c>
    </row>
    <row r="1846" spans="1:5" ht="13">
      <c r="A1846" s="2" t="str">
        <f ca="1">IFERROR(__xludf.DUMMYFUNCTION("""COMPUTED_VALUE"""),"Dalgleish, Malcolm")</f>
        <v>Dalgleish, Malcolm</v>
      </c>
      <c r="B1846" s="3">
        <f ca="1">IFERROR(__xludf.DUMMYFUNCTION("""COMPUTED_VALUE"""),1)</f>
        <v>1</v>
      </c>
      <c r="C1846" s="7">
        <f ca="1">IFERROR(__xludf.DUMMYFUNCTION("""COMPUTED_VALUE"""),1)</f>
        <v>1</v>
      </c>
      <c r="D1846" s="8">
        <f ca="1">IFERROR(__xludf.DUMMYFUNCTION("""COMPUTED_VALUE"""),1)</f>
        <v>1</v>
      </c>
      <c r="E1846" s="2">
        <f ca="1">IFERROR(__xludf.DUMMYFUNCTION("""COMPUTED_VALUE"""),1)</f>
        <v>1</v>
      </c>
    </row>
    <row r="1847" spans="1:5" ht="13">
      <c r="A1847" s="2" t="str">
        <f ca="1">IFERROR(__xludf.DUMMYFUNCTION("""COMPUTED_VALUE"""),"Dalglish,Malcolm")</f>
        <v>Dalglish,Malcolm</v>
      </c>
      <c r="B1847" s="3">
        <f ca="1">IFERROR(__xludf.DUMMYFUNCTION("""COMPUTED_VALUE"""),1)</f>
        <v>1</v>
      </c>
      <c r="C1847" s="7">
        <f ca="1">IFERROR(__xludf.DUMMYFUNCTION("""COMPUTED_VALUE"""),1)</f>
        <v>1</v>
      </c>
      <c r="D1847" s="8">
        <f ca="1">IFERROR(__xludf.DUMMYFUNCTION("""COMPUTED_VALUE"""),1)</f>
        <v>1</v>
      </c>
      <c r="E1847" s="2">
        <f ca="1">IFERROR(__xludf.DUMMYFUNCTION("""COMPUTED_VALUE"""),1)</f>
        <v>1</v>
      </c>
    </row>
    <row r="1848" spans="1:5" ht="13">
      <c r="A1848" s="2" t="str">
        <f ca="1">IFERROR(__xludf.DUMMYFUNCTION("""COMPUTED_VALUE"""),"Dall'Abaco, Evaristo Felice")</f>
        <v>Dall'Abaco, Evaristo Felice</v>
      </c>
      <c r="B1848" s="2">
        <f ca="1">IFERROR(__xludf.DUMMYFUNCTION("""COMPUTED_VALUE"""),1)</f>
        <v>1</v>
      </c>
      <c r="C1848" s="7">
        <f ca="1">IFERROR(__xludf.DUMMYFUNCTION("""COMPUTED_VALUE"""),1)</f>
        <v>1</v>
      </c>
      <c r="D1848" s="8">
        <f ca="1">IFERROR(__xludf.DUMMYFUNCTION("""COMPUTED_VALUE"""),5)</f>
        <v>5</v>
      </c>
      <c r="E1848" s="2">
        <f ca="1">IFERROR(__xludf.DUMMYFUNCTION("""COMPUTED_VALUE"""),2)</f>
        <v>2</v>
      </c>
    </row>
    <row r="1849" spans="1:5" ht="13">
      <c r="A1849" s="8" t="str">
        <f ca="1">IFERROR(__xludf.DUMMYFUNCTION("""COMPUTED_VALUE"""),"Dall'negro, Michele")</f>
        <v>Dall'negro, Michele</v>
      </c>
      <c r="B1849" s="3">
        <f ca="1">IFERROR(__xludf.DUMMYFUNCTION("""COMPUTED_VALUE"""),1)</f>
        <v>1</v>
      </c>
      <c r="C1849" s="7">
        <f ca="1">IFERROR(__xludf.DUMMYFUNCTION("""COMPUTED_VALUE"""),1)</f>
        <v>1</v>
      </c>
      <c r="D1849" s="8">
        <f ca="1">IFERROR(__xludf.DUMMYFUNCTION("""COMPUTED_VALUE"""),5)</f>
        <v>5</v>
      </c>
      <c r="E1849" s="2">
        <f ca="1">IFERROR(__xludf.DUMMYFUNCTION("""COMPUTED_VALUE"""),2)</f>
        <v>2</v>
      </c>
    </row>
    <row r="1850" spans="1:5" ht="13">
      <c r="A1850" s="8" t="str">
        <f ca="1">IFERROR(__xludf.DUMMYFUNCTION("""COMPUTED_VALUE"""),"Dall’Ongaro, Michele")</f>
        <v>Dall’Ongaro, Michele</v>
      </c>
      <c r="B1850" s="3">
        <f ca="1">IFERROR(__xludf.DUMMYFUNCTION("""COMPUTED_VALUE"""),1)</f>
        <v>1</v>
      </c>
      <c r="C1850" s="7">
        <f ca="1">IFERROR(__xludf.DUMMYFUNCTION("""COMPUTED_VALUE"""),1)</f>
        <v>1</v>
      </c>
      <c r="D1850" s="8">
        <f ca="1">IFERROR(__xludf.DUMMYFUNCTION("""COMPUTED_VALUE"""),1)</f>
        <v>1</v>
      </c>
      <c r="E1850" s="2">
        <f ca="1">IFERROR(__xludf.DUMMYFUNCTION("""COMPUTED_VALUE"""),1)</f>
        <v>1</v>
      </c>
    </row>
    <row r="1851" spans="1:5" ht="13">
      <c r="A1851" s="8" t="str">
        <f ca="1">IFERROR(__xludf.DUMMYFUNCTION("""COMPUTED_VALUE"""),"Dallapiccola, Luigi")</f>
        <v>Dallapiccola, Luigi</v>
      </c>
      <c r="B1851" s="3">
        <f ca="1">IFERROR(__xludf.DUMMYFUNCTION("""COMPUTED_VALUE"""),1)</f>
        <v>1</v>
      </c>
      <c r="C1851" s="7">
        <f ca="1">IFERROR(__xludf.DUMMYFUNCTION("""COMPUTED_VALUE"""),1)</f>
        <v>1</v>
      </c>
      <c r="D1851" s="8">
        <f ca="1">IFERROR(__xludf.DUMMYFUNCTION("""COMPUTED_VALUE"""),5)</f>
        <v>5</v>
      </c>
      <c r="E1851" s="2">
        <f ca="1">IFERROR(__xludf.DUMMYFUNCTION("""COMPUTED_VALUE"""),2)</f>
        <v>2</v>
      </c>
    </row>
    <row r="1852" spans="1:5" ht="13">
      <c r="A1852" s="2" t="str">
        <f ca="1">IFERROR(__xludf.DUMMYFUNCTION("""COMPUTED_VALUE"""),"Dalley, Orien")</f>
        <v>Dalley, Orien</v>
      </c>
      <c r="B1852" s="3">
        <f ca="1">IFERROR(__xludf.DUMMYFUNCTION("""COMPUTED_VALUE"""),1)</f>
        <v>1</v>
      </c>
      <c r="C1852" s="7">
        <f ca="1">IFERROR(__xludf.DUMMYFUNCTION("""COMPUTED_VALUE"""),1)</f>
        <v>1</v>
      </c>
      <c r="D1852" s="8">
        <f ca="1">IFERROR(__xludf.DUMMYFUNCTION("""COMPUTED_VALUE"""),5)</f>
        <v>5</v>
      </c>
      <c r="E1852" s="2">
        <f ca="1">IFERROR(__xludf.DUMMYFUNCTION("""COMPUTED_VALUE"""),2)</f>
        <v>2</v>
      </c>
    </row>
    <row r="1853" spans="1:5" ht="13">
      <c r="A1853" s="2" t="str">
        <f ca="1">IFERROR(__xludf.DUMMYFUNCTION("""COMPUTED_VALUE"""),"Dallin, Leon")</f>
        <v>Dallin, Leon</v>
      </c>
      <c r="B1853" s="2">
        <f ca="1">IFERROR(__xludf.DUMMYFUNCTION("""COMPUTED_VALUE"""),1)</f>
        <v>1</v>
      </c>
      <c r="C1853" s="7">
        <f ca="1">IFERROR(__xludf.DUMMYFUNCTION("""COMPUTED_VALUE"""),1)</f>
        <v>1</v>
      </c>
      <c r="D1853" s="8">
        <f ca="1">IFERROR(__xludf.DUMMYFUNCTION("""COMPUTED_VALUE"""),5)</f>
        <v>5</v>
      </c>
      <c r="E1853" s="2">
        <f ca="1">IFERROR(__xludf.DUMMYFUNCTION("""COMPUTED_VALUE"""),2)</f>
        <v>2</v>
      </c>
    </row>
    <row r="1854" spans="1:5" ht="13">
      <c r="A1854" s="2" t="str">
        <f ca="1">IFERROR(__xludf.DUMMYFUNCTION("""COMPUTED_VALUE"""),"Dalmau, Jaime Texidor")</f>
        <v>Dalmau, Jaime Texidor</v>
      </c>
      <c r="B1854" s="3">
        <f ca="1">IFERROR(__xludf.DUMMYFUNCTION("""COMPUTED_VALUE"""),1)</f>
        <v>1</v>
      </c>
      <c r="C1854" s="7">
        <f ca="1">IFERROR(__xludf.DUMMYFUNCTION("""COMPUTED_VALUE"""),1)</f>
        <v>1</v>
      </c>
      <c r="D1854" s="8">
        <f ca="1">IFERROR(__xludf.DUMMYFUNCTION("""COMPUTED_VALUE"""),5)</f>
        <v>5</v>
      </c>
      <c r="E1854" s="2">
        <f ca="1">IFERROR(__xludf.DUMMYFUNCTION("""COMPUTED_VALUE"""),2)</f>
        <v>2</v>
      </c>
    </row>
    <row r="1855" spans="1:5" ht="13">
      <c r="A1855" s="2" t="str">
        <f ca="1">IFERROR(__xludf.DUMMYFUNCTION("""COMPUTED_VALUE"""),"Dalton, Catherine")</f>
        <v>Dalton, Catherine</v>
      </c>
      <c r="B1855" s="2">
        <f ca="1">IFERROR(__xludf.DUMMYFUNCTION("""COMPUTED_VALUE"""),1)</f>
        <v>1</v>
      </c>
      <c r="C1855" s="7">
        <f ca="1">IFERROR(__xludf.DUMMYFUNCTION("""COMPUTED_VALUE"""),1)</f>
        <v>1</v>
      </c>
      <c r="D1855" s="8">
        <f ca="1">IFERROR(__xludf.DUMMYFUNCTION("""COMPUTED_VALUE"""),1)</f>
        <v>1</v>
      </c>
      <c r="E1855" s="2">
        <f ca="1">IFERROR(__xludf.DUMMYFUNCTION("""COMPUTED_VALUE"""),1)</f>
        <v>1</v>
      </c>
    </row>
    <row r="1856" spans="1:5" ht="13">
      <c r="A1856" s="2" t="str">
        <f ca="1">IFERROR(__xludf.DUMMYFUNCTION("""COMPUTED_VALUE"""),"Dalton, Larry")</f>
        <v>Dalton, Larry</v>
      </c>
      <c r="B1856" s="2">
        <f ca="1">IFERROR(__xludf.DUMMYFUNCTION("""COMPUTED_VALUE"""),1)</f>
        <v>1</v>
      </c>
      <c r="C1856" s="2">
        <f ca="1">IFERROR(__xludf.DUMMYFUNCTION("""COMPUTED_VALUE"""),1)</f>
        <v>1</v>
      </c>
      <c r="D1856" s="8">
        <f ca="1">IFERROR(__xludf.DUMMYFUNCTION("""COMPUTED_VALUE"""),5)</f>
        <v>5</v>
      </c>
      <c r="E1856" s="2">
        <f ca="1">IFERROR(__xludf.DUMMYFUNCTION("""COMPUTED_VALUE"""),2)</f>
        <v>2</v>
      </c>
    </row>
    <row r="1857" spans="1:5" ht="13">
      <c r="A1857" s="2" t="str">
        <f ca="1">IFERROR(__xludf.DUMMYFUNCTION("""COMPUTED_VALUE"""),"Daly, Daniel")</f>
        <v>Daly, Daniel</v>
      </c>
      <c r="B1857" s="3">
        <f ca="1">IFERROR(__xludf.DUMMYFUNCTION("""COMPUTED_VALUE"""),1)</f>
        <v>1</v>
      </c>
      <c r="C1857" s="7">
        <f ca="1">IFERROR(__xludf.DUMMYFUNCTION("""COMPUTED_VALUE"""),1)</f>
        <v>1</v>
      </c>
      <c r="D1857" s="8">
        <f ca="1">IFERROR(__xludf.DUMMYFUNCTION("""COMPUTED_VALUE"""),1)</f>
        <v>1</v>
      </c>
      <c r="E1857" s="2">
        <f ca="1">IFERROR(__xludf.DUMMYFUNCTION("""COMPUTED_VALUE"""),1)</f>
        <v>1</v>
      </c>
    </row>
    <row r="1858" spans="1:5" ht="13">
      <c r="A1858" s="8" t="str">
        <f ca="1">IFERROR(__xludf.DUMMYFUNCTION("""COMPUTED_VALUE"""),"Daly, Russ")</f>
        <v>Daly, Russ</v>
      </c>
      <c r="B1858" s="2">
        <f ca="1">IFERROR(__xludf.DUMMYFUNCTION("""COMPUTED_VALUE"""),1)</f>
        <v>1</v>
      </c>
      <c r="C1858" s="7">
        <f ca="1">IFERROR(__xludf.DUMMYFUNCTION("""COMPUTED_VALUE"""),1)</f>
        <v>1</v>
      </c>
      <c r="D1858" s="8">
        <f ca="1">IFERROR(__xludf.DUMMYFUNCTION("""COMPUTED_VALUE"""),5)</f>
        <v>5</v>
      </c>
      <c r="E1858" s="2">
        <f ca="1">IFERROR(__xludf.DUMMYFUNCTION("""COMPUTED_VALUE"""),2)</f>
        <v>2</v>
      </c>
    </row>
    <row r="1859" spans="1:5" ht="13">
      <c r="A1859" s="2" t="str">
        <f ca="1">IFERROR(__xludf.DUMMYFUNCTION("""COMPUTED_VALUE"""),"Damaré, Eugène")</f>
        <v>Damaré, Eugène</v>
      </c>
      <c r="B1859" s="2">
        <f ca="1">IFERROR(__xludf.DUMMYFUNCTION("""COMPUTED_VALUE"""),1)</f>
        <v>1</v>
      </c>
      <c r="C1859" s="7">
        <f ca="1">IFERROR(__xludf.DUMMYFUNCTION("""COMPUTED_VALUE"""),1)</f>
        <v>1</v>
      </c>
      <c r="D1859" s="8">
        <f ca="1">IFERROR(__xludf.DUMMYFUNCTION("""COMPUTED_VALUE"""),5)</f>
        <v>5</v>
      </c>
      <c r="E1859" s="2">
        <f ca="1">IFERROR(__xludf.DUMMYFUNCTION("""COMPUTED_VALUE"""),2)</f>
        <v>2</v>
      </c>
    </row>
    <row r="1860" spans="1:5" ht="13">
      <c r="A1860" s="2" t="str">
        <f ca="1">IFERROR(__xludf.DUMMYFUNCTION("""COMPUTED_VALUE"""),"Damase, Jean-Michel")</f>
        <v>Damase, Jean-Michel</v>
      </c>
      <c r="B1860" s="2">
        <f ca="1">IFERROR(__xludf.DUMMYFUNCTION("""COMPUTED_VALUE"""),1)</f>
        <v>1</v>
      </c>
      <c r="C1860" s="7">
        <f ca="1">IFERROR(__xludf.DUMMYFUNCTION("""COMPUTED_VALUE"""),1)</f>
        <v>1</v>
      </c>
      <c r="D1860" s="8">
        <f ca="1">IFERROR(__xludf.DUMMYFUNCTION("""COMPUTED_VALUE"""),5)</f>
        <v>5</v>
      </c>
      <c r="E1860" s="2">
        <f ca="1">IFERROR(__xludf.DUMMYFUNCTION("""COMPUTED_VALUE"""),2)</f>
        <v>2</v>
      </c>
    </row>
    <row r="1861" spans="1:5" ht="13">
      <c r="A1861" s="8" t="str">
        <f ca="1">IFERROR(__xludf.DUMMYFUNCTION("""COMPUTED_VALUE"""),"Damm, August")</f>
        <v>Damm, August</v>
      </c>
      <c r="B1861" s="3">
        <f ca="1">IFERROR(__xludf.DUMMYFUNCTION("""COMPUTED_VALUE"""),1)</f>
        <v>1</v>
      </c>
      <c r="C1861" s="7">
        <f ca="1">IFERROR(__xludf.DUMMYFUNCTION("""COMPUTED_VALUE"""),1)</f>
        <v>1</v>
      </c>
      <c r="D1861" s="8">
        <f ca="1">IFERROR(__xludf.DUMMYFUNCTION("""COMPUTED_VALUE"""),5)</f>
        <v>5</v>
      </c>
      <c r="E1861" s="2">
        <f ca="1">IFERROR(__xludf.DUMMYFUNCTION("""COMPUTED_VALUE"""),2)</f>
        <v>2</v>
      </c>
    </row>
    <row r="1862" spans="1:5" ht="13">
      <c r="A1862" s="2" t="str">
        <f ca="1">IFERROR(__xludf.DUMMYFUNCTION("""COMPUTED_VALUE"""),"Damrosch, Frank")</f>
        <v>Damrosch, Frank</v>
      </c>
      <c r="B1862" s="2">
        <f ca="1">IFERROR(__xludf.DUMMYFUNCTION("""COMPUTED_VALUE"""),1)</f>
        <v>1</v>
      </c>
      <c r="C1862" s="2">
        <f ca="1">IFERROR(__xludf.DUMMYFUNCTION("""COMPUTED_VALUE"""),1)</f>
        <v>1</v>
      </c>
      <c r="D1862" s="8">
        <f ca="1">IFERROR(__xludf.DUMMYFUNCTION("""COMPUTED_VALUE"""),5)</f>
        <v>5</v>
      </c>
      <c r="E1862" s="2">
        <f ca="1">IFERROR(__xludf.DUMMYFUNCTION("""COMPUTED_VALUE"""),2)</f>
        <v>2</v>
      </c>
    </row>
    <row r="1863" spans="1:5" ht="13">
      <c r="A1863" s="8" t="str">
        <f ca="1">IFERROR(__xludf.DUMMYFUNCTION("""COMPUTED_VALUE"""),"Damrosch, Walter")</f>
        <v>Damrosch, Walter</v>
      </c>
      <c r="B1863" s="3">
        <f ca="1">IFERROR(__xludf.DUMMYFUNCTION("""COMPUTED_VALUE"""),1)</f>
        <v>1</v>
      </c>
      <c r="C1863" s="7">
        <f ca="1">IFERROR(__xludf.DUMMYFUNCTION("""COMPUTED_VALUE"""),1)</f>
        <v>1</v>
      </c>
      <c r="D1863" s="8">
        <f ca="1">IFERROR(__xludf.DUMMYFUNCTION("""COMPUTED_VALUE"""),5)</f>
        <v>5</v>
      </c>
      <c r="E1863" s="2">
        <f ca="1">IFERROR(__xludf.DUMMYFUNCTION("""COMPUTED_VALUE"""),2)</f>
        <v>2</v>
      </c>
    </row>
    <row r="1864" spans="1:5" ht="13">
      <c r="A1864" s="2" t="str">
        <f ca="1">IFERROR(__xludf.DUMMYFUNCTION("""COMPUTED_VALUE"""),"Dana, Mike")</f>
        <v>Dana, Mike</v>
      </c>
      <c r="B1864" s="3">
        <f ca="1">IFERROR(__xludf.DUMMYFUNCTION("""COMPUTED_VALUE"""),1)</f>
        <v>1</v>
      </c>
      <c r="C1864" s="7">
        <f ca="1">IFERROR(__xludf.DUMMYFUNCTION("""COMPUTED_VALUE"""),1)</f>
        <v>1</v>
      </c>
      <c r="D1864" s="8">
        <f ca="1">IFERROR(__xludf.DUMMYFUNCTION("""COMPUTED_VALUE"""),1)</f>
        <v>1</v>
      </c>
      <c r="E1864" s="2">
        <f ca="1">IFERROR(__xludf.DUMMYFUNCTION("""COMPUTED_VALUE"""),1)</f>
        <v>1</v>
      </c>
    </row>
    <row r="1865" spans="1:5" ht="13">
      <c r="A1865" s="8" t="str">
        <f ca="1">IFERROR(__xludf.DUMMYFUNCTION("""COMPUTED_VALUE"""),"Danbé, Jules")</f>
        <v>Danbé, Jules</v>
      </c>
      <c r="B1865" s="3">
        <f ca="1">IFERROR(__xludf.DUMMYFUNCTION("""COMPUTED_VALUE"""),1)</f>
        <v>1</v>
      </c>
      <c r="C1865" s="7">
        <f ca="1">IFERROR(__xludf.DUMMYFUNCTION("""COMPUTED_VALUE"""),1)</f>
        <v>1</v>
      </c>
      <c r="D1865" s="8">
        <f ca="1">IFERROR(__xludf.DUMMYFUNCTION("""COMPUTED_VALUE"""),5)</f>
        <v>5</v>
      </c>
      <c r="E1865" s="2">
        <f ca="1">IFERROR(__xludf.DUMMYFUNCTION("""COMPUTED_VALUE"""),2)</f>
        <v>2</v>
      </c>
    </row>
    <row r="1866" spans="1:5" ht="13">
      <c r="A1866" s="2" t="str">
        <f ca="1">IFERROR(__xludf.DUMMYFUNCTION("""COMPUTED_VALUE"""),"Dancla, Charles")</f>
        <v>Dancla, Charles</v>
      </c>
      <c r="B1866" s="3">
        <f ca="1">IFERROR(__xludf.DUMMYFUNCTION("""COMPUTED_VALUE"""),1)</f>
        <v>1</v>
      </c>
      <c r="C1866" s="7">
        <f ca="1">IFERROR(__xludf.DUMMYFUNCTION("""COMPUTED_VALUE"""),1)</f>
        <v>1</v>
      </c>
      <c r="D1866" s="8">
        <f ca="1">IFERROR(__xludf.DUMMYFUNCTION("""COMPUTED_VALUE"""),5)</f>
        <v>5</v>
      </c>
      <c r="E1866" s="2">
        <f ca="1">IFERROR(__xludf.DUMMYFUNCTION("""COMPUTED_VALUE"""),2)</f>
        <v>2</v>
      </c>
    </row>
    <row r="1867" spans="1:5" ht="13">
      <c r="A1867" s="2" t="str">
        <f ca="1">IFERROR(__xludf.DUMMYFUNCTION("""COMPUTED_VALUE"""),"Dandrieu, Jean-François")</f>
        <v>Dandrieu, Jean-François</v>
      </c>
      <c r="B1867" s="2">
        <f ca="1">IFERROR(__xludf.DUMMYFUNCTION("""COMPUTED_VALUE"""),1)</f>
        <v>1</v>
      </c>
      <c r="C1867" s="7">
        <f ca="1">IFERROR(__xludf.DUMMYFUNCTION("""COMPUTED_VALUE"""),1)</f>
        <v>1</v>
      </c>
      <c r="D1867" s="8">
        <f ca="1">IFERROR(__xludf.DUMMYFUNCTION("""COMPUTED_VALUE"""),5)</f>
        <v>5</v>
      </c>
      <c r="E1867" s="2">
        <f ca="1">IFERROR(__xludf.DUMMYFUNCTION("""COMPUTED_VALUE"""),2)</f>
        <v>2</v>
      </c>
    </row>
    <row r="1868" spans="1:5" ht="13">
      <c r="A1868" s="8" t="str">
        <f ca="1">IFERROR(__xludf.DUMMYFUNCTION("""COMPUTED_VALUE"""),"Danela, Charles")</f>
        <v>Danela, Charles</v>
      </c>
      <c r="B1868" s="3">
        <f ca="1">IFERROR(__xludf.DUMMYFUNCTION("""COMPUTED_VALUE"""),1)</f>
        <v>1</v>
      </c>
      <c r="C1868" s="7">
        <f ca="1">IFERROR(__xludf.DUMMYFUNCTION("""COMPUTED_VALUE"""),1)</f>
        <v>1</v>
      </c>
      <c r="D1868" s="8">
        <f ca="1">IFERROR(__xludf.DUMMYFUNCTION("""COMPUTED_VALUE"""),5)</f>
        <v>5</v>
      </c>
      <c r="E1868" s="2">
        <f ca="1">IFERROR(__xludf.DUMMYFUNCTION("""COMPUTED_VALUE"""),2)</f>
        <v>2</v>
      </c>
    </row>
    <row r="1869" spans="1:5" ht="13">
      <c r="A1869" s="2" t="str">
        <f ca="1">IFERROR(__xludf.DUMMYFUNCTION("""COMPUTED_VALUE"""),"Dangerfield, Joseph")</f>
        <v>Dangerfield, Joseph</v>
      </c>
      <c r="B1869" s="2">
        <f ca="1">IFERROR(__xludf.DUMMYFUNCTION("""COMPUTED_VALUE"""),1)</f>
        <v>1</v>
      </c>
      <c r="C1869" s="7">
        <f ca="1">IFERROR(__xludf.DUMMYFUNCTION("""COMPUTED_VALUE"""),1)</f>
        <v>1</v>
      </c>
      <c r="D1869" s="8">
        <f ca="1">IFERROR(__xludf.DUMMYFUNCTION("""COMPUTED_VALUE"""),1)</f>
        <v>1</v>
      </c>
      <c r="E1869" s="2">
        <f ca="1">IFERROR(__xludf.DUMMYFUNCTION("""COMPUTED_VALUE"""),1)</f>
        <v>1</v>
      </c>
    </row>
    <row r="1870" spans="1:5" ht="13">
      <c r="A1870" s="2" t="str">
        <f ca="1">IFERROR(__xludf.DUMMYFUNCTION("""COMPUTED_VALUE"""),"Daniel, Eliot")</f>
        <v>Daniel, Eliot</v>
      </c>
      <c r="B1870" s="2">
        <f ca="1">IFERROR(__xludf.DUMMYFUNCTION("""COMPUTED_VALUE"""),1)</f>
        <v>1</v>
      </c>
      <c r="C1870" s="7">
        <f ca="1">IFERROR(__xludf.DUMMYFUNCTION("""COMPUTED_VALUE"""),1)</f>
        <v>1</v>
      </c>
      <c r="D1870" s="8">
        <f ca="1">IFERROR(__xludf.DUMMYFUNCTION("""COMPUTED_VALUE"""),5)</f>
        <v>5</v>
      </c>
      <c r="E1870" s="2">
        <f ca="1">IFERROR(__xludf.DUMMYFUNCTION("""COMPUTED_VALUE"""),2)</f>
        <v>2</v>
      </c>
    </row>
    <row r="1871" spans="1:5" ht="13">
      <c r="A1871" s="2" t="str">
        <f ca="1">IFERROR(__xludf.DUMMYFUNCTION("""COMPUTED_VALUE"""),"Daniel, Oliver")</f>
        <v>Daniel, Oliver</v>
      </c>
      <c r="B1871" s="2">
        <f ca="1">IFERROR(__xludf.DUMMYFUNCTION("""COMPUTED_VALUE"""),1)</f>
        <v>1</v>
      </c>
      <c r="C1871" s="2">
        <f ca="1">IFERROR(__xludf.DUMMYFUNCTION("""COMPUTED_VALUE"""),1)</f>
        <v>1</v>
      </c>
      <c r="D1871" s="8">
        <f ca="1">IFERROR(__xludf.DUMMYFUNCTION("""COMPUTED_VALUE"""),5)</f>
        <v>5</v>
      </c>
      <c r="E1871" s="2">
        <f ca="1">IFERROR(__xludf.DUMMYFUNCTION("""COMPUTED_VALUE"""),2)</f>
        <v>2</v>
      </c>
    </row>
    <row r="1872" spans="1:5" ht="13">
      <c r="A1872" s="8" t="str">
        <f ca="1">IFERROR(__xludf.DUMMYFUNCTION("""COMPUTED_VALUE"""),"Danielpour, Richard")</f>
        <v>Danielpour, Richard</v>
      </c>
      <c r="B1872" s="3">
        <f ca="1">IFERROR(__xludf.DUMMYFUNCTION("""COMPUTED_VALUE"""),1)</f>
        <v>1</v>
      </c>
      <c r="C1872" s="7">
        <f ca="1">IFERROR(__xludf.DUMMYFUNCTION("""COMPUTED_VALUE"""),1)</f>
        <v>1</v>
      </c>
      <c r="D1872" s="8">
        <f ca="1">IFERROR(__xludf.DUMMYFUNCTION("""COMPUTED_VALUE"""),1)</f>
        <v>1</v>
      </c>
      <c r="E1872" s="2">
        <f ca="1">IFERROR(__xludf.DUMMYFUNCTION("""COMPUTED_VALUE"""),1)</f>
        <v>1</v>
      </c>
    </row>
    <row r="1873" spans="1:5" ht="13">
      <c r="A1873" s="2" t="str">
        <f ca="1">IFERROR(__xludf.DUMMYFUNCTION("""COMPUTED_VALUE"""),"Daniels, Charles")</f>
        <v>Daniels, Charles</v>
      </c>
      <c r="B1873" s="3">
        <f ca="1">IFERROR(__xludf.DUMMYFUNCTION("""COMPUTED_VALUE"""),1)</f>
        <v>1</v>
      </c>
      <c r="C1873" s="7">
        <f ca="1">IFERROR(__xludf.DUMMYFUNCTION("""COMPUTED_VALUE"""),1)</f>
        <v>1</v>
      </c>
      <c r="D1873" s="8">
        <f ca="1">IFERROR(__xludf.DUMMYFUNCTION("""COMPUTED_VALUE"""),5)</f>
        <v>5</v>
      </c>
      <c r="E1873" s="2">
        <f ca="1">IFERROR(__xludf.DUMMYFUNCTION("""COMPUTED_VALUE"""),2)</f>
        <v>2</v>
      </c>
    </row>
    <row r="1874" spans="1:5" ht="13">
      <c r="A1874" s="2" t="str">
        <f ca="1">IFERROR(__xludf.DUMMYFUNCTION("""COMPUTED_VALUE"""),"Daniels, David")</f>
        <v>Daniels, David</v>
      </c>
      <c r="B1874" s="3">
        <f ca="1">IFERROR(__xludf.DUMMYFUNCTION("""COMPUTED_VALUE"""),1)</f>
        <v>1</v>
      </c>
      <c r="C1874" s="7">
        <f ca="1">IFERROR(__xludf.DUMMYFUNCTION("""COMPUTED_VALUE"""),1)</f>
        <v>1</v>
      </c>
      <c r="D1874" s="8">
        <f ca="1">IFERROR(__xludf.DUMMYFUNCTION("""COMPUTED_VALUE"""),5)</f>
        <v>5</v>
      </c>
      <c r="E1874" s="2">
        <f ca="1">IFERROR(__xludf.DUMMYFUNCTION("""COMPUTED_VALUE"""),2)</f>
        <v>2</v>
      </c>
    </row>
    <row r="1875" spans="1:5" ht="13">
      <c r="A1875" s="2" t="str">
        <f ca="1">IFERROR(__xludf.DUMMYFUNCTION("""COMPUTED_VALUE"""),"Daniels, M.L. (Melvin)")</f>
        <v>Daniels, M.L. (Melvin)</v>
      </c>
      <c r="B1875" s="3">
        <f ca="1">IFERROR(__xludf.DUMMYFUNCTION("""COMPUTED_VALUE"""),1)</f>
        <v>1</v>
      </c>
      <c r="C1875" s="7">
        <f ca="1">IFERROR(__xludf.DUMMYFUNCTION("""COMPUTED_VALUE"""),1)</f>
        <v>1</v>
      </c>
      <c r="D1875" s="8">
        <f ca="1">IFERROR(__xludf.DUMMYFUNCTION("""COMPUTED_VALUE"""),1)</f>
        <v>1</v>
      </c>
      <c r="E1875" s="2">
        <f ca="1">IFERROR(__xludf.DUMMYFUNCTION("""COMPUTED_VALUE"""),1)</f>
        <v>1</v>
      </c>
    </row>
    <row r="1876" spans="1:5" ht="13">
      <c r="A1876" s="8" t="str">
        <f ca="1">IFERROR(__xludf.DUMMYFUNCTION("""COMPUTED_VALUE"""),"Danna, Mychael")</f>
        <v>Danna, Mychael</v>
      </c>
      <c r="B1876" s="3">
        <f ca="1">IFERROR(__xludf.DUMMYFUNCTION("""COMPUTED_VALUE"""),1)</f>
        <v>1</v>
      </c>
      <c r="C1876" s="7">
        <f ca="1">IFERROR(__xludf.DUMMYFUNCTION("""COMPUTED_VALUE"""),1)</f>
        <v>1</v>
      </c>
      <c r="D1876" s="8">
        <f ca="1">IFERROR(__xludf.DUMMYFUNCTION("""COMPUTED_VALUE"""),1)</f>
        <v>1</v>
      </c>
      <c r="E1876" s="2">
        <f ca="1">IFERROR(__xludf.DUMMYFUNCTION("""COMPUTED_VALUE"""),1)</f>
        <v>1</v>
      </c>
    </row>
    <row r="1877" spans="1:5" ht="13">
      <c r="A1877" s="8" t="str">
        <f ca="1">IFERROR(__xludf.DUMMYFUNCTION("""COMPUTED_VALUE"""),"Danner, Greg")</f>
        <v>Danner, Greg</v>
      </c>
      <c r="B1877" s="3">
        <f ca="1">IFERROR(__xludf.DUMMYFUNCTION("""COMPUTED_VALUE"""),1)</f>
        <v>1</v>
      </c>
      <c r="C1877" s="7">
        <f ca="1">IFERROR(__xludf.DUMMYFUNCTION("""COMPUTED_VALUE"""),1)</f>
        <v>1</v>
      </c>
      <c r="D1877" s="8">
        <f ca="1">IFERROR(__xludf.DUMMYFUNCTION("""COMPUTED_VALUE"""),1)</f>
        <v>1</v>
      </c>
      <c r="E1877" s="2">
        <f ca="1">IFERROR(__xludf.DUMMYFUNCTION("""COMPUTED_VALUE"""),1)</f>
        <v>1</v>
      </c>
    </row>
    <row r="1878" spans="1:5" ht="13">
      <c r="A1878" s="2" t="str">
        <f ca="1">IFERROR(__xludf.DUMMYFUNCTION("""COMPUTED_VALUE"""),"Dante, Forcellati")</f>
        <v>Dante, Forcellati</v>
      </c>
      <c r="B1878" s="2">
        <f ca="1">IFERROR(__xludf.DUMMYFUNCTION("""COMPUTED_VALUE"""),1)</f>
        <v>1</v>
      </c>
      <c r="C1878" s="2">
        <f ca="1">IFERROR(__xludf.DUMMYFUNCTION("""COMPUTED_VALUE"""),1)</f>
        <v>1</v>
      </c>
      <c r="D1878" s="8">
        <f ca="1">IFERROR(__xludf.DUMMYFUNCTION("""COMPUTED_VALUE"""),5)</f>
        <v>5</v>
      </c>
      <c r="E1878" s="2">
        <f ca="1">IFERROR(__xludf.DUMMYFUNCTION("""COMPUTED_VALUE"""),2)</f>
        <v>2</v>
      </c>
    </row>
    <row r="1879" spans="1:5" ht="13">
      <c r="A1879" s="8" t="str">
        <f ca="1">IFERROR(__xludf.DUMMYFUNCTION("""COMPUTED_VALUE"""),"Danyew, Steve")</f>
        <v>Danyew, Steve</v>
      </c>
      <c r="B1879" s="3">
        <f ca="1">IFERROR(__xludf.DUMMYFUNCTION("""COMPUTED_VALUE"""),1)</f>
        <v>1</v>
      </c>
      <c r="C1879" s="7">
        <f ca="1">IFERROR(__xludf.DUMMYFUNCTION("""COMPUTED_VALUE"""),1)</f>
        <v>1</v>
      </c>
      <c r="D1879" s="8">
        <f ca="1">IFERROR(__xludf.DUMMYFUNCTION("""COMPUTED_VALUE"""),1)</f>
        <v>1</v>
      </c>
      <c r="E1879" s="2">
        <f ca="1">IFERROR(__xludf.DUMMYFUNCTION("""COMPUTED_VALUE"""),1)</f>
        <v>1</v>
      </c>
    </row>
    <row r="1880" spans="1:5" ht="13">
      <c r="A1880" s="8" t="str">
        <f ca="1">IFERROR(__xludf.DUMMYFUNCTION("""COMPUTED_VALUE"""),"Danzi, Franz")</f>
        <v>Danzi, Franz</v>
      </c>
      <c r="B1880" s="3">
        <f ca="1">IFERROR(__xludf.DUMMYFUNCTION("""COMPUTED_VALUE"""),1)</f>
        <v>1</v>
      </c>
      <c r="C1880" s="7">
        <f ca="1">IFERROR(__xludf.DUMMYFUNCTION("""COMPUTED_VALUE"""),1)</f>
        <v>1</v>
      </c>
      <c r="D1880" s="8">
        <f ca="1">IFERROR(__xludf.DUMMYFUNCTION("""COMPUTED_VALUE"""),5)</f>
        <v>5</v>
      </c>
      <c r="E1880" s="2">
        <f ca="1">IFERROR(__xludf.DUMMYFUNCTION("""COMPUTED_VALUE"""),2)</f>
        <v>2</v>
      </c>
    </row>
    <row r="1881" spans="1:5" ht="13">
      <c r="A1881" s="8" t="str">
        <f ca="1">IFERROR(__xludf.DUMMYFUNCTION("""COMPUTED_VALUE"""),"Danzmayr, Wolfgang")</f>
        <v>Danzmayr, Wolfgang</v>
      </c>
      <c r="B1881" s="3">
        <f ca="1">IFERROR(__xludf.DUMMYFUNCTION("""COMPUTED_VALUE"""),1)</f>
        <v>1</v>
      </c>
      <c r="C1881" s="7">
        <f ca="1">IFERROR(__xludf.DUMMYFUNCTION("""COMPUTED_VALUE"""),1)</f>
        <v>1</v>
      </c>
      <c r="D1881" s="8">
        <f ca="1">IFERROR(__xludf.DUMMYFUNCTION("""COMPUTED_VALUE"""),1)</f>
        <v>1</v>
      </c>
      <c r="E1881" s="2">
        <f ca="1">IFERROR(__xludf.DUMMYFUNCTION("""COMPUTED_VALUE"""),1)</f>
        <v>1</v>
      </c>
    </row>
    <row r="1882" spans="1:5" ht="13">
      <c r="A1882" s="2" t="str">
        <f ca="1">IFERROR(__xludf.DUMMYFUNCTION("""COMPUTED_VALUE"""),"Dapogny, James")</f>
        <v>Dapogny, James</v>
      </c>
      <c r="B1882" s="2">
        <f ca="1">IFERROR(__xludf.DUMMYFUNCTION("""COMPUTED_VALUE"""),1)</f>
        <v>1</v>
      </c>
      <c r="C1882" s="7">
        <f ca="1">IFERROR(__xludf.DUMMYFUNCTION("""COMPUTED_VALUE"""),1)</f>
        <v>1</v>
      </c>
      <c r="D1882" s="8">
        <f ca="1">IFERROR(__xludf.DUMMYFUNCTION("""COMPUTED_VALUE"""),5)</f>
        <v>5</v>
      </c>
      <c r="E1882" s="2">
        <f ca="1">IFERROR(__xludf.DUMMYFUNCTION("""COMPUTED_VALUE"""),2)</f>
        <v>2</v>
      </c>
    </row>
    <row r="1883" spans="1:5" ht="13">
      <c r="A1883" s="8" t="str">
        <f ca="1">IFERROR(__xludf.DUMMYFUNCTION("""COMPUTED_VALUE"""),"Daquin, Louis-Claude")</f>
        <v>Daquin, Louis-Claude</v>
      </c>
      <c r="B1883" s="3">
        <f ca="1">IFERROR(__xludf.DUMMYFUNCTION("""COMPUTED_VALUE"""),1)</f>
        <v>1</v>
      </c>
      <c r="C1883" s="7">
        <f ca="1">IFERROR(__xludf.DUMMYFUNCTION("""COMPUTED_VALUE"""),1)</f>
        <v>1</v>
      </c>
      <c r="D1883" s="8">
        <f ca="1">IFERROR(__xludf.DUMMYFUNCTION("""COMPUTED_VALUE"""),5)</f>
        <v>5</v>
      </c>
      <c r="E1883" s="2">
        <f ca="1">IFERROR(__xludf.DUMMYFUNCTION("""COMPUTED_VALUE"""),2)</f>
        <v>2</v>
      </c>
    </row>
    <row r="1884" spans="1:5" ht="13">
      <c r="A1884" s="2" t="str">
        <f ca="1">IFERROR(__xludf.DUMMYFUNCTION("""COMPUTED_VALUE"""),"Darby, Ken / Matson, Vera / Presley, Elvis")</f>
        <v>Darby, Ken / Matson, Vera / Presley, Elvis</v>
      </c>
      <c r="B1884" s="2">
        <f ca="1">IFERROR(__xludf.DUMMYFUNCTION("""COMPUTED_VALUE"""),1)</f>
        <v>1</v>
      </c>
      <c r="C1884" s="7">
        <f ca="1">IFERROR(__xludf.DUMMYFUNCTION("""COMPUTED_VALUE"""),1)</f>
        <v>1</v>
      </c>
      <c r="D1884" s="8">
        <f ca="1">IFERROR(__xludf.DUMMYFUNCTION("""COMPUTED_VALUE"""),5)</f>
        <v>5</v>
      </c>
      <c r="E1884" s="2">
        <f ca="1">IFERROR(__xludf.DUMMYFUNCTION("""COMPUTED_VALUE"""),2)</f>
        <v>2</v>
      </c>
    </row>
    <row r="1885" spans="1:5" ht="13">
      <c r="A1885" s="2" t="str">
        <f ca="1">IFERROR(__xludf.DUMMYFUNCTION("""COMPUTED_VALUE"""),"Darcy, Thomas")</f>
        <v>Darcy, Thomas</v>
      </c>
      <c r="B1885" s="3">
        <f ca="1">IFERROR(__xludf.DUMMYFUNCTION("""COMPUTED_VALUE"""),1)</f>
        <v>1</v>
      </c>
      <c r="C1885" s="7">
        <f ca="1">IFERROR(__xludf.DUMMYFUNCTION("""COMPUTED_VALUE"""),1)</f>
        <v>1</v>
      </c>
      <c r="D1885" s="8">
        <f ca="1">IFERROR(__xludf.DUMMYFUNCTION("""COMPUTED_VALUE"""),5)</f>
        <v>5</v>
      </c>
      <c r="E1885" s="2">
        <f ca="1">IFERROR(__xludf.DUMMYFUNCTION("""COMPUTED_VALUE"""),2)</f>
        <v>2</v>
      </c>
    </row>
    <row r="1886" spans="1:5" ht="13">
      <c r="A1886" s="2" t="str">
        <f ca="1">IFERROR(__xludf.DUMMYFUNCTION("""COMPUTED_VALUE"""),"Dargomyzhsky, Alexander")</f>
        <v>Dargomyzhsky, Alexander</v>
      </c>
      <c r="B1886" s="3">
        <f ca="1">IFERROR(__xludf.DUMMYFUNCTION("""COMPUTED_VALUE"""),1)</f>
        <v>1</v>
      </c>
      <c r="C1886" s="7">
        <f ca="1">IFERROR(__xludf.DUMMYFUNCTION("""COMPUTED_VALUE"""),1)</f>
        <v>1</v>
      </c>
      <c r="D1886" s="8">
        <f ca="1">IFERROR(__xludf.DUMMYFUNCTION("""COMPUTED_VALUE"""),5)</f>
        <v>5</v>
      </c>
      <c r="E1886" s="2">
        <f ca="1">IFERROR(__xludf.DUMMYFUNCTION("""COMPUTED_VALUE"""),2)</f>
        <v>2</v>
      </c>
    </row>
    <row r="1887" spans="1:5" ht="13">
      <c r="A1887" s="2" t="str">
        <f ca="1">IFERROR(__xludf.DUMMYFUNCTION("""COMPUTED_VALUE"""),"Darling, Erik")</f>
        <v>Darling, Erik</v>
      </c>
      <c r="B1887" s="3">
        <f ca="1">IFERROR(__xludf.DUMMYFUNCTION("""COMPUTED_VALUE"""),1)</f>
        <v>1</v>
      </c>
      <c r="C1887" s="7">
        <f ca="1">IFERROR(__xludf.DUMMYFUNCTION("""COMPUTED_VALUE"""),1)</f>
        <v>1</v>
      </c>
      <c r="D1887" s="8">
        <f ca="1">IFERROR(__xludf.DUMMYFUNCTION("""COMPUTED_VALUE"""),5)</f>
        <v>5</v>
      </c>
      <c r="E1887" s="2">
        <f ca="1">IFERROR(__xludf.DUMMYFUNCTION("""COMPUTED_VALUE"""),2)</f>
        <v>2</v>
      </c>
    </row>
    <row r="1888" spans="1:5" ht="13">
      <c r="A1888" s="2" t="str">
        <f ca="1">IFERROR(__xludf.DUMMYFUNCTION("""COMPUTED_VALUE"""),"Dart, Thurston")</f>
        <v>Dart, Thurston</v>
      </c>
      <c r="B1888" s="3">
        <f ca="1">IFERROR(__xludf.DUMMYFUNCTION("""COMPUTED_VALUE"""),1)</f>
        <v>1</v>
      </c>
      <c r="C1888" s="7">
        <f ca="1">IFERROR(__xludf.DUMMYFUNCTION("""COMPUTED_VALUE"""),1)</f>
        <v>1</v>
      </c>
      <c r="D1888" s="8">
        <f ca="1">IFERROR(__xludf.DUMMYFUNCTION("""COMPUTED_VALUE"""),5)</f>
        <v>5</v>
      </c>
      <c r="E1888" s="2">
        <f ca="1">IFERROR(__xludf.DUMMYFUNCTION("""COMPUTED_VALUE"""),2)</f>
        <v>2</v>
      </c>
    </row>
    <row r="1889" spans="1:5" ht="13">
      <c r="A1889" s="2" t="str">
        <f ca="1">IFERROR(__xludf.DUMMYFUNCTION("""COMPUTED_VALUE"""),"Darvas, Gábor")</f>
        <v>Darvas, Gábor</v>
      </c>
      <c r="B1889" s="2">
        <f ca="1">IFERROR(__xludf.DUMMYFUNCTION("""COMPUTED_VALUE"""),1)</f>
        <v>1</v>
      </c>
      <c r="C1889" s="7">
        <f ca="1">IFERROR(__xludf.DUMMYFUNCTION("""COMPUTED_VALUE"""),1)</f>
        <v>1</v>
      </c>
      <c r="D1889" s="8">
        <f ca="1">IFERROR(__xludf.DUMMYFUNCTION("""COMPUTED_VALUE"""),5)</f>
        <v>5</v>
      </c>
      <c r="E1889" s="2">
        <f ca="1">IFERROR(__xludf.DUMMYFUNCTION("""COMPUTED_VALUE"""),2)</f>
        <v>2</v>
      </c>
    </row>
    <row r="1890" spans="1:5" ht="13">
      <c r="A1890" s="8" t="str">
        <f ca="1">IFERROR(__xludf.DUMMYFUNCTION("""COMPUTED_VALUE"""),"Darzins, Emil")</f>
        <v>Darzins, Emil</v>
      </c>
      <c r="B1890" s="3">
        <f ca="1">IFERROR(__xludf.DUMMYFUNCTION("""COMPUTED_VALUE"""),1)</f>
        <v>1</v>
      </c>
      <c r="C1890" s="7">
        <f ca="1">IFERROR(__xludf.DUMMYFUNCTION("""COMPUTED_VALUE"""),1)</f>
        <v>1</v>
      </c>
      <c r="D1890" s="8">
        <f ca="1">IFERROR(__xludf.DUMMYFUNCTION("""COMPUTED_VALUE"""),5)</f>
        <v>5</v>
      </c>
      <c r="E1890" s="2">
        <f ca="1">IFERROR(__xludf.DUMMYFUNCTION("""COMPUTED_VALUE"""),2)</f>
        <v>2</v>
      </c>
    </row>
    <row r="1891" spans="1:5" ht="13">
      <c r="A1891" s="2" t="str">
        <f ca="1">IFERROR(__xludf.DUMMYFUNCTION("""COMPUTED_VALUE"""),"Das, David")</f>
        <v>Das, David</v>
      </c>
      <c r="B1891" s="3">
        <f ca="1">IFERROR(__xludf.DUMMYFUNCTION("""COMPUTED_VALUE"""),1)</f>
        <v>1</v>
      </c>
      <c r="C1891" s="7">
        <f ca="1">IFERROR(__xludf.DUMMYFUNCTION("""COMPUTED_VALUE"""),1)</f>
        <v>1</v>
      </c>
      <c r="D1891" s="8">
        <f ca="1">IFERROR(__xludf.DUMMYFUNCTION("""COMPUTED_VALUE"""),1)</f>
        <v>1</v>
      </c>
      <c r="E1891" s="2">
        <f ca="1">IFERROR(__xludf.DUMMYFUNCTION("""COMPUTED_VALUE"""),1)</f>
        <v>1</v>
      </c>
    </row>
    <row r="1892" spans="1:5" ht="13">
      <c r="A1892" s="2" t="str">
        <f ca="1">IFERROR(__xludf.DUMMYFUNCTION("""COMPUTED_VALUE"""),"Dasch, George")</f>
        <v>Dasch, George</v>
      </c>
      <c r="B1892" s="3">
        <f ca="1">IFERROR(__xludf.DUMMYFUNCTION("""COMPUTED_VALUE"""),1)</f>
        <v>1</v>
      </c>
      <c r="C1892" s="7">
        <f ca="1">IFERROR(__xludf.DUMMYFUNCTION("""COMPUTED_VALUE"""),1)</f>
        <v>1</v>
      </c>
      <c r="D1892" s="8">
        <f ca="1">IFERROR(__xludf.DUMMYFUNCTION("""COMPUTED_VALUE"""),5)</f>
        <v>5</v>
      </c>
      <c r="E1892" s="2">
        <f ca="1">IFERROR(__xludf.DUMMYFUNCTION("""COMPUTED_VALUE"""),2)</f>
        <v>2</v>
      </c>
    </row>
    <row r="1893" spans="1:5" ht="13">
      <c r="A1893" s="8" t="str">
        <f ca="1">IFERROR(__xludf.DUMMYFUNCTION("""COMPUTED_VALUE"""),"Daugherty, Michael")</f>
        <v>Daugherty, Michael</v>
      </c>
      <c r="B1893" s="3">
        <f ca="1">IFERROR(__xludf.DUMMYFUNCTION("""COMPUTED_VALUE"""),1)</f>
        <v>1</v>
      </c>
      <c r="C1893" s="7">
        <f ca="1">IFERROR(__xludf.DUMMYFUNCTION("""COMPUTED_VALUE"""),1)</f>
        <v>1</v>
      </c>
      <c r="D1893" s="8">
        <f ca="1">IFERROR(__xludf.DUMMYFUNCTION("""COMPUTED_VALUE"""),1)</f>
        <v>1</v>
      </c>
      <c r="E1893" s="2">
        <f ca="1">IFERROR(__xludf.DUMMYFUNCTION("""COMPUTED_VALUE"""),1)</f>
        <v>1</v>
      </c>
    </row>
    <row r="1894" spans="1:5" ht="13">
      <c r="A1894" s="8" t="str">
        <f ca="1">IFERROR(__xludf.DUMMYFUNCTION("""COMPUTED_VALUE"""),"Daughtrey, Nathan")</f>
        <v>Daughtrey, Nathan</v>
      </c>
      <c r="B1894" s="3">
        <f ca="1">IFERROR(__xludf.DUMMYFUNCTION("""COMPUTED_VALUE"""),1)</f>
        <v>1</v>
      </c>
      <c r="C1894" s="7">
        <f ca="1">IFERROR(__xludf.DUMMYFUNCTION("""COMPUTED_VALUE"""),1)</f>
        <v>1</v>
      </c>
      <c r="D1894" s="8">
        <f ca="1">IFERROR(__xludf.DUMMYFUNCTION("""COMPUTED_VALUE"""),1)</f>
        <v>1</v>
      </c>
      <c r="E1894" s="2">
        <f ca="1">IFERROR(__xludf.DUMMYFUNCTION("""COMPUTED_VALUE"""),1)</f>
        <v>1</v>
      </c>
    </row>
    <row r="1895" spans="1:5" ht="13">
      <c r="A1895" s="2" t="str">
        <f ca="1">IFERROR(__xludf.DUMMYFUNCTION("""COMPUTED_VALUE"""),"Daugirdas, Kestutis")</f>
        <v>Daugirdas, Kestutis</v>
      </c>
      <c r="B1895" s="3">
        <f ca="1">IFERROR(__xludf.DUMMYFUNCTION("""COMPUTED_VALUE"""),1)</f>
        <v>1</v>
      </c>
      <c r="C1895" s="7">
        <f ca="1">IFERROR(__xludf.DUMMYFUNCTION("""COMPUTED_VALUE"""),1)</f>
        <v>1</v>
      </c>
      <c r="D1895" s="8">
        <f ca="1">IFERROR(__xludf.DUMMYFUNCTION("""COMPUTED_VALUE"""),1)</f>
        <v>1</v>
      </c>
      <c r="E1895" s="2">
        <f ca="1">IFERROR(__xludf.DUMMYFUNCTION("""COMPUTED_VALUE"""),1)</f>
        <v>1</v>
      </c>
    </row>
    <row r="1896" spans="1:5" ht="13">
      <c r="A1896" s="2" t="str">
        <f ca="1">IFERROR(__xludf.DUMMYFUNCTION("""COMPUTED_VALUE"""),"Davenport, David")</f>
        <v>Davenport, David</v>
      </c>
      <c r="B1896" s="3">
        <f ca="1">IFERROR(__xludf.DUMMYFUNCTION("""COMPUTED_VALUE"""),1)</f>
        <v>1</v>
      </c>
      <c r="C1896" s="7">
        <f ca="1">IFERROR(__xludf.DUMMYFUNCTION("""COMPUTED_VALUE"""),1)</f>
        <v>1</v>
      </c>
      <c r="D1896" s="8">
        <f ca="1">IFERROR(__xludf.DUMMYFUNCTION("""COMPUTED_VALUE"""),1)</f>
        <v>1</v>
      </c>
      <c r="E1896" s="2">
        <f ca="1">IFERROR(__xludf.DUMMYFUNCTION("""COMPUTED_VALUE"""),1)</f>
        <v>1</v>
      </c>
    </row>
    <row r="1897" spans="1:5" ht="13">
      <c r="A1897" s="2" t="str">
        <f ca="1">IFERROR(__xludf.DUMMYFUNCTION("""COMPUTED_VALUE"""),"Davenport, Geritt W.")</f>
        <v>Davenport, Geritt W.</v>
      </c>
      <c r="B1897" s="3">
        <f ca="1">IFERROR(__xludf.DUMMYFUNCTION("""COMPUTED_VALUE"""),1)</f>
        <v>1</v>
      </c>
      <c r="C1897" s="7">
        <f ca="1">IFERROR(__xludf.DUMMYFUNCTION("""COMPUTED_VALUE"""),1)</f>
        <v>1</v>
      </c>
      <c r="D1897" s="8">
        <f ca="1">IFERROR(__xludf.DUMMYFUNCTION("""COMPUTED_VALUE"""),1)</f>
        <v>1</v>
      </c>
      <c r="E1897" s="2">
        <f ca="1">IFERROR(__xludf.DUMMYFUNCTION("""COMPUTED_VALUE"""),1)</f>
        <v>1</v>
      </c>
    </row>
    <row r="1898" spans="1:5" ht="13">
      <c r="A1898" s="2" t="str">
        <f ca="1">IFERROR(__xludf.DUMMYFUNCTION("""COMPUTED_VALUE"""),"Davern, Shawn W.")</f>
        <v>Davern, Shawn W.</v>
      </c>
      <c r="B1898" s="3">
        <f ca="1">IFERROR(__xludf.DUMMYFUNCTION("""COMPUTED_VALUE"""),1)</f>
        <v>1</v>
      </c>
      <c r="C1898" s="7">
        <f ca="1">IFERROR(__xludf.DUMMYFUNCTION("""COMPUTED_VALUE"""),1)</f>
        <v>1</v>
      </c>
      <c r="D1898" s="8">
        <f ca="1">IFERROR(__xludf.DUMMYFUNCTION("""COMPUTED_VALUE"""),1)</f>
        <v>1</v>
      </c>
      <c r="E1898" s="2">
        <f ca="1">IFERROR(__xludf.DUMMYFUNCTION("""COMPUTED_VALUE"""),1)</f>
        <v>1</v>
      </c>
    </row>
    <row r="1899" spans="1:5" ht="13">
      <c r="A1899" s="2" t="str">
        <f ca="1">IFERROR(__xludf.DUMMYFUNCTION("""COMPUTED_VALUE"""),"Daversa, John")</f>
        <v>Daversa, John</v>
      </c>
      <c r="B1899" s="3">
        <f ca="1">IFERROR(__xludf.DUMMYFUNCTION("""COMPUTED_VALUE"""),1)</f>
        <v>1</v>
      </c>
      <c r="C1899" s="7">
        <f ca="1">IFERROR(__xludf.DUMMYFUNCTION("""COMPUTED_VALUE"""),1)</f>
        <v>1</v>
      </c>
      <c r="D1899" s="8">
        <f ca="1">IFERROR(__xludf.DUMMYFUNCTION("""COMPUTED_VALUE"""),1)</f>
        <v>1</v>
      </c>
      <c r="E1899" s="2">
        <f ca="1">IFERROR(__xludf.DUMMYFUNCTION("""COMPUTED_VALUE"""),1)</f>
        <v>1</v>
      </c>
    </row>
    <row r="1900" spans="1:5" ht="13">
      <c r="A1900" s="2" t="str">
        <f ca="1">IFERROR(__xludf.DUMMYFUNCTION("""COMPUTED_VALUE"""),"David Coleman, Ian")</f>
        <v>David Coleman, Ian</v>
      </c>
      <c r="B1900" s="2">
        <f ca="1">IFERROR(__xludf.DUMMYFUNCTION("""COMPUTED_VALUE"""),1)</f>
        <v>1</v>
      </c>
      <c r="C1900" s="7">
        <f ca="1">IFERROR(__xludf.DUMMYFUNCTION("""COMPUTED_VALUE"""),1)</f>
        <v>1</v>
      </c>
      <c r="D1900" s="8">
        <f ca="1">IFERROR(__xludf.DUMMYFUNCTION("""COMPUTED_VALUE"""),1)</f>
        <v>1</v>
      </c>
      <c r="E1900" s="2">
        <f ca="1">IFERROR(__xludf.DUMMYFUNCTION("""COMPUTED_VALUE"""),1)</f>
        <v>1</v>
      </c>
    </row>
    <row r="1901" spans="1:5" ht="13">
      <c r="A1901" s="2" t="str">
        <f ca="1">IFERROR(__xludf.DUMMYFUNCTION("""COMPUTED_VALUE"""),"David, Adolph I.")</f>
        <v>David, Adolph I.</v>
      </c>
      <c r="B1901" s="3">
        <f ca="1">IFERROR(__xludf.DUMMYFUNCTION("""COMPUTED_VALUE"""),1)</f>
        <v>1</v>
      </c>
      <c r="C1901" s="7">
        <f ca="1">IFERROR(__xludf.DUMMYFUNCTION("""COMPUTED_VALUE"""),1)</f>
        <v>1</v>
      </c>
      <c r="D1901" s="8">
        <f ca="1">IFERROR(__xludf.DUMMYFUNCTION("""COMPUTED_VALUE"""),5)</f>
        <v>5</v>
      </c>
      <c r="E1901" s="2">
        <f ca="1">IFERROR(__xludf.DUMMYFUNCTION("""COMPUTED_VALUE"""),2)</f>
        <v>2</v>
      </c>
    </row>
    <row r="1902" spans="1:5" ht="13">
      <c r="A1902" s="2" t="str">
        <f ca="1">IFERROR(__xludf.DUMMYFUNCTION("""COMPUTED_VALUE"""),"David, Felicien")</f>
        <v>David, Felicien</v>
      </c>
      <c r="B1902" s="3">
        <f ca="1">IFERROR(__xludf.DUMMYFUNCTION("""COMPUTED_VALUE"""),1)</f>
        <v>1</v>
      </c>
      <c r="C1902" s="7">
        <f ca="1">IFERROR(__xludf.DUMMYFUNCTION("""COMPUTED_VALUE"""),1)</f>
        <v>1</v>
      </c>
      <c r="D1902" s="8">
        <f ca="1">IFERROR(__xludf.DUMMYFUNCTION("""COMPUTED_VALUE"""),5)</f>
        <v>5</v>
      </c>
      <c r="E1902" s="2">
        <f ca="1">IFERROR(__xludf.DUMMYFUNCTION("""COMPUTED_VALUE"""),2)</f>
        <v>2</v>
      </c>
    </row>
    <row r="1903" spans="1:5" ht="13">
      <c r="A1903" s="8" t="str">
        <f ca="1">IFERROR(__xludf.DUMMYFUNCTION("""COMPUTED_VALUE"""),"David, Ferdinand")</f>
        <v>David, Ferdinand</v>
      </c>
      <c r="B1903" s="3">
        <f ca="1">IFERROR(__xludf.DUMMYFUNCTION("""COMPUTED_VALUE"""),1)</f>
        <v>1</v>
      </c>
      <c r="C1903" s="7">
        <f ca="1">IFERROR(__xludf.DUMMYFUNCTION("""COMPUTED_VALUE"""),1)</f>
        <v>1</v>
      </c>
      <c r="D1903" s="8">
        <f ca="1">IFERROR(__xludf.DUMMYFUNCTION("""COMPUTED_VALUE"""),5)</f>
        <v>5</v>
      </c>
      <c r="E1903" s="2">
        <f ca="1">IFERROR(__xludf.DUMMYFUNCTION("""COMPUTED_VALUE"""),2)</f>
        <v>2</v>
      </c>
    </row>
    <row r="1904" spans="1:5" ht="13">
      <c r="A1904" s="8" t="str">
        <f ca="1">IFERROR(__xludf.DUMMYFUNCTION("""COMPUTED_VALUE"""),"David, James M.")</f>
        <v>David, James M.</v>
      </c>
      <c r="B1904" s="3">
        <f ca="1">IFERROR(__xludf.DUMMYFUNCTION("""COMPUTED_VALUE"""),1)</f>
        <v>1</v>
      </c>
      <c r="C1904" s="7">
        <f ca="1">IFERROR(__xludf.DUMMYFUNCTION("""COMPUTED_VALUE"""),1)</f>
        <v>1</v>
      </c>
      <c r="D1904" s="8">
        <f ca="1">IFERROR(__xludf.DUMMYFUNCTION("""COMPUTED_VALUE"""),1)</f>
        <v>1</v>
      </c>
      <c r="E1904" s="2">
        <f ca="1">IFERROR(__xludf.DUMMYFUNCTION("""COMPUTED_VALUE"""),1)</f>
        <v>1</v>
      </c>
    </row>
    <row r="1905" spans="1:5" ht="13">
      <c r="A1905" s="2" t="str">
        <f ca="1">IFERROR(__xludf.DUMMYFUNCTION("""COMPUTED_VALUE"""),"David, John")</f>
        <v>David, John</v>
      </c>
      <c r="B1905" s="3">
        <f ca="1">IFERROR(__xludf.DUMMYFUNCTION("""COMPUTED_VALUE"""),1)</f>
        <v>1</v>
      </c>
      <c r="C1905" s="7">
        <f ca="1">IFERROR(__xludf.DUMMYFUNCTION("""COMPUTED_VALUE"""),1)</f>
        <v>1</v>
      </c>
      <c r="D1905" s="8">
        <f ca="1">IFERROR(__xludf.DUMMYFUNCTION("""COMPUTED_VALUE"""),1)</f>
        <v>1</v>
      </c>
      <c r="E1905" s="2">
        <f ca="1">IFERROR(__xludf.DUMMYFUNCTION("""COMPUTED_VALUE"""),1)</f>
        <v>1</v>
      </c>
    </row>
    <row r="1906" spans="1:5" ht="13">
      <c r="A1906" s="2" t="str">
        <f ca="1">IFERROR(__xludf.DUMMYFUNCTION("""COMPUTED_VALUE"""),"David, Mack / Hoffman, Al / Livingston, Jerry")</f>
        <v>David, Mack / Hoffman, Al / Livingston, Jerry</v>
      </c>
      <c r="B1906" s="2">
        <f ca="1">IFERROR(__xludf.DUMMYFUNCTION("""COMPUTED_VALUE"""),1)</f>
        <v>1</v>
      </c>
      <c r="C1906" s="7">
        <f ca="1">IFERROR(__xludf.DUMMYFUNCTION("""COMPUTED_VALUE"""),1)</f>
        <v>1</v>
      </c>
      <c r="D1906" s="8">
        <f ca="1">IFERROR(__xludf.DUMMYFUNCTION("""COMPUTED_VALUE"""),5)</f>
        <v>5</v>
      </c>
      <c r="E1906" s="2">
        <f ca="1">IFERROR(__xludf.DUMMYFUNCTION("""COMPUTED_VALUE"""),2)</f>
        <v>2</v>
      </c>
    </row>
    <row r="1907" spans="1:5" ht="13">
      <c r="A1907" s="2" t="str">
        <f ca="1">IFERROR(__xludf.DUMMYFUNCTION("""COMPUTED_VALUE"""),"David, Vincent")</f>
        <v>David, Vincent</v>
      </c>
      <c r="B1907" s="3">
        <f ca="1">IFERROR(__xludf.DUMMYFUNCTION("""COMPUTED_VALUE"""),1)</f>
        <v>1</v>
      </c>
      <c r="C1907" s="7">
        <f ca="1">IFERROR(__xludf.DUMMYFUNCTION("""COMPUTED_VALUE"""),1)</f>
        <v>1</v>
      </c>
      <c r="D1907" s="8">
        <f ca="1">IFERROR(__xludf.DUMMYFUNCTION("""COMPUTED_VALUE"""),1)</f>
        <v>1</v>
      </c>
      <c r="E1907" s="2">
        <f ca="1">IFERROR(__xludf.DUMMYFUNCTION("""COMPUTED_VALUE"""),1)</f>
        <v>1</v>
      </c>
    </row>
    <row r="1908" spans="1:5" ht="13">
      <c r="A1908" s="2" t="str">
        <f ca="1">IFERROR(__xludf.DUMMYFUNCTION("""COMPUTED_VALUE"""),"Davidoff, Karl Y.")</f>
        <v>Davidoff, Karl Y.</v>
      </c>
      <c r="B1908" s="2">
        <f ca="1">IFERROR(__xludf.DUMMYFUNCTION("""COMPUTED_VALUE"""),1)</f>
        <v>1</v>
      </c>
      <c r="C1908" s="7">
        <f ca="1">IFERROR(__xludf.DUMMYFUNCTION("""COMPUTED_VALUE"""),1)</f>
        <v>1</v>
      </c>
      <c r="D1908" s="8">
        <f ca="1">IFERROR(__xludf.DUMMYFUNCTION("""COMPUTED_VALUE"""),5)</f>
        <v>5</v>
      </c>
      <c r="E1908" s="2">
        <f ca="1">IFERROR(__xludf.DUMMYFUNCTION("""COMPUTED_VALUE"""),2)</f>
        <v>2</v>
      </c>
    </row>
    <row r="1909" spans="1:5" ht="13">
      <c r="A1909" s="2" t="str">
        <f ca="1">IFERROR(__xludf.DUMMYFUNCTION("""COMPUTED_VALUE"""),"Davids, Dean")</f>
        <v>Davids, Dean</v>
      </c>
      <c r="B1909" s="2">
        <f ca="1">IFERROR(__xludf.DUMMYFUNCTION("""COMPUTED_VALUE"""),1)</f>
        <v>1</v>
      </c>
      <c r="C1909" s="2">
        <f ca="1">IFERROR(__xludf.DUMMYFUNCTION("""COMPUTED_VALUE"""),1)</f>
        <v>1</v>
      </c>
      <c r="D1909" s="8">
        <f ca="1">IFERROR(__xludf.DUMMYFUNCTION("""COMPUTED_VALUE"""),5)</f>
        <v>5</v>
      </c>
      <c r="E1909" s="2">
        <f ca="1">IFERROR(__xludf.DUMMYFUNCTION("""COMPUTED_VALUE"""),2)</f>
        <v>2</v>
      </c>
    </row>
    <row r="1910" spans="1:5" ht="13">
      <c r="A1910" s="2" t="str">
        <f ca="1">IFERROR(__xludf.DUMMYFUNCTION("""COMPUTED_VALUE"""),"Davidson, Charles")</f>
        <v>Davidson, Charles</v>
      </c>
      <c r="B1910" s="3">
        <f ca="1">IFERROR(__xludf.DUMMYFUNCTION("""COMPUTED_VALUE"""),1)</f>
        <v>1</v>
      </c>
      <c r="C1910" s="7">
        <f ca="1">IFERROR(__xludf.DUMMYFUNCTION("""COMPUTED_VALUE"""),1)</f>
        <v>1</v>
      </c>
      <c r="D1910" s="8">
        <f ca="1">IFERROR(__xludf.DUMMYFUNCTION("""COMPUTED_VALUE"""),1)</f>
        <v>1</v>
      </c>
      <c r="E1910" s="2">
        <f ca="1">IFERROR(__xludf.DUMMYFUNCTION("""COMPUTED_VALUE"""),1)</f>
        <v>1</v>
      </c>
    </row>
    <row r="1911" spans="1:5" ht="13">
      <c r="A1911" s="2" t="str">
        <f ca="1">IFERROR(__xludf.DUMMYFUNCTION("""COMPUTED_VALUE"""),"Davidson, Dan")</f>
        <v>Davidson, Dan</v>
      </c>
      <c r="B1911" s="3">
        <f ca="1">IFERROR(__xludf.DUMMYFUNCTION("""COMPUTED_VALUE"""),1)</f>
        <v>1</v>
      </c>
      <c r="C1911" s="7">
        <f ca="1">IFERROR(__xludf.DUMMYFUNCTION("""COMPUTED_VALUE"""),1)</f>
        <v>1</v>
      </c>
      <c r="D1911" s="8">
        <f ca="1">IFERROR(__xludf.DUMMYFUNCTION("""COMPUTED_VALUE"""),1)</f>
        <v>1</v>
      </c>
      <c r="E1911" s="2">
        <f ca="1">IFERROR(__xludf.DUMMYFUNCTION("""COMPUTED_VALUE"""),1)</f>
        <v>1</v>
      </c>
    </row>
    <row r="1912" spans="1:5" ht="13">
      <c r="A1912" s="2" t="str">
        <f ca="1">IFERROR(__xludf.DUMMYFUNCTION("""COMPUTED_VALUE"""),"Davidson, Lachlan")</f>
        <v>Davidson, Lachlan</v>
      </c>
      <c r="B1912" s="2">
        <f ca="1">IFERROR(__xludf.DUMMYFUNCTION("""COMPUTED_VALUE"""),1)</f>
        <v>1</v>
      </c>
      <c r="C1912" s="7">
        <f ca="1">IFERROR(__xludf.DUMMYFUNCTION("""COMPUTED_VALUE"""),1)</f>
        <v>1</v>
      </c>
      <c r="D1912" s="8">
        <f ca="1">IFERROR(__xludf.DUMMYFUNCTION("""COMPUTED_VALUE"""),1)</f>
        <v>1</v>
      </c>
      <c r="E1912" s="2">
        <f ca="1">IFERROR(__xludf.DUMMYFUNCTION("""COMPUTED_VALUE"""),1)</f>
        <v>1</v>
      </c>
    </row>
    <row r="1913" spans="1:5" ht="13">
      <c r="A1913" s="8" t="str">
        <f ca="1">IFERROR(__xludf.DUMMYFUNCTION("""COMPUTED_VALUE"""),"Davies, Bryan")</f>
        <v>Davies, Bryan</v>
      </c>
      <c r="B1913" s="3">
        <f ca="1">IFERROR(__xludf.DUMMYFUNCTION("""COMPUTED_VALUE"""),1)</f>
        <v>1</v>
      </c>
      <c r="C1913" s="7">
        <f ca="1">IFERROR(__xludf.DUMMYFUNCTION("""COMPUTED_VALUE"""),1)</f>
        <v>1</v>
      </c>
      <c r="D1913" s="8">
        <f ca="1">IFERROR(__xludf.DUMMYFUNCTION("""COMPUTED_VALUE"""),5)</f>
        <v>5</v>
      </c>
      <c r="E1913" s="2">
        <f ca="1">IFERROR(__xludf.DUMMYFUNCTION("""COMPUTED_VALUE"""),2)</f>
        <v>2</v>
      </c>
    </row>
    <row r="1914" spans="1:5" ht="13">
      <c r="A1914" s="8" t="str">
        <f ca="1">IFERROR(__xludf.DUMMYFUNCTION("""COMPUTED_VALUE"""),"Davies, E. Harold")</f>
        <v>Davies, E. Harold</v>
      </c>
      <c r="B1914" s="3">
        <f ca="1">IFERROR(__xludf.DUMMYFUNCTION("""COMPUTED_VALUE"""),1)</f>
        <v>1</v>
      </c>
      <c r="C1914" s="7">
        <f ca="1">IFERROR(__xludf.DUMMYFUNCTION("""COMPUTED_VALUE"""),1)</f>
        <v>1</v>
      </c>
      <c r="D1914" s="8">
        <f ca="1">IFERROR(__xludf.DUMMYFUNCTION("""COMPUTED_VALUE"""),5)</f>
        <v>5</v>
      </c>
      <c r="E1914" s="2">
        <f ca="1">IFERROR(__xludf.DUMMYFUNCTION("""COMPUTED_VALUE"""),2)</f>
        <v>2</v>
      </c>
    </row>
    <row r="1915" spans="1:5" ht="13">
      <c r="A1915" s="2" t="str">
        <f ca="1">IFERROR(__xludf.DUMMYFUNCTION("""COMPUTED_VALUE"""),"Davies, Evan Thomas")</f>
        <v>Davies, Evan Thomas</v>
      </c>
      <c r="B1915" s="3">
        <f ca="1">IFERROR(__xludf.DUMMYFUNCTION("""COMPUTED_VALUE"""),1)</f>
        <v>1</v>
      </c>
      <c r="C1915" s="7">
        <f ca="1">IFERROR(__xludf.DUMMYFUNCTION("""COMPUTED_VALUE"""),1)</f>
        <v>1</v>
      </c>
      <c r="D1915" s="8">
        <f ca="1">IFERROR(__xludf.DUMMYFUNCTION("""COMPUTED_VALUE"""),5)</f>
        <v>5</v>
      </c>
      <c r="E1915" s="2">
        <f ca="1">IFERROR(__xludf.DUMMYFUNCTION("""COMPUTED_VALUE"""),2)</f>
        <v>2</v>
      </c>
    </row>
    <row r="1916" spans="1:5" ht="13">
      <c r="A1916" s="2" t="str">
        <f ca="1">IFERROR(__xludf.DUMMYFUNCTION("""COMPUTED_VALUE"""),"Davies, H. Walford")</f>
        <v>Davies, H. Walford</v>
      </c>
      <c r="B1916" s="3">
        <f ca="1">IFERROR(__xludf.DUMMYFUNCTION("""COMPUTED_VALUE"""),1)</f>
        <v>1</v>
      </c>
      <c r="C1916" s="7">
        <f ca="1">IFERROR(__xludf.DUMMYFUNCTION("""COMPUTED_VALUE"""),1)</f>
        <v>1</v>
      </c>
      <c r="D1916" s="8">
        <f ca="1">IFERROR(__xludf.DUMMYFUNCTION("""COMPUTED_VALUE"""),5)</f>
        <v>5</v>
      </c>
      <c r="E1916" s="2">
        <f ca="1">IFERROR(__xludf.DUMMYFUNCTION("""COMPUTED_VALUE"""),2)</f>
        <v>2</v>
      </c>
    </row>
    <row r="1917" spans="1:5" ht="13">
      <c r="A1917" s="2" t="str">
        <f ca="1">IFERROR(__xludf.DUMMYFUNCTION("""COMPUTED_VALUE"""),"Davies, Henry")</f>
        <v>Davies, Henry</v>
      </c>
      <c r="B1917" s="2">
        <f ca="1">IFERROR(__xludf.DUMMYFUNCTION("""COMPUTED_VALUE"""),1)</f>
        <v>1</v>
      </c>
      <c r="C1917" s="7">
        <f ca="1">IFERROR(__xludf.DUMMYFUNCTION("""COMPUTED_VALUE"""),1)</f>
        <v>1</v>
      </c>
      <c r="D1917" s="8">
        <f ca="1">IFERROR(__xludf.DUMMYFUNCTION("""COMPUTED_VALUE"""),5)</f>
        <v>5</v>
      </c>
      <c r="E1917" s="2">
        <f ca="1">IFERROR(__xludf.DUMMYFUNCTION("""COMPUTED_VALUE"""),2)</f>
        <v>2</v>
      </c>
    </row>
    <row r="1918" spans="1:5" ht="13">
      <c r="A1918" s="2" t="str">
        <f ca="1">IFERROR(__xludf.DUMMYFUNCTION("""COMPUTED_VALUE"""),"Davies, Ivor")</f>
        <v>Davies, Ivor</v>
      </c>
      <c r="B1918" s="3">
        <f ca="1">IFERROR(__xludf.DUMMYFUNCTION("""COMPUTED_VALUE"""),1)</f>
        <v>1</v>
      </c>
      <c r="C1918" s="7">
        <f ca="1">IFERROR(__xludf.DUMMYFUNCTION("""COMPUTED_VALUE"""),1)</f>
        <v>1</v>
      </c>
      <c r="D1918" s="8">
        <f ca="1">IFERROR(__xludf.DUMMYFUNCTION("""COMPUTED_VALUE"""),5)</f>
        <v>5</v>
      </c>
      <c r="E1918" s="2">
        <f ca="1">IFERROR(__xludf.DUMMYFUNCTION("""COMPUTED_VALUE"""),2)</f>
        <v>2</v>
      </c>
    </row>
    <row r="1919" spans="1:5" ht="13">
      <c r="A1919" s="8" t="str">
        <f ca="1">IFERROR(__xludf.DUMMYFUNCTION("""COMPUTED_VALUE"""),"Davies, John")</f>
        <v>Davies, John</v>
      </c>
      <c r="B1919" s="3">
        <f ca="1">IFERROR(__xludf.DUMMYFUNCTION("""COMPUTED_VALUE"""),1)</f>
        <v>1</v>
      </c>
      <c r="C1919" s="7">
        <f ca="1">IFERROR(__xludf.DUMMYFUNCTION("""COMPUTED_VALUE"""),1)</f>
        <v>1</v>
      </c>
      <c r="D1919" s="8">
        <f ca="1">IFERROR(__xludf.DUMMYFUNCTION("""COMPUTED_VALUE"""),1)</f>
        <v>1</v>
      </c>
      <c r="E1919" s="2">
        <f ca="1">IFERROR(__xludf.DUMMYFUNCTION("""COMPUTED_VALUE"""),1)</f>
        <v>1</v>
      </c>
    </row>
    <row r="1920" spans="1:5" ht="13">
      <c r="A1920" s="2" t="str">
        <f ca="1">IFERROR(__xludf.DUMMYFUNCTION("""COMPUTED_VALUE"""),"Davies, Laurence")</f>
        <v>Davies, Laurence</v>
      </c>
      <c r="B1920" s="2">
        <f ca="1">IFERROR(__xludf.DUMMYFUNCTION("""COMPUTED_VALUE"""),1)</f>
        <v>1</v>
      </c>
      <c r="C1920" s="2">
        <f ca="1">IFERROR(__xludf.DUMMYFUNCTION("""COMPUTED_VALUE"""),1)</f>
        <v>1</v>
      </c>
      <c r="D1920" s="8">
        <f ca="1">IFERROR(__xludf.DUMMYFUNCTION("""COMPUTED_VALUE"""),5)</f>
        <v>5</v>
      </c>
      <c r="E1920" s="2">
        <f ca="1">IFERROR(__xludf.DUMMYFUNCTION("""COMPUTED_VALUE"""),2)</f>
        <v>2</v>
      </c>
    </row>
    <row r="1921" spans="1:5" ht="13">
      <c r="A1921" s="8" t="str">
        <f ca="1">IFERROR(__xludf.DUMMYFUNCTION("""COMPUTED_VALUE"""),"Davies, Peter Maxwell")</f>
        <v>Davies, Peter Maxwell</v>
      </c>
      <c r="B1921" s="3">
        <f ca="1">IFERROR(__xludf.DUMMYFUNCTION("""COMPUTED_VALUE"""),1)</f>
        <v>1</v>
      </c>
      <c r="C1921" s="7">
        <f ca="1">IFERROR(__xludf.DUMMYFUNCTION("""COMPUTED_VALUE"""),1)</f>
        <v>1</v>
      </c>
      <c r="D1921" s="8">
        <f ca="1">IFERROR(__xludf.DUMMYFUNCTION("""COMPUTED_VALUE"""),5)</f>
        <v>5</v>
      </c>
      <c r="E1921" s="2">
        <f ca="1">IFERROR(__xludf.DUMMYFUNCTION("""COMPUTED_VALUE"""),2)</f>
        <v>2</v>
      </c>
    </row>
    <row r="1922" spans="1:5" ht="13">
      <c r="A1922" s="2" t="str">
        <f ca="1">IFERROR(__xludf.DUMMYFUNCTION("""COMPUTED_VALUE"""),"Davies, Raymond / Klenner, John / Lewis, Sam M.")</f>
        <v>Davies, Raymond / Klenner, John / Lewis, Sam M.</v>
      </c>
      <c r="B1922" s="3">
        <f ca="1">IFERROR(__xludf.DUMMYFUNCTION("""COMPUTED_VALUE"""),1)</f>
        <v>1</v>
      </c>
      <c r="C1922" s="7">
        <f ca="1">IFERROR(__xludf.DUMMYFUNCTION("""COMPUTED_VALUE"""),1)</f>
        <v>1</v>
      </c>
      <c r="D1922" s="8">
        <f ca="1">IFERROR(__xludf.DUMMYFUNCTION("""COMPUTED_VALUE"""),5)</f>
        <v>5</v>
      </c>
      <c r="E1922" s="2">
        <f ca="1">IFERROR(__xludf.DUMMYFUNCTION("""COMPUTED_VALUE"""),2)</f>
        <v>2</v>
      </c>
    </row>
    <row r="1923" spans="1:5" ht="13">
      <c r="A1923" s="2" t="str">
        <f ca="1">IFERROR(__xludf.DUMMYFUNCTION("""COMPUTED_VALUE"""),"Davies, Walford")</f>
        <v>Davies, Walford</v>
      </c>
      <c r="B1923" s="3">
        <f ca="1">IFERROR(__xludf.DUMMYFUNCTION("""COMPUTED_VALUE"""),1)</f>
        <v>1</v>
      </c>
      <c r="C1923" s="7">
        <f ca="1">IFERROR(__xludf.DUMMYFUNCTION("""COMPUTED_VALUE"""),1)</f>
        <v>1</v>
      </c>
      <c r="D1923" s="8">
        <f ca="1">IFERROR(__xludf.DUMMYFUNCTION("""COMPUTED_VALUE"""),5)</f>
        <v>5</v>
      </c>
      <c r="E1923" s="2">
        <f ca="1">IFERROR(__xludf.DUMMYFUNCTION("""COMPUTED_VALUE"""),2)</f>
        <v>2</v>
      </c>
    </row>
    <row r="1924" spans="1:5" ht="13">
      <c r="A1924" s="2" t="str">
        <f ca="1">IFERROR(__xludf.DUMMYFUNCTION("""COMPUTED_VALUE"""),"Davinson, Dan")</f>
        <v>Davinson, Dan</v>
      </c>
      <c r="B1924" s="3">
        <f ca="1">IFERROR(__xludf.DUMMYFUNCTION("""COMPUTED_VALUE"""),1)</f>
        <v>1</v>
      </c>
      <c r="C1924" s="7">
        <f ca="1">IFERROR(__xludf.DUMMYFUNCTION("""COMPUTED_VALUE"""),1)</f>
        <v>1</v>
      </c>
      <c r="D1924" s="8">
        <f ca="1">IFERROR(__xludf.DUMMYFUNCTION("""COMPUTED_VALUE"""),1)</f>
        <v>1</v>
      </c>
      <c r="E1924" s="2">
        <f ca="1">IFERROR(__xludf.DUMMYFUNCTION("""COMPUTED_VALUE"""),1)</f>
        <v>1</v>
      </c>
    </row>
    <row r="1925" spans="1:5" ht="13">
      <c r="A1925" s="2" t="str">
        <f ca="1">IFERROR(__xludf.DUMMYFUNCTION("""COMPUTED_VALUE"""),"Davis, Albert O.")</f>
        <v>Davis, Albert O.</v>
      </c>
      <c r="B1925" s="3">
        <f ca="1">IFERROR(__xludf.DUMMYFUNCTION("""COMPUTED_VALUE"""),1)</f>
        <v>1</v>
      </c>
      <c r="C1925" s="7">
        <f ca="1">IFERROR(__xludf.DUMMYFUNCTION("""COMPUTED_VALUE"""),1)</f>
        <v>1</v>
      </c>
      <c r="D1925" s="8">
        <f ca="1">IFERROR(__xludf.DUMMYFUNCTION("""COMPUTED_VALUE"""),5)</f>
        <v>5</v>
      </c>
      <c r="E1925" s="3">
        <f ca="1">IFERROR(__xludf.DUMMYFUNCTION("""COMPUTED_VALUE"""),2)</f>
        <v>2</v>
      </c>
    </row>
    <row r="1926" spans="1:5" ht="13">
      <c r="A1926" s="2" t="str">
        <f ca="1">IFERROR(__xludf.DUMMYFUNCTION("""COMPUTED_VALUE"""),"Davis, Albert O. / Fennell, Fredrick (ed.)")</f>
        <v>Davis, Albert O. / Fennell, Fredrick (ed.)</v>
      </c>
      <c r="B1926" s="3">
        <f ca="1">IFERROR(__xludf.DUMMYFUNCTION("""COMPUTED_VALUE"""),1)</f>
        <v>1</v>
      </c>
      <c r="C1926" s="7">
        <f ca="1">IFERROR(__xludf.DUMMYFUNCTION("""COMPUTED_VALUE"""),1)</f>
        <v>1</v>
      </c>
      <c r="D1926" s="8">
        <f ca="1">IFERROR(__xludf.DUMMYFUNCTION("""COMPUTED_VALUE"""),5)</f>
        <v>5</v>
      </c>
      <c r="E1926" s="3">
        <f ca="1">IFERROR(__xludf.DUMMYFUNCTION("""COMPUTED_VALUE"""),2)</f>
        <v>2</v>
      </c>
    </row>
    <row r="1927" spans="1:5" ht="13">
      <c r="A1927" s="2" t="str">
        <f ca="1">IFERROR(__xludf.DUMMYFUNCTION("""COMPUTED_VALUE"""),"Davis, Alfred")</f>
        <v>Davis, Alfred</v>
      </c>
      <c r="B1927" s="2">
        <f ca="1">IFERROR(__xludf.DUMMYFUNCTION("""COMPUTED_VALUE"""),1)</f>
        <v>1</v>
      </c>
      <c r="C1927" s="2">
        <f ca="1">IFERROR(__xludf.DUMMYFUNCTION("""COMPUTED_VALUE"""),1)</f>
        <v>1</v>
      </c>
      <c r="D1927" s="8">
        <f ca="1">IFERROR(__xludf.DUMMYFUNCTION("""COMPUTED_VALUE"""),5)</f>
        <v>5</v>
      </c>
      <c r="E1927" s="2">
        <f ca="1">IFERROR(__xludf.DUMMYFUNCTION("""COMPUTED_VALUE"""),2)</f>
        <v>2</v>
      </c>
    </row>
    <row r="1928" spans="1:5" ht="13">
      <c r="A1928" s="8" t="str">
        <f ca="1">IFERROR(__xludf.DUMMYFUNCTION("""COMPUTED_VALUE"""),"Davis, Chip")</f>
        <v>Davis, Chip</v>
      </c>
      <c r="B1928" s="3">
        <f ca="1">IFERROR(__xludf.DUMMYFUNCTION("""COMPUTED_VALUE"""),1)</f>
        <v>1</v>
      </c>
      <c r="C1928" s="7">
        <f ca="1">IFERROR(__xludf.DUMMYFUNCTION("""COMPUTED_VALUE"""),1)</f>
        <v>1</v>
      </c>
      <c r="D1928" s="8">
        <f ca="1">IFERROR(__xludf.DUMMYFUNCTION("""COMPUTED_VALUE"""),1)</f>
        <v>1</v>
      </c>
      <c r="E1928" s="2">
        <f ca="1">IFERROR(__xludf.DUMMYFUNCTION("""COMPUTED_VALUE"""),1)</f>
        <v>1</v>
      </c>
    </row>
    <row r="1929" spans="1:5" ht="13">
      <c r="A1929" s="2" t="str">
        <f ca="1">IFERROR(__xludf.DUMMYFUNCTION("""COMPUTED_VALUE"""),"Davis, Chip and Custer, Calvin")</f>
        <v>Davis, Chip and Custer, Calvin</v>
      </c>
      <c r="B1929" s="3">
        <f ca="1">IFERROR(__xludf.DUMMYFUNCTION("""COMPUTED_VALUE"""),1)</f>
        <v>1</v>
      </c>
      <c r="C1929" s="7">
        <f ca="1">IFERROR(__xludf.DUMMYFUNCTION("""COMPUTED_VALUE"""),1)</f>
        <v>1</v>
      </c>
      <c r="D1929" s="8">
        <f ca="1">IFERROR(__xludf.DUMMYFUNCTION("""COMPUTED_VALUE"""),1)</f>
        <v>1</v>
      </c>
      <c r="E1929" s="2">
        <f ca="1">IFERROR(__xludf.DUMMYFUNCTION("""COMPUTED_VALUE"""),1)</f>
        <v>1</v>
      </c>
    </row>
    <row r="1930" spans="1:5" ht="13">
      <c r="A1930" s="2" t="str">
        <f ca="1">IFERROR(__xludf.DUMMYFUNCTION("""COMPUTED_VALUE"""),"Davis, Craig")</f>
        <v>Davis, Craig</v>
      </c>
      <c r="B1930" s="3">
        <f ca="1">IFERROR(__xludf.DUMMYFUNCTION("""COMPUTED_VALUE"""),1)</f>
        <v>1</v>
      </c>
      <c r="C1930" s="7">
        <f ca="1">IFERROR(__xludf.DUMMYFUNCTION("""COMPUTED_VALUE"""),1)</f>
        <v>1</v>
      </c>
      <c r="D1930" s="8">
        <f ca="1">IFERROR(__xludf.DUMMYFUNCTION("""COMPUTED_VALUE"""),1)</f>
        <v>1</v>
      </c>
      <c r="E1930" s="2">
        <f ca="1">IFERROR(__xludf.DUMMYFUNCTION("""COMPUTED_VALUE"""),1)</f>
        <v>1</v>
      </c>
    </row>
    <row r="1931" spans="1:5" ht="13">
      <c r="A1931" s="2" t="str">
        <f ca="1">IFERROR(__xludf.DUMMYFUNCTION("""COMPUTED_VALUE"""),"Davis, Eric")</f>
        <v>Davis, Eric</v>
      </c>
      <c r="B1931" s="3">
        <f ca="1">IFERROR(__xludf.DUMMYFUNCTION("""COMPUTED_VALUE"""),1)</f>
        <v>1</v>
      </c>
      <c r="C1931" s="7">
        <f ca="1">IFERROR(__xludf.DUMMYFUNCTION("""COMPUTED_VALUE"""),1)</f>
        <v>1</v>
      </c>
      <c r="D1931" s="8">
        <f ca="1">IFERROR(__xludf.DUMMYFUNCTION("""COMPUTED_VALUE"""),1)</f>
        <v>1</v>
      </c>
      <c r="E1931" s="2">
        <f ca="1">IFERROR(__xludf.DUMMYFUNCTION("""COMPUTED_VALUE"""),1)</f>
        <v>1</v>
      </c>
    </row>
    <row r="1932" spans="1:5" ht="13">
      <c r="A1932" s="2" t="str">
        <f ca="1">IFERROR(__xludf.DUMMYFUNCTION("""COMPUTED_VALUE"""),"Davis, Eric B.")</f>
        <v>Davis, Eric B.</v>
      </c>
      <c r="B1932" s="2">
        <f ca="1">IFERROR(__xludf.DUMMYFUNCTION("""COMPUTED_VALUE"""),1)</f>
        <v>1</v>
      </c>
      <c r="C1932" s="7">
        <f ca="1">IFERROR(__xludf.DUMMYFUNCTION("""COMPUTED_VALUE"""),1)</f>
        <v>1</v>
      </c>
      <c r="D1932" s="8">
        <f ca="1">IFERROR(__xludf.DUMMYFUNCTION("""COMPUTED_VALUE"""),1)</f>
        <v>1</v>
      </c>
      <c r="E1932" s="2">
        <f ca="1">IFERROR(__xludf.DUMMYFUNCTION("""COMPUTED_VALUE"""),1)</f>
        <v>1</v>
      </c>
    </row>
    <row r="1933" spans="1:5" ht="13">
      <c r="A1933" s="8" t="str">
        <f ca="1">IFERROR(__xludf.DUMMYFUNCTION("""COMPUTED_VALUE"""),"Davis, John Michael")</f>
        <v>Davis, John Michael</v>
      </c>
      <c r="B1933" s="3">
        <f ca="1">IFERROR(__xludf.DUMMYFUNCTION("""COMPUTED_VALUE"""),1)</f>
        <v>1</v>
      </c>
      <c r="C1933" s="7">
        <f ca="1">IFERROR(__xludf.DUMMYFUNCTION("""COMPUTED_VALUE"""),1)</f>
        <v>1</v>
      </c>
      <c r="D1933" s="8">
        <f ca="1">IFERROR(__xludf.DUMMYFUNCTION("""COMPUTED_VALUE"""),5)</f>
        <v>5</v>
      </c>
      <c r="E1933" s="2">
        <f ca="1">IFERROR(__xludf.DUMMYFUNCTION("""COMPUTED_VALUE"""),2)</f>
        <v>2</v>
      </c>
    </row>
    <row r="1934" spans="1:5" ht="13">
      <c r="A1934" s="2" t="str">
        <f ca="1">IFERROR(__xludf.DUMMYFUNCTION("""COMPUTED_VALUE"""),"Davis, Josh")</f>
        <v>Davis, Josh</v>
      </c>
      <c r="B1934" s="3">
        <f ca="1">IFERROR(__xludf.DUMMYFUNCTION("""COMPUTED_VALUE"""),1)</f>
        <v>1</v>
      </c>
      <c r="C1934" s="7">
        <f ca="1">IFERROR(__xludf.DUMMYFUNCTION("""COMPUTED_VALUE"""),1)</f>
        <v>1</v>
      </c>
      <c r="D1934" s="8">
        <f ca="1">IFERROR(__xludf.DUMMYFUNCTION("""COMPUTED_VALUE"""),1)</f>
        <v>1</v>
      </c>
      <c r="E1934" s="2">
        <f ca="1">IFERROR(__xludf.DUMMYFUNCTION("""COMPUTED_VALUE"""),1)</f>
        <v>1</v>
      </c>
    </row>
    <row r="1935" spans="1:5" ht="13">
      <c r="A1935" s="2" t="str">
        <f ca="1">IFERROR(__xludf.DUMMYFUNCTION("""COMPUTED_VALUE"""),"Davis, Keith Michael")</f>
        <v>Davis, Keith Michael</v>
      </c>
      <c r="B1935" s="2">
        <f ca="1">IFERROR(__xludf.DUMMYFUNCTION("""COMPUTED_VALUE"""),1)</f>
        <v>1</v>
      </c>
      <c r="C1935" s="7">
        <f ca="1">IFERROR(__xludf.DUMMYFUNCTION("""COMPUTED_VALUE"""),1)</f>
        <v>1</v>
      </c>
      <c r="D1935" s="8">
        <f ca="1">IFERROR(__xludf.DUMMYFUNCTION("""COMPUTED_VALUE"""),1)</f>
        <v>1</v>
      </c>
      <c r="E1935" s="2">
        <f ca="1">IFERROR(__xludf.DUMMYFUNCTION("""COMPUTED_VALUE"""),1)</f>
        <v>1</v>
      </c>
    </row>
    <row r="1936" spans="1:5" ht="13">
      <c r="A1936" s="2" t="str">
        <f ca="1">IFERROR(__xludf.DUMMYFUNCTION("""COMPUTED_VALUE"""),"Davis, Matt")</f>
        <v>Davis, Matt</v>
      </c>
      <c r="B1936" s="2">
        <f ca="1">IFERROR(__xludf.DUMMYFUNCTION("""COMPUTED_VALUE"""),1)</f>
        <v>1</v>
      </c>
      <c r="C1936" s="2">
        <f ca="1">IFERROR(__xludf.DUMMYFUNCTION("""COMPUTED_VALUE"""),1)</f>
        <v>1</v>
      </c>
      <c r="D1936" s="8">
        <f ca="1">IFERROR(__xludf.DUMMYFUNCTION("""COMPUTED_VALUE"""),1)</f>
        <v>1</v>
      </c>
      <c r="E1936" s="2">
        <f ca="1">IFERROR(__xludf.DUMMYFUNCTION("""COMPUTED_VALUE"""),1)</f>
        <v>1</v>
      </c>
    </row>
    <row r="1937" spans="1:5" ht="13">
      <c r="A1937" s="2" t="str">
        <f ca="1">IFERROR(__xludf.DUMMYFUNCTION("""COMPUTED_VALUE"""),"Davis, Michael")</f>
        <v>Davis, Michael</v>
      </c>
      <c r="B1937" s="3">
        <f ca="1">IFERROR(__xludf.DUMMYFUNCTION("""COMPUTED_VALUE"""),1)</f>
        <v>1</v>
      </c>
      <c r="C1937" s="7">
        <f ca="1">IFERROR(__xludf.DUMMYFUNCTION("""COMPUTED_VALUE"""),1)</f>
        <v>1</v>
      </c>
      <c r="D1937" s="8">
        <f ca="1">IFERROR(__xludf.DUMMYFUNCTION("""COMPUTED_VALUE"""),1)</f>
        <v>1</v>
      </c>
      <c r="E1937" s="2">
        <f ca="1">IFERROR(__xludf.DUMMYFUNCTION("""COMPUTED_VALUE"""),1)</f>
        <v>1</v>
      </c>
    </row>
    <row r="1938" spans="1:5" ht="13">
      <c r="A1938" s="8" t="str">
        <f ca="1">IFERROR(__xludf.DUMMYFUNCTION("""COMPUTED_VALUE"""),"Davis, Michael Craig")</f>
        <v>Davis, Michael Craig</v>
      </c>
      <c r="B1938" s="3">
        <f ca="1">IFERROR(__xludf.DUMMYFUNCTION("""COMPUTED_VALUE"""),1)</f>
        <v>1</v>
      </c>
      <c r="C1938" s="7">
        <f ca="1">IFERROR(__xludf.DUMMYFUNCTION("""COMPUTED_VALUE"""),1)</f>
        <v>1</v>
      </c>
      <c r="D1938" s="8">
        <f ca="1">IFERROR(__xludf.DUMMYFUNCTION("""COMPUTED_VALUE"""),1)</f>
        <v>1</v>
      </c>
      <c r="E1938" s="2">
        <f ca="1">IFERROR(__xludf.DUMMYFUNCTION("""COMPUTED_VALUE"""),1)</f>
        <v>1</v>
      </c>
    </row>
    <row r="1939" spans="1:5" ht="13">
      <c r="A1939" s="2" t="str">
        <f ca="1">IFERROR(__xludf.DUMMYFUNCTION("""COMPUTED_VALUE"""),"Davis, Michael J.")</f>
        <v>Davis, Michael J.</v>
      </c>
      <c r="B1939" s="3">
        <f ca="1">IFERROR(__xludf.DUMMYFUNCTION("""COMPUTED_VALUE"""),1)</f>
        <v>1</v>
      </c>
      <c r="C1939" s="7">
        <f ca="1">IFERROR(__xludf.DUMMYFUNCTION("""COMPUTED_VALUE"""),1)</f>
        <v>1</v>
      </c>
      <c r="D1939" s="8">
        <f ca="1">IFERROR(__xludf.DUMMYFUNCTION("""COMPUTED_VALUE"""),1)</f>
        <v>1</v>
      </c>
      <c r="E1939" s="2">
        <f ca="1">IFERROR(__xludf.DUMMYFUNCTION("""COMPUTED_VALUE"""),1)</f>
        <v>1</v>
      </c>
    </row>
    <row r="1940" spans="1:5" ht="13">
      <c r="A1940" s="2" t="str">
        <f ca="1">IFERROR(__xludf.DUMMYFUNCTION("""COMPUTED_VALUE"""),"Davis, Oliver")</f>
        <v>Davis, Oliver</v>
      </c>
      <c r="B1940" s="2">
        <f ca="1">IFERROR(__xludf.DUMMYFUNCTION("""COMPUTED_VALUE"""),1)</f>
        <v>1</v>
      </c>
      <c r="C1940" s="2">
        <f ca="1">IFERROR(__xludf.DUMMYFUNCTION("""COMPUTED_VALUE"""),1)</f>
        <v>1</v>
      </c>
      <c r="D1940" s="8">
        <f ca="1">IFERROR(__xludf.DUMMYFUNCTION("""COMPUTED_VALUE"""),1)</f>
        <v>1</v>
      </c>
      <c r="E1940" s="2">
        <f ca="1">IFERROR(__xludf.DUMMYFUNCTION("""COMPUTED_VALUE"""),1)</f>
        <v>1</v>
      </c>
    </row>
    <row r="1941" spans="1:5" ht="13">
      <c r="A1941" s="2" t="str">
        <f ca="1">IFERROR(__xludf.DUMMYFUNCTION("""COMPUTED_VALUE"""),"Davis, Taylor")</f>
        <v>Davis, Taylor</v>
      </c>
      <c r="B1941" s="3">
        <f ca="1">IFERROR(__xludf.DUMMYFUNCTION("""COMPUTED_VALUE"""),1)</f>
        <v>1</v>
      </c>
      <c r="C1941" s="7">
        <f ca="1">IFERROR(__xludf.DUMMYFUNCTION("""COMPUTED_VALUE"""),1)</f>
        <v>1</v>
      </c>
      <c r="D1941" s="8">
        <f ca="1">IFERROR(__xludf.DUMMYFUNCTION("""COMPUTED_VALUE"""),1)</f>
        <v>1</v>
      </c>
      <c r="E1941" s="2">
        <f ca="1">IFERROR(__xludf.DUMMYFUNCTION("""COMPUTED_VALUE"""),1)</f>
        <v>1</v>
      </c>
    </row>
    <row r="1942" spans="1:5" ht="13">
      <c r="A1942" s="2" t="str">
        <f ca="1">IFERROR(__xludf.DUMMYFUNCTION("""COMPUTED_VALUE"""),"Davis, Thomas L. / Miller, Frederick S.")</f>
        <v>Davis, Thomas L. / Miller, Frederick S.</v>
      </c>
      <c r="B1942" s="2">
        <f ca="1">IFERROR(__xludf.DUMMYFUNCTION("""COMPUTED_VALUE"""),1)</f>
        <v>1</v>
      </c>
      <c r="C1942" s="2">
        <f ca="1">IFERROR(__xludf.DUMMYFUNCTION("""COMPUTED_VALUE"""),1)</f>
        <v>1</v>
      </c>
      <c r="D1942" s="8">
        <f ca="1">IFERROR(__xludf.DUMMYFUNCTION("""COMPUTED_VALUE"""),5)</f>
        <v>5</v>
      </c>
      <c r="E1942" s="2">
        <f ca="1">IFERROR(__xludf.DUMMYFUNCTION("""COMPUTED_VALUE"""),2)</f>
        <v>2</v>
      </c>
    </row>
    <row r="1943" spans="1:5" ht="13">
      <c r="A1943" s="8" t="str">
        <f ca="1">IFERROR(__xludf.DUMMYFUNCTION("""COMPUTED_VALUE"""),"Davison, Archibald")</f>
        <v>Davison, Archibald</v>
      </c>
      <c r="B1943" s="3">
        <f ca="1">IFERROR(__xludf.DUMMYFUNCTION("""COMPUTED_VALUE"""),1)</f>
        <v>1</v>
      </c>
      <c r="C1943" s="7">
        <f ca="1">IFERROR(__xludf.DUMMYFUNCTION("""COMPUTED_VALUE"""),1)</f>
        <v>1</v>
      </c>
      <c r="D1943" s="8">
        <f ca="1">IFERROR(__xludf.DUMMYFUNCTION("""COMPUTED_VALUE"""),5)</f>
        <v>5</v>
      </c>
      <c r="E1943" s="2">
        <f ca="1">IFERROR(__xludf.DUMMYFUNCTION("""COMPUTED_VALUE"""),2)</f>
        <v>2</v>
      </c>
    </row>
    <row r="1944" spans="1:5" ht="13">
      <c r="A1944" s="8" t="str">
        <f ca="1">IFERROR(__xludf.DUMMYFUNCTION("""COMPUTED_VALUE"""),"Davison, Dan")</f>
        <v>Davison, Dan</v>
      </c>
      <c r="B1944" s="3">
        <f ca="1">IFERROR(__xludf.DUMMYFUNCTION("""COMPUTED_VALUE"""),1)</f>
        <v>1</v>
      </c>
      <c r="C1944" s="7">
        <f ca="1">IFERROR(__xludf.DUMMYFUNCTION("""COMPUTED_VALUE"""),1)</f>
        <v>1</v>
      </c>
      <c r="D1944" s="8">
        <f ca="1">IFERROR(__xludf.DUMMYFUNCTION("""COMPUTED_VALUE"""),1)</f>
        <v>1</v>
      </c>
      <c r="E1944" s="2">
        <f ca="1">IFERROR(__xludf.DUMMYFUNCTION("""COMPUTED_VALUE"""),1)</f>
        <v>1</v>
      </c>
    </row>
    <row r="1945" spans="1:5" ht="13">
      <c r="A1945" s="8" t="str">
        <f ca="1">IFERROR(__xludf.DUMMYFUNCTION("""COMPUTED_VALUE"""),"Davoren, Tom")</f>
        <v>Davoren, Tom</v>
      </c>
      <c r="B1945" s="3">
        <f ca="1">IFERROR(__xludf.DUMMYFUNCTION("""COMPUTED_VALUE"""),1)</f>
        <v>1</v>
      </c>
      <c r="C1945" s="7">
        <f ca="1">IFERROR(__xludf.DUMMYFUNCTION("""COMPUTED_VALUE"""),1)</f>
        <v>1</v>
      </c>
      <c r="D1945" s="8">
        <f ca="1">IFERROR(__xludf.DUMMYFUNCTION("""COMPUTED_VALUE"""),1)</f>
        <v>1</v>
      </c>
      <c r="E1945" s="2">
        <f ca="1">IFERROR(__xludf.DUMMYFUNCTION("""COMPUTED_VALUE"""),1)</f>
        <v>1</v>
      </c>
    </row>
    <row r="1946" spans="1:5" ht="13">
      <c r="A1946" s="8" t="str">
        <f ca="1">IFERROR(__xludf.DUMMYFUNCTION("""COMPUTED_VALUE"""),"Dawson, Eric")</f>
        <v>Dawson, Eric</v>
      </c>
      <c r="B1946" s="3">
        <f ca="1">IFERROR(__xludf.DUMMYFUNCTION("""COMPUTED_VALUE"""),1)</f>
        <v>1</v>
      </c>
      <c r="C1946" s="7">
        <f ca="1">IFERROR(__xludf.DUMMYFUNCTION("""COMPUTED_VALUE"""),1)</f>
        <v>1</v>
      </c>
      <c r="D1946" s="8">
        <f ca="1">IFERROR(__xludf.DUMMYFUNCTION("""COMPUTED_VALUE"""),1)</f>
        <v>1</v>
      </c>
      <c r="E1946" s="2">
        <f ca="1">IFERROR(__xludf.DUMMYFUNCTION("""COMPUTED_VALUE"""),1)</f>
        <v>1</v>
      </c>
    </row>
    <row r="1947" spans="1:5" ht="13">
      <c r="A1947" s="8" t="str">
        <f ca="1">IFERROR(__xludf.DUMMYFUNCTION("""COMPUTED_VALUE"""),"Dawson, Jay")</f>
        <v>Dawson, Jay</v>
      </c>
      <c r="B1947" s="3">
        <f ca="1">IFERROR(__xludf.DUMMYFUNCTION("""COMPUTED_VALUE"""),1)</f>
        <v>1</v>
      </c>
      <c r="C1947" s="7">
        <f ca="1">IFERROR(__xludf.DUMMYFUNCTION("""COMPUTED_VALUE"""),1)</f>
        <v>1</v>
      </c>
      <c r="D1947" s="8">
        <f ca="1">IFERROR(__xludf.DUMMYFUNCTION("""COMPUTED_VALUE"""),1)</f>
        <v>1</v>
      </c>
      <c r="E1947" s="2">
        <f ca="1">IFERROR(__xludf.DUMMYFUNCTION("""COMPUTED_VALUE"""),1)</f>
        <v>1</v>
      </c>
    </row>
    <row r="1948" spans="1:5" ht="13">
      <c r="A1948" s="2" t="str">
        <f ca="1">IFERROR(__xludf.DUMMYFUNCTION("""COMPUTED_VALUE"""),"de Beer, Rudolf")</f>
        <v>de Beer, Rudolf</v>
      </c>
      <c r="B1948" s="3">
        <f ca="1">IFERROR(__xludf.DUMMYFUNCTION("""COMPUTED_VALUE"""),1)</f>
        <v>1</v>
      </c>
      <c r="C1948" s="7">
        <f ca="1">IFERROR(__xludf.DUMMYFUNCTION("""COMPUTED_VALUE"""),1)</f>
        <v>1</v>
      </c>
      <c r="D1948" s="8">
        <f ca="1">IFERROR(__xludf.DUMMYFUNCTION("""COMPUTED_VALUE"""),1)</f>
        <v>1</v>
      </c>
      <c r="E1948" s="2">
        <f ca="1">IFERROR(__xludf.DUMMYFUNCTION("""COMPUTED_VALUE"""),1)</f>
        <v>1</v>
      </c>
    </row>
    <row r="1949" spans="1:5" ht="13">
      <c r="A1949" s="2" t="str">
        <f ca="1">IFERROR(__xludf.DUMMYFUNCTION("""COMPUTED_VALUE"""),"de Blason, Thibault")</f>
        <v>de Blason, Thibault</v>
      </c>
      <c r="B1949" s="3">
        <f ca="1">IFERROR(__xludf.DUMMYFUNCTION("""COMPUTED_VALUE"""),1)</f>
        <v>1</v>
      </c>
      <c r="C1949" s="7">
        <f ca="1">IFERROR(__xludf.DUMMYFUNCTION("""COMPUTED_VALUE"""),1)</f>
        <v>1</v>
      </c>
      <c r="D1949" s="8">
        <f ca="1">IFERROR(__xludf.DUMMYFUNCTION("""COMPUTED_VALUE"""),5)</f>
        <v>5</v>
      </c>
      <c r="E1949" s="2">
        <f ca="1">IFERROR(__xludf.DUMMYFUNCTION("""COMPUTED_VALUE"""),2)</f>
        <v>2</v>
      </c>
    </row>
    <row r="1950" spans="1:5" ht="13">
      <c r="A1950" s="2" t="str">
        <f ca="1">IFERROR(__xludf.DUMMYFUNCTION("""COMPUTED_VALUE"""),"De Cinque, Paul")</f>
        <v>De Cinque, Paul</v>
      </c>
      <c r="B1950" s="2">
        <f ca="1">IFERROR(__xludf.DUMMYFUNCTION("""COMPUTED_VALUE"""),1)</f>
        <v>1</v>
      </c>
      <c r="C1950" s="7">
        <f ca="1">IFERROR(__xludf.DUMMYFUNCTION("""COMPUTED_VALUE"""),1)</f>
        <v>1</v>
      </c>
      <c r="D1950" s="8">
        <f ca="1">IFERROR(__xludf.DUMMYFUNCTION("""COMPUTED_VALUE"""),1)</f>
        <v>1</v>
      </c>
      <c r="E1950" s="2">
        <f ca="1">IFERROR(__xludf.DUMMYFUNCTION("""COMPUTED_VALUE"""),1)</f>
        <v>1</v>
      </c>
    </row>
    <row r="1951" spans="1:5" ht="13">
      <c r="A1951" s="2" t="str">
        <f ca="1">IFERROR(__xludf.DUMMYFUNCTION("""COMPUTED_VALUE"""),"De Cormier, Robert")</f>
        <v>De Cormier, Robert</v>
      </c>
      <c r="B1951" s="3">
        <f ca="1">IFERROR(__xludf.DUMMYFUNCTION("""COMPUTED_VALUE"""),1)</f>
        <v>1</v>
      </c>
      <c r="C1951" s="7">
        <f ca="1">IFERROR(__xludf.DUMMYFUNCTION("""COMPUTED_VALUE"""),1)</f>
        <v>1</v>
      </c>
      <c r="D1951" s="8">
        <f ca="1">IFERROR(__xludf.DUMMYFUNCTION("""COMPUTED_VALUE"""),5)</f>
        <v>5</v>
      </c>
      <c r="E1951" s="2">
        <f ca="1">IFERROR(__xludf.DUMMYFUNCTION("""COMPUTED_VALUE"""),2)</f>
        <v>2</v>
      </c>
    </row>
    <row r="1952" spans="1:5" ht="13">
      <c r="A1952" s="8" t="str">
        <f ca="1">IFERROR(__xludf.DUMMYFUNCTION("""COMPUTED_VALUE"""),"de Curtis, Ernesto")</f>
        <v>de Curtis, Ernesto</v>
      </c>
      <c r="B1952" s="3">
        <f ca="1">IFERROR(__xludf.DUMMYFUNCTION("""COMPUTED_VALUE"""),1)</f>
        <v>1</v>
      </c>
      <c r="C1952" s="7">
        <f ca="1">IFERROR(__xludf.DUMMYFUNCTION("""COMPUTED_VALUE"""),1)</f>
        <v>1</v>
      </c>
      <c r="D1952" s="8">
        <f ca="1">IFERROR(__xludf.DUMMYFUNCTION("""COMPUTED_VALUE"""),5)</f>
        <v>5</v>
      </c>
      <c r="E1952" s="2">
        <f ca="1">IFERROR(__xludf.DUMMYFUNCTION("""COMPUTED_VALUE"""),2)</f>
        <v>2</v>
      </c>
    </row>
    <row r="1953" spans="1:5" ht="13">
      <c r="A1953" s="8" t="str">
        <f ca="1">IFERROR(__xludf.DUMMYFUNCTION("""COMPUTED_VALUE"""),"de Cusatis, Nathan Lincoln")</f>
        <v>de Cusatis, Nathan Lincoln</v>
      </c>
      <c r="B1953" s="3">
        <f ca="1">IFERROR(__xludf.DUMMYFUNCTION("""COMPUTED_VALUE"""),1)</f>
        <v>1</v>
      </c>
      <c r="C1953" s="7">
        <f ca="1">IFERROR(__xludf.DUMMYFUNCTION("""COMPUTED_VALUE"""),1)</f>
        <v>1</v>
      </c>
      <c r="D1953" s="8">
        <f ca="1">IFERROR(__xludf.DUMMYFUNCTION("""COMPUTED_VALUE"""),1)</f>
        <v>1</v>
      </c>
      <c r="E1953" s="2">
        <f ca="1">IFERROR(__xludf.DUMMYFUNCTION("""COMPUTED_VALUE"""),1)</f>
        <v>1</v>
      </c>
    </row>
    <row r="1954" spans="1:5" ht="13">
      <c r="A1954" s="8" t="str">
        <f ca="1">IFERROR(__xludf.DUMMYFUNCTION("""COMPUTED_VALUE"""),"de Falla, Manuel")</f>
        <v>de Falla, Manuel</v>
      </c>
      <c r="B1954" s="3">
        <f ca="1">IFERROR(__xludf.DUMMYFUNCTION("""COMPUTED_VALUE"""),1)</f>
        <v>1</v>
      </c>
      <c r="C1954" s="7">
        <f ca="1">IFERROR(__xludf.DUMMYFUNCTION("""COMPUTED_VALUE"""),1)</f>
        <v>1</v>
      </c>
      <c r="D1954" s="8">
        <f ca="1">IFERROR(__xludf.DUMMYFUNCTION("""COMPUTED_VALUE"""),5)</f>
        <v>5</v>
      </c>
      <c r="E1954" s="2">
        <f ca="1">IFERROR(__xludf.DUMMYFUNCTION("""COMPUTED_VALUE"""),2)</f>
        <v>2</v>
      </c>
    </row>
    <row r="1955" spans="1:5" ht="13">
      <c r="A1955" s="8" t="str">
        <f ca="1">IFERROR(__xludf.DUMMYFUNCTION("""COMPUTED_VALUE"""),"de Fesch, Willem")</f>
        <v>de Fesch, Willem</v>
      </c>
      <c r="B1955" s="3">
        <f ca="1">IFERROR(__xludf.DUMMYFUNCTION("""COMPUTED_VALUE"""),1)</f>
        <v>1</v>
      </c>
      <c r="C1955" s="7">
        <f ca="1">IFERROR(__xludf.DUMMYFUNCTION("""COMPUTED_VALUE"""),1)</f>
        <v>1</v>
      </c>
      <c r="D1955" s="8">
        <f ca="1">IFERROR(__xludf.DUMMYFUNCTION("""COMPUTED_VALUE"""),5)</f>
        <v>5</v>
      </c>
      <c r="E1955" s="2">
        <f ca="1">IFERROR(__xludf.DUMMYFUNCTION("""COMPUTED_VALUE"""),2)</f>
        <v>2</v>
      </c>
    </row>
    <row r="1956" spans="1:5" ht="13">
      <c r="A1956" s="2" t="str">
        <f ca="1">IFERROR(__xludf.DUMMYFUNCTION("""COMPUTED_VALUE"""),"De Filippi, Amadeo")</f>
        <v>De Filippi, Amadeo</v>
      </c>
      <c r="B1956" s="3">
        <f ca="1">IFERROR(__xludf.DUMMYFUNCTION("""COMPUTED_VALUE"""),1)</f>
        <v>1</v>
      </c>
      <c r="C1956" s="7">
        <f ca="1">IFERROR(__xludf.DUMMYFUNCTION("""COMPUTED_VALUE"""),1)</f>
        <v>1</v>
      </c>
      <c r="D1956" s="8">
        <f ca="1">IFERROR(__xludf.DUMMYFUNCTION("""COMPUTED_VALUE"""),5)</f>
        <v>5</v>
      </c>
      <c r="E1956" s="2">
        <f ca="1">IFERROR(__xludf.DUMMYFUNCTION("""COMPUTED_VALUE"""),2)</f>
        <v>2</v>
      </c>
    </row>
    <row r="1957" spans="1:5" ht="13">
      <c r="A1957" s="2" t="str">
        <f ca="1">IFERROR(__xludf.DUMMYFUNCTION("""COMPUTED_VALUE"""),"de Gastyne, Serge")</f>
        <v>de Gastyne, Serge</v>
      </c>
      <c r="B1957" s="2">
        <f ca="1">IFERROR(__xludf.DUMMYFUNCTION("""COMPUTED_VALUE"""),1)</f>
        <v>1</v>
      </c>
      <c r="C1957" s="7">
        <f ca="1">IFERROR(__xludf.DUMMYFUNCTION("""COMPUTED_VALUE"""),1)</f>
        <v>1</v>
      </c>
      <c r="D1957" s="8">
        <f ca="1">IFERROR(__xludf.DUMMYFUNCTION("""COMPUTED_VALUE"""),5)</f>
        <v>5</v>
      </c>
      <c r="E1957" s="2">
        <f ca="1">IFERROR(__xludf.DUMMYFUNCTION("""COMPUTED_VALUE"""),2)</f>
        <v>2</v>
      </c>
    </row>
    <row r="1958" spans="1:5" ht="13">
      <c r="A1958" s="2" t="str">
        <f ca="1">IFERROR(__xludf.DUMMYFUNCTION("""COMPUTED_VALUE"""),"de Giardini, Felice")</f>
        <v>de Giardini, Felice</v>
      </c>
      <c r="B1958" s="3">
        <f ca="1">IFERROR(__xludf.DUMMYFUNCTION("""COMPUTED_VALUE"""),1)</f>
        <v>1</v>
      </c>
      <c r="C1958" s="7">
        <f ca="1">IFERROR(__xludf.DUMMYFUNCTION("""COMPUTED_VALUE"""),1)</f>
        <v>1</v>
      </c>
      <c r="D1958" s="8">
        <f ca="1">IFERROR(__xludf.DUMMYFUNCTION("""COMPUTED_VALUE"""),5)</f>
        <v>5</v>
      </c>
      <c r="E1958" s="2">
        <f ca="1">IFERROR(__xludf.DUMMYFUNCTION("""COMPUTED_VALUE"""),2)</f>
        <v>2</v>
      </c>
    </row>
    <row r="1959" spans="1:5" ht="13">
      <c r="A1959" s="8" t="str">
        <f ca="1">IFERROR(__xludf.DUMMYFUNCTION("""COMPUTED_VALUE"""),"de Haan, Jacob")</f>
        <v>de Haan, Jacob</v>
      </c>
      <c r="B1959" s="3">
        <f ca="1">IFERROR(__xludf.DUMMYFUNCTION("""COMPUTED_VALUE"""),1)</f>
        <v>1</v>
      </c>
      <c r="C1959" s="7">
        <f ca="1">IFERROR(__xludf.DUMMYFUNCTION("""COMPUTED_VALUE"""),1)</f>
        <v>1</v>
      </c>
      <c r="D1959" s="8">
        <f ca="1">IFERROR(__xludf.DUMMYFUNCTION("""COMPUTED_VALUE"""),1)</f>
        <v>1</v>
      </c>
      <c r="E1959" s="2">
        <f ca="1">IFERROR(__xludf.DUMMYFUNCTION("""COMPUTED_VALUE"""),1)</f>
        <v>1</v>
      </c>
    </row>
    <row r="1960" spans="1:5" ht="13">
      <c r="A1960" s="2" t="str">
        <f ca="1">IFERROR(__xludf.DUMMYFUNCTION("""COMPUTED_VALUE"""),"de Haan, Jan")</f>
        <v>de Haan, Jan</v>
      </c>
      <c r="B1960" s="3">
        <f ca="1">IFERROR(__xludf.DUMMYFUNCTION("""COMPUTED_VALUE"""),1)</f>
        <v>1</v>
      </c>
      <c r="C1960" s="7">
        <f ca="1">IFERROR(__xludf.DUMMYFUNCTION("""COMPUTED_VALUE"""),1)</f>
        <v>1</v>
      </c>
      <c r="D1960" s="8">
        <f ca="1">IFERROR(__xludf.DUMMYFUNCTION("""COMPUTED_VALUE"""),1)</f>
        <v>1</v>
      </c>
      <c r="E1960" s="2">
        <f ca="1">IFERROR(__xludf.DUMMYFUNCTION("""COMPUTED_VALUE"""),1)</f>
        <v>1</v>
      </c>
    </row>
    <row r="1961" spans="1:5" ht="13">
      <c r="A1961" s="2" t="str">
        <f ca="1">IFERROR(__xludf.DUMMYFUNCTION("""COMPUTED_VALUE"""),"de Hann, Jan")</f>
        <v>de Hann, Jan</v>
      </c>
      <c r="B1961" s="3">
        <f ca="1">IFERROR(__xludf.DUMMYFUNCTION("""COMPUTED_VALUE"""),1)</f>
        <v>1</v>
      </c>
      <c r="C1961" s="7">
        <f ca="1">IFERROR(__xludf.DUMMYFUNCTION("""COMPUTED_VALUE"""),1)</f>
        <v>1</v>
      </c>
      <c r="D1961" s="8">
        <f ca="1">IFERROR(__xludf.DUMMYFUNCTION("""COMPUTED_VALUE"""),1)</f>
        <v>1</v>
      </c>
      <c r="E1961" s="2">
        <f ca="1">IFERROR(__xludf.DUMMYFUNCTION("""COMPUTED_VALUE"""),1)</f>
        <v>1</v>
      </c>
    </row>
    <row r="1962" spans="1:5" ht="13">
      <c r="A1962" s="2" t="str">
        <f ca="1">IFERROR(__xludf.DUMMYFUNCTION("""COMPUTED_VALUE"""),"de Hartmann, Thomas")</f>
        <v>de Hartmann, Thomas</v>
      </c>
      <c r="B1962" s="2">
        <f ca="1">IFERROR(__xludf.DUMMYFUNCTION("""COMPUTED_VALUE"""),1)</f>
        <v>1</v>
      </c>
      <c r="C1962" s="7">
        <f ca="1">IFERROR(__xludf.DUMMYFUNCTION("""COMPUTED_VALUE"""),1)</f>
        <v>1</v>
      </c>
      <c r="D1962" s="8">
        <f ca="1">IFERROR(__xludf.DUMMYFUNCTION("""COMPUTED_VALUE"""),5)</f>
        <v>5</v>
      </c>
      <c r="E1962" s="2">
        <f ca="1">IFERROR(__xludf.DUMMYFUNCTION("""COMPUTED_VALUE"""),2)</f>
        <v>2</v>
      </c>
    </row>
    <row r="1963" spans="1:5" ht="13">
      <c r="A1963" s="2" t="str">
        <f ca="1">IFERROR(__xludf.DUMMYFUNCTION("""COMPUTED_VALUE"""),"de la Mannoye, Bernard")</f>
        <v>de la Mannoye, Bernard</v>
      </c>
      <c r="B1963" s="3">
        <f ca="1">IFERROR(__xludf.DUMMYFUNCTION("""COMPUTED_VALUE"""),1)</f>
        <v>1</v>
      </c>
      <c r="C1963" s="7">
        <f ca="1">IFERROR(__xludf.DUMMYFUNCTION("""COMPUTED_VALUE"""),1)</f>
        <v>1</v>
      </c>
      <c r="D1963" s="8">
        <f ca="1">IFERROR(__xludf.DUMMYFUNCTION("""COMPUTED_VALUE"""),5)</f>
        <v>5</v>
      </c>
      <c r="E1963" s="2">
        <f ca="1">IFERROR(__xludf.DUMMYFUNCTION("""COMPUTED_VALUE"""),2)</f>
        <v>2</v>
      </c>
    </row>
    <row r="1964" spans="1:5" ht="13">
      <c r="A1964" s="2" t="str">
        <f ca="1">IFERROR(__xludf.DUMMYFUNCTION("""COMPUTED_VALUE"""),"de La Monnoye, Bernard")</f>
        <v>de La Monnoye, Bernard</v>
      </c>
      <c r="B1964" s="2">
        <f ca="1">IFERROR(__xludf.DUMMYFUNCTION("""COMPUTED_VALUE"""),1)</f>
        <v>1</v>
      </c>
      <c r="C1964" s="7">
        <f ca="1">IFERROR(__xludf.DUMMYFUNCTION("""COMPUTED_VALUE"""),1)</f>
        <v>1</v>
      </c>
      <c r="D1964" s="8">
        <f ca="1">IFERROR(__xludf.DUMMYFUNCTION("""COMPUTED_VALUE"""),5)</f>
        <v>5</v>
      </c>
      <c r="E1964" s="2">
        <f ca="1">IFERROR(__xludf.DUMMYFUNCTION("""COMPUTED_VALUE"""),2)</f>
        <v>2</v>
      </c>
    </row>
    <row r="1965" spans="1:5" ht="13">
      <c r="A1965" s="2" t="str">
        <f ca="1">IFERROR(__xludf.DUMMYFUNCTION("""COMPUTED_VALUE"""),"De La Riva, Richard")</f>
        <v>De La Riva, Richard</v>
      </c>
      <c r="B1965" s="3">
        <f ca="1">IFERROR(__xludf.DUMMYFUNCTION("""COMPUTED_VALUE"""),1)</f>
        <v>1</v>
      </c>
      <c r="C1965" s="7">
        <f ca="1">IFERROR(__xludf.DUMMYFUNCTION("""COMPUTED_VALUE"""),1)</f>
        <v>1</v>
      </c>
      <c r="D1965" s="8">
        <f ca="1">IFERROR(__xludf.DUMMYFUNCTION("""COMPUTED_VALUE"""),1)</f>
        <v>1</v>
      </c>
      <c r="E1965" s="2">
        <f ca="1">IFERROR(__xludf.DUMMYFUNCTION("""COMPUTED_VALUE"""),1)</f>
        <v>1</v>
      </c>
    </row>
    <row r="1966" spans="1:5" ht="13">
      <c r="A1966" s="2" t="str">
        <f ca="1">IFERROR(__xludf.DUMMYFUNCTION("""COMPUTED_VALUE"""),"de Lalande. Michel-Richard")</f>
        <v>de Lalande. Michel-Richard</v>
      </c>
      <c r="B1966" s="2">
        <f ca="1">IFERROR(__xludf.DUMMYFUNCTION("""COMPUTED_VALUE"""),1)</f>
        <v>1</v>
      </c>
      <c r="C1966" s="7">
        <f ca="1">IFERROR(__xludf.DUMMYFUNCTION("""COMPUTED_VALUE"""),1)</f>
        <v>1</v>
      </c>
      <c r="D1966" s="8">
        <f ca="1">IFERROR(__xludf.DUMMYFUNCTION("""COMPUTED_VALUE"""),5)</f>
        <v>5</v>
      </c>
      <c r="E1966" s="2">
        <f ca="1">IFERROR(__xludf.DUMMYFUNCTION("""COMPUTED_VALUE"""),2)</f>
        <v>2</v>
      </c>
    </row>
    <row r="1967" spans="1:5" ht="13">
      <c r="A1967" s="2" t="str">
        <f ca="1">IFERROR(__xludf.DUMMYFUNCTION("""COMPUTED_VALUE"""),"de Luca, Giovanni Battista")</f>
        <v>de Luca, Giovanni Battista</v>
      </c>
      <c r="B1967" s="2">
        <f ca="1">IFERROR(__xludf.DUMMYFUNCTION("""COMPUTED_VALUE"""),1)</f>
        <v>1</v>
      </c>
      <c r="C1967" s="7">
        <f ca="1">IFERROR(__xludf.DUMMYFUNCTION("""COMPUTED_VALUE"""),1)</f>
        <v>1</v>
      </c>
      <c r="D1967" s="8">
        <f ca="1">IFERROR(__xludf.DUMMYFUNCTION("""COMPUTED_VALUE"""),5)</f>
        <v>5</v>
      </c>
      <c r="E1967" s="2">
        <f ca="1">IFERROR(__xludf.DUMMYFUNCTION("""COMPUTED_VALUE"""),2)</f>
        <v>2</v>
      </c>
    </row>
    <row r="1968" spans="1:5" ht="13">
      <c r="A1968" s="2" t="str">
        <f ca="1">IFERROR(__xludf.DUMMYFUNCTION("""COMPUTED_VALUE"""),"de Mantua, Jacquet")</f>
        <v>de Mantua, Jacquet</v>
      </c>
      <c r="B1968" s="2">
        <f ca="1">IFERROR(__xludf.DUMMYFUNCTION("""COMPUTED_VALUE"""),1)</f>
        <v>1</v>
      </c>
      <c r="C1968" s="7">
        <f ca="1">IFERROR(__xludf.DUMMYFUNCTION("""COMPUTED_VALUE"""),1)</f>
        <v>1</v>
      </c>
      <c r="D1968" s="8">
        <f ca="1">IFERROR(__xludf.DUMMYFUNCTION("""COMPUTED_VALUE"""),5)</f>
        <v>5</v>
      </c>
      <c r="E1968" s="2">
        <f ca="1">IFERROR(__xludf.DUMMYFUNCTION("""COMPUTED_VALUE"""),2)</f>
        <v>2</v>
      </c>
    </row>
    <row r="1969" spans="1:5" ht="13">
      <c r="A1969" s="8" t="str">
        <f ca="1">IFERROR(__xludf.DUMMYFUNCTION("""COMPUTED_VALUE"""),"de Meij, Johan")</f>
        <v>de Meij, Johan</v>
      </c>
      <c r="B1969" s="3">
        <f ca="1">IFERROR(__xludf.DUMMYFUNCTION("""COMPUTED_VALUE"""),1)</f>
        <v>1</v>
      </c>
      <c r="C1969" s="7">
        <f ca="1">IFERROR(__xludf.DUMMYFUNCTION("""COMPUTED_VALUE"""),1)</f>
        <v>1</v>
      </c>
      <c r="D1969" s="8">
        <f ca="1">IFERROR(__xludf.DUMMYFUNCTION("""COMPUTED_VALUE"""),1)</f>
        <v>1</v>
      </c>
      <c r="E1969" s="2">
        <f ca="1">IFERROR(__xludf.DUMMYFUNCTION("""COMPUTED_VALUE"""),1)</f>
        <v>1</v>
      </c>
    </row>
    <row r="1970" spans="1:5" ht="13">
      <c r="A1970" s="2" t="str">
        <f ca="1">IFERROR(__xludf.DUMMYFUNCTION("""COMPUTED_VALUE"""),"de Mel, Rinaldo")</f>
        <v>de Mel, Rinaldo</v>
      </c>
      <c r="B1970" s="3">
        <f ca="1">IFERROR(__xludf.DUMMYFUNCTION("""COMPUTED_VALUE"""),1)</f>
        <v>1</v>
      </c>
      <c r="C1970" s="7">
        <f ca="1">IFERROR(__xludf.DUMMYFUNCTION("""COMPUTED_VALUE"""),1)</f>
        <v>1</v>
      </c>
      <c r="D1970" s="8">
        <f ca="1">IFERROR(__xludf.DUMMYFUNCTION("""COMPUTED_VALUE"""),5)</f>
        <v>5</v>
      </c>
      <c r="E1970" s="2">
        <f ca="1">IFERROR(__xludf.DUMMYFUNCTION("""COMPUTED_VALUE"""),2)</f>
        <v>2</v>
      </c>
    </row>
    <row r="1971" spans="1:5" ht="13">
      <c r="A1971" s="8" t="str">
        <f ca="1">IFERROR(__xludf.DUMMYFUNCTION("""COMPUTED_VALUE"""),"de Mets, Peter")</f>
        <v>de Mets, Peter</v>
      </c>
      <c r="B1971" s="3">
        <f ca="1">IFERROR(__xludf.DUMMYFUNCTION("""COMPUTED_VALUE"""),1)</f>
        <v>1</v>
      </c>
      <c r="C1971" s="7">
        <f ca="1">IFERROR(__xludf.DUMMYFUNCTION("""COMPUTED_VALUE"""),1)</f>
        <v>1</v>
      </c>
      <c r="D1971" s="8">
        <f ca="1">IFERROR(__xludf.DUMMYFUNCTION("""COMPUTED_VALUE"""),1)</f>
        <v>1</v>
      </c>
      <c r="E1971" s="2">
        <f ca="1">IFERROR(__xludf.DUMMYFUNCTION("""COMPUTED_VALUE"""),1)</f>
        <v>1</v>
      </c>
    </row>
    <row r="1972" spans="1:5" ht="13">
      <c r="A1972" s="8" t="str">
        <f ca="1">IFERROR(__xludf.DUMMYFUNCTION("""COMPUTED_VALUE"""),"De Mey, Thierry")</f>
        <v>De Mey, Thierry</v>
      </c>
      <c r="B1972" s="3">
        <f ca="1">IFERROR(__xludf.DUMMYFUNCTION("""COMPUTED_VALUE"""),1)</f>
        <v>1</v>
      </c>
      <c r="C1972" s="7">
        <f ca="1">IFERROR(__xludf.DUMMYFUNCTION("""COMPUTED_VALUE"""),1)</f>
        <v>1</v>
      </c>
      <c r="D1972" s="8">
        <f ca="1">IFERROR(__xludf.DUMMYFUNCTION("""COMPUTED_VALUE"""),1)</f>
        <v>1</v>
      </c>
      <c r="E1972" s="2">
        <f ca="1">IFERROR(__xludf.DUMMYFUNCTION("""COMPUTED_VALUE"""),1)</f>
        <v>1</v>
      </c>
    </row>
    <row r="1973" spans="1:5" ht="13">
      <c r="A1973" s="8" t="str">
        <f ca="1">IFERROR(__xludf.DUMMYFUNCTION("""COMPUTED_VALUE"""),"De Nardis, Camille")</f>
        <v>De Nardis, Camille</v>
      </c>
      <c r="B1973" s="3">
        <f ca="1">IFERROR(__xludf.DUMMYFUNCTION("""COMPUTED_VALUE"""),1)</f>
        <v>1</v>
      </c>
      <c r="C1973" s="7">
        <f ca="1">IFERROR(__xludf.DUMMYFUNCTION("""COMPUTED_VALUE"""),1)</f>
        <v>1</v>
      </c>
      <c r="D1973" s="8">
        <f ca="1">IFERROR(__xludf.DUMMYFUNCTION("""COMPUTED_VALUE"""),5)</f>
        <v>5</v>
      </c>
      <c r="E1973" s="2">
        <f ca="1">IFERROR(__xludf.DUMMYFUNCTION("""COMPUTED_VALUE"""),2)</f>
        <v>2</v>
      </c>
    </row>
    <row r="1974" spans="1:5" ht="13">
      <c r="A1974" s="8" t="str">
        <f ca="1">IFERROR(__xludf.DUMMYFUNCTION("""COMPUTED_VALUE"""),"de Nebra, José")</f>
        <v>de Nebra, José</v>
      </c>
      <c r="B1974" s="3">
        <f ca="1">IFERROR(__xludf.DUMMYFUNCTION("""COMPUTED_VALUE"""),1)</f>
        <v>1</v>
      </c>
      <c r="C1974" s="7">
        <f ca="1">IFERROR(__xludf.DUMMYFUNCTION("""COMPUTED_VALUE"""),1)</f>
        <v>1</v>
      </c>
      <c r="D1974" s="8">
        <f ca="1">IFERROR(__xludf.DUMMYFUNCTION("""COMPUTED_VALUE"""),5)</f>
        <v>5</v>
      </c>
      <c r="E1974" s="2">
        <f ca="1">IFERROR(__xludf.DUMMYFUNCTION("""COMPUTED_VALUE"""),2)</f>
        <v>2</v>
      </c>
    </row>
    <row r="1975" spans="1:5" ht="13">
      <c r="A1975" s="2" t="str">
        <f ca="1">IFERROR(__xludf.DUMMYFUNCTION("""COMPUTED_VALUE"""),"de Polignac, Edmond")</f>
        <v>de Polignac, Edmond</v>
      </c>
      <c r="B1975" s="2">
        <f ca="1">IFERROR(__xludf.DUMMYFUNCTION("""COMPUTED_VALUE"""),1)</f>
        <v>1</v>
      </c>
      <c r="C1975" s="7">
        <f ca="1">IFERROR(__xludf.DUMMYFUNCTION("""COMPUTED_VALUE"""),1)</f>
        <v>1</v>
      </c>
      <c r="D1975" s="8">
        <f ca="1">IFERROR(__xludf.DUMMYFUNCTION("""COMPUTED_VALUE"""),5)</f>
        <v>5</v>
      </c>
      <c r="E1975" s="2">
        <f ca="1">IFERROR(__xludf.DUMMYFUNCTION("""COMPUTED_VALUE"""),2)</f>
        <v>2</v>
      </c>
    </row>
    <row r="1976" spans="1:5" ht="13">
      <c r="A1976" s="8" t="str">
        <f ca="1">IFERROR(__xludf.DUMMYFUNCTION("""COMPUTED_VALUE"""),"de Prosse, Angelo")</f>
        <v>de Prosse, Angelo</v>
      </c>
      <c r="B1976" s="2">
        <f ca="1">IFERROR(__xludf.DUMMYFUNCTION("""COMPUTED_VALUE"""),1)</f>
        <v>1</v>
      </c>
      <c r="C1976" s="7">
        <f ca="1">IFERROR(__xludf.DUMMYFUNCTION("""COMPUTED_VALUE"""),1)</f>
        <v>1</v>
      </c>
      <c r="D1976" s="8">
        <f ca="1">IFERROR(__xludf.DUMMYFUNCTION("""COMPUTED_VALUE"""),5)</f>
        <v>5</v>
      </c>
      <c r="E1976" s="2">
        <f ca="1">IFERROR(__xludf.DUMMYFUNCTION("""COMPUTED_VALUE"""),2)</f>
        <v>2</v>
      </c>
    </row>
    <row r="1977" spans="1:5" ht="13">
      <c r="A1977" s="2" t="str">
        <f ca="1">IFERROR(__xludf.DUMMYFUNCTION("""COMPUTED_VALUE"""),"De Rose, Peter / Gallop, Sammy")</f>
        <v>De Rose, Peter / Gallop, Sammy</v>
      </c>
      <c r="B1977" s="3">
        <f ca="1">IFERROR(__xludf.DUMMYFUNCTION("""COMPUTED_VALUE"""),1)</f>
        <v>1</v>
      </c>
      <c r="C1977" s="7">
        <f ca="1">IFERROR(__xludf.DUMMYFUNCTION("""COMPUTED_VALUE"""),1)</f>
        <v>1</v>
      </c>
      <c r="D1977" s="8">
        <f ca="1">IFERROR(__xludf.DUMMYFUNCTION("""COMPUTED_VALUE"""),5)</f>
        <v>5</v>
      </c>
      <c r="E1977" s="2">
        <f ca="1">IFERROR(__xludf.DUMMYFUNCTION("""COMPUTED_VALUE"""),2)</f>
        <v>2</v>
      </c>
    </row>
    <row r="1978" spans="1:5" ht="13">
      <c r="A1978" s="2" t="str">
        <f ca="1">IFERROR(__xludf.DUMMYFUNCTION("""COMPUTED_VALUE"""),"De Rubertis, Nicholas")</f>
        <v>De Rubertis, Nicholas</v>
      </c>
      <c r="B1978" s="3">
        <f ca="1">IFERROR(__xludf.DUMMYFUNCTION("""COMPUTED_VALUE"""),1)</f>
        <v>1</v>
      </c>
      <c r="C1978" s="7">
        <f ca="1">IFERROR(__xludf.DUMMYFUNCTION("""COMPUTED_VALUE"""),1)</f>
        <v>1</v>
      </c>
      <c r="D1978" s="8">
        <f ca="1">IFERROR(__xludf.DUMMYFUNCTION("""COMPUTED_VALUE"""),5)</f>
        <v>5</v>
      </c>
      <c r="E1978" s="3">
        <f ca="1">IFERROR(__xludf.DUMMYFUNCTION("""COMPUTED_VALUE"""),2)</f>
        <v>2</v>
      </c>
    </row>
    <row r="1979" spans="1:5" ht="13">
      <c r="A1979" s="2" t="str">
        <f ca="1">IFERROR(__xludf.DUMMYFUNCTION("""COMPUTED_VALUE"""),"De Sabata, Victor")</f>
        <v>De Sabata, Victor</v>
      </c>
      <c r="B1979" s="2">
        <f ca="1">IFERROR(__xludf.DUMMYFUNCTION("""COMPUTED_VALUE"""),1)</f>
        <v>1</v>
      </c>
      <c r="C1979" s="7">
        <f ca="1">IFERROR(__xludf.DUMMYFUNCTION("""COMPUTED_VALUE"""),1)</f>
        <v>1</v>
      </c>
      <c r="D1979" s="8">
        <f ca="1">IFERROR(__xludf.DUMMYFUNCTION("""COMPUTED_VALUE"""),5)</f>
        <v>5</v>
      </c>
      <c r="E1979" s="2">
        <f ca="1">IFERROR(__xludf.DUMMYFUNCTION("""COMPUTED_VALUE"""),2)</f>
        <v>2</v>
      </c>
    </row>
    <row r="1980" spans="1:5" ht="13">
      <c r="A1980" s="2" t="str">
        <f ca="1">IFERROR(__xludf.DUMMYFUNCTION("""COMPUTED_VALUE"""),"De Smetsky, Jean")</f>
        <v>De Smetsky, Jean</v>
      </c>
      <c r="B1980" s="3">
        <f ca="1">IFERROR(__xludf.DUMMYFUNCTION("""COMPUTED_VALUE"""),1)</f>
        <v>1</v>
      </c>
      <c r="C1980" s="7">
        <f ca="1">IFERROR(__xludf.DUMMYFUNCTION("""COMPUTED_VALUE"""),1)</f>
        <v>1</v>
      </c>
      <c r="D1980" s="8">
        <f ca="1">IFERROR(__xludf.DUMMYFUNCTION("""COMPUTED_VALUE"""),5)</f>
        <v>5</v>
      </c>
      <c r="E1980" s="3">
        <f ca="1">IFERROR(__xludf.DUMMYFUNCTION("""COMPUTED_VALUE"""),2)</f>
        <v>2</v>
      </c>
    </row>
    <row r="1981" spans="1:5" ht="13">
      <c r="A1981" s="2" t="str">
        <f ca="1">IFERROR(__xludf.DUMMYFUNCTION("""COMPUTED_VALUE"""),"De Stefano, Chip")</f>
        <v>De Stefano, Chip</v>
      </c>
      <c r="B1981" s="3">
        <f ca="1">IFERROR(__xludf.DUMMYFUNCTION("""COMPUTED_VALUE"""),1)</f>
        <v>1</v>
      </c>
      <c r="C1981" s="7">
        <f ca="1">IFERROR(__xludf.DUMMYFUNCTION("""COMPUTED_VALUE"""),1)</f>
        <v>1</v>
      </c>
      <c r="D1981" s="8">
        <f ca="1">IFERROR(__xludf.DUMMYFUNCTION("""COMPUTED_VALUE"""),1)</f>
        <v>1</v>
      </c>
      <c r="E1981" s="2">
        <f ca="1">IFERROR(__xludf.DUMMYFUNCTION("""COMPUTED_VALUE"""),1)</f>
        <v>1</v>
      </c>
    </row>
    <row r="1982" spans="1:5" ht="13">
      <c r="A1982" s="2" t="str">
        <f ca="1">IFERROR(__xludf.DUMMYFUNCTION("""COMPUTED_VALUE"""),"de Victoria, Tomas Luis")</f>
        <v>de Victoria, Tomas Luis</v>
      </c>
      <c r="B1982" s="3">
        <f ca="1">IFERROR(__xludf.DUMMYFUNCTION("""COMPUTED_VALUE"""),1)</f>
        <v>1</v>
      </c>
      <c r="C1982" s="7">
        <f ca="1">IFERROR(__xludf.DUMMYFUNCTION("""COMPUTED_VALUE"""),1)</f>
        <v>1</v>
      </c>
      <c r="D1982" s="8">
        <f ca="1">IFERROR(__xludf.DUMMYFUNCTION("""COMPUTED_VALUE"""),5)</f>
        <v>5</v>
      </c>
      <c r="E1982" s="2">
        <f ca="1">IFERROR(__xludf.DUMMYFUNCTION("""COMPUTED_VALUE"""),2)</f>
        <v>2</v>
      </c>
    </row>
    <row r="1983" spans="1:5" ht="13">
      <c r="A1983" s="2" t="str">
        <f ca="1">IFERROR(__xludf.DUMMYFUNCTION("""COMPUTED_VALUE"""),"Deak-Bardos, Gyorgy")</f>
        <v>Deak-Bardos, Gyorgy</v>
      </c>
      <c r="B1983" s="3">
        <f ca="1">IFERROR(__xludf.DUMMYFUNCTION("""COMPUTED_VALUE"""),1)</f>
        <v>1</v>
      </c>
      <c r="C1983" s="7">
        <f ca="1">IFERROR(__xludf.DUMMYFUNCTION("""COMPUTED_VALUE"""),1)</f>
        <v>1</v>
      </c>
      <c r="D1983" s="8">
        <f ca="1">IFERROR(__xludf.DUMMYFUNCTION("""COMPUTED_VALUE"""),5)</f>
        <v>5</v>
      </c>
      <c r="E1983" s="2">
        <f ca="1">IFERROR(__xludf.DUMMYFUNCTION("""COMPUTED_VALUE"""),2)</f>
        <v>2</v>
      </c>
    </row>
    <row r="1984" spans="1:5" ht="13">
      <c r="A1984" s="2" t="str">
        <f ca="1">IFERROR(__xludf.DUMMYFUNCTION("""COMPUTED_VALUE"""),"Deale, Edgar M.")</f>
        <v>Deale, Edgar M.</v>
      </c>
      <c r="B1984" s="3">
        <f ca="1">IFERROR(__xludf.DUMMYFUNCTION("""COMPUTED_VALUE"""),1)</f>
        <v>1</v>
      </c>
      <c r="C1984" s="7">
        <f ca="1">IFERROR(__xludf.DUMMYFUNCTION("""COMPUTED_VALUE"""),1)</f>
        <v>1</v>
      </c>
      <c r="D1984" s="8">
        <f ca="1">IFERROR(__xludf.DUMMYFUNCTION("""COMPUTED_VALUE"""),5)</f>
        <v>5</v>
      </c>
      <c r="E1984" s="2">
        <f ca="1">IFERROR(__xludf.DUMMYFUNCTION("""COMPUTED_VALUE"""),2)</f>
        <v>2</v>
      </c>
    </row>
    <row r="1985" spans="1:5" ht="13">
      <c r="A1985" s="8" t="str">
        <f ca="1">IFERROR(__xludf.DUMMYFUNCTION("""COMPUTED_VALUE"""),"Dean, Brett")</f>
        <v>Dean, Brett</v>
      </c>
      <c r="B1985" s="3">
        <f ca="1">IFERROR(__xludf.DUMMYFUNCTION("""COMPUTED_VALUE"""),1)</f>
        <v>1</v>
      </c>
      <c r="C1985" s="7">
        <f ca="1">IFERROR(__xludf.DUMMYFUNCTION("""COMPUTED_VALUE"""),1)</f>
        <v>1</v>
      </c>
      <c r="D1985" s="8">
        <f ca="1">IFERROR(__xludf.DUMMYFUNCTION("""COMPUTED_VALUE"""),1)</f>
        <v>1</v>
      </c>
      <c r="E1985" s="2">
        <f ca="1">IFERROR(__xludf.DUMMYFUNCTION("""COMPUTED_VALUE"""),1)</f>
        <v>1</v>
      </c>
    </row>
    <row r="1986" spans="1:5" ht="13">
      <c r="A1986" s="2" t="str">
        <f ca="1">IFERROR(__xludf.DUMMYFUNCTION("""COMPUTED_VALUE"""),"Deane, Christopher")</f>
        <v>Deane, Christopher</v>
      </c>
      <c r="B1986" s="3">
        <f ca="1">IFERROR(__xludf.DUMMYFUNCTION("""COMPUTED_VALUE"""),1)</f>
        <v>1</v>
      </c>
      <c r="C1986" s="7">
        <f ca="1">IFERROR(__xludf.DUMMYFUNCTION("""COMPUTED_VALUE"""),1)</f>
        <v>1</v>
      </c>
      <c r="D1986" s="8">
        <f ca="1">IFERROR(__xludf.DUMMYFUNCTION("""COMPUTED_VALUE"""),5)</f>
        <v>5</v>
      </c>
      <c r="E1986" s="2">
        <f ca="1">IFERROR(__xludf.DUMMYFUNCTION("""COMPUTED_VALUE"""),2)</f>
        <v>2</v>
      </c>
    </row>
    <row r="1987" spans="1:5" ht="13">
      <c r="A1987" s="2" t="str">
        <f ca="1">IFERROR(__xludf.DUMMYFUNCTION("""COMPUTED_VALUE"""),"Dease, Michael")</f>
        <v>Dease, Michael</v>
      </c>
      <c r="B1987" s="3">
        <f ca="1">IFERROR(__xludf.DUMMYFUNCTION("""COMPUTED_VALUE"""),1)</f>
        <v>1</v>
      </c>
      <c r="C1987" s="7">
        <f ca="1">IFERROR(__xludf.DUMMYFUNCTION("""COMPUTED_VALUE"""),1)</f>
        <v>1</v>
      </c>
      <c r="D1987" s="8">
        <f ca="1">IFERROR(__xludf.DUMMYFUNCTION("""COMPUTED_VALUE"""),1)</f>
        <v>1</v>
      </c>
      <c r="E1987" s="2">
        <f ca="1">IFERROR(__xludf.DUMMYFUNCTION("""COMPUTED_VALUE"""),1)</f>
        <v>1</v>
      </c>
    </row>
    <row r="1988" spans="1:5" ht="13">
      <c r="A1988" s="2" t="str">
        <f ca="1">IFERROR(__xludf.DUMMYFUNCTION("""COMPUTED_VALUE"""),"Debbaut, Robert")</f>
        <v>Debbaut, Robert</v>
      </c>
      <c r="B1988" s="2">
        <f ca="1">IFERROR(__xludf.DUMMYFUNCTION("""COMPUTED_VALUE"""),1)</f>
        <v>1</v>
      </c>
      <c r="C1988" s="7">
        <f ca="1">IFERROR(__xludf.DUMMYFUNCTION("""COMPUTED_VALUE"""),1)</f>
        <v>1</v>
      </c>
      <c r="D1988" s="8">
        <f ca="1">IFERROR(__xludf.DUMMYFUNCTION("""COMPUTED_VALUE"""),1)</f>
        <v>1</v>
      </c>
      <c r="E1988" s="2">
        <f ca="1">IFERROR(__xludf.DUMMYFUNCTION("""COMPUTED_VALUE"""),1)</f>
        <v>1</v>
      </c>
    </row>
    <row r="1989" spans="1:5" ht="13">
      <c r="A1989" s="8" t="str">
        <f ca="1">IFERROR(__xludf.DUMMYFUNCTION("""COMPUTED_VALUE"""),"Debney, John")</f>
        <v>Debney, John</v>
      </c>
      <c r="B1989" s="3">
        <f ca="1">IFERROR(__xludf.DUMMYFUNCTION("""COMPUTED_VALUE"""),1)</f>
        <v>1</v>
      </c>
      <c r="C1989" s="7">
        <f ca="1">IFERROR(__xludf.DUMMYFUNCTION("""COMPUTED_VALUE"""),1)</f>
        <v>1</v>
      </c>
      <c r="D1989" s="8">
        <f ca="1">IFERROR(__xludf.DUMMYFUNCTION("""COMPUTED_VALUE"""),1)</f>
        <v>1</v>
      </c>
      <c r="E1989" s="2">
        <f ca="1">IFERROR(__xludf.DUMMYFUNCTION("""COMPUTED_VALUE"""),1)</f>
        <v>1</v>
      </c>
    </row>
    <row r="1990" spans="1:5" ht="13">
      <c r="A1990" s="8" t="str">
        <f ca="1">IFERROR(__xludf.DUMMYFUNCTION("""COMPUTED_VALUE"""),"Debski, Krzesimir")</f>
        <v>Debski, Krzesimir</v>
      </c>
      <c r="B1990" s="3">
        <f ca="1">IFERROR(__xludf.DUMMYFUNCTION("""COMPUTED_VALUE"""),1)</f>
        <v>1</v>
      </c>
      <c r="C1990" s="7">
        <f ca="1">IFERROR(__xludf.DUMMYFUNCTION("""COMPUTED_VALUE"""),1)</f>
        <v>1</v>
      </c>
      <c r="D1990" s="8">
        <f ca="1">IFERROR(__xludf.DUMMYFUNCTION("""COMPUTED_VALUE"""),1)</f>
        <v>1</v>
      </c>
      <c r="E1990" s="2">
        <f ca="1">IFERROR(__xludf.DUMMYFUNCTION("""COMPUTED_VALUE"""),1)</f>
        <v>1</v>
      </c>
    </row>
    <row r="1991" spans="1:5" ht="13">
      <c r="A1991" s="8" t="str">
        <f ca="1">IFERROR(__xludf.DUMMYFUNCTION("""COMPUTED_VALUE"""),"Debussy, C.")</f>
        <v>Debussy, C.</v>
      </c>
      <c r="B1991" s="3">
        <f ca="1">IFERROR(__xludf.DUMMYFUNCTION("""COMPUTED_VALUE"""),1)</f>
        <v>1</v>
      </c>
      <c r="C1991" s="7">
        <f ca="1">IFERROR(__xludf.DUMMYFUNCTION("""COMPUTED_VALUE"""),1)</f>
        <v>1</v>
      </c>
      <c r="D1991" s="8">
        <f ca="1">IFERROR(__xludf.DUMMYFUNCTION("""COMPUTED_VALUE"""),5)</f>
        <v>5</v>
      </c>
      <c r="E1991" s="2">
        <f ca="1">IFERROR(__xludf.DUMMYFUNCTION("""COMPUTED_VALUE"""),2)</f>
        <v>2</v>
      </c>
    </row>
    <row r="1992" spans="1:5" ht="13">
      <c r="A1992" s="8" t="str">
        <f ca="1">IFERROR(__xludf.DUMMYFUNCTION("""COMPUTED_VALUE"""),"Debussy, Claude")</f>
        <v>Debussy, Claude</v>
      </c>
      <c r="B1992" s="3">
        <f ca="1">IFERROR(__xludf.DUMMYFUNCTION("""COMPUTED_VALUE"""),1)</f>
        <v>1</v>
      </c>
      <c r="C1992" s="7">
        <f ca="1">IFERROR(__xludf.DUMMYFUNCTION("""COMPUTED_VALUE"""),1)</f>
        <v>1</v>
      </c>
      <c r="D1992" s="8">
        <f ca="1">IFERROR(__xludf.DUMMYFUNCTION("""COMPUTED_VALUE"""),5)</f>
        <v>5</v>
      </c>
      <c r="E1992" s="2">
        <f ca="1">IFERROR(__xludf.DUMMYFUNCTION("""COMPUTED_VALUE"""),2)</f>
        <v>2</v>
      </c>
    </row>
    <row r="1993" spans="1:5" ht="13">
      <c r="A1993" s="8" t="str">
        <f ca="1">IFERROR(__xludf.DUMMYFUNCTION("""COMPUTED_VALUE"""),"Debussy, Claude (orch. Abrahamsen, Hans)")</f>
        <v>Debussy, Claude (orch. Abrahamsen, Hans)</v>
      </c>
      <c r="B1993" s="3">
        <f ca="1">IFERROR(__xludf.DUMMYFUNCTION("""COMPUTED_VALUE"""),1)</f>
        <v>1</v>
      </c>
      <c r="C1993" s="7">
        <f ca="1">IFERROR(__xludf.DUMMYFUNCTION("""COMPUTED_VALUE"""),1)</f>
        <v>1</v>
      </c>
      <c r="D1993" s="8">
        <f ca="1">IFERROR(__xludf.DUMMYFUNCTION("""COMPUTED_VALUE"""),5)</f>
        <v>5</v>
      </c>
      <c r="E1993" s="2">
        <f ca="1">IFERROR(__xludf.DUMMYFUNCTION("""COMPUTED_VALUE"""),2)</f>
        <v>2</v>
      </c>
    </row>
    <row r="1994" spans="1:5" ht="13">
      <c r="A1994" s="8" t="str">
        <f ca="1">IFERROR(__xludf.DUMMYFUNCTION("""COMPUTED_VALUE"""),"Debussy, Claude (orch. Altinoglu)")</f>
        <v>Debussy, Claude (orch. Altinoglu)</v>
      </c>
      <c r="B1994" s="3">
        <f ca="1">IFERROR(__xludf.DUMMYFUNCTION("""COMPUTED_VALUE"""),1)</f>
        <v>1</v>
      </c>
      <c r="C1994" s="7">
        <f ca="1">IFERROR(__xludf.DUMMYFUNCTION("""COMPUTED_VALUE"""),1)</f>
        <v>1</v>
      </c>
      <c r="D1994" s="8">
        <f ca="1">IFERROR(__xludf.DUMMYFUNCTION("""COMPUTED_VALUE"""),5)</f>
        <v>5</v>
      </c>
      <c r="E1994" s="2">
        <f ca="1">IFERROR(__xludf.DUMMYFUNCTION("""COMPUTED_VALUE"""),2)</f>
        <v>2</v>
      </c>
    </row>
    <row r="1995" spans="1:5" ht="13">
      <c r="A1995" s="8" t="str">
        <f ca="1">IFERROR(__xludf.DUMMYFUNCTION("""COMPUTED_VALUE"""),"Debussy, Claude (orch. Büsser, Henri)")</f>
        <v>Debussy, Claude (orch. Büsser, Henri)</v>
      </c>
      <c r="B1995" s="3">
        <f ca="1">IFERROR(__xludf.DUMMYFUNCTION("""COMPUTED_VALUE"""),1)</f>
        <v>1</v>
      </c>
      <c r="C1995" s="7">
        <f ca="1">IFERROR(__xludf.DUMMYFUNCTION("""COMPUTED_VALUE"""),1)</f>
        <v>1</v>
      </c>
      <c r="D1995" s="8">
        <f ca="1">IFERROR(__xludf.DUMMYFUNCTION("""COMPUTED_VALUE"""),5)</f>
        <v>5</v>
      </c>
      <c r="E1995" s="2">
        <f ca="1">IFERROR(__xludf.DUMMYFUNCTION("""COMPUTED_VALUE"""),2)</f>
        <v>2</v>
      </c>
    </row>
    <row r="1996" spans="1:5" ht="13">
      <c r="A1996" s="8" t="str">
        <f ca="1">IFERROR(__xludf.DUMMYFUNCTION("""COMPUTED_VALUE"""),"Debussy, Claude (orch. Matthews, Colin)")</f>
        <v>Debussy, Claude (orch. Matthews, Colin)</v>
      </c>
      <c r="B1996" s="3">
        <f ca="1">IFERROR(__xludf.DUMMYFUNCTION("""COMPUTED_VALUE"""),1)</f>
        <v>1</v>
      </c>
      <c r="C1996" s="7">
        <f ca="1">IFERROR(__xludf.DUMMYFUNCTION("""COMPUTED_VALUE"""),1)</f>
        <v>1</v>
      </c>
      <c r="D1996" s="8">
        <f ca="1">IFERROR(__xludf.DUMMYFUNCTION("""COMPUTED_VALUE"""),5)</f>
        <v>5</v>
      </c>
      <c r="E1996" s="2">
        <f ca="1">IFERROR(__xludf.DUMMYFUNCTION("""COMPUTED_VALUE"""),2)</f>
        <v>2</v>
      </c>
    </row>
    <row r="1997" spans="1:5" ht="13">
      <c r="A1997" s="8" t="str">
        <f ca="1">IFERROR(__xludf.DUMMYFUNCTION("""COMPUTED_VALUE"""),"Debussy, Claude (orch. Molinari, Bernardino)")</f>
        <v>Debussy, Claude (orch. Molinari, Bernardino)</v>
      </c>
      <c r="B1997" s="3">
        <f ca="1">IFERROR(__xludf.DUMMYFUNCTION("""COMPUTED_VALUE"""),1)</f>
        <v>1</v>
      </c>
      <c r="C1997" s="7">
        <f ca="1">IFERROR(__xludf.DUMMYFUNCTION("""COMPUTED_VALUE"""),1)</f>
        <v>1</v>
      </c>
      <c r="D1997" s="8">
        <f ca="1">IFERROR(__xludf.DUMMYFUNCTION("""COMPUTED_VALUE"""),5)</f>
        <v>5</v>
      </c>
      <c r="E1997" s="2">
        <f ca="1">IFERROR(__xludf.DUMMYFUNCTION("""COMPUTED_VALUE"""),2)</f>
        <v>2</v>
      </c>
    </row>
    <row r="1998" spans="1:5" ht="13">
      <c r="A1998" s="8" t="str">
        <f ca="1">IFERROR(__xludf.DUMMYFUNCTION("""COMPUTED_VALUE"""),"Debussy, Claude (orch. Schoenberg)")</f>
        <v>Debussy, Claude (orch. Schoenberg)</v>
      </c>
      <c r="B1998" s="3">
        <f ca="1">IFERROR(__xludf.DUMMYFUNCTION("""COMPUTED_VALUE"""),1)</f>
        <v>1</v>
      </c>
      <c r="C1998" s="7">
        <f ca="1">IFERROR(__xludf.DUMMYFUNCTION("""COMPUTED_VALUE"""),1)</f>
        <v>1</v>
      </c>
      <c r="D1998" s="8">
        <f ca="1">IFERROR(__xludf.DUMMYFUNCTION("""COMPUTED_VALUE"""),5)</f>
        <v>5</v>
      </c>
      <c r="E1998" s="2">
        <f ca="1">IFERROR(__xludf.DUMMYFUNCTION("""COMPUTED_VALUE"""),2)</f>
        <v>2</v>
      </c>
    </row>
    <row r="1999" spans="1:5" ht="13">
      <c r="A1999" s="8" t="str">
        <f ca="1">IFERROR(__xludf.DUMMYFUNCTION("""COMPUTED_VALUE"""),"Decamp, Carroll")</f>
        <v>Decamp, Carroll</v>
      </c>
      <c r="B1999" s="3">
        <f ca="1">IFERROR(__xludf.DUMMYFUNCTION("""COMPUTED_VALUE"""),1)</f>
        <v>1</v>
      </c>
      <c r="C1999" s="7">
        <f ca="1">IFERROR(__xludf.DUMMYFUNCTION("""COMPUTED_VALUE"""),1)</f>
        <v>1</v>
      </c>
      <c r="D1999" s="8">
        <f ca="1">IFERROR(__xludf.DUMMYFUNCTION("""COMPUTED_VALUE"""),5)</f>
        <v>5</v>
      </c>
      <c r="E1999" s="2">
        <f ca="1">IFERROR(__xludf.DUMMYFUNCTION("""COMPUTED_VALUE"""),2)</f>
        <v>2</v>
      </c>
    </row>
    <row r="2000" spans="1:5" ht="13">
      <c r="A2000" s="2" t="str">
        <f ca="1">IFERROR(__xludf.DUMMYFUNCTION("""COMPUTED_VALUE"""),"Decius, Nikolaus")</f>
        <v>Decius, Nikolaus</v>
      </c>
      <c r="B2000" s="3">
        <f ca="1">IFERROR(__xludf.DUMMYFUNCTION("""COMPUTED_VALUE"""),1)</f>
        <v>1</v>
      </c>
      <c r="C2000" s="7">
        <f ca="1">IFERROR(__xludf.DUMMYFUNCTION("""COMPUTED_VALUE"""),1)</f>
        <v>1</v>
      </c>
      <c r="D2000" s="8">
        <f ca="1">IFERROR(__xludf.DUMMYFUNCTION("""COMPUTED_VALUE"""),5)</f>
        <v>5</v>
      </c>
      <c r="E2000" s="2">
        <f ca="1">IFERROR(__xludf.DUMMYFUNCTION("""COMPUTED_VALUE"""),2)</f>
        <v>2</v>
      </c>
    </row>
    <row r="2001" spans="1:5" ht="13">
      <c r="A2001" s="2" t="str">
        <f ca="1">IFERROR(__xludf.DUMMYFUNCTION("""COMPUTED_VALUE"""),"Decker, Harold")</f>
        <v>Decker, Harold</v>
      </c>
      <c r="B2001" s="2">
        <f ca="1">IFERROR(__xludf.DUMMYFUNCTION("""COMPUTED_VALUE"""),1)</f>
        <v>1</v>
      </c>
      <c r="C2001" s="2">
        <f ca="1">IFERROR(__xludf.DUMMYFUNCTION("""COMPUTED_VALUE"""),1)</f>
        <v>1</v>
      </c>
      <c r="D2001" s="8">
        <f ca="1">IFERROR(__xludf.DUMMYFUNCTION("""COMPUTED_VALUE"""),5)</f>
        <v>5</v>
      </c>
      <c r="E2001" s="2">
        <f ca="1">IFERROR(__xludf.DUMMYFUNCTION("""COMPUTED_VALUE"""),2)</f>
        <v>2</v>
      </c>
    </row>
    <row r="2002" spans="1:5" ht="13">
      <c r="A2002" s="8" t="str">
        <f ca="1">IFERROR(__xludf.DUMMYFUNCTION("""COMPUTED_VALUE"""),"DeCormier, Robert")</f>
        <v>DeCormier, Robert</v>
      </c>
      <c r="B2002" s="3">
        <f ca="1">IFERROR(__xludf.DUMMYFUNCTION("""COMPUTED_VALUE"""),1)</f>
        <v>1</v>
      </c>
      <c r="C2002" s="7">
        <f ca="1">IFERROR(__xludf.DUMMYFUNCTION("""COMPUTED_VALUE"""),1)</f>
        <v>1</v>
      </c>
      <c r="D2002" s="8">
        <f ca="1">IFERROR(__xludf.DUMMYFUNCTION("""COMPUTED_VALUE"""),5)</f>
        <v>5</v>
      </c>
      <c r="E2002" s="2">
        <f ca="1">IFERROR(__xludf.DUMMYFUNCTION("""COMPUTED_VALUE"""),2)</f>
        <v>2</v>
      </c>
    </row>
    <row r="2003" spans="1:5" ht="13">
      <c r="A2003" s="8" t="str">
        <f ca="1">IFERROR(__xludf.DUMMYFUNCTION("""COMPUTED_VALUE"""),"Dedekind, Constantin")</f>
        <v>Dedekind, Constantin</v>
      </c>
      <c r="B2003" s="3">
        <f ca="1">IFERROR(__xludf.DUMMYFUNCTION("""COMPUTED_VALUE"""),1)</f>
        <v>1</v>
      </c>
      <c r="C2003" s="7">
        <f ca="1">IFERROR(__xludf.DUMMYFUNCTION("""COMPUTED_VALUE"""),1)</f>
        <v>1</v>
      </c>
      <c r="D2003" s="8">
        <f ca="1">IFERROR(__xludf.DUMMYFUNCTION("""COMPUTED_VALUE"""),5)</f>
        <v>5</v>
      </c>
      <c r="E2003" s="2">
        <f ca="1">IFERROR(__xludf.DUMMYFUNCTION("""COMPUTED_VALUE"""),2)</f>
        <v>2</v>
      </c>
    </row>
    <row r="2004" spans="1:5" ht="13">
      <c r="A2004" s="2" t="str">
        <f ca="1">IFERROR(__xludf.DUMMYFUNCTION("""COMPUTED_VALUE"""),"Dedrick, Art")</f>
        <v>Dedrick, Art</v>
      </c>
      <c r="B2004" s="2">
        <f ca="1">IFERROR(__xludf.DUMMYFUNCTION("""COMPUTED_VALUE"""),1)</f>
        <v>1</v>
      </c>
      <c r="C2004" s="7">
        <f ca="1">IFERROR(__xludf.DUMMYFUNCTION("""COMPUTED_VALUE"""),1)</f>
        <v>1</v>
      </c>
      <c r="D2004" s="8">
        <f ca="1">IFERROR(__xludf.DUMMYFUNCTION("""COMPUTED_VALUE"""),5)</f>
        <v>5</v>
      </c>
      <c r="E2004" s="2">
        <f ca="1">IFERROR(__xludf.DUMMYFUNCTION("""COMPUTED_VALUE"""),2)</f>
        <v>2</v>
      </c>
    </row>
    <row r="2005" spans="1:5" ht="13">
      <c r="A2005" s="8" t="str">
        <f ca="1">IFERROR(__xludf.DUMMYFUNCTION("""COMPUTED_VALUE"""),"Deemer, Rob")</f>
        <v>Deemer, Rob</v>
      </c>
      <c r="B2005" s="3">
        <f ca="1">IFERROR(__xludf.DUMMYFUNCTION("""COMPUTED_VALUE"""),1)</f>
        <v>1</v>
      </c>
      <c r="C2005" s="7">
        <f ca="1">IFERROR(__xludf.DUMMYFUNCTION("""COMPUTED_VALUE"""),1)</f>
        <v>1</v>
      </c>
      <c r="D2005" s="8">
        <f ca="1">IFERROR(__xludf.DUMMYFUNCTION("""COMPUTED_VALUE"""),1)</f>
        <v>1</v>
      </c>
      <c r="E2005" s="2">
        <f ca="1">IFERROR(__xludf.DUMMYFUNCTION("""COMPUTED_VALUE"""),1)</f>
        <v>1</v>
      </c>
    </row>
    <row r="2006" spans="1:5" ht="13">
      <c r="A2006" s="8" t="str">
        <f ca="1">IFERROR(__xludf.DUMMYFUNCTION("""COMPUTED_VALUE"""),"Defaye, Jean-Michel")</f>
        <v>Defaye, Jean-Michel</v>
      </c>
      <c r="B2006" s="3">
        <f ca="1">IFERROR(__xludf.DUMMYFUNCTION("""COMPUTED_VALUE"""),1)</f>
        <v>1</v>
      </c>
      <c r="C2006" s="7">
        <f ca="1">IFERROR(__xludf.DUMMYFUNCTION("""COMPUTED_VALUE"""),1)</f>
        <v>1</v>
      </c>
      <c r="D2006" s="8">
        <f ca="1">IFERROR(__xludf.DUMMYFUNCTION("""COMPUTED_VALUE"""),5)</f>
        <v>5</v>
      </c>
      <c r="E2006" s="2">
        <f ca="1">IFERROR(__xludf.DUMMYFUNCTION("""COMPUTED_VALUE"""),2)</f>
        <v>2</v>
      </c>
    </row>
    <row r="2007" spans="1:5" ht="13">
      <c r="A2007" s="2" t="str">
        <f ca="1">IFERROR(__xludf.DUMMYFUNCTION("""COMPUTED_VALUE"""),"DeFesch, William")</f>
        <v>DeFesch, William</v>
      </c>
      <c r="B2007" s="3">
        <f ca="1">IFERROR(__xludf.DUMMYFUNCTION("""COMPUTED_VALUE"""),1)</f>
        <v>1</v>
      </c>
      <c r="C2007" s="7">
        <f ca="1">IFERROR(__xludf.DUMMYFUNCTION("""COMPUTED_VALUE"""),1)</f>
        <v>1</v>
      </c>
      <c r="D2007" s="8">
        <f ca="1">IFERROR(__xludf.DUMMYFUNCTION("""COMPUTED_VALUE"""),5)</f>
        <v>5</v>
      </c>
      <c r="E2007" s="2">
        <f ca="1">IFERROR(__xludf.DUMMYFUNCTION("""COMPUTED_VALUE"""),2)</f>
        <v>2</v>
      </c>
    </row>
    <row r="2008" spans="1:5" ht="13">
      <c r="A2008" s="8" t="str">
        <f ca="1">IFERROR(__xludf.DUMMYFUNCTION("""COMPUTED_VALUE"""),"Deguire, William")</f>
        <v>Deguire, William</v>
      </c>
      <c r="B2008" s="3">
        <f ca="1">IFERROR(__xludf.DUMMYFUNCTION("""COMPUTED_VALUE"""),1)</f>
        <v>1</v>
      </c>
      <c r="C2008" s="7">
        <f ca="1">IFERROR(__xludf.DUMMYFUNCTION("""COMPUTED_VALUE"""),1)</f>
        <v>1</v>
      </c>
      <c r="D2008" s="8">
        <f ca="1">IFERROR(__xludf.DUMMYFUNCTION("""COMPUTED_VALUE"""),5)</f>
        <v>5</v>
      </c>
      <c r="E2008" s="2">
        <f ca="1">IFERROR(__xludf.DUMMYFUNCTION("""COMPUTED_VALUE"""),2)</f>
        <v>2</v>
      </c>
    </row>
    <row r="2009" spans="1:5" ht="13">
      <c r="A2009" s="8" t="str">
        <f ca="1">IFERROR(__xludf.DUMMYFUNCTION("""COMPUTED_VALUE"""),"Dehlinger, Henry")</f>
        <v>Dehlinger, Henry</v>
      </c>
      <c r="B2009" s="3">
        <f ca="1">IFERROR(__xludf.DUMMYFUNCTION("""COMPUTED_VALUE"""),1)</f>
        <v>1</v>
      </c>
      <c r="C2009" s="7">
        <f ca="1">IFERROR(__xludf.DUMMYFUNCTION("""COMPUTED_VALUE"""),1)</f>
        <v>1</v>
      </c>
      <c r="D2009" s="8">
        <f ca="1">IFERROR(__xludf.DUMMYFUNCTION("""COMPUTED_VALUE"""),1)</f>
        <v>1</v>
      </c>
      <c r="E2009" s="2">
        <f ca="1">IFERROR(__xludf.DUMMYFUNCTION("""COMPUTED_VALUE"""),1)</f>
        <v>1</v>
      </c>
    </row>
    <row r="2010" spans="1:5" ht="13">
      <c r="A2010" s="2" t="str">
        <f ca="1">IFERROR(__xludf.DUMMYFUNCTION("""COMPUTED_VALUE"""),"Deignan, James")</f>
        <v>Deignan, James</v>
      </c>
      <c r="B2010" s="3">
        <f ca="1">IFERROR(__xludf.DUMMYFUNCTION("""COMPUTED_VALUE"""),1)</f>
        <v>1</v>
      </c>
      <c r="C2010" s="7">
        <f ca="1">IFERROR(__xludf.DUMMYFUNCTION("""COMPUTED_VALUE"""),1)</f>
        <v>1</v>
      </c>
      <c r="D2010" s="8">
        <f ca="1">IFERROR(__xludf.DUMMYFUNCTION("""COMPUTED_VALUE"""),1)</f>
        <v>1</v>
      </c>
      <c r="E2010" s="2">
        <f ca="1">IFERROR(__xludf.DUMMYFUNCTION("""COMPUTED_VALUE"""),1)</f>
        <v>1</v>
      </c>
    </row>
    <row r="2011" spans="1:5" ht="13">
      <c r="A2011" s="8" t="str">
        <f ca="1">IFERROR(__xludf.DUMMYFUNCTION("""COMPUTED_VALUE"""),"Deiro, Pietro")</f>
        <v>Deiro, Pietro</v>
      </c>
      <c r="B2011" s="3">
        <f ca="1">IFERROR(__xludf.DUMMYFUNCTION("""COMPUTED_VALUE"""),1)</f>
        <v>1</v>
      </c>
      <c r="C2011" s="7">
        <f ca="1">IFERROR(__xludf.DUMMYFUNCTION("""COMPUTED_VALUE"""),1)</f>
        <v>1</v>
      </c>
      <c r="D2011" s="8">
        <f ca="1">IFERROR(__xludf.DUMMYFUNCTION("""COMPUTED_VALUE"""),5)</f>
        <v>5</v>
      </c>
      <c r="E2011" s="2">
        <f ca="1">IFERROR(__xludf.DUMMYFUNCTION("""COMPUTED_VALUE"""),2)</f>
        <v>2</v>
      </c>
    </row>
    <row r="2012" spans="1:5" ht="13">
      <c r="A2012" s="8" t="str">
        <f ca="1">IFERROR(__xludf.DUMMYFUNCTION("""COMPUTED_VALUE"""),"Deis, Carl")</f>
        <v>Deis, Carl</v>
      </c>
      <c r="B2012" s="3">
        <f ca="1">IFERROR(__xludf.DUMMYFUNCTION("""COMPUTED_VALUE"""),1)</f>
        <v>1</v>
      </c>
      <c r="C2012" s="7">
        <f ca="1">IFERROR(__xludf.DUMMYFUNCTION("""COMPUTED_VALUE"""),1)</f>
        <v>1</v>
      </c>
      <c r="D2012" s="8">
        <f ca="1">IFERROR(__xludf.DUMMYFUNCTION("""COMPUTED_VALUE"""),5)</f>
        <v>5</v>
      </c>
      <c r="E2012" s="2">
        <f ca="1">IFERROR(__xludf.DUMMYFUNCTION("""COMPUTED_VALUE"""),2)</f>
        <v>2</v>
      </c>
    </row>
    <row r="2013" spans="1:5" ht="13">
      <c r="A2013" s="8" t="str">
        <f ca="1">IFERROR(__xludf.DUMMYFUNCTION("""COMPUTED_VALUE"""),"Deitemyer, Douglas")</f>
        <v>Deitemyer, Douglas</v>
      </c>
      <c r="B2013" s="3">
        <f ca="1">IFERROR(__xludf.DUMMYFUNCTION("""COMPUTED_VALUE"""),1)</f>
        <v>1</v>
      </c>
      <c r="C2013" s="7">
        <f ca="1">IFERROR(__xludf.DUMMYFUNCTION("""COMPUTED_VALUE"""),1)</f>
        <v>1</v>
      </c>
      <c r="D2013" s="8">
        <f ca="1">IFERROR(__xludf.DUMMYFUNCTION("""COMPUTED_VALUE"""),1)</f>
        <v>1</v>
      </c>
      <c r="E2013" s="2">
        <f ca="1">IFERROR(__xludf.DUMMYFUNCTION("""COMPUTED_VALUE"""),1)</f>
        <v>1</v>
      </c>
    </row>
    <row r="2014" spans="1:5" ht="13">
      <c r="A2014" s="8" t="str">
        <f ca="1">IFERROR(__xludf.DUMMYFUNCTION("""COMPUTED_VALUE"""),"DeJonge, Rick")</f>
        <v>DeJonge, Rick</v>
      </c>
      <c r="B2014" s="3">
        <f ca="1">IFERROR(__xludf.DUMMYFUNCTION("""COMPUTED_VALUE"""),1)</f>
        <v>1</v>
      </c>
      <c r="C2014" s="7">
        <f ca="1">IFERROR(__xludf.DUMMYFUNCTION("""COMPUTED_VALUE"""),1)</f>
        <v>1</v>
      </c>
      <c r="D2014" s="8">
        <f ca="1">IFERROR(__xludf.DUMMYFUNCTION("""COMPUTED_VALUE"""),1)</f>
        <v>1</v>
      </c>
      <c r="E2014" s="2">
        <f ca="1">IFERROR(__xludf.DUMMYFUNCTION("""COMPUTED_VALUE"""),1)</f>
        <v>1</v>
      </c>
    </row>
    <row r="2015" spans="1:5" ht="13">
      <c r="A2015" s="2" t="str">
        <f ca="1">IFERROR(__xludf.DUMMYFUNCTION("""COMPUTED_VALUE"""),"Dekker, Ron")</f>
        <v>Dekker, Ron</v>
      </c>
      <c r="B2015" s="3">
        <f ca="1">IFERROR(__xludf.DUMMYFUNCTION("""COMPUTED_VALUE"""),1)</f>
        <v>1</v>
      </c>
      <c r="C2015" s="7">
        <f ca="1">IFERROR(__xludf.DUMMYFUNCTION("""COMPUTED_VALUE"""),1)</f>
        <v>1</v>
      </c>
      <c r="D2015" s="8">
        <f ca="1">IFERROR(__xludf.DUMMYFUNCTION("""COMPUTED_VALUE"""),1)</f>
        <v>1</v>
      </c>
      <c r="E2015" s="2">
        <f ca="1">IFERROR(__xludf.DUMMYFUNCTION("""COMPUTED_VALUE"""),1)</f>
        <v>1</v>
      </c>
    </row>
    <row r="2016" spans="1:5" ht="13">
      <c r="A2016" s="8" t="str">
        <f ca="1">IFERROR(__xludf.DUMMYFUNCTION("""COMPUTED_VALUE"""),"Del Borgo, Elliot")</f>
        <v>Del Borgo, Elliot</v>
      </c>
      <c r="B2016" s="3">
        <f ca="1">IFERROR(__xludf.DUMMYFUNCTION("""COMPUTED_VALUE"""),1)</f>
        <v>1</v>
      </c>
      <c r="C2016" s="7">
        <f ca="1">IFERROR(__xludf.DUMMYFUNCTION("""COMPUTED_VALUE"""),1)</f>
        <v>1</v>
      </c>
      <c r="D2016" s="8">
        <f ca="1">IFERROR(__xludf.DUMMYFUNCTION("""COMPUTED_VALUE"""),5)</f>
        <v>5</v>
      </c>
      <c r="E2016" s="2">
        <f ca="1">IFERROR(__xludf.DUMMYFUNCTION("""COMPUTED_VALUE"""),2)</f>
        <v>2</v>
      </c>
    </row>
    <row r="2017" spans="1:5" ht="13">
      <c r="A2017" s="2" t="str">
        <f ca="1">IFERROR(__xludf.DUMMYFUNCTION("""COMPUTED_VALUE"""),"Del Tredeci, David")</f>
        <v>Del Tredeci, David</v>
      </c>
      <c r="B2017" s="3">
        <f ca="1">IFERROR(__xludf.DUMMYFUNCTION("""COMPUTED_VALUE"""),1)</f>
        <v>1</v>
      </c>
      <c r="C2017" s="7">
        <f ca="1">IFERROR(__xludf.DUMMYFUNCTION("""COMPUTED_VALUE"""),1)</f>
        <v>1</v>
      </c>
      <c r="D2017" s="8">
        <f ca="1">IFERROR(__xludf.DUMMYFUNCTION("""COMPUTED_VALUE"""),1)</f>
        <v>1</v>
      </c>
      <c r="E2017" s="2">
        <f ca="1">IFERROR(__xludf.DUMMYFUNCTION("""COMPUTED_VALUE"""),1)</f>
        <v>1</v>
      </c>
    </row>
    <row r="2018" spans="1:5" ht="13">
      <c r="A2018" s="8" t="str">
        <f ca="1">IFERROR(__xludf.DUMMYFUNCTION("""COMPUTED_VALUE"""),"Del Tredici, David")</f>
        <v>Del Tredici, David</v>
      </c>
      <c r="B2018" s="3">
        <f ca="1">IFERROR(__xludf.DUMMYFUNCTION("""COMPUTED_VALUE"""),1)</f>
        <v>1</v>
      </c>
      <c r="C2018" s="7">
        <f ca="1">IFERROR(__xludf.DUMMYFUNCTION("""COMPUTED_VALUE"""),1)</f>
        <v>1</v>
      </c>
      <c r="D2018" s="8">
        <f ca="1">IFERROR(__xludf.DUMMYFUNCTION("""COMPUTED_VALUE"""),1)</f>
        <v>1</v>
      </c>
      <c r="E2018" s="2">
        <f ca="1">IFERROR(__xludf.DUMMYFUNCTION("""COMPUTED_VALUE"""),1)</f>
        <v>1</v>
      </c>
    </row>
    <row r="2019" spans="1:5" ht="13">
      <c r="A2019" s="2" t="str">
        <f ca="1">IFERROR(__xludf.DUMMYFUNCTION("""COMPUTED_VALUE"""),"Delage, Maurice")</f>
        <v>Delage, Maurice</v>
      </c>
      <c r="B2019" s="3">
        <f ca="1">IFERROR(__xludf.DUMMYFUNCTION("""COMPUTED_VALUE"""),1)</f>
        <v>1</v>
      </c>
      <c r="C2019" s="7">
        <f ca="1">IFERROR(__xludf.DUMMYFUNCTION("""COMPUTED_VALUE"""),1)</f>
        <v>1</v>
      </c>
      <c r="D2019" s="8">
        <f ca="1">IFERROR(__xludf.DUMMYFUNCTION("""COMPUTED_VALUE"""),5)</f>
        <v>5</v>
      </c>
      <c r="E2019" s="2">
        <f ca="1">IFERROR(__xludf.DUMMYFUNCTION("""COMPUTED_VALUE"""),2)</f>
        <v>2</v>
      </c>
    </row>
    <row r="2020" spans="1:5" ht="13">
      <c r="A2020" s="8" t="str">
        <f ca="1">IFERROR(__xludf.DUMMYFUNCTION("""COMPUTED_VALUE"""),"DeLalande, Michel")</f>
        <v>DeLalande, Michel</v>
      </c>
      <c r="B2020" s="3">
        <f ca="1">IFERROR(__xludf.DUMMYFUNCTION("""COMPUTED_VALUE"""),1)</f>
        <v>1</v>
      </c>
      <c r="C2020" s="7">
        <f ca="1">IFERROR(__xludf.DUMMYFUNCTION("""COMPUTED_VALUE"""),1)</f>
        <v>1</v>
      </c>
      <c r="D2020" s="8">
        <f ca="1">IFERROR(__xludf.DUMMYFUNCTION("""COMPUTED_VALUE"""),5)</f>
        <v>5</v>
      </c>
      <c r="E2020" s="2">
        <f ca="1">IFERROR(__xludf.DUMMYFUNCTION("""COMPUTED_VALUE"""),2)</f>
        <v>2</v>
      </c>
    </row>
    <row r="2021" spans="1:5" ht="13">
      <c r="A2021" s="2" t="str">
        <f ca="1">IFERROR(__xludf.DUMMYFUNCTION("""COMPUTED_VALUE"""),"Delalande, Michele Richard")</f>
        <v>Delalande, Michele Richard</v>
      </c>
      <c r="B2021" s="2">
        <f ca="1">IFERROR(__xludf.DUMMYFUNCTION("""COMPUTED_VALUE"""),1)</f>
        <v>1</v>
      </c>
      <c r="C2021" s="7">
        <f ca="1">IFERROR(__xludf.DUMMYFUNCTION("""COMPUTED_VALUE"""),1)</f>
        <v>1</v>
      </c>
      <c r="D2021" s="8">
        <f ca="1">IFERROR(__xludf.DUMMYFUNCTION("""COMPUTED_VALUE"""),5)</f>
        <v>5</v>
      </c>
      <c r="E2021" s="2">
        <f ca="1">IFERROR(__xludf.DUMMYFUNCTION("""COMPUTED_VALUE"""),2)</f>
        <v>2</v>
      </c>
    </row>
    <row r="2022" spans="1:5" ht="13">
      <c r="A2022" s="2" t="str">
        <f ca="1">IFERROR(__xludf.DUMMYFUNCTION("""COMPUTED_VALUE"""),"DeLamarter, Eric")</f>
        <v>DeLamarter, Eric</v>
      </c>
      <c r="B2022" s="2">
        <f ca="1">IFERROR(__xludf.DUMMYFUNCTION("""COMPUTED_VALUE"""),1)</f>
        <v>1</v>
      </c>
      <c r="C2022" s="7">
        <f ca="1">IFERROR(__xludf.DUMMYFUNCTION("""COMPUTED_VALUE"""),1)</f>
        <v>1</v>
      </c>
      <c r="D2022" s="8">
        <f ca="1">IFERROR(__xludf.DUMMYFUNCTION("""COMPUTED_VALUE"""),5)</f>
        <v>5</v>
      </c>
      <c r="E2022" s="2">
        <f ca="1">IFERROR(__xludf.DUMMYFUNCTION("""COMPUTED_VALUE"""),2)</f>
        <v>2</v>
      </c>
    </row>
    <row r="2023" spans="1:5" ht="13">
      <c r="A2023" s="2" t="str">
        <f ca="1">IFERROR(__xludf.DUMMYFUNCTION("""COMPUTED_VALUE"""),"DeLange, Eddie / Alter, Louis")</f>
        <v>DeLange, Eddie / Alter, Louis</v>
      </c>
      <c r="B2023" s="2">
        <f ca="1">IFERROR(__xludf.DUMMYFUNCTION("""COMPUTED_VALUE"""),1)</f>
        <v>1</v>
      </c>
      <c r="C2023" s="7">
        <f ca="1">IFERROR(__xludf.DUMMYFUNCTION("""COMPUTED_VALUE"""),1)</f>
        <v>1</v>
      </c>
      <c r="D2023" s="8">
        <f ca="1">IFERROR(__xludf.DUMMYFUNCTION("""COMPUTED_VALUE"""),5)</f>
        <v>5</v>
      </c>
      <c r="E2023" s="2">
        <f ca="1">IFERROR(__xludf.DUMMYFUNCTION("""COMPUTED_VALUE"""),2)</f>
        <v>2</v>
      </c>
    </row>
    <row r="2024" spans="1:5" ht="13">
      <c r="A2024" s="2" t="str">
        <f ca="1">IFERROR(__xludf.DUMMYFUNCTION("""COMPUTED_VALUE"""),"Delayrac, Nicholas")</f>
        <v>Delayrac, Nicholas</v>
      </c>
      <c r="B2024" s="3">
        <f ca="1">IFERROR(__xludf.DUMMYFUNCTION("""COMPUTED_VALUE"""),1)</f>
        <v>1</v>
      </c>
      <c r="C2024" s="7">
        <f ca="1">IFERROR(__xludf.DUMMYFUNCTION("""COMPUTED_VALUE"""),1)</f>
        <v>1</v>
      </c>
      <c r="D2024" s="8">
        <f ca="1">IFERROR(__xludf.DUMMYFUNCTION("""COMPUTED_VALUE"""),5)</f>
        <v>5</v>
      </c>
      <c r="E2024" s="2">
        <f ca="1">IFERROR(__xludf.DUMMYFUNCTION("""COMPUTED_VALUE"""),2)</f>
        <v>2</v>
      </c>
    </row>
    <row r="2025" spans="1:5" ht="13">
      <c r="A2025" s="2" t="str">
        <f ca="1">IFERROR(__xludf.DUMMYFUNCTION("""COMPUTED_VALUE"""),"Dele Cesse, Davide")</f>
        <v>Dele Cesse, Davide</v>
      </c>
      <c r="B2025" s="2">
        <f ca="1">IFERROR(__xludf.DUMMYFUNCTION("""COMPUTED_VALUE"""),1)</f>
        <v>1</v>
      </c>
      <c r="C2025" s="7">
        <f ca="1">IFERROR(__xludf.DUMMYFUNCTION("""COMPUTED_VALUE"""),1)</f>
        <v>1</v>
      </c>
      <c r="D2025" s="8">
        <f ca="1">IFERROR(__xludf.DUMMYFUNCTION("""COMPUTED_VALUE"""),5)</f>
        <v>5</v>
      </c>
      <c r="E2025" s="2">
        <f ca="1">IFERROR(__xludf.DUMMYFUNCTION("""COMPUTED_VALUE"""),2)</f>
        <v>2</v>
      </c>
    </row>
    <row r="2026" spans="1:5" ht="13">
      <c r="A2026" s="8" t="str">
        <f ca="1">IFERROR(__xludf.DUMMYFUNCTION("""COMPUTED_VALUE"""),"Delecluse, Jacques")</f>
        <v>Delecluse, Jacques</v>
      </c>
      <c r="B2026" s="3">
        <f ca="1">IFERROR(__xludf.DUMMYFUNCTION("""COMPUTED_VALUE"""),1)</f>
        <v>1</v>
      </c>
      <c r="C2026" s="7">
        <f ca="1">IFERROR(__xludf.DUMMYFUNCTION("""COMPUTED_VALUE"""),1)</f>
        <v>1</v>
      </c>
      <c r="D2026" s="8">
        <f ca="1">IFERROR(__xludf.DUMMYFUNCTION("""COMPUTED_VALUE"""),5)</f>
        <v>5</v>
      </c>
      <c r="E2026" s="2">
        <f ca="1">IFERROR(__xludf.DUMMYFUNCTION("""COMPUTED_VALUE"""),2)</f>
        <v>2</v>
      </c>
    </row>
    <row r="2027" spans="1:5" ht="13">
      <c r="A2027" s="2" t="str">
        <f ca="1">IFERROR(__xludf.DUMMYFUNCTION("""COMPUTED_VALUE"""),"Delehanty, Steve")</f>
        <v>Delehanty, Steve</v>
      </c>
      <c r="B2027" s="3">
        <f ca="1">IFERROR(__xludf.DUMMYFUNCTION("""COMPUTED_VALUE"""),1)</f>
        <v>1</v>
      </c>
      <c r="C2027" s="7">
        <f ca="1">IFERROR(__xludf.DUMMYFUNCTION("""COMPUTED_VALUE"""),1)</f>
        <v>1</v>
      </c>
      <c r="D2027" s="8">
        <f ca="1">IFERROR(__xludf.DUMMYFUNCTION("""COMPUTED_VALUE"""),1)</f>
        <v>1</v>
      </c>
      <c r="E2027" s="2">
        <f ca="1">IFERROR(__xludf.DUMMYFUNCTION("""COMPUTED_VALUE"""),1)</f>
        <v>1</v>
      </c>
    </row>
    <row r="2028" spans="1:5" ht="13">
      <c r="A2028" s="2" t="str">
        <f ca="1">IFERROR(__xludf.DUMMYFUNCTION("""COMPUTED_VALUE"""),"Deleruyelle, Thierry")</f>
        <v>Deleruyelle, Thierry</v>
      </c>
      <c r="B2028" s="3">
        <f ca="1">IFERROR(__xludf.DUMMYFUNCTION("""COMPUTED_VALUE"""),1)</f>
        <v>1</v>
      </c>
      <c r="C2028" s="7">
        <f ca="1">IFERROR(__xludf.DUMMYFUNCTION("""COMPUTED_VALUE"""),1)</f>
        <v>1</v>
      </c>
      <c r="D2028" s="8">
        <f ca="1">IFERROR(__xludf.DUMMYFUNCTION("""COMPUTED_VALUE"""),1)</f>
        <v>1</v>
      </c>
      <c r="E2028" s="2">
        <f ca="1">IFERROR(__xludf.DUMMYFUNCTION("""COMPUTED_VALUE"""),1)</f>
        <v>1</v>
      </c>
    </row>
    <row r="2029" spans="1:5" ht="13">
      <c r="A2029" s="2" t="str">
        <f ca="1">IFERROR(__xludf.DUMMYFUNCTION("""COMPUTED_VALUE"""),"Delibes, Leo")</f>
        <v>Delibes, Leo</v>
      </c>
      <c r="B2029" s="3">
        <f ca="1">IFERROR(__xludf.DUMMYFUNCTION("""COMPUTED_VALUE"""),1)</f>
        <v>1</v>
      </c>
      <c r="C2029" s="7">
        <f ca="1">IFERROR(__xludf.DUMMYFUNCTION("""COMPUTED_VALUE"""),1)</f>
        <v>1</v>
      </c>
      <c r="D2029" s="8">
        <f ca="1">IFERROR(__xludf.DUMMYFUNCTION("""COMPUTED_VALUE"""),5)</f>
        <v>5</v>
      </c>
      <c r="E2029" s="2">
        <f ca="1">IFERROR(__xludf.DUMMYFUNCTION("""COMPUTED_VALUE"""),2)</f>
        <v>2</v>
      </c>
    </row>
    <row r="2030" spans="1:5" ht="13">
      <c r="A2030" s="8" t="str">
        <f ca="1">IFERROR(__xludf.DUMMYFUNCTION("""COMPUTED_VALUE"""),"Delibes, Léo")</f>
        <v>Delibes, Léo</v>
      </c>
      <c r="B2030" s="3">
        <f ca="1">IFERROR(__xludf.DUMMYFUNCTION("""COMPUTED_VALUE"""),1)</f>
        <v>1</v>
      </c>
      <c r="C2030" s="7">
        <f ca="1">IFERROR(__xludf.DUMMYFUNCTION("""COMPUTED_VALUE"""),1)</f>
        <v>1</v>
      </c>
      <c r="D2030" s="8">
        <f ca="1">IFERROR(__xludf.DUMMYFUNCTION("""COMPUTED_VALUE"""),5)</f>
        <v>5</v>
      </c>
      <c r="E2030" s="2">
        <f ca="1">IFERROR(__xludf.DUMMYFUNCTION("""COMPUTED_VALUE"""),2)</f>
        <v>2</v>
      </c>
    </row>
    <row r="2031" spans="1:5" ht="13">
      <c r="A2031" s="8" t="str">
        <f ca="1">IFERROR(__xludf.DUMMYFUNCTION("""COMPUTED_VALUE"""),"Delius, Frederick")</f>
        <v>Delius, Frederick</v>
      </c>
      <c r="B2031" s="3">
        <f ca="1">IFERROR(__xludf.DUMMYFUNCTION("""COMPUTED_VALUE"""),1)</f>
        <v>1</v>
      </c>
      <c r="C2031" s="7">
        <f ca="1">IFERROR(__xludf.DUMMYFUNCTION("""COMPUTED_VALUE"""),1)</f>
        <v>1</v>
      </c>
      <c r="D2031" s="8">
        <f ca="1">IFERROR(__xludf.DUMMYFUNCTION("""COMPUTED_VALUE"""),5)</f>
        <v>5</v>
      </c>
      <c r="E2031" s="2">
        <f ca="1">IFERROR(__xludf.DUMMYFUNCTION("""COMPUTED_VALUE"""),2)</f>
        <v>2</v>
      </c>
    </row>
    <row r="2032" spans="1:5" ht="13">
      <c r="A2032" s="2" t="str">
        <f ca="1">IFERROR(__xludf.DUMMYFUNCTION("""COMPUTED_VALUE"""),"Della Fonte, Lorenzo")</f>
        <v>Della Fonte, Lorenzo</v>
      </c>
      <c r="B2032" s="2">
        <f ca="1">IFERROR(__xludf.DUMMYFUNCTION("""COMPUTED_VALUE"""),1)</f>
        <v>1</v>
      </c>
      <c r="C2032" s="2">
        <f ca="1">IFERROR(__xludf.DUMMYFUNCTION("""COMPUTED_VALUE"""),1)</f>
        <v>1</v>
      </c>
      <c r="D2032" s="8">
        <f ca="1">IFERROR(__xludf.DUMMYFUNCTION("""COMPUTED_VALUE"""),1)</f>
        <v>1</v>
      </c>
      <c r="E2032" s="2">
        <f ca="1">IFERROR(__xludf.DUMMYFUNCTION("""COMPUTED_VALUE"""),1)</f>
        <v>1</v>
      </c>
    </row>
    <row r="2033" spans="1:5" ht="13">
      <c r="A2033" s="2" t="str">
        <f ca="1">IFERROR(__xludf.DUMMYFUNCTION("""COMPUTED_VALUE"""),"Delle Cese, David")</f>
        <v>Delle Cese, David</v>
      </c>
      <c r="B2033" s="3">
        <f ca="1">IFERROR(__xludf.DUMMYFUNCTION("""COMPUTED_VALUE"""),1)</f>
        <v>1</v>
      </c>
      <c r="C2033" s="7">
        <f ca="1">IFERROR(__xludf.DUMMYFUNCTION("""COMPUTED_VALUE"""),1)</f>
        <v>1</v>
      </c>
      <c r="D2033" s="8">
        <f ca="1">IFERROR(__xludf.DUMMYFUNCTION("""COMPUTED_VALUE"""),5)</f>
        <v>5</v>
      </c>
      <c r="E2033" s="2">
        <f ca="1">IFERROR(__xludf.DUMMYFUNCTION("""COMPUTED_VALUE"""),2)</f>
        <v>2</v>
      </c>
    </row>
    <row r="2034" spans="1:5" ht="13">
      <c r="A2034" s="2" t="str">
        <f ca="1">IFERROR(__xludf.DUMMYFUNCTION("""COMPUTED_VALUE"""),"Delle Cese, Davide")</f>
        <v>Delle Cese, Davide</v>
      </c>
      <c r="B2034" s="2">
        <f ca="1">IFERROR(__xludf.DUMMYFUNCTION("""COMPUTED_VALUE"""),1)</f>
        <v>1</v>
      </c>
      <c r="C2034" s="7">
        <f ca="1">IFERROR(__xludf.DUMMYFUNCTION("""COMPUTED_VALUE"""),1)</f>
        <v>1</v>
      </c>
      <c r="D2034" s="8">
        <f ca="1">IFERROR(__xludf.DUMMYFUNCTION("""COMPUTED_VALUE"""),5)</f>
        <v>5</v>
      </c>
      <c r="E2034" s="2">
        <f ca="1">IFERROR(__xludf.DUMMYFUNCTION("""COMPUTED_VALUE"""),2)</f>
        <v>2</v>
      </c>
    </row>
    <row r="2035" spans="1:5" ht="13">
      <c r="A2035" s="8" t="str">
        <f ca="1">IFERROR(__xludf.DUMMYFUNCTION("""COMPUTED_VALUE"""),"Deller, Alfred")</f>
        <v>Deller, Alfred</v>
      </c>
      <c r="B2035" s="3">
        <f ca="1">IFERROR(__xludf.DUMMYFUNCTION("""COMPUTED_VALUE"""),1)</f>
        <v>1</v>
      </c>
      <c r="C2035" s="7">
        <f ca="1">IFERROR(__xludf.DUMMYFUNCTION("""COMPUTED_VALUE"""),1)</f>
        <v>1</v>
      </c>
      <c r="D2035" s="8">
        <f ca="1">IFERROR(__xludf.DUMMYFUNCTION("""COMPUTED_VALUE"""),5)</f>
        <v>5</v>
      </c>
      <c r="E2035" s="2">
        <f ca="1">IFERROR(__xludf.DUMMYFUNCTION("""COMPUTED_VALUE"""),2)</f>
        <v>2</v>
      </c>
    </row>
    <row r="2036" spans="1:5" ht="13">
      <c r="A2036" s="2" t="str">
        <f ca="1">IFERROR(__xludf.DUMMYFUNCTION("""COMPUTED_VALUE"""),"Deller, Mark")</f>
        <v>Deller, Mark</v>
      </c>
      <c r="B2036" s="2">
        <f ca="1">IFERROR(__xludf.DUMMYFUNCTION("""COMPUTED_VALUE"""),1)</f>
        <v>1</v>
      </c>
      <c r="C2036" s="7">
        <f ca="1">IFERROR(__xludf.DUMMYFUNCTION("""COMPUTED_VALUE"""),1)</f>
        <v>1</v>
      </c>
      <c r="D2036" s="8">
        <f ca="1">IFERROR(__xludf.DUMMYFUNCTION("""COMPUTED_VALUE"""),1)</f>
        <v>1</v>
      </c>
      <c r="E2036" s="2">
        <f ca="1">IFERROR(__xludf.DUMMYFUNCTION("""COMPUTED_VALUE"""),1)</f>
        <v>1</v>
      </c>
    </row>
    <row r="2037" spans="1:5" ht="13">
      <c r="A2037" s="8" t="str">
        <f ca="1">IFERROR(__xludf.DUMMYFUNCTION("""COMPUTED_VALUE"""),"Dello Joio, Justin")</f>
        <v>Dello Joio, Justin</v>
      </c>
      <c r="B2037" s="2">
        <f ca="1">IFERROR(__xludf.DUMMYFUNCTION("""COMPUTED_VALUE"""),1)</f>
        <v>1</v>
      </c>
      <c r="C2037" s="7">
        <f ca="1">IFERROR(__xludf.DUMMYFUNCTION("""COMPUTED_VALUE"""),1)</f>
        <v>1</v>
      </c>
      <c r="D2037" s="8">
        <f ca="1">IFERROR(__xludf.DUMMYFUNCTION("""COMPUTED_VALUE"""),1)</f>
        <v>1</v>
      </c>
      <c r="E2037" s="2">
        <f ca="1">IFERROR(__xludf.DUMMYFUNCTION("""COMPUTED_VALUE"""),1)</f>
        <v>1</v>
      </c>
    </row>
    <row r="2038" spans="1:5" ht="13">
      <c r="A2038" s="8" t="str">
        <f ca="1">IFERROR(__xludf.DUMMYFUNCTION("""COMPUTED_VALUE"""),"Dello Joio, Norman")</f>
        <v>Dello Joio, Norman</v>
      </c>
      <c r="B2038" s="3">
        <f ca="1">IFERROR(__xludf.DUMMYFUNCTION("""COMPUTED_VALUE"""),1)</f>
        <v>1</v>
      </c>
      <c r="C2038" s="7">
        <f ca="1">IFERROR(__xludf.DUMMYFUNCTION("""COMPUTED_VALUE"""),1)</f>
        <v>1</v>
      </c>
      <c r="D2038" s="8">
        <f ca="1">IFERROR(__xludf.DUMMYFUNCTION("""COMPUTED_VALUE"""),5)</f>
        <v>5</v>
      </c>
      <c r="E2038" s="2">
        <f ca="1">IFERROR(__xludf.DUMMYFUNCTION("""COMPUTED_VALUE"""),2)</f>
        <v>2</v>
      </c>
    </row>
    <row r="2039" spans="1:5" ht="13">
      <c r="A2039" s="2" t="str">
        <f ca="1">IFERROR(__xludf.DUMMYFUNCTION("""COMPUTED_VALUE"""),"DeLone, Peter")</f>
        <v>DeLone, Peter</v>
      </c>
      <c r="B2039" s="2">
        <f ca="1">IFERROR(__xludf.DUMMYFUNCTION("""COMPUTED_VALUE"""),1)</f>
        <v>1</v>
      </c>
      <c r="C2039" s="7">
        <f ca="1">IFERROR(__xludf.DUMMYFUNCTION("""COMPUTED_VALUE"""),1)</f>
        <v>1</v>
      </c>
      <c r="D2039" s="8">
        <f ca="1">IFERROR(__xludf.DUMMYFUNCTION("""COMPUTED_VALUE"""),5)</f>
        <v>5</v>
      </c>
      <c r="E2039" s="2">
        <f ca="1">IFERROR(__xludf.DUMMYFUNCTION("""COMPUTED_VALUE"""),2)</f>
        <v>2</v>
      </c>
    </row>
    <row r="2040" spans="1:5" ht="13">
      <c r="A2040" s="2" t="str">
        <f ca="1">IFERROR(__xludf.DUMMYFUNCTION("""COMPUTED_VALUE"""),"DeLong, Richard")</f>
        <v>DeLong, Richard</v>
      </c>
      <c r="B2040" s="3">
        <f ca="1">IFERROR(__xludf.DUMMYFUNCTION("""COMPUTED_VALUE"""),1)</f>
        <v>1</v>
      </c>
      <c r="C2040" s="7">
        <f ca="1">IFERROR(__xludf.DUMMYFUNCTION("""COMPUTED_VALUE"""),1)</f>
        <v>1</v>
      </c>
      <c r="D2040" s="8">
        <f ca="1">IFERROR(__xludf.DUMMYFUNCTION("""COMPUTED_VALUE"""),1)</f>
        <v>1</v>
      </c>
      <c r="E2040" s="2">
        <f ca="1">IFERROR(__xludf.DUMMYFUNCTION("""COMPUTED_VALUE"""),1)</f>
        <v>1</v>
      </c>
    </row>
    <row r="2041" spans="1:5" ht="13">
      <c r="A2041" s="8" t="str">
        <f ca="1">IFERROR(__xludf.DUMMYFUNCTION("""COMPUTED_VALUE"""),"DeLorenzo, Leonardo")</f>
        <v>DeLorenzo, Leonardo</v>
      </c>
      <c r="B2041" s="3">
        <f ca="1">IFERROR(__xludf.DUMMYFUNCTION("""COMPUTED_VALUE"""),1)</f>
        <v>1</v>
      </c>
      <c r="C2041" s="7">
        <f ca="1">IFERROR(__xludf.DUMMYFUNCTION("""COMPUTED_VALUE"""),1)</f>
        <v>1</v>
      </c>
      <c r="D2041" s="8">
        <f ca="1">IFERROR(__xludf.DUMMYFUNCTION("""COMPUTED_VALUE"""),5)</f>
        <v>5</v>
      </c>
      <c r="E2041" s="2">
        <f ca="1">IFERROR(__xludf.DUMMYFUNCTION("""COMPUTED_VALUE"""),2)</f>
        <v>2</v>
      </c>
    </row>
    <row r="2042" spans="1:5" ht="13">
      <c r="A2042" s="2" t="str">
        <f ca="1">IFERROR(__xludf.DUMMYFUNCTION("""COMPUTED_VALUE"""),"Delson, Eric")</f>
        <v>Delson, Eric</v>
      </c>
      <c r="B2042" s="3">
        <f ca="1">IFERROR(__xludf.DUMMYFUNCTION("""COMPUTED_VALUE"""),1)</f>
        <v>1</v>
      </c>
      <c r="C2042" s="7">
        <f ca="1">IFERROR(__xludf.DUMMYFUNCTION("""COMPUTED_VALUE"""),1)</f>
        <v>1</v>
      </c>
      <c r="D2042" s="8">
        <f ca="1">IFERROR(__xludf.DUMMYFUNCTION("""COMPUTED_VALUE"""),1)</f>
        <v>1</v>
      </c>
      <c r="E2042" s="2">
        <f ca="1">IFERROR(__xludf.DUMMYFUNCTION("""COMPUTED_VALUE"""),1)</f>
        <v>1</v>
      </c>
    </row>
    <row r="2043" spans="1:5" ht="13">
      <c r="A2043" s="2" t="str">
        <f ca="1">IFERROR(__xludf.DUMMYFUNCTION("""COMPUTED_VALUE"""),"DeLuca, Joseph")</f>
        <v>DeLuca, Joseph</v>
      </c>
      <c r="B2043" s="3">
        <f ca="1">IFERROR(__xludf.DUMMYFUNCTION("""COMPUTED_VALUE"""),1)</f>
        <v>1</v>
      </c>
      <c r="C2043" s="7">
        <f ca="1">IFERROR(__xludf.DUMMYFUNCTION("""COMPUTED_VALUE"""),1)</f>
        <v>1</v>
      </c>
      <c r="D2043" s="8">
        <f ca="1">IFERROR(__xludf.DUMMYFUNCTION("""COMPUTED_VALUE"""),5)</f>
        <v>5</v>
      </c>
      <c r="E2043" s="2">
        <f ca="1">IFERROR(__xludf.DUMMYFUNCTION("""COMPUTED_VALUE"""),2)</f>
        <v>2</v>
      </c>
    </row>
    <row r="2044" spans="1:5" ht="13">
      <c r="A2044" s="2" t="str">
        <f ca="1">IFERROR(__xludf.DUMMYFUNCTION("""COMPUTED_VALUE"""),"DeLugg, Milton / Stein, Willie")</f>
        <v>DeLugg, Milton / Stein, Willie</v>
      </c>
      <c r="B2044" s="2">
        <f ca="1">IFERROR(__xludf.DUMMYFUNCTION("""COMPUTED_VALUE"""),1)</f>
        <v>1</v>
      </c>
      <c r="C2044" s="7">
        <f ca="1">IFERROR(__xludf.DUMMYFUNCTION("""COMPUTED_VALUE"""),1)</f>
        <v>1</v>
      </c>
      <c r="D2044" s="8">
        <f ca="1">IFERROR(__xludf.DUMMYFUNCTION("""COMPUTED_VALUE"""),5)</f>
        <v>5</v>
      </c>
      <c r="E2044" s="2">
        <f ca="1">IFERROR(__xludf.DUMMYFUNCTION("""COMPUTED_VALUE"""),2)</f>
        <v>2</v>
      </c>
    </row>
    <row r="2045" spans="1:5" ht="13">
      <c r="A2045" s="2" t="str">
        <f ca="1">IFERROR(__xludf.DUMMYFUNCTION("""COMPUTED_VALUE"""),"Demantius, Johann Christoph")</f>
        <v>Demantius, Johann Christoph</v>
      </c>
      <c r="B2045" s="3">
        <f ca="1">IFERROR(__xludf.DUMMYFUNCTION("""COMPUTED_VALUE"""),1)</f>
        <v>1</v>
      </c>
      <c r="C2045" s="7">
        <f ca="1">IFERROR(__xludf.DUMMYFUNCTION("""COMPUTED_VALUE"""),1)</f>
        <v>1</v>
      </c>
      <c r="D2045" s="8">
        <f ca="1">IFERROR(__xludf.DUMMYFUNCTION("""COMPUTED_VALUE"""),5)</f>
        <v>5</v>
      </c>
      <c r="E2045" s="2">
        <f ca="1">IFERROR(__xludf.DUMMYFUNCTION("""COMPUTED_VALUE"""),2)</f>
        <v>2</v>
      </c>
    </row>
    <row r="2046" spans="1:5" ht="13">
      <c r="A2046" s="8" t="str">
        <f ca="1">IFERROR(__xludf.DUMMYFUNCTION("""COMPUTED_VALUE"""),"Demarest, Clifford")</f>
        <v>Demarest, Clifford</v>
      </c>
      <c r="B2046" s="2">
        <f ca="1">IFERROR(__xludf.DUMMYFUNCTION("""COMPUTED_VALUE"""),1)</f>
        <v>1</v>
      </c>
      <c r="C2046" s="7">
        <f ca="1">IFERROR(__xludf.DUMMYFUNCTION("""COMPUTED_VALUE"""),1)</f>
        <v>1</v>
      </c>
      <c r="D2046" s="8">
        <f ca="1">IFERROR(__xludf.DUMMYFUNCTION("""COMPUTED_VALUE"""),5)</f>
        <v>5</v>
      </c>
      <c r="E2046" s="2">
        <f ca="1">IFERROR(__xludf.DUMMYFUNCTION("""COMPUTED_VALUE"""),2)</f>
        <v>2</v>
      </c>
    </row>
    <row r="2047" spans="1:5" ht="13">
      <c r="A2047" s="8" t="str">
        <f ca="1">IFERROR(__xludf.DUMMYFUNCTION("""COMPUTED_VALUE"""),"DeMars, James")</f>
        <v>DeMars, James</v>
      </c>
      <c r="B2047" s="3">
        <f ca="1">IFERROR(__xludf.DUMMYFUNCTION("""COMPUTED_VALUE"""),1)</f>
        <v>1</v>
      </c>
      <c r="C2047" s="7">
        <f ca="1">IFERROR(__xludf.DUMMYFUNCTION("""COMPUTED_VALUE"""),1)</f>
        <v>1</v>
      </c>
      <c r="D2047" s="8">
        <f ca="1">IFERROR(__xludf.DUMMYFUNCTION("""COMPUTED_VALUE"""),1)</f>
        <v>1</v>
      </c>
      <c r="E2047" s="2">
        <f ca="1">IFERROR(__xludf.DUMMYFUNCTION("""COMPUTED_VALUE"""),1)</f>
        <v>1</v>
      </c>
    </row>
    <row r="2048" spans="1:5" ht="13">
      <c r="A2048" s="8" t="str">
        <f ca="1">IFERROR(__xludf.DUMMYFUNCTION("""COMPUTED_VALUE"""),"Demersseman, Jules")</f>
        <v>Demersseman, Jules</v>
      </c>
      <c r="B2048" s="3">
        <f ca="1">IFERROR(__xludf.DUMMYFUNCTION("""COMPUTED_VALUE"""),1)</f>
        <v>1</v>
      </c>
      <c r="C2048" s="7">
        <f ca="1">IFERROR(__xludf.DUMMYFUNCTION("""COMPUTED_VALUE"""),1)</f>
        <v>1</v>
      </c>
      <c r="D2048" s="8">
        <f ca="1">IFERROR(__xludf.DUMMYFUNCTION("""COMPUTED_VALUE"""),5)</f>
        <v>5</v>
      </c>
      <c r="E2048" s="2">
        <f ca="1">IFERROR(__xludf.DUMMYFUNCTION("""COMPUTED_VALUE"""),2)</f>
        <v>2</v>
      </c>
    </row>
    <row r="2049" spans="1:5" ht="13">
      <c r="A2049" s="8" t="str">
        <f ca="1">IFERROR(__xludf.DUMMYFUNCTION("""COMPUTED_VALUE"""),"DeMott, Curt")</f>
        <v>DeMott, Curt</v>
      </c>
      <c r="B2049" s="3">
        <f ca="1">IFERROR(__xludf.DUMMYFUNCTION("""COMPUTED_VALUE"""),1)</f>
        <v>1</v>
      </c>
      <c r="C2049" s="7">
        <f ca="1">IFERROR(__xludf.DUMMYFUNCTION("""COMPUTED_VALUE"""),1)</f>
        <v>1</v>
      </c>
      <c r="D2049" s="8">
        <f ca="1">IFERROR(__xludf.DUMMYFUNCTION("""COMPUTED_VALUE"""),1)</f>
        <v>1</v>
      </c>
      <c r="E2049" s="2">
        <f ca="1">IFERROR(__xludf.DUMMYFUNCTION("""COMPUTED_VALUE"""),1)</f>
        <v>1</v>
      </c>
    </row>
    <row r="2050" spans="1:5" ht="13">
      <c r="A2050" s="2" t="str">
        <f ca="1">IFERROR(__xludf.DUMMYFUNCTION("""COMPUTED_VALUE"""),"Dempsey, Tyler")</f>
        <v>Dempsey, Tyler</v>
      </c>
      <c r="B2050" s="3">
        <f ca="1">IFERROR(__xludf.DUMMYFUNCTION("""COMPUTED_VALUE"""),1)</f>
        <v>1</v>
      </c>
      <c r="C2050" s="7">
        <f ca="1">IFERROR(__xludf.DUMMYFUNCTION("""COMPUTED_VALUE"""),1)</f>
        <v>1</v>
      </c>
      <c r="D2050" s="8">
        <f ca="1">IFERROR(__xludf.DUMMYFUNCTION("""COMPUTED_VALUE"""),1)</f>
        <v>1</v>
      </c>
      <c r="E2050" s="2">
        <f ca="1">IFERROR(__xludf.DUMMYFUNCTION("""COMPUTED_VALUE"""),1)</f>
        <v>1</v>
      </c>
    </row>
    <row r="2051" spans="1:5" ht="13">
      <c r="A2051" s="2" t="str">
        <f ca="1">IFERROR(__xludf.DUMMYFUNCTION("""COMPUTED_VALUE"""),"DeNardis, Camille")</f>
        <v>DeNardis, Camille</v>
      </c>
      <c r="B2051" s="3">
        <f ca="1">IFERROR(__xludf.DUMMYFUNCTION("""COMPUTED_VALUE"""),1)</f>
        <v>1</v>
      </c>
      <c r="C2051" s="7">
        <f ca="1">IFERROR(__xludf.DUMMYFUNCTION("""COMPUTED_VALUE"""),1)</f>
        <v>1</v>
      </c>
      <c r="D2051" s="8">
        <f ca="1">IFERROR(__xludf.DUMMYFUNCTION("""COMPUTED_VALUE"""),5)</f>
        <v>5</v>
      </c>
      <c r="E2051" s="2">
        <f ca="1">IFERROR(__xludf.DUMMYFUNCTION("""COMPUTED_VALUE"""),2)</f>
        <v>2</v>
      </c>
    </row>
    <row r="2052" spans="1:5" ht="13">
      <c r="A2052" s="2" t="str">
        <f ca="1">IFERROR(__xludf.DUMMYFUNCTION("""COMPUTED_VALUE"""),"Dengler, Lee")</f>
        <v>Dengler, Lee</v>
      </c>
      <c r="B2052" s="3">
        <f ca="1">IFERROR(__xludf.DUMMYFUNCTION("""COMPUTED_VALUE"""),1)</f>
        <v>1</v>
      </c>
      <c r="C2052" s="7">
        <f ca="1">IFERROR(__xludf.DUMMYFUNCTION("""COMPUTED_VALUE"""),1)</f>
        <v>1</v>
      </c>
      <c r="D2052" s="8">
        <f ca="1">IFERROR(__xludf.DUMMYFUNCTION("""COMPUTED_VALUE"""),1)</f>
        <v>1</v>
      </c>
      <c r="E2052" s="2">
        <f ca="1">IFERROR(__xludf.DUMMYFUNCTION("""COMPUTED_VALUE"""),1)</f>
        <v>1</v>
      </c>
    </row>
    <row r="2053" spans="1:5" ht="13">
      <c r="A2053" s="2" t="str">
        <f ca="1">IFERROR(__xludf.DUMMYFUNCTION("""COMPUTED_VALUE"""),"Deniston")</f>
        <v>Deniston</v>
      </c>
      <c r="B2053" s="2">
        <f ca="1">IFERROR(__xludf.DUMMYFUNCTION("""COMPUTED_VALUE"""),1)</f>
        <v>1</v>
      </c>
      <c r="C2053" s="7">
        <f ca="1">IFERROR(__xludf.DUMMYFUNCTION("""COMPUTED_VALUE"""),1)</f>
        <v>1</v>
      </c>
      <c r="D2053" s="8">
        <f ca="1">IFERROR(__xludf.DUMMYFUNCTION("""COMPUTED_VALUE"""),5)</f>
        <v>5</v>
      </c>
      <c r="E2053" s="2">
        <f ca="1">IFERROR(__xludf.DUMMYFUNCTION("""COMPUTED_VALUE"""),2)</f>
        <v>2</v>
      </c>
    </row>
    <row r="2054" spans="1:5" ht="13">
      <c r="A2054" s="8" t="str">
        <f ca="1">IFERROR(__xludf.DUMMYFUNCTION("""COMPUTED_VALUE"""),"Dennehy, Donnacha")</f>
        <v>Dennehy, Donnacha</v>
      </c>
      <c r="B2054" s="3">
        <f ca="1">IFERROR(__xludf.DUMMYFUNCTION("""COMPUTED_VALUE"""),1)</f>
        <v>1</v>
      </c>
      <c r="C2054" s="7">
        <f ca="1">IFERROR(__xludf.DUMMYFUNCTION("""COMPUTED_VALUE"""),1)</f>
        <v>1</v>
      </c>
      <c r="D2054" s="8">
        <f ca="1">IFERROR(__xludf.DUMMYFUNCTION("""COMPUTED_VALUE"""),1)</f>
        <v>1</v>
      </c>
      <c r="E2054" s="2">
        <f ca="1">IFERROR(__xludf.DUMMYFUNCTION("""COMPUTED_VALUE"""),1)</f>
        <v>1</v>
      </c>
    </row>
    <row r="2055" spans="1:5" ht="13">
      <c r="A2055" s="2" t="str">
        <f ca="1">IFERROR(__xludf.DUMMYFUNCTION("""COMPUTED_VALUE"""),"Dennis, Gregory J.")</f>
        <v>Dennis, Gregory J.</v>
      </c>
      <c r="B2055" s="3">
        <f ca="1">IFERROR(__xludf.DUMMYFUNCTION("""COMPUTED_VALUE"""),1)</f>
        <v>1</v>
      </c>
      <c r="C2055" s="7">
        <f ca="1">IFERROR(__xludf.DUMMYFUNCTION("""COMPUTED_VALUE"""),1)</f>
        <v>1</v>
      </c>
      <c r="D2055" s="8">
        <f ca="1">IFERROR(__xludf.DUMMYFUNCTION("""COMPUTED_VALUE"""),1)</f>
        <v>1</v>
      </c>
      <c r="E2055" s="2">
        <f ca="1">IFERROR(__xludf.DUMMYFUNCTION("""COMPUTED_VALUE"""),1)</f>
        <v>1</v>
      </c>
    </row>
    <row r="2056" spans="1:5" ht="13">
      <c r="A2056" s="2" t="str">
        <f ca="1">IFERROR(__xludf.DUMMYFUNCTION("""COMPUTED_VALUE"""),"Dennis, Perry B.")</f>
        <v>Dennis, Perry B.</v>
      </c>
      <c r="B2056" s="2">
        <f ca="1">IFERROR(__xludf.DUMMYFUNCTION("""COMPUTED_VALUE"""),1)</f>
        <v>1</v>
      </c>
      <c r="C2056" s="2">
        <f ca="1">IFERROR(__xludf.DUMMYFUNCTION("""COMPUTED_VALUE"""),1)</f>
        <v>1</v>
      </c>
      <c r="D2056" s="8">
        <f ca="1">IFERROR(__xludf.DUMMYFUNCTION("""COMPUTED_VALUE"""),5)</f>
        <v>5</v>
      </c>
      <c r="E2056" s="2">
        <f ca="1">IFERROR(__xludf.DUMMYFUNCTION("""COMPUTED_VALUE"""),2)</f>
        <v>2</v>
      </c>
    </row>
    <row r="2057" spans="1:5" ht="13">
      <c r="A2057" s="2" t="str">
        <f ca="1">IFERROR(__xludf.DUMMYFUNCTION("""COMPUTED_VALUE"""),"Dent, Karl")</f>
        <v>Dent, Karl</v>
      </c>
      <c r="B2057" s="3">
        <f ca="1">IFERROR(__xludf.DUMMYFUNCTION("""COMPUTED_VALUE"""),1)</f>
        <v>1</v>
      </c>
      <c r="C2057" s="7">
        <f ca="1">IFERROR(__xludf.DUMMYFUNCTION("""COMPUTED_VALUE"""),1)</f>
        <v>1</v>
      </c>
      <c r="D2057" s="8">
        <f ca="1">IFERROR(__xludf.DUMMYFUNCTION("""COMPUTED_VALUE"""),1)</f>
        <v>1</v>
      </c>
      <c r="E2057" s="2">
        <f ca="1">IFERROR(__xludf.DUMMYFUNCTION("""COMPUTED_VALUE"""),1)</f>
        <v>1</v>
      </c>
    </row>
    <row r="2058" spans="1:5" ht="13">
      <c r="A2058" s="8" t="str">
        <f ca="1">IFERROR(__xludf.DUMMYFUNCTION("""COMPUTED_VALUE"""),"Denver, John")</f>
        <v>Denver, John</v>
      </c>
      <c r="B2058" s="3">
        <f ca="1">IFERROR(__xludf.DUMMYFUNCTION("""COMPUTED_VALUE"""),1)</f>
        <v>1</v>
      </c>
      <c r="C2058" s="7">
        <f ca="1">IFERROR(__xludf.DUMMYFUNCTION("""COMPUTED_VALUE"""),1)</f>
        <v>1</v>
      </c>
      <c r="D2058" s="8">
        <f ca="1">IFERROR(__xludf.DUMMYFUNCTION("""COMPUTED_VALUE"""),5)</f>
        <v>5</v>
      </c>
      <c r="E2058" s="2">
        <f ca="1">IFERROR(__xludf.DUMMYFUNCTION("""COMPUTED_VALUE"""),2)</f>
        <v>2</v>
      </c>
    </row>
    <row r="2059" spans="1:5" ht="13">
      <c r="A2059" s="8" t="str">
        <f ca="1">IFERROR(__xludf.DUMMYFUNCTION("""COMPUTED_VALUE"""),"Denza, Luigi")</f>
        <v>Denza, Luigi</v>
      </c>
      <c r="B2059" s="3">
        <f ca="1">IFERROR(__xludf.DUMMYFUNCTION("""COMPUTED_VALUE"""),1)</f>
        <v>1</v>
      </c>
      <c r="C2059" s="7">
        <f ca="1">IFERROR(__xludf.DUMMYFUNCTION("""COMPUTED_VALUE"""),1)</f>
        <v>1</v>
      </c>
      <c r="D2059" s="8">
        <f ca="1">IFERROR(__xludf.DUMMYFUNCTION("""COMPUTED_VALUE"""),5)</f>
        <v>5</v>
      </c>
      <c r="E2059" s="2">
        <f ca="1">IFERROR(__xludf.DUMMYFUNCTION("""COMPUTED_VALUE"""),2)</f>
        <v>2</v>
      </c>
    </row>
    <row r="2060" spans="1:5" ht="13">
      <c r="A2060" s="2" t="str">
        <f ca="1">IFERROR(__xludf.DUMMYFUNCTION("""COMPUTED_VALUE"""),"Deposse")</f>
        <v>Deposse</v>
      </c>
      <c r="B2060" s="2">
        <f ca="1">IFERROR(__xludf.DUMMYFUNCTION("""COMPUTED_VALUE"""),1)</f>
        <v>1</v>
      </c>
      <c r="C2060" s="7">
        <f ca="1">IFERROR(__xludf.DUMMYFUNCTION("""COMPUTED_VALUE"""),1)</f>
        <v>1</v>
      </c>
      <c r="D2060" s="8">
        <f ca="1">IFERROR(__xludf.DUMMYFUNCTION("""COMPUTED_VALUE"""),5)</f>
        <v>5</v>
      </c>
      <c r="E2060" s="2">
        <f ca="1">IFERROR(__xludf.DUMMYFUNCTION("""COMPUTED_VALUE"""),2)</f>
        <v>2</v>
      </c>
    </row>
    <row r="2061" spans="1:5" ht="13">
      <c r="A2061" s="2" t="str">
        <f ca="1">IFERROR(__xludf.DUMMYFUNCTION("""COMPUTED_VALUE"""),"Deppen, Jessie")</f>
        <v>Deppen, Jessie</v>
      </c>
      <c r="B2061" s="3">
        <f ca="1">IFERROR(__xludf.DUMMYFUNCTION("""COMPUTED_VALUE"""),1)</f>
        <v>1</v>
      </c>
      <c r="C2061" s="7">
        <f ca="1">IFERROR(__xludf.DUMMYFUNCTION("""COMPUTED_VALUE"""),1)</f>
        <v>1</v>
      </c>
      <c r="D2061" s="8">
        <f ca="1">IFERROR(__xludf.DUMMYFUNCTION("""COMPUTED_VALUE"""),5)</f>
        <v>5</v>
      </c>
      <c r="E2061" s="2">
        <f ca="1">IFERROR(__xludf.DUMMYFUNCTION("""COMPUTED_VALUE"""),2)</f>
        <v>2</v>
      </c>
    </row>
    <row r="2062" spans="1:5" ht="13">
      <c r="A2062" s="2" t="str">
        <f ca="1">IFERROR(__xludf.DUMMYFUNCTION("""COMPUTED_VALUE"""),"DePue, Wallace")</f>
        <v>DePue, Wallace</v>
      </c>
      <c r="B2062" s="3">
        <f ca="1">IFERROR(__xludf.DUMMYFUNCTION("""COMPUTED_VALUE"""),1)</f>
        <v>1</v>
      </c>
      <c r="C2062" s="7">
        <f ca="1">IFERROR(__xludf.DUMMYFUNCTION("""COMPUTED_VALUE"""),1)</f>
        <v>1</v>
      </c>
      <c r="D2062" s="8">
        <f ca="1">IFERROR(__xludf.DUMMYFUNCTION("""COMPUTED_VALUE"""),1)</f>
        <v>1</v>
      </c>
      <c r="E2062" s="2">
        <f ca="1">IFERROR(__xludf.DUMMYFUNCTION("""COMPUTED_VALUE"""),1)</f>
        <v>1</v>
      </c>
    </row>
    <row r="2063" spans="1:5" ht="13">
      <c r="A2063" s="2" t="str">
        <f ca="1">IFERROR(__xludf.DUMMYFUNCTION("""COMPUTED_VALUE"""),"Depuit, Jerry")</f>
        <v>Depuit, Jerry</v>
      </c>
      <c r="B2063" s="3">
        <f ca="1">IFERROR(__xludf.DUMMYFUNCTION("""COMPUTED_VALUE"""),1)</f>
        <v>1</v>
      </c>
      <c r="C2063" s="7">
        <f ca="1">IFERROR(__xludf.DUMMYFUNCTION("""COMPUTED_VALUE"""),1)</f>
        <v>1</v>
      </c>
      <c r="D2063" s="8">
        <f ca="1">IFERROR(__xludf.DUMMYFUNCTION("""COMPUTED_VALUE"""),1)</f>
        <v>1</v>
      </c>
      <c r="E2063" s="2">
        <f ca="1">IFERROR(__xludf.DUMMYFUNCTION("""COMPUTED_VALUE"""),1)</f>
        <v>1</v>
      </c>
    </row>
    <row r="2064" spans="1:5" ht="13">
      <c r="A2064" s="2" t="str">
        <f ca="1">IFERROR(__xludf.DUMMYFUNCTION("""COMPUTED_VALUE"""),"Derhake, Joe")</f>
        <v>Derhake, Joe</v>
      </c>
      <c r="B2064" s="3">
        <f ca="1">IFERROR(__xludf.DUMMYFUNCTION("""COMPUTED_VALUE"""),1)</f>
        <v>1</v>
      </c>
      <c r="C2064" s="7">
        <f ca="1">IFERROR(__xludf.DUMMYFUNCTION("""COMPUTED_VALUE"""),1)</f>
        <v>1</v>
      </c>
      <c r="D2064" s="8">
        <f ca="1">IFERROR(__xludf.DUMMYFUNCTION("""COMPUTED_VALUE"""),1)</f>
        <v>1</v>
      </c>
      <c r="E2064" s="2">
        <f ca="1">IFERROR(__xludf.DUMMYFUNCTION("""COMPUTED_VALUE"""),1)</f>
        <v>1</v>
      </c>
    </row>
    <row r="2065" spans="1:5" ht="13">
      <c r="A2065" s="2" t="str">
        <f ca="1">IFERROR(__xludf.DUMMYFUNCTION("""COMPUTED_VALUE"""),"Dering, Richard")</f>
        <v>Dering, Richard</v>
      </c>
      <c r="B2065" s="2">
        <f ca="1">IFERROR(__xludf.DUMMYFUNCTION("""COMPUTED_VALUE"""),1)</f>
        <v>1</v>
      </c>
      <c r="C2065" s="7">
        <f ca="1">IFERROR(__xludf.DUMMYFUNCTION("""COMPUTED_VALUE"""),1)</f>
        <v>1</v>
      </c>
      <c r="D2065" s="8">
        <f ca="1">IFERROR(__xludf.DUMMYFUNCTION("""COMPUTED_VALUE"""),5)</f>
        <v>5</v>
      </c>
      <c r="E2065" s="2">
        <f ca="1">IFERROR(__xludf.DUMMYFUNCTION("""COMPUTED_VALUE"""),2)</f>
        <v>2</v>
      </c>
    </row>
    <row r="2066" spans="1:5" ht="13">
      <c r="A2066" s="2" t="str">
        <f ca="1">IFERROR(__xludf.DUMMYFUNCTION("""COMPUTED_VALUE"""),"DeRosa, Richard")</f>
        <v>DeRosa, Richard</v>
      </c>
      <c r="B2066" s="3">
        <f ca="1">IFERROR(__xludf.DUMMYFUNCTION("""COMPUTED_VALUE"""),1)</f>
        <v>1</v>
      </c>
      <c r="C2066" s="7">
        <f ca="1">IFERROR(__xludf.DUMMYFUNCTION("""COMPUTED_VALUE"""),1)</f>
        <v>1</v>
      </c>
      <c r="D2066" s="8">
        <f ca="1">IFERROR(__xludf.DUMMYFUNCTION("""COMPUTED_VALUE"""),1)</f>
        <v>1</v>
      </c>
      <c r="E2066" s="2">
        <f ca="1">IFERROR(__xludf.DUMMYFUNCTION("""COMPUTED_VALUE"""),1)</f>
        <v>1</v>
      </c>
    </row>
    <row r="2067" spans="1:5" ht="13">
      <c r="A2067" s="2" t="str">
        <f ca="1">IFERROR(__xludf.DUMMYFUNCTION("""COMPUTED_VALUE"""),"DeRose, Peter")</f>
        <v>DeRose, Peter</v>
      </c>
      <c r="B2067" s="2">
        <f ca="1">IFERROR(__xludf.DUMMYFUNCTION("""COMPUTED_VALUE"""),1)</f>
        <v>1</v>
      </c>
      <c r="C2067" s="7">
        <f ca="1">IFERROR(__xludf.DUMMYFUNCTION("""COMPUTED_VALUE"""),1)</f>
        <v>1</v>
      </c>
      <c r="D2067" s="8">
        <f ca="1">IFERROR(__xludf.DUMMYFUNCTION("""COMPUTED_VALUE"""),5)</f>
        <v>5</v>
      </c>
      <c r="E2067" s="2">
        <f ca="1">IFERROR(__xludf.DUMMYFUNCTION("""COMPUTED_VALUE"""),2)</f>
        <v>2</v>
      </c>
    </row>
    <row r="2068" spans="1:5" ht="13">
      <c r="A2068" s="2" t="str">
        <f ca="1">IFERROR(__xludf.DUMMYFUNCTION("""COMPUTED_VALUE"""),"Derthick, Thomas")</f>
        <v>Derthick, Thomas</v>
      </c>
      <c r="B2068" s="3">
        <f ca="1">IFERROR(__xludf.DUMMYFUNCTION("""COMPUTED_VALUE"""),1)</f>
        <v>1</v>
      </c>
      <c r="C2068" s="7">
        <f ca="1">IFERROR(__xludf.DUMMYFUNCTION("""COMPUTED_VALUE"""),1)</f>
        <v>1</v>
      </c>
      <c r="D2068" s="8">
        <f ca="1">IFERROR(__xludf.DUMMYFUNCTION("""COMPUTED_VALUE"""),1)</f>
        <v>1</v>
      </c>
      <c r="E2068" s="2">
        <f ca="1">IFERROR(__xludf.DUMMYFUNCTION("""COMPUTED_VALUE"""),1)</f>
        <v>1</v>
      </c>
    </row>
    <row r="2069" spans="1:5" ht="13">
      <c r="A2069" s="8" t="str">
        <f ca="1">IFERROR(__xludf.DUMMYFUNCTION("""COMPUTED_VALUE"""),"DeRubertis, N.")</f>
        <v>DeRubertis, N.</v>
      </c>
      <c r="B2069" s="3">
        <f ca="1">IFERROR(__xludf.DUMMYFUNCTION("""COMPUTED_VALUE"""),1)</f>
        <v>1</v>
      </c>
      <c r="C2069" s="7">
        <f ca="1">IFERROR(__xludf.DUMMYFUNCTION("""COMPUTED_VALUE"""),1)</f>
        <v>1</v>
      </c>
      <c r="D2069" s="8">
        <f ca="1">IFERROR(__xludf.DUMMYFUNCTION("""COMPUTED_VALUE"""),5)</f>
        <v>5</v>
      </c>
      <c r="E2069" s="2">
        <f ca="1">IFERROR(__xludf.DUMMYFUNCTION("""COMPUTED_VALUE"""),2)</f>
        <v>2</v>
      </c>
    </row>
    <row r="2070" spans="1:5" ht="13">
      <c r="A2070" s="2" t="str">
        <f ca="1">IFERROR(__xludf.DUMMYFUNCTION("""COMPUTED_VALUE"""),"des Prez, Josquin")</f>
        <v>des Prez, Josquin</v>
      </c>
      <c r="B2070" s="3">
        <f ca="1">IFERROR(__xludf.DUMMYFUNCTION("""COMPUTED_VALUE"""),1)</f>
        <v>1</v>
      </c>
      <c r="C2070" s="7">
        <f ca="1">IFERROR(__xludf.DUMMYFUNCTION("""COMPUTED_VALUE"""),1)</f>
        <v>1</v>
      </c>
      <c r="D2070" s="8">
        <f ca="1">IFERROR(__xludf.DUMMYFUNCTION("""COMPUTED_VALUE"""),5)</f>
        <v>5</v>
      </c>
      <c r="E2070" s="2">
        <f ca="1">IFERROR(__xludf.DUMMYFUNCTION("""COMPUTED_VALUE"""),2)</f>
        <v>2</v>
      </c>
    </row>
    <row r="2071" spans="1:5" ht="13">
      <c r="A2071" s="2" t="str">
        <f ca="1">IFERROR(__xludf.DUMMYFUNCTION("""COMPUTED_VALUE"""),"Desamours, Emile")</f>
        <v>Desamours, Emile</v>
      </c>
      <c r="B2071" s="3">
        <f ca="1">IFERROR(__xludf.DUMMYFUNCTION("""COMPUTED_VALUE"""),1)</f>
        <v>1</v>
      </c>
      <c r="C2071" s="7">
        <f ca="1">IFERROR(__xludf.DUMMYFUNCTION("""COMPUTED_VALUE"""),1)</f>
        <v>1</v>
      </c>
      <c r="D2071" s="8">
        <f ca="1">IFERROR(__xludf.DUMMYFUNCTION("""COMPUTED_VALUE"""),1)</f>
        <v>1</v>
      </c>
      <c r="E2071" s="2">
        <f ca="1">IFERROR(__xludf.DUMMYFUNCTION("""COMPUTED_VALUE"""),1)</f>
        <v>1</v>
      </c>
    </row>
    <row r="2072" spans="1:5" ht="13">
      <c r="A2072" s="8" t="str">
        <f ca="1">IFERROR(__xludf.DUMMYFUNCTION("""COMPUTED_VALUE"""),"Désenclos, Alfred")</f>
        <v>Désenclos, Alfred</v>
      </c>
      <c r="B2072" s="3">
        <f ca="1">IFERROR(__xludf.DUMMYFUNCTION("""COMPUTED_VALUE"""),1)</f>
        <v>1</v>
      </c>
      <c r="C2072" s="7">
        <f ca="1">IFERROR(__xludf.DUMMYFUNCTION("""COMPUTED_VALUE"""),1)</f>
        <v>1</v>
      </c>
      <c r="D2072" s="8">
        <f ca="1">IFERROR(__xludf.DUMMYFUNCTION("""COMPUTED_VALUE"""),5)</f>
        <v>5</v>
      </c>
      <c r="E2072" s="2">
        <f ca="1">IFERROR(__xludf.DUMMYFUNCTION("""COMPUTED_VALUE"""),2)</f>
        <v>2</v>
      </c>
    </row>
    <row r="2073" spans="1:5" ht="13">
      <c r="A2073" s="2" t="str">
        <f ca="1">IFERROR(__xludf.DUMMYFUNCTION("""COMPUTED_VALUE"""),"DeShantz, Louis M.")</f>
        <v>DeShantz, Louis M.</v>
      </c>
      <c r="B2073" s="3">
        <f ca="1">IFERROR(__xludf.DUMMYFUNCTION("""COMPUTED_VALUE"""),1)</f>
        <v>1</v>
      </c>
      <c r="C2073" s="7">
        <f ca="1">IFERROR(__xludf.DUMMYFUNCTION("""COMPUTED_VALUE"""),1)</f>
        <v>1</v>
      </c>
      <c r="D2073" s="8">
        <f ca="1">IFERROR(__xludf.DUMMYFUNCTION("""COMPUTED_VALUE"""),1)</f>
        <v>1</v>
      </c>
      <c r="E2073" s="2">
        <f ca="1">IFERROR(__xludf.DUMMYFUNCTION("""COMPUTED_VALUE"""),1)</f>
        <v>1</v>
      </c>
    </row>
    <row r="2074" spans="1:5" ht="13">
      <c r="A2074" s="2" t="str">
        <f ca="1">IFERROR(__xludf.DUMMYFUNCTION("""COMPUTED_VALUE"""),"Deshler, Pete")</f>
        <v>Deshler, Pete</v>
      </c>
      <c r="B2074" s="2">
        <f ca="1">IFERROR(__xludf.DUMMYFUNCTION("""COMPUTED_VALUE"""),1)</f>
        <v>1</v>
      </c>
      <c r="C2074" s="7">
        <f ca="1">IFERROR(__xludf.DUMMYFUNCTION("""COMPUTED_VALUE"""),1)</f>
        <v>1</v>
      </c>
      <c r="D2074" s="8">
        <f ca="1">IFERROR(__xludf.DUMMYFUNCTION("""COMPUTED_VALUE"""),1)</f>
        <v>1</v>
      </c>
      <c r="E2074" s="2">
        <f ca="1">IFERROR(__xludf.DUMMYFUNCTION("""COMPUTED_VALUE"""),1)</f>
        <v>1</v>
      </c>
    </row>
    <row r="2075" spans="1:5" ht="13">
      <c r="A2075" s="2" t="str">
        <f ca="1">IFERROR(__xludf.DUMMYFUNCTION("""COMPUTED_VALUE"""),"Desiderio, Andrew")</f>
        <v>Desiderio, Andrew</v>
      </c>
      <c r="B2075" s="3">
        <f ca="1">IFERROR(__xludf.DUMMYFUNCTION("""COMPUTED_VALUE"""),1)</f>
        <v>1</v>
      </c>
      <c r="C2075" s="7">
        <f ca="1">IFERROR(__xludf.DUMMYFUNCTION("""COMPUTED_VALUE"""),1)</f>
        <v>1</v>
      </c>
      <c r="D2075" s="8">
        <f ca="1">IFERROR(__xludf.DUMMYFUNCTION("""COMPUTED_VALUE"""),1)</f>
        <v>1</v>
      </c>
      <c r="E2075" s="2">
        <f ca="1">IFERROR(__xludf.DUMMYFUNCTION("""COMPUTED_VALUE"""),1)</f>
        <v>1</v>
      </c>
    </row>
    <row r="2076" spans="1:5" ht="13">
      <c r="A2076" s="2" t="str">
        <f ca="1">IFERROR(__xludf.DUMMYFUNCTION("""COMPUTED_VALUE"""),"DesJardins, James")</f>
        <v>DesJardins, James</v>
      </c>
      <c r="B2076" s="3">
        <f ca="1">IFERROR(__xludf.DUMMYFUNCTION("""COMPUTED_VALUE"""),1)</f>
        <v>1</v>
      </c>
      <c r="C2076" s="7">
        <f ca="1">IFERROR(__xludf.DUMMYFUNCTION("""COMPUTED_VALUE"""),1)</f>
        <v>1</v>
      </c>
      <c r="D2076" s="8">
        <f ca="1">IFERROR(__xludf.DUMMYFUNCTION("""COMPUTED_VALUE"""),1)</f>
        <v>1</v>
      </c>
      <c r="E2076" s="2">
        <f ca="1">IFERROR(__xludf.DUMMYFUNCTION("""COMPUTED_VALUE"""),1)</f>
        <v>1</v>
      </c>
    </row>
    <row r="2077" spans="1:5" ht="13">
      <c r="A2077" s="2" t="str">
        <f ca="1">IFERROR(__xludf.DUMMYFUNCTION("""COMPUTED_VALUE"""),"Desmond, Paul")</f>
        <v>Desmond, Paul</v>
      </c>
      <c r="B2077" s="2">
        <f ca="1">IFERROR(__xludf.DUMMYFUNCTION("""COMPUTED_VALUE"""),1)</f>
        <v>1</v>
      </c>
      <c r="C2077" s="7">
        <f ca="1">IFERROR(__xludf.DUMMYFUNCTION("""COMPUTED_VALUE"""),1)</f>
        <v>1</v>
      </c>
      <c r="D2077" s="8">
        <f ca="1">IFERROR(__xludf.DUMMYFUNCTION("""COMPUTED_VALUE"""),5)</f>
        <v>5</v>
      </c>
      <c r="E2077" s="2">
        <f ca="1">IFERROR(__xludf.DUMMYFUNCTION("""COMPUTED_VALUE"""),2)</f>
        <v>2</v>
      </c>
    </row>
    <row r="2078" spans="1:5" ht="13">
      <c r="A2078" s="2" t="str">
        <f ca="1">IFERROR(__xludf.DUMMYFUNCTION("""COMPUTED_VALUE"""),"Desormes, Louis Cesar")</f>
        <v>Desormes, Louis Cesar</v>
      </c>
      <c r="B2078" s="2">
        <f ca="1">IFERROR(__xludf.DUMMYFUNCTION("""COMPUTED_VALUE"""),1)</f>
        <v>1</v>
      </c>
      <c r="C2078" s="7">
        <f ca="1">IFERROR(__xludf.DUMMYFUNCTION("""COMPUTED_VALUE"""),1)</f>
        <v>1</v>
      </c>
      <c r="D2078" s="8">
        <f ca="1">IFERROR(__xludf.DUMMYFUNCTION("""COMPUTED_VALUE"""),5)</f>
        <v>5</v>
      </c>
      <c r="E2078" s="2">
        <f ca="1">IFERROR(__xludf.DUMMYFUNCTION("""COMPUTED_VALUE"""),2)</f>
        <v>2</v>
      </c>
    </row>
    <row r="2079" spans="1:5" ht="13">
      <c r="A2079" s="2" t="str">
        <f ca="1">IFERROR(__xludf.DUMMYFUNCTION("""COMPUTED_VALUE"""),"Desplat, Alexandre")</f>
        <v>Desplat, Alexandre</v>
      </c>
      <c r="B2079" s="3">
        <f ca="1">IFERROR(__xludf.DUMMYFUNCTION("""COMPUTED_VALUE"""),1)</f>
        <v>1</v>
      </c>
      <c r="C2079" s="7">
        <f ca="1">IFERROR(__xludf.DUMMYFUNCTION("""COMPUTED_VALUE"""),1)</f>
        <v>1</v>
      </c>
      <c r="D2079" s="8">
        <f ca="1">IFERROR(__xludf.DUMMYFUNCTION("""COMPUTED_VALUE"""),1)</f>
        <v>1</v>
      </c>
      <c r="E2079" s="2">
        <f ca="1">IFERROR(__xludf.DUMMYFUNCTION("""COMPUTED_VALUE"""),1)</f>
        <v>1</v>
      </c>
    </row>
    <row r="2080" spans="1:5" ht="13">
      <c r="A2080" s="8" t="str">
        <f ca="1">IFERROR(__xludf.DUMMYFUNCTION("""COMPUTED_VALUE"""),"Dessner, Bryce")</f>
        <v>Dessner, Bryce</v>
      </c>
      <c r="B2080" s="3">
        <f ca="1">IFERROR(__xludf.DUMMYFUNCTION("""COMPUTED_VALUE"""),1)</f>
        <v>1</v>
      </c>
      <c r="C2080" s="7">
        <f ca="1">IFERROR(__xludf.DUMMYFUNCTION("""COMPUTED_VALUE"""),1)</f>
        <v>1</v>
      </c>
      <c r="D2080" s="8">
        <f ca="1">IFERROR(__xludf.DUMMYFUNCTION("""COMPUTED_VALUE"""),1)</f>
        <v>1</v>
      </c>
      <c r="E2080" s="2">
        <f ca="1">IFERROR(__xludf.DUMMYFUNCTION("""COMPUTED_VALUE"""),1)</f>
        <v>1</v>
      </c>
    </row>
    <row r="2081" spans="1:5" ht="13">
      <c r="A2081" s="2" t="str">
        <f ca="1">IFERROR(__xludf.DUMMYFUNCTION("""COMPUTED_VALUE"""),"Desyatnikov, Leonid")</f>
        <v>Desyatnikov, Leonid</v>
      </c>
      <c r="B2081" s="3">
        <f ca="1">IFERROR(__xludf.DUMMYFUNCTION("""COMPUTED_VALUE"""),1)</f>
        <v>1</v>
      </c>
      <c r="C2081" s="7">
        <f ca="1">IFERROR(__xludf.DUMMYFUNCTION("""COMPUTED_VALUE"""),1)</f>
        <v>1</v>
      </c>
      <c r="D2081" s="8">
        <f ca="1">IFERROR(__xludf.DUMMYFUNCTION("""COMPUTED_VALUE"""),1)</f>
        <v>1</v>
      </c>
      <c r="E2081" s="2">
        <f ca="1">IFERROR(__xludf.DUMMYFUNCTION("""COMPUTED_VALUE"""),1)</f>
        <v>1</v>
      </c>
    </row>
    <row r="2082" spans="1:5" ht="13">
      <c r="A2082" s="2" t="str">
        <f ca="1">IFERROR(__xludf.DUMMYFUNCTION("""COMPUTED_VALUE"""),"DeSylva, Buddy / Meyer, Joseph")</f>
        <v>DeSylva, Buddy / Meyer, Joseph</v>
      </c>
      <c r="B2082" s="2">
        <f ca="1">IFERROR(__xludf.DUMMYFUNCTION("""COMPUTED_VALUE"""),1)</f>
        <v>1</v>
      </c>
      <c r="C2082" s="7">
        <f ca="1">IFERROR(__xludf.DUMMYFUNCTION("""COMPUTED_VALUE"""),1)</f>
        <v>1</v>
      </c>
      <c r="D2082" s="8">
        <f ca="1">IFERROR(__xludf.DUMMYFUNCTION("""COMPUTED_VALUE"""),5)</f>
        <v>5</v>
      </c>
      <c r="E2082" s="2">
        <f ca="1">IFERROR(__xludf.DUMMYFUNCTION("""COMPUTED_VALUE"""),2)</f>
        <v>2</v>
      </c>
    </row>
    <row r="2083" spans="1:5" ht="13">
      <c r="A2083" s="8" t="str">
        <f ca="1">IFERROR(__xludf.DUMMYFUNCTION("""COMPUTED_VALUE"""),"Deterling, Ian")</f>
        <v>Deterling, Ian</v>
      </c>
      <c r="B2083" s="3">
        <f ca="1">IFERROR(__xludf.DUMMYFUNCTION("""COMPUTED_VALUE"""),1)</f>
        <v>1</v>
      </c>
      <c r="C2083" s="7">
        <f ca="1">IFERROR(__xludf.DUMMYFUNCTION("""COMPUTED_VALUE"""),1)</f>
        <v>1</v>
      </c>
      <c r="D2083" s="8">
        <f ca="1">IFERROR(__xludf.DUMMYFUNCTION("""COMPUTED_VALUE"""),1)</f>
        <v>1</v>
      </c>
      <c r="E2083" s="2">
        <f ca="1">IFERROR(__xludf.DUMMYFUNCTION("""COMPUTED_VALUE"""),1)</f>
        <v>1</v>
      </c>
    </row>
    <row r="2084" spans="1:5" ht="13">
      <c r="A2084" s="8" t="str">
        <f ca="1">IFERROR(__xludf.DUMMYFUNCTION("""COMPUTED_VALUE"""),"Deutsch, Bernd Richard")</f>
        <v>Deutsch, Bernd Richard</v>
      </c>
      <c r="B2084" s="3">
        <f ca="1">IFERROR(__xludf.DUMMYFUNCTION("""COMPUTED_VALUE"""),1)</f>
        <v>1</v>
      </c>
      <c r="C2084" s="7">
        <f ca="1">IFERROR(__xludf.DUMMYFUNCTION("""COMPUTED_VALUE"""),1)</f>
        <v>1</v>
      </c>
      <c r="D2084" s="8">
        <f ca="1">IFERROR(__xludf.DUMMYFUNCTION("""COMPUTED_VALUE"""),1)</f>
        <v>1</v>
      </c>
      <c r="E2084" s="2">
        <f ca="1">IFERROR(__xludf.DUMMYFUNCTION("""COMPUTED_VALUE"""),1)</f>
        <v>1</v>
      </c>
    </row>
    <row r="2085" spans="1:5" ht="13">
      <c r="A2085" s="8" t="str">
        <f ca="1">IFERROR(__xludf.DUMMYFUNCTION("""COMPUTED_VALUE"""),"Devienne, François")</f>
        <v>Devienne, François</v>
      </c>
      <c r="B2085" s="3">
        <f ca="1">IFERROR(__xludf.DUMMYFUNCTION("""COMPUTED_VALUE"""),1)</f>
        <v>1</v>
      </c>
      <c r="C2085" s="7">
        <f ca="1">IFERROR(__xludf.DUMMYFUNCTION("""COMPUTED_VALUE"""),1)</f>
        <v>1</v>
      </c>
      <c r="D2085" s="8">
        <f ca="1">IFERROR(__xludf.DUMMYFUNCTION("""COMPUTED_VALUE"""),5)</f>
        <v>5</v>
      </c>
      <c r="E2085" s="2">
        <f ca="1">IFERROR(__xludf.DUMMYFUNCTION("""COMPUTED_VALUE"""),2)</f>
        <v>2</v>
      </c>
    </row>
    <row r="2086" spans="1:5" ht="13">
      <c r="A2086" s="2" t="str">
        <f ca="1">IFERROR(__xludf.DUMMYFUNCTION("""COMPUTED_VALUE"""),"Dewald, Frank")</f>
        <v>Dewald, Frank</v>
      </c>
      <c r="B2086" s="3">
        <f ca="1">IFERROR(__xludf.DUMMYFUNCTION("""COMPUTED_VALUE"""),1)</f>
        <v>1</v>
      </c>
      <c r="C2086" s="7">
        <f ca="1">IFERROR(__xludf.DUMMYFUNCTION("""COMPUTED_VALUE"""),1)</f>
        <v>1</v>
      </c>
      <c r="D2086" s="8">
        <f ca="1">IFERROR(__xludf.DUMMYFUNCTION("""COMPUTED_VALUE"""),1)</f>
        <v>1</v>
      </c>
      <c r="E2086" s="2">
        <f ca="1">IFERROR(__xludf.DUMMYFUNCTION("""COMPUTED_VALUE"""),1)</f>
        <v>1</v>
      </c>
    </row>
    <row r="2087" spans="1:5" ht="13">
      <c r="A2087" s="2" t="str">
        <f ca="1">IFERROR(__xludf.DUMMYFUNCTION("""COMPUTED_VALUE"""),"DeWell, Robert")</f>
        <v>DeWell, Robert</v>
      </c>
      <c r="B2087" s="3">
        <f ca="1">IFERROR(__xludf.DUMMYFUNCTION("""COMPUTED_VALUE"""),1)</f>
        <v>1</v>
      </c>
      <c r="C2087" s="7">
        <f ca="1">IFERROR(__xludf.DUMMYFUNCTION("""COMPUTED_VALUE"""),1)</f>
        <v>1</v>
      </c>
      <c r="D2087" s="8">
        <f ca="1">IFERROR(__xludf.DUMMYFUNCTION("""COMPUTED_VALUE"""),1)</f>
        <v>1</v>
      </c>
      <c r="E2087" s="2">
        <f ca="1">IFERROR(__xludf.DUMMYFUNCTION("""COMPUTED_VALUE"""),1)</f>
        <v>1</v>
      </c>
    </row>
    <row r="2088" spans="1:5" ht="13">
      <c r="A2088" s="2" t="str">
        <f ca="1">IFERROR(__xludf.DUMMYFUNCTION("""COMPUTED_VALUE"""),"DeWitt, John C.")</f>
        <v>DeWitt, John C.</v>
      </c>
      <c r="B2088" s="2">
        <f ca="1">IFERROR(__xludf.DUMMYFUNCTION("""COMPUTED_VALUE"""),1)</f>
        <v>1</v>
      </c>
      <c r="C2088" s="2">
        <f ca="1">IFERROR(__xludf.DUMMYFUNCTION("""COMPUTED_VALUE"""),1)</f>
        <v>1</v>
      </c>
      <c r="D2088" s="8">
        <f ca="1">IFERROR(__xludf.DUMMYFUNCTION("""COMPUTED_VALUE"""),5)</f>
        <v>5</v>
      </c>
      <c r="E2088" s="2">
        <f ca="1">IFERROR(__xludf.DUMMYFUNCTION("""COMPUTED_VALUE"""),2)</f>
        <v>2</v>
      </c>
    </row>
    <row r="2089" spans="1:5" ht="13">
      <c r="A2089" s="2" t="str">
        <f ca="1">IFERROR(__xludf.DUMMYFUNCTION("""COMPUTED_VALUE"""),"Dharmoo, Gabriel")</f>
        <v>Dharmoo, Gabriel</v>
      </c>
      <c r="B2089" s="3">
        <f ca="1">IFERROR(__xludf.DUMMYFUNCTION("""COMPUTED_VALUE"""),1)</f>
        <v>1</v>
      </c>
      <c r="C2089" s="7">
        <f ca="1">IFERROR(__xludf.DUMMYFUNCTION("""COMPUTED_VALUE"""),1)</f>
        <v>1</v>
      </c>
      <c r="D2089" s="8">
        <f ca="1">IFERROR(__xludf.DUMMYFUNCTION("""COMPUTED_VALUE"""),1)</f>
        <v>1</v>
      </c>
      <c r="E2089" s="2">
        <f ca="1">IFERROR(__xludf.DUMMYFUNCTION("""COMPUTED_VALUE"""),1)</f>
        <v>1</v>
      </c>
    </row>
    <row r="2090" spans="1:5" ht="13">
      <c r="A2090" s="8" t="str">
        <f ca="1">IFERROR(__xludf.DUMMYFUNCTION("""COMPUTED_VALUE"""),"di Capua, Eduardo")</f>
        <v>di Capua, Eduardo</v>
      </c>
      <c r="B2090" s="3">
        <f ca="1">IFERROR(__xludf.DUMMYFUNCTION("""COMPUTED_VALUE"""),1)</f>
        <v>1</v>
      </c>
      <c r="C2090" s="7">
        <f ca="1">IFERROR(__xludf.DUMMYFUNCTION("""COMPUTED_VALUE"""),1)</f>
        <v>1</v>
      </c>
      <c r="D2090" s="8">
        <f ca="1">IFERROR(__xludf.DUMMYFUNCTION("""COMPUTED_VALUE"""),5)</f>
        <v>5</v>
      </c>
      <c r="E2090" s="2">
        <f ca="1">IFERROR(__xludf.DUMMYFUNCTION("""COMPUTED_VALUE"""),2)</f>
        <v>2</v>
      </c>
    </row>
    <row r="2091" spans="1:5" ht="13">
      <c r="A2091" s="2" t="str">
        <f ca="1">IFERROR(__xludf.DUMMYFUNCTION("""COMPUTED_VALUE"""),"Di Pietro, Rocco")</f>
        <v>Di Pietro, Rocco</v>
      </c>
      <c r="B2091" s="3">
        <f ca="1">IFERROR(__xludf.DUMMYFUNCTION("""COMPUTED_VALUE"""),1)</f>
        <v>1</v>
      </c>
      <c r="C2091" s="7">
        <f ca="1">IFERROR(__xludf.DUMMYFUNCTION("""COMPUTED_VALUE"""),1)</f>
        <v>1</v>
      </c>
      <c r="D2091" s="8">
        <f ca="1">IFERROR(__xludf.DUMMYFUNCTION("""COMPUTED_VALUE"""),1)</f>
        <v>1</v>
      </c>
      <c r="E2091" s="2">
        <f ca="1">IFERROR(__xludf.DUMMYFUNCTION("""COMPUTED_VALUE"""),1)</f>
        <v>1</v>
      </c>
    </row>
    <row r="2092" spans="1:5" ht="13">
      <c r="A2092" s="2" t="str">
        <f ca="1">IFERROR(__xludf.DUMMYFUNCTION("""COMPUTED_VALUE"""),"Diabelli, Anton")</f>
        <v>Diabelli, Anton</v>
      </c>
      <c r="B2092" s="2">
        <f ca="1">IFERROR(__xludf.DUMMYFUNCTION("""COMPUTED_VALUE"""),1)</f>
        <v>1</v>
      </c>
      <c r="C2092" s="7">
        <f ca="1">IFERROR(__xludf.DUMMYFUNCTION("""COMPUTED_VALUE"""),1)</f>
        <v>1</v>
      </c>
      <c r="D2092" s="8">
        <f ca="1">IFERROR(__xludf.DUMMYFUNCTION("""COMPUTED_VALUE"""),5)</f>
        <v>5</v>
      </c>
      <c r="E2092" s="2">
        <f ca="1">IFERROR(__xludf.DUMMYFUNCTION("""COMPUTED_VALUE"""),2)</f>
        <v>2</v>
      </c>
    </row>
    <row r="2093" spans="1:5" ht="13">
      <c r="A2093" s="2" t="str">
        <f ca="1">IFERROR(__xludf.DUMMYFUNCTION("""COMPUTED_VALUE"""),"Diack, J. Michael")</f>
        <v>Diack, J. Michael</v>
      </c>
      <c r="B2093" s="3">
        <f ca="1">IFERROR(__xludf.DUMMYFUNCTION("""COMPUTED_VALUE"""),1)</f>
        <v>1</v>
      </c>
      <c r="C2093" s="7">
        <f ca="1">IFERROR(__xludf.DUMMYFUNCTION("""COMPUTED_VALUE"""),1)</f>
        <v>1</v>
      </c>
      <c r="D2093" s="8">
        <f ca="1">IFERROR(__xludf.DUMMYFUNCTION("""COMPUTED_VALUE"""),5)</f>
        <v>5</v>
      </c>
      <c r="E2093" s="2">
        <f ca="1">IFERROR(__xludf.DUMMYFUNCTION("""COMPUTED_VALUE"""),2)</f>
        <v>2</v>
      </c>
    </row>
    <row r="2094" spans="1:5" ht="13">
      <c r="A2094" s="8" t="str">
        <f ca="1">IFERROR(__xludf.DUMMYFUNCTION("""COMPUTED_VALUE"""),"Diamond, David")</f>
        <v>Diamond, David</v>
      </c>
      <c r="B2094" s="3">
        <f ca="1">IFERROR(__xludf.DUMMYFUNCTION("""COMPUTED_VALUE"""),1)</f>
        <v>1</v>
      </c>
      <c r="C2094" s="7">
        <f ca="1">IFERROR(__xludf.DUMMYFUNCTION("""COMPUTED_VALUE"""),1)</f>
        <v>1</v>
      </c>
      <c r="D2094" s="8">
        <f ca="1">IFERROR(__xludf.DUMMYFUNCTION("""COMPUTED_VALUE"""),5)</f>
        <v>5</v>
      </c>
      <c r="E2094" s="2">
        <f ca="1">IFERROR(__xludf.DUMMYFUNCTION("""COMPUTED_VALUE"""),2)</f>
        <v>2</v>
      </c>
    </row>
    <row r="2095" spans="1:5" ht="13">
      <c r="A2095" s="2" t="str">
        <f ca="1">IFERROR(__xludf.DUMMYFUNCTION("""COMPUTED_VALUE"""),"Diamond, Neil")</f>
        <v>Diamond, Neil</v>
      </c>
      <c r="B2095" s="2">
        <f ca="1">IFERROR(__xludf.DUMMYFUNCTION("""COMPUTED_VALUE"""),1)</f>
        <v>1</v>
      </c>
      <c r="C2095" s="7">
        <f ca="1">IFERROR(__xludf.DUMMYFUNCTION("""COMPUTED_VALUE"""),1)</f>
        <v>1</v>
      </c>
      <c r="D2095" s="8">
        <f ca="1">IFERROR(__xludf.DUMMYFUNCTION("""COMPUTED_VALUE"""),1)</f>
        <v>1</v>
      </c>
      <c r="E2095" s="2">
        <f ca="1">IFERROR(__xludf.DUMMYFUNCTION("""COMPUTED_VALUE"""),1)</f>
        <v>1</v>
      </c>
    </row>
    <row r="2096" spans="1:5" ht="13">
      <c r="A2096" s="8" t="str">
        <f ca="1">IFERROR(__xludf.DUMMYFUNCTION("""COMPUTED_VALUE"""),"DiBerardino, Nick")</f>
        <v>DiBerardino, Nick</v>
      </c>
      <c r="B2096" s="3">
        <f ca="1">IFERROR(__xludf.DUMMYFUNCTION("""COMPUTED_VALUE"""),1)</f>
        <v>1</v>
      </c>
      <c r="C2096" s="7">
        <f ca="1">IFERROR(__xludf.DUMMYFUNCTION("""COMPUTED_VALUE"""),1)</f>
        <v>1</v>
      </c>
      <c r="D2096" s="8">
        <f ca="1">IFERROR(__xludf.DUMMYFUNCTION("""COMPUTED_VALUE"""),1)</f>
        <v>1</v>
      </c>
      <c r="E2096" s="2">
        <f ca="1">IFERROR(__xludf.DUMMYFUNCTION("""COMPUTED_VALUE"""),1)</f>
        <v>1</v>
      </c>
    </row>
    <row r="2097" spans="1:5" ht="13">
      <c r="A2097" s="8" t="str">
        <f ca="1">IFERROR(__xludf.DUMMYFUNCTION("""COMPUTED_VALUE"""),"DiBlasio, Denis")</f>
        <v>DiBlasio, Denis</v>
      </c>
      <c r="B2097" s="3">
        <f ca="1">IFERROR(__xludf.DUMMYFUNCTION("""COMPUTED_VALUE"""),1)</f>
        <v>1</v>
      </c>
      <c r="C2097" s="7">
        <f ca="1">IFERROR(__xludf.DUMMYFUNCTION("""COMPUTED_VALUE"""),1)</f>
        <v>1</v>
      </c>
      <c r="D2097" s="8">
        <f ca="1">IFERROR(__xludf.DUMMYFUNCTION("""COMPUTED_VALUE"""),1)</f>
        <v>1</v>
      </c>
      <c r="E2097" s="2">
        <f ca="1">IFERROR(__xludf.DUMMYFUNCTION("""COMPUTED_VALUE"""),1)</f>
        <v>1</v>
      </c>
    </row>
    <row r="2098" spans="1:5" ht="13">
      <c r="A2098" s="8" t="str">
        <f ca="1">IFERROR(__xludf.DUMMYFUNCTION("""COMPUTED_VALUE"""),"Dich, Arne")</f>
        <v>Dich, Arne</v>
      </c>
      <c r="B2098" s="3">
        <f ca="1">IFERROR(__xludf.DUMMYFUNCTION("""COMPUTED_VALUE"""),1)</f>
        <v>1</v>
      </c>
      <c r="C2098" s="7">
        <f ca="1">IFERROR(__xludf.DUMMYFUNCTION("""COMPUTED_VALUE"""),1)</f>
        <v>1</v>
      </c>
      <c r="D2098" s="8">
        <f ca="1">IFERROR(__xludf.DUMMYFUNCTION("""COMPUTED_VALUE"""),5)</f>
        <v>5</v>
      </c>
      <c r="E2098" s="2">
        <f ca="1">IFERROR(__xludf.DUMMYFUNCTION("""COMPUTED_VALUE"""),2)</f>
        <v>2</v>
      </c>
    </row>
    <row r="2099" spans="1:5" ht="13">
      <c r="A2099" s="2" t="str">
        <f ca="1">IFERROR(__xludf.DUMMYFUNCTION("""COMPUTED_VALUE"""),"Dickau, David C.")</f>
        <v>Dickau, David C.</v>
      </c>
      <c r="B2099" s="3">
        <f ca="1">IFERROR(__xludf.DUMMYFUNCTION("""COMPUTED_VALUE"""),1)</f>
        <v>1</v>
      </c>
      <c r="C2099" s="7">
        <f ca="1">IFERROR(__xludf.DUMMYFUNCTION("""COMPUTED_VALUE"""),1)</f>
        <v>1</v>
      </c>
      <c r="D2099" s="8">
        <f ca="1">IFERROR(__xludf.DUMMYFUNCTION("""COMPUTED_VALUE"""),1)</f>
        <v>1</v>
      </c>
      <c r="E2099" s="2">
        <f ca="1">IFERROR(__xludf.DUMMYFUNCTION("""COMPUTED_VALUE"""),1)</f>
        <v>1</v>
      </c>
    </row>
    <row r="2100" spans="1:5" ht="13">
      <c r="A2100" s="8" t="str">
        <f ca="1">IFERROR(__xludf.DUMMYFUNCTION("""COMPUTED_VALUE"""),"Dicke, Ian")</f>
        <v>Dicke, Ian</v>
      </c>
      <c r="B2100" s="3">
        <f ca="1">IFERROR(__xludf.DUMMYFUNCTION("""COMPUTED_VALUE"""),1)</f>
        <v>1</v>
      </c>
      <c r="C2100" s="7">
        <f ca="1">IFERROR(__xludf.DUMMYFUNCTION("""COMPUTED_VALUE"""),1)</f>
        <v>1</v>
      </c>
      <c r="D2100" s="8">
        <f ca="1">IFERROR(__xludf.DUMMYFUNCTION("""COMPUTED_VALUE"""),1)</f>
        <v>1</v>
      </c>
      <c r="E2100" s="2">
        <f ca="1">IFERROR(__xludf.DUMMYFUNCTION("""COMPUTED_VALUE"""),1)</f>
        <v>1</v>
      </c>
    </row>
    <row r="2101" spans="1:5" ht="13">
      <c r="A2101" s="2" t="str">
        <f ca="1">IFERROR(__xludf.DUMMYFUNCTION("""COMPUTED_VALUE"""),"Dickey, Christopher")</f>
        <v>Dickey, Christopher</v>
      </c>
      <c r="B2101" s="3">
        <f ca="1">IFERROR(__xludf.DUMMYFUNCTION("""COMPUTED_VALUE"""),1)</f>
        <v>1</v>
      </c>
      <c r="C2101" s="7">
        <f ca="1">IFERROR(__xludf.DUMMYFUNCTION("""COMPUTED_VALUE"""),1)</f>
        <v>1</v>
      </c>
      <c r="D2101" s="8">
        <f ca="1">IFERROR(__xludf.DUMMYFUNCTION("""COMPUTED_VALUE"""),1)</f>
        <v>1</v>
      </c>
      <c r="E2101" s="2">
        <f ca="1">IFERROR(__xludf.DUMMYFUNCTION("""COMPUTED_VALUE"""),1)</f>
        <v>1</v>
      </c>
    </row>
    <row r="2102" spans="1:5" ht="13">
      <c r="A2102" s="2" t="str">
        <f ca="1">IFERROR(__xludf.DUMMYFUNCTION("""COMPUTED_VALUE"""),"Dickinson, Clarence")</f>
        <v>Dickinson, Clarence</v>
      </c>
      <c r="B2102" s="3">
        <f ca="1">IFERROR(__xludf.DUMMYFUNCTION("""COMPUTED_VALUE"""),1)</f>
        <v>1</v>
      </c>
      <c r="C2102" s="7">
        <f ca="1">IFERROR(__xludf.DUMMYFUNCTION("""COMPUTED_VALUE"""),1)</f>
        <v>1</v>
      </c>
      <c r="D2102" s="8">
        <f ca="1">IFERROR(__xludf.DUMMYFUNCTION("""COMPUTED_VALUE"""),1)</f>
        <v>1</v>
      </c>
      <c r="E2102" s="2">
        <f ca="1">IFERROR(__xludf.DUMMYFUNCTION("""COMPUTED_VALUE"""),1)</f>
        <v>1</v>
      </c>
    </row>
    <row r="2103" spans="1:5" ht="13">
      <c r="A2103" s="2" t="str">
        <f ca="1">IFERROR(__xludf.DUMMYFUNCTION("""COMPUTED_VALUE"""),"Dickinson, Richard")</f>
        <v>Dickinson, Richard</v>
      </c>
      <c r="B2103" s="2">
        <f ca="1">IFERROR(__xludf.DUMMYFUNCTION("""COMPUTED_VALUE"""),1)</f>
        <v>1</v>
      </c>
      <c r="C2103" s="2">
        <f ca="1">IFERROR(__xludf.DUMMYFUNCTION("""COMPUTED_VALUE"""),1)</f>
        <v>1</v>
      </c>
      <c r="D2103" s="8">
        <f ca="1">IFERROR(__xludf.DUMMYFUNCTION("""COMPUTED_VALUE"""),5)</f>
        <v>5</v>
      </c>
      <c r="E2103" s="2">
        <f ca="1">IFERROR(__xludf.DUMMYFUNCTION("""COMPUTED_VALUE"""),2)</f>
        <v>2</v>
      </c>
    </row>
    <row r="2104" spans="1:5" ht="13">
      <c r="A2104" s="8" t="str">
        <f ca="1">IFERROR(__xludf.DUMMYFUNCTION("""COMPUTED_VALUE"""),"Dickow, Robert")</f>
        <v>Dickow, Robert</v>
      </c>
      <c r="B2104" s="3">
        <f ca="1">IFERROR(__xludf.DUMMYFUNCTION("""COMPUTED_VALUE"""),1)</f>
        <v>1</v>
      </c>
      <c r="C2104" s="7">
        <f ca="1">IFERROR(__xludf.DUMMYFUNCTION("""COMPUTED_VALUE"""),1)</f>
        <v>1</v>
      </c>
      <c r="D2104" s="8">
        <f ca="1">IFERROR(__xludf.DUMMYFUNCTION("""COMPUTED_VALUE"""),1)</f>
        <v>1</v>
      </c>
      <c r="E2104" s="2">
        <f ca="1">IFERROR(__xludf.DUMMYFUNCTION("""COMPUTED_VALUE"""),1)</f>
        <v>1</v>
      </c>
    </row>
    <row r="2105" spans="1:5" ht="13">
      <c r="A2105" s="8" t="str">
        <f ca="1">IFERROR(__xludf.DUMMYFUNCTION("""COMPUTED_VALUE"""),"Dicks, Brandon")</f>
        <v>Dicks, Brandon</v>
      </c>
      <c r="B2105" s="3">
        <f ca="1">IFERROR(__xludf.DUMMYFUNCTION("""COMPUTED_VALUE"""),1)</f>
        <v>1</v>
      </c>
      <c r="C2105" s="7">
        <f ca="1">IFERROR(__xludf.DUMMYFUNCTION("""COMPUTED_VALUE"""),1)</f>
        <v>1</v>
      </c>
      <c r="D2105" s="8">
        <f ca="1">IFERROR(__xludf.DUMMYFUNCTION("""COMPUTED_VALUE"""),1)</f>
        <v>1</v>
      </c>
      <c r="E2105" s="2">
        <f ca="1">IFERROR(__xludf.DUMMYFUNCTION("""COMPUTED_VALUE"""),1)</f>
        <v>1</v>
      </c>
    </row>
    <row r="2106" spans="1:5" ht="13">
      <c r="A2106" s="2" t="str">
        <f ca="1">IFERROR(__xludf.DUMMYFUNCTION("""COMPUTED_VALUE"""),"Dickson, Artells / O'Hara, Geoffrey")</f>
        <v>Dickson, Artells / O'Hara, Geoffrey</v>
      </c>
      <c r="B2106" s="3">
        <f ca="1">IFERROR(__xludf.DUMMYFUNCTION("""COMPUTED_VALUE"""),1)</f>
        <v>1</v>
      </c>
      <c r="C2106" s="7">
        <f ca="1">IFERROR(__xludf.DUMMYFUNCTION("""COMPUTED_VALUE"""),1)</f>
        <v>1</v>
      </c>
      <c r="D2106" s="8">
        <f ca="1">IFERROR(__xludf.DUMMYFUNCTION("""COMPUTED_VALUE"""),5)</f>
        <v>5</v>
      </c>
      <c r="E2106" s="2">
        <f ca="1">IFERROR(__xludf.DUMMYFUNCTION("""COMPUTED_VALUE"""),2)</f>
        <v>2</v>
      </c>
    </row>
    <row r="2107" spans="1:5" ht="13">
      <c r="A2107" s="2" t="str">
        <f ca="1">IFERROR(__xludf.DUMMYFUNCTION("""COMPUTED_VALUE"""),"Diekema, Willis A.")</f>
        <v>Diekema, Willis A.</v>
      </c>
      <c r="B2107" s="3">
        <f ca="1">IFERROR(__xludf.DUMMYFUNCTION("""COMPUTED_VALUE"""),1)</f>
        <v>1</v>
      </c>
      <c r="C2107" s="7">
        <f ca="1">IFERROR(__xludf.DUMMYFUNCTION("""COMPUTED_VALUE"""),1)</f>
        <v>1</v>
      </c>
      <c r="D2107" s="8">
        <f ca="1">IFERROR(__xludf.DUMMYFUNCTION("""COMPUTED_VALUE"""),5)</f>
        <v>5</v>
      </c>
      <c r="E2107" s="2">
        <f ca="1">IFERROR(__xludf.DUMMYFUNCTION("""COMPUTED_VALUE"""),2)</f>
        <v>2</v>
      </c>
    </row>
    <row r="2108" spans="1:5" ht="13">
      <c r="A2108" s="2" t="str">
        <f ca="1">IFERROR(__xludf.DUMMYFUNCTION("""COMPUTED_VALUE"""),"Diepenbrock, Alphons")</f>
        <v>Diepenbrock, Alphons</v>
      </c>
      <c r="B2108" s="3">
        <f ca="1">IFERROR(__xludf.DUMMYFUNCTION("""COMPUTED_VALUE"""),1)</f>
        <v>1</v>
      </c>
      <c r="C2108" s="7">
        <f ca="1">IFERROR(__xludf.DUMMYFUNCTION("""COMPUTED_VALUE"""),1)</f>
        <v>1</v>
      </c>
      <c r="D2108" s="8">
        <f ca="1">IFERROR(__xludf.DUMMYFUNCTION("""COMPUTED_VALUE"""),5)</f>
        <v>5</v>
      </c>
      <c r="E2108" s="2">
        <f ca="1">IFERROR(__xludf.DUMMYFUNCTION("""COMPUTED_VALUE"""),2)</f>
        <v>2</v>
      </c>
    </row>
    <row r="2109" spans="1:5" ht="13">
      <c r="A2109" s="8" t="str">
        <f ca="1">IFERROR(__xludf.DUMMYFUNCTION("""COMPUTED_VALUE"""),"Dierks, John")</f>
        <v>Dierks, John</v>
      </c>
      <c r="B2109" s="3">
        <f ca="1">IFERROR(__xludf.DUMMYFUNCTION("""COMPUTED_VALUE"""),1)</f>
        <v>1</v>
      </c>
      <c r="C2109" s="7">
        <f ca="1">IFERROR(__xludf.DUMMYFUNCTION("""COMPUTED_VALUE"""),1)</f>
        <v>1</v>
      </c>
      <c r="D2109" s="8">
        <f ca="1">IFERROR(__xludf.DUMMYFUNCTION("""COMPUTED_VALUE"""),5)</f>
        <v>5</v>
      </c>
      <c r="E2109" s="2">
        <f ca="1">IFERROR(__xludf.DUMMYFUNCTION("""COMPUTED_VALUE"""),2)</f>
        <v>2</v>
      </c>
    </row>
    <row r="2110" spans="1:5" ht="13">
      <c r="A2110" s="8" t="str">
        <f ca="1">IFERROR(__xludf.DUMMYFUNCTION("""COMPUTED_VALUE"""),"Dieterich, Milton")</f>
        <v>Dieterich, Milton</v>
      </c>
      <c r="B2110" s="3">
        <f ca="1">IFERROR(__xludf.DUMMYFUNCTION("""COMPUTED_VALUE"""),1)</f>
        <v>1</v>
      </c>
      <c r="C2110" s="7">
        <f ca="1">IFERROR(__xludf.DUMMYFUNCTION("""COMPUTED_VALUE"""),1)</f>
        <v>1</v>
      </c>
      <c r="D2110" s="8">
        <f ca="1">IFERROR(__xludf.DUMMYFUNCTION("""COMPUTED_VALUE"""),5)</f>
        <v>5</v>
      </c>
      <c r="E2110" s="2">
        <f ca="1">IFERROR(__xludf.DUMMYFUNCTION("""COMPUTED_VALUE"""),2)</f>
        <v>2</v>
      </c>
    </row>
    <row r="2111" spans="1:5" ht="13">
      <c r="A2111" s="2" t="str">
        <f ca="1">IFERROR(__xludf.DUMMYFUNCTION("""COMPUTED_VALUE"""),"Dietrich, Albert")</f>
        <v>Dietrich, Albert</v>
      </c>
      <c r="B2111" s="3">
        <f ca="1">IFERROR(__xludf.DUMMYFUNCTION("""COMPUTED_VALUE"""),1)</f>
        <v>1</v>
      </c>
      <c r="C2111" s="7">
        <f ca="1">IFERROR(__xludf.DUMMYFUNCTION("""COMPUTED_VALUE"""),1)</f>
        <v>1</v>
      </c>
      <c r="D2111" s="8">
        <f ca="1">IFERROR(__xludf.DUMMYFUNCTION("""COMPUTED_VALUE"""),5)</f>
        <v>5</v>
      </c>
      <c r="E2111" s="2">
        <f ca="1">IFERROR(__xludf.DUMMYFUNCTION("""COMPUTED_VALUE"""),2)</f>
        <v>2</v>
      </c>
    </row>
    <row r="2112" spans="1:5" ht="13">
      <c r="A2112" s="2" t="str">
        <f ca="1">IFERROR(__xludf.DUMMYFUNCTION("""COMPUTED_VALUE"""),"Dietrich, Johannes")</f>
        <v>Dietrich, Johannes</v>
      </c>
      <c r="B2112" s="3">
        <f ca="1">IFERROR(__xludf.DUMMYFUNCTION("""COMPUTED_VALUE"""),1)</f>
        <v>1</v>
      </c>
      <c r="C2112" s="7">
        <f ca="1">IFERROR(__xludf.DUMMYFUNCTION("""COMPUTED_VALUE"""),1)</f>
        <v>1</v>
      </c>
      <c r="D2112" s="8">
        <f ca="1">IFERROR(__xludf.DUMMYFUNCTION("""COMPUTED_VALUE"""),1)</f>
        <v>1</v>
      </c>
      <c r="E2112" s="2">
        <f ca="1">IFERROR(__xludf.DUMMYFUNCTION("""COMPUTED_VALUE"""),1)</f>
        <v>1</v>
      </c>
    </row>
    <row r="2113" spans="1:5" ht="13">
      <c r="A2113" s="2" t="str">
        <f ca="1">IFERROR(__xludf.DUMMYFUNCTION("""COMPUTED_VALUE"""),"Dietsch, Pierre-Louis")</f>
        <v>Dietsch, Pierre-Louis</v>
      </c>
      <c r="B2113" s="2">
        <f ca="1">IFERROR(__xludf.DUMMYFUNCTION("""COMPUTED_VALUE"""),1)</f>
        <v>1</v>
      </c>
      <c r="C2113" s="2">
        <f ca="1">IFERROR(__xludf.DUMMYFUNCTION("""COMPUTED_VALUE"""),1)</f>
        <v>1</v>
      </c>
      <c r="D2113" s="8">
        <f ca="1">IFERROR(__xludf.DUMMYFUNCTION("""COMPUTED_VALUE"""),5)</f>
        <v>5</v>
      </c>
      <c r="E2113" s="2">
        <f ca="1">IFERROR(__xludf.DUMMYFUNCTION("""COMPUTED_VALUE"""),2)</f>
        <v>2</v>
      </c>
    </row>
    <row r="2114" spans="1:5" ht="13">
      <c r="A2114" s="8" t="str">
        <f ca="1">IFERROR(__xludf.DUMMYFUNCTION("""COMPUTED_VALUE"""),"Dietter, Christian Ludwig")</f>
        <v>Dietter, Christian Ludwig</v>
      </c>
      <c r="B2114" s="3">
        <f ca="1">IFERROR(__xludf.DUMMYFUNCTION("""COMPUTED_VALUE"""),1)</f>
        <v>1</v>
      </c>
      <c r="C2114" s="7">
        <f ca="1">IFERROR(__xludf.DUMMYFUNCTION("""COMPUTED_VALUE"""),1)</f>
        <v>1</v>
      </c>
      <c r="D2114" s="8">
        <f ca="1">IFERROR(__xludf.DUMMYFUNCTION("""COMPUTED_VALUE"""),5)</f>
        <v>5</v>
      </c>
      <c r="E2114" s="2">
        <f ca="1">IFERROR(__xludf.DUMMYFUNCTION("""COMPUTED_VALUE"""),2)</f>
        <v>2</v>
      </c>
    </row>
    <row r="2115" spans="1:5" ht="13">
      <c r="A2115" s="8" t="str">
        <f ca="1">IFERROR(__xludf.DUMMYFUNCTION("""COMPUTED_VALUE"""),"Dietz, Brett William")</f>
        <v>Dietz, Brett William</v>
      </c>
      <c r="B2115" s="3">
        <f ca="1">IFERROR(__xludf.DUMMYFUNCTION("""COMPUTED_VALUE"""),1)</f>
        <v>1</v>
      </c>
      <c r="C2115" s="7">
        <f ca="1">IFERROR(__xludf.DUMMYFUNCTION("""COMPUTED_VALUE"""),1)</f>
        <v>1</v>
      </c>
      <c r="D2115" s="8">
        <f ca="1">IFERROR(__xludf.DUMMYFUNCTION("""COMPUTED_VALUE"""),1)</f>
        <v>1</v>
      </c>
      <c r="E2115" s="2">
        <f ca="1">IFERROR(__xludf.DUMMYFUNCTION("""COMPUTED_VALUE"""),1)</f>
        <v>1</v>
      </c>
    </row>
    <row r="2116" spans="1:5" ht="13">
      <c r="A2116" s="8" t="str">
        <f ca="1">IFERROR(__xludf.DUMMYFUNCTION("""COMPUTED_VALUE"""),"Dietz, Christopher")</f>
        <v>Dietz, Christopher</v>
      </c>
      <c r="B2116" s="3">
        <f ca="1">IFERROR(__xludf.DUMMYFUNCTION("""COMPUTED_VALUE"""),1)</f>
        <v>1</v>
      </c>
      <c r="C2116" s="7">
        <f ca="1">IFERROR(__xludf.DUMMYFUNCTION("""COMPUTED_VALUE"""),1)</f>
        <v>1</v>
      </c>
      <c r="D2116" s="8">
        <f ca="1">IFERROR(__xludf.DUMMYFUNCTION("""COMPUTED_VALUE"""),1)</f>
        <v>1</v>
      </c>
      <c r="E2116" s="2">
        <f ca="1">IFERROR(__xludf.DUMMYFUNCTION("""COMPUTED_VALUE"""),1)</f>
        <v>1</v>
      </c>
    </row>
    <row r="2117" spans="1:5" ht="13">
      <c r="A2117" s="2" t="str">
        <f ca="1">IFERROR(__xludf.DUMMYFUNCTION("""COMPUTED_VALUE"""),"Dietz, Rob")</f>
        <v>Dietz, Rob</v>
      </c>
      <c r="B2117" s="3">
        <f ca="1">IFERROR(__xludf.DUMMYFUNCTION("""COMPUTED_VALUE"""),1)</f>
        <v>1</v>
      </c>
      <c r="C2117" s="7">
        <f ca="1">IFERROR(__xludf.DUMMYFUNCTION("""COMPUTED_VALUE"""),1)</f>
        <v>1</v>
      </c>
      <c r="D2117" s="8">
        <f ca="1">IFERROR(__xludf.DUMMYFUNCTION("""COMPUTED_VALUE"""),1)</f>
        <v>1</v>
      </c>
      <c r="E2117" s="2">
        <f ca="1">IFERROR(__xludf.DUMMYFUNCTION("""COMPUTED_VALUE"""),1)</f>
        <v>1</v>
      </c>
    </row>
    <row r="2118" spans="1:5" ht="13">
      <c r="A2118" s="2" t="str">
        <f ca="1">IFERROR(__xludf.DUMMYFUNCTION("""COMPUTED_VALUE"""),"Diéval, Jack")</f>
        <v>Diéval, Jack</v>
      </c>
      <c r="B2118" s="3">
        <f ca="1">IFERROR(__xludf.DUMMYFUNCTION("""COMPUTED_VALUE"""),1)</f>
        <v>1</v>
      </c>
      <c r="C2118" s="7">
        <f ca="1">IFERROR(__xludf.DUMMYFUNCTION("""COMPUTED_VALUE"""),1)</f>
        <v>1</v>
      </c>
      <c r="D2118" s="8">
        <f ca="1">IFERROR(__xludf.DUMMYFUNCTION("""COMPUTED_VALUE"""),5)</f>
        <v>5</v>
      </c>
      <c r="E2118" s="2">
        <f ca="1">IFERROR(__xludf.DUMMYFUNCTION("""COMPUTED_VALUE"""),2)</f>
        <v>2</v>
      </c>
    </row>
    <row r="2119" spans="1:5" ht="13">
      <c r="A2119" s="2" t="str">
        <f ca="1">IFERROR(__xludf.DUMMYFUNCTION("""COMPUTED_VALUE"""),"Dilanni, Aldo")</f>
        <v>Dilanni, Aldo</v>
      </c>
      <c r="B2119" s="3">
        <f ca="1">IFERROR(__xludf.DUMMYFUNCTION("""COMPUTED_VALUE"""),1)</f>
        <v>1</v>
      </c>
      <c r="C2119" s="7">
        <f ca="1">IFERROR(__xludf.DUMMYFUNCTION("""COMPUTED_VALUE"""),1)</f>
        <v>1</v>
      </c>
      <c r="D2119" s="8">
        <f ca="1">IFERROR(__xludf.DUMMYFUNCTION("""COMPUTED_VALUE"""),5)</f>
        <v>5</v>
      </c>
      <c r="E2119" s="2">
        <f ca="1">IFERROR(__xludf.DUMMYFUNCTION("""COMPUTED_VALUE"""),2)</f>
        <v>2</v>
      </c>
    </row>
    <row r="2120" spans="1:5" ht="13">
      <c r="A2120" s="2" t="str">
        <f ca="1">IFERROR(__xludf.DUMMYFUNCTION("""COMPUTED_VALUE"""),"Dilley, Donald")</f>
        <v>Dilley, Donald</v>
      </c>
      <c r="B2120" s="3">
        <f ca="1">IFERROR(__xludf.DUMMYFUNCTION("""COMPUTED_VALUE"""),1)</f>
        <v>1</v>
      </c>
      <c r="C2120" s="7">
        <f ca="1">IFERROR(__xludf.DUMMYFUNCTION("""COMPUTED_VALUE"""),1)</f>
        <v>1</v>
      </c>
      <c r="D2120" s="8">
        <f ca="1">IFERROR(__xludf.DUMMYFUNCTION("""COMPUTED_VALUE"""),1)</f>
        <v>1</v>
      </c>
      <c r="E2120" s="2">
        <f ca="1">IFERROR(__xludf.DUMMYFUNCTION("""COMPUTED_VALUE"""),1)</f>
        <v>1</v>
      </c>
    </row>
    <row r="2121" spans="1:5" ht="13">
      <c r="A2121" s="2" t="str">
        <f ca="1">IFERROR(__xludf.DUMMYFUNCTION("""COMPUTED_VALUE"""),"Dilley, J.")</f>
        <v>Dilley, J.</v>
      </c>
      <c r="B2121" s="2">
        <f ca="1">IFERROR(__xludf.DUMMYFUNCTION("""COMPUTED_VALUE"""),1)</f>
        <v>1</v>
      </c>
      <c r="C2121" s="7">
        <f ca="1">IFERROR(__xludf.DUMMYFUNCTION("""COMPUTED_VALUE"""),1)</f>
        <v>1</v>
      </c>
      <c r="D2121" s="8">
        <f ca="1">IFERROR(__xludf.DUMMYFUNCTION("""COMPUTED_VALUE"""),5)</f>
        <v>5</v>
      </c>
      <c r="E2121" s="2">
        <f ca="1">IFERROR(__xludf.DUMMYFUNCTION("""COMPUTED_VALUE"""),2)</f>
        <v>2</v>
      </c>
    </row>
    <row r="2122" spans="1:5" ht="13">
      <c r="A2122" s="2" t="str">
        <f ca="1">IFERROR(__xludf.DUMMYFUNCTION("""COMPUTED_VALUE"""),"Dillon, Robert")</f>
        <v>Dillon, Robert</v>
      </c>
      <c r="B2122" s="3">
        <f ca="1">IFERROR(__xludf.DUMMYFUNCTION("""COMPUTED_VALUE"""),1)</f>
        <v>1</v>
      </c>
      <c r="C2122" s="7">
        <f ca="1">IFERROR(__xludf.DUMMYFUNCTION("""COMPUTED_VALUE"""),1)</f>
        <v>1</v>
      </c>
      <c r="D2122" s="8">
        <f ca="1">IFERROR(__xludf.DUMMYFUNCTION("""COMPUTED_VALUE"""),5)</f>
        <v>5</v>
      </c>
      <c r="E2122" s="3">
        <f ca="1">IFERROR(__xludf.DUMMYFUNCTION("""COMPUTED_VALUE"""),2)</f>
        <v>2</v>
      </c>
    </row>
    <row r="2123" spans="1:5" ht="13">
      <c r="A2123" s="8" t="str">
        <f ca="1">IFERROR(__xludf.DUMMYFUNCTION("""COMPUTED_VALUE"""),"DiLorenzo, Anthony")</f>
        <v>DiLorenzo, Anthony</v>
      </c>
      <c r="B2123" s="3">
        <f ca="1">IFERROR(__xludf.DUMMYFUNCTION("""COMPUTED_VALUE"""),1)</f>
        <v>1</v>
      </c>
      <c r="C2123" s="7">
        <f ca="1">IFERROR(__xludf.DUMMYFUNCTION("""COMPUTED_VALUE"""),1)</f>
        <v>1</v>
      </c>
      <c r="D2123" s="8">
        <f ca="1">IFERROR(__xludf.DUMMYFUNCTION("""COMPUTED_VALUE"""),1)</f>
        <v>1</v>
      </c>
      <c r="E2123" s="2">
        <f ca="1">IFERROR(__xludf.DUMMYFUNCTION("""COMPUTED_VALUE"""),1)</f>
        <v>1</v>
      </c>
    </row>
    <row r="2124" spans="1:5" ht="13">
      <c r="A2124" s="2" t="str">
        <f ca="1">IFERROR(__xludf.DUMMYFUNCTION("""COMPUTED_VALUE"""),"DiMarino, Daniel")</f>
        <v>DiMarino, Daniel</v>
      </c>
      <c r="B2124" s="3">
        <f ca="1">IFERROR(__xludf.DUMMYFUNCTION("""COMPUTED_VALUE"""),1)</f>
        <v>1</v>
      </c>
      <c r="C2124" s="7">
        <f ca="1">IFERROR(__xludf.DUMMYFUNCTION("""COMPUTED_VALUE"""),1)</f>
        <v>1</v>
      </c>
      <c r="D2124" s="8">
        <f ca="1">IFERROR(__xludf.DUMMYFUNCTION("""COMPUTED_VALUE"""),1)</f>
        <v>1</v>
      </c>
      <c r="E2124" s="2">
        <f ca="1">IFERROR(__xludf.DUMMYFUNCTION("""COMPUTED_VALUE"""),1)</f>
        <v>1</v>
      </c>
    </row>
    <row r="2125" spans="1:5" ht="13">
      <c r="A2125" s="2" t="str">
        <f ca="1">IFERROR(__xludf.DUMMYFUNCTION("""COMPUTED_VALUE"""),"Dinerstein, Norman")</f>
        <v>Dinerstein, Norman</v>
      </c>
      <c r="B2125" s="3">
        <f ca="1">IFERROR(__xludf.DUMMYFUNCTION("""COMPUTED_VALUE"""),1)</f>
        <v>1</v>
      </c>
      <c r="C2125" s="7">
        <f ca="1">IFERROR(__xludf.DUMMYFUNCTION("""COMPUTED_VALUE"""),1)</f>
        <v>1</v>
      </c>
      <c r="D2125" s="8">
        <f ca="1">IFERROR(__xludf.DUMMYFUNCTION("""COMPUTED_VALUE"""),5)</f>
        <v>5</v>
      </c>
      <c r="E2125" s="2">
        <f ca="1">IFERROR(__xludf.DUMMYFUNCTION("""COMPUTED_VALUE"""),2)</f>
        <v>2</v>
      </c>
    </row>
    <row r="2126" spans="1:5" ht="13">
      <c r="A2126" s="2" t="str">
        <f ca="1">IFERROR(__xludf.DUMMYFUNCTION("""COMPUTED_VALUE"""),"Dior, Rick")</f>
        <v>Dior, Rick</v>
      </c>
      <c r="B2126" s="2">
        <f ca="1">IFERROR(__xludf.DUMMYFUNCTION("""COMPUTED_VALUE"""),1)</f>
        <v>1</v>
      </c>
      <c r="C2126" s="7">
        <f ca="1">IFERROR(__xludf.DUMMYFUNCTION("""COMPUTED_VALUE"""),1)</f>
        <v>1</v>
      </c>
      <c r="D2126" s="8">
        <f ca="1">IFERROR(__xludf.DUMMYFUNCTION("""COMPUTED_VALUE"""),1)</f>
        <v>1</v>
      </c>
      <c r="E2126" s="2">
        <f ca="1">IFERROR(__xludf.DUMMYFUNCTION("""COMPUTED_VALUE"""),1)</f>
        <v>1</v>
      </c>
    </row>
    <row r="2127" spans="1:5" ht="13">
      <c r="A2127" s="2" t="str">
        <f ca="1">IFERROR(__xludf.DUMMYFUNCTION("""COMPUTED_VALUE"""),"DiOrio, Dominick")</f>
        <v>DiOrio, Dominick</v>
      </c>
      <c r="B2127" s="3">
        <f ca="1">IFERROR(__xludf.DUMMYFUNCTION("""COMPUTED_VALUE"""),1)</f>
        <v>1</v>
      </c>
      <c r="C2127" s="7">
        <f ca="1">IFERROR(__xludf.DUMMYFUNCTION("""COMPUTED_VALUE"""),1)</f>
        <v>1</v>
      </c>
      <c r="D2127" s="8">
        <f ca="1">IFERROR(__xludf.DUMMYFUNCTION("""COMPUTED_VALUE"""),1)</f>
        <v>1</v>
      </c>
      <c r="E2127" s="2">
        <f ca="1">IFERROR(__xludf.DUMMYFUNCTION("""COMPUTED_VALUE"""),1)</f>
        <v>1</v>
      </c>
    </row>
    <row r="2128" spans="1:5" ht="13">
      <c r="A2128" s="8" t="str">
        <f ca="1">IFERROR(__xludf.DUMMYFUNCTION("""COMPUTED_VALUE"""),"Director, Scott")</f>
        <v>Director, Scott</v>
      </c>
      <c r="B2128" s="3">
        <f ca="1">IFERROR(__xludf.DUMMYFUNCTION("""COMPUTED_VALUE"""),1)</f>
        <v>1</v>
      </c>
      <c r="C2128" s="7">
        <f ca="1">IFERROR(__xludf.DUMMYFUNCTION("""COMPUTED_VALUE"""),1)</f>
        <v>1</v>
      </c>
      <c r="D2128" s="8">
        <f ca="1">IFERROR(__xludf.DUMMYFUNCTION("""COMPUTED_VALUE"""),1)</f>
        <v>1</v>
      </c>
      <c r="E2128" s="2">
        <f ca="1">IFERROR(__xludf.DUMMYFUNCTION("""COMPUTED_VALUE"""),1)</f>
        <v>1</v>
      </c>
    </row>
    <row r="2129" spans="1:5" ht="13">
      <c r="A2129" s="2" t="str">
        <f ca="1">IFERROR(__xludf.DUMMYFUNCTION("""COMPUTED_VALUE"""),"Dirksen, Richard")</f>
        <v>Dirksen, Richard</v>
      </c>
      <c r="B2129" s="3">
        <f ca="1">IFERROR(__xludf.DUMMYFUNCTION("""COMPUTED_VALUE"""),1)</f>
        <v>1</v>
      </c>
      <c r="C2129" s="7">
        <f ca="1">IFERROR(__xludf.DUMMYFUNCTION("""COMPUTED_VALUE"""),1)</f>
        <v>1</v>
      </c>
      <c r="D2129" s="8">
        <f ca="1">IFERROR(__xludf.DUMMYFUNCTION("""COMPUTED_VALUE"""),5)</f>
        <v>5</v>
      </c>
      <c r="E2129" s="2">
        <f ca="1">IFERROR(__xludf.DUMMYFUNCTION("""COMPUTED_VALUE"""),2)</f>
        <v>2</v>
      </c>
    </row>
    <row r="2130" spans="1:5" ht="13">
      <c r="A2130" s="2" t="str">
        <f ca="1">IFERROR(__xludf.DUMMYFUNCTION("""COMPUTED_VALUE"""),"Dishinger, Ron")</f>
        <v>Dishinger, Ron</v>
      </c>
      <c r="B2130" s="3">
        <f ca="1">IFERROR(__xludf.DUMMYFUNCTION("""COMPUTED_VALUE"""),1)</f>
        <v>1</v>
      </c>
      <c r="C2130" s="7">
        <f ca="1">IFERROR(__xludf.DUMMYFUNCTION("""COMPUTED_VALUE"""),1)</f>
        <v>1</v>
      </c>
      <c r="D2130" s="8">
        <f ca="1">IFERROR(__xludf.DUMMYFUNCTION("""COMPUTED_VALUE"""),1)</f>
        <v>1</v>
      </c>
      <c r="E2130" s="2">
        <f ca="1">IFERROR(__xludf.DUMMYFUNCTION("""COMPUTED_VALUE"""),1)</f>
        <v>1</v>
      </c>
    </row>
    <row r="2131" spans="1:5" ht="13">
      <c r="A2131" s="8" t="str">
        <f ca="1">IFERROR(__xludf.DUMMYFUNCTION("""COMPUTED_VALUE"""),"Dishinger, Ronald")</f>
        <v>Dishinger, Ronald</v>
      </c>
      <c r="B2131" s="3">
        <f ca="1">IFERROR(__xludf.DUMMYFUNCTION("""COMPUTED_VALUE"""),1)</f>
        <v>1</v>
      </c>
      <c r="C2131" s="7">
        <f ca="1">IFERROR(__xludf.DUMMYFUNCTION("""COMPUTED_VALUE"""),1)</f>
        <v>1</v>
      </c>
      <c r="D2131" s="8">
        <f ca="1">IFERROR(__xludf.DUMMYFUNCTION("""COMPUTED_VALUE"""),5)</f>
        <v>5</v>
      </c>
      <c r="E2131" s="2">
        <f ca="1">IFERROR(__xludf.DUMMYFUNCTION("""COMPUTED_VALUE"""),2)</f>
        <v>2</v>
      </c>
    </row>
    <row r="2132" spans="1:5" ht="13">
      <c r="A2132" s="2" t="str">
        <f ca="1">IFERROR(__xludf.DUMMYFUNCTION("""COMPUTED_VALUE"""),"Disney, Bob")</f>
        <v>Disney, Bob</v>
      </c>
      <c r="B2132" s="2">
        <f ca="1">IFERROR(__xludf.DUMMYFUNCTION("""COMPUTED_VALUE"""),1)</f>
        <v>1</v>
      </c>
      <c r="C2132" s="7">
        <f ca="1">IFERROR(__xludf.DUMMYFUNCTION("""COMPUTED_VALUE"""),1)</f>
        <v>1</v>
      </c>
      <c r="D2132" s="8">
        <f ca="1">IFERROR(__xludf.DUMMYFUNCTION("""COMPUTED_VALUE"""),1)</f>
        <v>1</v>
      </c>
      <c r="E2132" s="2">
        <f ca="1">IFERROR(__xludf.DUMMYFUNCTION("""COMPUTED_VALUE"""),1)</f>
        <v>1</v>
      </c>
    </row>
    <row r="2133" spans="1:5" ht="13">
      <c r="A2133" s="2" t="str">
        <f ca="1">IFERROR(__xludf.DUMMYFUNCTION("""COMPUTED_VALUE"""),"Distler, Hugo")</f>
        <v>Distler, Hugo</v>
      </c>
      <c r="B2133" s="3">
        <f ca="1">IFERROR(__xludf.DUMMYFUNCTION("""COMPUTED_VALUE"""),1)</f>
        <v>1</v>
      </c>
      <c r="C2133" s="7">
        <f ca="1">IFERROR(__xludf.DUMMYFUNCTION("""COMPUTED_VALUE"""),1)</f>
        <v>1</v>
      </c>
      <c r="D2133" s="8">
        <f ca="1">IFERROR(__xludf.DUMMYFUNCTION("""COMPUTED_VALUE"""),5)</f>
        <v>5</v>
      </c>
      <c r="E2133" s="2">
        <f ca="1">IFERROR(__xludf.DUMMYFUNCTION("""COMPUTED_VALUE"""),2)</f>
        <v>2</v>
      </c>
    </row>
    <row r="2134" spans="1:5" ht="13">
      <c r="A2134" s="2" t="str">
        <f ca="1">IFERROR(__xludf.DUMMYFUNCTION("""COMPUTED_VALUE"""),"Dittersdorf, Karl")</f>
        <v>Dittersdorf, Karl</v>
      </c>
      <c r="B2134" s="3">
        <f ca="1">IFERROR(__xludf.DUMMYFUNCTION("""COMPUTED_VALUE"""),1)</f>
        <v>1</v>
      </c>
      <c r="C2134" s="7">
        <f ca="1">IFERROR(__xludf.DUMMYFUNCTION("""COMPUTED_VALUE"""),1)</f>
        <v>1</v>
      </c>
      <c r="D2134" s="8">
        <f ca="1">IFERROR(__xludf.DUMMYFUNCTION("""COMPUTED_VALUE"""),5)</f>
        <v>5</v>
      </c>
      <c r="E2134" s="2">
        <f ca="1">IFERROR(__xludf.DUMMYFUNCTION("""COMPUTED_VALUE"""),2)</f>
        <v>2</v>
      </c>
    </row>
    <row r="2135" spans="1:5" ht="13">
      <c r="A2135" s="8" t="str">
        <f ca="1">IFERROR(__xludf.DUMMYFUNCTION("""COMPUTED_VALUE"""),"Dittersdorf, Karl Ditters von")</f>
        <v>Dittersdorf, Karl Ditters von</v>
      </c>
      <c r="B2135" s="3">
        <f ca="1">IFERROR(__xludf.DUMMYFUNCTION("""COMPUTED_VALUE"""),1)</f>
        <v>1</v>
      </c>
      <c r="C2135" s="7">
        <f ca="1">IFERROR(__xludf.DUMMYFUNCTION("""COMPUTED_VALUE"""),1)</f>
        <v>1</v>
      </c>
      <c r="D2135" s="8">
        <f ca="1">IFERROR(__xludf.DUMMYFUNCTION("""COMPUTED_VALUE"""),5)</f>
        <v>5</v>
      </c>
      <c r="E2135" s="2">
        <f ca="1">IFERROR(__xludf.DUMMYFUNCTION("""COMPUTED_VALUE"""),2)</f>
        <v>2</v>
      </c>
    </row>
    <row r="2136" spans="1:5" ht="13">
      <c r="A2136" s="8" t="str">
        <f ca="1">IFERROR(__xludf.DUMMYFUNCTION("""COMPUTED_VALUE"""),"Dittmar, Shane")</f>
        <v>Dittmar, Shane</v>
      </c>
      <c r="B2136" s="2">
        <f ca="1">IFERROR(__xludf.DUMMYFUNCTION("""COMPUTED_VALUE"""),1)</f>
        <v>1</v>
      </c>
      <c r="C2136" s="7">
        <f ca="1">IFERROR(__xludf.DUMMYFUNCTION("""COMPUTED_VALUE"""),1)</f>
        <v>1</v>
      </c>
      <c r="D2136" s="8">
        <f ca="1">IFERROR(__xludf.DUMMYFUNCTION("""COMPUTED_VALUE"""),1)</f>
        <v>1</v>
      </c>
      <c r="E2136" s="2">
        <f ca="1">IFERROR(__xludf.DUMMYFUNCTION("""COMPUTED_VALUE"""),1)</f>
        <v>1</v>
      </c>
    </row>
    <row r="2137" spans="1:5" ht="13">
      <c r="A2137" s="2" t="str">
        <f ca="1">IFERROR(__xludf.DUMMYFUNCTION("""COMPUTED_VALUE"""),"Dix, Airlie")</f>
        <v>Dix, Airlie</v>
      </c>
      <c r="B2137" s="3">
        <f ca="1">IFERROR(__xludf.DUMMYFUNCTION("""COMPUTED_VALUE"""),1)</f>
        <v>1</v>
      </c>
      <c r="C2137" s="7">
        <f ca="1">IFERROR(__xludf.DUMMYFUNCTION("""COMPUTED_VALUE"""),1)</f>
        <v>1</v>
      </c>
      <c r="D2137" s="8">
        <f ca="1">IFERROR(__xludf.DUMMYFUNCTION("""COMPUTED_VALUE"""),5)</f>
        <v>5</v>
      </c>
      <c r="E2137" s="2">
        <f ca="1">IFERROR(__xludf.DUMMYFUNCTION("""COMPUTED_VALUE"""),2)</f>
        <v>2</v>
      </c>
    </row>
    <row r="2138" spans="1:5" ht="13">
      <c r="A2138" s="2" t="str">
        <f ca="1">IFERROR(__xludf.DUMMYFUNCTION("""COMPUTED_VALUE"""),"Dixon, John S.")</f>
        <v>Dixon, John S.</v>
      </c>
      <c r="B2138" s="3">
        <f ca="1">IFERROR(__xludf.DUMMYFUNCTION("""COMPUTED_VALUE"""),1)</f>
        <v>1</v>
      </c>
      <c r="C2138" s="7">
        <f ca="1">IFERROR(__xludf.DUMMYFUNCTION("""COMPUTED_VALUE"""),1)</f>
        <v>1</v>
      </c>
      <c r="D2138" s="8">
        <f ca="1">IFERROR(__xludf.DUMMYFUNCTION("""COMPUTED_VALUE"""),1)</f>
        <v>1</v>
      </c>
      <c r="E2138" s="2">
        <f ca="1">IFERROR(__xludf.DUMMYFUNCTION("""COMPUTED_VALUE"""),1)</f>
        <v>1</v>
      </c>
    </row>
    <row r="2139" spans="1:5" ht="13">
      <c r="A2139" s="2" t="str">
        <f ca="1">IFERROR(__xludf.DUMMYFUNCTION("""COMPUTED_VALUE"""),"Dixon, Mort")</f>
        <v>Dixon, Mort</v>
      </c>
      <c r="B2139" s="3">
        <f ca="1">IFERROR(__xludf.DUMMYFUNCTION("""COMPUTED_VALUE"""),1)</f>
        <v>1</v>
      </c>
      <c r="C2139" s="7">
        <f ca="1">IFERROR(__xludf.DUMMYFUNCTION("""COMPUTED_VALUE"""),1)</f>
        <v>1</v>
      </c>
      <c r="D2139" s="8">
        <f ca="1">IFERROR(__xludf.DUMMYFUNCTION("""COMPUTED_VALUE"""),5)</f>
        <v>5</v>
      </c>
      <c r="E2139" s="2">
        <f ca="1">IFERROR(__xludf.DUMMYFUNCTION("""COMPUTED_VALUE"""),2)</f>
        <v>2</v>
      </c>
    </row>
    <row r="2140" spans="1:5" ht="13">
      <c r="A2140" s="8" t="str">
        <f ca="1">IFERROR(__xludf.DUMMYFUNCTION("""COMPUTED_VALUE"""),"Djupstrom, Michael")</f>
        <v>Djupstrom, Michael</v>
      </c>
      <c r="B2140" s="3">
        <f ca="1">IFERROR(__xludf.DUMMYFUNCTION("""COMPUTED_VALUE"""),1)</f>
        <v>1</v>
      </c>
      <c r="C2140" s="7">
        <f ca="1">IFERROR(__xludf.DUMMYFUNCTION("""COMPUTED_VALUE"""),1)</f>
        <v>1</v>
      </c>
      <c r="D2140" s="8">
        <f ca="1">IFERROR(__xludf.DUMMYFUNCTION("""COMPUTED_VALUE"""),1)</f>
        <v>1</v>
      </c>
      <c r="E2140" s="2">
        <f ca="1">IFERROR(__xludf.DUMMYFUNCTION("""COMPUTED_VALUE"""),1)</f>
        <v>1</v>
      </c>
    </row>
    <row r="2141" spans="1:5" ht="13">
      <c r="A2141" s="2" t="str">
        <f ca="1">IFERROR(__xludf.DUMMYFUNCTION("""COMPUTED_VALUE"""),"Doan, Gerald")</f>
        <v>Doan, Gerald</v>
      </c>
      <c r="B2141" s="2">
        <f ca="1">IFERROR(__xludf.DUMMYFUNCTION("""COMPUTED_VALUE"""),1)</f>
        <v>1</v>
      </c>
      <c r="C2141" s="7">
        <f ca="1">IFERROR(__xludf.DUMMYFUNCTION("""COMPUTED_VALUE"""),1)</f>
        <v>1</v>
      </c>
      <c r="D2141" s="8">
        <f ca="1">IFERROR(__xludf.DUMMYFUNCTION("""COMPUTED_VALUE"""),1)</f>
        <v>1</v>
      </c>
      <c r="E2141" s="2">
        <f ca="1">IFERROR(__xludf.DUMMYFUNCTION("""COMPUTED_VALUE"""),1)</f>
        <v>1</v>
      </c>
    </row>
    <row r="2142" spans="1:5" ht="13">
      <c r="A2142" s="2" t="str">
        <f ca="1">IFERROR(__xludf.DUMMYFUNCTION("""COMPUTED_VALUE"""),"Doan, Gerald R.")</f>
        <v>Doan, Gerald R.</v>
      </c>
      <c r="B2142" s="3">
        <f ca="1">IFERROR(__xludf.DUMMYFUNCTION("""COMPUTED_VALUE"""),1)</f>
        <v>1</v>
      </c>
      <c r="C2142" s="7">
        <f ca="1">IFERROR(__xludf.DUMMYFUNCTION("""COMPUTED_VALUE"""),1)</f>
        <v>1</v>
      </c>
      <c r="D2142" s="8">
        <f ca="1">IFERROR(__xludf.DUMMYFUNCTION("""COMPUTED_VALUE"""),1)</f>
        <v>1</v>
      </c>
      <c r="E2142" s="2">
        <f ca="1">IFERROR(__xludf.DUMMYFUNCTION("""COMPUTED_VALUE"""),1)</f>
        <v>1</v>
      </c>
    </row>
    <row r="2143" spans="1:5" ht="13">
      <c r="A2143" s="2" t="str">
        <f ca="1">IFERROR(__xludf.DUMMYFUNCTION("""COMPUTED_VALUE"""),"Docter, Zachary")</f>
        <v>Docter, Zachary</v>
      </c>
      <c r="B2143" s="3">
        <f ca="1">IFERROR(__xludf.DUMMYFUNCTION("""COMPUTED_VALUE"""),1)</f>
        <v>1</v>
      </c>
      <c r="C2143" s="7">
        <f ca="1">IFERROR(__xludf.DUMMYFUNCTION("""COMPUTED_VALUE"""),1)</f>
        <v>1</v>
      </c>
      <c r="D2143" s="8">
        <f ca="1">IFERROR(__xludf.DUMMYFUNCTION("""COMPUTED_VALUE"""),1)</f>
        <v>1</v>
      </c>
      <c r="E2143" s="3">
        <f ca="1">IFERROR(__xludf.DUMMYFUNCTION("""COMPUTED_VALUE"""),1)</f>
        <v>1</v>
      </c>
    </row>
    <row r="2144" spans="1:5" ht="13">
      <c r="A2144" s="8" t="str">
        <f ca="1">IFERROR(__xludf.DUMMYFUNCTION("""COMPUTED_VALUE"""),"Dodd, Jimmie")</f>
        <v>Dodd, Jimmie</v>
      </c>
      <c r="B2144" s="3">
        <f ca="1">IFERROR(__xludf.DUMMYFUNCTION("""COMPUTED_VALUE"""),1)</f>
        <v>1</v>
      </c>
      <c r="C2144" s="7">
        <f ca="1">IFERROR(__xludf.DUMMYFUNCTION("""COMPUTED_VALUE"""),1)</f>
        <v>1</v>
      </c>
      <c r="D2144" s="8">
        <f ca="1">IFERROR(__xludf.DUMMYFUNCTION("""COMPUTED_VALUE"""),5)</f>
        <v>5</v>
      </c>
      <c r="E2144" s="2">
        <f ca="1">IFERROR(__xludf.DUMMYFUNCTION("""COMPUTED_VALUE"""),2)</f>
        <v>2</v>
      </c>
    </row>
    <row r="2145" spans="1:5" ht="13">
      <c r="A2145" s="2" t="str">
        <f ca="1">IFERROR(__xludf.DUMMYFUNCTION("""COMPUTED_VALUE"""),"Doebler, Lawrence")</f>
        <v>Doebler, Lawrence</v>
      </c>
      <c r="B2145" s="2">
        <f ca="1">IFERROR(__xludf.DUMMYFUNCTION("""COMPUTED_VALUE"""),1)</f>
        <v>1</v>
      </c>
      <c r="C2145" s="2">
        <f ca="1">IFERROR(__xludf.DUMMYFUNCTION("""COMPUTED_VALUE"""),1)</f>
        <v>1</v>
      </c>
      <c r="D2145" s="8">
        <f ca="1">IFERROR(__xludf.DUMMYFUNCTION("""COMPUTED_VALUE"""),1)</f>
        <v>1</v>
      </c>
      <c r="E2145" s="2">
        <f ca="1">IFERROR(__xludf.DUMMYFUNCTION("""COMPUTED_VALUE"""),1)</f>
        <v>1</v>
      </c>
    </row>
    <row r="2146" spans="1:5" ht="13">
      <c r="A2146" s="8" t="str">
        <f ca="1">IFERROR(__xludf.DUMMYFUNCTION("""COMPUTED_VALUE"""),"Doflein, Erich")</f>
        <v>Doflein, Erich</v>
      </c>
      <c r="B2146" s="3">
        <f ca="1">IFERROR(__xludf.DUMMYFUNCTION("""COMPUTED_VALUE"""),1)</f>
        <v>1</v>
      </c>
      <c r="C2146" s="7">
        <f ca="1">IFERROR(__xludf.DUMMYFUNCTION("""COMPUTED_VALUE"""),1)</f>
        <v>1</v>
      </c>
      <c r="D2146" s="8">
        <f ca="1">IFERROR(__xludf.DUMMYFUNCTION("""COMPUTED_VALUE"""),5)</f>
        <v>5</v>
      </c>
      <c r="E2146" s="2">
        <f ca="1">IFERROR(__xludf.DUMMYFUNCTION("""COMPUTED_VALUE"""),2)</f>
        <v>2</v>
      </c>
    </row>
    <row r="2147" spans="1:5" ht="13">
      <c r="A2147" s="8" t="str">
        <f ca="1">IFERROR(__xludf.DUMMYFUNCTION("""COMPUTED_VALUE"""),"Dohnányi, Ernst von")</f>
        <v>Dohnányi, Ernst von</v>
      </c>
      <c r="B2147" s="3">
        <f ca="1">IFERROR(__xludf.DUMMYFUNCTION("""COMPUTED_VALUE"""),1)</f>
        <v>1</v>
      </c>
      <c r="C2147" s="7">
        <f ca="1">IFERROR(__xludf.DUMMYFUNCTION("""COMPUTED_VALUE"""),1)</f>
        <v>1</v>
      </c>
      <c r="D2147" s="8">
        <f ca="1">IFERROR(__xludf.DUMMYFUNCTION("""COMPUTED_VALUE"""),5)</f>
        <v>5</v>
      </c>
      <c r="E2147" s="2">
        <f ca="1">IFERROR(__xludf.DUMMYFUNCTION("""COMPUTED_VALUE"""),2)</f>
        <v>2</v>
      </c>
    </row>
    <row r="2148" spans="1:5" ht="13">
      <c r="A2148" s="2" t="str">
        <f ca="1">IFERROR(__xludf.DUMMYFUNCTION("""COMPUTED_VALUE"""),"Dolan, Robert Emmett")</f>
        <v>Dolan, Robert Emmett</v>
      </c>
      <c r="B2148" s="3">
        <f ca="1">IFERROR(__xludf.DUMMYFUNCTION("""COMPUTED_VALUE"""),1)</f>
        <v>1</v>
      </c>
      <c r="C2148" s="7">
        <f ca="1">IFERROR(__xludf.DUMMYFUNCTION("""COMPUTED_VALUE"""),1)</f>
        <v>1</v>
      </c>
      <c r="D2148" s="8">
        <f ca="1">IFERROR(__xludf.DUMMYFUNCTION("""COMPUTED_VALUE"""),5)</f>
        <v>5</v>
      </c>
      <c r="E2148" s="2">
        <f ca="1">IFERROR(__xludf.DUMMYFUNCTION("""COMPUTED_VALUE"""),2)</f>
        <v>2</v>
      </c>
    </row>
    <row r="2149" spans="1:5" ht="13">
      <c r="A2149" s="2" t="str">
        <f ca="1">IFERROR(__xludf.DUMMYFUNCTION("""COMPUTED_VALUE"""),"Donahue, Jack / Eldridge, Peter")</f>
        <v>Donahue, Jack / Eldridge, Peter</v>
      </c>
      <c r="B2149" s="3">
        <f ca="1">IFERROR(__xludf.DUMMYFUNCTION("""COMPUTED_VALUE"""),1)</f>
        <v>1</v>
      </c>
      <c r="C2149" s="7">
        <f ca="1">IFERROR(__xludf.DUMMYFUNCTION("""COMPUTED_VALUE"""),1)</f>
        <v>1</v>
      </c>
      <c r="D2149" s="8">
        <f ca="1">IFERROR(__xludf.DUMMYFUNCTION("""COMPUTED_VALUE"""),1)</f>
        <v>1</v>
      </c>
      <c r="E2149" s="2">
        <f ca="1">IFERROR(__xludf.DUMMYFUNCTION("""COMPUTED_VALUE"""),1)</f>
        <v>1</v>
      </c>
    </row>
    <row r="2150" spans="1:5" ht="13">
      <c r="A2150" s="8" t="str">
        <f ca="1">IFERROR(__xludf.DUMMYFUNCTION("""COMPUTED_VALUE"""),"Donahue, M.")</f>
        <v>Donahue, M.</v>
      </c>
      <c r="B2150" s="3">
        <f ca="1">IFERROR(__xludf.DUMMYFUNCTION("""COMPUTED_VALUE"""),1)</f>
        <v>1</v>
      </c>
      <c r="C2150" s="7">
        <f ca="1">IFERROR(__xludf.DUMMYFUNCTION("""COMPUTED_VALUE"""),1)</f>
        <v>1</v>
      </c>
      <c r="D2150" s="8">
        <f ca="1">IFERROR(__xludf.DUMMYFUNCTION("""COMPUTED_VALUE"""),5)</f>
        <v>5</v>
      </c>
      <c r="E2150" s="2">
        <f ca="1">IFERROR(__xludf.DUMMYFUNCTION("""COMPUTED_VALUE"""),2)</f>
        <v>2</v>
      </c>
    </row>
    <row r="2151" spans="1:5" ht="13">
      <c r="A2151" s="2" t="str">
        <f ca="1">IFERROR(__xludf.DUMMYFUNCTION("""COMPUTED_VALUE"""),"Donaldson, Walter")</f>
        <v>Donaldson, Walter</v>
      </c>
      <c r="B2151" s="3">
        <f ca="1">IFERROR(__xludf.DUMMYFUNCTION("""COMPUTED_VALUE"""),1)</f>
        <v>1</v>
      </c>
      <c r="C2151" s="7">
        <f ca="1">IFERROR(__xludf.DUMMYFUNCTION("""COMPUTED_VALUE"""),1)</f>
        <v>1</v>
      </c>
      <c r="D2151" s="8">
        <f ca="1">IFERROR(__xludf.DUMMYFUNCTION("""COMPUTED_VALUE"""),5)</f>
        <v>5</v>
      </c>
      <c r="E2151" s="2">
        <f ca="1">IFERROR(__xludf.DUMMYFUNCTION("""COMPUTED_VALUE"""),2)</f>
        <v>2</v>
      </c>
    </row>
    <row r="2152" spans="1:5" ht="13">
      <c r="A2152" s="2" t="str">
        <f ca="1">IFERROR(__xludf.DUMMYFUNCTION("""COMPUTED_VALUE"""),"Donaldson, Walter / Kahn, Gus")</f>
        <v>Donaldson, Walter / Kahn, Gus</v>
      </c>
      <c r="B2152" s="3">
        <f ca="1">IFERROR(__xludf.DUMMYFUNCTION("""COMPUTED_VALUE"""),1)</f>
        <v>1</v>
      </c>
      <c r="C2152" s="7">
        <f ca="1">IFERROR(__xludf.DUMMYFUNCTION("""COMPUTED_VALUE"""),1)</f>
        <v>1</v>
      </c>
      <c r="D2152" s="8">
        <f ca="1">IFERROR(__xludf.DUMMYFUNCTION("""COMPUTED_VALUE"""),5)</f>
        <v>5</v>
      </c>
      <c r="E2152" s="2">
        <f ca="1">IFERROR(__xludf.DUMMYFUNCTION("""COMPUTED_VALUE"""),2)</f>
        <v>2</v>
      </c>
    </row>
    <row r="2153" spans="1:5" ht="13">
      <c r="A2153" s="8" t="str">
        <f ca="1">IFERROR(__xludf.DUMMYFUNCTION("""COMPUTED_VALUE"""),"Donatelli, Nicola")</f>
        <v>Donatelli, Nicola</v>
      </c>
      <c r="B2153" s="3">
        <f ca="1">IFERROR(__xludf.DUMMYFUNCTION("""COMPUTED_VALUE"""),1)</f>
        <v>1</v>
      </c>
      <c r="C2153" s="7">
        <f ca="1">IFERROR(__xludf.DUMMYFUNCTION("""COMPUTED_VALUE"""),1)</f>
        <v>1</v>
      </c>
      <c r="D2153" s="8">
        <f ca="1">IFERROR(__xludf.DUMMYFUNCTION("""COMPUTED_VALUE"""),5)</f>
        <v>5</v>
      </c>
      <c r="E2153" s="2">
        <f ca="1">IFERROR(__xludf.DUMMYFUNCTION("""COMPUTED_VALUE"""),2)</f>
        <v>2</v>
      </c>
    </row>
    <row r="2154" spans="1:5" ht="13">
      <c r="A2154" s="2" t="str">
        <f ca="1">IFERROR(__xludf.DUMMYFUNCTION("""COMPUTED_VALUE"""),"Donati, Ignazio")</f>
        <v>Donati, Ignazio</v>
      </c>
      <c r="B2154" s="3">
        <f ca="1">IFERROR(__xludf.DUMMYFUNCTION("""COMPUTED_VALUE"""),1)</f>
        <v>1</v>
      </c>
      <c r="C2154" s="7">
        <f ca="1">IFERROR(__xludf.DUMMYFUNCTION("""COMPUTED_VALUE"""),1)</f>
        <v>1</v>
      </c>
      <c r="D2154" s="8">
        <f ca="1">IFERROR(__xludf.DUMMYFUNCTION("""COMPUTED_VALUE"""),5)</f>
        <v>5</v>
      </c>
      <c r="E2154" s="2">
        <f ca="1">IFERROR(__xludf.DUMMYFUNCTION("""COMPUTED_VALUE"""),2)</f>
        <v>2</v>
      </c>
    </row>
    <row r="2155" spans="1:5" ht="13">
      <c r="A2155" s="2" t="str">
        <f ca="1">IFERROR(__xludf.DUMMYFUNCTION("""COMPUTED_VALUE"""),"Donato, Anthony")</f>
        <v>Donato, Anthony</v>
      </c>
      <c r="B2155" s="2">
        <f ca="1">IFERROR(__xludf.DUMMYFUNCTION("""COMPUTED_VALUE"""),1)</f>
        <v>1</v>
      </c>
      <c r="C2155" s="7">
        <f ca="1">IFERROR(__xludf.DUMMYFUNCTION("""COMPUTED_VALUE"""),1)</f>
        <v>1</v>
      </c>
      <c r="D2155" s="8">
        <f ca="1">IFERROR(__xludf.DUMMYFUNCTION("""COMPUTED_VALUE"""),5)</f>
        <v>5</v>
      </c>
      <c r="E2155" s="2">
        <f ca="1">IFERROR(__xludf.DUMMYFUNCTION("""COMPUTED_VALUE"""),2)</f>
        <v>2</v>
      </c>
    </row>
    <row r="2156" spans="1:5" ht="13">
      <c r="A2156" s="8" t="str">
        <f ca="1">IFERROR(__xludf.DUMMYFUNCTION("""COMPUTED_VALUE"""),"Donato, Baldassare")</f>
        <v>Donato, Baldassare</v>
      </c>
      <c r="B2156" s="3">
        <f ca="1">IFERROR(__xludf.DUMMYFUNCTION("""COMPUTED_VALUE"""),1)</f>
        <v>1</v>
      </c>
      <c r="C2156" s="7">
        <f ca="1">IFERROR(__xludf.DUMMYFUNCTION("""COMPUTED_VALUE"""),1)</f>
        <v>1</v>
      </c>
      <c r="D2156" s="8">
        <f ca="1">IFERROR(__xludf.DUMMYFUNCTION("""COMPUTED_VALUE"""),5)</f>
        <v>5</v>
      </c>
      <c r="E2156" s="2">
        <f ca="1">IFERROR(__xludf.DUMMYFUNCTION("""COMPUTED_VALUE"""),2)</f>
        <v>2</v>
      </c>
    </row>
    <row r="2157" spans="1:5" ht="13">
      <c r="A2157" s="2" t="str">
        <f ca="1">IFERROR(__xludf.DUMMYFUNCTION("""COMPUTED_VALUE"""),"Donaudy, Stefano")</f>
        <v>Donaudy, Stefano</v>
      </c>
      <c r="B2157" s="3">
        <f ca="1">IFERROR(__xludf.DUMMYFUNCTION("""COMPUTED_VALUE"""),1)</f>
        <v>1</v>
      </c>
      <c r="C2157" s="7">
        <f ca="1">IFERROR(__xludf.DUMMYFUNCTION("""COMPUTED_VALUE"""),1)</f>
        <v>1</v>
      </c>
      <c r="D2157" s="8">
        <f ca="1">IFERROR(__xludf.DUMMYFUNCTION("""COMPUTED_VALUE"""),5)</f>
        <v>5</v>
      </c>
      <c r="E2157" s="2">
        <f ca="1">IFERROR(__xludf.DUMMYFUNCTION("""COMPUTED_VALUE"""),2)</f>
        <v>2</v>
      </c>
    </row>
    <row r="2158" spans="1:5" ht="13">
      <c r="A2158" s="8" t="str">
        <f ca="1">IFERROR(__xludf.DUMMYFUNCTION("""COMPUTED_VALUE"""),"Dondeyne, Desiré")</f>
        <v>Dondeyne, Desiré</v>
      </c>
      <c r="B2158" s="3">
        <f ca="1">IFERROR(__xludf.DUMMYFUNCTION("""COMPUTED_VALUE"""),1)</f>
        <v>1</v>
      </c>
      <c r="C2158" s="7">
        <f ca="1">IFERROR(__xludf.DUMMYFUNCTION("""COMPUTED_VALUE"""),1)</f>
        <v>1</v>
      </c>
      <c r="D2158" s="8">
        <f ca="1">IFERROR(__xludf.DUMMYFUNCTION("""COMPUTED_VALUE"""),5)</f>
        <v>5</v>
      </c>
      <c r="E2158" s="2">
        <f ca="1">IFERROR(__xludf.DUMMYFUNCTION("""COMPUTED_VALUE"""),2)</f>
        <v>2</v>
      </c>
    </row>
    <row r="2159" spans="1:5" ht="13">
      <c r="A2159" s="8" t="str">
        <f ca="1">IFERROR(__xludf.DUMMYFUNCTION("""COMPUTED_VALUE"""),"Donizetti, Gaetano")</f>
        <v>Donizetti, Gaetano</v>
      </c>
      <c r="B2159" s="3">
        <f ca="1">IFERROR(__xludf.DUMMYFUNCTION("""COMPUTED_VALUE"""),1)</f>
        <v>1</v>
      </c>
      <c r="C2159" s="7">
        <f ca="1">IFERROR(__xludf.DUMMYFUNCTION("""COMPUTED_VALUE"""),1)</f>
        <v>1</v>
      </c>
      <c r="D2159" s="8">
        <f ca="1">IFERROR(__xludf.DUMMYFUNCTION("""COMPUTED_VALUE"""),5)</f>
        <v>5</v>
      </c>
      <c r="E2159" s="2">
        <f ca="1">IFERROR(__xludf.DUMMYFUNCTION("""COMPUTED_VALUE"""),2)</f>
        <v>2</v>
      </c>
    </row>
    <row r="2160" spans="1:5" ht="13">
      <c r="A2160" s="2" t="str">
        <f ca="1">IFERROR(__xludf.DUMMYFUNCTION("""COMPUTED_VALUE"""),"Donohue, Richard")</f>
        <v>Donohue, Richard</v>
      </c>
      <c r="B2160" s="3">
        <f ca="1">IFERROR(__xludf.DUMMYFUNCTION("""COMPUTED_VALUE"""),1)</f>
        <v>1</v>
      </c>
      <c r="C2160" s="7">
        <f ca="1">IFERROR(__xludf.DUMMYFUNCTION("""COMPUTED_VALUE"""),1)</f>
        <v>1</v>
      </c>
      <c r="D2160" s="8">
        <f ca="1">IFERROR(__xludf.DUMMYFUNCTION("""COMPUTED_VALUE"""),1)</f>
        <v>1</v>
      </c>
      <c r="E2160" s="2">
        <f ca="1">IFERROR(__xludf.DUMMYFUNCTION("""COMPUTED_VALUE"""),1)</f>
        <v>1</v>
      </c>
    </row>
    <row r="2161" spans="1:5" ht="13">
      <c r="A2161" s="8" t="str">
        <f ca="1">IFERROR(__xludf.DUMMYFUNCTION("""COMPUTED_VALUE"""),"Donze, Chris")</f>
        <v>Donze, Chris</v>
      </c>
      <c r="B2161" s="3">
        <f ca="1">IFERROR(__xludf.DUMMYFUNCTION("""COMPUTED_VALUE"""),1)</f>
        <v>1</v>
      </c>
      <c r="C2161" s="7">
        <f ca="1">IFERROR(__xludf.DUMMYFUNCTION("""COMPUTED_VALUE"""),1)</f>
        <v>1</v>
      </c>
      <c r="D2161" s="8">
        <f ca="1">IFERROR(__xludf.DUMMYFUNCTION("""COMPUTED_VALUE"""),1)</f>
        <v>1</v>
      </c>
      <c r="E2161" s="2">
        <f ca="1">IFERROR(__xludf.DUMMYFUNCTION("""COMPUTED_VALUE"""),1)</f>
        <v>1</v>
      </c>
    </row>
    <row r="2162" spans="1:5" ht="13">
      <c r="A2162" s="8" t="str">
        <f ca="1">IFERROR(__xludf.DUMMYFUNCTION("""COMPUTED_VALUE"""),"Dooley, Paul")</f>
        <v>Dooley, Paul</v>
      </c>
      <c r="B2162" s="3">
        <f ca="1">IFERROR(__xludf.DUMMYFUNCTION("""COMPUTED_VALUE"""),1)</f>
        <v>1</v>
      </c>
      <c r="C2162" s="7">
        <f ca="1">IFERROR(__xludf.DUMMYFUNCTION("""COMPUTED_VALUE"""),1)</f>
        <v>1</v>
      </c>
      <c r="D2162" s="8">
        <f ca="1">IFERROR(__xludf.DUMMYFUNCTION("""COMPUTED_VALUE"""),1)</f>
        <v>1</v>
      </c>
      <c r="E2162" s="2">
        <f ca="1">IFERROR(__xludf.DUMMYFUNCTION("""COMPUTED_VALUE"""),1)</f>
        <v>1</v>
      </c>
    </row>
    <row r="2163" spans="1:5" ht="13">
      <c r="A2163" s="8" t="str">
        <f ca="1">IFERROR(__xludf.DUMMYFUNCTION("""COMPUTED_VALUE"""),"Doppler, Franz Albert")</f>
        <v>Doppler, Franz Albert</v>
      </c>
      <c r="B2163" s="3">
        <f ca="1">IFERROR(__xludf.DUMMYFUNCTION("""COMPUTED_VALUE"""),1)</f>
        <v>1</v>
      </c>
      <c r="C2163" s="7">
        <f ca="1">IFERROR(__xludf.DUMMYFUNCTION("""COMPUTED_VALUE"""),1)</f>
        <v>1</v>
      </c>
      <c r="D2163" s="8">
        <f ca="1">IFERROR(__xludf.DUMMYFUNCTION("""COMPUTED_VALUE"""),5)</f>
        <v>5</v>
      </c>
      <c r="E2163" s="2">
        <f ca="1">IFERROR(__xludf.DUMMYFUNCTION("""COMPUTED_VALUE"""),2)</f>
        <v>2</v>
      </c>
    </row>
    <row r="2164" spans="1:5" ht="13">
      <c r="A2164" s="8" t="str">
        <f ca="1">IFERROR(__xludf.DUMMYFUNCTION("""COMPUTED_VALUE"""),"Dorff, Daniel")</f>
        <v>Dorff, Daniel</v>
      </c>
      <c r="B2164" s="3">
        <f ca="1">IFERROR(__xludf.DUMMYFUNCTION("""COMPUTED_VALUE"""),1)</f>
        <v>1</v>
      </c>
      <c r="C2164" s="7">
        <f ca="1">IFERROR(__xludf.DUMMYFUNCTION("""COMPUTED_VALUE"""),1)</f>
        <v>1</v>
      </c>
      <c r="D2164" s="8">
        <f ca="1">IFERROR(__xludf.DUMMYFUNCTION("""COMPUTED_VALUE"""),1)</f>
        <v>1</v>
      </c>
      <c r="E2164" s="2">
        <f ca="1">IFERROR(__xludf.DUMMYFUNCTION("""COMPUTED_VALUE"""),1)</f>
        <v>1</v>
      </c>
    </row>
    <row r="2165" spans="1:5" ht="13">
      <c r="A2165" s="8" t="str">
        <f ca="1">IFERROR(__xludf.DUMMYFUNCTION("""COMPUTED_VALUE"""),"Dorman, Avner")</f>
        <v>Dorman, Avner</v>
      </c>
      <c r="B2165" s="3">
        <f ca="1">IFERROR(__xludf.DUMMYFUNCTION("""COMPUTED_VALUE"""),1)</f>
        <v>1</v>
      </c>
      <c r="C2165" s="7">
        <f ca="1">IFERROR(__xludf.DUMMYFUNCTION("""COMPUTED_VALUE"""),1)</f>
        <v>1</v>
      </c>
      <c r="D2165" s="8">
        <f ca="1">IFERROR(__xludf.DUMMYFUNCTION("""COMPUTED_VALUE"""),1)</f>
        <v>1</v>
      </c>
      <c r="E2165" s="2">
        <f ca="1">IFERROR(__xludf.DUMMYFUNCTION("""COMPUTED_VALUE"""),1)</f>
        <v>1</v>
      </c>
    </row>
    <row r="2166" spans="1:5" ht="13">
      <c r="A2166" s="8" t="str">
        <f ca="1">IFERROR(__xludf.DUMMYFUNCTION("""COMPUTED_VALUE"""),"Dorough, Bob")</f>
        <v>Dorough, Bob</v>
      </c>
      <c r="B2166" s="3">
        <f ca="1">IFERROR(__xludf.DUMMYFUNCTION("""COMPUTED_VALUE"""),1)</f>
        <v>1</v>
      </c>
      <c r="C2166" s="7">
        <f ca="1">IFERROR(__xludf.DUMMYFUNCTION("""COMPUTED_VALUE"""),1)</f>
        <v>1</v>
      </c>
      <c r="D2166" s="8">
        <f ca="1">IFERROR(__xludf.DUMMYFUNCTION("""COMPUTED_VALUE"""),5)</f>
        <v>5</v>
      </c>
      <c r="E2166" s="2">
        <f ca="1">IFERROR(__xludf.DUMMYFUNCTION("""COMPUTED_VALUE"""),2)</f>
        <v>2</v>
      </c>
    </row>
    <row r="2167" spans="1:5" ht="13">
      <c r="A2167" s="2" t="str">
        <f ca="1">IFERROR(__xludf.DUMMYFUNCTION("""COMPUTED_VALUE"""),"Dorough, Bob / Tucker. Ben")</f>
        <v>Dorough, Bob / Tucker. Ben</v>
      </c>
      <c r="B2167" s="3">
        <f ca="1">IFERROR(__xludf.DUMMYFUNCTION("""COMPUTED_VALUE"""),1)</f>
        <v>1</v>
      </c>
      <c r="C2167" s="7">
        <f ca="1">IFERROR(__xludf.DUMMYFUNCTION("""COMPUTED_VALUE"""),1)</f>
        <v>1</v>
      </c>
      <c r="D2167" s="8">
        <f ca="1">IFERROR(__xludf.DUMMYFUNCTION("""COMPUTED_VALUE"""),5)</f>
        <v>5</v>
      </c>
      <c r="E2167" s="2">
        <f ca="1">IFERROR(__xludf.DUMMYFUNCTION("""COMPUTED_VALUE"""),2)</f>
        <v>2</v>
      </c>
    </row>
    <row r="2168" spans="1:5" ht="13">
      <c r="A2168" s="2" t="str">
        <f ca="1">IFERROR(__xludf.DUMMYFUNCTION("""COMPUTED_VALUE"""),"Dorsey, Jimmy")</f>
        <v>Dorsey, Jimmy</v>
      </c>
      <c r="B2168" s="2">
        <f ca="1">IFERROR(__xludf.DUMMYFUNCTION("""COMPUTED_VALUE"""),1)</f>
        <v>1</v>
      </c>
      <c r="C2168" s="7">
        <f ca="1">IFERROR(__xludf.DUMMYFUNCTION("""COMPUTED_VALUE"""),1)</f>
        <v>1</v>
      </c>
      <c r="D2168" s="8">
        <f ca="1">IFERROR(__xludf.DUMMYFUNCTION("""COMPUTED_VALUE"""),5)</f>
        <v>5</v>
      </c>
      <c r="E2168" s="2">
        <f ca="1">IFERROR(__xludf.DUMMYFUNCTION("""COMPUTED_VALUE"""),2)</f>
        <v>2</v>
      </c>
    </row>
    <row r="2169" spans="1:5" ht="13">
      <c r="A2169" s="8" t="str">
        <f ca="1">IFERROR(__xludf.DUMMYFUNCTION("""COMPUTED_VALUE"""),"Doss, Thomas")</f>
        <v>Doss, Thomas</v>
      </c>
      <c r="B2169" s="3">
        <f ca="1">IFERROR(__xludf.DUMMYFUNCTION("""COMPUTED_VALUE"""),1)</f>
        <v>1</v>
      </c>
      <c r="C2169" s="7">
        <f ca="1">IFERROR(__xludf.DUMMYFUNCTION("""COMPUTED_VALUE"""),1)</f>
        <v>1</v>
      </c>
      <c r="D2169" s="8">
        <f ca="1">IFERROR(__xludf.DUMMYFUNCTION("""COMPUTED_VALUE"""),1)</f>
        <v>1</v>
      </c>
      <c r="E2169" s="2">
        <f ca="1">IFERROR(__xludf.DUMMYFUNCTION("""COMPUTED_VALUE"""),1)</f>
        <v>1</v>
      </c>
    </row>
    <row r="2170" spans="1:5" ht="13">
      <c r="A2170" s="8" t="str">
        <f ca="1">IFERROR(__xludf.DUMMYFUNCTION("""COMPUTED_VALUE"""),"Dostal, Hermann")</f>
        <v>Dostal, Hermann</v>
      </c>
      <c r="B2170" s="3">
        <f ca="1">IFERROR(__xludf.DUMMYFUNCTION("""COMPUTED_VALUE"""),1)</f>
        <v>1</v>
      </c>
      <c r="C2170" s="7">
        <f ca="1">IFERROR(__xludf.DUMMYFUNCTION("""COMPUTED_VALUE"""),1)</f>
        <v>1</v>
      </c>
      <c r="D2170" s="8">
        <f ca="1">IFERROR(__xludf.DUMMYFUNCTION("""COMPUTED_VALUE"""),5)</f>
        <v>5</v>
      </c>
      <c r="E2170" s="2">
        <f ca="1">IFERROR(__xludf.DUMMYFUNCTION("""COMPUTED_VALUE"""),2)</f>
        <v>2</v>
      </c>
    </row>
    <row r="2171" spans="1:5" ht="13">
      <c r="A2171" s="2" t="str">
        <f ca="1">IFERROR(__xludf.DUMMYFUNCTION("""COMPUTED_VALUE"""),"Dotzauer, Justus J. Friedrich")</f>
        <v>Dotzauer, Justus J. Friedrich</v>
      </c>
      <c r="B2171" s="3">
        <f ca="1">IFERROR(__xludf.DUMMYFUNCTION("""COMPUTED_VALUE"""),1)</f>
        <v>1</v>
      </c>
      <c r="C2171" s="7">
        <f ca="1">IFERROR(__xludf.DUMMYFUNCTION("""COMPUTED_VALUE"""),1)</f>
        <v>1</v>
      </c>
      <c r="D2171" s="8">
        <f ca="1">IFERROR(__xludf.DUMMYFUNCTION("""COMPUTED_VALUE"""),5)</f>
        <v>5</v>
      </c>
      <c r="E2171" s="2">
        <f ca="1">IFERROR(__xludf.DUMMYFUNCTION("""COMPUTED_VALUE"""),2)</f>
        <v>2</v>
      </c>
    </row>
    <row r="2172" spans="1:5" ht="13">
      <c r="A2172" s="2" t="str">
        <f ca="1">IFERROR(__xludf.DUMMYFUNCTION("""COMPUTED_VALUE"""),"Dougherty, Celius")</f>
        <v>Dougherty, Celius</v>
      </c>
      <c r="B2172" s="3">
        <f ca="1">IFERROR(__xludf.DUMMYFUNCTION("""COMPUTED_VALUE"""),1)</f>
        <v>1</v>
      </c>
      <c r="C2172" s="7">
        <f ca="1">IFERROR(__xludf.DUMMYFUNCTION("""COMPUTED_VALUE"""),1)</f>
        <v>1</v>
      </c>
      <c r="D2172" s="8">
        <f ca="1">IFERROR(__xludf.DUMMYFUNCTION("""COMPUTED_VALUE"""),5)</f>
        <v>5</v>
      </c>
      <c r="E2172" s="2">
        <f ca="1">IFERROR(__xludf.DUMMYFUNCTION("""COMPUTED_VALUE"""),2)</f>
        <v>2</v>
      </c>
    </row>
    <row r="2173" spans="1:5" ht="13">
      <c r="A2173" s="2" t="str">
        <f ca="1">IFERROR(__xludf.DUMMYFUNCTION("""COMPUTED_VALUE"""),"Dougherty, Doc / Reynolds, Ellis / Neburg, Al J.")</f>
        <v>Dougherty, Doc / Reynolds, Ellis / Neburg, Al J.</v>
      </c>
      <c r="B2173" s="3">
        <f ca="1">IFERROR(__xludf.DUMMYFUNCTION("""COMPUTED_VALUE"""),1)</f>
        <v>1</v>
      </c>
      <c r="C2173" s="7">
        <f ca="1">IFERROR(__xludf.DUMMYFUNCTION("""COMPUTED_VALUE"""),1)</f>
        <v>1</v>
      </c>
      <c r="D2173" s="8">
        <f ca="1">IFERROR(__xludf.DUMMYFUNCTION("""COMPUTED_VALUE"""),5)</f>
        <v>5</v>
      </c>
      <c r="E2173" s="2">
        <f ca="1">IFERROR(__xludf.DUMMYFUNCTION("""COMPUTED_VALUE"""),2)</f>
        <v>2</v>
      </c>
    </row>
    <row r="2174" spans="1:5" ht="13">
      <c r="A2174" s="2" t="str">
        <f ca="1">IFERROR(__xludf.DUMMYFUNCTION("""COMPUTED_VALUE"""),"Dougherty, Tommy")</f>
        <v>Dougherty, Tommy</v>
      </c>
      <c r="B2174" s="3">
        <f ca="1">IFERROR(__xludf.DUMMYFUNCTION("""COMPUTED_VALUE"""),1)</f>
        <v>1</v>
      </c>
      <c r="C2174" s="7">
        <f ca="1">IFERROR(__xludf.DUMMYFUNCTION("""COMPUTED_VALUE"""),1)</f>
        <v>1</v>
      </c>
      <c r="D2174" s="8">
        <f ca="1">IFERROR(__xludf.DUMMYFUNCTION("""COMPUTED_VALUE"""),1)</f>
        <v>1</v>
      </c>
      <c r="E2174" s="2">
        <f ca="1">IFERROR(__xludf.DUMMYFUNCTION("""COMPUTED_VALUE"""),1)</f>
        <v>1</v>
      </c>
    </row>
    <row r="2175" spans="1:5" ht="13">
      <c r="A2175" s="2" t="str">
        <f ca="1">IFERROR(__xludf.DUMMYFUNCTION("""COMPUTED_VALUE"""),"Douglas, Bill")</f>
        <v>Douglas, Bill</v>
      </c>
      <c r="B2175" s="3">
        <f ca="1">IFERROR(__xludf.DUMMYFUNCTION("""COMPUTED_VALUE"""),1)</f>
        <v>1</v>
      </c>
      <c r="C2175" s="7">
        <f ca="1">IFERROR(__xludf.DUMMYFUNCTION("""COMPUTED_VALUE"""),1)</f>
        <v>1</v>
      </c>
      <c r="D2175" s="8">
        <f ca="1">IFERROR(__xludf.DUMMYFUNCTION("""COMPUTED_VALUE"""),1)</f>
        <v>1</v>
      </c>
      <c r="E2175" s="2">
        <f ca="1">IFERROR(__xludf.DUMMYFUNCTION("""COMPUTED_VALUE"""),1)</f>
        <v>1</v>
      </c>
    </row>
    <row r="2176" spans="1:5" ht="13">
      <c r="A2176" s="8" t="str">
        <f ca="1">IFERROR(__xludf.DUMMYFUNCTION("""COMPUTED_VALUE"""),"Douglas, Darrell")</f>
        <v>Douglas, Darrell</v>
      </c>
      <c r="B2176" s="3">
        <f ca="1">IFERROR(__xludf.DUMMYFUNCTION("""COMPUTED_VALUE"""),1)</f>
        <v>1</v>
      </c>
      <c r="C2176" s="7">
        <f ca="1">IFERROR(__xludf.DUMMYFUNCTION("""COMPUTED_VALUE"""),1)</f>
        <v>1</v>
      </c>
      <c r="D2176" s="8">
        <f ca="1">IFERROR(__xludf.DUMMYFUNCTION("""COMPUTED_VALUE"""),5)</f>
        <v>5</v>
      </c>
      <c r="E2176" s="2">
        <f ca="1">IFERROR(__xludf.DUMMYFUNCTION("""COMPUTED_VALUE"""),2)</f>
        <v>2</v>
      </c>
    </row>
    <row r="2177" spans="1:5" ht="13">
      <c r="A2177" s="8" t="str">
        <f ca="1">IFERROR(__xludf.DUMMYFUNCTION("""COMPUTED_VALUE"""),"Douglas, Mark")</f>
        <v>Douglas, Mark</v>
      </c>
      <c r="B2177" s="9">
        <f ca="1">IFERROR(__xludf.DUMMYFUNCTION("""COMPUTED_VALUE"""),1)</f>
        <v>1</v>
      </c>
      <c r="C2177" s="7">
        <f ca="1">IFERROR(__xludf.DUMMYFUNCTION("""COMPUTED_VALUE"""),1)</f>
        <v>1</v>
      </c>
      <c r="D2177" s="8">
        <f ca="1">IFERROR(__xludf.DUMMYFUNCTION("""COMPUTED_VALUE"""),1)</f>
        <v>1</v>
      </c>
      <c r="E2177" s="9">
        <f ca="1">IFERROR(__xludf.DUMMYFUNCTION("""COMPUTED_VALUE"""),1)</f>
        <v>1</v>
      </c>
    </row>
    <row r="2178" spans="1:5" ht="13">
      <c r="A2178" s="8" t="str">
        <f ca="1">IFERROR(__xludf.DUMMYFUNCTION("""COMPUTED_VALUE"""),"Douglas, Roy")</f>
        <v>Douglas, Roy</v>
      </c>
      <c r="B2178" s="3">
        <f ca="1">IFERROR(__xludf.DUMMYFUNCTION("""COMPUTED_VALUE"""),1)</f>
        <v>1</v>
      </c>
      <c r="C2178" s="7">
        <f ca="1">IFERROR(__xludf.DUMMYFUNCTION("""COMPUTED_VALUE"""),1)</f>
        <v>1</v>
      </c>
      <c r="D2178" s="8">
        <f ca="1">IFERROR(__xludf.DUMMYFUNCTION("""COMPUTED_VALUE"""),5)</f>
        <v>5</v>
      </c>
      <c r="E2178" s="2">
        <f ca="1">IFERROR(__xludf.DUMMYFUNCTION("""COMPUTED_VALUE"""),2)</f>
        <v>2</v>
      </c>
    </row>
    <row r="2179" spans="1:5" ht="13">
      <c r="A2179" s="2" t="str">
        <f ca="1">IFERROR(__xludf.DUMMYFUNCTION("""COMPUTED_VALUE"""),"Douglas, Samuel")</f>
        <v>Douglas, Samuel</v>
      </c>
      <c r="B2179" s="3">
        <f ca="1">IFERROR(__xludf.DUMMYFUNCTION("""COMPUTED_VALUE"""),1)</f>
        <v>1</v>
      </c>
      <c r="C2179" s="7">
        <f ca="1">IFERROR(__xludf.DUMMYFUNCTION("""COMPUTED_VALUE"""),1)</f>
        <v>1</v>
      </c>
      <c r="D2179" s="8">
        <f ca="1">IFERROR(__xludf.DUMMYFUNCTION("""COMPUTED_VALUE"""),1)</f>
        <v>1</v>
      </c>
      <c r="E2179" s="2">
        <f ca="1">IFERROR(__xludf.DUMMYFUNCTION("""COMPUTED_VALUE"""),1)</f>
        <v>1</v>
      </c>
    </row>
    <row r="2180" spans="1:5" ht="13">
      <c r="A2180" s="2" t="str">
        <f ca="1">IFERROR(__xludf.DUMMYFUNCTION("""COMPUTED_VALUE"""),"Douglass, Zane")</f>
        <v>Douglass, Zane</v>
      </c>
      <c r="B2180" s="3">
        <f ca="1">IFERROR(__xludf.DUMMYFUNCTION("""COMPUTED_VALUE"""),1)</f>
        <v>1</v>
      </c>
      <c r="C2180" s="7">
        <f ca="1">IFERROR(__xludf.DUMMYFUNCTION("""COMPUTED_VALUE"""),1)</f>
        <v>1</v>
      </c>
      <c r="D2180" s="8">
        <f ca="1">IFERROR(__xludf.DUMMYFUNCTION("""COMPUTED_VALUE"""),1)</f>
        <v>1</v>
      </c>
      <c r="E2180" s="2">
        <f ca="1">IFERROR(__xludf.DUMMYFUNCTION("""COMPUTED_VALUE"""),1)</f>
        <v>1</v>
      </c>
    </row>
    <row r="2181" spans="1:5" ht="13">
      <c r="A2181" s="8" t="str">
        <f ca="1">IFERROR(__xludf.DUMMYFUNCTION("""COMPUTED_VALUE"""),"Douma, Jeffrey")</f>
        <v>Douma, Jeffrey</v>
      </c>
      <c r="B2181" s="3">
        <f ca="1">IFERROR(__xludf.DUMMYFUNCTION("""COMPUTED_VALUE"""),1)</f>
        <v>1</v>
      </c>
      <c r="C2181" s="7">
        <f ca="1">IFERROR(__xludf.DUMMYFUNCTION("""COMPUTED_VALUE"""),1)</f>
        <v>1</v>
      </c>
      <c r="D2181" s="8">
        <f ca="1">IFERROR(__xludf.DUMMYFUNCTION("""COMPUTED_VALUE"""),1)</f>
        <v>1</v>
      </c>
      <c r="E2181" s="2">
        <f ca="1">IFERROR(__xludf.DUMMYFUNCTION("""COMPUTED_VALUE"""),1)</f>
        <v>1</v>
      </c>
    </row>
    <row r="2182" spans="1:5" ht="13">
      <c r="A2182" s="8" t="str">
        <f ca="1">IFERROR(__xludf.DUMMYFUNCTION("""COMPUTED_VALUE"""),"Dousa, Dominic")</f>
        <v>Dousa, Dominic</v>
      </c>
      <c r="B2182" s="3">
        <f ca="1">IFERROR(__xludf.DUMMYFUNCTION("""COMPUTED_VALUE"""),1)</f>
        <v>1</v>
      </c>
      <c r="C2182" s="7">
        <f ca="1">IFERROR(__xludf.DUMMYFUNCTION("""COMPUTED_VALUE"""),1)</f>
        <v>1</v>
      </c>
      <c r="D2182" s="8">
        <f ca="1">IFERROR(__xludf.DUMMYFUNCTION("""COMPUTED_VALUE"""),1)</f>
        <v>1</v>
      </c>
      <c r="E2182" s="2">
        <f ca="1">IFERROR(__xludf.DUMMYFUNCTION("""COMPUTED_VALUE"""),1)</f>
        <v>1</v>
      </c>
    </row>
    <row r="2183" spans="1:5" ht="13">
      <c r="A2183" s="2" t="str">
        <f ca="1">IFERROR(__xludf.DUMMYFUNCTION("""COMPUTED_VALUE"""),"Douse, Kenneth")</f>
        <v>Douse, Kenneth</v>
      </c>
      <c r="B2183" s="2">
        <f ca="1">IFERROR(__xludf.DUMMYFUNCTION("""COMPUTED_VALUE"""),1)</f>
        <v>1</v>
      </c>
      <c r="C2183" s="7">
        <f ca="1">IFERROR(__xludf.DUMMYFUNCTION("""COMPUTED_VALUE"""),1)</f>
        <v>1</v>
      </c>
      <c r="D2183" s="8">
        <f ca="1">IFERROR(__xludf.DUMMYFUNCTION("""COMPUTED_VALUE"""),5)</f>
        <v>5</v>
      </c>
      <c r="E2183" s="2">
        <f ca="1">IFERROR(__xludf.DUMMYFUNCTION("""COMPUTED_VALUE"""),2)</f>
        <v>2</v>
      </c>
    </row>
    <row r="2184" spans="1:5" ht="13">
      <c r="A2184" s="8" t="str">
        <f ca="1">IFERROR(__xludf.DUMMYFUNCTION("""COMPUTED_VALUE"""),"Dove, Jonathan")</f>
        <v>Dove, Jonathan</v>
      </c>
      <c r="B2184" s="3">
        <f ca="1">IFERROR(__xludf.DUMMYFUNCTION("""COMPUTED_VALUE"""),1)</f>
        <v>1</v>
      </c>
      <c r="C2184" s="7">
        <f ca="1">IFERROR(__xludf.DUMMYFUNCTION("""COMPUTED_VALUE"""),1)</f>
        <v>1</v>
      </c>
      <c r="D2184" s="8">
        <f ca="1">IFERROR(__xludf.DUMMYFUNCTION("""COMPUTED_VALUE"""),1)</f>
        <v>1</v>
      </c>
      <c r="E2184" s="2">
        <f ca="1">IFERROR(__xludf.DUMMYFUNCTION("""COMPUTED_VALUE"""),1)</f>
        <v>1</v>
      </c>
    </row>
    <row r="2185" spans="1:5" ht="13">
      <c r="A2185" s="8" t="str">
        <f ca="1">IFERROR(__xludf.DUMMYFUNCTION("""COMPUTED_VALUE"""),"Dowland, John")</f>
        <v>Dowland, John</v>
      </c>
      <c r="B2185" s="3">
        <f ca="1">IFERROR(__xludf.DUMMYFUNCTION("""COMPUTED_VALUE"""),1)</f>
        <v>1</v>
      </c>
      <c r="C2185" s="7">
        <f ca="1">IFERROR(__xludf.DUMMYFUNCTION("""COMPUTED_VALUE"""),1)</f>
        <v>1</v>
      </c>
      <c r="D2185" s="8">
        <f ca="1">IFERROR(__xludf.DUMMYFUNCTION("""COMPUTED_VALUE"""),5)</f>
        <v>5</v>
      </c>
      <c r="E2185" s="2">
        <f ca="1">IFERROR(__xludf.DUMMYFUNCTION("""COMPUTED_VALUE"""),2)</f>
        <v>2</v>
      </c>
    </row>
    <row r="2186" spans="1:5" ht="13">
      <c r="A2186" s="2" t="str">
        <f ca="1">IFERROR(__xludf.DUMMYFUNCTION("""COMPUTED_VALUE"""),"Dowland, John / Purcell, Henry")</f>
        <v>Dowland, John / Purcell, Henry</v>
      </c>
      <c r="B2186" s="3">
        <f ca="1">IFERROR(__xludf.DUMMYFUNCTION("""COMPUTED_VALUE"""),1)</f>
        <v>1</v>
      </c>
      <c r="C2186" s="7">
        <f ca="1">IFERROR(__xludf.DUMMYFUNCTION("""COMPUTED_VALUE"""),1)</f>
        <v>1</v>
      </c>
      <c r="D2186" s="8">
        <f ca="1">IFERROR(__xludf.DUMMYFUNCTION("""COMPUTED_VALUE"""),5)</f>
        <v>5</v>
      </c>
      <c r="E2186" s="2">
        <f ca="1">IFERROR(__xludf.DUMMYFUNCTION("""COMPUTED_VALUE"""),2)</f>
        <v>2</v>
      </c>
    </row>
    <row r="2187" spans="1:5" ht="13">
      <c r="A2187" s="2" t="str">
        <f ca="1">IFERROR(__xludf.DUMMYFUNCTION("""COMPUTED_VALUE"""),"Dowling, Eddie / Coots, Fred J.")</f>
        <v>Dowling, Eddie / Coots, Fred J.</v>
      </c>
      <c r="B2187" s="2">
        <f ca="1">IFERROR(__xludf.DUMMYFUNCTION("""COMPUTED_VALUE"""),1)</f>
        <v>1</v>
      </c>
      <c r="C2187" s="7">
        <f ca="1">IFERROR(__xludf.DUMMYFUNCTION("""COMPUTED_VALUE"""),1)</f>
        <v>1</v>
      </c>
      <c r="D2187" s="8">
        <f ca="1">IFERROR(__xludf.DUMMYFUNCTION("""COMPUTED_VALUE"""),5)</f>
        <v>5</v>
      </c>
      <c r="E2187" s="2">
        <f ca="1">IFERROR(__xludf.DUMMYFUNCTION("""COMPUTED_VALUE"""),2)</f>
        <v>2</v>
      </c>
    </row>
    <row r="2188" spans="1:5" ht="13">
      <c r="A2188" s="2" t="str">
        <f ca="1">IFERROR(__xludf.DUMMYFUNCTION("""COMPUTED_VALUE"""),"Dowma, Bob")</f>
        <v>Dowma, Bob</v>
      </c>
      <c r="B2188" s="2">
        <f ca="1">IFERROR(__xludf.DUMMYFUNCTION("""COMPUTED_VALUE"""),1)</f>
        <v>1</v>
      </c>
      <c r="C2188" s="2">
        <f ca="1">IFERROR(__xludf.DUMMYFUNCTION("""COMPUTED_VALUE"""),1)</f>
        <v>1</v>
      </c>
      <c r="D2188" s="8">
        <f ca="1">IFERROR(__xludf.DUMMYFUNCTION("""COMPUTED_VALUE"""),5)</f>
        <v>5</v>
      </c>
      <c r="E2188" s="2">
        <f ca="1">IFERROR(__xludf.DUMMYFUNCTION("""COMPUTED_VALUE"""),2)</f>
        <v>2</v>
      </c>
    </row>
    <row r="2189" spans="1:5" ht="13">
      <c r="A2189" s="8" t="str">
        <f ca="1">IFERROR(__xludf.DUMMYFUNCTION("""COMPUTED_VALUE"""),"Downing, Joseph")</f>
        <v>Downing, Joseph</v>
      </c>
      <c r="B2189" s="3">
        <f ca="1">IFERROR(__xludf.DUMMYFUNCTION("""COMPUTED_VALUE"""),1)</f>
        <v>1</v>
      </c>
      <c r="C2189" s="7">
        <f ca="1">IFERROR(__xludf.DUMMYFUNCTION("""COMPUTED_VALUE"""),1)</f>
        <v>1</v>
      </c>
      <c r="D2189" s="8">
        <f ca="1">IFERROR(__xludf.DUMMYFUNCTION("""COMPUTED_VALUE"""),1)</f>
        <v>1</v>
      </c>
      <c r="E2189" s="2">
        <f ca="1">IFERROR(__xludf.DUMMYFUNCTION("""COMPUTED_VALUE"""),1)</f>
        <v>1</v>
      </c>
    </row>
    <row r="2190" spans="1:5" ht="13">
      <c r="A2190" s="2" t="str">
        <f ca="1">IFERROR(__xludf.DUMMYFUNCTION("""COMPUTED_VALUE"""),"Downing, Kevin")</f>
        <v>Downing, Kevin</v>
      </c>
      <c r="B2190" s="2">
        <f ca="1">IFERROR(__xludf.DUMMYFUNCTION("""COMPUTED_VALUE"""),1)</f>
        <v>1</v>
      </c>
      <c r="C2190" s="2">
        <f ca="1">IFERROR(__xludf.DUMMYFUNCTION("""COMPUTED_VALUE"""),1)</f>
        <v>1</v>
      </c>
      <c r="D2190" s="8">
        <f ca="1">IFERROR(__xludf.DUMMYFUNCTION("""COMPUTED_VALUE"""),5)</f>
        <v>5</v>
      </c>
      <c r="E2190" s="2">
        <f ca="1">IFERROR(__xludf.DUMMYFUNCTION("""COMPUTED_VALUE"""),2)</f>
        <v>2</v>
      </c>
    </row>
    <row r="2191" spans="1:5" ht="13">
      <c r="A2191" s="8" t="str">
        <f ca="1">IFERROR(__xludf.DUMMYFUNCTION("""COMPUTED_VALUE"""),"Downs, Hugh")</f>
        <v>Downs, Hugh</v>
      </c>
      <c r="B2191" s="3">
        <f ca="1">IFERROR(__xludf.DUMMYFUNCTION("""COMPUTED_VALUE"""),1)</f>
        <v>1</v>
      </c>
      <c r="C2191" s="7">
        <f ca="1">IFERROR(__xludf.DUMMYFUNCTION("""COMPUTED_VALUE"""),1)</f>
        <v>1</v>
      </c>
      <c r="D2191" s="8">
        <f ca="1">IFERROR(__xludf.DUMMYFUNCTION("""COMPUTED_VALUE"""),5)</f>
        <v>5</v>
      </c>
      <c r="E2191" s="2">
        <f ca="1">IFERROR(__xludf.DUMMYFUNCTION("""COMPUTED_VALUE"""),2)</f>
        <v>2</v>
      </c>
    </row>
    <row r="2192" spans="1:5" ht="13">
      <c r="A2192" s="8" t="str">
        <f ca="1">IFERROR(__xludf.DUMMYFUNCTION("""COMPUTED_VALUE"""),"Downs, Lamont")</f>
        <v>Downs, Lamont</v>
      </c>
      <c r="B2192" s="3">
        <f ca="1">IFERROR(__xludf.DUMMYFUNCTION("""COMPUTED_VALUE"""),1)</f>
        <v>1</v>
      </c>
      <c r="C2192" s="7">
        <f ca="1">IFERROR(__xludf.DUMMYFUNCTION("""COMPUTED_VALUE"""),1)</f>
        <v>1</v>
      </c>
      <c r="D2192" s="8">
        <f ca="1">IFERROR(__xludf.DUMMYFUNCTION("""COMPUTED_VALUE"""),1)</f>
        <v>1</v>
      </c>
      <c r="E2192" s="2">
        <f ca="1">IFERROR(__xludf.DUMMYFUNCTION("""COMPUTED_VALUE"""),1)</f>
        <v>1</v>
      </c>
    </row>
    <row r="2193" spans="1:5" ht="13">
      <c r="A2193" s="2" t="str">
        <f ca="1">IFERROR(__xludf.DUMMYFUNCTION("""COMPUTED_VALUE"""),"Downs, Lamont")</f>
        <v>Downs, Lamont</v>
      </c>
      <c r="B2193" s="3">
        <f ca="1">IFERROR(__xludf.DUMMYFUNCTION("""COMPUTED_VALUE"""),1)</f>
        <v>1</v>
      </c>
      <c r="C2193" s="7">
        <f ca="1">IFERROR(__xludf.DUMMYFUNCTION("""COMPUTED_VALUE"""),1)</f>
        <v>1</v>
      </c>
      <c r="D2193" s="8">
        <f ca="1">IFERROR(__xludf.DUMMYFUNCTION("""COMPUTED_VALUE"""),5)</f>
        <v>5</v>
      </c>
      <c r="E2193" s="2">
        <f ca="1">IFERROR(__xludf.DUMMYFUNCTION("""COMPUTED_VALUE"""),2)</f>
        <v>2</v>
      </c>
    </row>
    <row r="2194" spans="1:5" ht="13">
      <c r="A2194" s="2" t="str">
        <f ca="1">IFERROR(__xludf.DUMMYFUNCTION("""COMPUTED_VALUE"""),"Dowty, Marcus")</f>
        <v>Dowty, Marcus</v>
      </c>
      <c r="B2194" s="3">
        <f ca="1">IFERROR(__xludf.DUMMYFUNCTION("""COMPUTED_VALUE"""),1)</f>
        <v>1</v>
      </c>
      <c r="C2194" s="7">
        <f ca="1">IFERROR(__xludf.DUMMYFUNCTION("""COMPUTED_VALUE"""),1)</f>
        <v>1</v>
      </c>
      <c r="D2194" s="8">
        <f ca="1">IFERROR(__xludf.DUMMYFUNCTION("""COMPUTED_VALUE"""),1)</f>
        <v>1</v>
      </c>
      <c r="E2194" s="2">
        <f ca="1">IFERROR(__xludf.DUMMYFUNCTION("""COMPUTED_VALUE"""),1)</f>
        <v>1</v>
      </c>
    </row>
    <row r="2195" spans="1:5" ht="13">
      <c r="A2195" s="2" t="str">
        <f ca="1">IFERROR(__xludf.DUMMYFUNCTION("""COMPUTED_VALUE"""),"Doyle, James D.")</f>
        <v>Doyle, James D.</v>
      </c>
      <c r="B2195" s="3">
        <f ca="1">IFERROR(__xludf.DUMMYFUNCTION("""COMPUTED_VALUE"""),1)</f>
        <v>1</v>
      </c>
      <c r="C2195" s="7">
        <f ca="1">IFERROR(__xludf.DUMMYFUNCTION("""COMPUTED_VALUE"""),1)</f>
        <v>1</v>
      </c>
      <c r="D2195" s="8">
        <f ca="1">IFERROR(__xludf.DUMMYFUNCTION("""COMPUTED_VALUE"""),1)</f>
        <v>1</v>
      </c>
      <c r="E2195" s="2">
        <f ca="1">IFERROR(__xludf.DUMMYFUNCTION("""COMPUTED_VALUE"""),1)</f>
        <v>1</v>
      </c>
    </row>
    <row r="2196" spans="1:5" ht="13">
      <c r="A2196" s="8" t="str">
        <f ca="1">IFERROR(__xludf.DUMMYFUNCTION("""COMPUTED_VALUE"""),"Doyle, Patrick")</f>
        <v>Doyle, Patrick</v>
      </c>
      <c r="B2196" s="3">
        <f ca="1">IFERROR(__xludf.DUMMYFUNCTION("""COMPUTED_VALUE"""),1)</f>
        <v>1</v>
      </c>
      <c r="C2196" s="7">
        <f ca="1">IFERROR(__xludf.DUMMYFUNCTION("""COMPUTED_VALUE"""),1)</f>
        <v>1</v>
      </c>
      <c r="D2196" s="8">
        <f ca="1">IFERROR(__xludf.DUMMYFUNCTION("""COMPUTED_VALUE"""),1)</f>
        <v>1</v>
      </c>
      <c r="E2196" s="2">
        <f ca="1">IFERROR(__xludf.DUMMYFUNCTION("""COMPUTED_VALUE"""),1)</f>
        <v>1</v>
      </c>
    </row>
    <row r="2197" spans="1:5" ht="13">
      <c r="A2197" s="2" t="str">
        <f ca="1">IFERROR(__xludf.DUMMYFUNCTION("""COMPUTED_VALUE"""),"Dozier, Lamont / Holland, Brian / Holland, Eddie")</f>
        <v>Dozier, Lamont / Holland, Brian / Holland, Eddie</v>
      </c>
      <c r="B2197" s="2">
        <f ca="1">IFERROR(__xludf.DUMMYFUNCTION("""COMPUTED_VALUE"""),1)</f>
        <v>1</v>
      </c>
      <c r="C2197" s="7">
        <f ca="1">IFERROR(__xludf.DUMMYFUNCTION("""COMPUTED_VALUE"""),1)</f>
        <v>1</v>
      </c>
      <c r="D2197" s="8">
        <f ca="1">IFERROR(__xludf.DUMMYFUNCTION("""COMPUTED_VALUE"""),5)</f>
        <v>5</v>
      </c>
      <c r="E2197" s="2">
        <f ca="1">IFERROR(__xludf.DUMMYFUNCTION("""COMPUTED_VALUE"""),2)</f>
        <v>2</v>
      </c>
    </row>
    <row r="2198" spans="1:5" ht="13">
      <c r="A2198" s="8" t="str">
        <f ca="1">IFERROR(__xludf.DUMMYFUNCTION("""COMPUTED_VALUE"""),"Draganski, Donald")</f>
        <v>Draganski, Donald</v>
      </c>
      <c r="B2198" s="3">
        <f ca="1">IFERROR(__xludf.DUMMYFUNCTION("""COMPUTED_VALUE"""),1)</f>
        <v>1</v>
      </c>
      <c r="C2198" s="7">
        <f ca="1">IFERROR(__xludf.DUMMYFUNCTION("""COMPUTED_VALUE"""),1)</f>
        <v>1</v>
      </c>
      <c r="D2198" s="8">
        <f ca="1">IFERROR(__xludf.DUMMYFUNCTION("""COMPUTED_VALUE"""),1)</f>
        <v>1</v>
      </c>
      <c r="E2198" s="2">
        <f ca="1">IFERROR(__xludf.DUMMYFUNCTION("""COMPUTED_VALUE"""),1)</f>
        <v>1</v>
      </c>
    </row>
    <row r="2199" spans="1:5" ht="13">
      <c r="A2199" s="8" t="str">
        <f ca="1">IFERROR(__xludf.DUMMYFUNCTION("""COMPUTED_VALUE"""),"Dragon, Carmen")</f>
        <v>Dragon, Carmen</v>
      </c>
      <c r="B2199" s="3">
        <f ca="1">IFERROR(__xludf.DUMMYFUNCTION("""COMPUTED_VALUE"""),1)</f>
        <v>1</v>
      </c>
      <c r="C2199" s="7">
        <f ca="1">IFERROR(__xludf.DUMMYFUNCTION("""COMPUTED_VALUE"""),1)</f>
        <v>1</v>
      </c>
      <c r="D2199" s="8">
        <f ca="1">IFERROR(__xludf.DUMMYFUNCTION("""COMPUTED_VALUE"""),5)</f>
        <v>5</v>
      </c>
      <c r="E2199" s="2">
        <f ca="1">IFERROR(__xludf.DUMMYFUNCTION("""COMPUTED_VALUE"""),2)</f>
        <v>2</v>
      </c>
    </row>
    <row r="2200" spans="1:5" ht="13">
      <c r="A2200" s="8" t="str">
        <f ca="1">IFERROR(__xludf.DUMMYFUNCTION("""COMPUTED_VALUE"""),"Dragonetti, Domenico")</f>
        <v>Dragonetti, Domenico</v>
      </c>
      <c r="B2200" s="3">
        <f ca="1">IFERROR(__xludf.DUMMYFUNCTION("""COMPUTED_VALUE"""),1)</f>
        <v>1</v>
      </c>
      <c r="C2200" s="7">
        <f ca="1">IFERROR(__xludf.DUMMYFUNCTION("""COMPUTED_VALUE"""),1)</f>
        <v>1</v>
      </c>
      <c r="D2200" s="8">
        <f ca="1">IFERROR(__xludf.DUMMYFUNCTION("""COMPUTED_VALUE"""),5)</f>
        <v>5</v>
      </c>
      <c r="E2200" s="2">
        <f ca="1">IFERROR(__xludf.DUMMYFUNCTION("""COMPUTED_VALUE"""),2)</f>
        <v>2</v>
      </c>
    </row>
    <row r="2201" spans="1:5" ht="13">
      <c r="A2201" s="8" t="str">
        <f ca="1">IFERROR(__xludf.DUMMYFUNCTION("""COMPUTED_VALUE"""),"Drake, Brian")</f>
        <v>Drake, Brian</v>
      </c>
      <c r="B2201" s="3">
        <f ca="1">IFERROR(__xludf.DUMMYFUNCTION("""COMPUTED_VALUE"""),1)</f>
        <v>1</v>
      </c>
      <c r="C2201" s="7">
        <f ca="1">IFERROR(__xludf.DUMMYFUNCTION("""COMPUTED_VALUE"""),1)</f>
        <v>1</v>
      </c>
      <c r="D2201" s="8">
        <f ca="1">IFERROR(__xludf.DUMMYFUNCTION("""COMPUTED_VALUE"""),1)</f>
        <v>1</v>
      </c>
      <c r="E2201" s="2">
        <f ca="1">IFERROR(__xludf.DUMMYFUNCTION("""COMPUTED_VALUE"""),1)</f>
        <v>1</v>
      </c>
    </row>
    <row r="2202" spans="1:5" ht="13">
      <c r="A2202" s="8" t="str">
        <f ca="1">IFERROR(__xludf.DUMMYFUNCTION("""COMPUTED_VALUE"""),"Drake, Emmet")</f>
        <v>Drake, Emmet</v>
      </c>
      <c r="B2202" s="3">
        <f ca="1">IFERROR(__xludf.DUMMYFUNCTION("""COMPUTED_VALUE"""),1)</f>
        <v>1</v>
      </c>
      <c r="C2202" s="7">
        <f ca="1">IFERROR(__xludf.DUMMYFUNCTION("""COMPUTED_VALUE"""),1)</f>
        <v>1</v>
      </c>
      <c r="D2202" s="8">
        <f ca="1">IFERROR(__xludf.DUMMYFUNCTION("""COMPUTED_VALUE"""),1)</f>
        <v>1</v>
      </c>
      <c r="E2202" s="2">
        <f ca="1">IFERROR(__xludf.DUMMYFUNCTION("""COMPUTED_VALUE"""),1)</f>
        <v>1</v>
      </c>
    </row>
    <row r="2203" spans="1:5" ht="13">
      <c r="A2203" s="2" t="str">
        <f ca="1">IFERROR(__xludf.DUMMYFUNCTION("""COMPUTED_VALUE"""),"Drake, Kenneth")</f>
        <v>Drake, Kenneth</v>
      </c>
      <c r="B2203" s="3">
        <f ca="1">IFERROR(__xludf.DUMMYFUNCTION("""COMPUTED_VALUE"""),1)</f>
        <v>1</v>
      </c>
      <c r="C2203" s="7">
        <f ca="1">IFERROR(__xludf.DUMMYFUNCTION("""COMPUTED_VALUE"""),1)</f>
        <v>1</v>
      </c>
      <c r="D2203" s="8">
        <f ca="1">IFERROR(__xludf.DUMMYFUNCTION("""COMPUTED_VALUE"""),1)</f>
        <v>1</v>
      </c>
      <c r="E2203" s="2">
        <f ca="1">IFERROR(__xludf.DUMMYFUNCTION("""COMPUTED_VALUE"""),1)</f>
        <v>1</v>
      </c>
    </row>
    <row r="2204" spans="1:5" ht="13">
      <c r="A2204" s="2" t="str">
        <f ca="1">IFERROR(__xludf.DUMMYFUNCTION("""COMPUTED_VALUE"""),"Drechsler, Joseph")</f>
        <v>Drechsler, Joseph</v>
      </c>
      <c r="B2204" s="3">
        <f ca="1">IFERROR(__xludf.DUMMYFUNCTION("""COMPUTED_VALUE"""),1)</f>
        <v>1</v>
      </c>
      <c r="C2204" s="7">
        <f ca="1">IFERROR(__xludf.DUMMYFUNCTION("""COMPUTED_VALUE"""),1)</f>
        <v>1</v>
      </c>
      <c r="D2204" s="8">
        <f ca="1">IFERROR(__xludf.DUMMYFUNCTION("""COMPUTED_VALUE"""),5)</f>
        <v>5</v>
      </c>
      <c r="E2204" s="2">
        <f ca="1">IFERROR(__xludf.DUMMYFUNCTION("""COMPUTED_VALUE"""),2)</f>
        <v>2</v>
      </c>
    </row>
    <row r="2205" spans="1:5" ht="13">
      <c r="A2205" s="8" t="str">
        <f ca="1">IFERROR(__xludf.DUMMYFUNCTION("""COMPUTED_VALUE"""),"Dresser, Mark")</f>
        <v>Dresser, Mark</v>
      </c>
      <c r="B2205" s="3">
        <f ca="1">IFERROR(__xludf.DUMMYFUNCTION("""COMPUTED_VALUE"""),1)</f>
        <v>1</v>
      </c>
      <c r="C2205" s="7">
        <f ca="1">IFERROR(__xludf.DUMMYFUNCTION("""COMPUTED_VALUE"""),1)</f>
        <v>1</v>
      </c>
      <c r="D2205" s="8">
        <f ca="1">IFERROR(__xludf.DUMMYFUNCTION("""COMPUTED_VALUE"""),1)</f>
        <v>1</v>
      </c>
      <c r="E2205" s="2">
        <f ca="1">IFERROR(__xludf.DUMMYFUNCTION("""COMPUTED_VALUE"""),1)</f>
        <v>1</v>
      </c>
    </row>
    <row r="2206" spans="1:5" ht="13">
      <c r="A2206" s="2" t="str">
        <f ca="1">IFERROR(__xludf.DUMMYFUNCTION("""COMPUTED_VALUE"""),"Dressler, Gallus")</f>
        <v>Dressler, Gallus</v>
      </c>
      <c r="B2206" s="3">
        <f ca="1">IFERROR(__xludf.DUMMYFUNCTION("""COMPUTED_VALUE"""),1)</f>
        <v>1</v>
      </c>
      <c r="C2206" s="7">
        <f ca="1">IFERROR(__xludf.DUMMYFUNCTION("""COMPUTED_VALUE"""),1)</f>
        <v>1</v>
      </c>
      <c r="D2206" s="8">
        <f ca="1">IFERROR(__xludf.DUMMYFUNCTION("""COMPUTED_VALUE"""),5)</f>
        <v>5</v>
      </c>
      <c r="E2206" s="2">
        <f ca="1">IFERROR(__xludf.DUMMYFUNCTION("""COMPUTED_VALUE"""),2)</f>
        <v>2</v>
      </c>
    </row>
    <row r="2207" spans="1:5" ht="13">
      <c r="A2207" s="8" t="str">
        <f ca="1">IFERROR(__xludf.DUMMYFUNCTION("""COMPUTED_VALUE"""),"Drew, David")</f>
        <v>Drew, David</v>
      </c>
      <c r="B2207" s="3">
        <f ca="1">IFERROR(__xludf.DUMMYFUNCTION("""COMPUTED_VALUE"""),1)</f>
        <v>1</v>
      </c>
      <c r="C2207" s="7">
        <f ca="1">IFERROR(__xludf.DUMMYFUNCTION("""COMPUTED_VALUE"""),1)</f>
        <v>1</v>
      </c>
      <c r="D2207" s="8">
        <f ca="1">IFERROR(__xludf.DUMMYFUNCTION("""COMPUTED_VALUE"""),5)</f>
        <v>5</v>
      </c>
      <c r="E2207" s="2">
        <f ca="1">IFERROR(__xludf.DUMMYFUNCTION("""COMPUTED_VALUE"""),2)</f>
        <v>2</v>
      </c>
    </row>
    <row r="2208" spans="1:5" ht="13">
      <c r="A2208" s="2" t="str">
        <f ca="1">IFERROR(__xludf.DUMMYFUNCTION("""COMPUTED_VALUE"""),"Drew, Lucas")</f>
        <v>Drew, Lucas</v>
      </c>
      <c r="B2208" s="3">
        <f ca="1">IFERROR(__xludf.DUMMYFUNCTION("""COMPUTED_VALUE"""),1)</f>
        <v>1</v>
      </c>
      <c r="C2208" s="7">
        <f ca="1">IFERROR(__xludf.DUMMYFUNCTION("""COMPUTED_VALUE"""),1)</f>
        <v>1</v>
      </c>
      <c r="D2208" s="8">
        <f ca="1">IFERROR(__xludf.DUMMYFUNCTION("""COMPUTED_VALUE"""),1)</f>
        <v>1</v>
      </c>
      <c r="E2208" s="2">
        <f ca="1">IFERROR(__xludf.DUMMYFUNCTION("""COMPUTED_VALUE"""),1)</f>
        <v>1</v>
      </c>
    </row>
    <row r="2209" spans="1:5" ht="13">
      <c r="A2209" s="2" t="str">
        <f ca="1">IFERROR(__xludf.DUMMYFUNCTION("""COMPUTED_VALUE"""),"Drigo, Riccardo")</f>
        <v>Drigo, Riccardo</v>
      </c>
      <c r="B2209" s="3">
        <f ca="1">IFERROR(__xludf.DUMMYFUNCTION("""COMPUTED_VALUE"""),1)</f>
        <v>1</v>
      </c>
      <c r="C2209" s="7">
        <f ca="1">IFERROR(__xludf.DUMMYFUNCTION("""COMPUTED_VALUE"""),1)</f>
        <v>1</v>
      </c>
      <c r="D2209" s="8">
        <f ca="1">IFERROR(__xludf.DUMMYFUNCTION("""COMPUTED_VALUE"""),5)</f>
        <v>5</v>
      </c>
      <c r="E2209" s="2">
        <f ca="1">IFERROR(__xludf.DUMMYFUNCTION("""COMPUTED_VALUE"""),2)</f>
        <v>2</v>
      </c>
    </row>
    <row r="2210" spans="1:5" ht="13">
      <c r="A2210" s="2" t="str">
        <f ca="1">IFERROR(__xludf.DUMMYFUNCTION("""COMPUTED_VALUE"""),"Driscoll, Dennis")</f>
        <v>Driscoll, Dennis</v>
      </c>
      <c r="B2210" s="2">
        <f ca="1">IFERROR(__xludf.DUMMYFUNCTION("""COMPUTED_VALUE"""),1)</f>
        <v>1</v>
      </c>
      <c r="C2210" s="7">
        <f ca="1">IFERROR(__xludf.DUMMYFUNCTION("""COMPUTED_VALUE"""),1)</f>
        <v>1</v>
      </c>
      <c r="D2210" s="8">
        <f ca="1">IFERROR(__xludf.DUMMYFUNCTION("""COMPUTED_VALUE"""),1)</f>
        <v>1</v>
      </c>
      <c r="E2210" s="2">
        <f ca="1">IFERROR(__xludf.DUMMYFUNCTION("""COMPUTED_VALUE"""),1)</f>
        <v>1</v>
      </c>
    </row>
    <row r="2211" spans="1:5" ht="13">
      <c r="A2211" s="2" t="str">
        <f ca="1">IFERROR(__xludf.DUMMYFUNCTION("""COMPUTED_VALUE"""),"Driscoll, Dennis / Waesche, Ed")</f>
        <v>Driscoll, Dennis / Waesche, Ed</v>
      </c>
      <c r="B2211" s="2">
        <f ca="1">IFERROR(__xludf.DUMMYFUNCTION("""COMPUTED_VALUE"""),1)</f>
        <v>1</v>
      </c>
      <c r="C2211" s="7">
        <f ca="1">IFERROR(__xludf.DUMMYFUNCTION("""COMPUTED_VALUE"""),1)</f>
        <v>1</v>
      </c>
      <c r="D2211" s="8">
        <f ca="1">IFERROR(__xludf.DUMMYFUNCTION("""COMPUTED_VALUE"""),1)</f>
        <v>1</v>
      </c>
      <c r="E2211" s="2">
        <f ca="1">IFERROR(__xludf.DUMMYFUNCTION("""COMPUTED_VALUE"""),1)</f>
        <v>1</v>
      </c>
    </row>
    <row r="2212" spans="1:5" ht="13">
      <c r="A2212" s="2" t="str">
        <f ca="1">IFERROR(__xludf.DUMMYFUNCTION("""COMPUTED_VALUE"""),"Droste, Paul")</f>
        <v>Droste, Paul</v>
      </c>
      <c r="B2212" s="3">
        <f ca="1">IFERROR(__xludf.DUMMYFUNCTION("""COMPUTED_VALUE"""),1)</f>
        <v>1</v>
      </c>
      <c r="C2212" s="7">
        <f ca="1">IFERROR(__xludf.DUMMYFUNCTION("""COMPUTED_VALUE"""),1)</f>
        <v>1</v>
      </c>
      <c r="D2212" s="8">
        <f ca="1">IFERROR(__xludf.DUMMYFUNCTION("""COMPUTED_VALUE"""),5)</f>
        <v>5</v>
      </c>
      <c r="E2212" s="3">
        <f ca="1">IFERROR(__xludf.DUMMYFUNCTION("""COMPUTED_VALUE"""),2)</f>
        <v>2</v>
      </c>
    </row>
    <row r="2213" spans="1:5" ht="13">
      <c r="A2213" s="2" t="str">
        <f ca="1">IFERROR(__xludf.DUMMYFUNCTION("""COMPUTED_VALUE"""),"Drozdov, Vladimir")</f>
        <v>Drozdov, Vladimir</v>
      </c>
      <c r="B2213" s="3">
        <f ca="1">IFERROR(__xludf.DUMMYFUNCTION("""COMPUTED_VALUE"""),1)</f>
        <v>1</v>
      </c>
      <c r="C2213" s="7">
        <f ca="1">IFERROR(__xludf.DUMMYFUNCTION("""COMPUTED_VALUE"""),1)</f>
        <v>1</v>
      </c>
      <c r="D2213" s="8">
        <f ca="1">IFERROR(__xludf.DUMMYFUNCTION("""COMPUTED_VALUE"""),5)</f>
        <v>5</v>
      </c>
      <c r="E2213" s="2">
        <f ca="1">IFERROR(__xludf.DUMMYFUNCTION("""COMPUTED_VALUE"""),2)</f>
        <v>2</v>
      </c>
    </row>
    <row r="2214" spans="1:5" ht="13">
      <c r="A2214" s="8" t="str">
        <f ca="1">IFERROR(__xludf.DUMMYFUNCTION("""COMPUTED_VALUE"""),"Druckman, Jacob")</f>
        <v>Druckman, Jacob</v>
      </c>
      <c r="B2214" s="3">
        <f ca="1">IFERROR(__xludf.DUMMYFUNCTION("""COMPUTED_VALUE"""),1)</f>
        <v>1</v>
      </c>
      <c r="C2214" s="7">
        <f ca="1">IFERROR(__xludf.DUMMYFUNCTION("""COMPUTED_VALUE"""),1)</f>
        <v>1</v>
      </c>
      <c r="D2214" s="8">
        <f ca="1">IFERROR(__xludf.DUMMYFUNCTION("""COMPUTED_VALUE"""),5)</f>
        <v>5</v>
      </c>
      <c r="E2214" s="2">
        <f ca="1">IFERROR(__xludf.DUMMYFUNCTION("""COMPUTED_VALUE"""),2)</f>
        <v>2</v>
      </c>
    </row>
    <row r="2215" spans="1:5" ht="13">
      <c r="A2215" s="2" t="str">
        <f ca="1">IFERROR(__xludf.DUMMYFUNCTION("""COMPUTED_VALUE"""),"Drumm, George")</f>
        <v>Drumm, George</v>
      </c>
      <c r="B2215" s="2">
        <f ca="1">IFERROR(__xludf.DUMMYFUNCTION("""COMPUTED_VALUE"""),1)</f>
        <v>1</v>
      </c>
      <c r="C2215" s="7">
        <f ca="1">IFERROR(__xludf.DUMMYFUNCTION("""COMPUTED_VALUE"""),1)</f>
        <v>1</v>
      </c>
      <c r="D2215" s="8">
        <f ca="1">IFERROR(__xludf.DUMMYFUNCTION("""COMPUTED_VALUE"""),5)</f>
        <v>5</v>
      </c>
      <c r="E2215" s="2">
        <f ca="1">IFERROR(__xludf.DUMMYFUNCTION("""COMPUTED_VALUE"""),2)</f>
        <v>2</v>
      </c>
    </row>
    <row r="2216" spans="1:5" ht="13">
      <c r="A2216" s="2" t="str">
        <f ca="1">IFERROR(__xludf.DUMMYFUNCTION("""COMPUTED_VALUE"""),"Drummond, R. Paul")</f>
        <v>Drummond, R. Paul</v>
      </c>
      <c r="B2216" s="3">
        <f ca="1">IFERROR(__xludf.DUMMYFUNCTION("""COMPUTED_VALUE"""),1)</f>
        <v>1</v>
      </c>
      <c r="C2216" s="7">
        <f ca="1">IFERROR(__xludf.DUMMYFUNCTION("""COMPUTED_VALUE"""),1)</f>
        <v>1</v>
      </c>
      <c r="D2216" s="8">
        <f ca="1">IFERROR(__xludf.DUMMYFUNCTION("""COMPUTED_VALUE"""),5)</f>
        <v>5</v>
      </c>
      <c r="E2216" s="2">
        <f ca="1">IFERROR(__xludf.DUMMYFUNCTION("""COMPUTED_VALUE"""),2)</f>
        <v>2</v>
      </c>
    </row>
    <row r="2217" spans="1:5" ht="13">
      <c r="A2217" s="8" t="str">
        <f ca="1">IFERROR(__xludf.DUMMYFUNCTION("""COMPUTED_VALUE"""),"Drummond, R. Paul / Krunnfusz, Dan")</f>
        <v>Drummond, R. Paul / Krunnfusz, Dan</v>
      </c>
      <c r="B2217" s="9">
        <f ca="1">IFERROR(__xludf.DUMMYFUNCTION("""COMPUTED_VALUE"""),1)</f>
        <v>1</v>
      </c>
      <c r="C2217" s="7">
        <f ca="1">IFERROR(__xludf.DUMMYFUNCTION("""COMPUTED_VALUE"""),1)</f>
        <v>1</v>
      </c>
      <c r="D2217" s="8">
        <f ca="1">IFERROR(__xludf.DUMMYFUNCTION("""COMPUTED_VALUE"""),5)</f>
        <v>5</v>
      </c>
      <c r="E2217" s="9">
        <f ca="1">IFERROR(__xludf.DUMMYFUNCTION("""COMPUTED_VALUE"""),2)</f>
        <v>2</v>
      </c>
    </row>
    <row r="2218" spans="1:5" ht="13">
      <c r="A2218" s="8" t="str">
        <f ca="1">IFERROR(__xludf.DUMMYFUNCTION("""COMPUTED_VALUE"""),"Druzecky, Georg")</f>
        <v>Druzecky, Georg</v>
      </c>
      <c r="B2218" s="3">
        <f ca="1">IFERROR(__xludf.DUMMYFUNCTION("""COMPUTED_VALUE"""),1)</f>
        <v>1</v>
      </c>
      <c r="C2218" s="7">
        <f ca="1">IFERROR(__xludf.DUMMYFUNCTION("""COMPUTED_VALUE"""),1)</f>
        <v>1</v>
      </c>
      <c r="D2218" s="8">
        <f ca="1">IFERROR(__xludf.DUMMYFUNCTION("""COMPUTED_VALUE"""),5)</f>
        <v>5</v>
      </c>
      <c r="E2218" s="2">
        <f ca="1">IFERROR(__xludf.DUMMYFUNCTION("""COMPUTED_VALUE"""),2)</f>
        <v>2</v>
      </c>
    </row>
    <row r="2219" spans="1:5" ht="13">
      <c r="A2219" s="2" t="str">
        <f ca="1">IFERROR(__xludf.DUMMYFUNCTION("""COMPUTED_VALUE"""),"Du Puy, Édouard")</f>
        <v>Du Puy, Édouard</v>
      </c>
      <c r="B2219" s="3">
        <f ca="1">IFERROR(__xludf.DUMMYFUNCTION("""COMPUTED_VALUE"""),1)</f>
        <v>1</v>
      </c>
      <c r="C2219" s="7">
        <f ca="1">IFERROR(__xludf.DUMMYFUNCTION("""COMPUTED_VALUE"""),1)</f>
        <v>1</v>
      </c>
      <c r="D2219" s="8">
        <f ca="1">IFERROR(__xludf.DUMMYFUNCTION("""COMPUTED_VALUE"""),5)</f>
        <v>5</v>
      </c>
      <c r="E2219" s="2">
        <f ca="1">IFERROR(__xludf.DUMMYFUNCTION("""COMPUTED_VALUE"""),2)</f>
        <v>2</v>
      </c>
    </row>
    <row r="2220" spans="1:5" ht="13">
      <c r="A2220" s="2" t="str">
        <f ca="1">IFERROR(__xludf.DUMMYFUNCTION("""COMPUTED_VALUE"""),"Duarte, John")</f>
        <v>Duarte, John</v>
      </c>
      <c r="B2220" s="2">
        <f ca="1">IFERROR(__xludf.DUMMYFUNCTION("""COMPUTED_VALUE"""),1)</f>
        <v>1</v>
      </c>
      <c r="C2220" s="7">
        <f ca="1">IFERROR(__xludf.DUMMYFUNCTION("""COMPUTED_VALUE"""),1)</f>
        <v>1</v>
      </c>
      <c r="D2220" s="8">
        <f ca="1">IFERROR(__xludf.DUMMYFUNCTION("""COMPUTED_VALUE"""),5)</f>
        <v>5</v>
      </c>
      <c r="E2220" s="2">
        <f ca="1">IFERROR(__xludf.DUMMYFUNCTION("""COMPUTED_VALUE"""),2)</f>
        <v>2</v>
      </c>
    </row>
    <row r="2221" spans="1:5" ht="13">
      <c r="A2221" s="8" t="str">
        <f ca="1">IFERROR(__xludf.DUMMYFUNCTION("""COMPUTED_VALUE"""),"Dube, Jordan")</f>
        <v>Dube, Jordan</v>
      </c>
      <c r="B2221" s="3">
        <f ca="1">IFERROR(__xludf.DUMMYFUNCTION("""COMPUTED_VALUE"""),1)</f>
        <v>1</v>
      </c>
      <c r="C2221" s="7">
        <f ca="1">IFERROR(__xludf.DUMMYFUNCTION("""COMPUTED_VALUE"""),1)</f>
        <v>1</v>
      </c>
      <c r="D2221" s="8">
        <f ca="1">IFERROR(__xludf.DUMMYFUNCTION("""COMPUTED_VALUE"""),1)</f>
        <v>1</v>
      </c>
      <c r="E2221" s="2">
        <f ca="1">IFERROR(__xludf.DUMMYFUNCTION("""COMPUTED_VALUE"""),1)</f>
        <v>1</v>
      </c>
    </row>
    <row r="2222" spans="1:5" ht="13">
      <c r="A2222" s="8" t="str">
        <f ca="1">IFERROR(__xludf.DUMMYFUNCTION("""COMPUTED_VALUE"""),"Dubensky, Arcady")</f>
        <v>Dubensky, Arcady</v>
      </c>
      <c r="B2222" s="2">
        <f ca="1">IFERROR(__xludf.DUMMYFUNCTION("""COMPUTED_VALUE"""),1)</f>
        <v>1</v>
      </c>
      <c r="C2222" s="2">
        <f ca="1">IFERROR(__xludf.DUMMYFUNCTION("""COMPUTED_VALUE"""),1)</f>
        <v>1</v>
      </c>
      <c r="D2222" s="8">
        <f ca="1">IFERROR(__xludf.DUMMYFUNCTION("""COMPUTED_VALUE"""),5)</f>
        <v>5</v>
      </c>
      <c r="E2222" s="2">
        <f ca="1">IFERROR(__xludf.DUMMYFUNCTION("""COMPUTED_VALUE"""),2)</f>
        <v>2</v>
      </c>
    </row>
    <row r="2223" spans="1:5" ht="13">
      <c r="A2223" s="2" t="str">
        <f ca="1">IFERROR(__xludf.DUMMYFUNCTION("""COMPUTED_VALUE"""),"Dubinsky, Leon")</f>
        <v>Dubinsky, Leon</v>
      </c>
      <c r="B2223" s="2">
        <f ca="1">IFERROR(__xludf.DUMMYFUNCTION("""COMPUTED_VALUE"""),1)</f>
        <v>1</v>
      </c>
      <c r="C2223" s="7">
        <f ca="1">IFERROR(__xludf.DUMMYFUNCTION("""COMPUTED_VALUE"""),1)</f>
        <v>1</v>
      </c>
      <c r="D2223" s="8">
        <f ca="1">IFERROR(__xludf.DUMMYFUNCTION("""COMPUTED_VALUE"""),1)</f>
        <v>1</v>
      </c>
      <c r="E2223" s="2">
        <f ca="1">IFERROR(__xludf.DUMMYFUNCTION("""COMPUTED_VALUE"""),1)</f>
        <v>1</v>
      </c>
    </row>
    <row r="2224" spans="1:5" ht="13">
      <c r="A2224" s="2" t="str">
        <f ca="1">IFERROR(__xludf.DUMMYFUNCTION("""COMPUTED_VALUE"""),"Dubinsky, Leon and Smith, Stephen")</f>
        <v>Dubinsky, Leon and Smith, Stephen</v>
      </c>
      <c r="B2224" s="3">
        <f ca="1">IFERROR(__xludf.DUMMYFUNCTION("""COMPUTED_VALUE"""),1)</f>
        <v>1</v>
      </c>
      <c r="C2224" s="7">
        <f ca="1">IFERROR(__xludf.DUMMYFUNCTION("""COMPUTED_VALUE"""),1)</f>
        <v>1</v>
      </c>
      <c r="D2224" s="8">
        <f ca="1">IFERROR(__xludf.DUMMYFUNCTION("""COMPUTED_VALUE"""),5)</f>
        <v>5</v>
      </c>
      <c r="E2224" s="2">
        <f ca="1">IFERROR(__xludf.DUMMYFUNCTION("""COMPUTED_VALUE"""),2)</f>
        <v>2</v>
      </c>
    </row>
    <row r="2225" spans="1:5" ht="13">
      <c r="A2225" s="2" t="str">
        <f ca="1">IFERROR(__xludf.DUMMYFUNCTION("""COMPUTED_VALUE"""),"Dubinsky, Rostilav")</f>
        <v>Dubinsky, Rostilav</v>
      </c>
      <c r="B2225" s="3">
        <f ca="1">IFERROR(__xludf.DUMMYFUNCTION("""COMPUTED_VALUE"""),1)</f>
        <v>1</v>
      </c>
      <c r="C2225" s="7">
        <f ca="1">IFERROR(__xludf.DUMMYFUNCTION("""COMPUTED_VALUE"""),1)</f>
        <v>1</v>
      </c>
      <c r="D2225" s="8">
        <f ca="1">IFERROR(__xludf.DUMMYFUNCTION("""COMPUTED_VALUE"""),5)</f>
        <v>5</v>
      </c>
      <c r="E2225" s="2">
        <f ca="1">IFERROR(__xludf.DUMMYFUNCTION("""COMPUTED_VALUE"""),2)</f>
        <v>2</v>
      </c>
    </row>
    <row r="2226" spans="1:5" ht="13">
      <c r="A2226" s="8" t="str">
        <f ca="1">IFERROR(__xludf.DUMMYFUNCTION("""COMPUTED_VALUE"""),"Duble, Charles E.")</f>
        <v>Duble, Charles E.</v>
      </c>
      <c r="B2226" s="3">
        <f ca="1">IFERROR(__xludf.DUMMYFUNCTION("""COMPUTED_VALUE"""),1)</f>
        <v>1</v>
      </c>
      <c r="C2226" s="7">
        <f ca="1">IFERROR(__xludf.DUMMYFUNCTION("""COMPUTED_VALUE"""),1)</f>
        <v>1</v>
      </c>
      <c r="D2226" s="8">
        <f ca="1">IFERROR(__xludf.DUMMYFUNCTION("""COMPUTED_VALUE"""),5)</f>
        <v>5</v>
      </c>
      <c r="E2226" s="2">
        <f ca="1">IFERROR(__xludf.DUMMYFUNCTION("""COMPUTED_VALUE"""),2)</f>
        <v>2</v>
      </c>
    </row>
    <row r="2227" spans="1:5" ht="13">
      <c r="A2227" s="2" t="str">
        <f ca="1">IFERROR(__xludf.DUMMYFUNCTION("""COMPUTED_VALUE"""),"DuBoff, Rob and Sultanof, Jeffrey")</f>
        <v>DuBoff, Rob and Sultanof, Jeffrey</v>
      </c>
      <c r="B2227" s="3">
        <f ca="1">IFERROR(__xludf.DUMMYFUNCTION("""COMPUTED_VALUE"""),1)</f>
        <v>1</v>
      </c>
      <c r="C2227" s="7">
        <f ca="1">IFERROR(__xludf.DUMMYFUNCTION("""COMPUTED_VALUE"""),1)</f>
        <v>1</v>
      </c>
      <c r="D2227" s="8">
        <f ca="1">IFERROR(__xludf.DUMMYFUNCTION("""COMPUTED_VALUE"""),1)</f>
        <v>1</v>
      </c>
      <c r="E2227" s="2">
        <f ca="1">IFERROR(__xludf.DUMMYFUNCTION("""COMPUTED_VALUE"""),1)</f>
        <v>1</v>
      </c>
    </row>
    <row r="2228" spans="1:5" ht="13">
      <c r="A2228" s="8" t="str">
        <f ca="1">IFERROR(__xludf.DUMMYFUNCTION("""COMPUTED_VALUE"""),"DuBois, Pierre Max")</f>
        <v>DuBois, Pierre Max</v>
      </c>
      <c r="B2228" s="3">
        <f ca="1">IFERROR(__xludf.DUMMYFUNCTION("""COMPUTED_VALUE"""),1)</f>
        <v>1</v>
      </c>
      <c r="C2228" s="7">
        <f ca="1">IFERROR(__xludf.DUMMYFUNCTION("""COMPUTED_VALUE"""),1)</f>
        <v>1</v>
      </c>
      <c r="D2228" s="8">
        <f ca="1">IFERROR(__xludf.DUMMYFUNCTION("""COMPUTED_VALUE"""),5)</f>
        <v>5</v>
      </c>
      <c r="E2228" s="2">
        <f ca="1">IFERROR(__xludf.DUMMYFUNCTION("""COMPUTED_VALUE"""),2)</f>
        <v>2</v>
      </c>
    </row>
    <row r="2229" spans="1:5" ht="13">
      <c r="A2229" s="2" t="str">
        <f ca="1">IFERROR(__xludf.DUMMYFUNCTION("""COMPUTED_VALUE"""),"Dubois, Theodore")</f>
        <v>Dubois, Theodore</v>
      </c>
      <c r="B2229" s="3">
        <f ca="1">IFERROR(__xludf.DUMMYFUNCTION("""COMPUTED_VALUE"""),1)</f>
        <v>1</v>
      </c>
      <c r="C2229" s="7">
        <f ca="1">IFERROR(__xludf.DUMMYFUNCTION("""COMPUTED_VALUE"""),1)</f>
        <v>1</v>
      </c>
      <c r="D2229" s="8">
        <f ca="1">IFERROR(__xludf.DUMMYFUNCTION("""COMPUTED_VALUE"""),5)</f>
        <v>5</v>
      </c>
      <c r="E2229" s="2">
        <f ca="1">IFERROR(__xludf.DUMMYFUNCTION("""COMPUTED_VALUE"""),2)</f>
        <v>2</v>
      </c>
    </row>
    <row r="2230" spans="1:5" ht="13">
      <c r="A2230" s="8" t="str">
        <f ca="1">IFERROR(__xludf.DUMMYFUNCTION("""COMPUTED_VALUE"""),"DuBois, Théodore")</f>
        <v>DuBois, Théodore</v>
      </c>
      <c r="B2230" s="3">
        <f ca="1">IFERROR(__xludf.DUMMYFUNCTION("""COMPUTED_VALUE"""),1)</f>
        <v>1</v>
      </c>
      <c r="C2230" s="7">
        <f ca="1">IFERROR(__xludf.DUMMYFUNCTION("""COMPUTED_VALUE"""),1)</f>
        <v>1</v>
      </c>
      <c r="D2230" s="8">
        <f ca="1">IFERROR(__xludf.DUMMYFUNCTION("""COMPUTED_VALUE"""),5)</f>
        <v>5</v>
      </c>
      <c r="E2230" s="2">
        <f ca="1">IFERROR(__xludf.DUMMYFUNCTION("""COMPUTED_VALUE"""),2)</f>
        <v>2</v>
      </c>
    </row>
    <row r="2231" spans="1:5" ht="13">
      <c r="A2231" s="2" t="str">
        <f ca="1">IFERROR(__xludf.DUMMYFUNCTION("""COMPUTED_VALUE"""),"Dubon, Oliver")</f>
        <v>Dubon, Oliver</v>
      </c>
      <c r="B2231" s="3">
        <f ca="1">IFERROR(__xludf.DUMMYFUNCTION("""COMPUTED_VALUE"""),1)</f>
        <v>1</v>
      </c>
      <c r="C2231" s="7">
        <f ca="1">IFERROR(__xludf.DUMMYFUNCTION("""COMPUTED_VALUE"""),1)</f>
        <v>1</v>
      </c>
      <c r="D2231" s="8">
        <f ca="1">IFERROR(__xludf.DUMMYFUNCTION("""COMPUTED_VALUE"""),1)</f>
        <v>1</v>
      </c>
      <c r="E2231" s="2">
        <f ca="1">IFERROR(__xludf.DUMMYFUNCTION("""COMPUTED_VALUE"""),1)</f>
        <v>1</v>
      </c>
    </row>
    <row r="2232" spans="1:5" ht="13">
      <c r="A2232" s="2" t="str">
        <f ca="1">IFERROR(__xludf.DUMMYFUNCTION("""COMPUTED_VALUE"""),"Dubra, Rihards")</f>
        <v>Dubra, Rihards</v>
      </c>
      <c r="B2232" s="3">
        <f ca="1">IFERROR(__xludf.DUMMYFUNCTION("""COMPUTED_VALUE"""),1)</f>
        <v>1</v>
      </c>
      <c r="C2232" s="7">
        <f ca="1">IFERROR(__xludf.DUMMYFUNCTION("""COMPUTED_VALUE"""),1)</f>
        <v>1</v>
      </c>
      <c r="D2232" s="8">
        <f ca="1">IFERROR(__xludf.DUMMYFUNCTION("""COMPUTED_VALUE"""),1)</f>
        <v>1</v>
      </c>
      <c r="E2232" s="2">
        <f ca="1">IFERROR(__xludf.DUMMYFUNCTION("""COMPUTED_VALUE"""),1)</f>
        <v>1</v>
      </c>
    </row>
    <row r="2233" spans="1:5" ht="13">
      <c r="A2233" s="8" t="str">
        <f ca="1">IFERROR(__xludf.DUMMYFUNCTION("""COMPUTED_VALUE"""),"Dubugnon, Richard")</f>
        <v>Dubugnon, Richard</v>
      </c>
      <c r="B2233" s="3">
        <f ca="1">IFERROR(__xludf.DUMMYFUNCTION("""COMPUTED_VALUE"""),1)</f>
        <v>1</v>
      </c>
      <c r="C2233" s="7">
        <f ca="1">IFERROR(__xludf.DUMMYFUNCTION("""COMPUTED_VALUE"""),1)</f>
        <v>1</v>
      </c>
      <c r="D2233" s="8">
        <f ca="1">IFERROR(__xludf.DUMMYFUNCTION("""COMPUTED_VALUE"""),1)</f>
        <v>1</v>
      </c>
      <c r="E2233" s="2">
        <f ca="1">IFERROR(__xludf.DUMMYFUNCTION("""COMPUTED_VALUE"""),1)</f>
        <v>1</v>
      </c>
    </row>
    <row r="2234" spans="1:5" ht="13">
      <c r="A2234" s="2" t="str">
        <f ca="1">IFERROR(__xludf.DUMMYFUNCTION("""COMPUTED_VALUE"""),"Duckworth, William")</f>
        <v>Duckworth, William</v>
      </c>
      <c r="B2234" s="2">
        <f ca="1">IFERROR(__xludf.DUMMYFUNCTION("""COMPUTED_VALUE"""),1)</f>
        <v>1</v>
      </c>
      <c r="C2234" s="7">
        <f ca="1">IFERROR(__xludf.DUMMYFUNCTION("""COMPUTED_VALUE"""),1)</f>
        <v>1</v>
      </c>
      <c r="D2234" s="8">
        <f ca="1">IFERROR(__xludf.DUMMYFUNCTION("""COMPUTED_VALUE"""),5)</f>
        <v>5</v>
      </c>
      <c r="E2234" s="2">
        <f ca="1">IFERROR(__xludf.DUMMYFUNCTION("""COMPUTED_VALUE"""),2)</f>
        <v>2</v>
      </c>
    </row>
    <row r="2235" spans="1:5" ht="13">
      <c r="A2235" s="2" t="str">
        <f ca="1">IFERROR(__xludf.DUMMYFUNCTION("""COMPUTED_VALUE"""),"Duda, Jörg")</f>
        <v>Duda, Jörg</v>
      </c>
      <c r="B2235" s="3">
        <f ca="1">IFERROR(__xludf.DUMMYFUNCTION("""COMPUTED_VALUE"""),1)</f>
        <v>1</v>
      </c>
      <c r="C2235" s="7">
        <f ca="1">IFERROR(__xludf.DUMMYFUNCTION("""COMPUTED_VALUE"""),1)</f>
        <v>1</v>
      </c>
      <c r="D2235" s="8">
        <f ca="1">IFERROR(__xludf.DUMMYFUNCTION("""COMPUTED_VALUE"""),1)</f>
        <v>1</v>
      </c>
      <c r="E2235" s="2">
        <f ca="1">IFERROR(__xludf.DUMMYFUNCTION("""COMPUTED_VALUE"""),1)</f>
        <v>1</v>
      </c>
    </row>
    <row r="2236" spans="1:5" ht="13">
      <c r="A2236" s="8" t="str">
        <f ca="1">IFERROR(__xludf.DUMMYFUNCTION("""COMPUTED_VALUE"""),"Dudley, Buck")</f>
        <v>Dudley, Buck</v>
      </c>
      <c r="B2236" s="3">
        <f ca="1">IFERROR(__xludf.DUMMYFUNCTION("""COMPUTED_VALUE"""),1)</f>
        <v>1</v>
      </c>
      <c r="C2236" s="7">
        <f ca="1">IFERROR(__xludf.DUMMYFUNCTION("""COMPUTED_VALUE"""),1)</f>
        <v>1</v>
      </c>
      <c r="D2236" s="8">
        <f ca="1">IFERROR(__xludf.DUMMYFUNCTION("""COMPUTED_VALUE"""),5)</f>
        <v>5</v>
      </c>
      <c r="E2236" s="2">
        <f ca="1">IFERROR(__xludf.DUMMYFUNCTION("""COMPUTED_VALUE"""),2)</f>
        <v>2</v>
      </c>
    </row>
    <row r="2237" spans="1:5" ht="13">
      <c r="A2237" s="8" t="str">
        <f ca="1">IFERROR(__xludf.DUMMYFUNCTION("""COMPUTED_VALUE"""),"Duetzmann, Hans")</f>
        <v>Duetzmann, Hans</v>
      </c>
      <c r="B2237" s="3">
        <f ca="1">IFERROR(__xludf.DUMMYFUNCTION("""COMPUTED_VALUE"""),1)</f>
        <v>1</v>
      </c>
      <c r="C2237" s="7">
        <f ca="1">IFERROR(__xludf.DUMMYFUNCTION("""COMPUTED_VALUE"""),1)</f>
        <v>1</v>
      </c>
      <c r="D2237" s="8">
        <f ca="1">IFERROR(__xludf.DUMMYFUNCTION("""COMPUTED_VALUE"""),5)</f>
        <v>5</v>
      </c>
      <c r="E2237" s="2">
        <f ca="1">IFERROR(__xludf.DUMMYFUNCTION("""COMPUTED_VALUE"""),2)</f>
        <v>2</v>
      </c>
    </row>
    <row r="2238" spans="1:5" ht="13">
      <c r="A2238" s="8" t="str">
        <f ca="1">IFERROR(__xludf.DUMMYFUNCTION("""COMPUTED_VALUE"""),"Duey, Philip")</f>
        <v>Duey, Philip</v>
      </c>
      <c r="B2238" s="9">
        <f ca="1">IFERROR(__xludf.DUMMYFUNCTION("""COMPUTED_VALUE"""),1)</f>
        <v>1</v>
      </c>
      <c r="C2238" s="7">
        <f ca="1">IFERROR(__xludf.DUMMYFUNCTION("""COMPUTED_VALUE"""),1)</f>
        <v>1</v>
      </c>
      <c r="D2238" s="8">
        <f ca="1">IFERROR(__xludf.DUMMYFUNCTION("""COMPUTED_VALUE"""),5)</f>
        <v>5</v>
      </c>
      <c r="E2238" s="9">
        <f ca="1">IFERROR(__xludf.DUMMYFUNCTION("""COMPUTED_VALUE"""),2)</f>
        <v>2</v>
      </c>
    </row>
    <row r="2239" spans="1:5" ht="13">
      <c r="A2239" s="2" t="str">
        <f ca="1">IFERROR(__xludf.DUMMYFUNCTION("""COMPUTED_VALUE"""),"Dufay, Guillaume")</f>
        <v>Dufay, Guillaume</v>
      </c>
      <c r="B2239" s="3">
        <f ca="1">IFERROR(__xludf.DUMMYFUNCTION("""COMPUTED_VALUE"""),1)</f>
        <v>1</v>
      </c>
      <c r="C2239" s="7">
        <f ca="1">IFERROR(__xludf.DUMMYFUNCTION("""COMPUTED_VALUE"""),1)</f>
        <v>1</v>
      </c>
      <c r="D2239" s="8">
        <f ca="1">IFERROR(__xludf.DUMMYFUNCTION("""COMPUTED_VALUE"""),5)</f>
        <v>5</v>
      </c>
      <c r="E2239" s="2">
        <f ca="1">IFERROR(__xludf.DUMMYFUNCTION("""COMPUTED_VALUE"""),2)</f>
        <v>2</v>
      </c>
    </row>
    <row r="2240" spans="1:5" ht="13">
      <c r="A2240" s="2" t="str">
        <f ca="1">IFERROR(__xludf.DUMMYFUNCTION("""COMPUTED_VALUE"""),"Duff, Arthur")</f>
        <v>Duff, Arthur</v>
      </c>
      <c r="B2240" s="3">
        <f ca="1">IFERROR(__xludf.DUMMYFUNCTION("""COMPUTED_VALUE"""),1)</f>
        <v>1</v>
      </c>
      <c r="C2240" s="7">
        <f ca="1">IFERROR(__xludf.DUMMYFUNCTION("""COMPUTED_VALUE"""),1)</f>
        <v>1</v>
      </c>
      <c r="D2240" s="8">
        <f ca="1">IFERROR(__xludf.DUMMYFUNCTION("""COMPUTED_VALUE"""),5)</f>
        <v>5</v>
      </c>
      <c r="E2240" s="2">
        <f ca="1">IFERROR(__xludf.DUMMYFUNCTION("""COMPUTED_VALUE"""),2)</f>
        <v>2</v>
      </c>
    </row>
    <row r="2241" spans="1:5" ht="13">
      <c r="A2241" s="8" t="str">
        <f ca="1">IFERROR(__xludf.DUMMYFUNCTION("""COMPUTED_VALUE"""),"Duff, Jim")</f>
        <v>Duff, Jim</v>
      </c>
      <c r="B2241" s="3">
        <f ca="1">IFERROR(__xludf.DUMMYFUNCTION("""COMPUTED_VALUE"""),1)</f>
        <v>1</v>
      </c>
      <c r="C2241" s="7">
        <f ca="1">IFERROR(__xludf.DUMMYFUNCTION("""COMPUTED_VALUE"""),1)</f>
        <v>1</v>
      </c>
      <c r="D2241" s="8">
        <f ca="1">IFERROR(__xludf.DUMMYFUNCTION("""COMPUTED_VALUE"""),1)</f>
        <v>1</v>
      </c>
      <c r="E2241" s="2">
        <f ca="1">IFERROR(__xludf.DUMMYFUNCTION("""COMPUTED_VALUE"""),1)</f>
        <v>1</v>
      </c>
    </row>
    <row r="2242" spans="1:5" ht="13">
      <c r="A2242" s="8" t="str">
        <f ca="1">IFERROR(__xludf.DUMMYFUNCTION("""COMPUTED_VALUE"""),"Duffy, Thomas")</f>
        <v>Duffy, Thomas</v>
      </c>
      <c r="B2242" s="3">
        <f ca="1">IFERROR(__xludf.DUMMYFUNCTION("""COMPUTED_VALUE"""),1)</f>
        <v>1</v>
      </c>
      <c r="C2242" s="7">
        <f ca="1">IFERROR(__xludf.DUMMYFUNCTION("""COMPUTED_VALUE"""),1)</f>
        <v>1</v>
      </c>
      <c r="D2242" s="8">
        <f ca="1">IFERROR(__xludf.DUMMYFUNCTION("""COMPUTED_VALUE"""),1)</f>
        <v>1</v>
      </c>
      <c r="E2242" s="2">
        <f ca="1">IFERROR(__xludf.DUMMYFUNCTION("""COMPUTED_VALUE"""),1)</f>
        <v>1</v>
      </c>
    </row>
    <row r="2243" spans="1:5" ht="13">
      <c r="A2243" s="8" t="str">
        <f ca="1">IFERROR(__xludf.DUMMYFUNCTION("""COMPUTED_VALUE"""),"Dukas, Paul")</f>
        <v>Dukas, Paul</v>
      </c>
      <c r="B2243" s="3">
        <f ca="1">IFERROR(__xludf.DUMMYFUNCTION("""COMPUTED_VALUE"""),1)</f>
        <v>1</v>
      </c>
      <c r="C2243" s="7">
        <f ca="1">IFERROR(__xludf.DUMMYFUNCTION("""COMPUTED_VALUE"""),1)</f>
        <v>1</v>
      </c>
      <c r="D2243" s="8">
        <f ca="1">IFERROR(__xludf.DUMMYFUNCTION("""COMPUTED_VALUE"""),5)</f>
        <v>5</v>
      </c>
      <c r="E2243" s="2">
        <f ca="1">IFERROR(__xludf.DUMMYFUNCTION("""COMPUTED_VALUE"""),2)</f>
        <v>2</v>
      </c>
    </row>
    <row r="2244" spans="1:5" ht="13">
      <c r="A2244" s="2" t="str">
        <f ca="1">IFERROR(__xludf.DUMMYFUNCTION("""COMPUTED_VALUE"""),"Duke, John")</f>
        <v>Duke, John</v>
      </c>
      <c r="B2244" s="3">
        <f ca="1">IFERROR(__xludf.DUMMYFUNCTION("""COMPUTED_VALUE"""),1)</f>
        <v>1</v>
      </c>
      <c r="C2244" s="7">
        <f ca="1">IFERROR(__xludf.DUMMYFUNCTION("""COMPUTED_VALUE"""),1)</f>
        <v>1</v>
      </c>
      <c r="D2244" s="8">
        <f ca="1">IFERROR(__xludf.DUMMYFUNCTION("""COMPUTED_VALUE"""),5)</f>
        <v>5</v>
      </c>
      <c r="E2244" s="2">
        <f ca="1">IFERROR(__xludf.DUMMYFUNCTION("""COMPUTED_VALUE"""),2)</f>
        <v>2</v>
      </c>
    </row>
    <row r="2245" spans="1:5" ht="13">
      <c r="A2245" s="8" t="str">
        <f ca="1">IFERROR(__xludf.DUMMYFUNCTION("""COMPUTED_VALUE"""),"Duke, John Woods")</f>
        <v>Duke, John Woods</v>
      </c>
      <c r="B2245" s="3">
        <f ca="1">IFERROR(__xludf.DUMMYFUNCTION("""COMPUTED_VALUE"""),1)</f>
        <v>1</v>
      </c>
      <c r="C2245" s="7">
        <f ca="1">IFERROR(__xludf.DUMMYFUNCTION("""COMPUTED_VALUE"""),1)</f>
        <v>1</v>
      </c>
      <c r="D2245" s="8">
        <f ca="1">IFERROR(__xludf.DUMMYFUNCTION("""COMPUTED_VALUE"""),5)</f>
        <v>5</v>
      </c>
      <c r="E2245" s="2">
        <f ca="1">IFERROR(__xludf.DUMMYFUNCTION("""COMPUTED_VALUE"""),2)</f>
        <v>2</v>
      </c>
    </row>
    <row r="2246" spans="1:5" ht="13">
      <c r="A2246" s="2" t="str">
        <f ca="1">IFERROR(__xludf.DUMMYFUNCTION("""COMPUTED_VALUE"""),"Duke, Vernon / La Touche, John / Fetter, Ted")</f>
        <v>Duke, Vernon / La Touche, John / Fetter, Ted</v>
      </c>
      <c r="B2246" s="2">
        <f ca="1">IFERROR(__xludf.DUMMYFUNCTION("""COMPUTED_VALUE"""),1)</f>
        <v>1</v>
      </c>
      <c r="C2246" s="7">
        <f ca="1">IFERROR(__xludf.DUMMYFUNCTION("""COMPUTED_VALUE"""),1)</f>
        <v>1</v>
      </c>
      <c r="D2246" s="8">
        <f ca="1">IFERROR(__xludf.DUMMYFUNCTION("""COMPUTED_VALUE"""),5)</f>
        <v>5</v>
      </c>
      <c r="E2246" s="2">
        <f ca="1">IFERROR(__xludf.DUMMYFUNCTION("""COMPUTED_VALUE"""),2)</f>
        <v>2</v>
      </c>
    </row>
    <row r="2247" spans="1:5" ht="13">
      <c r="A2247" s="8" t="str">
        <f ca="1">IFERROR(__xludf.DUMMYFUNCTION("""COMPUTED_VALUE"""),"Duker, Guy")</f>
        <v>Duker, Guy</v>
      </c>
      <c r="B2247" s="3">
        <f ca="1">IFERROR(__xludf.DUMMYFUNCTION("""COMPUTED_VALUE"""),1)</f>
        <v>1</v>
      </c>
      <c r="C2247" s="7">
        <f ca="1">IFERROR(__xludf.DUMMYFUNCTION("""COMPUTED_VALUE"""),1)</f>
        <v>1</v>
      </c>
      <c r="D2247" s="8">
        <f ca="1">IFERROR(__xludf.DUMMYFUNCTION("""COMPUTED_VALUE"""),5)</f>
        <v>5</v>
      </c>
      <c r="E2247" s="2">
        <f ca="1">IFERROR(__xludf.DUMMYFUNCTION("""COMPUTED_VALUE"""),2)</f>
        <v>2</v>
      </c>
    </row>
    <row r="2248" spans="1:5" ht="13">
      <c r="A2248" s="2" t="str">
        <f ca="1">IFERROR(__xludf.DUMMYFUNCTION("""COMPUTED_VALUE"""),"Dulot, Francois")</f>
        <v>Dulot, Francois</v>
      </c>
      <c r="B2248" s="3">
        <f ca="1">IFERROR(__xludf.DUMMYFUNCTION("""COMPUTED_VALUE"""),1)</f>
        <v>1</v>
      </c>
      <c r="C2248" s="7">
        <f ca="1">IFERROR(__xludf.DUMMYFUNCTION("""COMPUTED_VALUE"""),1)</f>
        <v>1</v>
      </c>
      <c r="D2248" s="8">
        <f ca="1">IFERROR(__xludf.DUMMYFUNCTION("""COMPUTED_VALUE"""),1)</f>
        <v>1</v>
      </c>
      <c r="E2248" s="2">
        <f ca="1">IFERROR(__xludf.DUMMYFUNCTION("""COMPUTED_VALUE"""),1)</f>
        <v>1</v>
      </c>
    </row>
    <row r="2249" spans="1:5" ht="13">
      <c r="A2249" s="8" t="str">
        <f ca="1">IFERROR(__xludf.DUMMYFUNCTION("""COMPUTED_VALUE"""),"Dunayevsky, Isaak")</f>
        <v>Dunayevsky, Isaak</v>
      </c>
      <c r="B2249" s="3">
        <f ca="1">IFERROR(__xludf.DUMMYFUNCTION("""COMPUTED_VALUE"""),1)</f>
        <v>1</v>
      </c>
      <c r="C2249" s="7">
        <f ca="1">IFERROR(__xludf.DUMMYFUNCTION("""COMPUTED_VALUE"""),1)</f>
        <v>1</v>
      </c>
      <c r="D2249" s="8">
        <f ca="1">IFERROR(__xludf.DUMMYFUNCTION("""COMPUTED_VALUE"""),5)</f>
        <v>5</v>
      </c>
      <c r="E2249" s="2">
        <f ca="1">IFERROR(__xludf.DUMMYFUNCTION("""COMPUTED_VALUE"""),2)</f>
        <v>2</v>
      </c>
    </row>
    <row r="2250" spans="1:5" ht="13">
      <c r="A2250" s="2" t="str">
        <f ca="1">IFERROR(__xludf.DUMMYFUNCTION("""COMPUTED_VALUE"""),"Dunbar, Dave")</f>
        <v>Dunbar, Dave</v>
      </c>
      <c r="B2250" s="3">
        <f ca="1">IFERROR(__xludf.DUMMYFUNCTION("""COMPUTED_VALUE"""),1)</f>
        <v>1</v>
      </c>
      <c r="C2250" s="7">
        <f ca="1">IFERROR(__xludf.DUMMYFUNCTION("""COMPUTED_VALUE"""),1)</f>
        <v>1</v>
      </c>
      <c r="D2250" s="8">
        <f ca="1">IFERROR(__xludf.DUMMYFUNCTION("""COMPUTED_VALUE"""),1)</f>
        <v>1</v>
      </c>
      <c r="E2250" s="2">
        <f ca="1">IFERROR(__xludf.DUMMYFUNCTION("""COMPUTED_VALUE"""),1)</f>
        <v>1</v>
      </c>
    </row>
    <row r="2251" spans="1:5" ht="13">
      <c r="A2251" s="8" t="str">
        <f ca="1">IFERROR(__xludf.DUMMYFUNCTION("""COMPUTED_VALUE"""),"Duncan, Owen")</f>
        <v>Duncan, Owen</v>
      </c>
      <c r="B2251" s="3">
        <f ca="1">IFERROR(__xludf.DUMMYFUNCTION("""COMPUTED_VALUE"""),1)</f>
        <v>1</v>
      </c>
      <c r="C2251" s="7">
        <f ca="1">IFERROR(__xludf.DUMMYFUNCTION("""COMPUTED_VALUE"""),1)</f>
        <v>1</v>
      </c>
      <c r="D2251" s="8">
        <f ca="1">IFERROR(__xludf.DUMMYFUNCTION("""COMPUTED_VALUE"""),1)</f>
        <v>1</v>
      </c>
      <c r="E2251" s="2">
        <f ca="1">IFERROR(__xludf.DUMMYFUNCTION("""COMPUTED_VALUE"""),1)</f>
        <v>1</v>
      </c>
    </row>
    <row r="2252" spans="1:5" ht="13">
      <c r="A2252" s="8" t="str">
        <f ca="1">IFERROR(__xludf.DUMMYFUNCTION("""COMPUTED_VALUE"""),"Duncombe, William")</f>
        <v>Duncombe, William</v>
      </c>
      <c r="B2252" s="3">
        <f ca="1">IFERROR(__xludf.DUMMYFUNCTION("""COMPUTED_VALUE"""),1)</f>
        <v>1</v>
      </c>
      <c r="C2252" s="7">
        <f ca="1">IFERROR(__xludf.DUMMYFUNCTION("""COMPUTED_VALUE"""),1)</f>
        <v>1</v>
      </c>
      <c r="D2252" s="8">
        <f ca="1">IFERROR(__xludf.DUMMYFUNCTION("""COMPUTED_VALUE"""),5)</f>
        <v>5</v>
      </c>
      <c r="E2252" s="2">
        <f ca="1">IFERROR(__xludf.DUMMYFUNCTION("""COMPUTED_VALUE"""),2)</f>
        <v>2</v>
      </c>
    </row>
    <row r="2253" spans="1:5" ht="13">
      <c r="A2253" s="2" t="str">
        <f ca="1">IFERROR(__xludf.DUMMYFUNCTION("""COMPUTED_VALUE"""),"Dunhill, Thomas")</f>
        <v>Dunhill, Thomas</v>
      </c>
      <c r="B2253" s="3">
        <f ca="1">IFERROR(__xludf.DUMMYFUNCTION("""COMPUTED_VALUE"""),1)</f>
        <v>1</v>
      </c>
      <c r="C2253" s="7">
        <f ca="1">IFERROR(__xludf.DUMMYFUNCTION("""COMPUTED_VALUE"""),1)</f>
        <v>1</v>
      </c>
      <c r="D2253" s="8">
        <f ca="1">IFERROR(__xludf.DUMMYFUNCTION("""COMPUTED_VALUE"""),5)</f>
        <v>5</v>
      </c>
      <c r="E2253" s="2">
        <f ca="1">IFERROR(__xludf.DUMMYFUNCTION("""COMPUTED_VALUE"""),2)</f>
        <v>2</v>
      </c>
    </row>
    <row r="2254" spans="1:5" ht="13">
      <c r="A2254" s="8" t="str">
        <f ca="1">IFERROR(__xludf.DUMMYFUNCTION("""COMPUTED_VALUE"""),"Dunleavy, Houston")</f>
        <v>Dunleavy, Houston</v>
      </c>
      <c r="B2254" s="3">
        <f ca="1">IFERROR(__xludf.DUMMYFUNCTION("""COMPUTED_VALUE"""),1)</f>
        <v>1</v>
      </c>
      <c r="C2254" s="7">
        <f ca="1">IFERROR(__xludf.DUMMYFUNCTION("""COMPUTED_VALUE"""),1)</f>
        <v>1</v>
      </c>
      <c r="D2254" s="8">
        <f ca="1">IFERROR(__xludf.DUMMYFUNCTION("""COMPUTED_VALUE"""),1)</f>
        <v>1</v>
      </c>
      <c r="E2254" s="2">
        <f ca="1">IFERROR(__xludf.DUMMYFUNCTION("""COMPUTED_VALUE"""),1)</f>
        <v>1</v>
      </c>
    </row>
    <row r="2255" spans="1:5" ht="13">
      <c r="A2255" s="2" t="str">
        <f ca="1">IFERROR(__xludf.DUMMYFUNCTION("""COMPUTED_VALUE"""),"Dunn, J. Mark")</f>
        <v>Dunn, J. Mark</v>
      </c>
      <c r="B2255" s="3">
        <f ca="1">IFERROR(__xludf.DUMMYFUNCTION("""COMPUTED_VALUE"""),1)</f>
        <v>1</v>
      </c>
      <c r="C2255" s="7">
        <f ca="1">IFERROR(__xludf.DUMMYFUNCTION("""COMPUTED_VALUE"""),1)</f>
        <v>1</v>
      </c>
      <c r="D2255" s="8">
        <f ca="1">IFERROR(__xludf.DUMMYFUNCTION("""COMPUTED_VALUE"""),1)</f>
        <v>1</v>
      </c>
      <c r="E2255" s="2">
        <f ca="1">IFERROR(__xludf.DUMMYFUNCTION("""COMPUTED_VALUE"""),1)</f>
        <v>1</v>
      </c>
    </row>
    <row r="2256" spans="1:5" ht="13">
      <c r="A2256" s="2" t="str">
        <f ca="1">IFERROR(__xludf.DUMMYFUNCTION("""COMPUTED_VALUE"""),"Dunn, Jeff")</f>
        <v>Dunn, Jeff</v>
      </c>
      <c r="B2256" s="3">
        <f ca="1">IFERROR(__xludf.DUMMYFUNCTION("""COMPUTED_VALUE"""),1)</f>
        <v>1</v>
      </c>
      <c r="C2256" s="7">
        <f ca="1">IFERROR(__xludf.DUMMYFUNCTION("""COMPUTED_VALUE"""),1)</f>
        <v>1</v>
      </c>
      <c r="D2256" s="8">
        <f ca="1">IFERROR(__xludf.DUMMYFUNCTION("""COMPUTED_VALUE"""),1)</f>
        <v>1</v>
      </c>
      <c r="E2256" s="2">
        <f ca="1">IFERROR(__xludf.DUMMYFUNCTION("""COMPUTED_VALUE"""),1)</f>
        <v>1</v>
      </c>
    </row>
    <row r="2257" spans="1:5" ht="13">
      <c r="A2257" s="2" t="str">
        <f ca="1">IFERROR(__xludf.DUMMYFUNCTION("""COMPUTED_VALUE"""),"Dunn, Steve")</f>
        <v>Dunn, Steve</v>
      </c>
      <c r="B2257" s="2">
        <f ca="1">IFERROR(__xludf.DUMMYFUNCTION("""COMPUTED_VALUE"""),1)</f>
        <v>1</v>
      </c>
      <c r="C2257" s="7">
        <f ca="1">IFERROR(__xludf.DUMMYFUNCTION("""COMPUTED_VALUE"""),1)</f>
        <v>1</v>
      </c>
      <c r="D2257" s="8">
        <f ca="1">IFERROR(__xludf.DUMMYFUNCTION("""COMPUTED_VALUE"""),1)</f>
        <v>1</v>
      </c>
      <c r="E2257" s="2">
        <f ca="1">IFERROR(__xludf.DUMMYFUNCTION("""COMPUTED_VALUE"""),1)</f>
        <v>1</v>
      </c>
    </row>
    <row r="2258" spans="1:5" ht="13">
      <c r="A2258" s="2" t="str">
        <f ca="1">IFERROR(__xludf.DUMMYFUNCTION("""COMPUTED_VALUE"""),"Dunn, Thomas")</f>
        <v>Dunn, Thomas</v>
      </c>
      <c r="B2258" s="2">
        <f ca="1">IFERROR(__xludf.DUMMYFUNCTION("""COMPUTED_VALUE"""),1)</f>
        <v>1</v>
      </c>
      <c r="C2258" s="2">
        <f ca="1">IFERROR(__xludf.DUMMYFUNCTION("""COMPUTED_VALUE"""),1)</f>
        <v>1</v>
      </c>
      <c r="D2258" s="8">
        <f ca="1">IFERROR(__xludf.DUMMYFUNCTION("""COMPUTED_VALUE"""),5)</f>
        <v>5</v>
      </c>
      <c r="E2258" s="2">
        <f ca="1">IFERROR(__xludf.DUMMYFUNCTION("""COMPUTED_VALUE"""),2)</f>
        <v>2</v>
      </c>
    </row>
    <row r="2259" spans="1:5" ht="13">
      <c r="A2259" s="2" t="str">
        <f ca="1">IFERROR(__xludf.DUMMYFUNCTION("""COMPUTED_VALUE"""),"Dunnevant, Patrick")</f>
        <v>Dunnevant, Patrick</v>
      </c>
      <c r="B2259" s="2">
        <f ca="1">IFERROR(__xludf.DUMMYFUNCTION("""COMPUTED_VALUE"""),1)</f>
        <v>1</v>
      </c>
      <c r="C2259" s="7">
        <f ca="1">IFERROR(__xludf.DUMMYFUNCTION("""COMPUTED_VALUE"""),1)</f>
        <v>1</v>
      </c>
      <c r="D2259" s="8">
        <f ca="1">IFERROR(__xludf.DUMMYFUNCTION("""COMPUTED_VALUE"""),1)</f>
        <v>1</v>
      </c>
      <c r="E2259" s="2">
        <f ca="1">IFERROR(__xludf.DUMMYFUNCTION("""COMPUTED_VALUE"""),1)</f>
        <v>1</v>
      </c>
    </row>
    <row r="2260" spans="1:5" ht="13">
      <c r="A2260" s="8" t="str">
        <f ca="1">IFERROR(__xludf.DUMMYFUNCTION("""COMPUTED_VALUE"""),"Dunnigan, Patrick")</f>
        <v>Dunnigan, Patrick</v>
      </c>
      <c r="B2260" s="3">
        <f ca="1">IFERROR(__xludf.DUMMYFUNCTION("""COMPUTED_VALUE"""),1)</f>
        <v>1</v>
      </c>
      <c r="C2260" s="7">
        <f ca="1">IFERROR(__xludf.DUMMYFUNCTION("""COMPUTED_VALUE"""),1)</f>
        <v>1</v>
      </c>
      <c r="D2260" s="8">
        <f ca="1">IFERROR(__xludf.DUMMYFUNCTION("""COMPUTED_VALUE"""),1)</f>
        <v>1</v>
      </c>
      <c r="E2260" s="2">
        <f ca="1">IFERROR(__xludf.DUMMYFUNCTION("""COMPUTED_VALUE"""),1)</f>
        <v>1</v>
      </c>
    </row>
    <row r="2261" spans="1:5" ht="13">
      <c r="A2261" s="2" t="str">
        <f ca="1">IFERROR(__xludf.DUMMYFUNCTION("""COMPUTED_VALUE"""),"Dunstable, John")</f>
        <v>Dunstable, John</v>
      </c>
      <c r="B2261" s="3">
        <f ca="1">IFERROR(__xludf.DUMMYFUNCTION("""COMPUTED_VALUE"""),1)</f>
        <v>1</v>
      </c>
      <c r="C2261" s="7">
        <f ca="1">IFERROR(__xludf.DUMMYFUNCTION("""COMPUTED_VALUE"""),1)</f>
        <v>1</v>
      </c>
      <c r="D2261" s="8">
        <f ca="1">IFERROR(__xludf.DUMMYFUNCTION("""COMPUTED_VALUE"""),5)</f>
        <v>5</v>
      </c>
      <c r="E2261" s="2">
        <f ca="1">IFERROR(__xludf.DUMMYFUNCTION("""COMPUTED_VALUE"""),2)</f>
        <v>2</v>
      </c>
    </row>
    <row r="2262" spans="1:5" ht="13">
      <c r="A2262" s="8" t="str">
        <f ca="1">IFERROR(__xludf.DUMMYFUNCTION("""COMPUTED_VALUE"""),"Duparc, Henri")</f>
        <v>Duparc, Henri</v>
      </c>
      <c r="B2262" s="3">
        <f ca="1">IFERROR(__xludf.DUMMYFUNCTION("""COMPUTED_VALUE"""),1)</f>
        <v>1</v>
      </c>
      <c r="C2262" s="7">
        <f ca="1">IFERROR(__xludf.DUMMYFUNCTION("""COMPUTED_VALUE"""),1)</f>
        <v>1</v>
      </c>
      <c r="D2262" s="8">
        <f ca="1">IFERROR(__xludf.DUMMYFUNCTION("""COMPUTED_VALUE"""),5)</f>
        <v>5</v>
      </c>
      <c r="E2262" s="2">
        <f ca="1">IFERROR(__xludf.DUMMYFUNCTION("""COMPUTED_VALUE"""),2)</f>
        <v>2</v>
      </c>
    </row>
    <row r="2263" spans="1:5" ht="13">
      <c r="A2263" s="8" t="str">
        <f ca="1">IFERROR(__xludf.DUMMYFUNCTION("""COMPUTED_VALUE"""),"Dupré, Marcel")</f>
        <v>Dupré, Marcel</v>
      </c>
      <c r="B2263" s="3">
        <f ca="1">IFERROR(__xludf.DUMMYFUNCTION("""COMPUTED_VALUE"""),1)</f>
        <v>1</v>
      </c>
      <c r="C2263" s="7">
        <f ca="1">IFERROR(__xludf.DUMMYFUNCTION("""COMPUTED_VALUE"""),1)</f>
        <v>1</v>
      </c>
      <c r="D2263" s="8">
        <f ca="1">IFERROR(__xludf.DUMMYFUNCTION("""COMPUTED_VALUE"""),5)</f>
        <v>5</v>
      </c>
      <c r="E2263" s="2">
        <f ca="1">IFERROR(__xludf.DUMMYFUNCTION("""COMPUTED_VALUE"""),2)</f>
        <v>2</v>
      </c>
    </row>
    <row r="2264" spans="1:5" ht="13">
      <c r="A2264" s="8" t="str">
        <f ca="1">IFERROR(__xludf.DUMMYFUNCTION("""COMPUTED_VALUE"""),"Dupuis, John")</f>
        <v>Dupuis, John</v>
      </c>
      <c r="B2264" s="3">
        <f ca="1">IFERROR(__xludf.DUMMYFUNCTION("""COMPUTED_VALUE"""),1)</f>
        <v>1</v>
      </c>
      <c r="C2264" s="7">
        <f ca="1">IFERROR(__xludf.DUMMYFUNCTION("""COMPUTED_VALUE"""),1)</f>
        <v>1</v>
      </c>
      <c r="D2264" s="8">
        <f ca="1">IFERROR(__xludf.DUMMYFUNCTION("""COMPUTED_VALUE"""),1)</f>
        <v>1</v>
      </c>
      <c r="E2264" s="2">
        <f ca="1">IFERROR(__xludf.DUMMYFUNCTION("""COMPUTED_VALUE"""),1)</f>
        <v>1</v>
      </c>
    </row>
    <row r="2265" spans="1:5" ht="13">
      <c r="A2265" s="2" t="str">
        <f ca="1">IFERROR(__xludf.DUMMYFUNCTION("""COMPUTED_VALUE"""),"Duquette, Isaac")</f>
        <v>Duquette, Isaac</v>
      </c>
      <c r="B2265" s="2">
        <f ca="1">IFERROR(__xludf.DUMMYFUNCTION("""COMPUTED_VALUE"""),1)</f>
        <v>1</v>
      </c>
      <c r="C2265" s="7">
        <f ca="1">IFERROR(__xludf.DUMMYFUNCTION("""COMPUTED_VALUE"""),1)</f>
        <v>1</v>
      </c>
      <c r="D2265" s="8">
        <f ca="1">IFERROR(__xludf.DUMMYFUNCTION("""COMPUTED_VALUE"""),1)</f>
        <v>1</v>
      </c>
      <c r="E2265" s="2">
        <f ca="1">IFERROR(__xludf.DUMMYFUNCTION("""COMPUTED_VALUE"""),1)</f>
        <v>1</v>
      </c>
    </row>
    <row r="2266" spans="1:5" ht="13">
      <c r="A2266" s="2" t="str">
        <f ca="1">IFERROR(__xludf.DUMMYFUNCTION("""COMPUTED_VALUE"""),"Durand, Auguste")</f>
        <v>Durand, Auguste</v>
      </c>
      <c r="B2266" s="3">
        <f ca="1">IFERROR(__xludf.DUMMYFUNCTION("""COMPUTED_VALUE"""),1)</f>
        <v>1</v>
      </c>
      <c r="C2266" s="7">
        <f ca="1">IFERROR(__xludf.DUMMYFUNCTION("""COMPUTED_VALUE"""),1)</f>
        <v>1</v>
      </c>
      <c r="D2266" s="8">
        <f ca="1">IFERROR(__xludf.DUMMYFUNCTION("""COMPUTED_VALUE"""),5)</f>
        <v>5</v>
      </c>
      <c r="E2266" s="2">
        <f ca="1">IFERROR(__xludf.DUMMYFUNCTION("""COMPUTED_VALUE"""),2)</f>
        <v>2</v>
      </c>
    </row>
    <row r="2267" spans="1:5" ht="13">
      <c r="A2267" s="2" t="str">
        <f ca="1">IFERROR(__xludf.DUMMYFUNCTION("""COMPUTED_VALUE"""),"Durand, Hampton and Adams, Jerry")</f>
        <v>Durand, Hampton and Adams, Jerry</v>
      </c>
      <c r="B2267" s="3">
        <f ca="1">IFERROR(__xludf.DUMMYFUNCTION("""COMPUTED_VALUE"""),1)</f>
        <v>1</v>
      </c>
      <c r="C2267" s="7">
        <f ca="1">IFERROR(__xludf.DUMMYFUNCTION("""COMPUTED_VALUE"""),1)</f>
        <v>1</v>
      </c>
      <c r="D2267" s="8">
        <f ca="1">IFERROR(__xludf.DUMMYFUNCTION("""COMPUTED_VALUE"""),5)</f>
        <v>5</v>
      </c>
      <c r="E2267" s="2">
        <f ca="1">IFERROR(__xludf.DUMMYFUNCTION("""COMPUTED_VALUE"""),2)</f>
        <v>2</v>
      </c>
    </row>
    <row r="2268" spans="1:5" ht="13">
      <c r="A2268" s="2" t="str">
        <f ca="1">IFERROR(__xludf.DUMMYFUNCTION("""COMPUTED_VALUE"""),"Durand, Paul")</f>
        <v>Durand, Paul</v>
      </c>
      <c r="B2268" s="2">
        <f ca="1">IFERROR(__xludf.DUMMYFUNCTION("""COMPUTED_VALUE"""),1)</f>
        <v>1</v>
      </c>
      <c r="C2268" s="7">
        <f ca="1">IFERROR(__xludf.DUMMYFUNCTION("""COMPUTED_VALUE"""),1)</f>
        <v>1</v>
      </c>
      <c r="D2268" s="8">
        <f ca="1">IFERROR(__xludf.DUMMYFUNCTION("""COMPUTED_VALUE"""),5)</f>
        <v>5</v>
      </c>
      <c r="E2268" s="2">
        <f ca="1">IFERROR(__xludf.DUMMYFUNCTION("""COMPUTED_VALUE"""),2)</f>
        <v>2</v>
      </c>
    </row>
    <row r="2269" spans="1:5" ht="13">
      <c r="A2269" s="8" t="str">
        <f ca="1">IFERROR(__xludf.DUMMYFUNCTION("""COMPUTED_VALUE"""),"Durante, Francesco")</f>
        <v>Durante, Francesco</v>
      </c>
      <c r="B2269" s="3">
        <f ca="1">IFERROR(__xludf.DUMMYFUNCTION("""COMPUTED_VALUE"""),1)</f>
        <v>1</v>
      </c>
      <c r="C2269" s="7">
        <f ca="1">IFERROR(__xludf.DUMMYFUNCTION("""COMPUTED_VALUE"""),1)</f>
        <v>1</v>
      </c>
      <c r="D2269" s="8">
        <f ca="1">IFERROR(__xludf.DUMMYFUNCTION("""COMPUTED_VALUE"""),5)</f>
        <v>5</v>
      </c>
      <c r="E2269" s="2">
        <f ca="1">IFERROR(__xludf.DUMMYFUNCTION("""COMPUTED_VALUE"""),2)</f>
        <v>2</v>
      </c>
    </row>
    <row r="2270" spans="1:5" ht="13">
      <c r="A2270" s="2" t="str">
        <f ca="1">IFERROR(__xludf.DUMMYFUNCTION("""COMPUTED_VALUE"""),"Duro, John")</f>
        <v>Duro, John</v>
      </c>
      <c r="B2270" s="3">
        <f ca="1">IFERROR(__xludf.DUMMYFUNCTION("""COMPUTED_VALUE"""),1)</f>
        <v>1</v>
      </c>
      <c r="C2270" s="7">
        <f ca="1">IFERROR(__xludf.DUMMYFUNCTION("""COMPUTED_VALUE"""),1)</f>
        <v>1</v>
      </c>
      <c r="D2270" s="8">
        <f ca="1">IFERROR(__xludf.DUMMYFUNCTION("""COMPUTED_VALUE"""),5)</f>
        <v>5</v>
      </c>
      <c r="E2270" s="2">
        <f ca="1">IFERROR(__xludf.DUMMYFUNCTION("""COMPUTED_VALUE"""),2)</f>
        <v>2</v>
      </c>
    </row>
    <row r="2271" spans="1:5" ht="13">
      <c r="A2271" s="8" t="str">
        <f ca="1">IFERROR(__xludf.DUMMYFUNCTION("""COMPUTED_VALUE"""),"Duro, Stephen")</f>
        <v>Duro, Stephen</v>
      </c>
      <c r="B2271" s="3">
        <f ca="1">IFERROR(__xludf.DUMMYFUNCTION("""COMPUTED_VALUE"""),1)</f>
        <v>1</v>
      </c>
      <c r="C2271" s="7">
        <f ca="1">IFERROR(__xludf.DUMMYFUNCTION("""COMPUTED_VALUE"""),1)</f>
        <v>1</v>
      </c>
      <c r="D2271" s="8">
        <f ca="1">IFERROR(__xludf.DUMMYFUNCTION("""COMPUTED_VALUE"""),1)</f>
        <v>1</v>
      </c>
      <c r="E2271" s="2">
        <f ca="1">IFERROR(__xludf.DUMMYFUNCTION("""COMPUTED_VALUE"""),1)</f>
        <v>1</v>
      </c>
    </row>
    <row r="2272" spans="1:5" ht="13">
      <c r="A2272" s="2" t="str">
        <f ca="1">IFERROR(__xludf.DUMMYFUNCTION("""COMPUTED_VALUE"""),"Durow, Peter")</f>
        <v>Durow, Peter</v>
      </c>
      <c r="B2272" s="3">
        <f ca="1">IFERROR(__xludf.DUMMYFUNCTION("""COMPUTED_VALUE"""),1)</f>
        <v>1</v>
      </c>
      <c r="C2272" s="7">
        <f ca="1">IFERROR(__xludf.DUMMYFUNCTION("""COMPUTED_VALUE"""),1)</f>
        <v>1</v>
      </c>
      <c r="D2272" s="8">
        <f ca="1">IFERROR(__xludf.DUMMYFUNCTION("""COMPUTED_VALUE"""),1)</f>
        <v>1</v>
      </c>
      <c r="E2272" s="2">
        <f ca="1">IFERROR(__xludf.DUMMYFUNCTION("""COMPUTED_VALUE"""),1)</f>
        <v>1</v>
      </c>
    </row>
    <row r="2273" spans="1:5" ht="13">
      <c r="A2273" s="8" t="str">
        <f ca="1">IFERROR(__xludf.DUMMYFUNCTION("""COMPUTED_VALUE"""),"Duruflé")</f>
        <v>Duruflé</v>
      </c>
      <c r="B2273" s="3">
        <f ca="1">IFERROR(__xludf.DUMMYFUNCTION("""COMPUTED_VALUE"""),1)</f>
        <v>1</v>
      </c>
      <c r="C2273" s="7">
        <f ca="1">IFERROR(__xludf.DUMMYFUNCTION("""COMPUTED_VALUE"""),1)</f>
        <v>1</v>
      </c>
      <c r="D2273" s="8">
        <f ca="1">IFERROR(__xludf.DUMMYFUNCTION("""COMPUTED_VALUE"""),5)</f>
        <v>5</v>
      </c>
      <c r="E2273" s="2">
        <f ca="1">IFERROR(__xludf.DUMMYFUNCTION("""COMPUTED_VALUE"""),2)</f>
        <v>2</v>
      </c>
    </row>
    <row r="2274" spans="1:5" ht="13">
      <c r="A2274" s="8" t="str">
        <f ca="1">IFERROR(__xludf.DUMMYFUNCTION("""COMPUTED_VALUE"""),"Duruflé, Maurice")</f>
        <v>Duruflé, Maurice</v>
      </c>
      <c r="B2274" s="3">
        <f ca="1">IFERROR(__xludf.DUMMYFUNCTION("""COMPUTED_VALUE"""),1)</f>
        <v>1</v>
      </c>
      <c r="C2274" s="7">
        <f ca="1">IFERROR(__xludf.DUMMYFUNCTION("""COMPUTED_VALUE"""),1)</f>
        <v>1</v>
      </c>
      <c r="D2274" s="8">
        <f ca="1">IFERROR(__xludf.DUMMYFUNCTION("""COMPUTED_VALUE"""),5)</f>
        <v>5</v>
      </c>
      <c r="E2274" s="2">
        <f ca="1">IFERROR(__xludf.DUMMYFUNCTION("""COMPUTED_VALUE"""),2)</f>
        <v>2</v>
      </c>
    </row>
    <row r="2275" spans="1:5" ht="13">
      <c r="A2275" s="8" t="str">
        <f ca="1">IFERROR(__xludf.DUMMYFUNCTION("""COMPUTED_VALUE"""),"Dusapin, Pascal")</f>
        <v>Dusapin, Pascal</v>
      </c>
      <c r="B2275" s="3">
        <f ca="1">IFERROR(__xludf.DUMMYFUNCTION("""COMPUTED_VALUE"""),1)</f>
        <v>1</v>
      </c>
      <c r="C2275" s="7">
        <f ca="1">IFERROR(__xludf.DUMMYFUNCTION("""COMPUTED_VALUE"""),1)</f>
        <v>1</v>
      </c>
      <c r="D2275" s="8">
        <f ca="1">IFERROR(__xludf.DUMMYFUNCTION("""COMPUTED_VALUE"""),1)</f>
        <v>1</v>
      </c>
      <c r="E2275" s="2">
        <f ca="1">IFERROR(__xludf.DUMMYFUNCTION("""COMPUTED_VALUE"""),1)</f>
        <v>1</v>
      </c>
    </row>
    <row r="2276" spans="1:5" ht="13">
      <c r="A2276" s="2" t="str">
        <f ca="1">IFERROR(__xludf.DUMMYFUNCTION("""COMPUTED_VALUE"""),"Dusing, David")</f>
        <v>Dusing, David</v>
      </c>
      <c r="B2276" s="3">
        <f ca="1">IFERROR(__xludf.DUMMYFUNCTION("""COMPUTED_VALUE"""),1)</f>
        <v>1</v>
      </c>
      <c r="C2276" s="7">
        <f ca="1">IFERROR(__xludf.DUMMYFUNCTION("""COMPUTED_VALUE"""),1)</f>
        <v>1</v>
      </c>
      <c r="D2276" s="8">
        <f ca="1">IFERROR(__xludf.DUMMYFUNCTION("""COMPUTED_VALUE"""),5)</f>
        <v>5</v>
      </c>
      <c r="E2276" s="2">
        <f ca="1">IFERROR(__xludf.DUMMYFUNCTION("""COMPUTED_VALUE"""),2)</f>
        <v>2</v>
      </c>
    </row>
    <row r="2277" spans="1:5" ht="13">
      <c r="A2277" s="8" t="str">
        <f ca="1">IFERROR(__xludf.DUMMYFUNCTION("""COMPUTED_VALUE"""),"Duthoit, William James")</f>
        <v>Duthoit, William James</v>
      </c>
      <c r="B2277" s="3">
        <f ca="1">IFERROR(__xludf.DUMMYFUNCTION("""COMPUTED_VALUE"""),1)</f>
        <v>1</v>
      </c>
      <c r="C2277" s="7">
        <f ca="1">IFERROR(__xludf.DUMMYFUNCTION("""COMPUTED_VALUE"""),1)</f>
        <v>1</v>
      </c>
      <c r="D2277" s="8">
        <f ca="1">IFERROR(__xludf.DUMMYFUNCTION("""COMPUTED_VALUE"""),5)</f>
        <v>5</v>
      </c>
      <c r="E2277" s="2">
        <f ca="1">IFERROR(__xludf.DUMMYFUNCTION("""COMPUTED_VALUE"""),2)</f>
        <v>2</v>
      </c>
    </row>
    <row r="2278" spans="1:5" ht="13">
      <c r="A2278" s="8" t="str">
        <f ca="1">IFERROR(__xludf.DUMMYFUNCTION("""COMPUTED_VALUE"""),"Dutilleux, Henri")</f>
        <v>Dutilleux, Henri</v>
      </c>
      <c r="B2278" s="3">
        <f ca="1">IFERROR(__xludf.DUMMYFUNCTION("""COMPUTED_VALUE"""),1)</f>
        <v>1</v>
      </c>
      <c r="C2278" s="7">
        <f ca="1">IFERROR(__xludf.DUMMYFUNCTION("""COMPUTED_VALUE"""),1)</f>
        <v>1</v>
      </c>
      <c r="D2278" s="8">
        <f ca="1">IFERROR(__xludf.DUMMYFUNCTION("""COMPUTED_VALUE"""),5)</f>
        <v>5</v>
      </c>
      <c r="E2278" s="2">
        <f ca="1">IFERROR(__xludf.DUMMYFUNCTION("""COMPUTED_VALUE"""),2)</f>
        <v>2</v>
      </c>
    </row>
    <row r="2279" spans="1:5" ht="13">
      <c r="A2279" s="8" t="str">
        <f ca="1">IFERROR(__xludf.DUMMYFUNCTION("""COMPUTED_VALUE"""),"Dvorak, Antonin")</f>
        <v>Dvorak, Antonin</v>
      </c>
      <c r="B2279" s="3">
        <f ca="1">IFERROR(__xludf.DUMMYFUNCTION("""COMPUTED_VALUE"""),1)</f>
        <v>1</v>
      </c>
      <c r="C2279" s="7">
        <f ca="1">IFERROR(__xludf.DUMMYFUNCTION("""COMPUTED_VALUE"""),1)</f>
        <v>1</v>
      </c>
      <c r="D2279" s="8">
        <f ca="1">IFERROR(__xludf.DUMMYFUNCTION("""COMPUTED_VALUE"""),5)</f>
        <v>5</v>
      </c>
      <c r="E2279" s="2">
        <f ca="1">IFERROR(__xludf.DUMMYFUNCTION("""COMPUTED_VALUE"""),2)</f>
        <v>2</v>
      </c>
    </row>
    <row r="2280" spans="1:5" ht="13">
      <c r="A2280" s="8" t="str">
        <f ca="1">IFERROR(__xludf.DUMMYFUNCTION("""COMPUTED_VALUE"""),"Dvořák, Antonín")</f>
        <v>Dvořák, Antonín</v>
      </c>
      <c r="B2280" s="3">
        <f ca="1">IFERROR(__xludf.DUMMYFUNCTION("""COMPUTED_VALUE"""),1)</f>
        <v>1</v>
      </c>
      <c r="C2280" s="7">
        <f ca="1">IFERROR(__xludf.DUMMYFUNCTION("""COMPUTED_VALUE"""),1)</f>
        <v>1</v>
      </c>
      <c r="D2280" s="8">
        <f ca="1">IFERROR(__xludf.DUMMYFUNCTION("""COMPUTED_VALUE"""),5)</f>
        <v>5</v>
      </c>
      <c r="E2280" s="2">
        <f ca="1">IFERROR(__xludf.DUMMYFUNCTION("""COMPUTED_VALUE"""),2)</f>
        <v>2</v>
      </c>
    </row>
    <row r="2281" spans="1:5" ht="13">
      <c r="A2281" s="8" t="str">
        <f ca="1">IFERROR(__xludf.DUMMYFUNCTION("""COMPUTED_VALUE"""),"Dvorak, Robert")</f>
        <v>Dvorak, Robert</v>
      </c>
      <c r="B2281" s="3">
        <f ca="1">IFERROR(__xludf.DUMMYFUNCTION("""COMPUTED_VALUE"""),1)</f>
        <v>1</v>
      </c>
      <c r="C2281" s="7">
        <f ca="1">IFERROR(__xludf.DUMMYFUNCTION("""COMPUTED_VALUE"""),1)</f>
        <v>1</v>
      </c>
      <c r="D2281" s="8">
        <f ca="1">IFERROR(__xludf.DUMMYFUNCTION("""COMPUTED_VALUE"""),5)</f>
        <v>5</v>
      </c>
      <c r="E2281" s="2">
        <f ca="1">IFERROR(__xludf.DUMMYFUNCTION("""COMPUTED_VALUE"""),2)</f>
        <v>2</v>
      </c>
    </row>
    <row r="2282" spans="1:5" ht="13">
      <c r="A2282" s="2" t="str">
        <f ca="1">IFERROR(__xludf.DUMMYFUNCTION("""COMPUTED_VALUE"""),"Dworsky, Richard")</f>
        <v>Dworsky, Richard</v>
      </c>
      <c r="B2282" s="3">
        <f ca="1">IFERROR(__xludf.DUMMYFUNCTION("""COMPUTED_VALUE"""),1)</f>
        <v>1</v>
      </c>
      <c r="C2282" s="7">
        <f ca="1">IFERROR(__xludf.DUMMYFUNCTION("""COMPUTED_VALUE"""),1)</f>
        <v>1</v>
      </c>
      <c r="D2282" s="8">
        <f ca="1">IFERROR(__xludf.DUMMYFUNCTION("""COMPUTED_VALUE"""),1)</f>
        <v>1</v>
      </c>
      <c r="E2282" s="2">
        <f ca="1">IFERROR(__xludf.DUMMYFUNCTION("""COMPUTED_VALUE"""),1)</f>
        <v>1</v>
      </c>
    </row>
    <row r="2283" spans="1:5" ht="13">
      <c r="A2283" s="8" t="str">
        <f ca="1">IFERROR(__xludf.DUMMYFUNCTION("""COMPUTED_VALUE"""),"Dye, Ken")</f>
        <v>Dye, Ken</v>
      </c>
      <c r="B2283" s="3">
        <f ca="1">IFERROR(__xludf.DUMMYFUNCTION("""COMPUTED_VALUE"""),1)</f>
        <v>1</v>
      </c>
      <c r="C2283" s="7">
        <f ca="1">IFERROR(__xludf.DUMMYFUNCTION("""COMPUTED_VALUE"""),1)</f>
        <v>1</v>
      </c>
      <c r="D2283" s="8">
        <f ca="1">IFERROR(__xludf.DUMMYFUNCTION("""COMPUTED_VALUE"""),1)</f>
        <v>1</v>
      </c>
      <c r="E2283" s="2">
        <f ca="1">IFERROR(__xludf.DUMMYFUNCTION("""COMPUTED_VALUE"""),1)</f>
        <v>1</v>
      </c>
    </row>
    <row r="2284" spans="1:5" ht="13">
      <c r="A2284" s="8" t="str">
        <f ca="1">IFERROR(__xludf.DUMMYFUNCTION("""COMPUTED_VALUE"""),"Dyens, Roland")</f>
        <v>Dyens, Roland</v>
      </c>
      <c r="B2284" s="3">
        <f ca="1">IFERROR(__xludf.DUMMYFUNCTION("""COMPUTED_VALUE"""),1)</f>
        <v>1</v>
      </c>
      <c r="C2284" s="7">
        <f ca="1">IFERROR(__xludf.DUMMYFUNCTION("""COMPUTED_VALUE"""),1)</f>
        <v>1</v>
      </c>
      <c r="D2284" s="8">
        <f ca="1">IFERROR(__xludf.DUMMYFUNCTION("""COMPUTED_VALUE"""),5)</f>
        <v>5</v>
      </c>
      <c r="E2284" s="2">
        <f ca="1">IFERROR(__xludf.DUMMYFUNCTION("""COMPUTED_VALUE"""),2)</f>
        <v>2</v>
      </c>
    </row>
    <row r="2285" spans="1:5" ht="13">
      <c r="A2285" s="8" t="str">
        <f ca="1">IFERROR(__xludf.DUMMYFUNCTION("""COMPUTED_VALUE"""),"Dyer, Bob")</f>
        <v>Dyer, Bob</v>
      </c>
      <c r="B2285" s="3">
        <f ca="1">IFERROR(__xludf.DUMMYFUNCTION("""COMPUTED_VALUE"""),1)</f>
        <v>1</v>
      </c>
      <c r="C2285" s="7">
        <f ca="1">IFERROR(__xludf.DUMMYFUNCTION("""COMPUTED_VALUE"""),1)</f>
        <v>1</v>
      </c>
      <c r="D2285" s="8">
        <f ca="1">IFERROR(__xludf.DUMMYFUNCTION("""COMPUTED_VALUE"""),1)</f>
        <v>1</v>
      </c>
      <c r="E2285" s="2">
        <f ca="1">IFERROR(__xludf.DUMMYFUNCTION("""COMPUTED_VALUE"""),1)</f>
        <v>1</v>
      </c>
    </row>
    <row r="2286" spans="1:5" ht="13">
      <c r="A2286" s="2" t="str">
        <f ca="1">IFERROR(__xludf.DUMMYFUNCTION("""COMPUTED_VALUE"""),"Dykema, Chad")</f>
        <v>Dykema, Chad</v>
      </c>
      <c r="B2286" s="3">
        <f ca="1">IFERROR(__xludf.DUMMYFUNCTION("""COMPUTED_VALUE"""),1)</f>
        <v>1</v>
      </c>
      <c r="C2286" s="7">
        <f ca="1">IFERROR(__xludf.DUMMYFUNCTION("""COMPUTED_VALUE"""),1)</f>
        <v>1</v>
      </c>
      <c r="D2286" s="8">
        <f ca="1">IFERROR(__xludf.DUMMYFUNCTION("""COMPUTED_VALUE"""),5)</f>
        <v>5</v>
      </c>
      <c r="E2286" s="2">
        <f ca="1">IFERROR(__xludf.DUMMYFUNCTION("""COMPUTED_VALUE"""),2)</f>
        <v>2</v>
      </c>
    </row>
    <row r="2287" spans="1:5" ht="13">
      <c r="A2287" s="2" t="str">
        <f ca="1">IFERROR(__xludf.DUMMYFUNCTION("""COMPUTED_VALUE"""),"Dykes, John")</f>
        <v>Dykes, John</v>
      </c>
      <c r="B2287" s="2">
        <f ca="1">IFERROR(__xludf.DUMMYFUNCTION("""COMPUTED_VALUE"""),1)</f>
        <v>1</v>
      </c>
      <c r="C2287" s="7">
        <f ca="1">IFERROR(__xludf.DUMMYFUNCTION("""COMPUTED_VALUE"""),1)</f>
        <v>1</v>
      </c>
      <c r="D2287" s="8">
        <f ca="1">IFERROR(__xludf.DUMMYFUNCTION("""COMPUTED_VALUE"""),5)</f>
        <v>5</v>
      </c>
      <c r="E2287" s="2">
        <f ca="1">IFERROR(__xludf.DUMMYFUNCTION("""COMPUTED_VALUE"""),2)</f>
        <v>2</v>
      </c>
    </row>
    <row r="2288" spans="1:5" ht="13">
      <c r="A2288" s="2" t="str">
        <f ca="1">IFERROR(__xludf.DUMMYFUNCTION("""COMPUTED_VALUE"""),"Dykes, John B.")</f>
        <v>Dykes, John B.</v>
      </c>
      <c r="B2288" s="2">
        <f ca="1">IFERROR(__xludf.DUMMYFUNCTION("""COMPUTED_VALUE"""),1)</f>
        <v>1</v>
      </c>
      <c r="C2288" s="7">
        <f ca="1">IFERROR(__xludf.DUMMYFUNCTION("""COMPUTED_VALUE"""),1)</f>
        <v>1</v>
      </c>
      <c r="D2288" s="8">
        <f ca="1">IFERROR(__xludf.DUMMYFUNCTION("""COMPUTED_VALUE"""),5)</f>
        <v>5</v>
      </c>
      <c r="E2288" s="2">
        <f ca="1">IFERROR(__xludf.DUMMYFUNCTION("""COMPUTED_VALUE"""),2)</f>
        <v>2</v>
      </c>
    </row>
    <row r="2289" spans="1:5" ht="13">
      <c r="A2289" s="2" t="str">
        <f ca="1">IFERROR(__xludf.DUMMYFUNCTION("""COMPUTED_VALUE"""),"Dymit, Ethan")</f>
        <v>Dymit, Ethan</v>
      </c>
      <c r="B2289" s="3">
        <f ca="1">IFERROR(__xludf.DUMMYFUNCTION("""COMPUTED_VALUE"""),1)</f>
        <v>1</v>
      </c>
      <c r="C2289" s="7">
        <f ca="1">IFERROR(__xludf.DUMMYFUNCTION("""COMPUTED_VALUE"""),1)</f>
        <v>1</v>
      </c>
      <c r="D2289" s="8">
        <f ca="1">IFERROR(__xludf.DUMMYFUNCTION("""COMPUTED_VALUE"""),1)</f>
        <v>1</v>
      </c>
      <c r="E2289" s="2">
        <f ca="1">IFERROR(__xludf.DUMMYFUNCTION("""COMPUTED_VALUE"""),1)</f>
        <v>1</v>
      </c>
    </row>
    <row r="2290" spans="1:5" ht="13">
      <c r="A2290" s="2" t="str">
        <f ca="1">IFERROR(__xludf.DUMMYFUNCTION("""COMPUTED_VALUE"""),"Dyson, William")</f>
        <v>Dyson, William</v>
      </c>
      <c r="B2290" s="3">
        <f ca="1">IFERROR(__xludf.DUMMYFUNCTION("""COMPUTED_VALUE"""),1)</f>
        <v>1</v>
      </c>
      <c r="C2290" s="7">
        <f ca="1">IFERROR(__xludf.DUMMYFUNCTION("""COMPUTED_VALUE"""),1)</f>
        <v>1</v>
      </c>
      <c r="D2290" s="8">
        <f ca="1">IFERROR(__xludf.DUMMYFUNCTION("""COMPUTED_VALUE"""),1)</f>
        <v>1</v>
      </c>
      <c r="E2290" s="2">
        <f ca="1">IFERROR(__xludf.DUMMYFUNCTION("""COMPUTED_VALUE"""),1)</f>
        <v>1</v>
      </c>
    </row>
    <row r="2291" spans="1:5" ht="13">
      <c r="A2291" s="2" t="str">
        <f ca="1">IFERROR(__xludf.DUMMYFUNCTION("""COMPUTED_VALUE"""),"Dytrt, Lee")</f>
        <v>Dytrt, Lee</v>
      </c>
      <c r="B2291" s="2">
        <f ca="1">IFERROR(__xludf.DUMMYFUNCTION("""COMPUTED_VALUE"""),1)</f>
        <v>1</v>
      </c>
      <c r="C2291" s="2">
        <f ca="1">IFERROR(__xludf.DUMMYFUNCTION("""COMPUTED_VALUE"""),1)</f>
        <v>1</v>
      </c>
      <c r="D2291" s="8">
        <f ca="1">IFERROR(__xludf.DUMMYFUNCTION("""COMPUTED_VALUE"""),5)</f>
        <v>5</v>
      </c>
      <c r="E2291" s="2">
        <f ca="1">IFERROR(__xludf.DUMMYFUNCTION("""COMPUTED_VALUE"""),2)</f>
        <v>2</v>
      </c>
    </row>
    <row r="2292" spans="1:5" ht="13">
      <c r="A2292" s="8" t="str">
        <f ca="1">IFERROR(__xludf.DUMMYFUNCTION("""COMPUTED_VALUE"""),"Dzubay, David")</f>
        <v>Dzubay, David</v>
      </c>
      <c r="B2292" s="3">
        <f ca="1">IFERROR(__xludf.DUMMYFUNCTION("""COMPUTED_VALUE"""),1)</f>
        <v>1</v>
      </c>
      <c r="C2292" s="7">
        <f ca="1">IFERROR(__xludf.DUMMYFUNCTION("""COMPUTED_VALUE"""),1)</f>
        <v>1</v>
      </c>
      <c r="D2292" s="8">
        <f ca="1">IFERROR(__xludf.DUMMYFUNCTION("""COMPUTED_VALUE"""),1)</f>
        <v>1</v>
      </c>
      <c r="E2292" s="2">
        <f ca="1">IFERROR(__xludf.DUMMYFUNCTION("""COMPUTED_VALUE"""),1)</f>
        <v>1</v>
      </c>
    </row>
    <row r="2293" spans="1:5" ht="13">
      <c r="A2293" s="2" t="str">
        <f ca="1">IFERROR(__xludf.DUMMYFUNCTION("""COMPUTED_VALUE"""),"Eager, Fred")</f>
        <v>Eager, Fred</v>
      </c>
      <c r="B2293" s="2">
        <f ca="1">IFERROR(__xludf.DUMMYFUNCTION("""COMPUTED_VALUE"""),1)</f>
        <v>1</v>
      </c>
      <c r="C2293" s="7">
        <f ca="1">IFERROR(__xludf.DUMMYFUNCTION("""COMPUTED_VALUE"""),1)</f>
        <v>1</v>
      </c>
      <c r="D2293" s="8">
        <f ca="1">IFERROR(__xludf.DUMMYFUNCTION("""COMPUTED_VALUE"""),5)</f>
        <v>5</v>
      </c>
      <c r="E2293" s="2">
        <f ca="1">IFERROR(__xludf.DUMMYFUNCTION("""COMPUTED_VALUE"""),2)</f>
        <v>2</v>
      </c>
    </row>
    <row r="2294" spans="1:5" ht="13">
      <c r="A2294" s="2" t="str">
        <f ca="1">IFERROR(__xludf.DUMMYFUNCTION("""COMPUTED_VALUE"""),"Eakin, James")</f>
        <v>Eakin, James</v>
      </c>
      <c r="B2294" s="3">
        <f ca="1">IFERROR(__xludf.DUMMYFUNCTION("""COMPUTED_VALUE"""),1)</f>
        <v>1</v>
      </c>
      <c r="C2294" s="7">
        <f ca="1">IFERROR(__xludf.DUMMYFUNCTION("""COMPUTED_VALUE"""),1)</f>
        <v>1</v>
      </c>
      <c r="D2294" s="8">
        <f ca="1">IFERROR(__xludf.DUMMYFUNCTION("""COMPUTED_VALUE"""),1)</f>
        <v>1</v>
      </c>
      <c r="E2294" s="2">
        <f ca="1">IFERROR(__xludf.DUMMYFUNCTION("""COMPUTED_VALUE"""),1)</f>
        <v>1</v>
      </c>
    </row>
    <row r="2295" spans="1:5" ht="13">
      <c r="A2295" s="8" t="str">
        <f ca="1">IFERROR(__xludf.DUMMYFUNCTION("""COMPUTED_VALUE"""),"Earl, Christian")</f>
        <v>Earl, Christian</v>
      </c>
      <c r="B2295" s="3">
        <f ca="1">IFERROR(__xludf.DUMMYFUNCTION("""COMPUTED_VALUE"""),1)</f>
        <v>1</v>
      </c>
      <c r="C2295" s="7">
        <f ca="1">IFERROR(__xludf.DUMMYFUNCTION("""COMPUTED_VALUE"""),1)</f>
        <v>1</v>
      </c>
      <c r="D2295" s="8">
        <f ca="1">IFERROR(__xludf.DUMMYFUNCTION("""COMPUTED_VALUE"""),1)</f>
        <v>1</v>
      </c>
      <c r="E2295" s="2">
        <f ca="1">IFERROR(__xludf.DUMMYFUNCTION("""COMPUTED_VALUE"""),1)</f>
        <v>1</v>
      </c>
    </row>
    <row r="2296" spans="1:5" ht="13">
      <c r="A2296" s="8" t="str">
        <f ca="1">IFERROR(__xludf.DUMMYFUNCTION("""COMPUTED_VALUE"""),"Earles, Randy")</f>
        <v>Earles, Randy</v>
      </c>
      <c r="B2296" s="3">
        <f ca="1">IFERROR(__xludf.DUMMYFUNCTION("""COMPUTED_VALUE"""),1)</f>
        <v>1</v>
      </c>
      <c r="C2296" s="7">
        <f ca="1">IFERROR(__xludf.DUMMYFUNCTION("""COMPUTED_VALUE"""),1)</f>
        <v>1</v>
      </c>
      <c r="D2296" s="8">
        <f ca="1">IFERROR(__xludf.DUMMYFUNCTION("""COMPUTED_VALUE"""),1)</f>
        <v>1</v>
      </c>
      <c r="E2296" s="2">
        <f ca="1">IFERROR(__xludf.DUMMYFUNCTION("""COMPUTED_VALUE"""),1)</f>
        <v>1</v>
      </c>
    </row>
    <row r="2297" spans="1:5" ht="13">
      <c r="A2297" s="2" t="str">
        <f ca="1">IFERROR(__xludf.DUMMYFUNCTION("""COMPUTED_VALUE"""),"Earles, Randy / Fennell, Frederick")</f>
        <v>Earles, Randy / Fennell, Frederick</v>
      </c>
      <c r="B2297" s="3">
        <f ca="1">IFERROR(__xludf.DUMMYFUNCTION("""COMPUTED_VALUE"""),1)</f>
        <v>1</v>
      </c>
      <c r="C2297" s="7">
        <f ca="1">IFERROR(__xludf.DUMMYFUNCTION("""COMPUTED_VALUE"""),1)</f>
        <v>1</v>
      </c>
      <c r="D2297" s="8">
        <f ca="1">IFERROR(__xludf.DUMMYFUNCTION("""COMPUTED_VALUE"""),1)</f>
        <v>1</v>
      </c>
      <c r="E2297" s="2">
        <f ca="1">IFERROR(__xludf.DUMMYFUNCTION("""COMPUTED_VALUE"""),1)</f>
        <v>1</v>
      </c>
    </row>
    <row r="2298" spans="1:5" ht="13">
      <c r="A2298" s="8" t="str">
        <f ca="1">IFERROR(__xludf.DUMMYFUNCTION("""COMPUTED_VALUE"""),"Earnest, David Alan")</f>
        <v>Earnest, David Alan</v>
      </c>
      <c r="B2298" s="3">
        <f ca="1">IFERROR(__xludf.DUMMYFUNCTION("""COMPUTED_VALUE"""),1)</f>
        <v>1</v>
      </c>
      <c r="C2298" s="7">
        <f ca="1">IFERROR(__xludf.DUMMYFUNCTION("""COMPUTED_VALUE"""),1)</f>
        <v>1</v>
      </c>
      <c r="D2298" s="8">
        <f ca="1">IFERROR(__xludf.DUMMYFUNCTION("""COMPUTED_VALUE"""),1)</f>
        <v>1</v>
      </c>
      <c r="E2298" s="2">
        <f ca="1">IFERROR(__xludf.DUMMYFUNCTION("""COMPUTED_VALUE"""),1)</f>
        <v>1</v>
      </c>
    </row>
    <row r="2299" spans="1:5" ht="13">
      <c r="A2299" s="2" t="str">
        <f ca="1">IFERROR(__xludf.DUMMYFUNCTION("""COMPUTED_VALUE"""),"Earp, Joseph")</f>
        <v>Earp, Joseph</v>
      </c>
      <c r="B2299" s="3">
        <f ca="1">IFERROR(__xludf.DUMMYFUNCTION("""COMPUTED_VALUE"""),1)</f>
        <v>1</v>
      </c>
      <c r="C2299" s="7">
        <f ca="1">IFERROR(__xludf.DUMMYFUNCTION("""COMPUTED_VALUE"""),1)</f>
        <v>1</v>
      </c>
      <c r="D2299" s="8">
        <f ca="1">IFERROR(__xludf.DUMMYFUNCTION("""COMPUTED_VALUE"""),1)</f>
        <v>1</v>
      </c>
      <c r="E2299" s="2">
        <f ca="1">IFERROR(__xludf.DUMMYFUNCTION("""COMPUTED_VALUE"""),1)</f>
        <v>1</v>
      </c>
    </row>
    <row r="2300" spans="1:5" ht="13">
      <c r="A2300" s="2" t="str">
        <f ca="1">IFERROR(__xludf.DUMMYFUNCTION("""COMPUTED_VALUE"""),"Easson, J")</f>
        <v>Easson, J</v>
      </c>
      <c r="B2300" s="2">
        <f ca="1">IFERROR(__xludf.DUMMYFUNCTION("""COMPUTED_VALUE"""),1)</f>
        <v>1</v>
      </c>
      <c r="C2300" s="2">
        <f ca="1">IFERROR(__xludf.DUMMYFUNCTION("""COMPUTED_VALUE"""),1)</f>
        <v>1</v>
      </c>
      <c r="D2300" s="8">
        <f ca="1">IFERROR(__xludf.DUMMYFUNCTION("""COMPUTED_VALUE"""),5)</f>
        <v>5</v>
      </c>
      <c r="E2300" s="2">
        <f ca="1">IFERROR(__xludf.DUMMYFUNCTION("""COMPUTED_VALUE"""),2)</f>
        <v>2</v>
      </c>
    </row>
    <row r="2301" spans="1:5" ht="13">
      <c r="A2301" s="2" t="str">
        <f ca="1">IFERROR(__xludf.DUMMYFUNCTION("""COMPUTED_VALUE"""),"East, Michael")</f>
        <v>East, Michael</v>
      </c>
      <c r="B2301" s="3">
        <f ca="1">IFERROR(__xludf.DUMMYFUNCTION("""COMPUTED_VALUE"""),1)</f>
        <v>1</v>
      </c>
      <c r="C2301" s="7">
        <f ca="1">IFERROR(__xludf.DUMMYFUNCTION("""COMPUTED_VALUE"""),1)</f>
        <v>1</v>
      </c>
      <c r="D2301" s="8">
        <f ca="1">IFERROR(__xludf.DUMMYFUNCTION("""COMPUTED_VALUE"""),5)</f>
        <v>5</v>
      </c>
      <c r="E2301" s="2">
        <f ca="1">IFERROR(__xludf.DUMMYFUNCTION("""COMPUTED_VALUE"""),2)</f>
        <v>2</v>
      </c>
    </row>
    <row r="2302" spans="1:5" ht="13">
      <c r="A2302" s="2" t="str">
        <f ca="1">IFERROR(__xludf.DUMMYFUNCTION("""COMPUTED_VALUE"""),"Eberlin, Johan Ernst")</f>
        <v>Eberlin, Johan Ernst</v>
      </c>
      <c r="B2302" s="2">
        <f ca="1">IFERROR(__xludf.DUMMYFUNCTION("""COMPUTED_VALUE"""),1)</f>
        <v>1</v>
      </c>
      <c r="C2302" s="7">
        <f ca="1">IFERROR(__xludf.DUMMYFUNCTION("""COMPUTED_VALUE"""),1)</f>
        <v>1</v>
      </c>
      <c r="D2302" s="8">
        <f ca="1">IFERROR(__xludf.DUMMYFUNCTION("""COMPUTED_VALUE"""),5)</f>
        <v>5</v>
      </c>
      <c r="E2302" s="2">
        <f ca="1">IFERROR(__xludf.DUMMYFUNCTION("""COMPUTED_VALUE"""),2)</f>
        <v>2</v>
      </c>
    </row>
    <row r="2303" spans="1:5" ht="13">
      <c r="A2303" s="2" t="str">
        <f ca="1">IFERROR(__xludf.DUMMYFUNCTION("""COMPUTED_VALUE"""),"Eberlin, Johann")</f>
        <v>Eberlin, Johann</v>
      </c>
      <c r="B2303" s="2">
        <f ca="1">IFERROR(__xludf.DUMMYFUNCTION("""COMPUTED_VALUE"""),1)</f>
        <v>1</v>
      </c>
      <c r="C2303" s="7">
        <f ca="1">IFERROR(__xludf.DUMMYFUNCTION("""COMPUTED_VALUE"""),1)</f>
        <v>1</v>
      </c>
      <c r="D2303" s="8">
        <f ca="1">IFERROR(__xludf.DUMMYFUNCTION("""COMPUTED_VALUE"""),5)</f>
        <v>5</v>
      </c>
      <c r="E2303" s="2">
        <f ca="1">IFERROR(__xludf.DUMMYFUNCTION("""COMPUTED_VALUE"""),2)</f>
        <v>2</v>
      </c>
    </row>
    <row r="2304" spans="1:5" ht="13">
      <c r="A2304" s="2" t="str">
        <f ca="1">IFERROR(__xludf.DUMMYFUNCTION("""COMPUTED_VALUE"""),"Eccard, Johannes")</f>
        <v>Eccard, Johannes</v>
      </c>
      <c r="B2304" s="3">
        <f ca="1">IFERROR(__xludf.DUMMYFUNCTION("""COMPUTED_VALUE"""),1)</f>
        <v>1</v>
      </c>
      <c r="C2304" s="7">
        <f ca="1">IFERROR(__xludf.DUMMYFUNCTION("""COMPUTED_VALUE"""),1)</f>
        <v>1</v>
      </c>
      <c r="D2304" s="8">
        <f ca="1">IFERROR(__xludf.DUMMYFUNCTION("""COMPUTED_VALUE"""),5)</f>
        <v>5</v>
      </c>
      <c r="E2304" s="2">
        <f ca="1">IFERROR(__xludf.DUMMYFUNCTION("""COMPUTED_VALUE"""),2)</f>
        <v>2</v>
      </c>
    </row>
    <row r="2305" spans="1:5" ht="13">
      <c r="A2305" s="8" t="str">
        <f ca="1">IFERROR(__xludf.DUMMYFUNCTION("""COMPUTED_VALUE"""),"Eccles, Henry")</f>
        <v>Eccles, Henry</v>
      </c>
      <c r="B2305" s="2">
        <f ca="1">IFERROR(__xludf.DUMMYFUNCTION("""COMPUTED_VALUE"""),1)</f>
        <v>1</v>
      </c>
      <c r="C2305" s="7">
        <f ca="1">IFERROR(__xludf.DUMMYFUNCTION("""COMPUTED_VALUE"""),1)</f>
        <v>1</v>
      </c>
      <c r="D2305" s="8">
        <f ca="1">IFERROR(__xludf.DUMMYFUNCTION("""COMPUTED_VALUE"""),5)</f>
        <v>5</v>
      </c>
      <c r="E2305" s="2">
        <f ca="1">IFERROR(__xludf.DUMMYFUNCTION("""COMPUTED_VALUE"""),2)</f>
        <v>2</v>
      </c>
    </row>
    <row r="2306" spans="1:5" ht="13">
      <c r="A2306" s="8" t="str">
        <f ca="1">IFERROR(__xludf.DUMMYFUNCTION("""COMPUTED_VALUE"""),"Eccles, John")</f>
        <v>Eccles, John</v>
      </c>
      <c r="B2306" s="3">
        <f ca="1">IFERROR(__xludf.DUMMYFUNCTION("""COMPUTED_VALUE"""),1)</f>
        <v>1</v>
      </c>
      <c r="C2306" s="7">
        <f ca="1">IFERROR(__xludf.DUMMYFUNCTION("""COMPUTED_VALUE"""),1)</f>
        <v>1</v>
      </c>
      <c r="D2306" s="8">
        <f ca="1">IFERROR(__xludf.DUMMYFUNCTION("""COMPUTED_VALUE"""),5)</f>
        <v>5</v>
      </c>
      <c r="E2306" s="2">
        <f ca="1">IFERROR(__xludf.DUMMYFUNCTION("""COMPUTED_VALUE"""),2)</f>
        <v>2</v>
      </c>
    </row>
    <row r="2307" spans="1:5" ht="13">
      <c r="A2307" s="2" t="str">
        <f ca="1">IFERROR(__xludf.DUMMYFUNCTION("""COMPUTED_VALUE"""),"Eckels, Steve")</f>
        <v>Eckels, Steve</v>
      </c>
      <c r="B2307" s="2">
        <f ca="1">IFERROR(__xludf.DUMMYFUNCTION("""COMPUTED_VALUE"""),1)</f>
        <v>1</v>
      </c>
      <c r="C2307" s="2">
        <f ca="1">IFERROR(__xludf.DUMMYFUNCTION("""COMPUTED_VALUE"""),1)</f>
        <v>1</v>
      </c>
      <c r="D2307" s="8">
        <f ca="1">IFERROR(__xludf.DUMMYFUNCTION("""COMPUTED_VALUE"""),5)</f>
        <v>5</v>
      </c>
      <c r="E2307" s="2">
        <f ca="1">IFERROR(__xludf.DUMMYFUNCTION("""COMPUTED_VALUE"""),2)</f>
        <v>2</v>
      </c>
    </row>
    <row r="2308" spans="1:5" ht="13">
      <c r="A2308" s="2" t="str">
        <f ca="1">IFERROR(__xludf.DUMMYFUNCTION("""COMPUTED_VALUE"""),"Eckstein, Maxwell")</f>
        <v>Eckstein, Maxwell</v>
      </c>
      <c r="B2308" s="2">
        <f ca="1">IFERROR(__xludf.DUMMYFUNCTION("""COMPUTED_VALUE"""),1)</f>
        <v>1</v>
      </c>
      <c r="C2308" s="7">
        <f ca="1">IFERROR(__xludf.DUMMYFUNCTION("""COMPUTED_VALUE"""),1)</f>
        <v>1</v>
      </c>
      <c r="D2308" s="8">
        <f ca="1">IFERROR(__xludf.DUMMYFUNCTION("""COMPUTED_VALUE"""),5)</f>
        <v>5</v>
      </c>
      <c r="E2308" s="2">
        <f ca="1">IFERROR(__xludf.DUMMYFUNCTION("""COMPUTED_VALUE"""),2)</f>
        <v>2</v>
      </c>
    </row>
    <row r="2309" spans="1:5" ht="13">
      <c r="A2309" s="2" t="str">
        <f ca="1">IFERROR(__xludf.DUMMYFUNCTION("""COMPUTED_VALUE"""),"Eddleman, David")</f>
        <v>Eddleman, David</v>
      </c>
      <c r="B2309" s="3">
        <f ca="1">IFERROR(__xludf.DUMMYFUNCTION("""COMPUTED_VALUE"""),1)</f>
        <v>1</v>
      </c>
      <c r="C2309" s="7">
        <f ca="1">IFERROR(__xludf.DUMMYFUNCTION("""COMPUTED_VALUE"""),1)</f>
        <v>1</v>
      </c>
      <c r="D2309" s="8">
        <f ca="1">IFERROR(__xludf.DUMMYFUNCTION("""COMPUTED_VALUE"""),1)</f>
        <v>1</v>
      </c>
      <c r="E2309" s="2">
        <f ca="1">IFERROR(__xludf.DUMMYFUNCTION("""COMPUTED_VALUE"""),1)</f>
        <v>1</v>
      </c>
    </row>
    <row r="2310" spans="1:5" ht="13">
      <c r="A2310" s="2" t="str">
        <f ca="1">IFERROR(__xludf.DUMMYFUNCTION("""COMPUTED_VALUE"""),"Eddy, Richard")</f>
        <v>Eddy, Richard</v>
      </c>
      <c r="B2310" s="3">
        <f ca="1">IFERROR(__xludf.DUMMYFUNCTION("""COMPUTED_VALUE"""),1)</f>
        <v>1</v>
      </c>
      <c r="C2310" s="7">
        <f ca="1">IFERROR(__xludf.DUMMYFUNCTION("""COMPUTED_VALUE"""),1)</f>
        <v>1</v>
      </c>
      <c r="D2310" s="8">
        <f ca="1">IFERROR(__xludf.DUMMYFUNCTION("""COMPUTED_VALUE"""),1)</f>
        <v>1</v>
      </c>
      <c r="E2310" s="2">
        <f ca="1">IFERROR(__xludf.DUMMYFUNCTION("""COMPUTED_VALUE"""),1)</f>
        <v>1</v>
      </c>
    </row>
    <row r="2311" spans="1:5" ht="13">
      <c r="A2311" s="2" t="str">
        <f ca="1">IFERROR(__xludf.DUMMYFUNCTION("""COMPUTED_VALUE"""),"Edel, John")</f>
        <v>Edel, John</v>
      </c>
      <c r="B2311" s="3">
        <f ca="1">IFERROR(__xludf.DUMMYFUNCTION("""COMPUTED_VALUE"""),1)</f>
        <v>1</v>
      </c>
      <c r="C2311" s="7">
        <f ca="1">IFERROR(__xludf.DUMMYFUNCTION("""COMPUTED_VALUE"""),1)</f>
        <v>1</v>
      </c>
      <c r="D2311" s="8">
        <f ca="1">IFERROR(__xludf.DUMMYFUNCTION("""COMPUTED_VALUE"""),1)</f>
        <v>1</v>
      </c>
      <c r="E2311" s="2">
        <f ca="1">IFERROR(__xludf.DUMMYFUNCTION("""COMPUTED_VALUE"""),1)</f>
        <v>1</v>
      </c>
    </row>
    <row r="2312" spans="1:5" ht="13">
      <c r="A2312" s="8" t="str">
        <f ca="1">IFERROR(__xludf.DUMMYFUNCTION("""COMPUTED_VALUE"""),"Edelson, Edward")</f>
        <v>Edelson, Edward</v>
      </c>
      <c r="B2312" s="3">
        <f ca="1">IFERROR(__xludf.DUMMYFUNCTION("""COMPUTED_VALUE"""),1)</f>
        <v>1</v>
      </c>
      <c r="C2312" s="7">
        <f ca="1">IFERROR(__xludf.DUMMYFUNCTION("""COMPUTED_VALUE"""),1)</f>
        <v>1</v>
      </c>
      <c r="D2312" s="8">
        <f ca="1">IFERROR(__xludf.DUMMYFUNCTION("""COMPUTED_VALUE"""),1)</f>
        <v>1</v>
      </c>
      <c r="E2312" s="2">
        <f ca="1">IFERROR(__xludf.DUMMYFUNCTION("""COMPUTED_VALUE"""),1)</f>
        <v>1</v>
      </c>
    </row>
    <row r="2313" spans="1:5" ht="13">
      <c r="A2313" s="2" t="str">
        <f ca="1">IFERROR(__xludf.DUMMYFUNCTION("""COMPUTED_VALUE"""),"Edenroth, Anders")</f>
        <v>Edenroth, Anders</v>
      </c>
      <c r="B2313" s="3">
        <f ca="1">IFERROR(__xludf.DUMMYFUNCTION("""COMPUTED_VALUE"""),1)</f>
        <v>1</v>
      </c>
      <c r="C2313" s="7">
        <f ca="1">IFERROR(__xludf.DUMMYFUNCTION("""COMPUTED_VALUE"""),1)</f>
        <v>1</v>
      </c>
      <c r="D2313" s="8">
        <f ca="1">IFERROR(__xludf.DUMMYFUNCTION("""COMPUTED_VALUE"""),5)</f>
        <v>5</v>
      </c>
      <c r="E2313" s="2">
        <f ca="1">IFERROR(__xludf.DUMMYFUNCTION("""COMPUTED_VALUE"""),2)</f>
        <v>2</v>
      </c>
    </row>
    <row r="2314" spans="1:5" ht="13">
      <c r="A2314" s="2" t="str">
        <f ca="1">IFERROR(__xludf.DUMMYFUNCTION("""COMPUTED_VALUE"""),"Edenroth, Anders / Kallio, Matti")</f>
        <v>Edenroth, Anders / Kallio, Matti</v>
      </c>
      <c r="B2314" s="3">
        <f ca="1">IFERROR(__xludf.DUMMYFUNCTION("""COMPUTED_VALUE"""),1)</f>
        <v>1</v>
      </c>
      <c r="C2314" s="7">
        <f ca="1">IFERROR(__xludf.DUMMYFUNCTION("""COMPUTED_VALUE"""),1)</f>
        <v>1</v>
      </c>
      <c r="D2314" s="8">
        <f ca="1">IFERROR(__xludf.DUMMYFUNCTION("""COMPUTED_VALUE"""),5)</f>
        <v>5</v>
      </c>
      <c r="E2314" s="2">
        <f ca="1">IFERROR(__xludf.DUMMYFUNCTION("""COMPUTED_VALUE"""),2)</f>
        <v>2</v>
      </c>
    </row>
    <row r="2315" spans="1:5" ht="13">
      <c r="A2315" s="2" t="str">
        <f ca="1">IFERROR(__xludf.DUMMYFUNCTION("""COMPUTED_VALUE"""),"Edenroth, Andres")</f>
        <v>Edenroth, Andres</v>
      </c>
      <c r="B2315" s="3">
        <f ca="1">IFERROR(__xludf.DUMMYFUNCTION("""COMPUTED_VALUE"""),1)</f>
        <v>1</v>
      </c>
      <c r="C2315" s="7">
        <f ca="1">IFERROR(__xludf.DUMMYFUNCTION("""COMPUTED_VALUE"""),1)</f>
        <v>1</v>
      </c>
      <c r="D2315" s="8">
        <f ca="1">IFERROR(__xludf.DUMMYFUNCTION("""COMPUTED_VALUE"""),1)</f>
        <v>1</v>
      </c>
      <c r="E2315" s="2">
        <f ca="1">IFERROR(__xludf.DUMMYFUNCTION("""COMPUTED_VALUE"""),1)</f>
        <v>1</v>
      </c>
    </row>
    <row r="2316" spans="1:5" ht="13">
      <c r="A2316" s="2" t="str">
        <f ca="1">IFERROR(__xludf.DUMMYFUNCTION("""COMPUTED_VALUE"""),"Edgerton, Robert")</f>
        <v>Edgerton, Robert</v>
      </c>
      <c r="B2316" s="2">
        <f ca="1">IFERROR(__xludf.DUMMYFUNCTION("""COMPUTED_VALUE"""),1)</f>
        <v>1</v>
      </c>
      <c r="C2316" s="2">
        <f ca="1">IFERROR(__xludf.DUMMYFUNCTION("""COMPUTED_VALUE"""),1)</f>
        <v>1</v>
      </c>
      <c r="D2316" s="8">
        <f ca="1">IFERROR(__xludf.DUMMYFUNCTION("""COMPUTED_VALUE"""),1)</f>
        <v>1</v>
      </c>
      <c r="E2316" s="2">
        <f ca="1">IFERROR(__xludf.DUMMYFUNCTION("""COMPUTED_VALUE"""),1)</f>
        <v>1</v>
      </c>
    </row>
    <row r="2317" spans="1:5" ht="13">
      <c r="A2317" s="2" t="str">
        <f ca="1">IFERROR(__xludf.DUMMYFUNCTION("""COMPUTED_VALUE"""),"Edlund, Ian")</f>
        <v>Edlund, Ian</v>
      </c>
      <c r="B2317" s="2">
        <f ca="1">IFERROR(__xludf.DUMMYFUNCTION("""COMPUTED_VALUE"""),1)</f>
        <v>1</v>
      </c>
      <c r="C2317" s="7">
        <f ca="1">IFERROR(__xludf.DUMMYFUNCTION("""COMPUTED_VALUE"""),1)</f>
        <v>1</v>
      </c>
      <c r="D2317" s="8">
        <f ca="1">IFERROR(__xludf.DUMMYFUNCTION("""COMPUTED_VALUE"""),5)</f>
        <v>5</v>
      </c>
      <c r="E2317" s="2">
        <f ca="1">IFERROR(__xludf.DUMMYFUNCTION("""COMPUTED_VALUE"""),2)</f>
        <v>2</v>
      </c>
    </row>
    <row r="2318" spans="1:5" ht="13">
      <c r="A2318" s="8" t="str">
        <f ca="1">IFERROR(__xludf.DUMMYFUNCTION("""COMPUTED_VALUE"""),"Edmondson, John")</f>
        <v>Edmondson, John</v>
      </c>
      <c r="B2318" s="3">
        <f ca="1">IFERROR(__xludf.DUMMYFUNCTION("""COMPUTED_VALUE"""),1)</f>
        <v>1</v>
      </c>
      <c r="C2318" s="7">
        <f ca="1">IFERROR(__xludf.DUMMYFUNCTION("""COMPUTED_VALUE"""),1)</f>
        <v>1</v>
      </c>
      <c r="D2318" s="8">
        <f ca="1">IFERROR(__xludf.DUMMYFUNCTION("""COMPUTED_VALUE"""),5)</f>
        <v>5</v>
      </c>
      <c r="E2318" s="2">
        <f ca="1">IFERROR(__xludf.DUMMYFUNCTION("""COMPUTED_VALUE"""),2)</f>
        <v>2</v>
      </c>
    </row>
    <row r="2319" spans="1:5" ht="13">
      <c r="A2319" s="8" t="str">
        <f ca="1">IFERROR(__xludf.DUMMYFUNCTION("""COMPUTED_VALUE"""),"Edmonson, Greg")</f>
        <v>Edmonson, Greg</v>
      </c>
      <c r="B2319" s="3">
        <f ca="1">IFERROR(__xludf.DUMMYFUNCTION("""COMPUTED_VALUE"""),1)</f>
        <v>1</v>
      </c>
      <c r="C2319" s="7">
        <f ca="1">IFERROR(__xludf.DUMMYFUNCTION("""COMPUTED_VALUE"""),1)</f>
        <v>1</v>
      </c>
      <c r="D2319" s="8">
        <f ca="1">IFERROR(__xludf.DUMMYFUNCTION("""COMPUTED_VALUE"""),1)</f>
        <v>1</v>
      </c>
      <c r="E2319" s="2">
        <f ca="1">IFERROR(__xludf.DUMMYFUNCTION("""COMPUTED_VALUE"""),1)</f>
        <v>1</v>
      </c>
    </row>
    <row r="2320" spans="1:5" ht="13">
      <c r="A2320" s="2" t="str">
        <f ca="1">IFERROR(__xludf.DUMMYFUNCTION("""COMPUTED_VALUE"""),"Edmunds, John F.")</f>
        <v>Edmunds, John F.</v>
      </c>
      <c r="B2320" s="2">
        <f ca="1">IFERROR(__xludf.DUMMYFUNCTION("""COMPUTED_VALUE"""),1)</f>
        <v>1</v>
      </c>
      <c r="C2320" s="7">
        <f ca="1">IFERROR(__xludf.DUMMYFUNCTION("""COMPUTED_VALUE"""),1)</f>
        <v>1</v>
      </c>
      <c r="D2320" s="8">
        <f ca="1">IFERROR(__xludf.DUMMYFUNCTION("""COMPUTED_VALUE"""),5)</f>
        <v>5</v>
      </c>
      <c r="E2320" s="2">
        <f ca="1">IFERROR(__xludf.DUMMYFUNCTION("""COMPUTED_VALUE"""),2)</f>
        <v>2</v>
      </c>
    </row>
    <row r="2321" spans="1:5" ht="13">
      <c r="A2321" s="2" t="str">
        <f ca="1">IFERROR(__xludf.DUMMYFUNCTION("""COMPUTED_VALUE"""),"Edwards, Austyn")</f>
        <v>Edwards, Austyn</v>
      </c>
      <c r="B2321" s="3">
        <f ca="1">IFERROR(__xludf.DUMMYFUNCTION("""COMPUTED_VALUE"""),1)</f>
        <v>1</v>
      </c>
      <c r="C2321" s="7">
        <f ca="1">IFERROR(__xludf.DUMMYFUNCTION("""COMPUTED_VALUE"""),1)</f>
        <v>1</v>
      </c>
      <c r="D2321" s="8">
        <f ca="1">IFERROR(__xludf.DUMMYFUNCTION("""COMPUTED_VALUE"""),5)</f>
        <v>5</v>
      </c>
      <c r="E2321" s="2">
        <f ca="1">IFERROR(__xludf.DUMMYFUNCTION("""COMPUTED_VALUE"""),2)</f>
        <v>2</v>
      </c>
    </row>
    <row r="2322" spans="1:5" ht="13">
      <c r="A2322" s="8" t="str">
        <f ca="1">IFERROR(__xludf.DUMMYFUNCTION("""COMPUTED_VALUE"""),"Edwards, Brad")</f>
        <v>Edwards, Brad</v>
      </c>
      <c r="B2322" s="3">
        <f ca="1">IFERROR(__xludf.DUMMYFUNCTION("""COMPUTED_VALUE"""),1)</f>
        <v>1</v>
      </c>
      <c r="C2322" s="7">
        <f ca="1">IFERROR(__xludf.DUMMYFUNCTION("""COMPUTED_VALUE"""),1)</f>
        <v>1</v>
      </c>
      <c r="D2322" s="8">
        <f ca="1">IFERROR(__xludf.DUMMYFUNCTION("""COMPUTED_VALUE"""),1)</f>
        <v>1</v>
      </c>
      <c r="E2322" s="2">
        <f ca="1">IFERROR(__xludf.DUMMYFUNCTION("""COMPUTED_VALUE"""),1)</f>
        <v>1</v>
      </c>
    </row>
    <row r="2323" spans="1:5" ht="13">
      <c r="A2323" s="2" t="str">
        <f ca="1">IFERROR(__xludf.DUMMYFUNCTION("""COMPUTED_VALUE"""),"Edwards, Gary A.")</f>
        <v>Edwards, Gary A.</v>
      </c>
      <c r="B2323" s="2">
        <f ca="1">IFERROR(__xludf.DUMMYFUNCTION("""COMPUTED_VALUE"""),1)</f>
        <v>1</v>
      </c>
      <c r="C2323" s="7">
        <f ca="1">IFERROR(__xludf.DUMMYFUNCTION("""COMPUTED_VALUE"""),1)</f>
        <v>1</v>
      </c>
      <c r="D2323" s="8">
        <f ca="1">IFERROR(__xludf.DUMMYFUNCTION("""COMPUTED_VALUE"""),1)</f>
        <v>1</v>
      </c>
      <c r="E2323" s="2">
        <f ca="1">IFERROR(__xludf.DUMMYFUNCTION("""COMPUTED_VALUE"""),1)</f>
        <v>1</v>
      </c>
    </row>
    <row r="2324" spans="1:5" ht="13">
      <c r="A2324" s="8" t="str">
        <f ca="1">IFERROR(__xludf.DUMMYFUNCTION("""COMPUTED_VALUE"""),"Edwards, Geoffrey")</f>
        <v>Edwards, Geoffrey</v>
      </c>
      <c r="B2324" s="3">
        <f ca="1">IFERROR(__xludf.DUMMYFUNCTION("""COMPUTED_VALUE"""),1)</f>
        <v>1</v>
      </c>
      <c r="C2324" s="7">
        <f ca="1">IFERROR(__xludf.DUMMYFUNCTION("""COMPUTED_VALUE"""),1)</f>
        <v>1</v>
      </c>
      <c r="D2324" s="8">
        <f ca="1">IFERROR(__xludf.DUMMYFUNCTION("""COMPUTED_VALUE"""),1)</f>
        <v>1</v>
      </c>
      <c r="E2324" s="2">
        <f ca="1">IFERROR(__xludf.DUMMYFUNCTION("""COMPUTED_VALUE"""),1)</f>
        <v>1</v>
      </c>
    </row>
    <row r="2325" spans="1:5" ht="13">
      <c r="A2325" s="8" t="str">
        <f ca="1">IFERROR(__xludf.DUMMYFUNCTION("""COMPUTED_VALUE"""),"Edwards, Keith Otis")</f>
        <v>Edwards, Keith Otis</v>
      </c>
      <c r="B2325" s="3">
        <f ca="1">IFERROR(__xludf.DUMMYFUNCTION("""COMPUTED_VALUE"""),1)</f>
        <v>1</v>
      </c>
      <c r="C2325" s="7">
        <f ca="1">IFERROR(__xludf.DUMMYFUNCTION("""COMPUTED_VALUE"""),1)</f>
        <v>1</v>
      </c>
      <c r="D2325" s="8">
        <f ca="1">IFERROR(__xludf.DUMMYFUNCTION("""COMPUTED_VALUE"""),1)</f>
        <v>1</v>
      </c>
      <c r="E2325" s="2">
        <f ca="1">IFERROR(__xludf.DUMMYFUNCTION("""COMPUTED_VALUE"""),1)</f>
        <v>1</v>
      </c>
    </row>
    <row r="2326" spans="1:5" ht="13">
      <c r="A2326" s="2" t="str">
        <f ca="1">IFERROR(__xludf.DUMMYFUNCTION("""COMPUTED_VALUE"""),"Edwards, Leo")</f>
        <v>Edwards, Leo</v>
      </c>
      <c r="B2326" s="3">
        <f ca="1">IFERROR(__xludf.DUMMYFUNCTION("""COMPUTED_VALUE"""),1)</f>
        <v>1</v>
      </c>
      <c r="C2326" s="7">
        <f ca="1">IFERROR(__xludf.DUMMYFUNCTION("""COMPUTED_VALUE"""),1)</f>
        <v>1</v>
      </c>
      <c r="D2326" s="8">
        <f ca="1">IFERROR(__xludf.DUMMYFUNCTION("""COMPUTED_VALUE"""),5)</f>
        <v>5</v>
      </c>
      <c r="E2326" s="2">
        <f ca="1">IFERROR(__xludf.DUMMYFUNCTION("""COMPUTED_VALUE"""),2)</f>
        <v>2</v>
      </c>
    </row>
    <row r="2327" spans="1:5" ht="13">
      <c r="A2327" s="2" t="str">
        <f ca="1">IFERROR(__xludf.DUMMYFUNCTION("""COMPUTED_VALUE"""),"Edwards, Michael")</f>
        <v>Edwards, Michael</v>
      </c>
      <c r="B2327" s="2">
        <f ca="1">IFERROR(__xludf.DUMMYFUNCTION("""COMPUTED_VALUE"""),1)</f>
        <v>1</v>
      </c>
      <c r="C2327" s="7">
        <f ca="1">IFERROR(__xludf.DUMMYFUNCTION("""COMPUTED_VALUE"""),1)</f>
        <v>1</v>
      </c>
      <c r="D2327" s="8">
        <f ca="1">IFERROR(__xludf.DUMMYFUNCTION("""COMPUTED_VALUE"""),5)</f>
        <v>5</v>
      </c>
      <c r="E2327" s="2">
        <f ca="1">IFERROR(__xludf.DUMMYFUNCTION("""COMPUTED_VALUE"""),2)</f>
        <v>2</v>
      </c>
    </row>
    <row r="2328" spans="1:5" ht="13">
      <c r="A2328" s="8" t="str">
        <f ca="1">IFERROR(__xludf.DUMMYFUNCTION("""COMPUTED_VALUE"""),"Edwards, Ross")</f>
        <v>Edwards, Ross</v>
      </c>
      <c r="B2328" s="3">
        <f ca="1">IFERROR(__xludf.DUMMYFUNCTION("""COMPUTED_VALUE"""),1)</f>
        <v>1</v>
      </c>
      <c r="C2328" s="7">
        <f ca="1">IFERROR(__xludf.DUMMYFUNCTION("""COMPUTED_VALUE"""),1)</f>
        <v>1</v>
      </c>
      <c r="D2328" s="8">
        <f ca="1">IFERROR(__xludf.DUMMYFUNCTION("""COMPUTED_VALUE"""),1)</f>
        <v>1</v>
      </c>
      <c r="E2328" s="2">
        <f ca="1">IFERROR(__xludf.DUMMYFUNCTION("""COMPUTED_VALUE"""),1)</f>
        <v>1</v>
      </c>
    </row>
    <row r="2329" spans="1:5" ht="13">
      <c r="A2329" s="2" t="str">
        <f ca="1">IFERROR(__xludf.DUMMYFUNCTION("""COMPUTED_VALUE"""),"Edwin Smith, George")</f>
        <v>Edwin Smith, George</v>
      </c>
      <c r="B2329" s="2">
        <f ca="1">IFERROR(__xludf.DUMMYFUNCTION("""COMPUTED_VALUE"""),1)</f>
        <v>1</v>
      </c>
      <c r="C2329" s="7">
        <f ca="1">IFERROR(__xludf.DUMMYFUNCTION("""COMPUTED_VALUE"""),1)</f>
        <v>1</v>
      </c>
      <c r="D2329" s="8">
        <f ca="1">IFERROR(__xludf.DUMMYFUNCTION("""COMPUTED_VALUE"""),1)</f>
        <v>1</v>
      </c>
      <c r="E2329" s="2">
        <f ca="1">IFERROR(__xludf.DUMMYFUNCTION("""COMPUTED_VALUE"""),1)</f>
        <v>1</v>
      </c>
    </row>
    <row r="2330" spans="1:5" ht="13">
      <c r="A2330" s="2" t="str">
        <f ca="1">IFERROR(__xludf.DUMMYFUNCTION("""COMPUTED_VALUE"""),"Effinger, Cecil")</f>
        <v>Effinger, Cecil</v>
      </c>
      <c r="B2330" s="2">
        <f ca="1">IFERROR(__xludf.DUMMYFUNCTION("""COMPUTED_VALUE"""),1)</f>
        <v>1</v>
      </c>
      <c r="C2330" s="7">
        <f ca="1">IFERROR(__xludf.DUMMYFUNCTION("""COMPUTED_VALUE"""),1)</f>
        <v>1</v>
      </c>
      <c r="D2330" s="8">
        <f ca="1">IFERROR(__xludf.DUMMYFUNCTION("""COMPUTED_VALUE"""),5)</f>
        <v>5</v>
      </c>
      <c r="E2330" s="2">
        <f ca="1">IFERROR(__xludf.DUMMYFUNCTION("""COMPUTED_VALUE"""),2)</f>
        <v>2</v>
      </c>
    </row>
    <row r="2331" spans="1:5" ht="13">
      <c r="A2331" s="2" t="str">
        <f ca="1">IFERROR(__xludf.DUMMYFUNCTION("""COMPUTED_VALUE"""),"Egk, Werner")</f>
        <v>Egk, Werner</v>
      </c>
      <c r="B2331" s="2">
        <f ca="1">IFERROR(__xludf.DUMMYFUNCTION("""COMPUTED_VALUE"""),1)</f>
        <v>1</v>
      </c>
      <c r="C2331" s="7">
        <f ca="1">IFERROR(__xludf.DUMMYFUNCTION("""COMPUTED_VALUE"""),1)</f>
        <v>1</v>
      </c>
      <c r="D2331" s="8">
        <f ca="1">IFERROR(__xludf.DUMMYFUNCTION("""COMPUTED_VALUE"""),5)</f>
        <v>5</v>
      </c>
      <c r="E2331" s="2">
        <f ca="1">IFERROR(__xludf.DUMMYFUNCTION("""COMPUTED_VALUE"""),2)</f>
        <v>2</v>
      </c>
    </row>
    <row r="2332" spans="1:5" ht="13">
      <c r="A2332" s="8" t="str">
        <f ca="1">IFERROR(__xludf.DUMMYFUNCTION("""COMPUTED_VALUE"""),"Egner, Philip")</f>
        <v>Egner, Philip</v>
      </c>
      <c r="B2332" s="3">
        <f ca="1">IFERROR(__xludf.DUMMYFUNCTION("""COMPUTED_VALUE"""),1)</f>
        <v>1</v>
      </c>
      <c r="C2332" s="7">
        <f ca="1">IFERROR(__xludf.DUMMYFUNCTION("""COMPUTED_VALUE"""),1)</f>
        <v>1</v>
      </c>
      <c r="D2332" s="8">
        <f ca="1">IFERROR(__xludf.DUMMYFUNCTION("""COMPUTED_VALUE"""),5)</f>
        <v>5</v>
      </c>
      <c r="E2332" s="2">
        <f ca="1">IFERROR(__xludf.DUMMYFUNCTION("""COMPUTED_VALUE"""),2)</f>
        <v>2</v>
      </c>
    </row>
    <row r="2333" spans="1:5" ht="13">
      <c r="A2333" s="2" t="str">
        <f ca="1">IFERROR(__xludf.DUMMYFUNCTION("""COMPUTED_VALUE"""),"Ehlers, Matt")</f>
        <v>Ehlers, Matt</v>
      </c>
      <c r="B2333" s="3">
        <f ca="1">IFERROR(__xludf.DUMMYFUNCTION("""COMPUTED_VALUE"""),1)</f>
        <v>1</v>
      </c>
      <c r="C2333" s="7">
        <f ca="1">IFERROR(__xludf.DUMMYFUNCTION("""COMPUTED_VALUE"""),1)</f>
        <v>1</v>
      </c>
      <c r="D2333" s="8">
        <f ca="1">IFERROR(__xludf.DUMMYFUNCTION("""COMPUTED_VALUE"""),1)</f>
        <v>1</v>
      </c>
      <c r="E2333" s="2">
        <f ca="1">IFERROR(__xludf.DUMMYFUNCTION("""COMPUTED_VALUE"""),1)</f>
        <v>1</v>
      </c>
    </row>
    <row r="2334" spans="1:5" ht="13">
      <c r="A2334" s="2" t="str">
        <f ca="1">IFERROR(__xludf.DUMMYFUNCTION("""COMPUTED_VALUE"""),"Ehly, Eph")</f>
        <v>Ehly, Eph</v>
      </c>
      <c r="B2334" s="2">
        <f ca="1">IFERROR(__xludf.DUMMYFUNCTION("""COMPUTED_VALUE"""),1)</f>
        <v>1</v>
      </c>
      <c r="C2334" s="2">
        <f ca="1">IFERROR(__xludf.DUMMYFUNCTION("""COMPUTED_VALUE"""),1)</f>
        <v>1</v>
      </c>
      <c r="D2334" s="8">
        <f ca="1">IFERROR(__xludf.DUMMYFUNCTION("""COMPUTED_VALUE"""),1)</f>
        <v>1</v>
      </c>
      <c r="E2334" s="2">
        <f ca="1">IFERROR(__xludf.DUMMYFUNCTION("""COMPUTED_VALUE"""),1)</f>
        <v>1</v>
      </c>
    </row>
    <row r="2335" spans="1:5" ht="13">
      <c r="A2335" s="8" t="str">
        <f ca="1">IFERROR(__xludf.DUMMYFUNCTION("""COMPUTED_VALUE"""),"Ehredt, Alex")</f>
        <v>Ehredt, Alex</v>
      </c>
      <c r="B2335" s="3">
        <f ca="1">IFERROR(__xludf.DUMMYFUNCTION("""COMPUTED_VALUE"""),1)</f>
        <v>1</v>
      </c>
      <c r="C2335" s="7">
        <f ca="1">IFERROR(__xludf.DUMMYFUNCTION("""COMPUTED_VALUE"""),1)</f>
        <v>1</v>
      </c>
      <c r="D2335" s="8">
        <f ca="1">IFERROR(__xludf.DUMMYFUNCTION("""COMPUTED_VALUE"""),1)</f>
        <v>1</v>
      </c>
      <c r="E2335" s="2">
        <f ca="1">IFERROR(__xludf.DUMMYFUNCTION("""COMPUTED_VALUE"""),1)</f>
        <v>1</v>
      </c>
    </row>
    <row r="2336" spans="1:5" ht="13">
      <c r="A2336" s="8" t="str">
        <f ca="1">IFERROR(__xludf.DUMMYFUNCTION("""COMPUTED_VALUE"""),"Ehret, Walter")</f>
        <v>Ehret, Walter</v>
      </c>
      <c r="B2336" s="3">
        <f ca="1">IFERROR(__xludf.DUMMYFUNCTION("""COMPUTED_VALUE"""),1)</f>
        <v>1</v>
      </c>
      <c r="C2336" s="7">
        <f ca="1">IFERROR(__xludf.DUMMYFUNCTION("""COMPUTED_VALUE"""),1)</f>
        <v>1</v>
      </c>
      <c r="D2336" s="8">
        <f ca="1">IFERROR(__xludf.DUMMYFUNCTION("""COMPUTED_VALUE"""),5)</f>
        <v>5</v>
      </c>
      <c r="E2336" s="2">
        <f ca="1">IFERROR(__xludf.DUMMYFUNCTION("""COMPUTED_VALUE"""),2)</f>
        <v>2</v>
      </c>
    </row>
    <row r="2337" spans="1:5" ht="13">
      <c r="A2337" s="2" t="str">
        <f ca="1">IFERROR(__xludf.DUMMYFUNCTION("""COMPUTED_VALUE"""),"Eichenberger, Mark")</f>
        <v>Eichenberger, Mark</v>
      </c>
      <c r="B2337" s="3">
        <f ca="1">IFERROR(__xludf.DUMMYFUNCTION("""COMPUTED_VALUE"""),1)</f>
        <v>1</v>
      </c>
      <c r="C2337" s="7">
        <f ca="1">IFERROR(__xludf.DUMMYFUNCTION("""COMPUTED_VALUE"""),1)</f>
        <v>1</v>
      </c>
      <c r="D2337" s="8">
        <f ca="1">IFERROR(__xludf.DUMMYFUNCTION("""COMPUTED_VALUE"""),1)</f>
        <v>1</v>
      </c>
      <c r="E2337" s="2">
        <f ca="1">IFERROR(__xludf.DUMMYFUNCTION("""COMPUTED_VALUE"""),1)</f>
        <v>1</v>
      </c>
    </row>
    <row r="2338" spans="1:5" ht="13">
      <c r="A2338" s="2" t="str">
        <f ca="1">IFERROR(__xludf.DUMMYFUNCTION("""COMPUTED_VALUE"""),"Eidam, Porter")</f>
        <v>Eidam, Porter</v>
      </c>
      <c r="B2338" s="3">
        <f ca="1">IFERROR(__xludf.DUMMYFUNCTION("""COMPUTED_VALUE"""),1)</f>
        <v>1</v>
      </c>
      <c r="C2338" s="7">
        <f ca="1">IFERROR(__xludf.DUMMYFUNCTION("""COMPUTED_VALUE"""),1)</f>
        <v>1</v>
      </c>
      <c r="D2338" s="8">
        <f ca="1">IFERROR(__xludf.DUMMYFUNCTION("""COMPUTED_VALUE"""),5)</f>
        <v>5</v>
      </c>
      <c r="E2338" s="2">
        <f ca="1">IFERROR(__xludf.DUMMYFUNCTION("""COMPUTED_VALUE"""),2)</f>
        <v>2</v>
      </c>
    </row>
    <row r="2339" spans="1:5" ht="13">
      <c r="A2339" s="2" t="str">
        <f ca="1">IFERROR(__xludf.DUMMYFUNCTION("""COMPUTED_VALUE"""),"Eidson, Joseph")</f>
        <v>Eidson, Joseph</v>
      </c>
      <c r="B2339" s="3">
        <f ca="1">IFERROR(__xludf.DUMMYFUNCTION("""COMPUTED_VALUE"""),1)</f>
        <v>1</v>
      </c>
      <c r="C2339" s="7">
        <f ca="1">IFERROR(__xludf.DUMMYFUNCTION("""COMPUTED_VALUE"""),1)</f>
        <v>1</v>
      </c>
      <c r="D2339" s="8">
        <f ca="1">IFERROR(__xludf.DUMMYFUNCTION("""COMPUTED_VALUE"""),1)</f>
        <v>1</v>
      </c>
      <c r="E2339" s="2">
        <f ca="1">IFERROR(__xludf.DUMMYFUNCTION("""COMPUTED_VALUE"""),1)</f>
        <v>1</v>
      </c>
    </row>
    <row r="2340" spans="1:5" ht="13">
      <c r="A2340" s="2" t="str">
        <f ca="1">IFERROR(__xludf.DUMMYFUNCTION("""COMPUTED_VALUE"""),"Eig, Jeremy")</f>
        <v>Eig, Jeremy</v>
      </c>
      <c r="B2340" s="3">
        <f ca="1">IFERROR(__xludf.DUMMYFUNCTION("""COMPUTED_VALUE"""),1)</f>
        <v>1</v>
      </c>
      <c r="C2340" s="7">
        <f ca="1">IFERROR(__xludf.DUMMYFUNCTION("""COMPUTED_VALUE"""),1)</f>
        <v>1</v>
      </c>
      <c r="D2340" s="8">
        <f ca="1">IFERROR(__xludf.DUMMYFUNCTION("""COMPUTED_VALUE"""),1)</f>
        <v>1</v>
      </c>
      <c r="E2340" s="2">
        <f ca="1">IFERROR(__xludf.DUMMYFUNCTION("""COMPUTED_VALUE"""),1)</f>
        <v>1</v>
      </c>
    </row>
    <row r="2341" spans="1:5" ht="13">
      <c r="A2341" s="8" t="str">
        <f ca="1">IFERROR(__xludf.DUMMYFUNCTION("""COMPUTED_VALUE"""),"Eiger, Walter")</f>
        <v>Eiger, Walter</v>
      </c>
      <c r="B2341" s="3">
        <f ca="1">IFERROR(__xludf.DUMMYFUNCTION("""COMPUTED_VALUE"""),1)</f>
        <v>1</v>
      </c>
      <c r="C2341" s="7">
        <f ca="1">IFERROR(__xludf.DUMMYFUNCTION("""COMPUTED_VALUE"""),1)</f>
        <v>1</v>
      </c>
      <c r="D2341" s="8">
        <f ca="1">IFERROR(__xludf.DUMMYFUNCTION("""COMPUTED_VALUE"""),5)</f>
        <v>5</v>
      </c>
      <c r="E2341" s="2">
        <f ca="1">IFERROR(__xludf.DUMMYFUNCTION("""COMPUTED_VALUE"""),2)</f>
        <v>2</v>
      </c>
    </row>
    <row r="2342" spans="1:5" ht="13">
      <c r="A2342" s="8" t="str">
        <f ca="1">IFERROR(__xludf.DUMMYFUNCTION("""COMPUTED_VALUE"""),"Eigsti, Taylor")</f>
        <v>Eigsti, Taylor</v>
      </c>
      <c r="B2342" s="3">
        <f ca="1">IFERROR(__xludf.DUMMYFUNCTION("""COMPUTED_VALUE"""),1)</f>
        <v>1</v>
      </c>
      <c r="C2342" s="7">
        <f ca="1">IFERROR(__xludf.DUMMYFUNCTION("""COMPUTED_VALUE"""),1)</f>
        <v>1</v>
      </c>
      <c r="D2342" s="8">
        <f ca="1">IFERROR(__xludf.DUMMYFUNCTION("""COMPUTED_VALUE"""),1)</f>
        <v>1</v>
      </c>
      <c r="E2342" s="2">
        <f ca="1">IFERROR(__xludf.DUMMYFUNCTION("""COMPUTED_VALUE"""),1)</f>
        <v>1</v>
      </c>
    </row>
    <row r="2343" spans="1:5" ht="13">
      <c r="A2343" s="8" t="str">
        <f ca="1">IFERROR(__xludf.DUMMYFUNCTION("""COMPUTED_VALUE"""),"Eilenberg, Richard")</f>
        <v>Eilenberg, Richard</v>
      </c>
      <c r="B2343" s="3">
        <f ca="1">IFERROR(__xludf.DUMMYFUNCTION("""COMPUTED_VALUE"""),1)</f>
        <v>1</v>
      </c>
      <c r="C2343" s="7">
        <f ca="1">IFERROR(__xludf.DUMMYFUNCTION("""COMPUTED_VALUE"""),1)</f>
        <v>1</v>
      </c>
      <c r="D2343" s="8">
        <f ca="1">IFERROR(__xludf.DUMMYFUNCTION("""COMPUTED_VALUE"""),5)</f>
        <v>5</v>
      </c>
      <c r="E2343" s="2">
        <f ca="1">IFERROR(__xludf.DUMMYFUNCTION("""COMPUTED_VALUE"""),2)</f>
        <v>2</v>
      </c>
    </row>
    <row r="2344" spans="1:5" ht="13">
      <c r="A2344" s="2" t="str">
        <f ca="1">IFERROR(__xludf.DUMMYFUNCTION("""COMPUTED_VALUE"""),"Einem, Gottfried von")</f>
        <v>Einem, Gottfried von</v>
      </c>
      <c r="B2344" s="3">
        <f ca="1">IFERROR(__xludf.DUMMYFUNCTION("""COMPUTED_VALUE"""),1)</f>
        <v>1</v>
      </c>
      <c r="C2344" s="7">
        <f ca="1">IFERROR(__xludf.DUMMYFUNCTION("""COMPUTED_VALUE"""),1)</f>
        <v>1</v>
      </c>
      <c r="D2344" s="8">
        <f ca="1">IFERROR(__xludf.DUMMYFUNCTION("""COMPUTED_VALUE"""),5)</f>
        <v>5</v>
      </c>
      <c r="E2344" s="2">
        <f ca="1">IFERROR(__xludf.DUMMYFUNCTION("""COMPUTED_VALUE"""),2)</f>
        <v>2</v>
      </c>
    </row>
    <row r="2345" spans="1:5" ht="13">
      <c r="A2345" s="8" t="str">
        <f ca="1">IFERROR(__xludf.DUMMYFUNCTION("""COMPUTED_VALUE"""),"Einhorn, Richard")</f>
        <v>Einhorn, Richard</v>
      </c>
      <c r="B2345" s="3">
        <f ca="1">IFERROR(__xludf.DUMMYFUNCTION("""COMPUTED_VALUE"""),1)</f>
        <v>1</v>
      </c>
      <c r="C2345" s="7">
        <f ca="1">IFERROR(__xludf.DUMMYFUNCTION("""COMPUTED_VALUE"""),1)</f>
        <v>1</v>
      </c>
      <c r="D2345" s="8">
        <f ca="1">IFERROR(__xludf.DUMMYFUNCTION("""COMPUTED_VALUE"""),1)</f>
        <v>1</v>
      </c>
      <c r="E2345" s="2">
        <f ca="1">IFERROR(__xludf.DUMMYFUNCTION("""COMPUTED_VALUE"""),1)</f>
        <v>1</v>
      </c>
    </row>
    <row r="2346" spans="1:5" ht="13">
      <c r="A2346" s="2" t="str">
        <f ca="1">IFERROR(__xludf.DUMMYFUNCTION("""COMPUTED_VALUE"""),"Einstein, Alfred")</f>
        <v>Einstein, Alfred</v>
      </c>
      <c r="B2346" s="3">
        <f ca="1">IFERROR(__xludf.DUMMYFUNCTION("""COMPUTED_VALUE"""),1)</f>
        <v>1</v>
      </c>
      <c r="C2346" s="7">
        <f ca="1">IFERROR(__xludf.DUMMYFUNCTION("""COMPUTED_VALUE"""),1)</f>
        <v>1</v>
      </c>
      <c r="D2346" s="8">
        <f ca="1">IFERROR(__xludf.DUMMYFUNCTION("""COMPUTED_VALUE"""),5)</f>
        <v>5</v>
      </c>
      <c r="E2346" s="2">
        <f ca="1">IFERROR(__xludf.DUMMYFUNCTION("""COMPUTED_VALUE"""),2)</f>
        <v>2</v>
      </c>
    </row>
    <row r="2347" spans="1:5" ht="13">
      <c r="A2347" s="8" t="str">
        <f ca="1">IFERROR(__xludf.DUMMYFUNCTION("""COMPUTED_VALUE"""),"Eisenberg, Brian")</f>
        <v>Eisenberg, Brian</v>
      </c>
      <c r="B2347" s="3">
        <f ca="1">IFERROR(__xludf.DUMMYFUNCTION("""COMPUTED_VALUE"""),1)</f>
        <v>1</v>
      </c>
      <c r="C2347" s="7">
        <f ca="1">IFERROR(__xludf.DUMMYFUNCTION("""COMPUTED_VALUE"""),1)</f>
        <v>1</v>
      </c>
      <c r="D2347" s="8">
        <f ca="1">IFERROR(__xludf.DUMMYFUNCTION("""COMPUTED_VALUE"""),1)</f>
        <v>1</v>
      </c>
      <c r="E2347" s="2">
        <f ca="1">IFERROR(__xludf.DUMMYFUNCTION("""COMPUTED_VALUE"""),1)</f>
        <v>1</v>
      </c>
    </row>
    <row r="2348" spans="1:5" ht="13">
      <c r="A2348" s="8" t="str">
        <f ca="1">IFERROR(__xludf.DUMMYFUNCTION("""COMPUTED_VALUE"""),"Eklund, Peter")</f>
        <v>Eklund, Peter</v>
      </c>
      <c r="B2348" s="3">
        <f ca="1">IFERROR(__xludf.DUMMYFUNCTION("""COMPUTED_VALUE"""),1)</f>
        <v>1</v>
      </c>
      <c r="C2348" s="7">
        <f ca="1">IFERROR(__xludf.DUMMYFUNCTION("""COMPUTED_VALUE"""),1)</f>
        <v>1</v>
      </c>
      <c r="D2348" s="8">
        <f ca="1">IFERROR(__xludf.DUMMYFUNCTION("""COMPUTED_VALUE"""),1)</f>
        <v>1</v>
      </c>
      <c r="E2348" s="2">
        <f ca="1">IFERROR(__xludf.DUMMYFUNCTION("""COMPUTED_VALUE"""),1)</f>
        <v>1</v>
      </c>
    </row>
    <row r="2349" spans="1:5" ht="13">
      <c r="A2349" s="8" t="str">
        <f ca="1">IFERROR(__xludf.DUMMYFUNCTION("""COMPUTED_VALUE"""),"Elbel, Louis")</f>
        <v>Elbel, Louis</v>
      </c>
      <c r="B2349" s="3">
        <f ca="1">IFERROR(__xludf.DUMMYFUNCTION("""COMPUTED_VALUE"""),1)</f>
        <v>1</v>
      </c>
      <c r="C2349" s="7">
        <f ca="1">IFERROR(__xludf.DUMMYFUNCTION("""COMPUTED_VALUE"""),1)</f>
        <v>1</v>
      </c>
      <c r="D2349" s="8">
        <f ca="1">IFERROR(__xludf.DUMMYFUNCTION("""COMPUTED_VALUE"""),5)</f>
        <v>5</v>
      </c>
      <c r="E2349" s="2">
        <f ca="1">IFERROR(__xludf.DUMMYFUNCTION("""COMPUTED_VALUE"""),2)</f>
        <v>2</v>
      </c>
    </row>
    <row r="2350" spans="1:5" ht="13">
      <c r="A2350" s="2" t="str">
        <f ca="1">IFERROR(__xludf.DUMMYFUNCTION("""COMPUTED_VALUE"""),"Elberdin, Josu")</f>
        <v>Elberdin, Josu</v>
      </c>
      <c r="B2350" s="2">
        <f ca="1">IFERROR(__xludf.DUMMYFUNCTION("""COMPUTED_VALUE"""),1)</f>
        <v>1</v>
      </c>
      <c r="C2350" s="7">
        <f ca="1">IFERROR(__xludf.DUMMYFUNCTION("""COMPUTED_VALUE"""),1)</f>
        <v>1</v>
      </c>
      <c r="D2350" s="8">
        <f ca="1">IFERROR(__xludf.DUMMYFUNCTION("""COMPUTED_VALUE"""),1)</f>
        <v>1</v>
      </c>
      <c r="E2350" s="2">
        <f ca="1">IFERROR(__xludf.DUMMYFUNCTION("""COMPUTED_VALUE"""),1)</f>
        <v>1</v>
      </c>
    </row>
    <row r="2351" spans="1:5" ht="13">
      <c r="A2351" s="8" t="str">
        <f ca="1">IFERROR(__xludf.DUMMYFUNCTION("""COMPUTED_VALUE"""),"Elder, Daniel")</f>
        <v>Elder, Daniel</v>
      </c>
      <c r="B2351" s="3">
        <f ca="1">IFERROR(__xludf.DUMMYFUNCTION("""COMPUTED_VALUE"""),1)</f>
        <v>1</v>
      </c>
      <c r="C2351" s="7">
        <f ca="1">IFERROR(__xludf.DUMMYFUNCTION("""COMPUTED_VALUE"""),1)</f>
        <v>1</v>
      </c>
      <c r="D2351" s="8">
        <f ca="1">IFERROR(__xludf.DUMMYFUNCTION("""COMPUTED_VALUE"""),1)</f>
        <v>1</v>
      </c>
      <c r="E2351" s="2">
        <f ca="1">IFERROR(__xludf.DUMMYFUNCTION("""COMPUTED_VALUE"""),1)</f>
        <v>1</v>
      </c>
    </row>
    <row r="2352" spans="1:5" ht="13">
      <c r="A2352" s="2" t="str">
        <f ca="1">IFERROR(__xludf.DUMMYFUNCTION("""COMPUTED_VALUE"""),"Eldridge, Peter")</f>
        <v>Eldridge, Peter</v>
      </c>
      <c r="B2352" s="3">
        <f ca="1">IFERROR(__xludf.DUMMYFUNCTION("""COMPUTED_VALUE"""),1)</f>
        <v>1</v>
      </c>
      <c r="C2352" s="7">
        <f ca="1">IFERROR(__xludf.DUMMYFUNCTION("""COMPUTED_VALUE"""),1)</f>
        <v>1</v>
      </c>
      <c r="D2352" s="8">
        <f ca="1">IFERROR(__xludf.DUMMYFUNCTION("""COMPUTED_VALUE"""),1)</f>
        <v>1</v>
      </c>
      <c r="E2352" s="2">
        <f ca="1">IFERROR(__xludf.DUMMYFUNCTION("""COMPUTED_VALUE"""),1)</f>
        <v>1</v>
      </c>
    </row>
    <row r="2353" spans="1:5" ht="13">
      <c r="A2353" s="2" t="str">
        <f ca="1">IFERROR(__xludf.DUMMYFUNCTION("""COMPUTED_VALUE"""),"Eldridge, Peter / Meader, Darmon")</f>
        <v>Eldridge, Peter / Meader, Darmon</v>
      </c>
      <c r="B2353" s="3">
        <f ca="1">IFERROR(__xludf.DUMMYFUNCTION("""COMPUTED_VALUE"""),1)</f>
        <v>1</v>
      </c>
      <c r="C2353" s="7">
        <f ca="1">IFERROR(__xludf.DUMMYFUNCTION("""COMPUTED_VALUE"""),1)</f>
        <v>1</v>
      </c>
      <c r="D2353" s="8">
        <f ca="1">IFERROR(__xludf.DUMMYFUNCTION("""COMPUTED_VALUE"""),1)</f>
        <v>1</v>
      </c>
      <c r="E2353" s="2">
        <f ca="1">IFERROR(__xludf.DUMMYFUNCTION("""COMPUTED_VALUE"""),1)</f>
        <v>1</v>
      </c>
    </row>
    <row r="2354" spans="1:5" ht="13">
      <c r="A2354" s="8" t="str">
        <f ca="1">IFERROR(__xludf.DUMMYFUNCTION("""COMPUTED_VALUE"""),"Eley, Robert")</f>
        <v>Eley, Robert</v>
      </c>
      <c r="B2354" s="3">
        <f ca="1">IFERROR(__xludf.DUMMYFUNCTION("""COMPUTED_VALUE"""),1)</f>
        <v>1</v>
      </c>
      <c r="C2354" s="7">
        <f ca="1">IFERROR(__xludf.DUMMYFUNCTION("""COMPUTED_VALUE"""),1)</f>
        <v>1</v>
      </c>
      <c r="D2354" s="8">
        <f ca="1">IFERROR(__xludf.DUMMYFUNCTION("""COMPUTED_VALUE"""),5)</f>
        <v>5</v>
      </c>
      <c r="E2354" s="2">
        <f ca="1">IFERROR(__xludf.DUMMYFUNCTION("""COMPUTED_VALUE"""),2)</f>
        <v>2</v>
      </c>
    </row>
    <row r="2355" spans="1:5" ht="13">
      <c r="A2355" s="2" t="str">
        <f ca="1">IFERROR(__xludf.DUMMYFUNCTION("""COMPUTED_VALUE"""),"Elfenbein, Jay")</f>
        <v>Elfenbein, Jay</v>
      </c>
      <c r="B2355" s="3">
        <f ca="1">IFERROR(__xludf.DUMMYFUNCTION("""COMPUTED_VALUE"""),1)</f>
        <v>1</v>
      </c>
      <c r="C2355" s="7">
        <f ca="1">IFERROR(__xludf.DUMMYFUNCTION("""COMPUTED_VALUE"""),1)</f>
        <v>1</v>
      </c>
      <c r="D2355" s="8">
        <f ca="1">IFERROR(__xludf.DUMMYFUNCTION("""COMPUTED_VALUE"""),1)</f>
        <v>1</v>
      </c>
      <c r="E2355" s="2">
        <f ca="1">IFERROR(__xludf.DUMMYFUNCTION("""COMPUTED_VALUE"""),1)</f>
        <v>1</v>
      </c>
    </row>
    <row r="2356" spans="1:5" ht="13">
      <c r="A2356" s="8" t="str">
        <f ca="1">IFERROR(__xludf.DUMMYFUNCTION("""COMPUTED_VALUE"""),"Elfman, Danny")</f>
        <v>Elfman, Danny</v>
      </c>
      <c r="B2356" s="3">
        <f ca="1">IFERROR(__xludf.DUMMYFUNCTION("""COMPUTED_VALUE"""),1)</f>
        <v>1</v>
      </c>
      <c r="C2356" s="7">
        <f ca="1">IFERROR(__xludf.DUMMYFUNCTION("""COMPUTED_VALUE"""),1)</f>
        <v>1</v>
      </c>
      <c r="D2356" s="8">
        <f ca="1">IFERROR(__xludf.DUMMYFUNCTION("""COMPUTED_VALUE"""),1)</f>
        <v>1</v>
      </c>
      <c r="E2356" s="2">
        <f ca="1">IFERROR(__xludf.DUMMYFUNCTION("""COMPUTED_VALUE"""),1)</f>
        <v>1</v>
      </c>
    </row>
    <row r="2357" spans="1:5" ht="13">
      <c r="A2357" s="8" t="str">
        <f ca="1">IFERROR(__xludf.DUMMYFUNCTION("""COMPUTED_VALUE"""),"Elgar, Edward")</f>
        <v>Elgar, Edward</v>
      </c>
      <c r="B2357" s="3">
        <f ca="1">IFERROR(__xludf.DUMMYFUNCTION("""COMPUTED_VALUE"""),1)</f>
        <v>1</v>
      </c>
      <c r="C2357" s="7">
        <f ca="1">IFERROR(__xludf.DUMMYFUNCTION("""COMPUTED_VALUE"""),1)</f>
        <v>1</v>
      </c>
      <c r="D2357" s="8">
        <f ca="1">IFERROR(__xludf.DUMMYFUNCTION("""COMPUTED_VALUE"""),5)</f>
        <v>5</v>
      </c>
      <c r="E2357" s="2">
        <f ca="1">IFERROR(__xludf.DUMMYFUNCTION("""COMPUTED_VALUE"""),2)</f>
        <v>2</v>
      </c>
    </row>
    <row r="2358" spans="1:5" ht="13">
      <c r="A2358" s="2" t="str">
        <f ca="1">IFERROR(__xludf.DUMMYFUNCTION("""COMPUTED_VALUE"""),"Elgar, Edward / Nowlin, Ryan")</f>
        <v>Elgar, Edward / Nowlin, Ryan</v>
      </c>
      <c r="B2358" s="3">
        <f ca="1">IFERROR(__xludf.DUMMYFUNCTION("""COMPUTED_VALUE"""),1)</f>
        <v>1</v>
      </c>
      <c r="C2358" s="7">
        <f ca="1">IFERROR(__xludf.DUMMYFUNCTION("""COMPUTED_VALUE"""),1)</f>
        <v>1</v>
      </c>
      <c r="D2358" s="8">
        <f ca="1">IFERROR(__xludf.DUMMYFUNCTION("""COMPUTED_VALUE"""),5)</f>
        <v>5</v>
      </c>
      <c r="E2358" s="2">
        <f ca="1">IFERROR(__xludf.DUMMYFUNCTION("""COMPUTED_VALUE"""),2)</f>
        <v>2</v>
      </c>
    </row>
    <row r="2359" spans="1:5" ht="13">
      <c r="A2359" s="2" t="str">
        <f ca="1">IFERROR(__xludf.DUMMYFUNCTION("""COMPUTED_VALUE"""),"Elias, Jarryd")</f>
        <v>Elias, Jarryd</v>
      </c>
      <c r="B2359" s="3">
        <f ca="1">IFERROR(__xludf.DUMMYFUNCTION("""COMPUTED_VALUE"""),1)</f>
        <v>1</v>
      </c>
      <c r="C2359" s="7">
        <f ca="1">IFERROR(__xludf.DUMMYFUNCTION("""COMPUTED_VALUE"""),1)</f>
        <v>1</v>
      </c>
      <c r="D2359" s="8">
        <f ca="1">IFERROR(__xludf.DUMMYFUNCTION("""COMPUTED_VALUE"""),1)</f>
        <v>1</v>
      </c>
      <c r="E2359" s="2">
        <f ca="1">IFERROR(__xludf.DUMMYFUNCTION("""COMPUTED_VALUE"""),1)</f>
        <v>1</v>
      </c>
    </row>
    <row r="2360" spans="1:5" ht="13">
      <c r="A2360" s="8" t="str">
        <f ca="1">IFERROR(__xludf.DUMMYFUNCTION("""COMPUTED_VALUE"""),"Eliot, Dennis")</f>
        <v>Eliot, Dennis</v>
      </c>
      <c r="B2360" s="9">
        <f ca="1">IFERROR(__xludf.DUMMYFUNCTION("""COMPUTED_VALUE"""),1)</f>
        <v>1</v>
      </c>
      <c r="C2360" s="7">
        <f ca="1">IFERROR(__xludf.DUMMYFUNCTION("""COMPUTED_VALUE"""),1)</f>
        <v>1</v>
      </c>
      <c r="D2360" s="8">
        <f ca="1">IFERROR(__xludf.DUMMYFUNCTION("""COMPUTED_VALUE"""),5)</f>
        <v>5</v>
      </c>
      <c r="E2360" s="9">
        <f ca="1">IFERROR(__xludf.DUMMYFUNCTION("""COMPUTED_VALUE"""),2)</f>
        <v>2</v>
      </c>
    </row>
    <row r="2361" spans="1:5" ht="13">
      <c r="A2361" s="2" t="str">
        <f ca="1">IFERROR(__xludf.DUMMYFUNCTION("""COMPUTED_VALUE"""),"Eliot, James")</f>
        <v>Eliot, James</v>
      </c>
      <c r="B2361" s="3">
        <f ca="1">IFERROR(__xludf.DUMMYFUNCTION("""COMPUTED_VALUE"""),1)</f>
        <v>1</v>
      </c>
      <c r="C2361" s="7">
        <f ca="1">IFERROR(__xludf.DUMMYFUNCTION("""COMPUTED_VALUE"""),1)</f>
        <v>1</v>
      </c>
      <c r="D2361" s="8">
        <f ca="1">IFERROR(__xludf.DUMMYFUNCTION("""COMPUTED_VALUE"""),1)</f>
        <v>1</v>
      </c>
      <c r="E2361" s="2">
        <f ca="1">IFERROR(__xludf.DUMMYFUNCTION("""COMPUTED_VALUE"""),1)</f>
        <v>1</v>
      </c>
    </row>
    <row r="2362" spans="1:5" ht="13">
      <c r="A2362" s="2" t="str">
        <f ca="1">IFERROR(__xludf.DUMMYFUNCTION("""COMPUTED_VALUE"""),"Elkan, Henri")</f>
        <v>Elkan, Henri</v>
      </c>
      <c r="B2362" s="3">
        <f ca="1">IFERROR(__xludf.DUMMYFUNCTION("""COMPUTED_VALUE"""),1)</f>
        <v>1</v>
      </c>
      <c r="C2362" s="7">
        <f ca="1">IFERROR(__xludf.DUMMYFUNCTION("""COMPUTED_VALUE"""),1)</f>
        <v>1</v>
      </c>
      <c r="D2362" s="8">
        <f ca="1">IFERROR(__xludf.DUMMYFUNCTION("""COMPUTED_VALUE"""),5)</f>
        <v>5</v>
      </c>
      <c r="E2362" s="2">
        <f ca="1">IFERROR(__xludf.DUMMYFUNCTION("""COMPUTED_VALUE"""),2)</f>
        <v>2</v>
      </c>
    </row>
    <row r="2363" spans="1:5" ht="13">
      <c r="A2363" s="8" t="str">
        <f ca="1">IFERROR(__xludf.DUMMYFUNCTION("""COMPUTED_VALUE"""),"Elkins, Charles")</f>
        <v>Elkins, Charles</v>
      </c>
      <c r="B2363" s="3">
        <f ca="1">IFERROR(__xludf.DUMMYFUNCTION("""COMPUTED_VALUE"""),1)</f>
        <v>1</v>
      </c>
      <c r="C2363" s="7">
        <f ca="1">IFERROR(__xludf.DUMMYFUNCTION("""COMPUTED_VALUE"""),1)</f>
        <v>1</v>
      </c>
      <c r="D2363" s="8">
        <f ca="1">IFERROR(__xludf.DUMMYFUNCTION("""COMPUTED_VALUE"""),1)</f>
        <v>1</v>
      </c>
      <c r="E2363" s="2">
        <f ca="1">IFERROR(__xludf.DUMMYFUNCTION("""COMPUTED_VALUE"""),1)</f>
        <v>1</v>
      </c>
    </row>
    <row r="2364" spans="1:5" ht="13">
      <c r="A2364" s="8" t="str">
        <f ca="1">IFERROR(__xludf.DUMMYFUNCTION("""COMPUTED_VALUE"""),"Elkus, Jonathan")</f>
        <v>Elkus, Jonathan</v>
      </c>
      <c r="B2364" s="3">
        <f ca="1">IFERROR(__xludf.DUMMYFUNCTION("""COMPUTED_VALUE"""),1)</f>
        <v>1</v>
      </c>
      <c r="C2364" s="7">
        <f ca="1">IFERROR(__xludf.DUMMYFUNCTION("""COMPUTED_VALUE"""),1)</f>
        <v>1</v>
      </c>
      <c r="D2364" s="8">
        <f ca="1">IFERROR(__xludf.DUMMYFUNCTION("""COMPUTED_VALUE"""),5)</f>
        <v>5</v>
      </c>
      <c r="E2364" s="2">
        <f ca="1">IFERROR(__xludf.DUMMYFUNCTION("""COMPUTED_VALUE"""),2)</f>
        <v>2</v>
      </c>
    </row>
    <row r="2365" spans="1:5" ht="13">
      <c r="A2365" s="8" t="str">
        <f ca="1">IFERROR(__xludf.DUMMYFUNCTION("""COMPUTED_VALUE"""),"Elledge, Chuck")</f>
        <v>Elledge, Chuck</v>
      </c>
      <c r="B2365" s="3">
        <f ca="1">IFERROR(__xludf.DUMMYFUNCTION("""COMPUTED_VALUE"""),1)</f>
        <v>1</v>
      </c>
      <c r="C2365" s="7">
        <f ca="1">IFERROR(__xludf.DUMMYFUNCTION("""COMPUTED_VALUE"""),1)</f>
        <v>1</v>
      </c>
      <c r="D2365" s="8">
        <f ca="1">IFERROR(__xludf.DUMMYFUNCTION("""COMPUTED_VALUE"""),5)</f>
        <v>5</v>
      </c>
      <c r="E2365" s="2">
        <f ca="1">IFERROR(__xludf.DUMMYFUNCTION("""COMPUTED_VALUE"""),2)</f>
        <v>2</v>
      </c>
    </row>
    <row r="2366" spans="1:5" ht="13">
      <c r="A2366" s="8" t="str">
        <f ca="1">IFERROR(__xludf.DUMMYFUNCTION("""COMPUTED_VALUE"""),"Elledge, Chuck / Pearson, Bruce")</f>
        <v>Elledge, Chuck / Pearson, Bruce</v>
      </c>
      <c r="B2366" s="3">
        <f ca="1">IFERROR(__xludf.DUMMYFUNCTION("""COMPUTED_VALUE"""),1)</f>
        <v>1</v>
      </c>
      <c r="C2366" s="7">
        <f ca="1">IFERROR(__xludf.DUMMYFUNCTION("""COMPUTED_VALUE"""),1)</f>
        <v>1</v>
      </c>
      <c r="D2366" s="8">
        <f ca="1">IFERROR(__xludf.DUMMYFUNCTION("""COMPUTED_VALUE"""),1)</f>
        <v>1</v>
      </c>
      <c r="E2366" s="2">
        <f ca="1">IFERROR(__xludf.DUMMYFUNCTION("""COMPUTED_VALUE"""),1)</f>
        <v>1</v>
      </c>
    </row>
    <row r="2367" spans="1:5" ht="13">
      <c r="A2367" s="8" t="str">
        <f ca="1">IFERROR(__xludf.DUMMYFUNCTION("""COMPUTED_VALUE"""),"Eller, Heino")</f>
        <v>Eller, Heino</v>
      </c>
      <c r="B2367" s="3">
        <f ca="1">IFERROR(__xludf.DUMMYFUNCTION("""COMPUTED_VALUE"""),1)</f>
        <v>1</v>
      </c>
      <c r="C2367" s="7">
        <f ca="1">IFERROR(__xludf.DUMMYFUNCTION("""COMPUTED_VALUE"""),1)</f>
        <v>1</v>
      </c>
      <c r="D2367" s="8">
        <f ca="1">IFERROR(__xludf.DUMMYFUNCTION("""COMPUTED_VALUE"""),5)</f>
        <v>5</v>
      </c>
      <c r="E2367" s="2">
        <f ca="1">IFERROR(__xludf.DUMMYFUNCTION("""COMPUTED_VALUE"""),2)</f>
        <v>2</v>
      </c>
    </row>
    <row r="2368" spans="1:5" ht="13">
      <c r="A2368" s="2" t="str">
        <f ca="1">IFERROR(__xludf.DUMMYFUNCTION("""COMPUTED_VALUE"""),"Eller, William")</f>
        <v>Eller, William</v>
      </c>
      <c r="B2368" s="2">
        <f ca="1">IFERROR(__xludf.DUMMYFUNCTION("""COMPUTED_VALUE"""),1)</f>
        <v>1</v>
      </c>
      <c r="C2368" s="2">
        <f ca="1">IFERROR(__xludf.DUMMYFUNCTION("""COMPUTED_VALUE"""),1)</f>
        <v>1</v>
      </c>
      <c r="D2368" s="8">
        <f ca="1">IFERROR(__xludf.DUMMYFUNCTION("""COMPUTED_VALUE"""),5)</f>
        <v>5</v>
      </c>
      <c r="E2368" s="2">
        <f ca="1">IFERROR(__xludf.DUMMYFUNCTION("""COMPUTED_VALUE"""),2)</f>
        <v>2</v>
      </c>
    </row>
    <row r="2369" spans="1:5" ht="13">
      <c r="A2369" s="8" t="str">
        <f ca="1">IFERROR(__xludf.DUMMYFUNCTION("""COMPUTED_VALUE"""),"Ellerby, Martin")</f>
        <v>Ellerby, Martin</v>
      </c>
      <c r="B2369" s="3">
        <f ca="1">IFERROR(__xludf.DUMMYFUNCTION("""COMPUTED_VALUE"""),1)</f>
        <v>1</v>
      </c>
      <c r="C2369" s="7">
        <f ca="1">IFERROR(__xludf.DUMMYFUNCTION("""COMPUTED_VALUE"""),1)</f>
        <v>1</v>
      </c>
      <c r="D2369" s="8">
        <f ca="1">IFERROR(__xludf.DUMMYFUNCTION("""COMPUTED_VALUE"""),1)</f>
        <v>1</v>
      </c>
      <c r="E2369" s="2">
        <f ca="1">IFERROR(__xludf.DUMMYFUNCTION("""COMPUTED_VALUE"""),1)</f>
        <v>1</v>
      </c>
    </row>
    <row r="2370" spans="1:5" ht="13">
      <c r="A2370" s="2" t="str">
        <f ca="1">IFERROR(__xludf.DUMMYFUNCTION("""COMPUTED_VALUE"""),"Elling, Kurt")</f>
        <v>Elling, Kurt</v>
      </c>
      <c r="B2370" s="2">
        <f ca="1">IFERROR(__xludf.DUMMYFUNCTION("""COMPUTED_VALUE"""),1)</f>
        <v>1</v>
      </c>
      <c r="C2370" s="2">
        <f ca="1">IFERROR(__xludf.DUMMYFUNCTION("""COMPUTED_VALUE"""),1)</f>
        <v>1</v>
      </c>
      <c r="D2370" s="8">
        <f ca="1">IFERROR(__xludf.DUMMYFUNCTION("""COMPUTED_VALUE"""),1)</f>
        <v>1</v>
      </c>
      <c r="E2370" s="2">
        <f ca="1">IFERROR(__xludf.DUMMYFUNCTION("""COMPUTED_VALUE"""),1)</f>
        <v>1</v>
      </c>
    </row>
    <row r="2371" spans="1:5" ht="13">
      <c r="A2371" s="8" t="str">
        <f ca="1">IFERROR(__xludf.DUMMYFUNCTION("""COMPUTED_VALUE"""),"Ellingboe, Bradley")</f>
        <v>Ellingboe, Bradley</v>
      </c>
      <c r="B2371" s="3">
        <f ca="1">IFERROR(__xludf.DUMMYFUNCTION("""COMPUTED_VALUE"""),1)</f>
        <v>1</v>
      </c>
      <c r="C2371" s="7">
        <f ca="1">IFERROR(__xludf.DUMMYFUNCTION("""COMPUTED_VALUE"""),1)</f>
        <v>1</v>
      </c>
      <c r="D2371" s="8">
        <f ca="1">IFERROR(__xludf.DUMMYFUNCTION("""COMPUTED_VALUE"""),1)</f>
        <v>1</v>
      </c>
      <c r="E2371" s="2">
        <f ca="1">IFERROR(__xludf.DUMMYFUNCTION("""COMPUTED_VALUE"""),1)</f>
        <v>1</v>
      </c>
    </row>
    <row r="2372" spans="1:5" ht="13">
      <c r="A2372" s="2" t="str">
        <f ca="1">IFERROR(__xludf.DUMMYFUNCTION("""COMPUTED_VALUE"""),"Elliot, Alonzo")</f>
        <v>Elliot, Alonzo</v>
      </c>
      <c r="B2372" s="3">
        <f ca="1">IFERROR(__xludf.DUMMYFUNCTION("""COMPUTED_VALUE"""),1)</f>
        <v>1</v>
      </c>
      <c r="C2372" s="7">
        <f ca="1">IFERROR(__xludf.DUMMYFUNCTION("""COMPUTED_VALUE"""),1)</f>
        <v>1</v>
      </c>
      <c r="D2372" s="8">
        <f ca="1">IFERROR(__xludf.DUMMYFUNCTION("""COMPUTED_VALUE"""),5)</f>
        <v>5</v>
      </c>
      <c r="E2372" s="2">
        <f ca="1">IFERROR(__xludf.DUMMYFUNCTION("""COMPUTED_VALUE"""),2)</f>
        <v>2</v>
      </c>
    </row>
    <row r="2373" spans="1:5" ht="13">
      <c r="A2373" s="8" t="str">
        <f ca="1">IFERROR(__xludf.DUMMYFUNCTION("""COMPUTED_VALUE"""),"Elliot, Willard")</f>
        <v>Elliot, Willard</v>
      </c>
      <c r="B2373" s="3">
        <f ca="1">IFERROR(__xludf.DUMMYFUNCTION("""COMPUTED_VALUE"""),1)</f>
        <v>1</v>
      </c>
      <c r="C2373" s="7">
        <f ca="1">IFERROR(__xludf.DUMMYFUNCTION("""COMPUTED_VALUE"""),1)</f>
        <v>1</v>
      </c>
      <c r="D2373" s="8">
        <f ca="1">IFERROR(__xludf.DUMMYFUNCTION("""COMPUTED_VALUE"""),5)</f>
        <v>5</v>
      </c>
      <c r="E2373" s="2">
        <f ca="1">IFERROR(__xludf.DUMMYFUNCTION("""COMPUTED_VALUE"""),2)</f>
        <v>2</v>
      </c>
    </row>
    <row r="2374" spans="1:5" ht="13">
      <c r="A2374" s="2" t="str">
        <f ca="1">IFERROR(__xludf.DUMMYFUNCTION("""COMPUTED_VALUE"""),"Elliot, Zo")</f>
        <v>Elliot, Zo</v>
      </c>
      <c r="B2374" s="3">
        <f ca="1">IFERROR(__xludf.DUMMYFUNCTION("""COMPUTED_VALUE"""),1)</f>
        <v>1</v>
      </c>
      <c r="C2374" s="7">
        <f ca="1">IFERROR(__xludf.DUMMYFUNCTION("""COMPUTED_VALUE"""),1)</f>
        <v>1</v>
      </c>
      <c r="D2374" s="8">
        <f ca="1">IFERROR(__xludf.DUMMYFUNCTION("""COMPUTED_VALUE"""),5)</f>
        <v>5</v>
      </c>
      <c r="E2374" s="2">
        <f ca="1">IFERROR(__xludf.DUMMYFUNCTION("""COMPUTED_VALUE"""),2)</f>
        <v>2</v>
      </c>
    </row>
    <row r="2375" spans="1:5" ht="13">
      <c r="A2375" s="2" t="str">
        <f ca="1">IFERROR(__xludf.DUMMYFUNCTION("""COMPUTED_VALUE"""),"Elliot, Zoe")</f>
        <v>Elliot, Zoe</v>
      </c>
      <c r="B2375" s="3">
        <f ca="1">IFERROR(__xludf.DUMMYFUNCTION("""COMPUTED_VALUE"""),1)</f>
        <v>1</v>
      </c>
      <c r="C2375" s="7">
        <f ca="1">IFERROR(__xludf.DUMMYFUNCTION("""COMPUTED_VALUE"""),1)</f>
        <v>1</v>
      </c>
      <c r="D2375" s="8">
        <f ca="1">IFERROR(__xludf.DUMMYFUNCTION("""COMPUTED_VALUE"""),5)</f>
        <v>5</v>
      </c>
      <c r="E2375" s="2">
        <f ca="1">IFERROR(__xludf.DUMMYFUNCTION("""COMPUTED_VALUE"""),2)</f>
        <v>2</v>
      </c>
    </row>
    <row r="2376" spans="1:5" ht="13">
      <c r="A2376" s="2" t="str">
        <f ca="1">IFERROR(__xludf.DUMMYFUNCTION("""COMPUTED_VALUE"""),"Elliott, David")</f>
        <v>Elliott, David</v>
      </c>
      <c r="B2376" s="3">
        <f ca="1">IFERROR(__xludf.DUMMYFUNCTION("""COMPUTED_VALUE"""),1)</f>
        <v>1</v>
      </c>
      <c r="C2376" s="7">
        <f ca="1">IFERROR(__xludf.DUMMYFUNCTION("""COMPUTED_VALUE"""),1)</f>
        <v>1</v>
      </c>
      <c r="D2376" s="8">
        <f ca="1">IFERROR(__xludf.DUMMYFUNCTION("""COMPUTED_VALUE"""),1)</f>
        <v>1</v>
      </c>
      <c r="E2376" s="2">
        <f ca="1">IFERROR(__xludf.DUMMYFUNCTION("""COMPUTED_VALUE"""),1)</f>
        <v>1</v>
      </c>
    </row>
    <row r="2377" spans="1:5" ht="13">
      <c r="A2377" s="8" t="str">
        <f ca="1">IFERROR(__xludf.DUMMYFUNCTION("""COMPUTED_VALUE"""),"Elliott, Delwyn")</f>
        <v>Elliott, Delwyn</v>
      </c>
      <c r="B2377" s="3">
        <f ca="1">IFERROR(__xludf.DUMMYFUNCTION("""COMPUTED_VALUE"""),1)</f>
        <v>1</v>
      </c>
      <c r="C2377" s="7">
        <f ca="1">IFERROR(__xludf.DUMMYFUNCTION("""COMPUTED_VALUE"""),1)</f>
        <v>1</v>
      </c>
      <c r="D2377" s="8">
        <f ca="1">IFERROR(__xludf.DUMMYFUNCTION("""COMPUTED_VALUE"""),5)</f>
        <v>5</v>
      </c>
      <c r="E2377" s="2">
        <f ca="1">IFERROR(__xludf.DUMMYFUNCTION("""COMPUTED_VALUE"""),2)</f>
        <v>2</v>
      </c>
    </row>
    <row r="2378" spans="1:5" ht="13">
      <c r="A2378" s="2" t="str">
        <f ca="1">IFERROR(__xludf.DUMMYFUNCTION("""COMPUTED_VALUE"""),"Ellis, Edwin")</f>
        <v>Ellis, Edwin</v>
      </c>
      <c r="B2378" s="3">
        <f ca="1">IFERROR(__xludf.DUMMYFUNCTION("""COMPUTED_VALUE"""),1)</f>
        <v>1</v>
      </c>
      <c r="C2378" s="7">
        <f ca="1">IFERROR(__xludf.DUMMYFUNCTION("""COMPUTED_VALUE"""),1)</f>
        <v>1</v>
      </c>
      <c r="D2378" s="8">
        <f ca="1">IFERROR(__xludf.DUMMYFUNCTION("""COMPUTED_VALUE"""),5)</f>
        <v>5</v>
      </c>
      <c r="E2378" s="2">
        <f ca="1">IFERROR(__xludf.DUMMYFUNCTION("""COMPUTED_VALUE"""),2)</f>
        <v>2</v>
      </c>
    </row>
    <row r="2379" spans="1:5" ht="13">
      <c r="A2379" s="2" t="str">
        <f ca="1">IFERROR(__xludf.DUMMYFUNCTION("""COMPUTED_VALUE"""),"Ellis, Herb")</f>
        <v>Ellis, Herb</v>
      </c>
      <c r="B2379" s="3">
        <f ca="1">IFERROR(__xludf.DUMMYFUNCTION("""COMPUTED_VALUE"""),1)</f>
        <v>1</v>
      </c>
      <c r="C2379" s="7">
        <f ca="1">IFERROR(__xludf.DUMMYFUNCTION("""COMPUTED_VALUE"""),1)</f>
        <v>1</v>
      </c>
      <c r="D2379" s="8">
        <f ca="1">IFERROR(__xludf.DUMMYFUNCTION("""COMPUTED_VALUE"""),1)</f>
        <v>1</v>
      </c>
      <c r="E2379" s="2">
        <f ca="1">IFERROR(__xludf.DUMMYFUNCTION("""COMPUTED_VALUE"""),1)</f>
        <v>1</v>
      </c>
    </row>
    <row r="2380" spans="1:5" ht="13">
      <c r="A2380" s="2" t="str">
        <f ca="1">IFERROR(__xludf.DUMMYFUNCTION("""COMPUTED_VALUE"""),"Ellis, John")</f>
        <v>Ellis, John</v>
      </c>
      <c r="B2380" s="3">
        <f ca="1">IFERROR(__xludf.DUMMYFUNCTION("""COMPUTED_VALUE"""),1)</f>
        <v>1</v>
      </c>
      <c r="C2380" s="7">
        <f ca="1">IFERROR(__xludf.DUMMYFUNCTION("""COMPUTED_VALUE"""),1)</f>
        <v>1</v>
      </c>
      <c r="D2380" s="8">
        <f ca="1">IFERROR(__xludf.DUMMYFUNCTION("""COMPUTED_VALUE"""),1)</f>
        <v>1</v>
      </c>
      <c r="E2380" s="2">
        <f ca="1">IFERROR(__xludf.DUMMYFUNCTION("""COMPUTED_VALUE"""),1)</f>
        <v>1</v>
      </c>
    </row>
    <row r="2381" spans="1:5" ht="13">
      <c r="A2381" s="2" t="str">
        <f ca="1">IFERROR(__xludf.DUMMYFUNCTION("""COMPUTED_VALUE"""),"Ellis, T.D.")</f>
        <v>Ellis, T.D.</v>
      </c>
      <c r="B2381" s="3">
        <f ca="1">IFERROR(__xludf.DUMMYFUNCTION("""COMPUTED_VALUE"""),1)</f>
        <v>1</v>
      </c>
      <c r="C2381" s="7">
        <f ca="1">IFERROR(__xludf.DUMMYFUNCTION("""COMPUTED_VALUE"""),1)</f>
        <v>1</v>
      </c>
      <c r="D2381" s="8">
        <f ca="1">IFERROR(__xludf.DUMMYFUNCTION("""COMPUTED_VALUE"""),1)</f>
        <v>1</v>
      </c>
      <c r="E2381" s="2">
        <f ca="1">IFERROR(__xludf.DUMMYFUNCTION("""COMPUTED_VALUE"""),1)</f>
        <v>1</v>
      </c>
    </row>
    <row r="2382" spans="1:5" ht="13">
      <c r="A2382" s="2" t="str">
        <f ca="1">IFERROR(__xludf.DUMMYFUNCTION("""COMPUTED_VALUE"""),"Ellmenreich Albert")</f>
        <v>Ellmenreich Albert</v>
      </c>
      <c r="B2382" s="3">
        <f ca="1">IFERROR(__xludf.DUMMYFUNCTION("""COMPUTED_VALUE"""),1)</f>
        <v>1</v>
      </c>
      <c r="C2382" s="7">
        <f ca="1">IFERROR(__xludf.DUMMYFUNCTION("""COMPUTED_VALUE"""),1)</f>
        <v>1</v>
      </c>
      <c r="D2382" s="8">
        <f ca="1">IFERROR(__xludf.DUMMYFUNCTION("""COMPUTED_VALUE"""),5)</f>
        <v>5</v>
      </c>
      <c r="E2382" s="2">
        <f ca="1">IFERROR(__xludf.DUMMYFUNCTION("""COMPUTED_VALUE"""),2)</f>
        <v>2</v>
      </c>
    </row>
    <row r="2383" spans="1:5" ht="13">
      <c r="A2383" s="2" t="str">
        <f ca="1">IFERROR(__xludf.DUMMYFUNCTION("""COMPUTED_VALUE"""),"Ellmenreich, Albert")</f>
        <v>Ellmenreich, Albert</v>
      </c>
      <c r="B2383" s="3">
        <f ca="1">IFERROR(__xludf.DUMMYFUNCTION("""COMPUTED_VALUE"""),1)</f>
        <v>1</v>
      </c>
      <c r="C2383" s="7">
        <f ca="1">IFERROR(__xludf.DUMMYFUNCTION("""COMPUTED_VALUE"""),1)</f>
        <v>1</v>
      </c>
      <c r="D2383" s="8">
        <f ca="1">IFERROR(__xludf.DUMMYFUNCTION("""COMPUTED_VALUE"""),5)</f>
        <v>5</v>
      </c>
      <c r="E2383" s="2">
        <f ca="1">IFERROR(__xludf.DUMMYFUNCTION("""COMPUTED_VALUE"""),2)</f>
        <v>2</v>
      </c>
    </row>
    <row r="2384" spans="1:5" ht="13">
      <c r="A2384" s="2" t="str">
        <f ca="1">IFERROR(__xludf.DUMMYFUNCTION("""COMPUTED_VALUE"""),"Elman, Mischa")</f>
        <v>Elman, Mischa</v>
      </c>
      <c r="B2384" s="2">
        <f ca="1">IFERROR(__xludf.DUMMYFUNCTION("""COMPUTED_VALUE"""),1)</f>
        <v>1</v>
      </c>
      <c r="C2384" s="2">
        <f ca="1">IFERROR(__xludf.DUMMYFUNCTION("""COMPUTED_VALUE"""),1)</f>
        <v>1</v>
      </c>
      <c r="D2384" s="8">
        <f ca="1">IFERROR(__xludf.DUMMYFUNCTION("""COMPUTED_VALUE"""),5)</f>
        <v>5</v>
      </c>
      <c r="E2384" s="2">
        <f ca="1">IFERROR(__xludf.DUMMYFUNCTION("""COMPUTED_VALUE"""),2)</f>
        <v>2</v>
      </c>
    </row>
    <row r="2385" spans="1:5" ht="13">
      <c r="A2385" s="8" t="str">
        <f ca="1">IFERROR(__xludf.DUMMYFUNCTION("""COMPUTED_VALUE"""),"Elrod, Jonah")</f>
        <v>Elrod, Jonah</v>
      </c>
      <c r="B2385" s="3">
        <f ca="1">IFERROR(__xludf.DUMMYFUNCTION("""COMPUTED_VALUE"""),1)</f>
        <v>1</v>
      </c>
      <c r="C2385" s="7">
        <f ca="1">IFERROR(__xludf.DUMMYFUNCTION("""COMPUTED_VALUE"""),1)</f>
        <v>1</v>
      </c>
      <c r="D2385" s="8">
        <f ca="1">IFERROR(__xludf.DUMMYFUNCTION("""COMPUTED_VALUE"""),1)</f>
        <v>1</v>
      </c>
      <c r="E2385" s="2">
        <f ca="1">IFERROR(__xludf.DUMMYFUNCTION("""COMPUTED_VALUE"""),1)</f>
        <v>1</v>
      </c>
    </row>
    <row r="2386" spans="1:5" ht="13">
      <c r="A2386" s="2" t="str">
        <f ca="1">IFERROR(__xludf.DUMMYFUNCTION("""COMPUTED_VALUE"""),"Elsbeth, Thomas")</f>
        <v>Elsbeth, Thomas</v>
      </c>
      <c r="B2386" s="2">
        <f ca="1">IFERROR(__xludf.DUMMYFUNCTION("""COMPUTED_VALUE"""),1)</f>
        <v>1</v>
      </c>
      <c r="C2386" s="7">
        <f ca="1">IFERROR(__xludf.DUMMYFUNCTION("""COMPUTED_VALUE"""),1)</f>
        <v>1</v>
      </c>
      <c r="D2386" s="8">
        <f ca="1">IFERROR(__xludf.DUMMYFUNCTION("""COMPUTED_VALUE"""),5)</f>
        <v>5</v>
      </c>
      <c r="E2386" s="2">
        <f ca="1">IFERROR(__xludf.DUMMYFUNCTION("""COMPUTED_VALUE"""),2)</f>
        <v>2</v>
      </c>
    </row>
    <row r="2387" spans="1:5" ht="13">
      <c r="A2387" s="2" t="str">
        <f ca="1">IFERROR(__xludf.DUMMYFUNCTION("""COMPUTED_VALUE"""),"Elvey, George")</f>
        <v>Elvey, George</v>
      </c>
      <c r="B2387" s="3">
        <f ca="1">IFERROR(__xludf.DUMMYFUNCTION("""COMPUTED_VALUE"""),1)</f>
        <v>1</v>
      </c>
      <c r="C2387" s="7">
        <f ca="1">IFERROR(__xludf.DUMMYFUNCTION("""COMPUTED_VALUE"""),1)</f>
        <v>1</v>
      </c>
      <c r="D2387" s="8">
        <f ca="1">IFERROR(__xludf.DUMMYFUNCTION("""COMPUTED_VALUE"""),5)</f>
        <v>5</v>
      </c>
      <c r="E2387" s="2">
        <f ca="1">IFERROR(__xludf.DUMMYFUNCTION("""COMPUTED_VALUE"""),2)</f>
        <v>2</v>
      </c>
    </row>
    <row r="2388" spans="1:5" ht="13">
      <c r="A2388" s="2" t="str">
        <f ca="1">IFERROR(__xludf.DUMMYFUNCTION("""COMPUTED_VALUE"""),"Elvey, Stephen / Rascall, Robert")</f>
        <v>Elvey, Stephen / Rascall, Robert</v>
      </c>
      <c r="B2388" s="3">
        <f ca="1">IFERROR(__xludf.DUMMYFUNCTION("""COMPUTED_VALUE"""),1)</f>
        <v>1</v>
      </c>
      <c r="C2388" s="7">
        <f ca="1">IFERROR(__xludf.DUMMYFUNCTION("""COMPUTED_VALUE"""),1)</f>
        <v>1</v>
      </c>
      <c r="D2388" s="8">
        <f ca="1">IFERROR(__xludf.DUMMYFUNCTION("""COMPUTED_VALUE"""),5)</f>
        <v>5</v>
      </c>
      <c r="E2388" s="2">
        <f ca="1">IFERROR(__xludf.DUMMYFUNCTION("""COMPUTED_VALUE"""),2)</f>
        <v>2</v>
      </c>
    </row>
    <row r="2389" spans="1:5" ht="13">
      <c r="A2389" s="2" t="str">
        <f ca="1">IFERROR(__xludf.DUMMYFUNCTION("""COMPUTED_VALUE"""),"Elwell, Herbert")</f>
        <v>Elwell, Herbert</v>
      </c>
      <c r="B2389" s="3">
        <f ca="1">IFERROR(__xludf.DUMMYFUNCTION("""COMPUTED_VALUE"""),1)</f>
        <v>1</v>
      </c>
      <c r="C2389" s="7">
        <f ca="1">IFERROR(__xludf.DUMMYFUNCTION("""COMPUTED_VALUE"""),1)</f>
        <v>1</v>
      </c>
      <c r="D2389" s="8">
        <f ca="1">IFERROR(__xludf.DUMMYFUNCTION("""COMPUTED_VALUE"""),5)</f>
        <v>5</v>
      </c>
      <c r="E2389" s="2">
        <f ca="1">IFERROR(__xludf.DUMMYFUNCTION("""COMPUTED_VALUE"""),2)</f>
        <v>2</v>
      </c>
    </row>
    <row r="2390" spans="1:5" ht="13">
      <c r="A2390" s="8" t="str">
        <f ca="1">IFERROR(__xludf.DUMMYFUNCTION("""COMPUTED_VALUE"""),"Emerson, Eads")</f>
        <v>Emerson, Eads</v>
      </c>
      <c r="B2390" s="3">
        <f ca="1">IFERROR(__xludf.DUMMYFUNCTION("""COMPUTED_VALUE"""),1)</f>
        <v>1</v>
      </c>
      <c r="C2390" s="7">
        <f ca="1">IFERROR(__xludf.DUMMYFUNCTION("""COMPUTED_VALUE"""),1)</f>
        <v>1</v>
      </c>
      <c r="D2390" s="8">
        <f ca="1">IFERROR(__xludf.DUMMYFUNCTION("""COMPUTED_VALUE"""),1)</f>
        <v>1</v>
      </c>
      <c r="E2390" s="2">
        <f ca="1">IFERROR(__xludf.DUMMYFUNCTION("""COMPUTED_VALUE"""),1)</f>
        <v>1</v>
      </c>
    </row>
    <row r="2391" spans="1:5" ht="13">
      <c r="A2391" s="2" t="str">
        <f ca="1">IFERROR(__xludf.DUMMYFUNCTION("""COMPUTED_VALUE"""),"Emerson, Geoffrey")</f>
        <v>Emerson, Geoffrey</v>
      </c>
      <c r="B2391" s="2">
        <f ca="1">IFERROR(__xludf.DUMMYFUNCTION("""COMPUTED_VALUE"""),1)</f>
        <v>1</v>
      </c>
      <c r="C2391" s="7">
        <f ca="1">IFERROR(__xludf.DUMMYFUNCTION("""COMPUTED_VALUE"""),1)</f>
        <v>1</v>
      </c>
      <c r="D2391" s="8">
        <f ca="1">IFERROR(__xludf.DUMMYFUNCTION("""COMPUTED_VALUE"""),1)</f>
        <v>1</v>
      </c>
      <c r="E2391" s="2">
        <f ca="1">IFERROR(__xludf.DUMMYFUNCTION("""COMPUTED_VALUE"""),1)</f>
        <v>1</v>
      </c>
    </row>
    <row r="2392" spans="1:5" ht="13">
      <c r="A2392" s="8" t="str">
        <f ca="1">IFERROR(__xludf.DUMMYFUNCTION("""COMPUTED_VALUE"""),"Emerson, Roger")</f>
        <v>Emerson, Roger</v>
      </c>
      <c r="B2392" s="3">
        <f ca="1">IFERROR(__xludf.DUMMYFUNCTION("""COMPUTED_VALUE"""),1)</f>
        <v>1</v>
      </c>
      <c r="C2392" s="7">
        <f ca="1">IFERROR(__xludf.DUMMYFUNCTION("""COMPUTED_VALUE"""),1)</f>
        <v>1</v>
      </c>
      <c r="D2392" s="8">
        <f ca="1">IFERROR(__xludf.DUMMYFUNCTION("""COMPUTED_VALUE"""),1)</f>
        <v>1</v>
      </c>
      <c r="E2392" s="2">
        <f ca="1">IFERROR(__xludf.DUMMYFUNCTION("""COMPUTED_VALUE"""),1)</f>
        <v>1</v>
      </c>
    </row>
    <row r="2393" spans="1:5" ht="13">
      <c r="A2393" s="2" t="str">
        <f ca="1">IFERROR(__xludf.DUMMYFUNCTION("""COMPUTED_VALUE"""),"Emerson, Roger / Murtha, Paul")</f>
        <v>Emerson, Roger / Murtha, Paul</v>
      </c>
      <c r="B2393" s="3">
        <f ca="1">IFERROR(__xludf.DUMMYFUNCTION("""COMPUTED_VALUE"""),1)</f>
        <v>1</v>
      </c>
      <c r="C2393" s="7">
        <f ca="1">IFERROR(__xludf.DUMMYFUNCTION("""COMPUTED_VALUE"""),1)</f>
        <v>1</v>
      </c>
      <c r="D2393" s="8">
        <f ca="1">IFERROR(__xludf.DUMMYFUNCTION("""COMPUTED_VALUE"""),1)</f>
        <v>1</v>
      </c>
      <c r="E2393" s="2">
        <f ca="1">IFERROR(__xludf.DUMMYFUNCTION("""COMPUTED_VALUE"""),1)</f>
        <v>1</v>
      </c>
    </row>
    <row r="2394" spans="1:5" ht="13">
      <c r="A2394" s="2" t="str">
        <f ca="1">IFERROR(__xludf.DUMMYFUNCTION("""COMPUTED_VALUE"""),"Emery, Matthew")</f>
        <v>Emery, Matthew</v>
      </c>
      <c r="B2394" s="3">
        <f ca="1">IFERROR(__xludf.DUMMYFUNCTION("""COMPUTED_VALUE"""),1)</f>
        <v>1</v>
      </c>
      <c r="C2394" s="7">
        <f ca="1">IFERROR(__xludf.DUMMYFUNCTION("""COMPUTED_VALUE"""),1)</f>
        <v>1</v>
      </c>
      <c r="D2394" s="8">
        <f ca="1">IFERROR(__xludf.DUMMYFUNCTION("""COMPUTED_VALUE"""),1)</f>
        <v>1</v>
      </c>
      <c r="E2394" s="2">
        <f ca="1">IFERROR(__xludf.DUMMYFUNCTION("""COMPUTED_VALUE"""),1)</f>
        <v>1</v>
      </c>
    </row>
    <row r="2395" spans="1:5" ht="13">
      <c r="A2395" s="8" t="str">
        <f ca="1">IFERROR(__xludf.DUMMYFUNCTION("""COMPUTED_VALUE"""),"Emlen, George")</f>
        <v>Emlen, George</v>
      </c>
      <c r="B2395" s="3">
        <f ca="1">IFERROR(__xludf.DUMMYFUNCTION("""COMPUTED_VALUE"""),1)</f>
        <v>1</v>
      </c>
      <c r="C2395" s="7">
        <f ca="1">IFERROR(__xludf.DUMMYFUNCTION("""COMPUTED_VALUE"""),1)</f>
        <v>1</v>
      </c>
      <c r="D2395" s="8">
        <f ca="1">IFERROR(__xludf.DUMMYFUNCTION("""COMPUTED_VALUE"""),1)</f>
        <v>1</v>
      </c>
      <c r="E2395" s="2">
        <f ca="1">IFERROR(__xludf.DUMMYFUNCTION("""COMPUTED_VALUE"""),1)</f>
        <v>1</v>
      </c>
    </row>
    <row r="2396" spans="1:5" ht="13">
      <c r="A2396" s="2" t="str">
        <f ca="1">IFERROR(__xludf.DUMMYFUNCTION("""COMPUTED_VALUE"""),"Emmett, Dan")</f>
        <v>Emmett, Dan</v>
      </c>
      <c r="B2396" s="3">
        <f ca="1">IFERROR(__xludf.DUMMYFUNCTION("""COMPUTED_VALUE"""),1)</f>
        <v>1</v>
      </c>
      <c r="C2396" s="7">
        <f ca="1">IFERROR(__xludf.DUMMYFUNCTION("""COMPUTED_VALUE"""),1)</f>
        <v>1</v>
      </c>
      <c r="D2396" s="8">
        <f ca="1">IFERROR(__xludf.DUMMYFUNCTION("""COMPUTED_VALUE"""),5)</f>
        <v>5</v>
      </c>
      <c r="E2396" s="2">
        <f ca="1">IFERROR(__xludf.DUMMYFUNCTION("""COMPUTED_VALUE"""),2)</f>
        <v>2</v>
      </c>
    </row>
    <row r="2397" spans="1:5" ht="13">
      <c r="A2397" s="2" t="str">
        <f ca="1">IFERROR(__xludf.DUMMYFUNCTION("""COMPUTED_VALUE"""),"Encina, Juan del")</f>
        <v>Encina, Juan del</v>
      </c>
      <c r="B2397" s="3">
        <f ca="1">IFERROR(__xludf.DUMMYFUNCTION("""COMPUTED_VALUE"""),1)</f>
        <v>1</v>
      </c>
      <c r="C2397" s="7">
        <f ca="1">IFERROR(__xludf.DUMMYFUNCTION("""COMPUTED_VALUE"""),1)</f>
        <v>1</v>
      </c>
      <c r="D2397" s="8">
        <f ca="1">IFERROR(__xludf.DUMMYFUNCTION("""COMPUTED_VALUE"""),5)</f>
        <v>5</v>
      </c>
      <c r="E2397" s="2">
        <f ca="1">IFERROR(__xludf.DUMMYFUNCTION("""COMPUTED_VALUE"""),2)</f>
        <v>2</v>
      </c>
    </row>
    <row r="2398" spans="1:5" ht="13">
      <c r="A2398" s="2" t="str">
        <f ca="1">IFERROR(__xludf.DUMMYFUNCTION("""COMPUTED_VALUE"""),"End, Jack")</f>
        <v>End, Jack</v>
      </c>
      <c r="B2398" s="3">
        <f ca="1">IFERROR(__xludf.DUMMYFUNCTION("""COMPUTED_VALUE"""),1)</f>
        <v>1</v>
      </c>
      <c r="C2398" s="7">
        <f ca="1">IFERROR(__xludf.DUMMYFUNCTION("""COMPUTED_VALUE"""),1)</f>
        <v>1</v>
      </c>
      <c r="D2398" s="8">
        <f ca="1">IFERROR(__xludf.DUMMYFUNCTION("""COMPUTED_VALUE"""),5)</f>
        <v>5</v>
      </c>
      <c r="E2398" s="2">
        <f ca="1">IFERROR(__xludf.DUMMYFUNCTION("""COMPUTED_VALUE"""),2)</f>
        <v>2</v>
      </c>
    </row>
    <row r="2399" spans="1:5" ht="13">
      <c r="A2399" s="8" t="str">
        <f ca="1">IFERROR(__xludf.DUMMYFUNCTION("""COMPUTED_VALUE"""),"Enders, Harvey")</f>
        <v>Enders, Harvey</v>
      </c>
      <c r="B2399" s="3">
        <f ca="1">IFERROR(__xludf.DUMMYFUNCTION("""COMPUTED_VALUE"""),1)</f>
        <v>1</v>
      </c>
      <c r="C2399" s="7">
        <f ca="1">IFERROR(__xludf.DUMMYFUNCTION("""COMPUTED_VALUE"""),1)</f>
        <v>1</v>
      </c>
      <c r="D2399" s="8">
        <f ca="1">IFERROR(__xludf.DUMMYFUNCTION("""COMPUTED_VALUE"""),5)</f>
        <v>5</v>
      </c>
      <c r="E2399" s="2">
        <f ca="1">IFERROR(__xludf.DUMMYFUNCTION("""COMPUTED_VALUE"""),2)</f>
        <v>2</v>
      </c>
    </row>
    <row r="2400" spans="1:5" ht="13">
      <c r="A2400" s="2" t="str">
        <f ca="1">IFERROR(__xludf.DUMMYFUNCTION("""COMPUTED_VALUE"""),"Endicott, Neal")</f>
        <v>Endicott, Neal</v>
      </c>
      <c r="B2400" s="2">
        <f ca="1">IFERROR(__xludf.DUMMYFUNCTION("""COMPUTED_VALUE"""),1)</f>
        <v>1</v>
      </c>
      <c r="C2400" s="7">
        <f ca="1">IFERROR(__xludf.DUMMYFUNCTION("""COMPUTED_VALUE"""),1)</f>
        <v>1</v>
      </c>
      <c r="D2400" s="8">
        <f ca="1">IFERROR(__xludf.DUMMYFUNCTION("""COMPUTED_VALUE"""),1)</f>
        <v>1</v>
      </c>
      <c r="E2400" s="2">
        <f ca="1">IFERROR(__xludf.DUMMYFUNCTION("""COMPUTED_VALUE"""),1)</f>
        <v>1</v>
      </c>
    </row>
    <row r="2401" spans="1:5" ht="13">
      <c r="A2401" s="2" t="str">
        <f ca="1">IFERROR(__xludf.DUMMYFUNCTION("""COMPUTED_VALUE"""),"Endroth, Anders")</f>
        <v>Endroth, Anders</v>
      </c>
      <c r="B2401" s="2">
        <f ca="1">IFERROR(__xludf.DUMMYFUNCTION("""COMPUTED_VALUE"""),1)</f>
        <v>1</v>
      </c>
      <c r="C2401" s="7">
        <f ca="1">IFERROR(__xludf.DUMMYFUNCTION("""COMPUTED_VALUE"""),1)</f>
        <v>1</v>
      </c>
      <c r="D2401" s="8">
        <f ca="1">IFERROR(__xludf.DUMMYFUNCTION("""COMPUTED_VALUE"""),1)</f>
        <v>1</v>
      </c>
      <c r="E2401" s="2">
        <f ca="1">IFERROR(__xludf.DUMMYFUNCTION("""COMPUTED_VALUE"""),1)</f>
        <v>1</v>
      </c>
    </row>
    <row r="2402" spans="1:5" ht="13">
      <c r="A2402" s="2" t="str">
        <f ca="1">IFERROR(__xludf.DUMMYFUNCTION("""COMPUTED_VALUE"""),"Enescu, George")</f>
        <v>Enescu, George</v>
      </c>
      <c r="B2402" s="3">
        <f ca="1">IFERROR(__xludf.DUMMYFUNCTION("""COMPUTED_VALUE"""),1)</f>
        <v>1</v>
      </c>
      <c r="C2402" s="7">
        <f ca="1">IFERROR(__xludf.DUMMYFUNCTION("""COMPUTED_VALUE"""),1)</f>
        <v>1</v>
      </c>
      <c r="D2402" s="8">
        <f ca="1">IFERROR(__xludf.DUMMYFUNCTION("""COMPUTED_VALUE"""),5)</f>
        <v>5</v>
      </c>
      <c r="E2402" s="2">
        <f ca="1">IFERROR(__xludf.DUMMYFUNCTION("""COMPUTED_VALUE"""),2)</f>
        <v>2</v>
      </c>
    </row>
    <row r="2403" spans="1:5" ht="13">
      <c r="A2403" s="2" t="str">
        <f ca="1">IFERROR(__xludf.DUMMYFUNCTION("""COMPUTED_VALUE"""),"Enescu, Georges")</f>
        <v>Enescu, Georges</v>
      </c>
      <c r="B2403" s="3">
        <f ca="1">IFERROR(__xludf.DUMMYFUNCTION("""COMPUTED_VALUE"""),1)</f>
        <v>1</v>
      </c>
      <c r="C2403" s="7">
        <f ca="1">IFERROR(__xludf.DUMMYFUNCTION("""COMPUTED_VALUE"""),1)</f>
        <v>1</v>
      </c>
      <c r="D2403" s="8">
        <f ca="1">IFERROR(__xludf.DUMMYFUNCTION("""COMPUTED_VALUE"""),5)</f>
        <v>5</v>
      </c>
      <c r="E2403" s="2">
        <f ca="1">IFERROR(__xludf.DUMMYFUNCTION("""COMPUTED_VALUE"""),2)</f>
        <v>2</v>
      </c>
    </row>
    <row r="2404" spans="1:5" ht="13">
      <c r="A2404" s="2" t="str">
        <f ca="1">IFERROR(__xludf.DUMMYFUNCTION("""COMPUTED_VALUE"""),"Engelhardt, Michael")</f>
        <v>Engelhardt, Michael</v>
      </c>
      <c r="B2404" s="2">
        <f ca="1">IFERROR(__xludf.DUMMYFUNCTION("""COMPUTED_VALUE"""),1)</f>
        <v>1</v>
      </c>
      <c r="C2404" s="7">
        <f ca="1">IFERROR(__xludf.DUMMYFUNCTION("""COMPUTED_VALUE"""),1)</f>
        <v>1</v>
      </c>
      <c r="D2404" s="8">
        <f ca="1">IFERROR(__xludf.DUMMYFUNCTION("""COMPUTED_VALUE"""),1)</f>
        <v>1</v>
      </c>
      <c r="E2404" s="2">
        <f ca="1">IFERROR(__xludf.DUMMYFUNCTION("""COMPUTED_VALUE"""),1)</f>
        <v>1</v>
      </c>
    </row>
    <row r="2405" spans="1:5" ht="13">
      <c r="A2405" s="2" t="str">
        <f ca="1">IFERROR(__xludf.DUMMYFUNCTION("""COMPUTED_VALUE"""),"Engelmann, Hans")</f>
        <v>Engelmann, Hans</v>
      </c>
      <c r="B2405" s="2">
        <f ca="1">IFERROR(__xludf.DUMMYFUNCTION("""COMPUTED_VALUE"""),1)</f>
        <v>1</v>
      </c>
      <c r="C2405" s="2">
        <f ca="1">IFERROR(__xludf.DUMMYFUNCTION("""COMPUTED_VALUE"""),1)</f>
        <v>1</v>
      </c>
      <c r="D2405" s="8">
        <f ca="1">IFERROR(__xludf.DUMMYFUNCTION("""COMPUTED_VALUE"""),5)</f>
        <v>5</v>
      </c>
      <c r="E2405" s="2">
        <f ca="1">IFERROR(__xludf.DUMMYFUNCTION("""COMPUTED_VALUE"""),2)</f>
        <v>2</v>
      </c>
    </row>
    <row r="2406" spans="1:5" ht="13">
      <c r="A2406" s="2" t="str">
        <f ca="1">IFERROR(__xludf.DUMMYFUNCTION("""COMPUTED_VALUE"""),"England, David")</f>
        <v>England, David</v>
      </c>
      <c r="B2406" s="3">
        <f ca="1">IFERROR(__xludf.DUMMYFUNCTION("""COMPUTED_VALUE"""),1)</f>
        <v>1</v>
      </c>
      <c r="C2406" s="7">
        <f ca="1">IFERROR(__xludf.DUMMYFUNCTION("""COMPUTED_VALUE"""),1)</f>
        <v>1</v>
      </c>
      <c r="D2406" s="8">
        <f ca="1">IFERROR(__xludf.DUMMYFUNCTION("""COMPUTED_VALUE"""),5)</f>
        <v>5</v>
      </c>
      <c r="E2406" s="2">
        <f ca="1">IFERROR(__xludf.DUMMYFUNCTION("""COMPUTED_VALUE"""),2)</f>
        <v>2</v>
      </c>
    </row>
    <row r="2407" spans="1:5" ht="13">
      <c r="A2407" s="2" t="str">
        <f ca="1">IFERROR(__xludf.DUMMYFUNCTION("""COMPUTED_VALUE"""),"England, Rick")</f>
        <v>England, Rick</v>
      </c>
      <c r="B2407" s="2">
        <f ca="1">IFERROR(__xludf.DUMMYFUNCTION("""COMPUTED_VALUE"""),1)</f>
        <v>1</v>
      </c>
      <c r="C2407" s="7">
        <f ca="1">IFERROR(__xludf.DUMMYFUNCTION("""COMPUTED_VALUE"""),1)</f>
        <v>1</v>
      </c>
      <c r="D2407" s="8">
        <f ca="1">IFERROR(__xludf.DUMMYFUNCTION("""COMPUTED_VALUE"""),1)</f>
        <v>1</v>
      </c>
      <c r="E2407" s="2">
        <f ca="1">IFERROR(__xludf.DUMMYFUNCTION("""COMPUTED_VALUE"""),1)</f>
        <v>1</v>
      </c>
    </row>
    <row r="2408" spans="1:5" ht="13">
      <c r="A2408" s="2" t="str">
        <f ca="1">IFERROR(__xludf.DUMMYFUNCTION("""COMPUTED_VALUE"""),"Englert, Eugene")</f>
        <v>Englert, Eugene</v>
      </c>
      <c r="B2408" s="3">
        <f ca="1">IFERROR(__xludf.DUMMYFUNCTION("""COMPUTED_VALUE"""),1)</f>
        <v>1</v>
      </c>
      <c r="C2408" s="7">
        <f ca="1">IFERROR(__xludf.DUMMYFUNCTION("""COMPUTED_VALUE"""),1)</f>
        <v>1</v>
      </c>
      <c r="D2408" s="8">
        <f ca="1">IFERROR(__xludf.DUMMYFUNCTION("""COMPUTED_VALUE"""),1)</f>
        <v>1</v>
      </c>
      <c r="E2408" s="2">
        <f ca="1">IFERROR(__xludf.DUMMYFUNCTION("""COMPUTED_VALUE"""),1)</f>
        <v>1</v>
      </c>
    </row>
    <row r="2409" spans="1:5" ht="13">
      <c r="A2409" s="2" t="str">
        <f ca="1">IFERROR(__xludf.DUMMYFUNCTION("""COMPUTED_VALUE"""),"Englert, John")</f>
        <v>Englert, John</v>
      </c>
      <c r="B2409" s="2">
        <f ca="1">IFERROR(__xludf.DUMMYFUNCTION("""COMPUTED_VALUE"""),1)</f>
        <v>1</v>
      </c>
      <c r="C2409" s="7">
        <f ca="1">IFERROR(__xludf.DUMMYFUNCTION("""COMPUTED_VALUE"""),1)</f>
        <v>1</v>
      </c>
      <c r="D2409" s="8">
        <f ca="1">IFERROR(__xludf.DUMMYFUNCTION("""COMPUTED_VALUE"""),1)</f>
        <v>1</v>
      </c>
      <c r="E2409" s="2">
        <f ca="1">IFERROR(__xludf.DUMMYFUNCTION("""COMPUTED_VALUE"""),1)</f>
        <v>1</v>
      </c>
    </row>
    <row r="2410" spans="1:5" ht="13">
      <c r="A2410" s="2" t="str">
        <f ca="1">IFERROR(__xludf.DUMMYFUNCTION("""COMPUTED_VALUE"""),"Ennio Morricone / Andrea Morricone")</f>
        <v>Ennio Morricone / Andrea Morricone</v>
      </c>
      <c r="B2410" s="2">
        <f ca="1">IFERROR(__xludf.DUMMYFUNCTION("""COMPUTED_VALUE"""),1)</f>
        <v>1</v>
      </c>
      <c r="C2410" s="7">
        <f ca="1">IFERROR(__xludf.DUMMYFUNCTION("""COMPUTED_VALUE"""),1)</f>
        <v>1</v>
      </c>
      <c r="D2410" s="8">
        <f ca="1">IFERROR(__xludf.DUMMYFUNCTION("""COMPUTED_VALUE"""),5)</f>
        <v>5</v>
      </c>
      <c r="E2410" s="2">
        <f ca="1">IFERROR(__xludf.DUMMYFUNCTION("""COMPUTED_VALUE"""),2)</f>
        <v>2</v>
      </c>
    </row>
    <row r="2411" spans="1:5" ht="13">
      <c r="A2411" s="2" t="str">
        <f ca="1">IFERROR(__xludf.DUMMYFUNCTION("""COMPUTED_VALUE"""),"Enns, Leonard")</f>
        <v>Enns, Leonard</v>
      </c>
      <c r="B2411" s="2">
        <f ca="1">IFERROR(__xludf.DUMMYFUNCTION("""COMPUTED_VALUE"""),1)</f>
        <v>1</v>
      </c>
      <c r="C2411" s="7">
        <f ca="1">IFERROR(__xludf.DUMMYFUNCTION("""COMPUTED_VALUE"""),1)</f>
        <v>1</v>
      </c>
      <c r="D2411" s="8">
        <f ca="1">IFERROR(__xludf.DUMMYFUNCTION("""COMPUTED_VALUE"""),1)</f>
        <v>1</v>
      </c>
      <c r="E2411" s="2">
        <f ca="1">IFERROR(__xludf.DUMMYFUNCTION("""COMPUTED_VALUE"""),1)</f>
        <v>1</v>
      </c>
    </row>
    <row r="2412" spans="1:5" ht="13">
      <c r="A2412" s="2" t="str">
        <f ca="1">IFERROR(__xludf.DUMMYFUNCTION("""COMPUTED_VALUE"""),"Enrique (15th Cent. Spanish composer)")</f>
        <v>Enrique (15th Cent. Spanish composer)</v>
      </c>
      <c r="B2412" s="2">
        <f ca="1">IFERROR(__xludf.DUMMYFUNCTION("""COMPUTED_VALUE"""),1)</f>
        <v>1</v>
      </c>
      <c r="C2412" s="7">
        <f ca="1">IFERROR(__xludf.DUMMYFUNCTION("""COMPUTED_VALUE"""),1)</f>
        <v>1</v>
      </c>
      <c r="D2412" s="8">
        <f ca="1">IFERROR(__xludf.DUMMYFUNCTION("""COMPUTED_VALUE"""),5)</f>
        <v>5</v>
      </c>
      <c r="E2412" s="2">
        <f ca="1">IFERROR(__xludf.DUMMYFUNCTION("""COMPUTED_VALUE"""),2)</f>
        <v>2</v>
      </c>
    </row>
    <row r="2413" spans="1:5" ht="13">
      <c r="A2413" s="2" t="str">
        <f ca="1">IFERROR(__xludf.DUMMYFUNCTION("""COMPUTED_VALUE"""),"Entsminger, Deen")</f>
        <v>Entsminger, Deen</v>
      </c>
      <c r="B2413" s="3">
        <f ca="1">IFERROR(__xludf.DUMMYFUNCTION("""COMPUTED_VALUE"""),1)</f>
        <v>1</v>
      </c>
      <c r="C2413" s="7">
        <f ca="1">IFERROR(__xludf.DUMMYFUNCTION("""COMPUTED_VALUE"""),1)</f>
        <v>1</v>
      </c>
      <c r="D2413" s="8">
        <f ca="1">IFERROR(__xludf.DUMMYFUNCTION("""COMPUTED_VALUE"""),1)</f>
        <v>1</v>
      </c>
      <c r="E2413" s="2">
        <f ca="1">IFERROR(__xludf.DUMMYFUNCTION("""COMPUTED_VALUE"""),1)</f>
        <v>1</v>
      </c>
    </row>
    <row r="2414" spans="1:5" ht="13">
      <c r="A2414" s="8" t="str">
        <f ca="1">IFERROR(__xludf.DUMMYFUNCTION("""COMPUTED_VALUE"""),"Eötvös, Peter")</f>
        <v>Eötvös, Peter</v>
      </c>
      <c r="B2414" s="3">
        <f ca="1">IFERROR(__xludf.DUMMYFUNCTION("""COMPUTED_VALUE"""),1)</f>
        <v>1</v>
      </c>
      <c r="C2414" s="7">
        <f ca="1">IFERROR(__xludf.DUMMYFUNCTION("""COMPUTED_VALUE"""),1)</f>
        <v>1</v>
      </c>
      <c r="D2414" s="8">
        <f ca="1">IFERROR(__xludf.DUMMYFUNCTION("""COMPUTED_VALUE"""),5)</f>
        <v>5</v>
      </c>
      <c r="E2414" s="2">
        <f ca="1">IFERROR(__xludf.DUMMYFUNCTION("""COMPUTED_VALUE"""),2)</f>
        <v>2</v>
      </c>
    </row>
    <row r="2415" spans="1:5" ht="13">
      <c r="A2415" s="2" t="str">
        <f ca="1">IFERROR(__xludf.DUMMYFUNCTION("""COMPUTED_VALUE"""),"Ephors, Arthur")</f>
        <v>Ephors, Arthur</v>
      </c>
      <c r="B2415" s="3">
        <f ca="1">IFERROR(__xludf.DUMMYFUNCTION("""COMPUTED_VALUE"""),1)</f>
        <v>1</v>
      </c>
      <c r="C2415" s="7">
        <f ca="1">IFERROR(__xludf.DUMMYFUNCTION("""COMPUTED_VALUE"""),1)</f>
        <v>1</v>
      </c>
      <c r="D2415" s="8">
        <f ca="1">IFERROR(__xludf.DUMMYFUNCTION("""COMPUTED_VALUE"""),1)</f>
        <v>1</v>
      </c>
      <c r="E2415" s="2">
        <f ca="1">IFERROR(__xludf.DUMMYFUNCTION("""COMPUTED_VALUE"""),1)</f>
        <v>1</v>
      </c>
    </row>
    <row r="2416" spans="1:5" ht="13">
      <c r="A2416" s="8" t="str">
        <f ca="1">IFERROR(__xludf.DUMMYFUNCTION("""COMPUTED_VALUE"""),"Ephrikian, Angelo")</f>
        <v>Ephrikian, Angelo</v>
      </c>
      <c r="B2416" s="2">
        <f ca="1">IFERROR(__xludf.DUMMYFUNCTION("""COMPUTED_VALUE"""),1)</f>
        <v>1</v>
      </c>
      <c r="C2416" s="7">
        <f ca="1">IFERROR(__xludf.DUMMYFUNCTION("""COMPUTED_VALUE"""),1)</f>
        <v>1</v>
      </c>
      <c r="D2416" s="8">
        <f ca="1">IFERROR(__xludf.DUMMYFUNCTION("""COMPUTED_VALUE"""),5)</f>
        <v>5</v>
      </c>
      <c r="E2416" s="2">
        <f ca="1">IFERROR(__xludf.DUMMYFUNCTION("""COMPUTED_VALUE"""),2)</f>
        <v>2</v>
      </c>
    </row>
    <row r="2417" spans="1:5" ht="13">
      <c r="A2417" s="2" t="str">
        <f ca="1">IFERROR(__xludf.DUMMYFUNCTION("""COMPUTED_VALUE"""),"Epp, Paul")</f>
        <v>Epp, Paul</v>
      </c>
      <c r="B2417" s="2">
        <f ca="1">IFERROR(__xludf.DUMMYFUNCTION("""COMPUTED_VALUE"""),1)</f>
        <v>1</v>
      </c>
      <c r="C2417" s="7">
        <f ca="1">IFERROR(__xludf.DUMMYFUNCTION("""COMPUTED_VALUE"""),1)</f>
        <v>1</v>
      </c>
      <c r="D2417" s="8">
        <f ca="1">IFERROR(__xludf.DUMMYFUNCTION("""COMPUTED_VALUE"""),1)</f>
        <v>1</v>
      </c>
      <c r="E2417" s="2">
        <f ca="1">IFERROR(__xludf.DUMMYFUNCTION("""COMPUTED_VALUE"""),1)</f>
        <v>1</v>
      </c>
    </row>
    <row r="2418" spans="1:5" ht="13">
      <c r="A2418" s="8" t="str">
        <f ca="1">IFERROR(__xludf.DUMMYFUNCTION("""COMPUTED_VALUE"""),"Epperson, Emery G.")</f>
        <v>Epperson, Emery G.</v>
      </c>
      <c r="B2418" s="3">
        <f ca="1">IFERROR(__xludf.DUMMYFUNCTION("""COMPUTED_VALUE"""),1)</f>
        <v>1</v>
      </c>
      <c r="C2418" s="7">
        <f ca="1">IFERROR(__xludf.DUMMYFUNCTION("""COMPUTED_VALUE"""),1)</f>
        <v>1</v>
      </c>
      <c r="D2418" s="8">
        <f ca="1">IFERROR(__xludf.DUMMYFUNCTION("""COMPUTED_VALUE"""),5)</f>
        <v>5</v>
      </c>
      <c r="E2418" s="2">
        <f ca="1">IFERROR(__xludf.DUMMYFUNCTION("""COMPUTED_VALUE"""),2)</f>
        <v>2</v>
      </c>
    </row>
    <row r="2419" spans="1:5" ht="13">
      <c r="A2419" s="2" t="str">
        <f ca="1">IFERROR(__xludf.DUMMYFUNCTION("""COMPUTED_VALUE"""),"Erb, Donald")</f>
        <v>Erb, Donald</v>
      </c>
      <c r="B2419" s="3">
        <f ca="1">IFERROR(__xludf.DUMMYFUNCTION("""COMPUTED_VALUE"""),1)</f>
        <v>1</v>
      </c>
      <c r="C2419" s="7">
        <f ca="1">IFERROR(__xludf.DUMMYFUNCTION("""COMPUTED_VALUE"""),1)</f>
        <v>1</v>
      </c>
      <c r="D2419" s="8">
        <f ca="1">IFERROR(__xludf.DUMMYFUNCTION("""COMPUTED_VALUE"""),5)</f>
        <v>5</v>
      </c>
      <c r="E2419" s="2">
        <f ca="1">IFERROR(__xludf.DUMMYFUNCTION("""COMPUTED_VALUE"""),2)</f>
        <v>2</v>
      </c>
    </row>
    <row r="2420" spans="1:5" ht="13">
      <c r="A2420" s="8" t="str">
        <f ca="1">IFERROR(__xludf.DUMMYFUNCTION("""COMPUTED_VALUE"""),"Erb, James")</f>
        <v>Erb, James</v>
      </c>
      <c r="B2420" s="3">
        <f ca="1">IFERROR(__xludf.DUMMYFUNCTION("""COMPUTED_VALUE"""),1)</f>
        <v>1</v>
      </c>
      <c r="C2420" s="7">
        <f ca="1">IFERROR(__xludf.DUMMYFUNCTION("""COMPUTED_VALUE"""),1)</f>
        <v>1</v>
      </c>
      <c r="D2420" s="8">
        <f ca="1">IFERROR(__xludf.DUMMYFUNCTION("""COMPUTED_VALUE"""),5)</f>
        <v>5</v>
      </c>
      <c r="E2420" s="2">
        <f ca="1">IFERROR(__xludf.DUMMYFUNCTION("""COMPUTED_VALUE"""),2)</f>
        <v>2</v>
      </c>
    </row>
    <row r="2421" spans="1:5" ht="13">
      <c r="A2421" s="2" t="str">
        <f ca="1">IFERROR(__xludf.DUMMYFUNCTION("""COMPUTED_VALUE"""),"Erbach, Christian")</f>
        <v>Erbach, Christian</v>
      </c>
      <c r="B2421" s="3">
        <f ca="1">IFERROR(__xludf.DUMMYFUNCTION("""COMPUTED_VALUE"""),1)</f>
        <v>1</v>
      </c>
      <c r="C2421" s="7">
        <f ca="1">IFERROR(__xludf.DUMMYFUNCTION("""COMPUTED_VALUE"""),1)</f>
        <v>1</v>
      </c>
      <c r="D2421" s="8">
        <f ca="1">IFERROR(__xludf.DUMMYFUNCTION("""COMPUTED_VALUE"""),1)</f>
        <v>1</v>
      </c>
      <c r="E2421" s="2">
        <f ca="1">IFERROR(__xludf.DUMMYFUNCTION("""COMPUTED_VALUE"""),1)</f>
        <v>1</v>
      </c>
    </row>
    <row r="2422" spans="1:5" ht="13">
      <c r="A2422" s="2" t="str">
        <f ca="1">IFERROR(__xludf.DUMMYFUNCTION("""COMPUTED_VALUE"""),"Erbe, Mickey")</f>
        <v>Erbe, Mickey</v>
      </c>
      <c r="B2422" s="3">
        <f ca="1">IFERROR(__xludf.DUMMYFUNCTION("""COMPUTED_VALUE"""),1)</f>
        <v>1</v>
      </c>
      <c r="C2422" s="7">
        <f ca="1">IFERROR(__xludf.DUMMYFUNCTION("""COMPUTED_VALUE"""),1)</f>
        <v>1</v>
      </c>
      <c r="D2422" s="8">
        <f ca="1">IFERROR(__xludf.DUMMYFUNCTION("""COMPUTED_VALUE"""),5)</f>
        <v>5</v>
      </c>
      <c r="E2422" s="2">
        <f ca="1">IFERROR(__xludf.DUMMYFUNCTION("""COMPUTED_VALUE"""),2)</f>
        <v>2</v>
      </c>
    </row>
    <row r="2423" spans="1:5" ht="13">
      <c r="A2423" s="8" t="str">
        <f ca="1">IFERROR(__xludf.DUMMYFUNCTION("""COMPUTED_VALUE"""),"Erck, Marc")</f>
        <v>Erck, Marc</v>
      </c>
      <c r="B2423" s="3">
        <f ca="1">IFERROR(__xludf.DUMMYFUNCTION("""COMPUTED_VALUE"""),1)</f>
        <v>1</v>
      </c>
      <c r="C2423" s="7">
        <f ca="1">IFERROR(__xludf.DUMMYFUNCTION("""COMPUTED_VALUE"""),1)</f>
        <v>1</v>
      </c>
      <c r="D2423" s="8">
        <f ca="1">IFERROR(__xludf.DUMMYFUNCTION("""COMPUTED_VALUE"""),1)</f>
        <v>1</v>
      </c>
      <c r="E2423" s="2">
        <f ca="1">IFERROR(__xludf.DUMMYFUNCTION("""COMPUTED_VALUE"""),1)</f>
        <v>1</v>
      </c>
    </row>
    <row r="2424" spans="1:5" ht="13">
      <c r="A2424" s="2" t="str">
        <f ca="1">IFERROR(__xludf.DUMMYFUNCTION("""COMPUTED_VALUE"""),"Erickson, Frank")</f>
        <v>Erickson, Frank</v>
      </c>
      <c r="B2424" s="3">
        <f ca="1">IFERROR(__xludf.DUMMYFUNCTION("""COMPUTED_VALUE"""),1)</f>
        <v>1</v>
      </c>
      <c r="C2424" s="7">
        <f ca="1">IFERROR(__xludf.DUMMYFUNCTION("""COMPUTED_VALUE"""),1)</f>
        <v>1</v>
      </c>
      <c r="D2424" s="8">
        <f ca="1">IFERROR(__xludf.DUMMYFUNCTION("""COMPUTED_VALUE"""),5)</f>
        <v>5</v>
      </c>
      <c r="E2424" s="2">
        <f ca="1">IFERROR(__xludf.DUMMYFUNCTION("""COMPUTED_VALUE"""),2)</f>
        <v>2</v>
      </c>
    </row>
    <row r="2425" spans="1:5" ht="13">
      <c r="A2425" s="2" t="str">
        <f ca="1">IFERROR(__xludf.DUMMYFUNCTION("""COMPUTED_VALUE"""),"Erickson, Frank / Fennell, Frederick")</f>
        <v>Erickson, Frank / Fennell, Frederick</v>
      </c>
      <c r="B2425" s="3">
        <f ca="1">IFERROR(__xludf.DUMMYFUNCTION("""COMPUTED_VALUE"""),1)</f>
        <v>1</v>
      </c>
      <c r="C2425" s="7">
        <f ca="1">IFERROR(__xludf.DUMMYFUNCTION("""COMPUTED_VALUE"""),1)</f>
        <v>1</v>
      </c>
      <c r="D2425" s="8">
        <f ca="1">IFERROR(__xludf.DUMMYFUNCTION("""COMPUTED_VALUE"""),5)</f>
        <v>5</v>
      </c>
      <c r="E2425" s="2">
        <f ca="1">IFERROR(__xludf.DUMMYFUNCTION("""COMPUTED_VALUE"""),2)</f>
        <v>2</v>
      </c>
    </row>
    <row r="2426" spans="1:5" ht="13">
      <c r="A2426" s="2" t="str">
        <f ca="1">IFERROR(__xludf.DUMMYFUNCTION("""COMPUTED_VALUE"""),"Erickson, Rolf")</f>
        <v>Erickson, Rolf</v>
      </c>
      <c r="B2426" s="3">
        <f ca="1">IFERROR(__xludf.DUMMYFUNCTION("""COMPUTED_VALUE"""),1)</f>
        <v>1</v>
      </c>
      <c r="C2426" s="7">
        <f ca="1">IFERROR(__xludf.DUMMYFUNCTION("""COMPUTED_VALUE"""),1)</f>
        <v>1</v>
      </c>
      <c r="D2426" s="8">
        <f ca="1">IFERROR(__xludf.DUMMYFUNCTION("""COMPUTED_VALUE"""),1)</f>
        <v>1</v>
      </c>
      <c r="E2426" s="2">
        <f ca="1">IFERROR(__xludf.DUMMYFUNCTION("""COMPUTED_VALUE"""),1)</f>
        <v>1</v>
      </c>
    </row>
    <row r="2427" spans="1:5" ht="13">
      <c r="A2427" s="2" t="str">
        <f ca="1">IFERROR(__xludf.DUMMYFUNCTION("""COMPUTED_VALUE"""),"Ericksson, Gunnar")</f>
        <v>Ericksson, Gunnar</v>
      </c>
      <c r="B2427" s="3">
        <f ca="1">IFERROR(__xludf.DUMMYFUNCTION("""COMPUTED_VALUE"""),1)</f>
        <v>1</v>
      </c>
      <c r="C2427" s="7">
        <f ca="1">IFERROR(__xludf.DUMMYFUNCTION("""COMPUTED_VALUE"""),1)</f>
        <v>1</v>
      </c>
      <c r="D2427" s="8">
        <f ca="1">IFERROR(__xludf.DUMMYFUNCTION("""COMPUTED_VALUE"""),1)</f>
        <v>1</v>
      </c>
      <c r="E2427" s="2">
        <f ca="1">IFERROR(__xludf.DUMMYFUNCTION("""COMPUTED_VALUE"""),1)</f>
        <v>1</v>
      </c>
    </row>
    <row r="2428" spans="1:5" ht="13">
      <c r="A2428" s="2" t="str">
        <f ca="1">IFERROR(__xludf.DUMMYFUNCTION("""COMPUTED_VALUE"""),"Ericson, Rolf")</f>
        <v>Ericson, Rolf</v>
      </c>
      <c r="B2428" s="3">
        <f ca="1">IFERROR(__xludf.DUMMYFUNCTION("""COMPUTED_VALUE"""),1)</f>
        <v>1</v>
      </c>
      <c r="C2428" s="7">
        <f ca="1">IFERROR(__xludf.DUMMYFUNCTION("""COMPUTED_VALUE"""),1)</f>
        <v>1</v>
      </c>
      <c r="D2428" s="8">
        <f ca="1">IFERROR(__xludf.DUMMYFUNCTION("""COMPUTED_VALUE"""),5)</f>
        <v>5</v>
      </c>
      <c r="E2428" s="2">
        <f ca="1">IFERROR(__xludf.DUMMYFUNCTION("""COMPUTED_VALUE"""),2)</f>
        <v>2</v>
      </c>
    </row>
    <row r="2429" spans="1:5" ht="13">
      <c r="A2429" s="2" t="str">
        <f ca="1">IFERROR(__xludf.DUMMYFUNCTION("""COMPUTED_VALUE"""),"Erikkson, Gunner")</f>
        <v>Erikkson, Gunner</v>
      </c>
      <c r="B2429" s="3">
        <f ca="1">IFERROR(__xludf.DUMMYFUNCTION("""COMPUTED_VALUE"""),1)</f>
        <v>1</v>
      </c>
      <c r="C2429" s="7">
        <f ca="1">IFERROR(__xludf.DUMMYFUNCTION("""COMPUTED_VALUE"""),1)</f>
        <v>1</v>
      </c>
      <c r="D2429" s="8">
        <f ca="1">IFERROR(__xludf.DUMMYFUNCTION("""COMPUTED_VALUE"""),1)</f>
        <v>1</v>
      </c>
      <c r="E2429" s="2">
        <f ca="1">IFERROR(__xludf.DUMMYFUNCTION("""COMPUTED_VALUE"""),1)</f>
        <v>1</v>
      </c>
    </row>
    <row r="2430" spans="1:5" ht="13">
      <c r="A2430" s="2" t="str">
        <f ca="1">IFERROR(__xludf.DUMMYFUNCTION("""COMPUTED_VALUE"""),"Erikson, Louis")</f>
        <v>Erikson, Louis</v>
      </c>
      <c r="B2430" s="3">
        <f ca="1">IFERROR(__xludf.DUMMYFUNCTION("""COMPUTED_VALUE"""),1)</f>
        <v>1</v>
      </c>
      <c r="C2430" s="7">
        <f ca="1">IFERROR(__xludf.DUMMYFUNCTION("""COMPUTED_VALUE"""),1)</f>
        <v>1</v>
      </c>
      <c r="D2430" s="8">
        <f ca="1">IFERROR(__xludf.DUMMYFUNCTION("""COMPUTED_VALUE"""),1)</f>
        <v>1</v>
      </c>
      <c r="E2430" s="2">
        <f ca="1">IFERROR(__xludf.DUMMYFUNCTION("""COMPUTED_VALUE"""),1)</f>
        <v>1</v>
      </c>
    </row>
    <row r="2431" spans="1:5" ht="13">
      <c r="A2431" s="8" t="str">
        <f ca="1">IFERROR(__xludf.DUMMYFUNCTION("""COMPUTED_VALUE"""),"Eriksson, Gunnar")</f>
        <v>Eriksson, Gunnar</v>
      </c>
      <c r="B2431" s="3">
        <f ca="1">IFERROR(__xludf.DUMMYFUNCTION("""COMPUTED_VALUE"""),1)</f>
        <v>1</v>
      </c>
      <c r="C2431" s="7">
        <f ca="1">IFERROR(__xludf.DUMMYFUNCTION("""COMPUTED_VALUE"""),1)</f>
        <v>1</v>
      </c>
      <c r="D2431" s="8">
        <f ca="1">IFERROR(__xludf.DUMMYFUNCTION("""COMPUTED_VALUE"""),1)</f>
        <v>1</v>
      </c>
      <c r="E2431" s="2">
        <f ca="1">IFERROR(__xludf.DUMMYFUNCTION("""COMPUTED_VALUE"""),1)</f>
        <v>1</v>
      </c>
    </row>
    <row r="2432" spans="1:5" ht="13">
      <c r="A2432" s="2" t="str">
        <f ca="1">IFERROR(__xludf.DUMMYFUNCTION("""COMPUTED_VALUE"""),"Erlebach, Phillipp Heinrich")</f>
        <v>Erlebach, Phillipp Heinrich</v>
      </c>
      <c r="B2432" s="3">
        <f ca="1">IFERROR(__xludf.DUMMYFUNCTION("""COMPUTED_VALUE"""),1)</f>
        <v>1</v>
      </c>
      <c r="C2432" s="7">
        <f ca="1">IFERROR(__xludf.DUMMYFUNCTION("""COMPUTED_VALUE"""),1)</f>
        <v>1</v>
      </c>
      <c r="D2432" s="8">
        <f ca="1">IFERROR(__xludf.DUMMYFUNCTION("""COMPUTED_VALUE"""),5)</f>
        <v>5</v>
      </c>
      <c r="E2432" s="2">
        <f ca="1">IFERROR(__xludf.DUMMYFUNCTION("""COMPUTED_VALUE"""),2)</f>
        <v>2</v>
      </c>
    </row>
    <row r="2433" spans="1:5" ht="13">
      <c r="A2433" s="2" t="str">
        <f ca="1">IFERROR(__xludf.DUMMYFUNCTION("""COMPUTED_VALUE"""),"Ernst, Heinrich W.")</f>
        <v>Ernst, Heinrich W.</v>
      </c>
      <c r="B2433" s="3">
        <f ca="1">IFERROR(__xludf.DUMMYFUNCTION("""COMPUTED_VALUE"""),1)</f>
        <v>1</v>
      </c>
      <c r="C2433" s="7">
        <f ca="1">IFERROR(__xludf.DUMMYFUNCTION("""COMPUTED_VALUE"""),1)</f>
        <v>1</v>
      </c>
      <c r="D2433" s="8">
        <f ca="1">IFERROR(__xludf.DUMMYFUNCTION("""COMPUTED_VALUE"""),5)</f>
        <v>5</v>
      </c>
      <c r="E2433" s="2">
        <f ca="1">IFERROR(__xludf.DUMMYFUNCTION("""COMPUTED_VALUE"""),2)</f>
        <v>2</v>
      </c>
    </row>
    <row r="2434" spans="1:5" ht="13">
      <c r="A2434" s="2" t="str">
        <f ca="1">IFERROR(__xludf.DUMMYFUNCTION("""COMPUTED_VALUE"""),"Ernst, Ludwig")</f>
        <v>Ernst, Ludwig</v>
      </c>
      <c r="B2434" s="3">
        <f ca="1">IFERROR(__xludf.DUMMYFUNCTION("""COMPUTED_VALUE"""),1)</f>
        <v>1</v>
      </c>
      <c r="C2434" s="7">
        <f ca="1">IFERROR(__xludf.DUMMYFUNCTION("""COMPUTED_VALUE"""),1)</f>
        <v>1</v>
      </c>
      <c r="D2434" s="8">
        <f ca="1">IFERROR(__xludf.DUMMYFUNCTION("""COMPUTED_VALUE"""),5)</f>
        <v>5</v>
      </c>
      <c r="E2434" s="2">
        <f ca="1">IFERROR(__xludf.DUMMYFUNCTION("""COMPUTED_VALUE"""),2)</f>
        <v>2</v>
      </c>
    </row>
    <row r="2435" spans="1:5" ht="13">
      <c r="A2435" s="2" t="str">
        <f ca="1">IFERROR(__xludf.DUMMYFUNCTION("""COMPUTED_VALUE"""),"Erpelding, Matthew")</f>
        <v>Erpelding, Matthew</v>
      </c>
      <c r="B2435" s="3">
        <f ca="1">IFERROR(__xludf.DUMMYFUNCTION("""COMPUTED_VALUE"""),1)</f>
        <v>1</v>
      </c>
      <c r="C2435" s="7">
        <f ca="1">IFERROR(__xludf.DUMMYFUNCTION("""COMPUTED_VALUE"""),1)</f>
        <v>1</v>
      </c>
      <c r="D2435" s="8">
        <f ca="1">IFERROR(__xludf.DUMMYFUNCTION("""COMPUTED_VALUE"""),1)</f>
        <v>1</v>
      </c>
      <c r="E2435" s="2">
        <f ca="1">IFERROR(__xludf.DUMMYFUNCTION("""COMPUTED_VALUE"""),1)</f>
        <v>1</v>
      </c>
    </row>
    <row r="2436" spans="1:5" ht="13">
      <c r="A2436" s="8" t="str">
        <f ca="1">IFERROR(__xludf.DUMMYFUNCTION("""COMPUTED_VALUE"""),"Errante, Belisario")</f>
        <v>Errante, Belisario</v>
      </c>
      <c r="B2436" s="3">
        <f ca="1">IFERROR(__xludf.DUMMYFUNCTION("""COMPUTED_VALUE"""),1)</f>
        <v>1</v>
      </c>
      <c r="C2436" s="7">
        <f ca="1">IFERROR(__xludf.DUMMYFUNCTION("""COMPUTED_VALUE"""),1)</f>
        <v>1</v>
      </c>
      <c r="D2436" s="8">
        <f ca="1">IFERROR(__xludf.DUMMYFUNCTION("""COMPUTED_VALUE"""),5)</f>
        <v>5</v>
      </c>
      <c r="E2436" s="2">
        <f ca="1">IFERROR(__xludf.DUMMYFUNCTION("""COMPUTED_VALUE"""),2)</f>
        <v>2</v>
      </c>
    </row>
    <row r="2437" spans="1:5" ht="13">
      <c r="A2437" s="2" t="str">
        <f ca="1">IFERROR(__xludf.DUMMYFUNCTION("""COMPUTED_VALUE"""),"Errante, Steven")</f>
        <v>Errante, Steven</v>
      </c>
      <c r="B2437" s="3">
        <f ca="1">IFERROR(__xludf.DUMMYFUNCTION("""COMPUTED_VALUE"""),1)</f>
        <v>1</v>
      </c>
      <c r="C2437" s="7">
        <f ca="1">IFERROR(__xludf.DUMMYFUNCTION("""COMPUTED_VALUE"""),1)</f>
        <v>1</v>
      </c>
      <c r="D2437" s="8">
        <f ca="1">IFERROR(__xludf.DUMMYFUNCTION("""COMPUTED_VALUE"""),1)</f>
        <v>1</v>
      </c>
      <c r="E2437" s="2">
        <f ca="1">IFERROR(__xludf.DUMMYFUNCTION("""COMPUTED_VALUE"""),1)</f>
        <v>1</v>
      </c>
    </row>
    <row r="2438" spans="1:5" ht="13">
      <c r="A2438" s="8" t="str">
        <f ca="1">IFERROR(__xludf.DUMMYFUNCTION("""COMPUTED_VALUE"""),"Ervin, Max")</f>
        <v>Ervin, Max</v>
      </c>
      <c r="B2438" s="3">
        <f ca="1">IFERROR(__xludf.DUMMYFUNCTION("""COMPUTED_VALUE"""),1)</f>
        <v>1</v>
      </c>
      <c r="C2438" s="7">
        <f ca="1">IFERROR(__xludf.DUMMYFUNCTION("""COMPUTED_VALUE"""),1)</f>
        <v>1</v>
      </c>
      <c r="D2438" s="8">
        <f ca="1">IFERROR(__xludf.DUMMYFUNCTION("""COMPUTED_VALUE"""),1)</f>
        <v>1</v>
      </c>
      <c r="E2438" s="2">
        <f ca="1">IFERROR(__xludf.DUMMYFUNCTION("""COMPUTED_VALUE"""),1)</f>
        <v>1</v>
      </c>
    </row>
    <row r="2439" spans="1:5" ht="13">
      <c r="A2439" s="2" t="str">
        <f ca="1">IFERROR(__xludf.DUMMYFUNCTION("""COMPUTED_VALUE"""),"Escaich, Thierry")</f>
        <v>Escaich, Thierry</v>
      </c>
      <c r="B2439" s="3">
        <f ca="1">IFERROR(__xludf.DUMMYFUNCTION("""COMPUTED_VALUE"""),1)</f>
        <v>1</v>
      </c>
      <c r="C2439" s="7">
        <f ca="1">IFERROR(__xludf.DUMMYFUNCTION("""COMPUTED_VALUE"""),1)</f>
        <v>1</v>
      </c>
      <c r="D2439" s="8">
        <f ca="1">IFERROR(__xludf.DUMMYFUNCTION("""COMPUTED_VALUE"""),1)</f>
        <v>1</v>
      </c>
      <c r="E2439" s="2">
        <f ca="1">IFERROR(__xludf.DUMMYFUNCTION("""COMPUTED_VALUE"""),1)</f>
        <v>1</v>
      </c>
    </row>
    <row r="2440" spans="1:5" ht="13">
      <c r="A2440" s="2" t="str">
        <f ca="1">IFERROR(__xludf.DUMMYFUNCTION("""COMPUTED_VALUE"""),"Escher, Rudolf")</f>
        <v>Escher, Rudolf</v>
      </c>
      <c r="B2440" s="3">
        <f ca="1">IFERROR(__xludf.DUMMYFUNCTION("""COMPUTED_VALUE"""),1)</f>
        <v>1</v>
      </c>
      <c r="C2440" s="7">
        <f ca="1">IFERROR(__xludf.DUMMYFUNCTION("""COMPUTED_VALUE"""),1)</f>
        <v>1</v>
      </c>
      <c r="D2440" s="8">
        <f ca="1">IFERROR(__xludf.DUMMYFUNCTION("""COMPUTED_VALUE"""),5)</f>
        <v>5</v>
      </c>
      <c r="E2440" s="2">
        <f ca="1">IFERROR(__xludf.DUMMYFUNCTION("""COMPUTED_VALUE"""),2)</f>
        <v>2</v>
      </c>
    </row>
    <row r="2441" spans="1:5" ht="13">
      <c r="A2441" s="2" t="str">
        <f ca="1">IFERROR(__xludf.DUMMYFUNCTION("""COMPUTED_VALUE"""),"Esctacio, John")</f>
        <v>Esctacio, John</v>
      </c>
      <c r="B2441" s="3">
        <f ca="1">IFERROR(__xludf.DUMMYFUNCTION("""COMPUTED_VALUE"""),1)</f>
        <v>1</v>
      </c>
      <c r="C2441" s="7">
        <f ca="1">IFERROR(__xludf.DUMMYFUNCTION("""COMPUTED_VALUE"""),1)</f>
        <v>1</v>
      </c>
      <c r="D2441" s="8">
        <f ca="1">IFERROR(__xludf.DUMMYFUNCTION("""COMPUTED_VALUE"""),1)</f>
        <v>1</v>
      </c>
      <c r="E2441" s="2">
        <f ca="1">IFERROR(__xludf.DUMMYFUNCTION("""COMPUTED_VALUE"""),1)</f>
        <v>1</v>
      </c>
    </row>
    <row r="2442" spans="1:5" ht="13">
      <c r="A2442" s="2" t="str">
        <f ca="1">IFERROR(__xludf.DUMMYFUNCTION("""COMPUTED_VALUE"""),"Esenvalds, Eric")</f>
        <v>Esenvalds, Eric</v>
      </c>
      <c r="B2442" s="2">
        <f ca="1">IFERROR(__xludf.DUMMYFUNCTION("""COMPUTED_VALUE"""),1)</f>
        <v>1</v>
      </c>
      <c r="C2442" s="7">
        <f ca="1">IFERROR(__xludf.DUMMYFUNCTION("""COMPUTED_VALUE"""),1)</f>
        <v>1</v>
      </c>
      <c r="D2442" s="8">
        <f ca="1">IFERROR(__xludf.DUMMYFUNCTION("""COMPUTED_VALUE"""),1)</f>
        <v>1</v>
      </c>
      <c r="E2442" s="2">
        <f ca="1">IFERROR(__xludf.DUMMYFUNCTION("""COMPUTED_VALUE"""),1)</f>
        <v>1</v>
      </c>
    </row>
    <row r="2443" spans="1:5" ht="13">
      <c r="A2443" s="2" t="str">
        <f ca="1">IFERROR(__xludf.DUMMYFUNCTION("""COMPUTED_VALUE"""),"Esenvalds, Eriks")</f>
        <v>Esenvalds, Eriks</v>
      </c>
      <c r="B2443" s="3">
        <f ca="1">IFERROR(__xludf.DUMMYFUNCTION("""COMPUTED_VALUE"""),1)</f>
        <v>1</v>
      </c>
      <c r="C2443" s="7">
        <f ca="1">IFERROR(__xludf.DUMMYFUNCTION("""COMPUTED_VALUE"""),1)</f>
        <v>1</v>
      </c>
      <c r="D2443" s="8">
        <f ca="1">IFERROR(__xludf.DUMMYFUNCTION("""COMPUTED_VALUE"""),1)</f>
        <v>1</v>
      </c>
      <c r="E2443" s="2">
        <f ca="1">IFERROR(__xludf.DUMMYFUNCTION("""COMPUTED_VALUE"""),1)</f>
        <v>1</v>
      </c>
    </row>
    <row r="2444" spans="1:5" ht="13">
      <c r="A2444" s="2" t="str">
        <f ca="1">IFERROR(__xludf.DUMMYFUNCTION("""COMPUTED_VALUE"""),"Ešenvalds, Ēriks")</f>
        <v>Ešenvalds, Ēriks</v>
      </c>
      <c r="B2444" s="2">
        <f ca="1">IFERROR(__xludf.DUMMYFUNCTION("""COMPUTED_VALUE"""),1)</f>
        <v>1</v>
      </c>
      <c r="C2444" s="7">
        <f ca="1">IFERROR(__xludf.DUMMYFUNCTION("""COMPUTED_VALUE"""),1)</f>
        <v>1</v>
      </c>
      <c r="D2444" s="8">
        <f ca="1">IFERROR(__xludf.DUMMYFUNCTION("""COMPUTED_VALUE"""),1)</f>
        <v>1</v>
      </c>
      <c r="E2444" s="2">
        <f ca="1">IFERROR(__xludf.DUMMYFUNCTION("""COMPUTED_VALUE"""),1)</f>
        <v>1</v>
      </c>
    </row>
    <row r="2445" spans="1:5" ht="13">
      <c r="A2445" s="2" t="str">
        <f ca="1">IFERROR(__xludf.DUMMYFUNCTION("""COMPUTED_VALUE"""),"Espuig, José Jesús Martínez")</f>
        <v>Espuig, José Jesús Martínez</v>
      </c>
      <c r="B2445" s="2">
        <f ca="1">IFERROR(__xludf.DUMMYFUNCTION("""COMPUTED_VALUE"""),1)</f>
        <v>1</v>
      </c>
      <c r="C2445" s="7">
        <f ca="1">IFERROR(__xludf.DUMMYFUNCTION("""COMPUTED_VALUE"""),1)</f>
        <v>1</v>
      </c>
      <c r="D2445" s="8">
        <f ca="1">IFERROR(__xludf.DUMMYFUNCTION("""COMPUTED_VALUE"""),1)</f>
        <v>1</v>
      </c>
      <c r="E2445" s="2">
        <f ca="1">IFERROR(__xludf.DUMMYFUNCTION("""COMPUTED_VALUE"""),1)</f>
        <v>1</v>
      </c>
    </row>
    <row r="2446" spans="1:5" ht="13">
      <c r="A2446" s="2" t="str">
        <f ca="1">IFERROR(__xludf.DUMMYFUNCTION("""COMPUTED_VALUE"""),"Esquivel, Juan")</f>
        <v>Esquivel, Juan</v>
      </c>
      <c r="B2446" s="3">
        <f ca="1">IFERROR(__xludf.DUMMYFUNCTION("""COMPUTED_VALUE"""),1)</f>
        <v>1</v>
      </c>
      <c r="C2446" s="7">
        <f ca="1">IFERROR(__xludf.DUMMYFUNCTION("""COMPUTED_VALUE"""),1)</f>
        <v>1</v>
      </c>
      <c r="D2446" s="8">
        <f ca="1">IFERROR(__xludf.DUMMYFUNCTION("""COMPUTED_VALUE"""),5)</f>
        <v>5</v>
      </c>
      <c r="E2446" s="2">
        <f ca="1">IFERROR(__xludf.DUMMYFUNCTION("""COMPUTED_VALUE"""),2)</f>
        <v>2</v>
      </c>
    </row>
    <row r="2447" spans="1:5" ht="13">
      <c r="A2447" s="2" t="str">
        <f ca="1">IFERROR(__xludf.DUMMYFUNCTION("""COMPUTED_VALUE"""),"Estacio, John")</f>
        <v>Estacio, John</v>
      </c>
      <c r="B2447" s="3">
        <f ca="1">IFERROR(__xludf.DUMMYFUNCTION("""COMPUTED_VALUE"""),1)</f>
        <v>1</v>
      </c>
      <c r="C2447" s="7">
        <f ca="1">IFERROR(__xludf.DUMMYFUNCTION("""COMPUTED_VALUE"""),1)</f>
        <v>1</v>
      </c>
      <c r="D2447" s="8">
        <f ca="1">IFERROR(__xludf.DUMMYFUNCTION("""COMPUTED_VALUE"""),1)</f>
        <v>1</v>
      </c>
      <c r="E2447" s="2">
        <f ca="1">IFERROR(__xludf.DUMMYFUNCTION("""COMPUTED_VALUE"""),1)</f>
        <v>1</v>
      </c>
    </row>
    <row r="2448" spans="1:5" ht="13">
      <c r="A2448" s="2" t="str">
        <f ca="1">IFERROR(__xludf.DUMMYFUNCTION("""COMPUTED_VALUE"""),"Este, Michael")</f>
        <v>Este, Michael</v>
      </c>
      <c r="B2448" s="3">
        <f ca="1">IFERROR(__xludf.DUMMYFUNCTION("""COMPUTED_VALUE"""),1)</f>
        <v>1</v>
      </c>
      <c r="C2448" s="7">
        <f ca="1">IFERROR(__xludf.DUMMYFUNCTION("""COMPUTED_VALUE"""),1)</f>
        <v>1</v>
      </c>
      <c r="D2448" s="8">
        <f ca="1">IFERROR(__xludf.DUMMYFUNCTION("""COMPUTED_VALUE"""),5)</f>
        <v>5</v>
      </c>
      <c r="E2448" s="2">
        <f ca="1">IFERROR(__xludf.DUMMYFUNCTION("""COMPUTED_VALUE"""),2)</f>
        <v>2</v>
      </c>
    </row>
    <row r="2449" spans="1:5" ht="13">
      <c r="A2449" s="8" t="str">
        <f ca="1">IFERROR(__xludf.DUMMYFUNCTION("""COMPUTED_VALUE"""),"Estes, Jerry")</f>
        <v>Estes, Jerry</v>
      </c>
      <c r="B2449" s="3">
        <f ca="1">IFERROR(__xludf.DUMMYFUNCTION("""COMPUTED_VALUE"""),1)</f>
        <v>1</v>
      </c>
      <c r="C2449" s="7">
        <f ca="1">IFERROR(__xludf.DUMMYFUNCTION("""COMPUTED_VALUE"""),1)</f>
        <v>1</v>
      </c>
      <c r="D2449" s="8">
        <f ca="1">IFERROR(__xludf.DUMMYFUNCTION("""COMPUTED_VALUE"""),1)</f>
        <v>1</v>
      </c>
      <c r="E2449" s="2">
        <f ca="1">IFERROR(__xludf.DUMMYFUNCTION("""COMPUTED_VALUE"""),1)</f>
        <v>1</v>
      </c>
    </row>
    <row r="2450" spans="1:5" ht="13">
      <c r="A2450" s="8" t="str">
        <f ca="1">IFERROR(__xludf.DUMMYFUNCTION("""COMPUTED_VALUE"""),"Estes, Robert")</f>
        <v>Estes, Robert</v>
      </c>
      <c r="B2450" s="3">
        <f ca="1">IFERROR(__xludf.DUMMYFUNCTION("""COMPUTED_VALUE"""),1)</f>
        <v>1</v>
      </c>
      <c r="C2450" s="7">
        <f ca="1">IFERROR(__xludf.DUMMYFUNCTION("""COMPUTED_VALUE"""),1)</f>
        <v>1</v>
      </c>
      <c r="D2450" s="8">
        <f ca="1">IFERROR(__xludf.DUMMYFUNCTION("""COMPUTED_VALUE"""),1)</f>
        <v>1</v>
      </c>
      <c r="E2450" s="2">
        <f ca="1">IFERROR(__xludf.DUMMYFUNCTION("""COMPUTED_VALUE"""),1)</f>
        <v>1</v>
      </c>
    </row>
    <row r="2451" spans="1:5" ht="13">
      <c r="A2451" s="2" t="str">
        <f ca="1">IFERROR(__xludf.DUMMYFUNCTION("""COMPUTED_VALUE"""),"Etling, Forest")</f>
        <v>Etling, Forest</v>
      </c>
      <c r="B2451" s="3">
        <f ca="1">IFERROR(__xludf.DUMMYFUNCTION("""COMPUTED_VALUE"""),1)</f>
        <v>1</v>
      </c>
      <c r="C2451" s="7">
        <f ca="1">IFERROR(__xludf.DUMMYFUNCTION("""COMPUTED_VALUE"""),1)</f>
        <v>1</v>
      </c>
      <c r="D2451" s="8">
        <f ca="1">IFERROR(__xludf.DUMMYFUNCTION("""COMPUTED_VALUE"""),1)</f>
        <v>1</v>
      </c>
      <c r="E2451" s="2">
        <f ca="1">IFERROR(__xludf.DUMMYFUNCTION("""COMPUTED_VALUE"""),1)</f>
        <v>1</v>
      </c>
    </row>
    <row r="2452" spans="1:5" ht="13">
      <c r="A2452" s="2" t="str">
        <f ca="1">IFERROR(__xludf.DUMMYFUNCTION("""COMPUTED_VALUE"""),"Eubanks, Michael")</f>
        <v>Eubanks, Michael</v>
      </c>
      <c r="B2452" s="3">
        <f ca="1">IFERROR(__xludf.DUMMYFUNCTION("""COMPUTED_VALUE"""),1)</f>
        <v>1</v>
      </c>
      <c r="C2452" s="7">
        <f ca="1">IFERROR(__xludf.DUMMYFUNCTION("""COMPUTED_VALUE"""),1)</f>
        <v>1</v>
      </c>
      <c r="D2452" s="8">
        <f ca="1">IFERROR(__xludf.DUMMYFUNCTION("""COMPUTED_VALUE"""),1)</f>
        <v>1</v>
      </c>
      <c r="E2452" s="2">
        <f ca="1">IFERROR(__xludf.DUMMYFUNCTION("""COMPUTED_VALUE"""),1)</f>
        <v>1</v>
      </c>
    </row>
    <row r="2453" spans="1:5" ht="13">
      <c r="A2453" s="2" t="str">
        <f ca="1">IFERROR(__xludf.DUMMYFUNCTION("""COMPUTED_VALUE"""),"Eudy, Daniel")</f>
        <v>Eudy, Daniel</v>
      </c>
      <c r="B2453" s="3">
        <f ca="1">IFERROR(__xludf.DUMMYFUNCTION("""COMPUTED_VALUE"""),1)</f>
        <v>1</v>
      </c>
      <c r="C2453" s="7">
        <f ca="1">IFERROR(__xludf.DUMMYFUNCTION("""COMPUTED_VALUE"""),1)</f>
        <v>1</v>
      </c>
      <c r="D2453" s="8">
        <f ca="1">IFERROR(__xludf.DUMMYFUNCTION("""COMPUTED_VALUE"""),1)</f>
        <v>1</v>
      </c>
      <c r="E2453" s="2">
        <f ca="1">IFERROR(__xludf.DUMMYFUNCTION("""COMPUTED_VALUE"""),1)</f>
        <v>1</v>
      </c>
    </row>
    <row r="2454" spans="1:5" ht="13">
      <c r="A2454" s="2" t="str">
        <f ca="1">IFERROR(__xludf.DUMMYFUNCTION("""COMPUTED_VALUE"""),"Evans, David")</f>
        <v>Evans, David</v>
      </c>
      <c r="B2454" s="3">
        <f ca="1">IFERROR(__xludf.DUMMYFUNCTION("""COMPUTED_VALUE"""),1)</f>
        <v>1</v>
      </c>
      <c r="C2454" s="7">
        <f ca="1">IFERROR(__xludf.DUMMYFUNCTION("""COMPUTED_VALUE"""),1)</f>
        <v>1</v>
      </c>
      <c r="D2454" s="8">
        <f ca="1">IFERROR(__xludf.DUMMYFUNCTION("""COMPUTED_VALUE"""),5)</f>
        <v>5</v>
      </c>
      <c r="E2454" s="2">
        <f ca="1">IFERROR(__xludf.DUMMYFUNCTION("""COMPUTED_VALUE"""),2)</f>
        <v>2</v>
      </c>
    </row>
    <row r="2455" spans="1:5" ht="13">
      <c r="A2455" s="2" t="str">
        <f ca="1">IFERROR(__xludf.DUMMYFUNCTION("""COMPUTED_VALUE"""),"Evans, George")</f>
        <v>Evans, George</v>
      </c>
      <c r="B2455" s="2">
        <f ca="1">IFERROR(__xludf.DUMMYFUNCTION("""COMPUTED_VALUE"""),1)</f>
        <v>1</v>
      </c>
      <c r="C2455" s="7">
        <f ca="1">IFERROR(__xludf.DUMMYFUNCTION("""COMPUTED_VALUE"""),1)</f>
        <v>1</v>
      </c>
      <c r="D2455" s="8">
        <f ca="1">IFERROR(__xludf.DUMMYFUNCTION("""COMPUTED_VALUE"""),5)</f>
        <v>5</v>
      </c>
      <c r="E2455" s="2">
        <f ca="1">IFERROR(__xludf.DUMMYFUNCTION("""COMPUTED_VALUE"""),2)</f>
        <v>2</v>
      </c>
    </row>
    <row r="2456" spans="1:5" ht="13">
      <c r="A2456" s="2" t="str">
        <f ca="1">IFERROR(__xludf.DUMMYFUNCTION("""COMPUTED_VALUE"""),"Evans, George / Shields, Ren")</f>
        <v>Evans, George / Shields, Ren</v>
      </c>
      <c r="B2456" s="2">
        <f ca="1">IFERROR(__xludf.DUMMYFUNCTION("""COMPUTED_VALUE"""),1)</f>
        <v>1</v>
      </c>
      <c r="C2456" s="7">
        <f ca="1">IFERROR(__xludf.DUMMYFUNCTION("""COMPUTED_VALUE"""),1)</f>
        <v>1</v>
      </c>
      <c r="D2456" s="8">
        <f ca="1">IFERROR(__xludf.DUMMYFUNCTION("""COMPUTED_VALUE"""),5)</f>
        <v>5</v>
      </c>
      <c r="E2456" s="2">
        <f ca="1">IFERROR(__xludf.DUMMYFUNCTION("""COMPUTED_VALUE"""),2)</f>
        <v>2</v>
      </c>
    </row>
    <row r="2457" spans="1:5" ht="13">
      <c r="A2457" s="2" t="str">
        <f ca="1">IFERROR(__xludf.DUMMYFUNCTION("""COMPUTED_VALUE"""),"Evans, Matt")</f>
        <v>Evans, Matt</v>
      </c>
      <c r="B2457" s="3">
        <f ca="1">IFERROR(__xludf.DUMMYFUNCTION("""COMPUTED_VALUE"""),1)</f>
        <v>1</v>
      </c>
      <c r="C2457" s="7">
        <f ca="1">IFERROR(__xludf.DUMMYFUNCTION("""COMPUTED_VALUE"""),1)</f>
        <v>1</v>
      </c>
      <c r="D2457" s="8">
        <f ca="1">IFERROR(__xludf.DUMMYFUNCTION("""COMPUTED_VALUE"""),1)</f>
        <v>1</v>
      </c>
      <c r="E2457" s="2">
        <f ca="1">IFERROR(__xludf.DUMMYFUNCTION("""COMPUTED_VALUE"""),1)</f>
        <v>1</v>
      </c>
    </row>
    <row r="2458" spans="1:5" ht="13">
      <c r="A2458" s="2" t="str">
        <f ca="1">IFERROR(__xludf.DUMMYFUNCTION("""COMPUTED_VALUE"""),"Evans, Philip")</f>
        <v>Evans, Philip</v>
      </c>
      <c r="B2458" s="3">
        <f ca="1">IFERROR(__xludf.DUMMYFUNCTION("""COMPUTED_VALUE"""),1)</f>
        <v>1</v>
      </c>
      <c r="C2458" s="7">
        <f ca="1">IFERROR(__xludf.DUMMYFUNCTION("""COMPUTED_VALUE"""),1)</f>
        <v>1</v>
      </c>
      <c r="D2458" s="8">
        <f ca="1">IFERROR(__xludf.DUMMYFUNCTION("""COMPUTED_VALUE"""),5)</f>
        <v>5</v>
      </c>
      <c r="E2458" s="2">
        <f ca="1">IFERROR(__xludf.DUMMYFUNCTION("""COMPUTED_VALUE"""),2)</f>
        <v>2</v>
      </c>
    </row>
    <row r="2459" spans="1:5" ht="13">
      <c r="A2459" s="2" t="str">
        <f ca="1">IFERROR(__xludf.DUMMYFUNCTION("""COMPUTED_VALUE"""),"Evans, Ray / Livingston, Jay")</f>
        <v>Evans, Ray / Livingston, Jay</v>
      </c>
      <c r="B2459" s="2">
        <f ca="1">IFERROR(__xludf.DUMMYFUNCTION("""COMPUTED_VALUE"""),1)</f>
        <v>1</v>
      </c>
      <c r="C2459" s="7">
        <f ca="1">IFERROR(__xludf.DUMMYFUNCTION("""COMPUTED_VALUE"""),1)</f>
        <v>1</v>
      </c>
      <c r="D2459" s="8">
        <f ca="1">IFERROR(__xludf.DUMMYFUNCTION("""COMPUTED_VALUE"""),5)</f>
        <v>5</v>
      </c>
      <c r="E2459" s="2">
        <f ca="1">IFERROR(__xludf.DUMMYFUNCTION("""COMPUTED_VALUE"""),2)</f>
        <v>2</v>
      </c>
    </row>
    <row r="2460" spans="1:5" ht="13">
      <c r="A2460" s="2" t="str">
        <f ca="1">IFERROR(__xludf.DUMMYFUNCTION("""COMPUTED_VALUE"""),"Evans, Richard and Norman Gimbel")</f>
        <v>Evans, Richard and Norman Gimbel</v>
      </c>
      <c r="B2460" s="3">
        <f ca="1">IFERROR(__xludf.DUMMYFUNCTION("""COMPUTED_VALUE"""),1)</f>
        <v>1</v>
      </c>
      <c r="C2460" s="7">
        <f ca="1">IFERROR(__xludf.DUMMYFUNCTION("""COMPUTED_VALUE"""),1)</f>
        <v>1</v>
      </c>
      <c r="D2460" s="8">
        <f ca="1">IFERROR(__xludf.DUMMYFUNCTION("""COMPUTED_VALUE"""),1)</f>
        <v>1</v>
      </c>
      <c r="E2460" s="2">
        <f ca="1">IFERROR(__xludf.DUMMYFUNCTION("""COMPUTED_VALUE"""),1)</f>
        <v>1</v>
      </c>
    </row>
    <row r="2461" spans="1:5" ht="13">
      <c r="A2461" s="2" t="str">
        <f ca="1">IFERROR(__xludf.DUMMYFUNCTION("""COMPUTED_VALUE"""),"Evans, Tolchard")</f>
        <v>Evans, Tolchard</v>
      </c>
      <c r="B2461" s="2">
        <f ca="1">IFERROR(__xludf.DUMMYFUNCTION("""COMPUTED_VALUE"""),1)</f>
        <v>1</v>
      </c>
      <c r="C2461" s="7">
        <f ca="1">IFERROR(__xludf.DUMMYFUNCTION("""COMPUTED_VALUE"""),1)</f>
        <v>1</v>
      </c>
      <c r="D2461" s="8">
        <f ca="1">IFERROR(__xludf.DUMMYFUNCTION("""COMPUTED_VALUE"""),5)</f>
        <v>5</v>
      </c>
      <c r="E2461" s="2">
        <f ca="1">IFERROR(__xludf.DUMMYFUNCTION("""COMPUTED_VALUE"""),2)</f>
        <v>2</v>
      </c>
    </row>
    <row r="2462" spans="1:5" ht="13">
      <c r="A2462" s="2" t="str">
        <f ca="1">IFERROR(__xludf.DUMMYFUNCTION("""COMPUTED_VALUE"""),"Evarts, Jacob")</f>
        <v>Evarts, Jacob</v>
      </c>
      <c r="B2462" s="3">
        <f ca="1">IFERROR(__xludf.DUMMYFUNCTION("""COMPUTED_VALUE"""),1)</f>
        <v>1</v>
      </c>
      <c r="C2462" s="7">
        <f ca="1">IFERROR(__xludf.DUMMYFUNCTION("""COMPUTED_VALUE"""),1)</f>
        <v>1</v>
      </c>
      <c r="D2462" s="8">
        <f ca="1">IFERROR(__xludf.DUMMYFUNCTION("""COMPUTED_VALUE"""),1)</f>
        <v>1</v>
      </c>
      <c r="E2462" s="2">
        <f ca="1">IFERROR(__xludf.DUMMYFUNCTION("""COMPUTED_VALUE"""),1)</f>
        <v>1</v>
      </c>
    </row>
    <row r="2463" spans="1:5" ht="13">
      <c r="A2463" s="2" t="str">
        <f ca="1">IFERROR(__xludf.DUMMYFUNCTION("""COMPUTED_VALUE"""),"Eveland, Dennis")</f>
        <v>Eveland, Dennis</v>
      </c>
      <c r="B2463" s="3">
        <f ca="1">IFERROR(__xludf.DUMMYFUNCTION("""COMPUTED_VALUE"""),1)</f>
        <v>1</v>
      </c>
      <c r="C2463" s="7">
        <f ca="1">IFERROR(__xludf.DUMMYFUNCTION("""COMPUTED_VALUE"""),1)</f>
        <v>1</v>
      </c>
      <c r="D2463" s="8">
        <f ca="1">IFERROR(__xludf.DUMMYFUNCTION("""COMPUTED_VALUE"""),1)</f>
        <v>1</v>
      </c>
      <c r="E2463" s="2">
        <f ca="1">IFERROR(__xludf.DUMMYFUNCTION("""COMPUTED_VALUE"""),1)</f>
        <v>1</v>
      </c>
    </row>
    <row r="2464" spans="1:5" ht="13">
      <c r="A2464" s="2" t="str">
        <f ca="1">IFERROR(__xludf.DUMMYFUNCTION("""COMPUTED_VALUE"""),"Eveland, Dennis O.")</f>
        <v>Eveland, Dennis O.</v>
      </c>
      <c r="B2464" s="3">
        <f ca="1">IFERROR(__xludf.DUMMYFUNCTION("""COMPUTED_VALUE"""),1)</f>
        <v>1</v>
      </c>
      <c r="C2464" s="7">
        <f ca="1">IFERROR(__xludf.DUMMYFUNCTION("""COMPUTED_VALUE"""),1)</f>
        <v>1</v>
      </c>
      <c r="D2464" s="8">
        <f ca="1">IFERROR(__xludf.DUMMYFUNCTION("""COMPUTED_VALUE"""),1)</f>
        <v>1</v>
      </c>
      <c r="E2464" s="2">
        <f ca="1">IFERROR(__xludf.DUMMYFUNCTION("""COMPUTED_VALUE"""),1)</f>
        <v>1</v>
      </c>
    </row>
    <row r="2465" spans="1:5" ht="13">
      <c r="A2465" s="2" t="str">
        <f ca="1">IFERROR(__xludf.DUMMYFUNCTION("""COMPUTED_VALUE"""),"Everson, Terry R.")</f>
        <v>Everson, Terry R.</v>
      </c>
      <c r="B2465" s="3">
        <f ca="1">IFERROR(__xludf.DUMMYFUNCTION("""COMPUTED_VALUE"""),1)</f>
        <v>1</v>
      </c>
      <c r="C2465" s="7">
        <f ca="1">IFERROR(__xludf.DUMMYFUNCTION("""COMPUTED_VALUE"""),1)</f>
        <v>1</v>
      </c>
      <c r="D2465" s="8">
        <f ca="1">IFERROR(__xludf.DUMMYFUNCTION("""COMPUTED_VALUE"""),1)</f>
        <v>1</v>
      </c>
      <c r="E2465" s="2">
        <f ca="1">IFERROR(__xludf.DUMMYFUNCTION("""COMPUTED_VALUE"""),1)</f>
        <v>1</v>
      </c>
    </row>
    <row r="2466" spans="1:5" ht="13">
      <c r="A2466" s="2" t="str">
        <f ca="1">IFERROR(__xludf.DUMMYFUNCTION("""COMPUTED_VALUE"""),"Evju, Helge")</f>
        <v>Evju, Helge</v>
      </c>
      <c r="B2466" s="3">
        <f ca="1">IFERROR(__xludf.DUMMYFUNCTION("""COMPUTED_VALUE"""),1)</f>
        <v>1</v>
      </c>
      <c r="C2466" s="7">
        <f ca="1">IFERROR(__xludf.DUMMYFUNCTION("""COMPUTED_VALUE"""),1)</f>
        <v>1</v>
      </c>
      <c r="D2466" s="8">
        <f ca="1">IFERROR(__xludf.DUMMYFUNCTION("""COMPUTED_VALUE"""),1)</f>
        <v>1</v>
      </c>
      <c r="E2466" s="2">
        <f ca="1">IFERROR(__xludf.DUMMYFUNCTION("""COMPUTED_VALUE"""),1)</f>
        <v>1</v>
      </c>
    </row>
    <row r="2467" spans="1:5" ht="13">
      <c r="A2467" s="2" t="str">
        <f ca="1">IFERROR(__xludf.DUMMYFUNCTION("""COMPUTED_VALUE"""),"Ewald, Victor")</f>
        <v>Ewald, Victor</v>
      </c>
      <c r="B2467" s="3">
        <f ca="1">IFERROR(__xludf.DUMMYFUNCTION("""COMPUTED_VALUE"""),1)</f>
        <v>1</v>
      </c>
      <c r="C2467" s="7">
        <f ca="1">IFERROR(__xludf.DUMMYFUNCTION("""COMPUTED_VALUE"""),1)</f>
        <v>1</v>
      </c>
      <c r="D2467" s="8">
        <f ca="1">IFERROR(__xludf.DUMMYFUNCTION("""COMPUTED_VALUE"""),5)</f>
        <v>5</v>
      </c>
      <c r="E2467" s="2">
        <f ca="1">IFERROR(__xludf.DUMMYFUNCTION("""COMPUTED_VALUE"""),2)</f>
        <v>2</v>
      </c>
    </row>
    <row r="2468" spans="1:5" ht="13">
      <c r="A2468" s="2" t="str">
        <f ca="1">IFERROR(__xludf.DUMMYFUNCTION("""COMPUTED_VALUE"""),"Ewazen, Eric")</f>
        <v>Ewazen, Eric</v>
      </c>
      <c r="B2468" s="3">
        <f ca="1">IFERROR(__xludf.DUMMYFUNCTION("""COMPUTED_VALUE"""),1)</f>
        <v>1</v>
      </c>
      <c r="C2468" s="7">
        <f ca="1">IFERROR(__xludf.DUMMYFUNCTION("""COMPUTED_VALUE"""),1)</f>
        <v>1</v>
      </c>
      <c r="D2468" s="8">
        <f ca="1">IFERROR(__xludf.DUMMYFUNCTION("""COMPUTED_VALUE"""),1)</f>
        <v>1</v>
      </c>
      <c r="E2468" s="2">
        <f ca="1">IFERROR(__xludf.DUMMYFUNCTION("""COMPUTED_VALUE"""),1)</f>
        <v>1</v>
      </c>
    </row>
    <row r="2469" spans="1:5" ht="13">
      <c r="A2469" s="2" t="str">
        <f ca="1">IFERROR(__xludf.DUMMYFUNCTION("""COMPUTED_VALUE"""),"Ewer, Richard")</f>
        <v>Ewer, Richard</v>
      </c>
      <c r="B2469" s="3">
        <f ca="1">IFERROR(__xludf.DUMMYFUNCTION("""COMPUTED_VALUE"""),1)</f>
        <v>1</v>
      </c>
      <c r="C2469" s="7">
        <f ca="1">IFERROR(__xludf.DUMMYFUNCTION("""COMPUTED_VALUE"""),1)</f>
        <v>1</v>
      </c>
      <c r="D2469" s="8">
        <f ca="1">IFERROR(__xludf.DUMMYFUNCTION("""COMPUTED_VALUE"""),1)</f>
        <v>1</v>
      </c>
      <c r="E2469" s="2">
        <f ca="1">IFERROR(__xludf.DUMMYFUNCTION("""COMPUTED_VALUE"""),1)</f>
        <v>1</v>
      </c>
    </row>
    <row r="2470" spans="1:5" ht="13">
      <c r="A2470" s="8" t="str">
        <f ca="1">IFERROR(__xludf.DUMMYFUNCTION("""COMPUTED_VALUE"""),"Ewing, Lee")</f>
        <v>Ewing, Lee</v>
      </c>
      <c r="B2470" s="3">
        <f ca="1">IFERROR(__xludf.DUMMYFUNCTION("""COMPUTED_VALUE"""),1)</f>
        <v>1</v>
      </c>
      <c r="C2470" s="7">
        <f ca="1">IFERROR(__xludf.DUMMYFUNCTION("""COMPUTED_VALUE"""),1)</f>
        <v>1</v>
      </c>
      <c r="D2470" s="8">
        <f ca="1">IFERROR(__xludf.DUMMYFUNCTION("""COMPUTED_VALUE"""),5)</f>
        <v>5</v>
      </c>
      <c r="E2470" s="2">
        <f ca="1">IFERROR(__xludf.DUMMYFUNCTION("""COMPUTED_VALUE"""),2)</f>
        <v>2</v>
      </c>
    </row>
    <row r="2471" spans="1:5" ht="13">
      <c r="A2471" s="8" t="str">
        <f ca="1">IFERROR(__xludf.DUMMYFUNCTION("""COMPUTED_VALUE"""),"Eybler, Joseph")</f>
        <v>Eybler, Joseph</v>
      </c>
      <c r="B2471" s="3">
        <f ca="1">IFERROR(__xludf.DUMMYFUNCTION("""COMPUTED_VALUE"""),1)</f>
        <v>1</v>
      </c>
      <c r="C2471" s="7">
        <f ca="1">IFERROR(__xludf.DUMMYFUNCTION("""COMPUTED_VALUE"""),1)</f>
        <v>1</v>
      </c>
      <c r="D2471" s="8">
        <f ca="1">IFERROR(__xludf.DUMMYFUNCTION("""COMPUTED_VALUE"""),5)</f>
        <v>5</v>
      </c>
      <c r="E2471" s="2">
        <f ca="1">IFERROR(__xludf.DUMMYFUNCTION("""COMPUTED_VALUE"""),2)</f>
        <v>2</v>
      </c>
    </row>
    <row r="2472" spans="1:5" ht="13">
      <c r="A2472" s="2" t="str">
        <f ca="1">IFERROR(__xludf.DUMMYFUNCTION("""COMPUTED_VALUE"""),"Eyechenne, Marc")</f>
        <v>Eyechenne, Marc</v>
      </c>
      <c r="B2472" s="3">
        <f ca="1">IFERROR(__xludf.DUMMYFUNCTION("""COMPUTED_VALUE"""),1)</f>
        <v>1</v>
      </c>
      <c r="C2472" s="7">
        <f ca="1">IFERROR(__xludf.DUMMYFUNCTION("""COMPUTED_VALUE"""),1)</f>
        <v>1</v>
      </c>
      <c r="D2472" s="8">
        <f ca="1">IFERROR(__xludf.DUMMYFUNCTION("""COMPUTED_VALUE"""),1)</f>
        <v>1</v>
      </c>
      <c r="E2472" s="2">
        <f ca="1">IFERROR(__xludf.DUMMYFUNCTION("""COMPUTED_VALUE"""),1)</f>
        <v>1</v>
      </c>
    </row>
    <row r="2473" spans="1:5" ht="13">
      <c r="A2473" s="2" t="str">
        <f ca="1">IFERROR(__xludf.DUMMYFUNCTION("""COMPUTED_VALUE"""),"Eymann, Dale")</f>
        <v>Eymann, Dale</v>
      </c>
      <c r="B2473" s="3">
        <f ca="1">IFERROR(__xludf.DUMMYFUNCTION("""COMPUTED_VALUE"""),1)</f>
        <v>1</v>
      </c>
      <c r="C2473" s="7">
        <f ca="1">IFERROR(__xludf.DUMMYFUNCTION("""COMPUTED_VALUE"""),1)</f>
        <v>1</v>
      </c>
      <c r="D2473" s="8">
        <f ca="1">IFERROR(__xludf.DUMMYFUNCTION("""COMPUTED_VALUE"""),5)</f>
        <v>5</v>
      </c>
      <c r="E2473" s="3">
        <f ca="1">IFERROR(__xludf.DUMMYFUNCTION("""COMPUTED_VALUE"""),2)</f>
        <v>2</v>
      </c>
    </row>
    <row r="2474" spans="1:5" ht="13">
      <c r="A2474" s="2" t="str">
        <f ca="1">IFERROR(__xludf.DUMMYFUNCTION("""COMPUTED_VALUE"""),"Fabrizio, Corky")</f>
        <v>Fabrizio, Corky</v>
      </c>
      <c r="B2474" s="3">
        <f ca="1">IFERROR(__xludf.DUMMYFUNCTION("""COMPUTED_VALUE"""),1)</f>
        <v>1</v>
      </c>
      <c r="C2474" s="7">
        <f ca="1">IFERROR(__xludf.DUMMYFUNCTION("""COMPUTED_VALUE"""),1)</f>
        <v>1</v>
      </c>
      <c r="D2474" s="8">
        <f ca="1">IFERROR(__xludf.DUMMYFUNCTION("""COMPUTED_VALUE"""),1)</f>
        <v>1</v>
      </c>
      <c r="E2474" s="2">
        <f ca="1">IFERROR(__xludf.DUMMYFUNCTION("""COMPUTED_VALUE"""),1)</f>
        <v>1</v>
      </c>
    </row>
    <row r="2475" spans="1:5" ht="13">
      <c r="A2475" s="8" t="str">
        <f ca="1">IFERROR(__xludf.DUMMYFUNCTION("""COMPUTED_VALUE"""),"Faerber, Matthew")</f>
        <v>Faerber, Matthew</v>
      </c>
      <c r="B2475" s="3">
        <f ca="1">IFERROR(__xludf.DUMMYFUNCTION("""COMPUTED_VALUE"""),1)</f>
        <v>1</v>
      </c>
      <c r="C2475" s="7">
        <f ca="1">IFERROR(__xludf.DUMMYFUNCTION("""COMPUTED_VALUE"""),1)</f>
        <v>1</v>
      </c>
      <c r="D2475" s="8">
        <f ca="1">IFERROR(__xludf.DUMMYFUNCTION("""COMPUTED_VALUE"""),1)</f>
        <v>1</v>
      </c>
      <c r="E2475" s="2">
        <f ca="1">IFERROR(__xludf.DUMMYFUNCTION("""COMPUTED_VALUE"""),1)</f>
        <v>1</v>
      </c>
    </row>
    <row r="2476" spans="1:5" ht="13">
      <c r="A2476" s="2" t="str">
        <f ca="1">IFERROR(__xludf.DUMMYFUNCTION("""COMPUTED_VALUE"""),"Fagan, Donald / Becker, Walter")</f>
        <v>Fagan, Donald / Becker, Walter</v>
      </c>
      <c r="B2476" s="3">
        <f ca="1">IFERROR(__xludf.DUMMYFUNCTION("""COMPUTED_VALUE"""),1)</f>
        <v>1</v>
      </c>
      <c r="C2476" s="7">
        <f ca="1">IFERROR(__xludf.DUMMYFUNCTION("""COMPUTED_VALUE"""),1)</f>
        <v>1</v>
      </c>
      <c r="D2476" s="8">
        <f ca="1">IFERROR(__xludf.DUMMYFUNCTION("""COMPUTED_VALUE"""),1)</f>
        <v>1</v>
      </c>
      <c r="E2476" s="2">
        <f ca="1">IFERROR(__xludf.DUMMYFUNCTION("""COMPUTED_VALUE"""),1)</f>
        <v>1</v>
      </c>
    </row>
    <row r="2477" spans="1:5" ht="13">
      <c r="A2477" s="2" t="str">
        <f ca="1">IFERROR(__xludf.DUMMYFUNCTION("""COMPUTED_VALUE"""),"Fagan, Gary")</f>
        <v>Fagan, Gary</v>
      </c>
      <c r="B2477" s="3">
        <f ca="1">IFERROR(__xludf.DUMMYFUNCTION("""COMPUTED_VALUE"""),1)</f>
        <v>1</v>
      </c>
      <c r="C2477" s="7">
        <f ca="1">IFERROR(__xludf.DUMMYFUNCTION("""COMPUTED_VALUE"""),1)</f>
        <v>1</v>
      </c>
      <c r="D2477" s="8">
        <f ca="1">IFERROR(__xludf.DUMMYFUNCTION("""COMPUTED_VALUE"""),1)</f>
        <v>1</v>
      </c>
      <c r="E2477" s="2">
        <f ca="1">IFERROR(__xludf.DUMMYFUNCTION("""COMPUTED_VALUE"""),1)</f>
        <v>1</v>
      </c>
    </row>
    <row r="2478" spans="1:5" ht="13">
      <c r="A2478" s="2" t="str">
        <f ca="1">IFERROR(__xludf.DUMMYFUNCTION("""COMPUTED_VALUE"""),"Fagan, Richard / Royer, Robb")</f>
        <v>Fagan, Richard / Royer, Robb</v>
      </c>
      <c r="B2478" s="3">
        <f ca="1">IFERROR(__xludf.DUMMYFUNCTION("""COMPUTED_VALUE"""),1)</f>
        <v>1</v>
      </c>
      <c r="C2478" s="7">
        <f ca="1">IFERROR(__xludf.DUMMYFUNCTION("""COMPUTED_VALUE"""),1)</f>
        <v>1</v>
      </c>
      <c r="D2478" s="8">
        <f ca="1">IFERROR(__xludf.DUMMYFUNCTION("""COMPUTED_VALUE"""),5)</f>
        <v>5</v>
      </c>
      <c r="E2478" s="2">
        <f ca="1">IFERROR(__xludf.DUMMYFUNCTION("""COMPUTED_VALUE"""),2)</f>
        <v>2</v>
      </c>
    </row>
    <row r="2479" spans="1:5" ht="13">
      <c r="A2479" s="2" t="str">
        <f ca="1">IFERROR(__xludf.DUMMYFUNCTION("""COMPUTED_VALUE"""),"Fagerlund, Sebastian")</f>
        <v>Fagerlund, Sebastian</v>
      </c>
      <c r="B2479" s="3">
        <f ca="1">IFERROR(__xludf.DUMMYFUNCTION("""COMPUTED_VALUE"""),1)</f>
        <v>1</v>
      </c>
      <c r="C2479" s="7">
        <f ca="1">IFERROR(__xludf.DUMMYFUNCTION("""COMPUTED_VALUE"""),1)</f>
        <v>1</v>
      </c>
      <c r="D2479" s="8">
        <f ca="1">IFERROR(__xludf.DUMMYFUNCTION("""COMPUTED_VALUE"""),1)</f>
        <v>1</v>
      </c>
      <c r="E2479" s="2">
        <f ca="1">IFERROR(__xludf.DUMMYFUNCTION("""COMPUTED_VALUE"""),1)</f>
        <v>1</v>
      </c>
    </row>
    <row r="2480" spans="1:5" ht="13">
      <c r="A2480" s="2" t="str">
        <f ca="1">IFERROR(__xludf.DUMMYFUNCTION("""COMPUTED_VALUE"""),"Fain, Sammy")</f>
        <v>Fain, Sammy</v>
      </c>
      <c r="B2480" s="2">
        <f ca="1">IFERROR(__xludf.DUMMYFUNCTION("""COMPUTED_VALUE"""),1)</f>
        <v>1</v>
      </c>
      <c r="C2480" s="7">
        <f ca="1">IFERROR(__xludf.DUMMYFUNCTION("""COMPUTED_VALUE"""),1)</f>
        <v>1</v>
      </c>
      <c r="D2480" s="8">
        <f ca="1">IFERROR(__xludf.DUMMYFUNCTION("""COMPUTED_VALUE"""),5)</f>
        <v>5</v>
      </c>
      <c r="E2480" s="2">
        <f ca="1">IFERROR(__xludf.DUMMYFUNCTION("""COMPUTED_VALUE"""),2)</f>
        <v>2</v>
      </c>
    </row>
    <row r="2481" spans="1:5" ht="13">
      <c r="A2481" s="2" t="str">
        <f ca="1">IFERROR(__xludf.DUMMYFUNCTION("""COMPUTED_VALUE"""),"Fain, Sammy / Hilliard, Bob")</f>
        <v>Fain, Sammy / Hilliard, Bob</v>
      </c>
      <c r="B2481" s="2">
        <f ca="1">IFERROR(__xludf.DUMMYFUNCTION("""COMPUTED_VALUE"""),1)</f>
        <v>1</v>
      </c>
      <c r="C2481" s="7">
        <f ca="1">IFERROR(__xludf.DUMMYFUNCTION("""COMPUTED_VALUE"""),1)</f>
        <v>1</v>
      </c>
      <c r="D2481" s="8">
        <f ca="1">IFERROR(__xludf.DUMMYFUNCTION("""COMPUTED_VALUE"""),5)</f>
        <v>5</v>
      </c>
      <c r="E2481" s="2">
        <f ca="1">IFERROR(__xludf.DUMMYFUNCTION("""COMPUTED_VALUE"""),2)</f>
        <v>2</v>
      </c>
    </row>
    <row r="2482" spans="1:5" ht="13">
      <c r="A2482" s="2" t="str">
        <f ca="1">IFERROR(__xludf.DUMMYFUNCTION("""COMPUTED_VALUE"""),"Fain, Sammy / Kahal, Irving")</f>
        <v>Fain, Sammy / Kahal, Irving</v>
      </c>
      <c r="B2482" s="2">
        <f ca="1">IFERROR(__xludf.DUMMYFUNCTION("""COMPUTED_VALUE"""),1)</f>
        <v>1</v>
      </c>
      <c r="C2482" s="7">
        <f ca="1">IFERROR(__xludf.DUMMYFUNCTION("""COMPUTED_VALUE"""),1)</f>
        <v>1</v>
      </c>
      <c r="D2482" s="8">
        <f ca="1">IFERROR(__xludf.DUMMYFUNCTION("""COMPUTED_VALUE"""),5)</f>
        <v>5</v>
      </c>
      <c r="E2482" s="2">
        <f ca="1">IFERROR(__xludf.DUMMYFUNCTION("""COMPUTED_VALUE"""),2)</f>
        <v>2</v>
      </c>
    </row>
    <row r="2483" spans="1:5" ht="13">
      <c r="A2483" s="2" t="str">
        <f ca="1">IFERROR(__xludf.DUMMYFUNCTION("""COMPUTED_VALUE"""),"Fain, Sammy / Webster, Paul F.")</f>
        <v>Fain, Sammy / Webster, Paul F.</v>
      </c>
      <c r="B2483" s="2">
        <f ca="1">IFERROR(__xludf.DUMMYFUNCTION("""COMPUTED_VALUE"""),1)</f>
        <v>1</v>
      </c>
      <c r="C2483" s="7">
        <f ca="1">IFERROR(__xludf.DUMMYFUNCTION("""COMPUTED_VALUE"""),1)</f>
        <v>1</v>
      </c>
      <c r="D2483" s="8">
        <f ca="1">IFERROR(__xludf.DUMMYFUNCTION("""COMPUTED_VALUE"""),5)</f>
        <v>5</v>
      </c>
      <c r="E2483" s="2">
        <f ca="1">IFERROR(__xludf.DUMMYFUNCTION("""COMPUTED_VALUE"""),2)</f>
        <v>2</v>
      </c>
    </row>
    <row r="2484" spans="1:5" ht="13">
      <c r="A2484" s="8" t="str">
        <f ca="1">IFERROR(__xludf.DUMMYFUNCTION("""COMPUTED_VALUE"""),"Fain, Tim")</f>
        <v>Fain, Tim</v>
      </c>
      <c r="B2484" s="3">
        <f ca="1">IFERROR(__xludf.DUMMYFUNCTION("""COMPUTED_VALUE"""),1)</f>
        <v>1</v>
      </c>
      <c r="C2484" s="7">
        <f ca="1">IFERROR(__xludf.DUMMYFUNCTION("""COMPUTED_VALUE"""),1)</f>
        <v>1</v>
      </c>
      <c r="D2484" s="8">
        <f ca="1">IFERROR(__xludf.DUMMYFUNCTION("""COMPUTED_VALUE"""),1)</f>
        <v>1</v>
      </c>
      <c r="E2484" s="2">
        <f ca="1">IFERROR(__xludf.DUMMYFUNCTION("""COMPUTED_VALUE"""),1)</f>
        <v>1</v>
      </c>
    </row>
    <row r="2485" spans="1:5" ht="13">
      <c r="A2485" s="2" t="str">
        <f ca="1">IFERROR(__xludf.DUMMYFUNCTION("""COMPUTED_VALUE"""),"Faingold, Naim")</f>
        <v>Faingold, Naim</v>
      </c>
      <c r="B2485" s="2">
        <f ca="1">IFERROR(__xludf.DUMMYFUNCTION("""COMPUTED_VALUE"""),1)</f>
        <v>1</v>
      </c>
      <c r="C2485" s="2">
        <f ca="1">IFERROR(__xludf.DUMMYFUNCTION("""COMPUTED_VALUE"""),1)</f>
        <v>1</v>
      </c>
      <c r="D2485" s="8">
        <f ca="1">IFERROR(__xludf.DUMMYFUNCTION("""COMPUTED_VALUE"""),1)</f>
        <v>1</v>
      </c>
      <c r="E2485" s="2">
        <f ca="1">IFERROR(__xludf.DUMMYFUNCTION("""COMPUTED_VALUE"""),1)</f>
        <v>1</v>
      </c>
    </row>
    <row r="2486" spans="1:5" ht="13">
      <c r="A2486" s="2" t="str">
        <f ca="1">IFERROR(__xludf.DUMMYFUNCTION("""COMPUTED_VALUE"""),"Fairdosi, Scott")</f>
        <v>Fairdosi, Scott</v>
      </c>
      <c r="B2486" s="3">
        <f ca="1">IFERROR(__xludf.DUMMYFUNCTION("""COMPUTED_VALUE"""),1)</f>
        <v>1</v>
      </c>
      <c r="C2486" s="7">
        <f ca="1">IFERROR(__xludf.DUMMYFUNCTION("""COMPUTED_VALUE"""),1)</f>
        <v>1</v>
      </c>
      <c r="D2486" s="8">
        <f ca="1">IFERROR(__xludf.DUMMYFUNCTION("""COMPUTED_VALUE"""),1)</f>
        <v>1</v>
      </c>
      <c r="E2486" s="2">
        <f ca="1">IFERROR(__xludf.DUMMYFUNCTION("""COMPUTED_VALUE"""),1)</f>
        <v>1</v>
      </c>
    </row>
    <row r="2487" spans="1:5" ht="13">
      <c r="A2487" s="2" t="str">
        <f ca="1">IFERROR(__xludf.DUMMYFUNCTION("""COMPUTED_VALUE"""),"Fairlie, Ed")</f>
        <v>Fairlie, Ed</v>
      </c>
      <c r="B2487" s="3">
        <f ca="1">IFERROR(__xludf.DUMMYFUNCTION("""COMPUTED_VALUE"""),1)</f>
        <v>1</v>
      </c>
      <c r="C2487" s="7">
        <f ca="1">IFERROR(__xludf.DUMMYFUNCTION("""COMPUTED_VALUE"""),1)</f>
        <v>1</v>
      </c>
      <c r="D2487" s="8">
        <f ca="1">IFERROR(__xludf.DUMMYFUNCTION("""COMPUTED_VALUE"""),1)</f>
        <v>1</v>
      </c>
      <c r="E2487" s="2">
        <f ca="1">IFERROR(__xludf.DUMMYFUNCTION("""COMPUTED_VALUE"""),1)</f>
        <v>1</v>
      </c>
    </row>
    <row r="2488" spans="1:5" ht="13">
      <c r="A2488" s="2" t="str">
        <f ca="1">IFERROR(__xludf.DUMMYFUNCTION("""COMPUTED_VALUE"""),"Fairlie, Edward")</f>
        <v>Fairlie, Edward</v>
      </c>
      <c r="B2488" s="3">
        <f ca="1">IFERROR(__xludf.DUMMYFUNCTION("""COMPUTED_VALUE"""),1)</f>
        <v>1</v>
      </c>
      <c r="C2488" s="7">
        <f ca="1">IFERROR(__xludf.DUMMYFUNCTION("""COMPUTED_VALUE"""),1)</f>
        <v>1</v>
      </c>
      <c r="D2488" s="8">
        <f ca="1">IFERROR(__xludf.DUMMYFUNCTION("""COMPUTED_VALUE"""),1)</f>
        <v>1</v>
      </c>
      <c r="E2488" s="2">
        <f ca="1">IFERROR(__xludf.DUMMYFUNCTION("""COMPUTED_VALUE"""),1)</f>
        <v>1</v>
      </c>
    </row>
    <row r="2489" spans="1:5" ht="13">
      <c r="A2489" s="8" t="str">
        <f ca="1">IFERROR(__xludf.DUMMYFUNCTION("""COMPUTED_VALUE"""),"Faith, Percy")</f>
        <v>Faith, Percy</v>
      </c>
      <c r="B2489" s="3">
        <f ca="1">IFERROR(__xludf.DUMMYFUNCTION("""COMPUTED_VALUE"""),1)</f>
        <v>1</v>
      </c>
      <c r="C2489" s="7">
        <f ca="1">IFERROR(__xludf.DUMMYFUNCTION("""COMPUTED_VALUE"""),1)</f>
        <v>1</v>
      </c>
      <c r="D2489" s="8">
        <f ca="1">IFERROR(__xludf.DUMMYFUNCTION("""COMPUTED_VALUE"""),5)</f>
        <v>5</v>
      </c>
      <c r="E2489" s="2">
        <f ca="1">IFERROR(__xludf.DUMMYFUNCTION("""COMPUTED_VALUE"""),2)</f>
        <v>2</v>
      </c>
    </row>
    <row r="2490" spans="1:5" ht="13">
      <c r="A2490" s="2" t="str">
        <f ca="1">IFERROR(__xludf.DUMMYFUNCTION("""COMPUTED_VALUE"""),"Falces, J. Benjamín")</f>
        <v>Falces, J. Benjamín</v>
      </c>
      <c r="B2490" s="3">
        <f ca="1">IFERROR(__xludf.DUMMYFUNCTION("""COMPUTED_VALUE"""),1)</f>
        <v>1</v>
      </c>
      <c r="C2490" s="7">
        <f ca="1">IFERROR(__xludf.DUMMYFUNCTION("""COMPUTED_VALUE"""),1)</f>
        <v>1</v>
      </c>
      <c r="D2490" s="8">
        <f ca="1">IFERROR(__xludf.DUMMYFUNCTION("""COMPUTED_VALUE"""),1)</f>
        <v>1</v>
      </c>
      <c r="E2490" s="2">
        <f ca="1">IFERROR(__xludf.DUMMYFUNCTION("""COMPUTED_VALUE"""),1)</f>
        <v>1</v>
      </c>
    </row>
    <row r="2491" spans="1:5" ht="13">
      <c r="A2491" s="2" t="str">
        <f ca="1">IFERROR(__xludf.DUMMYFUNCTION("""COMPUTED_VALUE"""),"Falcone, Leonard")</f>
        <v>Falcone, Leonard</v>
      </c>
      <c r="B2491" s="2">
        <f ca="1">IFERROR(__xludf.DUMMYFUNCTION("""COMPUTED_VALUE"""),1)</f>
        <v>1</v>
      </c>
      <c r="C2491" s="7">
        <f ca="1">IFERROR(__xludf.DUMMYFUNCTION("""COMPUTED_VALUE"""),1)</f>
        <v>1</v>
      </c>
      <c r="D2491" s="8">
        <f ca="1">IFERROR(__xludf.DUMMYFUNCTION("""COMPUTED_VALUE"""),5)</f>
        <v>5</v>
      </c>
      <c r="E2491" s="2">
        <f ca="1">IFERROR(__xludf.DUMMYFUNCTION("""COMPUTED_VALUE"""),2)</f>
        <v>2</v>
      </c>
    </row>
    <row r="2492" spans="1:5" ht="13">
      <c r="A2492" s="2" t="str">
        <f ca="1">IFERROR(__xludf.DUMMYFUNCTION("""COMPUTED_VALUE"""),"Falcone, Nicholas")</f>
        <v>Falcone, Nicholas</v>
      </c>
      <c r="B2492" s="3">
        <f ca="1">IFERROR(__xludf.DUMMYFUNCTION("""COMPUTED_VALUE"""),1)</f>
        <v>1</v>
      </c>
      <c r="C2492" s="7">
        <f ca="1">IFERROR(__xludf.DUMMYFUNCTION("""COMPUTED_VALUE"""),1)</f>
        <v>1</v>
      </c>
      <c r="D2492" s="8">
        <f ca="1">IFERROR(__xludf.DUMMYFUNCTION("""COMPUTED_VALUE"""),5)</f>
        <v>5</v>
      </c>
      <c r="E2492" s="2">
        <f ca="1">IFERROR(__xludf.DUMMYFUNCTION("""COMPUTED_VALUE"""),2)</f>
        <v>2</v>
      </c>
    </row>
    <row r="2493" spans="1:5" ht="13">
      <c r="A2493" s="2" t="str">
        <f ca="1">IFERROR(__xludf.DUMMYFUNCTION("""COMPUTED_VALUE"""),"Falconieri, Andrea")</f>
        <v>Falconieri, Andrea</v>
      </c>
      <c r="B2493" s="3">
        <f ca="1">IFERROR(__xludf.DUMMYFUNCTION("""COMPUTED_VALUE"""),1)</f>
        <v>1</v>
      </c>
      <c r="C2493" s="7">
        <f ca="1">IFERROR(__xludf.DUMMYFUNCTION("""COMPUTED_VALUE"""),1)</f>
        <v>1</v>
      </c>
      <c r="D2493" s="8">
        <f ca="1">IFERROR(__xludf.DUMMYFUNCTION("""COMPUTED_VALUE"""),5)</f>
        <v>5</v>
      </c>
      <c r="E2493" s="2">
        <f ca="1">IFERROR(__xludf.DUMMYFUNCTION("""COMPUTED_VALUE"""),2)</f>
        <v>2</v>
      </c>
    </row>
    <row r="2494" spans="1:5" ht="13">
      <c r="A2494" s="2" t="str">
        <f ca="1">IFERROR(__xludf.DUMMYFUNCTION("""COMPUTED_VALUE"""),"Faleris, David")</f>
        <v>Faleris, David</v>
      </c>
      <c r="B2494" s="3">
        <f ca="1">IFERROR(__xludf.DUMMYFUNCTION("""COMPUTED_VALUE"""),1)</f>
        <v>1</v>
      </c>
      <c r="C2494" s="7">
        <f ca="1">IFERROR(__xludf.DUMMYFUNCTION("""COMPUTED_VALUE"""),1)</f>
        <v>1</v>
      </c>
      <c r="D2494" s="8">
        <f ca="1">IFERROR(__xludf.DUMMYFUNCTION("""COMPUTED_VALUE"""),1)</f>
        <v>1</v>
      </c>
      <c r="E2494" s="2">
        <f ca="1">IFERROR(__xludf.DUMMYFUNCTION("""COMPUTED_VALUE"""),1)</f>
        <v>1</v>
      </c>
    </row>
    <row r="2495" spans="1:5" ht="13">
      <c r="A2495" s="2" t="str">
        <f ca="1">IFERROR(__xludf.DUMMYFUNCTION("""COMPUTED_VALUE"""),"Falla, Manuel de")</f>
        <v>Falla, Manuel de</v>
      </c>
      <c r="B2495" s="3">
        <f ca="1">IFERROR(__xludf.DUMMYFUNCTION("""COMPUTED_VALUE"""),1)</f>
        <v>1</v>
      </c>
      <c r="C2495" s="7">
        <f ca="1">IFERROR(__xludf.DUMMYFUNCTION("""COMPUTED_VALUE"""),1)</f>
        <v>1</v>
      </c>
      <c r="D2495" s="8">
        <f ca="1">IFERROR(__xludf.DUMMYFUNCTION("""COMPUTED_VALUE"""),5)</f>
        <v>5</v>
      </c>
      <c r="E2495" s="2">
        <f ca="1">IFERROR(__xludf.DUMMYFUNCTION("""COMPUTED_VALUE"""),2)</f>
        <v>2</v>
      </c>
    </row>
    <row r="2496" spans="1:5" ht="13">
      <c r="A2496" s="8" t="str">
        <f ca="1">IFERROR(__xludf.DUMMYFUNCTION("""COMPUTED_VALUE"""),"Faltermeyer, Harold")</f>
        <v>Faltermeyer, Harold</v>
      </c>
      <c r="B2496" s="3">
        <f ca="1">IFERROR(__xludf.DUMMYFUNCTION("""COMPUTED_VALUE"""),1)</f>
        <v>1</v>
      </c>
      <c r="C2496" s="7">
        <f ca="1">IFERROR(__xludf.DUMMYFUNCTION("""COMPUTED_VALUE"""),1)</f>
        <v>1</v>
      </c>
      <c r="D2496" s="8">
        <f ca="1">IFERROR(__xludf.DUMMYFUNCTION("""COMPUTED_VALUE"""),1)</f>
        <v>1</v>
      </c>
      <c r="E2496" s="2">
        <f ca="1">IFERROR(__xludf.DUMMYFUNCTION("""COMPUTED_VALUE"""),1)</f>
        <v>1</v>
      </c>
    </row>
    <row r="2497" spans="1:5" ht="13">
      <c r="A2497" s="2" t="str">
        <f ca="1">IFERROR(__xludf.DUMMYFUNCTION("""COMPUTED_VALUE"""),"Fannin, John")</f>
        <v>Fannin, John</v>
      </c>
      <c r="B2497" s="3">
        <f ca="1">IFERROR(__xludf.DUMMYFUNCTION("""COMPUTED_VALUE"""),1)</f>
        <v>1</v>
      </c>
      <c r="C2497" s="7">
        <f ca="1">IFERROR(__xludf.DUMMYFUNCTION("""COMPUTED_VALUE"""),1)</f>
        <v>1</v>
      </c>
      <c r="D2497" s="8">
        <f ca="1">IFERROR(__xludf.DUMMYFUNCTION("""COMPUTED_VALUE"""),1)</f>
        <v>1</v>
      </c>
      <c r="E2497" s="2">
        <f ca="1">IFERROR(__xludf.DUMMYFUNCTION("""COMPUTED_VALUE"""),1)</f>
        <v>1</v>
      </c>
    </row>
    <row r="2498" spans="1:5" ht="13">
      <c r="A2498" s="8" t="str">
        <f ca="1">IFERROR(__xludf.DUMMYFUNCTION("""COMPUTED_VALUE"""),"Farago, Frank")</f>
        <v>Farago, Frank</v>
      </c>
      <c r="B2498" s="3">
        <f ca="1">IFERROR(__xludf.DUMMYFUNCTION("""COMPUTED_VALUE"""),1)</f>
        <v>1</v>
      </c>
      <c r="C2498" s="7">
        <f ca="1">IFERROR(__xludf.DUMMYFUNCTION("""COMPUTED_VALUE"""),1)</f>
        <v>1</v>
      </c>
      <c r="D2498" s="8">
        <f ca="1">IFERROR(__xludf.DUMMYFUNCTION("""COMPUTED_VALUE"""),5)</f>
        <v>5</v>
      </c>
      <c r="E2498" s="2">
        <f ca="1">IFERROR(__xludf.DUMMYFUNCTION("""COMPUTED_VALUE"""),2)</f>
        <v>2</v>
      </c>
    </row>
    <row r="2499" spans="1:5" ht="13">
      <c r="A2499" s="2" t="str">
        <f ca="1">IFERROR(__xludf.DUMMYFUNCTION("""COMPUTED_VALUE"""),"Farago, Pierre")</f>
        <v>Farago, Pierre</v>
      </c>
      <c r="B2499" s="3">
        <f ca="1">IFERROR(__xludf.DUMMYFUNCTION("""COMPUTED_VALUE"""),1)</f>
        <v>1</v>
      </c>
      <c r="C2499" s="7">
        <f ca="1">IFERROR(__xludf.DUMMYFUNCTION("""COMPUTED_VALUE"""),1)</f>
        <v>1</v>
      </c>
      <c r="D2499" s="8">
        <f ca="1">IFERROR(__xludf.DUMMYFUNCTION("""COMPUTED_VALUE"""),1)</f>
        <v>1</v>
      </c>
      <c r="E2499" s="2">
        <f ca="1">IFERROR(__xludf.DUMMYFUNCTION("""COMPUTED_VALUE"""),1)</f>
        <v>1</v>
      </c>
    </row>
    <row r="2500" spans="1:5" ht="13">
      <c r="A2500" s="2" t="str">
        <f ca="1">IFERROR(__xludf.DUMMYFUNCTION("""COMPUTED_VALUE"""),"Farber, Andy")</f>
        <v>Farber, Andy</v>
      </c>
      <c r="B2500" s="3">
        <f ca="1">IFERROR(__xludf.DUMMYFUNCTION("""COMPUTED_VALUE"""),1)</f>
        <v>1</v>
      </c>
      <c r="C2500" s="7">
        <f ca="1">IFERROR(__xludf.DUMMYFUNCTION("""COMPUTED_VALUE"""),1)</f>
        <v>1</v>
      </c>
      <c r="D2500" s="8">
        <f ca="1">IFERROR(__xludf.DUMMYFUNCTION("""COMPUTED_VALUE"""),1)</f>
        <v>1</v>
      </c>
      <c r="E2500" s="2">
        <f ca="1">IFERROR(__xludf.DUMMYFUNCTION("""COMPUTED_VALUE"""),1)</f>
        <v>1</v>
      </c>
    </row>
    <row r="2501" spans="1:5" ht="13">
      <c r="A2501" s="2" t="str">
        <f ca="1">IFERROR(__xludf.DUMMYFUNCTION("""COMPUTED_VALUE"""),"Farina, Carlo")</f>
        <v>Farina, Carlo</v>
      </c>
      <c r="B2501" s="3">
        <f ca="1">IFERROR(__xludf.DUMMYFUNCTION("""COMPUTED_VALUE"""),1)</f>
        <v>1</v>
      </c>
      <c r="C2501" s="7">
        <f ca="1">IFERROR(__xludf.DUMMYFUNCTION("""COMPUTED_VALUE"""),1)</f>
        <v>1</v>
      </c>
      <c r="D2501" s="8">
        <f ca="1">IFERROR(__xludf.DUMMYFUNCTION("""COMPUTED_VALUE"""),5)</f>
        <v>5</v>
      </c>
      <c r="E2501" s="2">
        <f ca="1">IFERROR(__xludf.DUMMYFUNCTION("""COMPUTED_VALUE"""),2)</f>
        <v>2</v>
      </c>
    </row>
    <row r="2502" spans="1:5" ht="13">
      <c r="A2502" s="8" t="str">
        <f ca="1">IFERROR(__xludf.DUMMYFUNCTION("""COMPUTED_VALUE"""),"Farina, Walter")</f>
        <v>Farina, Walter</v>
      </c>
      <c r="B2502" s="3">
        <f ca="1">IFERROR(__xludf.DUMMYFUNCTION("""COMPUTED_VALUE"""),1)</f>
        <v>1</v>
      </c>
      <c r="C2502" s="7">
        <f ca="1">IFERROR(__xludf.DUMMYFUNCTION("""COMPUTED_VALUE"""),1)</f>
        <v>1</v>
      </c>
      <c r="D2502" s="8">
        <f ca="1">IFERROR(__xludf.DUMMYFUNCTION("""COMPUTED_VALUE"""),1)</f>
        <v>1</v>
      </c>
      <c r="E2502" s="2">
        <f ca="1">IFERROR(__xludf.DUMMYFUNCTION("""COMPUTED_VALUE"""),1)</f>
        <v>1</v>
      </c>
    </row>
    <row r="2503" spans="1:5" ht="13">
      <c r="A2503" s="2" t="str">
        <f ca="1">IFERROR(__xludf.DUMMYFUNCTION("""COMPUTED_VALUE"""),"Farkas, Ferenc")</f>
        <v>Farkas, Ferenc</v>
      </c>
      <c r="B2503" s="3">
        <f ca="1">IFERROR(__xludf.DUMMYFUNCTION("""COMPUTED_VALUE"""),1)</f>
        <v>1</v>
      </c>
      <c r="C2503" s="7">
        <f ca="1">IFERROR(__xludf.DUMMYFUNCTION("""COMPUTED_VALUE"""),1)</f>
        <v>1</v>
      </c>
      <c r="D2503" s="8">
        <f ca="1">IFERROR(__xludf.DUMMYFUNCTION("""COMPUTED_VALUE"""),5)</f>
        <v>5</v>
      </c>
      <c r="E2503" s="2">
        <f ca="1">IFERROR(__xludf.DUMMYFUNCTION("""COMPUTED_VALUE"""),2)</f>
        <v>2</v>
      </c>
    </row>
    <row r="2504" spans="1:5" ht="13">
      <c r="A2504" s="2" t="str">
        <f ca="1">IFERROR(__xludf.DUMMYFUNCTION("""COMPUTED_VALUE"""),"Farlee, Robert")</f>
        <v>Farlee, Robert</v>
      </c>
      <c r="B2504" s="3">
        <f ca="1">IFERROR(__xludf.DUMMYFUNCTION("""COMPUTED_VALUE"""),1)</f>
        <v>1</v>
      </c>
      <c r="C2504" s="7">
        <f ca="1">IFERROR(__xludf.DUMMYFUNCTION("""COMPUTED_VALUE"""),1)</f>
        <v>1</v>
      </c>
      <c r="D2504" s="8">
        <f ca="1">IFERROR(__xludf.DUMMYFUNCTION("""COMPUTED_VALUE"""),1)</f>
        <v>1</v>
      </c>
      <c r="E2504" s="2">
        <f ca="1">IFERROR(__xludf.DUMMYFUNCTION("""COMPUTED_VALUE"""),1)</f>
        <v>1</v>
      </c>
    </row>
    <row r="2505" spans="1:5" ht="13">
      <c r="A2505" s="2" t="str">
        <f ca="1">IFERROR(__xludf.DUMMYFUNCTION("""COMPUTED_VALUE"""),"Farmer, George")</f>
        <v>Farmer, George</v>
      </c>
      <c r="B2505" s="3">
        <f ca="1">IFERROR(__xludf.DUMMYFUNCTION("""COMPUTED_VALUE"""),1)</f>
        <v>1</v>
      </c>
      <c r="C2505" s="7">
        <f ca="1">IFERROR(__xludf.DUMMYFUNCTION("""COMPUTED_VALUE"""),1)</f>
        <v>1</v>
      </c>
      <c r="D2505" s="8">
        <f ca="1">IFERROR(__xludf.DUMMYFUNCTION("""COMPUTED_VALUE"""),5)</f>
        <v>5</v>
      </c>
      <c r="E2505" s="2">
        <f ca="1">IFERROR(__xludf.DUMMYFUNCTION("""COMPUTED_VALUE"""),2)</f>
        <v>2</v>
      </c>
    </row>
    <row r="2506" spans="1:5" ht="13">
      <c r="A2506" s="2" t="str">
        <f ca="1">IFERROR(__xludf.DUMMYFUNCTION("""COMPUTED_VALUE"""),"Farmer, John")</f>
        <v>Farmer, John</v>
      </c>
      <c r="B2506" s="3">
        <f ca="1">IFERROR(__xludf.DUMMYFUNCTION("""COMPUTED_VALUE"""),1)</f>
        <v>1</v>
      </c>
      <c r="C2506" s="7">
        <f ca="1">IFERROR(__xludf.DUMMYFUNCTION("""COMPUTED_VALUE"""),1)</f>
        <v>1</v>
      </c>
      <c r="D2506" s="8">
        <f ca="1">IFERROR(__xludf.DUMMYFUNCTION("""COMPUTED_VALUE"""),5)</f>
        <v>5</v>
      </c>
      <c r="E2506" s="2">
        <f ca="1">IFERROR(__xludf.DUMMYFUNCTION("""COMPUTED_VALUE"""),2)</f>
        <v>2</v>
      </c>
    </row>
    <row r="2507" spans="1:5" ht="13">
      <c r="A2507" s="2" t="str">
        <f ca="1">IFERROR(__xludf.DUMMYFUNCTION("""COMPUTED_VALUE"""),"Farnaby, Giles")</f>
        <v>Farnaby, Giles</v>
      </c>
      <c r="B2507" s="3">
        <f ca="1">IFERROR(__xludf.DUMMYFUNCTION("""COMPUTED_VALUE"""),1)</f>
        <v>1</v>
      </c>
      <c r="C2507" s="7">
        <f ca="1">IFERROR(__xludf.DUMMYFUNCTION("""COMPUTED_VALUE"""),1)</f>
        <v>1</v>
      </c>
      <c r="D2507" s="8">
        <f ca="1">IFERROR(__xludf.DUMMYFUNCTION("""COMPUTED_VALUE"""),5)</f>
        <v>5</v>
      </c>
      <c r="E2507" s="2">
        <f ca="1">IFERROR(__xludf.DUMMYFUNCTION("""COMPUTED_VALUE"""),2)</f>
        <v>2</v>
      </c>
    </row>
    <row r="2508" spans="1:5" ht="13">
      <c r="A2508" s="2" t="str">
        <f ca="1">IFERROR(__xludf.DUMMYFUNCTION("""COMPUTED_VALUE"""),"Farnon, David")</f>
        <v>Farnon, David</v>
      </c>
      <c r="B2508" s="3">
        <f ca="1">IFERROR(__xludf.DUMMYFUNCTION("""COMPUTED_VALUE"""),1)</f>
        <v>1</v>
      </c>
      <c r="C2508" s="7">
        <f ca="1">IFERROR(__xludf.DUMMYFUNCTION("""COMPUTED_VALUE"""),1)</f>
        <v>1</v>
      </c>
      <c r="D2508" s="8">
        <f ca="1">IFERROR(__xludf.DUMMYFUNCTION("""COMPUTED_VALUE"""),1)</f>
        <v>1</v>
      </c>
      <c r="E2508" s="2">
        <f ca="1">IFERROR(__xludf.DUMMYFUNCTION("""COMPUTED_VALUE"""),1)</f>
        <v>1</v>
      </c>
    </row>
    <row r="2509" spans="1:5" ht="13">
      <c r="A2509" s="2" t="str">
        <f ca="1">IFERROR(__xludf.DUMMYFUNCTION("""COMPUTED_VALUE"""),"Farnon, Robert")</f>
        <v>Farnon, Robert</v>
      </c>
      <c r="B2509" s="3">
        <f ca="1">IFERROR(__xludf.DUMMYFUNCTION("""COMPUTED_VALUE"""),1)</f>
        <v>1</v>
      </c>
      <c r="C2509" s="7">
        <f ca="1">IFERROR(__xludf.DUMMYFUNCTION("""COMPUTED_VALUE"""),1)</f>
        <v>1</v>
      </c>
      <c r="D2509" s="8">
        <f ca="1">IFERROR(__xludf.DUMMYFUNCTION("""COMPUTED_VALUE"""),5)</f>
        <v>5</v>
      </c>
      <c r="E2509" s="2">
        <f ca="1">IFERROR(__xludf.DUMMYFUNCTION("""COMPUTED_VALUE"""),2)</f>
        <v>2</v>
      </c>
    </row>
    <row r="2510" spans="1:5" ht="13">
      <c r="A2510" s="2" t="str">
        <f ca="1">IFERROR(__xludf.DUMMYFUNCTION("""COMPUTED_VALUE"""),"Farnsworth, Bob")</f>
        <v>Farnsworth, Bob</v>
      </c>
      <c r="B2510" s="3">
        <f ca="1">IFERROR(__xludf.DUMMYFUNCTION("""COMPUTED_VALUE"""),1)</f>
        <v>1</v>
      </c>
      <c r="C2510" s="7">
        <f ca="1">IFERROR(__xludf.DUMMYFUNCTION("""COMPUTED_VALUE"""),1)</f>
        <v>1</v>
      </c>
      <c r="D2510" s="8">
        <f ca="1">IFERROR(__xludf.DUMMYFUNCTION("""COMPUTED_VALUE"""),1)</f>
        <v>1</v>
      </c>
      <c r="E2510" s="2">
        <f ca="1">IFERROR(__xludf.DUMMYFUNCTION("""COMPUTED_VALUE"""),1)</f>
        <v>1</v>
      </c>
    </row>
    <row r="2511" spans="1:5" ht="13">
      <c r="A2511" s="8" t="str">
        <f ca="1">IFERROR(__xludf.DUMMYFUNCTION("""COMPUTED_VALUE"""),"Farnsworth, Mary Lou (psuedonym for Quagenti, Samuel)")</f>
        <v>Farnsworth, Mary Lou (psuedonym for Quagenti, Samuel)</v>
      </c>
      <c r="B2511" s="3">
        <f ca="1">IFERROR(__xludf.DUMMYFUNCTION("""COMPUTED_VALUE"""),1)</f>
        <v>1</v>
      </c>
      <c r="C2511" s="7">
        <f ca="1">IFERROR(__xludf.DUMMYFUNCTION("""COMPUTED_VALUE"""),1)</f>
        <v>1</v>
      </c>
      <c r="D2511" s="8">
        <f ca="1">IFERROR(__xludf.DUMMYFUNCTION("""COMPUTED_VALUE"""),5)</f>
        <v>5</v>
      </c>
      <c r="E2511" s="2">
        <f ca="1">IFERROR(__xludf.DUMMYFUNCTION("""COMPUTED_VALUE"""),2)</f>
        <v>2</v>
      </c>
    </row>
    <row r="2512" spans="1:5" ht="13">
      <c r="A2512" s="2" t="str">
        <f ca="1">IFERROR(__xludf.DUMMYFUNCTION("""COMPUTED_VALUE"""),"Farr, Gareth")</f>
        <v>Farr, Gareth</v>
      </c>
      <c r="B2512" s="3">
        <f ca="1">IFERROR(__xludf.DUMMYFUNCTION("""COMPUTED_VALUE"""),1)</f>
        <v>1</v>
      </c>
      <c r="C2512" s="7">
        <f ca="1">IFERROR(__xludf.DUMMYFUNCTION("""COMPUTED_VALUE"""),1)</f>
        <v>1</v>
      </c>
      <c r="D2512" s="8">
        <f ca="1">IFERROR(__xludf.DUMMYFUNCTION("""COMPUTED_VALUE"""),1)</f>
        <v>1</v>
      </c>
      <c r="E2512" s="3">
        <f ca="1">IFERROR(__xludf.DUMMYFUNCTION("""COMPUTED_VALUE"""),1)</f>
        <v>1</v>
      </c>
    </row>
    <row r="2513" spans="1:5" ht="13">
      <c r="A2513" s="2" t="str">
        <f ca="1">IFERROR(__xludf.DUMMYFUNCTION("""COMPUTED_VALUE"""),"Farr, Ray")</f>
        <v>Farr, Ray</v>
      </c>
      <c r="B2513" s="3">
        <f ca="1">IFERROR(__xludf.DUMMYFUNCTION("""COMPUTED_VALUE"""),1)</f>
        <v>1</v>
      </c>
      <c r="C2513" s="7">
        <f ca="1">IFERROR(__xludf.DUMMYFUNCTION("""COMPUTED_VALUE"""),1)</f>
        <v>1</v>
      </c>
      <c r="D2513" s="8">
        <f ca="1">IFERROR(__xludf.DUMMYFUNCTION("""COMPUTED_VALUE"""),1)</f>
        <v>1</v>
      </c>
      <c r="E2513" s="2">
        <f ca="1">IFERROR(__xludf.DUMMYFUNCTION("""COMPUTED_VALUE"""),1)</f>
        <v>1</v>
      </c>
    </row>
    <row r="2514" spans="1:5" ht="13">
      <c r="A2514" s="2" t="str">
        <f ca="1">IFERROR(__xludf.DUMMYFUNCTION("""COMPUTED_VALUE"""),"Farran, Ernest")</f>
        <v>Farran, Ernest</v>
      </c>
      <c r="B2514" s="2">
        <f ca="1">IFERROR(__xludf.DUMMYFUNCTION("""COMPUTED_VALUE"""),1)</f>
        <v>1</v>
      </c>
      <c r="C2514" s="7">
        <f ca="1">IFERROR(__xludf.DUMMYFUNCTION("""COMPUTED_VALUE"""),1)</f>
        <v>1</v>
      </c>
      <c r="D2514" s="8">
        <f ca="1">IFERROR(__xludf.DUMMYFUNCTION("""COMPUTED_VALUE"""),5)</f>
        <v>5</v>
      </c>
      <c r="E2514" s="2">
        <f ca="1">IFERROR(__xludf.DUMMYFUNCTION("""COMPUTED_VALUE"""),2)</f>
        <v>2</v>
      </c>
    </row>
    <row r="2515" spans="1:5" ht="13">
      <c r="A2515" s="8" t="str">
        <f ca="1">IFERROR(__xludf.DUMMYFUNCTION("""COMPUTED_VALUE"""),"Farrant, Richard")</f>
        <v>Farrant, Richard</v>
      </c>
      <c r="B2515" s="3">
        <f ca="1">IFERROR(__xludf.DUMMYFUNCTION("""COMPUTED_VALUE"""),1)</f>
        <v>1</v>
      </c>
      <c r="C2515" s="7">
        <f ca="1">IFERROR(__xludf.DUMMYFUNCTION("""COMPUTED_VALUE"""),1)</f>
        <v>1</v>
      </c>
      <c r="D2515" s="8">
        <f ca="1">IFERROR(__xludf.DUMMYFUNCTION("""COMPUTED_VALUE"""),5)</f>
        <v>5</v>
      </c>
      <c r="E2515" s="2">
        <f ca="1">IFERROR(__xludf.DUMMYFUNCTION("""COMPUTED_VALUE"""),2)</f>
        <v>2</v>
      </c>
    </row>
    <row r="2516" spans="1:5" ht="13">
      <c r="A2516" s="2" t="str">
        <f ca="1">IFERROR(__xludf.DUMMYFUNCTION("""COMPUTED_VALUE"""),"Farrar, Orion")</f>
        <v>Farrar, Orion</v>
      </c>
      <c r="B2516" s="3">
        <f ca="1">IFERROR(__xludf.DUMMYFUNCTION("""COMPUTED_VALUE"""),1)</f>
        <v>1</v>
      </c>
      <c r="C2516" s="7">
        <f ca="1">IFERROR(__xludf.DUMMYFUNCTION("""COMPUTED_VALUE"""),1)</f>
        <v>1</v>
      </c>
      <c r="D2516" s="8">
        <f ca="1">IFERROR(__xludf.DUMMYFUNCTION("""COMPUTED_VALUE"""),5)</f>
        <v>5</v>
      </c>
      <c r="E2516" s="2">
        <f ca="1">IFERROR(__xludf.DUMMYFUNCTION("""COMPUTED_VALUE"""),2)</f>
        <v>2</v>
      </c>
    </row>
    <row r="2517" spans="1:5" ht="13">
      <c r="A2517" s="2" t="str">
        <f ca="1">IFERROR(__xludf.DUMMYFUNCTION("""COMPUTED_VALUE"""),"Farrar, Orion R.")</f>
        <v>Farrar, Orion R.</v>
      </c>
      <c r="B2517" s="3">
        <f ca="1">IFERROR(__xludf.DUMMYFUNCTION("""COMPUTED_VALUE"""),1)</f>
        <v>1</v>
      </c>
      <c r="C2517" s="7">
        <f ca="1">IFERROR(__xludf.DUMMYFUNCTION("""COMPUTED_VALUE"""),1)</f>
        <v>1</v>
      </c>
      <c r="D2517" s="8">
        <f ca="1">IFERROR(__xludf.DUMMYFUNCTION("""COMPUTED_VALUE"""),5)</f>
        <v>5</v>
      </c>
      <c r="E2517" s="2">
        <f ca="1">IFERROR(__xludf.DUMMYFUNCTION("""COMPUTED_VALUE"""),2)</f>
        <v>2</v>
      </c>
    </row>
    <row r="2518" spans="1:5" ht="13">
      <c r="A2518" s="2" t="str">
        <f ca="1">IFERROR(__xludf.DUMMYFUNCTION("""COMPUTED_VALUE"""),"Farrell, Christopher")</f>
        <v>Farrell, Christopher</v>
      </c>
      <c r="B2518" s="3">
        <f ca="1">IFERROR(__xludf.DUMMYFUNCTION("""COMPUTED_VALUE"""),1)</f>
        <v>1</v>
      </c>
      <c r="C2518" s="7">
        <f ca="1">IFERROR(__xludf.DUMMYFUNCTION("""COMPUTED_VALUE"""),1)</f>
        <v>1</v>
      </c>
      <c r="D2518" s="8">
        <f ca="1">IFERROR(__xludf.DUMMYFUNCTION("""COMPUTED_VALUE"""),1)</f>
        <v>1</v>
      </c>
      <c r="E2518" s="2">
        <f ca="1">IFERROR(__xludf.DUMMYFUNCTION("""COMPUTED_VALUE"""),1)</f>
        <v>1</v>
      </c>
    </row>
    <row r="2519" spans="1:5" ht="13">
      <c r="A2519" s="2" t="str">
        <f ca="1">IFERROR(__xludf.DUMMYFUNCTION("""COMPUTED_VALUE"""),"Farrell, David E.")</f>
        <v>Farrell, David E.</v>
      </c>
      <c r="B2519" s="3">
        <f ca="1">IFERROR(__xludf.DUMMYFUNCTION("""COMPUTED_VALUE"""),1)</f>
        <v>1</v>
      </c>
      <c r="C2519" s="7">
        <f ca="1">IFERROR(__xludf.DUMMYFUNCTION("""COMPUTED_VALUE"""),1)</f>
        <v>1</v>
      </c>
      <c r="D2519" s="8">
        <f ca="1">IFERROR(__xludf.DUMMYFUNCTION("""COMPUTED_VALUE"""),5)</f>
        <v>5</v>
      </c>
      <c r="E2519" s="2">
        <f ca="1">IFERROR(__xludf.DUMMYFUNCTION("""COMPUTED_VALUE"""),2)</f>
        <v>2</v>
      </c>
    </row>
    <row r="2520" spans="1:5" ht="13">
      <c r="A2520" s="2" t="str">
        <f ca="1">IFERROR(__xludf.DUMMYFUNCTION("""COMPUTED_VALUE"""),"Farrell, Kenneth L.")</f>
        <v>Farrell, Kenneth L.</v>
      </c>
      <c r="B2520" s="3">
        <f ca="1">IFERROR(__xludf.DUMMYFUNCTION("""COMPUTED_VALUE"""),1)</f>
        <v>1</v>
      </c>
      <c r="C2520" s="7">
        <f ca="1">IFERROR(__xludf.DUMMYFUNCTION("""COMPUTED_VALUE"""),1)</f>
        <v>1</v>
      </c>
      <c r="D2520" s="8">
        <f ca="1">IFERROR(__xludf.DUMMYFUNCTION("""COMPUTED_VALUE"""),5)</f>
        <v>5</v>
      </c>
      <c r="E2520" s="2">
        <f ca="1">IFERROR(__xludf.DUMMYFUNCTION("""COMPUTED_VALUE"""),2)</f>
        <v>2</v>
      </c>
    </row>
    <row r="2521" spans="1:5" ht="13">
      <c r="A2521" s="2" t="str">
        <f ca="1">IFERROR(__xludf.DUMMYFUNCTION("""COMPUTED_VALUE"""),"Farthing, Scott")</f>
        <v>Farthing, Scott</v>
      </c>
      <c r="B2521" s="3">
        <f ca="1">IFERROR(__xludf.DUMMYFUNCTION("""COMPUTED_VALUE"""),1)</f>
        <v>1</v>
      </c>
      <c r="C2521" s="7">
        <f ca="1">IFERROR(__xludf.DUMMYFUNCTION("""COMPUTED_VALUE"""),1)</f>
        <v>1</v>
      </c>
      <c r="D2521" s="8">
        <f ca="1">IFERROR(__xludf.DUMMYFUNCTION("""COMPUTED_VALUE"""),1)</f>
        <v>1</v>
      </c>
      <c r="E2521" s="2">
        <f ca="1">IFERROR(__xludf.DUMMYFUNCTION("""COMPUTED_VALUE"""),1)</f>
        <v>1</v>
      </c>
    </row>
    <row r="2522" spans="1:5" ht="13">
      <c r="A2522" s="2" t="str">
        <f ca="1">IFERROR(__xludf.DUMMYFUNCTION("""COMPUTED_VALUE"""),"Fasano, Vincent")</f>
        <v>Fasano, Vincent</v>
      </c>
      <c r="B2522" s="2">
        <f ca="1">IFERROR(__xludf.DUMMYFUNCTION("""COMPUTED_VALUE"""),1)</f>
        <v>1</v>
      </c>
      <c r="C2522" s="7">
        <f ca="1">IFERROR(__xludf.DUMMYFUNCTION("""COMPUTED_VALUE"""),1)</f>
        <v>1</v>
      </c>
      <c r="D2522" s="8">
        <f ca="1">IFERROR(__xludf.DUMMYFUNCTION("""COMPUTED_VALUE"""),1)</f>
        <v>1</v>
      </c>
      <c r="E2522" s="2">
        <f ca="1">IFERROR(__xludf.DUMMYFUNCTION("""COMPUTED_VALUE"""),1)</f>
        <v>1</v>
      </c>
    </row>
    <row r="2523" spans="1:5" ht="13">
      <c r="A2523" s="2" t="str">
        <f ca="1">IFERROR(__xludf.DUMMYFUNCTION("""COMPUTED_VALUE"""),"Fasch, Johann F.")</f>
        <v>Fasch, Johann F.</v>
      </c>
      <c r="B2523" s="3">
        <f ca="1">IFERROR(__xludf.DUMMYFUNCTION("""COMPUTED_VALUE"""),1)</f>
        <v>1</v>
      </c>
      <c r="C2523" s="7">
        <f ca="1">IFERROR(__xludf.DUMMYFUNCTION("""COMPUTED_VALUE"""),1)</f>
        <v>1</v>
      </c>
      <c r="D2523" s="8">
        <f ca="1">IFERROR(__xludf.DUMMYFUNCTION("""COMPUTED_VALUE"""),5)</f>
        <v>5</v>
      </c>
      <c r="E2523" s="2">
        <f ca="1">IFERROR(__xludf.DUMMYFUNCTION("""COMPUTED_VALUE"""),2)</f>
        <v>2</v>
      </c>
    </row>
    <row r="2524" spans="1:5" ht="13">
      <c r="A2524" s="2" t="str">
        <f ca="1">IFERROR(__xludf.DUMMYFUNCTION("""COMPUTED_VALUE"""),"Fasolo, Giovanni Battista")</f>
        <v>Fasolo, Giovanni Battista</v>
      </c>
      <c r="B2524" s="3">
        <f ca="1">IFERROR(__xludf.DUMMYFUNCTION("""COMPUTED_VALUE"""),1)</f>
        <v>1</v>
      </c>
      <c r="C2524" s="7">
        <f ca="1">IFERROR(__xludf.DUMMYFUNCTION("""COMPUTED_VALUE"""),1)</f>
        <v>1</v>
      </c>
      <c r="D2524" s="8">
        <f ca="1">IFERROR(__xludf.DUMMYFUNCTION("""COMPUTED_VALUE"""),5)</f>
        <v>5</v>
      </c>
      <c r="E2524" s="2">
        <f ca="1">IFERROR(__xludf.DUMMYFUNCTION("""COMPUTED_VALUE"""),2)</f>
        <v>2</v>
      </c>
    </row>
    <row r="2525" spans="1:5" ht="13">
      <c r="A2525" s="2" t="str">
        <f ca="1">IFERROR(__xludf.DUMMYFUNCTION("""COMPUTED_VALUE"""),"Fassett, Charles")</f>
        <v>Fassett, Charles</v>
      </c>
      <c r="B2525" s="2">
        <f ca="1">IFERROR(__xludf.DUMMYFUNCTION("""COMPUTED_VALUE"""),1)</f>
        <v>1</v>
      </c>
      <c r="C2525" s="2">
        <f ca="1">IFERROR(__xludf.DUMMYFUNCTION("""COMPUTED_VALUE"""),1)</f>
        <v>1</v>
      </c>
      <c r="D2525" s="8">
        <f ca="1">IFERROR(__xludf.DUMMYFUNCTION("""COMPUTED_VALUE"""),5)</f>
        <v>5</v>
      </c>
      <c r="E2525" s="2">
        <f ca="1">IFERROR(__xludf.DUMMYFUNCTION("""COMPUTED_VALUE"""),2)</f>
        <v>2</v>
      </c>
    </row>
    <row r="2526" spans="1:5" ht="13">
      <c r="A2526" s="2" t="str">
        <f ca="1">IFERROR(__xludf.DUMMYFUNCTION("""COMPUTED_VALUE"""),"Fast, Willard S.")</f>
        <v>Fast, Willard S.</v>
      </c>
      <c r="B2526" s="3">
        <f ca="1">IFERROR(__xludf.DUMMYFUNCTION("""COMPUTED_VALUE"""),1)</f>
        <v>1</v>
      </c>
      <c r="C2526" s="7">
        <f ca="1">IFERROR(__xludf.DUMMYFUNCTION("""COMPUTED_VALUE"""),1)</f>
        <v>1</v>
      </c>
      <c r="D2526" s="8">
        <f ca="1">IFERROR(__xludf.DUMMYFUNCTION("""COMPUTED_VALUE"""),5)</f>
        <v>5</v>
      </c>
      <c r="E2526" s="2">
        <f ca="1">IFERROR(__xludf.DUMMYFUNCTION("""COMPUTED_VALUE"""),2)</f>
        <v>2</v>
      </c>
    </row>
    <row r="2527" spans="1:5" ht="13">
      <c r="A2527" s="2" t="str">
        <f ca="1">IFERROR(__xludf.DUMMYFUNCTION("""COMPUTED_VALUE"""),"Fauchet, Paul")</f>
        <v>Fauchet, Paul</v>
      </c>
      <c r="B2527" s="3">
        <f ca="1">IFERROR(__xludf.DUMMYFUNCTION("""COMPUTED_VALUE"""),1)</f>
        <v>1</v>
      </c>
      <c r="C2527" s="7">
        <f ca="1">IFERROR(__xludf.DUMMYFUNCTION("""COMPUTED_VALUE"""),1)</f>
        <v>1</v>
      </c>
      <c r="D2527" s="8">
        <f ca="1">IFERROR(__xludf.DUMMYFUNCTION("""COMPUTED_VALUE"""),5)</f>
        <v>5</v>
      </c>
      <c r="E2527" s="2">
        <f ca="1">IFERROR(__xludf.DUMMYFUNCTION("""COMPUTED_VALUE"""),2)</f>
        <v>2</v>
      </c>
    </row>
    <row r="2528" spans="1:5" ht="13">
      <c r="A2528" s="2" t="str">
        <f ca="1">IFERROR(__xludf.DUMMYFUNCTION("""COMPUTED_VALUE"""),"Fauré, Gabriel")</f>
        <v>Fauré, Gabriel</v>
      </c>
      <c r="B2528" s="3">
        <f ca="1">IFERROR(__xludf.DUMMYFUNCTION("""COMPUTED_VALUE"""),1)</f>
        <v>1</v>
      </c>
      <c r="C2528" s="7">
        <f ca="1">IFERROR(__xludf.DUMMYFUNCTION("""COMPUTED_VALUE"""),1)</f>
        <v>1</v>
      </c>
      <c r="D2528" s="8">
        <f ca="1">IFERROR(__xludf.DUMMYFUNCTION("""COMPUTED_VALUE"""),5)</f>
        <v>5</v>
      </c>
      <c r="E2528" s="2">
        <f ca="1">IFERROR(__xludf.DUMMYFUNCTION("""COMPUTED_VALUE"""),2)</f>
        <v>2</v>
      </c>
    </row>
    <row r="2529" spans="1:5" ht="13">
      <c r="A2529" s="2" t="str">
        <f ca="1">IFERROR(__xludf.DUMMYFUNCTION("""COMPUTED_VALUE"""),"Fauré, Gabriel / Webber, Andrew Lloyd")</f>
        <v>Fauré, Gabriel / Webber, Andrew Lloyd</v>
      </c>
      <c r="B2529" s="3">
        <f ca="1">IFERROR(__xludf.DUMMYFUNCTION("""COMPUTED_VALUE"""),1)</f>
        <v>1</v>
      </c>
      <c r="C2529" s="7">
        <f ca="1">IFERROR(__xludf.DUMMYFUNCTION("""COMPUTED_VALUE"""),1)</f>
        <v>1</v>
      </c>
      <c r="D2529" s="8">
        <f ca="1">IFERROR(__xludf.DUMMYFUNCTION("""COMPUTED_VALUE"""),5)</f>
        <v>5</v>
      </c>
      <c r="E2529" s="2">
        <f ca="1">IFERROR(__xludf.DUMMYFUNCTION("""COMPUTED_VALUE"""),2)</f>
        <v>2</v>
      </c>
    </row>
    <row r="2530" spans="1:5" ht="13">
      <c r="A2530" s="2" t="str">
        <f ca="1">IFERROR(__xludf.DUMMYFUNCTION("""COMPUTED_VALUE"""),"Faure, Jean-Baptiste")</f>
        <v>Faure, Jean-Baptiste</v>
      </c>
      <c r="B2530" s="3">
        <f ca="1">IFERROR(__xludf.DUMMYFUNCTION("""COMPUTED_VALUE"""),1)</f>
        <v>1</v>
      </c>
      <c r="C2530" s="7">
        <f ca="1">IFERROR(__xludf.DUMMYFUNCTION("""COMPUTED_VALUE"""),1)</f>
        <v>1</v>
      </c>
      <c r="D2530" s="8">
        <f ca="1">IFERROR(__xludf.DUMMYFUNCTION("""COMPUTED_VALUE"""),5)</f>
        <v>5</v>
      </c>
      <c r="E2530" s="2">
        <f ca="1">IFERROR(__xludf.DUMMYFUNCTION("""COMPUTED_VALUE"""),2)</f>
        <v>2</v>
      </c>
    </row>
    <row r="2531" spans="1:5" ht="13">
      <c r="A2531" s="2" t="str">
        <f ca="1">IFERROR(__xludf.DUMMYFUNCTION("""COMPUTED_VALUE"""),"Faust, Randall")</f>
        <v>Faust, Randall</v>
      </c>
      <c r="B2531" s="2">
        <f ca="1">IFERROR(__xludf.DUMMYFUNCTION("""COMPUTED_VALUE"""),1)</f>
        <v>1</v>
      </c>
      <c r="C2531" s="2">
        <f ca="1">IFERROR(__xludf.DUMMYFUNCTION("""COMPUTED_VALUE"""),1)</f>
        <v>1</v>
      </c>
      <c r="D2531" s="8">
        <f ca="1">IFERROR(__xludf.DUMMYFUNCTION("""COMPUTED_VALUE"""),1)</f>
        <v>1</v>
      </c>
      <c r="E2531" s="2">
        <f ca="1">IFERROR(__xludf.DUMMYFUNCTION("""COMPUTED_VALUE"""),1)</f>
        <v>1</v>
      </c>
    </row>
    <row r="2532" spans="1:5" ht="13">
      <c r="A2532" s="2" t="str">
        <f ca="1">IFERROR(__xludf.DUMMYFUNCTION("""COMPUTED_VALUE"""),"Favazza, Alex T.")</f>
        <v>Favazza, Alex T.</v>
      </c>
      <c r="B2532" s="3">
        <f ca="1">IFERROR(__xludf.DUMMYFUNCTION("""COMPUTED_VALUE"""),1)</f>
        <v>1</v>
      </c>
      <c r="C2532" s="7">
        <f ca="1">IFERROR(__xludf.DUMMYFUNCTION("""COMPUTED_VALUE"""),1)</f>
        <v>1</v>
      </c>
      <c r="D2532" s="8">
        <f ca="1">IFERROR(__xludf.DUMMYFUNCTION("""COMPUTED_VALUE"""),1)</f>
        <v>1</v>
      </c>
      <c r="E2532" s="2">
        <f ca="1">IFERROR(__xludf.DUMMYFUNCTION("""COMPUTED_VALUE"""),1)</f>
        <v>1</v>
      </c>
    </row>
    <row r="2533" spans="1:5" ht="13">
      <c r="A2533" s="2" t="str">
        <f ca="1">IFERROR(__xludf.DUMMYFUNCTION("""COMPUTED_VALUE"""),"Feaster Carl / Feaster, Claude / McRae, Floyd / Edwards, James / Keyes, James")</f>
        <v>Feaster Carl / Feaster, Claude / McRae, Floyd / Edwards, James / Keyes, James</v>
      </c>
      <c r="B2533" s="2">
        <f ca="1">IFERROR(__xludf.DUMMYFUNCTION("""COMPUTED_VALUE"""),1)</f>
        <v>1</v>
      </c>
      <c r="C2533" s="7">
        <f ca="1">IFERROR(__xludf.DUMMYFUNCTION("""COMPUTED_VALUE"""),1)</f>
        <v>1</v>
      </c>
      <c r="D2533" s="8">
        <f ca="1">IFERROR(__xludf.DUMMYFUNCTION("""COMPUTED_VALUE"""),5)</f>
        <v>5</v>
      </c>
      <c r="E2533" s="2">
        <f ca="1">IFERROR(__xludf.DUMMYFUNCTION("""COMPUTED_VALUE"""),2)</f>
        <v>2</v>
      </c>
    </row>
    <row r="2534" spans="1:5" ht="13">
      <c r="A2534" s="2" t="str">
        <f ca="1">IFERROR(__xludf.DUMMYFUNCTION("""COMPUTED_VALUE"""),"Fedak, Alfred")</f>
        <v>Fedak, Alfred</v>
      </c>
      <c r="B2534" s="3">
        <f ca="1">IFERROR(__xludf.DUMMYFUNCTION("""COMPUTED_VALUE"""),1)</f>
        <v>1</v>
      </c>
      <c r="C2534" s="7">
        <f ca="1">IFERROR(__xludf.DUMMYFUNCTION("""COMPUTED_VALUE"""),1)</f>
        <v>1</v>
      </c>
      <c r="D2534" s="8">
        <f ca="1">IFERROR(__xludf.DUMMYFUNCTION("""COMPUTED_VALUE"""),1)</f>
        <v>1</v>
      </c>
      <c r="E2534" s="2">
        <f ca="1">IFERROR(__xludf.DUMMYFUNCTION("""COMPUTED_VALUE"""),1)</f>
        <v>1</v>
      </c>
    </row>
    <row r="2535" spans="1:5" ht="13">
      <c r="A2535" s="2" t="str">
        <f ca="1">IFERROR(__xludf.DUMMYFUNCTION("""COMPUTED_VALUE"""),"Fedchock, John")</f>
        <v>Fedchock, John</v>
      </c>
      <c r="B2535" s="2">
        <f ca="1">IFERROR(__xludf.DUMMYFUNCTION("""COMPUTED_VALUE"""),1)</f>
        <v>1</v>
      </c>
      <c r="C2535" s="7">
        <f ca="1">IFERROR(__xludf.DUMMYFUNCTION("""COMPUTED_VALUE"""),1)</f>
        <v>1</v>
      </c>
      <c r="D2535" s="8">
        <f ca="1">IFERROR(__xludf.DUMMYFUNCTION("""COMPUTED_VALUE"""),1)</f>
        <v>1</v>
      </c>
      <c r="E2535" s="2">
        <f ca="1">IFERROR(__xludf.DUMMYFUNCTION("""COMPUTED_VALUE"""),1)</f>
        <v>1</v>
      </c>
    </row>
    <row r="2536" spans="1:5" ht="13">
      <c r="A2536" s="2" t="str">
        <f ca="1">IFERROR(__xludf.DUMMYFUNCTION("""COMPUTED_VALUE"""),"Feece, Logan")</f>
        <v>Feece, Logan</v>
      </c>
      <c r="B2536" s="3">
        <f ca="1">IFERROR(__xludf.DUMMYFUNCTION("""COMPUTED_VALUE"""),1)</f>
        <v>1</v>
      </c>
      <c r="C2536" s="7">
        <f ca="1">IFERROR(__xludf.DUMMYFUNCTION("""COMPUTED_VALUE"""),1)</f>
        <v>1</v>
      </c>
      <c r="D2536" s="8">
        <f ca="1">IFERROR(__xludf.DUMMYFUNCTION("""COMPUTED_VALUE"""),1)</f>
        <v>1</v>
      </c>
      <c r="E2536" s="2">
        <f ca="1">IFERROR(__xludf.DUMMYFUNCTION("""COMPUTED_VALUE"""),1)</f>
        <v>1</v>
      </c>
    </row>
    <row r="2537" spans="1:5" ht="13">
      <c r="A2537" s="8" t="str">
        <f ca="1">IFERROR(__xludf.DUMMYFUNCTION("""COMPUTED_VALUE"""),"Feese, Francis")</f>
        <v>Feese, Francis</v>
      </c>
      <c r="B2537" s="3">
        <f ca="1">IFERROR(__xludf.DUMMYFUNCTION("""COMPUTED_VALUE"""),1)</f>
        <v>1</v>
      </c>
      <c r="C2537" s="7">
        <f ca="1">IFERROR(__xludf.DUMMYFUNCTION("""COMPUTED_VALUE"""),1)</f>
        <v>1</v>
      </c>
      <c r="D2537" s="8">
        <f ca="1">IFERROR(__xludf.DUMMYFUNCTION("""COMPUTED_VALUE"""),5)</f>
        <v>5</v>
      </c>
      <c r="E2537" s="2">
        <f ca="1">IFERROR(__xludf.DUMMYFUNCTION("""COMPUTED_VALUE"""),2)</f>
        <v>2</v>
      </c>
    </row>
    <row r="2538" spans="1:5" ht="13">
      <c r="A2538" s="2" t="str">
        <f ca="1">IFERROR(__xludf.DUMMYFUNCTION("""COMPUTED_VALUE"""),"Feierabend, John")</f>
        <v>Feierabend, John</v>
      </c>
      <c r="B2538" s="3">
        <f ca="1">IFERROR(__xludf.DUMMYFUNCTION("""COMPUTED_VALUE"""),1)</f>
        <v>1</v>
      </c>
      <c r="C2538" s="7">
        <f ca="1">IFERROR(__xludf.DUMMYFUNCTION("""COMPUTED_VALUE"""),1)</f>
        <v>1</v>
      </c>
      <c r="D2538" s="8">
        <f ca="1">IFERROR(__xludf.DUMMYFUNCTION("""COMPUTED_VALUE"""),1)</f>
        <v>1</v>
      </c>
      <c r="E2538" s="2">
        <f ca="1">IFERROR(__xludf.DUMMYFUNCTION("""COMPUTED_VALUE"""),1)</f>
        <v>1</v>
      </c>
    </row>
    <row r="2539" spans="1:5" ht="13">
      <c r="A2539" s="2" t="str">
        <f ca="1">IFERROR(__xludf.DUMMYFUNCTION("""COMPUTED_VALUE"""),"Feifke, Steven")</f>
        <v>Feifke, Steven</v>
      </c>
      <c r="B2539" s="3">
        <f ca="1">IFERROR(__xludf.DUMMYFUNCTION("""COMPUTED_VALUE"""),1)</f>
        <v>1</v>
      </c>
      <c r="C2539" s="7">
        <f ca="1">IFERROR(__xludf.DUMMYFUNCTION("""COMPUTED_VALUE"""),1)</f>
        <v>1</v>
      </c>
      <c r="D2539" s="8">
        <f ca="1">IFERROR(__xludf.DUMMYFUNCTION("""COMPUTED_VALUE"""),1)</f>
        <v>1</v>
      </c>
      <c r="E2539" s="2">
        <f ca="1">IFERROR(__xludf.DUMMYFUNCTION("""COMPUTED_VALUE"""),1)</f>
        <v>1</v>
      </c>
    </row>
    <row r="2540" spans="1:5" ht="13">
      <c r="A2540" s="2" t="str">
        <f ca="1">IFERROR(__xludf.DUMMYFUNCTION("""COMPUTED_VALUE"""),"Feigenbaum, Stephen")</f>
        <v>Feigenbaum, Stephen</v>
      </c>
      <c r="B2540" s="3">
        <f ca="1">IFERROR(__xludf.DUMMYFUNCTION("""COMPUTED_VALUE"""),1)</f>
        <v>1</v>
      </c>
      <c r="C2540" s="7">
        <f ca="1">IFERROR(__xludf.DUMMYFUNCTION("""COMPUTED_VALUE"""),1)</f>
        <v>1</v>
      </c>
      <c r="D2540" s="8">
        <f ca="1">IFERROR(__xludf.DUMMYFUNCTION("""COMPUTED_VALUE"""),1)</f>
        <v>1</v>
      </c>
      <c r="E2540" s="2">
        <f ca="1">IFERROR(__xludf.DUMMYFUNCTION("""COMPUTED_VALUE"""),1)</f>
        <v>1</v>
      </c>
    </row>
    <row r="2541" spans="1:5" ht="13">
      <c r="A2541" s="2" t="str">
        <f ca="1">IFERROR(__xludf.DUMMYFUNCTION("""COMPUTED_VALUE"""),"Feigin, Joel")</f>
        <v>Feigin, Joel</v>
      </c>
      <c r="B2541" s="3">
        <f ca="1">IFERROR(__xludf.DUMMYFUNCTION("""COMPUTED_VALUE"""),1)</f>
        <v>1</v>
      </c>
      <c r="C2541" s="7">
        <f ca="1">IFERROR(__xludf.DUMMYFUNCTION("""COMPUTED_VALUE"""),1)</f>
        <v>1</v>
      </c>
      <c r="D2541" s="8">
        <f ca="1">IFERROR(__xludf.DUMMYFUNCTION("""COMPUTED_VALUE"""),1)</f>
        <v>1</v>
      </c>
      <c r="E2541" s="2">
        <f ca="1">IFERROR(__xludf.DUMMYFUNCTION("""COMPUTED_VALUE"""),1)</f>
        <v>1</v>
      </c>
    </row>
    <row r="2542" spans="1:5" ht="13">
      <c r="A2542" s="8" t="str">
        <f ca="1">IFERROR(__xludf.DUMMYFUNCTION("""COMPUTED_VALUE"""),"Feinstein, Allen")</f>
        <v>Feinstein, Allen</v>
      </c>
      <c r="B2542" s="3">
        <f ca="1">IFERROR(__xludf.DUMMYFUNCTION("""COMPUTED_VALUE"""),1)</f>
        <v>1</v>
      </c>
      <c r="C2542" s="7">
        <f ca="1">IFERROR(__xludf.DUMMYFUNCTION("""COMPUTED_VALUE"""),1)</f>
        <v>1</v>
      </c>
      <c r="D2542" s="8">
        <f ca="1">IFERROR(__xludf.DUMMYFUNCTION("""COMPUTED_VALUE"""),1)</f>
        <v>1</v>
      </c>
      <c r="E2542" s="2">
        <f ca="1">IFERROR(__xludf.DUMMYFUNCTION("""COMPUTED_VALUE"""),1)</f>
        <v>1</v>
      </c>
    </row>
    <row r="2543" spans="1:5" ht="13">
      <c r="A2543" s="2" t="str">
        <f ca="1">IFERROR(__xludf.DUMMYFUNCTION("""COMPUTED_VALUE"""),"Felciano, Richard")</f>
        <v>Felciano, Richard</v>
      </c>
      <c r="B2543" s="3">
        <f ca="1">IFERROR(__xludf.DUMMYFUNCTION("""COMPUTED_VALUE"""),1)</f>
        <v>1</v>
      </c>
      <c r="C2543" s="7">
        <f ca="1">IFERROR(__xludf.DUMMYFUNCTION("""COMPUTED_VALUE"""),1)</f>
        <v>1</v>
      </c>
      <c r="D2543" s="8">
        <f ca="1">IFERROR(__xludf.DUMMYFUNCTION("""COMPUTED_VALUE"""),5)</f>
        <v>5</v>
      </c>
      <c r="E2543" s="2">
        <f ca="1">IFERROR(__xludf.DUMMYFUNCTION("""COMPUTED_VALUE"""),2)</f>
        <v>2</v>
      </c>
    </row>
    <row r="2544" spans="1:5" ht="13">
      <c r="A2544" s="2" t="str">
        <f ca="1">IFERROR(__xludf.DUMMYFUNCTION("""COMPUTED_VALUE"""),"Feld, Jindřich")</f>
        <v>Feld, Jindřich</v>
      </c>
      <c r="B2544" s="3">
        <f ca="1">IFERROR(__xludf.DUMMYFUNCTION("""COMPUTED_VALUE"""),1)</f>
        <v>1</v>
      </c>
      <c r="C2544" s="7">
        <f ca="1">IFERROR(__xludf.DUMMYFUNCTION("""COMPUTED_VALUE"""),1)</f>
        <v>1</v>
      </c>
      <c r="D2544" s="8">
        <f ca="1">IFERROR(__xludf.DUMMYFUNCTION("""COMPUTED_VALUE"""),5)</f>
        <v>5</v>
      </c>
      <c r="E2544" s="2">
        <f ca="1">IFERROR(__xludf.DUMMYFUNCTION("""COMPUTED_VALUE"""),2)</f>
        <v>2</v>
      </c>
    </row>
    <row r="2545" spans="1:5" ht="13">
      <c r="A2545" s="2" t="str">
        <f ca="1">IFERROR(__xludf.DUMMYFUNCTION("""COMPUTED_VALUE"""),"Felder, David")</f>
        <v>Felder, David</v>
      </c>
      <c r="B2545" s="3">
        <f ca="1">IFERROR(__xludf.DUMMYFUNCTION("""COMPUTED_VALUE"""),1)</f>
        <v>1</v>
      </c>
      <c r="C2545" s="7">
        <f ca="1">IFERROR(__xludf.DUMMYFUNCTION("""COMPUTED_VALUE"""),1)</f>
        <v>1</v>
      </c>
      <c r="D2545" s="8">
        <f ca="1">IFERROR(__xludf.DUMMYFUNCTION("""COMPUTED_VALUE"""),1)</f>
        <v>1</v>
      </c>
      <c r="E2545" s="2">
        <f ca="1">IFERROR(__xludf.DUMMYFUNCTION("""COMPUTED_VALUE"""),1)</f>
        <v>1</v>
      </c>
    </row>
    <row r="2546" spans="1:5" ht="13">
      <c r="A2546" s="2" t="str">
        <f ca="1">IFERROR(__xludf.DUMMYFUNCTION("""COMPUTED_VALUE"""),"Feldman, Evan")</f>
        <v>Feldman, Evan</v>
      </c>
      <c r="B2546" s="3">
        <f ca="1">IFERROR(__xludf.DUMMYFUNCTION("""COMPUTED_VALUE"""),1)</f>
        <v>1</v>
      </c>
      <c r="C2546" s="7">
        <f ca="1">IFERROR(__xludf.DUMMYFUNCTION("""COMPUTED_VALUE"""),1)</f>
        <v>1</v>
      </c>
      <c r="D2546" s="8">
        <f ca="1">IFERROR(__xludf.DUMMYFUNCTION("""COMPUTED_VALUE"""),1)</f>
        <v>1</v>
      </c>
      <c r="E2546" s="2">
        <f ca="1">IFERROR(__xludf.DUMMYFUNCTION("""COMPUTED_VALUE"""),1)</f>
        <v>1</v>
      </c>
    </row>
    <row r="2547" spans="1:5" ht="13">
      <c r="A2547" s="2" t="str">
        <f ca="1">IFERROR(__xludf.DUMMYFUNCTION("""COMPUTED_VALUE"""),"Feldman, Jack")</f>
        <v>Feldman, Jack</v>
      </c>
      <c r="B2547" s="3">
        <f ca="1">IFERROR(__xludf.DUMMYFUNCTION("""COMPUTED_VALUE"""),1)</f>
        <v>1</v>
      </c>
      <c r="C2547" s="7">
        <f ca="1">IFERROR(__xludf.DUMMYFUNCTION("""COMPUTED_VALUE"""),1)</f>
        <v>1</v>
      </c>
      <c r="D2547" s="8">
        <f ca="1">IFERROR(__xludf.DUMMYFUNCTION("""COMPUTED_VALUE"""),1)</f>
        <v>1</v>
      </c>
      <c r="E2547" s="2">
        <f ca="1">IFERROR(__xludf.DUMMYFUNCTION("""COMPUTED_VALUE"""),1)</f>
        <v>1</v>
      </c>
    </row>
    <row r="2548" spans="1:5" ht="13">
      <c r="A2548" s="2" t="str">
        <f ca="1">IFERROR(__xludf.DUMMYFUNCTION("""COMPUTED_VALUE"""),"Feldman, Morton")</f>
        <v>Feldman, Morton</v>
      </c>
      <c r="B2548" s="3">
        <f ca="1">IFERROR(__xludf.DUMMYFUNCTION("""COMPUTED_VALUE"""),1)</f>
        <v>1</v>
      </c>
      <c r="C2548" s="7">
        <f ca="1">IFERROR(__xludf.DUMMYFUNCTION("""COMPUTED_VALUE"""),1)</f>
        <v>1</v>
      </c>
      <c r="D2548" s="8">
        <f ca="1">IFERROR(__xludf.DUMMYFUNCTION("""COMPUTED_VALUE"""),5)</f>
        <v>5</v>
      </c>
      <c r="E2548" s="2">
        <f ca="1">IFERROR(__xludf.DUMMYFUNCTION("""COMPUTED_VALUE"""),2)</f>
        <v>2</v>
      </c>
    </row>
    <row r="2549" spans="1:5" ht="13">
      <c r="A2549" s="2" t="str">
        <f ca="1">IFERROR(__xludf.DUMMYFUNCTION("""COMPUTED_VALUE"""),"Feldman, Victor")</f>
        <v>Feldman, Victor</v>
      </c>
      <c r="B2549" s="2">
        <f ca="1">IFERROR(__xludf.DUMMYFUNCTION("""COMPUTED_VALUE"""),1)</f>
        <v>1</v>
      </c>
      <c r="C2549" s="7">
        <f ca="1">IFERROR(__xludf.DUMMYFUNCTION("""COMPUTED_VALUE"""),1)</f>
        <v>1</v>
      </c>
      <c r="D2549" s="8">
        <f ca="1">IFERROR(__xludf.DUMMYFUNCTION("""COMPUTED_VALUE"""),5)</f>
        <v>5</v>
      </c>
      <c r="E2549" s="2">
        <f ca="1">IFERROR(__xludf.DUMMYFUNCTION("""COMPUTED_VALUE"""),2)</f>
        <v>2</v>
      </c>
    </row>
    <row r="2550" spans="1:5" ht="13">
      <c r="A2550" s="2" t="str">
        <f ca="1">IFERROR(__xludf.DUMMYFUNCTION("""COMPUTED_VALUE"""),"Feldstein, Sandy")</f>
        <v>Feldstein, Sandy</v>
      </c>
      <c r="B2550" s="3">
        <f ca="1">IFERROR(__xludf.DUMMYFUNCTION("""COMPUTED_VALUE"""),1)</f>
        <v>1</v>
      </c>
      <c r="C2550" s="7">
        <f ca="1">IFERROR(__xludf.DUMMYFUNCTION("""COMPUTED_VALUE"""),1)</f>
        <v>1</v>
      </c>
      <c r="D2550" s="8">
        <f ca="1">IFERROR(__xludf.DUMMYFUNCTION("""COMPUTED_VALUE"""),5)</f>
        <v>5</v>
      </c>
      <c r="E2550" s="2">
        <f ca="1">IFERROR(__xludf.DUMMYFUNCTION("""COMPUTED_VALUE"""),2)</f>
        <v>2</v>
      </c>
    </row>
    <row r="2551" spans="1:5" ht="13">
      <c r="A2551" s="2" t="str">
        <f ca="1">IFERROR(__xludf.DUMMYFUNCTION("""COMPUTED_VALUE"""),"Feldstein, Sandy / Clark, Larry")</f>
        <v>Feldstein, Sandy / Clark, Larry</v>
      </c>
      <c r="B2551" s="3">
        <f ca="1">IFERROR(__xludf.DUMMYFUNCTION("""COMPUTED_VALUE"""),1)</f>
        <v>1</v>
      </c>
      <c r="C2551" s="7">
        <f ca="1">IFERROR(__xludf.DUMMYFUNCTION("""COMPUTED_VALUE"""),1)</f>
        <v>1</v>
      </c>
      <c r="D2551" s="8">
        <f ca="1">IFERROR(__xludf.DUMMYFUNCTION("""COMPUTED_VALUE"""),1)</f>
        <v>1</v>
      </c>
      <c r="E2551" s="2">
        <f ca="1">IFERROR(__xludf.DUMMYFUNCTION("""COMPUTED_VALUE"""),1)</f>
        <v>1</v>
      </c>
    </row>
    <row r="2552" spans="1:5" ht="13">
      <c r="A2552" s="2" t="str">
        <f ca="1">IFERROR(__xludf.DUMMYFUNCTION("""COMPUTED_VALUE"""),"Feldstein, Sandy / O'Reilly, John")</f>
        <v>Feldstein, Sandy / O'Reilly, John</v>
      </c>
      <c r="B2552" s="3">
        <f ca="1">IFERROR(__xludf.DUMMYFUNCTION("""COMPUTED_VALUE"""),1)</f>
        <v>1</v>
      </c>
      <c r="C2552" s="7">
        <f ca="1">IFERROR(__xludf.DUMMYFUNCTION("""COMPUTED_VALUE"""),1)</f>
        <v>1</v>
      </c>
      <c r="D2552" s="8">
        <f ca="1">IFERROR(__xludf.DUMMYFUNCTION("""COMPUTED_VALUE"""),1)</f>
        <v>1</v>
      </c>
      <c r="E2552" s="2">
        <f ca="1">IFERROR(__xludf.DUMMYFUNCTION("""COMPUTED_VALUE"""),1)</f>
        <v>1</v>
      </c>
    </row>
    <row r="2553" spans="1:5" ht="13">
      <c r="A2553" s="2" t="str">
        <f ca="1">IFERROR(__xludf.DUMMYFUNCTION("""COMPUTED_VALUE"""),"Feller, Sid")</f>
        <v>Feller, Sid</v>
      </c>
      <c r="B2553" s="3">
        <f ca="1">IFERROR(__xludf.DUMMYFUNCTION("""COMPUTED_VALUE"""),1)</f>
        <v>1</v>
      </c>
      <c r="C2553" s="7">
        <f ca="1">IFERROR(__xludf.DUMMYFUNCTION("""COMPUTED_VALUE"""),1)</f>
        <v>1</v>
      </c>
      <c r="D2553" s="8">
        <f ca="1">IFERROR(__xludf.DUMMYFUNCTION("""COMPUTED_VALUE"""),5)</f>
        <v>5</v>
      </c>
      <c r="E2553" s="2">
        <f ca="1">IFERROR(__xludf.DUMMYFUNCTION("""COMPUTED_VALUE"""),2)</f>
        <v>2</v>
      </c>
    </row>
    <row r="2554" spans="1:5" ht="13">
      <c r="A2554" s="2" t="str">
        <f ca="1">IFERROR(__xludf.DUMMYFUNCTION("""COMPUTED_VALUE"""),"Fellows, Avis")</f>
        <v>Fellows, Avis</v>
      </c>
      <c r="B2554" s="3">
        <f ca="1">IFERROR(__xludf.DUMMYFUNCTION("""COMPUTED_VALUE"""),1)</f>
        <v>1</v>
      </c>
      <c r="C2554" s="7">
        <f ca="1">IFERROR(__xludf.DUMMYFUNCTION("""COMPUTED_VALUE"""),1)</f>
        <v>1</v>
      </c>
      <c r="D2554" s="8">
        <f ca="1">IFERROR(__xludf.DUMMYFUNCTION("""COMPUTED_VALUE"""),5)</f>
        <v>5</v>
      </c>
      <c r="E2554" s="2">
        <f ca="1">IFERROR(__xludf.DUMMYFUNCTION("""COMPUTED_VALUE"""),2)</f>
        <v>2</v>
      </c>
    </row>
    <row r="2555" spans="1:5" ht="13">
      <c r="A2555" s="2" t="str">
        <f ca="1">IFERROR(__xludf.DUMMYFUNCTION("""COMPUTED_VALUE"""),"Fenby, Eric")</f>
        <v>Fenby, Eric</v>
      </c>
      <c r="B2555" s="3">
        <f ca="1">IFERROR(__xludf.DUMMYFUNCTION("""COMPUTED_VALUE"""),1)</f>
        <v>1</v>
      </c>
      <c r="C2555" s="7">
        <f ca="1">IFERROR(__xludf.DUMMYFUNCTION("""COMPUTED_VALUE"""),1)</f>
        <v>1</v>
      </c>
      <c r="D2555" s="8">
        <f ca="1">IFERROR(__xludf.DUMMYFUNCTION("""COMPUTED_VALUE"""),5)</f>
        <v>5</v>
      </c>
      <c r="E2555" s="2">
        <f ca="1">IFERROR(__xludf.DUMMYFUNCTION("""COMPUTED_VALUE"""),2)</f>
        <v>2</v>
      </c>
    </row>
    <row r="2556" spans="1:5" ht="13">
      <c r="A2556" s="8" t="str">
        <f ca="1">IFERROR(__xludf.DUMMYFUNCTION("""COMPUTED_VALUE"""),"Fendler, Edvard")</f>
        <v>Fendler, Edvard</v>
      </c>
      <c r="B2556" s="3">
        <f ca="1">IFERROR(__xludf.DUMMYFUNCTION("""COMPUTED_VALUE"""),1)</f>
        <v>1</v>
      </c>
      <c r="C2556" s="7">
        <f ca="1">IFERROR(__xludf.DUMMYFUNCTION("""COMPUTED_VALUE"""),1)</f>
        <v>1</v>
      </c>
      <c r="D2556" s="8">
        <f ca="1">IFERROR(__xludf.DUMMYFUNCTION("""COMPUTED_VALUE"""),5)</f>
        <v>5</v>
      </c>
      <c r="E2556" s="2">
        <f ca="1">IFERROR(__xludf.DUMMYFUNCTION("""COMPUTED_VALUE"""),2)</f>
        <v>2</v>
      </c>
    </row>
    <row r="2557" spans="1:5" ht="13">
      <c r="A2557" s="2" t="str">
        <f ca="1">IFERROR(__xludf.DUMMYFUNCTION("""COMPUTED_VALUE"""),"Fennell, Drew")</f>
        <v>Fennell, Drew</v>
      </c>
      <c r="B2557" s="3">
        <f ca="1">IFERROR(__xludf.DUMMYFUNCTION("""COMPUTED_VALUE"""),1)</f>
        <v>1</v>
      </c>
      <c r="C2557" s="7">
        <f ca="1">IFERROR(__xludf.DUMMYFUNCTION("""COMPUTED_VALUE"""),1)</f>
        <v>1</v>
      </c>
      <c r="D2557" s="8">
        <f ca="1">IFERROR(__xludf.DUMMYFUNCTION("""COMPUTED_VALUE"""),1)</f>
        <v>1</v>
      </c>
      <c r="E2557" s="2">
        <f ca="1">IFERROR(__xludf.DUMMYFUNCTION("""COMPUTED_VALUE"""),1)</f>
        <v>1</v>
      </c>
    </row>
    <row r="2558" spans="1:5" ht="13">
      <c r="A2558" s="2" t="str">
        <f ca="1">IFERROR(__xludf.DUMMYFUNCTION("""COMPUTED_VALUE"""),"Fennell, Frederick")</f>
        <v>Fennell, Frederick</v>
      </c>
      <c r="B2558" s="3">
        <f ca="1">IFERROR(__xludf.DUMMYFUNCTION("""COMPUTED_VALUE"""),1)</f>
        <v>1</v>
      </c>
      <c r="C2558" s="7">
        <f ca="1">IFERROR(__xludf.DUMMYFUNCTION("""COMPUTED_VALUE"""),1)</f>
        <v>1</v>
      </c>
      <c r="D2558" s="8">
        <f ca="1">IFERROR(__xludf.DUMMYFUNCTION("""COMPUTED_VALUE"""),5)</f>
        <v>5</v>
      </c>
      <c r="E2558" s="2">
        <f ca="1">IFERROR(__xludf.DUMMYFUNCTION("""COMPUTED_VALUE"""),2)</f>
        <v>2</v>
      </c>
    </row>
    <row r="2559" spans="1:5" ht="13">
      <c r="A2559" s="2" t="str">
        <f ca="1">IFERROR(__xludf.DUMMYFUNCTION("""COMPUTED_VALUE"""),"Fenton, George")</f>
        <v>Fenton, George</v>
      </c>
      <c r="B2559" s="3">
        <f ca="1">IFERROR(__xludf.DUMMYFUNCTION("""COMPUTED_VALUE"""),1)</f>
        <v>1</v>
      </c>
      <c r="C2559" s="7">
        <f ca="1">IFERROR(__xludf.DUMMYFUNCTION("""COMPUTED_VALUE"""),1)</f>
        <v>1</v>
      </c>
      <c r="D2559" s="8">
        <f ca="1">IFERROR(__xludf.DUMMYFUNCTION("""COMPUTED_VALUE"""),1)</f>
        <v>1</v>
      </c>
      <c r="E2559" s="2">
        <f ca="1">IFERROR(__xludf.DUMMYFUNCTION("""COMPUTED_VALUE"""),1)</f>
        <v>1</v>
      </c>
    </row>
    <row r="2560" spans="1:5" ht="13">
      <c r="A2560" s="2" t="str">
        <f ca="1">IFERROR(__xludf.DUMMYFUNCTION("""COMPUTED_VALUE"""),"Ferber, Alan")</f>
        <v>Ferber, Alan</v>
      </c>
      <c r="B2560" s="3">
        <f ca="1">IFERROR(__xludf.DUMMYFUNCTION("""COMPUTED_VALUE"""),1)</f>
        <v>1</v>
      </c>
      <c r="C2560" s="7">
        <f ca="1">IFERROR(__xludf.DUMMYFUNCTION("""COMPUTED_VALUE"""),1)</f>
        <v>1</v>
      </c>
      <c r="D2560" s="8">
        <f ca="1">IFERROR(__xludf.DUMMYFUNCTION("""COMPUTED_VALUE"""),1)</f>
        <v>1</v>
      </c>
      <c r="E2560" s="2">
        <f ca="1">IFERROR(__xludf.DUMMYFUNCTION("""COMPUTED_VALUE"""),1)</f>
        <v>1</v>
      </c>
    </row>
    <row r="2561" spans="1:5" ht="13">
      <c r="A2561" s="2" t="str">
        <f ca="1">IFERROR(__xludf.DUMMYFUNCTION("""COMPUTED_VALUE"""),"Ferchen, Tim")</f>
        <v>Ferchen, Tim</v>
      </c>
      <c r="B2561" s="3">
        <f ca="1">IFERROR(__xludf.DUMMYFUNCTION("""COMPUTED_VALUE"""),1)</f>
        <v>1</v>
      </c>
      <c r="C2561" s="7">
        <f ca="1">IFERROR(__xludf.DUMMYFUNCTION("""COMPUTED_VALUE"""),1)</f>
        <v>1</v>
      </c>
      <c r="D2561" s="8">
        <f ca="1">IFERROR(__xludf.DUMMYFUNCTION("""COMPUTED_VALUE"""),1)</f>
        <v>1</v>
      </c>
      <c r="E2561" s="2">
        <f ca="1">IFERROR(__xludf.DUMMYFUNCTION("""COMPUTED_VALUE"""),1)</f>
        <v>1</v>
      </c>
    </row>
    <row r="2562" spans="1:5" ht="13">
      <c r="A2562" s="2" t="str">
        <f ca="1">IFERROR(__xludf.DUMMYFUNCTION("""COMPUTED_VALUE"""),"Ferguson, Chris")</f>
        <v>Ferguson, Chris</v>
      </c>
      <c r="B2562" s="3">
        <f ca="1">IFERROR(__xludf.DUMMYFUNCTION("""COMPUTED_VALUE"""),1)</f>
        <v>1</v>
      </c>
      <c r="C2562" s="7">
        <f ca="1">IFERROR(__xludf.DUMMYFUNCTION("""COMPUTED_VALUE"""),1)</f>
        <v>1</v>
      </c>
      <c r="D2562" s="8">
        <f ca="1">IFERROR(__xludf.DUMMYFUNCTION("""COMPUTED_VALUE"""),1)</f>
        <v>1</v>
      </c>
      <c r="E2562" s="2">
        <f ca="1">IFERROR(__xludf.DUMMYFUNCTION("""COMPUTED_VALUE"""),1)</f>
        <v>1</v>
      </c>
    </row>
    <row r="2563" spans="1:5" ht="13">
      <c r="A2563" s="2" t="str">
        <f ca="1">IFERROR(__xludf.DUMMYFUNCTION("""COMPUTED_VALUE"""),"Ferguson, Edwin")</f>
        <v>Ferguson, Edwin</v>
      </c>
      <c r="B2563" s="3">
        <f ca="1">IFERROR(__xludf.DUMMYFUNCTION("""COMPUTED_VALUE"""),1)</f>
        <v>1</v>
      </c>
      <c r="C2563" s="7">
        <f ca="1">IFERROR(__xludf.DUMMYFUNCTION("""COMPUTED_VALUE"""),1)</f>
        <v>1</v>
      </c>
      <c r="D2563" s="8">
        <f ca="1">IFERROR(__xludf.DUMMYFUNCTION("""COMPUTED_VALUE"""),5)</f>
        <v>5</v>
      </c>
      <c r="E2563" s="2">
        <f ca="1">IFERROR(__xludf.DUMMYFUNCTION("""COMPUTED_VALUE"""),2)</f>
        <v>2</v>
      </c>
    </row>
    <row r="2564" spans="1:5" ht="13">
      <c r="A2564" s="2" t="str">
        <f ca="1">IFERROR(__xludf.DUMMYFUNCTION("""COMPUTED_VALUE"""),"Ferguson, John")</f>
        <v>Ferguson, John</v>
      </c>
      <c r="B2564" s="3">
        <f ca="1">IFERROR(__xludf.DUMMYFUNCTION("""COMPUTED_VALUE"""),1)</f>
        <v>1</v>
      </c>
      <c r="C2564" s="7">
        <f ca="1">IFERROR(__xludf.DUMMYFUNCTION("""COMPUTED_VALUE"""),1)</f>
        <v>1</v>
      </c>
      <c r="D2564" s="8">
        <f ca="1">IFERROR(__xludf.DUMMYFUNCTION("""COMPUTED_VALUE"""),1)</f>
        <v>1</v>
      </c>
      <c r="E2564" s="2">
        <f ca="1">IFERROR(__xludf.DUMMYFUNCTION("""COMPUTED_VALUE"""),1)</f>
        <v>1</v>
      </c>
    </row>
    <row r="2565" spans="1:5" ht="13">
      <c r="A2565" s="2" t="str">
        <f ca="1">IFERROR(__xludf.DUMMYFUNCTION("""COMPUTED_VALUE"""),"Ferguson, Maynard")</f>
        <v>Ferguson, Maynard</v>
      </c>
      <c r="B2565" s="3">
        <f ca="1">IFERROR(__xludf.DUMMYFUNCTION("""COMPUTED_VALUE"""),1)</f>
        <v>1</v>
      </c>
      <c r="C2565" s="7">
        <f ca="1">IFERROR(__xludf.DUMMYFUNCTION("""COMPUTED_VALUE"""),1)</f>
        <v>1</v>
      </c>
      <c r="D2565" s="8">
        <f ca="1">IFERROR(__xludf.DUMMYFUNCTION("""COMPUTED_VALUE"""),5)</f>
        <v>5</v>
      </c>
      <c r="E2565" s="2">
        <f ca="1">IFERROR(__xludf.DUMMYFUNCTION("""COMPUTED_VALUE"""),2)</f>
        <v>2</v>
      </c>
    </row>
    <row r="2566" spans="1:5" ht="13">
      <c r="A2566" s="2" t="str">
        <f ca="1">IFERROR(__xludf.DUMMYFUNCTION("""COMPUTED_VALUE"""),"Ferguson, Noel")</f>
        <v>Ferguson, Noel</v>
      </c>
      <c r="B2566" s="3">
        <f ca="1">IFERROR(__xludf.DUMMYFUNCTION("""COMPUTED_VALUE"""),1)</f>
        <v>1</v>
      </c>
      <c r="C2566" s="7">
        <f ca="1">IFERROR(__xludf.DUMMYFUNCTION("""COMPUTED_VALUE"""),1)</f>
        <v>1</v>
      </c>
      <c r="D2566" s="8">
        <f ca="1">IFERROR(__xludf.DUMMYFUNCTION("""COMPUTED_VALUE"""),1)</f>
        <v>1</v>
      </c>
      <c r="E2566" s="2">
        <f ca="1">IFERROR(__xludf.DUMMYFUNCTION("""COMPUTED_VALUE"""),1)</f>
        <v>1</v>
      </c>
    </row>
    <row r="2567" spans="1:5" ht="13">
      <c r="A2567" s="2" t="str">
        <f ca="1">IFERROR(__xludf.DUMMYFUNCTION("""COMPUTED_VALUE"""),"Ferko, Frank")</f>
        <v>Ferko, Frank</v>
      </c>
      <c r="B2567" s="3">
        <f ca="1">IFERROR(__xludf.DUMMYFUNCTION("""COMPUTED_VALUE"""),1)</f>
        <v>1</v>
      </c>
      <c r="C2567" s="7">
        <f ca="1">IFERROR(__xludf.DUMMYFUNCTION("""COMPUTED_VALUE"""),1)</f>
        <v>1</v>
      </c>
      <c r="D2567" s="8">
        <f ca="1">IFERROR(__xludf.DUMMYFUNCTION("""COMPUTED_VALUE"""),1)</f>
        <v>1</v>
      </c>
      <c r="E2567" s="2">
        <f ca="1">IFERROR(__xludf.DUMMYFUNCTION("""COMPUTED_VALUE"""),1)</f>
        <v>1</v>
      </c>
    </row>
    <row r="2568" spans="1:5" ht="13">
      <c r="A2568" s="2" t="str">
        <f ca="1">IFERROR(__xludf.DUMMYFUNCTION("""COMPUTED_VALUE"""),"Fernandez, Charles")</f>
        <v>Fernandez, Charles</v>
      </c>
      <c r="B2568" s="3">
        <f ca="1">IFERROR(__xludf.DUMMYFUNCTION("""COMPUTED_VALUE"""),1)</f>
        <v>1</v>
      </c>
      <c r="C2568" s="7">
        <f ca="1">IFERROR(__xludf.DUMMYFUNCTION("""COMPUTED_VALUE"""),1)</f>
        <v>1</v>
      </c>
      <c r="D2568" s="8">
        <f ca="1">IFERROR(__xludf.DUMMYFUNCTION("""COMPUTED_VALUE"""),1)</f>
        <v>1</v>
      </c>
      <c r="E2568" s="2">
        <f ca="1">IFERROR(__xludf.DUMMYFUNCTION("""COMPUTED_VALUE"""),1)</f>
        <v>1</v>
      </c>
    </row>
    <row r="2569" spans="1:5" ht="13">
      <c r="A2569" s="2" t="str">
        <f ca="1">IFERROR(__xludf.DUMMYFUNCTION("""COMPUTED_VALUE"""),"Fernandez, Marcos")</f>
        <v>Fernandez, Marcos</v>
      </c>
      <c r="B2569" s="3">
        <f ca="1">IFERROR(__xludf.DUMMYFUNCTION("""COMPUTED_VALUE"""),1)</f>
        <v>1</v>
      </c>
      <c r="C2569" s="7">
        <f ca="1">IFERROR(__xludf.DUMMYFUNCTION("""COMPUTED_VALUE"""),1)</f>
        <v>1</v>
      </c>
      <c r="D2569" s="8">
        <f ca="1">IFERROR(__xludf.DUMMYFUNCTION("""COMPUTED_VALUE"""),1)</f>
        <v>1</v>
      </c>
      <c r="E2569" s="2">
        <f ca="1">IFERROR(__xludf.DUMMYFUNCTION("""COMPUTED_VALUE"""),1)</f>
        <v>1</v>
      </c>
    </row>
    <row r="2570" spans="1:5" ht="13">
      <c r="A2570" s="2" t="str">
        <f ca="1">IFERROR(__xludf.DUMMYFUNCTION("""COMPUTED_VALUE"""),"Ferran, Ferrer")</f>
        <v>Ferran, Ferrer</v>
      </c>
      <c r="B2570" s="3">
        <f ca="1">IFERROR(__xludf.DUMMYFUNCTION("""COMPUTED_VALUE"""),1)</f>
        <v>1</v>
      </c>
      <c r="C2570" s="7">
        <f ca="1">IFERROR(__xludf.DUMMYFUNCTION("""COMPUTED_VALUE"""),1)</f>
        <v>1</v>
      </c>
      <c r="D2570" s="8">
        <f ca="1">IFERROR(__xludf.DUMMYFUNCTION("""COMPUTED_VALUE"""),1)</f>
        <v>1</v>
      </c>
      <c r="E2570" s="2">
        <f ca="1">IFERROR(__xludf.DUMMYFUNCTION("""COMPUTED_VALUE"""),1)</f>
        <v>1</v>
      </c>
    </row>
    <row r="2571" spans="1:5" ht="13">
      <c r="A2571" s="2" t="str">
        <f ca="1">IFERROR(__xludf.DUMMYFUNCTION("""COMPUTED_VALUE"""),"Ferrandini, Giovanni")</f>
        <v>Ferrandini, Giovanni</v>
      </c>
      <c r="B2571" s="3">
        <f ca="1">IFERROR(__xludf.DUMMYFUNCTION("""COMPUTED_VALUE"""),1)</f>
        <v>1</v>
      </c>
      <c r="C2571" s="7">
        <f ca="1">IFERROR(__xludf.DUMMYFUNCTION("""COMPUTED_VALUE"""),1)</f>
        <v>1</v>
      </c>
      <c r="D2571" s="8">
        <f ca="1">IFERROR(__xludf.DUMMYFUNCTION("""COMPUTED_VALUE"""),5)</f>
        <v>5</v>
      </c>
      <c r="E2571" s="2">
        <f ca="1">IFERROR(__xludf.DUMMYFUNCTION("""COMPUTED_VALUE"""),2)</f>
        <v>2</v>
      </c>
    </row>
    <row r="2572" spans="1:5" ht="13">
      <c r="A2572" s="8" t="str">
        <f ca="1">IFERROR(__xludf.DUMMYFUNCTION("""COMPUTED_VALUE"""),"Ferritto, John E.")</f>
        <v>Ferritto, John E.</v>
      </c>
      <c r="B2572" s="3">
        <f ca="1">IFERROR(__xludf.DUMMYFUNCTION("""COMPUTED_VALUE"""),1)</f>
        <v>1</v>
      </c>
      <c r="C2572" s="7">
        <f ca="1">IFERROR(__xludf.DUMMYFUNCTION("""COMPUTED_VALUE"""),1)</f>
        <v>1</v>
      </c>
      <c r="D2572" s="8">
        <f ca="1">IFERROR(__xludf.DUMMYFUNCTION("""COMPUTED_VALUE"""),5)</f>
        <v>5</v>
      </c>
      <c r="E2572" s="2">
        <f ca="1">IFERROR(__xludf.DUMMYFUNCTION("""COMPUTED_VALUE"""),2)</f>
        <v>2</v>
      </c>
    </row>
    <row r="2573" spans="1:5" ht="13">
      <c r="A2573" s="2" t="str">
        <f ca="1">IFERROR(__xludf.DUMMYFUNCTION("""COMPUTED_VALUE"""),"Ferro, Nicola")</f>
        <v>Ferro, Nicola</v>
      </c>
      <c r="B2573" s="3">
        <f ca="1">IFERROR(__xludf.DUMMYFUNCTION("""COMPUTED_VALUE"""),1)</f>
        <v>1</v>
      </c>
      <c r="C2573" s="7">
        <f ca="1">IFERROR(__xludf.DUMMYFUNCTION("""COMPUTED_VALUE"""),1)</f>
        <v>1</v>
      </c>
      <c r="D2573" s="8">
        <f ca="1">IFERROR(__xludf.DUMMYFUNCTION("""COMPUTED_VALUE"""),1)</f>
        <v>1</v>
      </c>
      <c r="E2573" s="2">
        <f ca="1">IFERROR(__xludf.DUMMYFUNCTION("""COMPUTED_VALUE"""),1)</f>
        <v>1</v>
      </c>
    </row>
    <row r="2574" spans="1:5" ht="13">
      <c r="A2574" s="2" t="str">
        <f ca="1">IFERROR(__xludf.DUMMYFUNCTION("""COMPUTED_VALUE"""),"Festa, Constanzo")</f>
        <v>Festa, Constanzo</v>
      </c>
      <c r="B2574" s="3">
        <f ca="1">IFERROR(__xludf.DUMMYFUNCTION("""COMPUTED_VALUE"""),1)</f>
        <v>1</v>
      </c>
      <c r="C2574" s="7">
        <f ca="1">IFERROR(__xludf.DUMMYFUNCTION("""COMPUTED_VALUE"""),1)</f>
        <v>1</v>
      </c>
      <c r="D2574" s="8">
        <f ca="1">IFERROR(__xludf.DUMMYFUNCTION("""COMPUTED_VALUE"""),5)</f>
        <v>5</v>
      </c>
      <c r="E2574" s="2">
        <f ca="1">IFERROR(__xludf.DUMMYFUNCTION("""COMPUTED_VALUE"""),2)</f>
        <v>2</v>
      </c>
    </row>
    <row r="2575" spans="1:5" ht="13">
      <c r="A2575" s="2" t="str">
        <f ca="1">IFERROR(__xludf.DUMMYFUNCTION("""COMPUTED_VALUE"""),"Festa, Costanzo")</f>
        <v>Festa, Costanzo</v>
      </c>
      <c r="B2575" s="2">
        <f ca="1">IFERROR(__xludf.DUMMYFUNCTION("""COMPUTED_VALUE"""),1)</f>
        <v>1</v>
      </c>
      <c r="C2575" s="7">
        <f ca="1">IFERROR(__xludf.DUMMYFUNCTION("""COMPUTED_VALUE"""),1)</f>
        <v>1</v>
      </c>
      <c r="D2575" s="8">
        <f ca="1">IFERROR(__xludf.DUMMYFUNCTION("""COMPUTED_VALUE"""),5)</f>
        <v>5</v>
      </c>
      <c r="E2575" s="2">
        <f ca="1">IFERROR(__xludf.DUMMYFUNCTION("""COMPUTED_VALUE"""),2)</f>
        <v>2</v>
      </c>
    </row>
    <row r="2576" spans="1:5" ht="13">
      <c r="A2576" s="2" t="str">
        <f ca="1">IFERROR(__xludf.DUMMYFUNCTION("""COMPUTED_VALUE"""),"Festing, Michael Christian")</f>
        <v>Festing, Michael Christian</v>
      </c>
      <c r="B2576" s="3">
        <f ca="1">IFERROR(__xludf.DUMMYFUNCTION("""COMPUTED_VALUE"""),1)</f>
        <v>1</v>
      </c>
      <c r="C2576" s="7">
        <f ca="1">IFERROR(__xludf.DUMMYFUNCTION("""COMPUTED_VALUE"""),1)</f>
        <v>1</v>
      </c>
      <c r="D2576" s="8">
        <f ca="1">IFERROR(__xludf.DUMMYFUNCTION("""COMPUTED_VALUE"""),5)</f>
        <v>5</v>
      </c>
      <c r="E2576" s="2">
        <f ca="1">IFERROR(__xludf.DUMMYFUNCTION("""COMPUTED_VALUE"""),2)</f>
        <v>2</v>
      </c>
    </row>
    <row r="2577" spans="1:5" ht="13">
      <c r="A2577" s="2" t="str">
        <f ca="1">IFERROR(__xludf.DUMMYFUNCTION("""COMPUTED_VALUE"""),"Fetler, Paul")</f>
        <v>Fetler, Paul</v>
      </c>
      <c r="B2577" s="3">
        <f ca="1">IFERROR(__xludf.DUMMYFUNCTION("""COMPUTED_VALUE"""),1)</f>
        <v>1</v>
      </c>
      <c r="C2577" s="7">
        <f ca="1">IFERROR(__xludf.DUMMYFUNCTION("""COMPUTED_VALUE"""),1)</f>
        <v>1</v>
      </c>
      <c r="D2577" s="8">
        <f ca="1">IFERROR(__xludf.DUMMYFUNCTION("""COMPUTED_VALUE"""),1)</f>
        <v>1</v>
      </c>
      <c r="E2577" s="2">
        <f ca="1">IFERROR(__xludf.DUMMYFUNCTION("""COMPUTED_VALUE"""),1)</f>
        <v>1</v>
      </c>
    </row>
    <row r="2578" spans="1:5" ht="13">
      <c r="A2578" s="8" t="str">
        <f ca="1">IFERROR(__xludf.DUMMYFUNCTION("""COMPUTED_VALUE"""),"Fetner, George")</f>
        <v>Fetner, George</v>
      </c>
      <c r="B2578" s="3">
        <f ca="1">IFERROR(__xludf.DUMMYFUNCTION("""COMPUTED_VALUE"""),1)</f>
        <v>1</v>
      </c>
      <c r="C2578" s="7">
        <f ca="1">IFERROR(__xludf.DUMMYFUNCTION("""COMPUTED_VALUE"""),1)</f>
        <v>1</v>
      </c>
      <c r="D2578" s="8">
        <f ca="1">IFERROR(__xludf.DUMMYFUNCTION("""COMPUTED_VALUE"""),1)</f>
        <v>1</v>
      </c>
      <c r="E2578" s="2">
        <f ca="1">IFERROR(__xludf.DUMMYFUNCTION("""COMPUTED_VALUE"""),1)</f>
        <v>1</v>
      </c>
    </row>
    <row r="2579" spans="1:5" ht="13">
      <c r="A2579" s="2" t="str">
        <f ca="1">IFERROR(__xludf.DUMMYFUNCTION("""COMPUTED_VALUE"""),"Fettke, Tom")</f>
        <v>Fettke, Tom</v>
      </c>
      <c r="B2579" s="3">
        <f ca="1">IFERROR(__xludf.DUMMYFUNCTION("""COMPUTED_VALUE"""),1)</f>
        <v>1</v>
      </c>
      <c r="C2579" s="7">
        <f ca="1">IFERROR(__xludf.DUMMYFUNCTION("""COMPUTED_VALUE"""),1)</f>
        <v>1</v>
      </c>
      <c r="D2579" s="8">
        <f ca="1">IFERROR(__xludf.DUMMYFUNCTION("""COMPUTED_VALUE"""),1)</f>
        <v>1</v>
      </c>
      <c r="E2579" s="2">
        <f ca="1">IFERROR(__xludf.DUMMYFUNCTION("""COMPUTED_VALUE"""),1)</f>
        <v>1</v>
      </c>
    </row>
    <row r="2580" spans="1:5" ht="13">
      <c r="A2580" s="2" t="str">
        <f ca="1">IFERROR(__xludf.DUMMYFUNCTION("""COMPUTED_VALUE"""),"Fettke, Tom / Grassi, Thomas")</f>
        <v>Fettke, Tom / Grassi, Thomas</v>
      </c>
      <c r="B2580" s="2">
        <f ca="1">IFERROR(__xludf.DUMMYFUNCTION("""COMPUTED_VALUE"""),1)</f>
        <v>1</v>
      </c>
      <c r="C2580" s="7">
        <f ca="1">IFERROR(__xludf.DUMMYFUNCTION("""COMPUTED_VALUE"""),1)</f>
        <v>1</v>
      </c>
      <c r="D2580" s="8">
        <f ca="1">IFERROR(__xludf.DUMMYFUNCTION("""COMPUTED_VALUE"""),1)</f>
        <v>1</v>
      </c>
      <c r="E2580" s="2">
        <f ca="1">IFERROR(__xludf.DUMMYFUNCTION("""COMPUTED_VALUE"""),1)</f>
        <v>1</v>
      </c>
    </row>
    <row r="2581" spans="1:5" ht="13">
      <c r="A2581" s="8" t="str">
        <f ca="1">IFERROR(__xludf.DUMMYFUNCTION("""COMPUTED_VALUE"""),"Feuchtwanger, Peter")</f>
        <v>Feuchtwanger, Peter</v>
      </c>
      <c r="B2581" s="3">
        <f ca="1">IFERROR(__xludf.DUMMYFUNCTION("""COMPUTED_VALUE"""),1)</f>
        <v>1</v>
      </c>
      <c r="C2581" s="7">
        <f ca="1">IFERROR(__xludf.DUMMYFUNCTION("""COMPUTED_VALUE"""),1)</f>
        <v>1</v>
      </c>
      <c r="D2581" s="8">
        <f ca="1">IFERROR(__xludf.DUMMYFUNCTION("""COMPUTED_VALUE"""),5)</f>
        <v>5</v>
      </c>
      <c r="E2581" s="2">
        <f ca="1">IFERROR(__xludf.DUMMYFUNCTION("""COMPUTED_VALUE"""),2)</f>
        <v>2</v>
      </c>
    </row>
    <row r="2582" spans="1:5" ht="13">
      <c r="A2582" s="2" t="str">
        <f ca="1">IFERROR(__xludf.DUMMYFUNCTION("""COMPUTED_VALUE"""),"Fhiaras, Greg")</f>
        <v>Fhiaras, Greg</v>
      </c>
      <c r="B2582" s="3">
        <f ca="1">IFERROR(__xludf.DUMMYFUNCTION("""COMPUTED_VALUE"""),1)</f>
        <v>1</v>
      </c>
      <c r="C2582" s="7">
        <f ca="1">IFERROR(__xludf.DUMMYFUNCTION("""COMPUTED_VALUE"""),1)</f>
        <v>1</v>
      </c>
      <c r="D2582" s="8">
        <f ca="1">IFERROR(__xludf.DUMMYFUNCTION("""COMPUTED_VALUE"""),1)</f>
        <v>1</v>
      </c>
      <c r="E2582" s="2">
        <f ca="1">IFERROR(__xludf.DUMMYFUNCTION("""COMPUTED_VALUE"""),1)</f>
        <v>1</v>
      </c>
    </row>
    <row r="2583" spans="1:5" ht="13">
      <c r="A2583" s="2" t="str">
        <f ca="1">IFERROR(__xludf.DUMMYFUNCTION("""COMPUTED_VALUE"""),"Fhiaris, Greg")</f>
        <v>Fhiaris, Greg</v>
      </c>
      <c r="B2583" s="3">
        <f ca="1">IFERROR(__xludf.DUMMYFUNCTION("""COMPUTED_VALUE"""),1)</f>
        <v>1</v>
      </c>
      <c r="C2583" s="7">
        <f ca="1">IFERROR(__xludf.DUMMYFUNCTION("""COMPUTED_VALUE"""),1)</f>
        <v>1</v>
      </c>
      <c r="D2583" s="8">
        <f ca="1">IFERROR(__xludf.DUMMYFUNCTION("""COMPUTED_VALUE"""),1)</f>
        <v>1</v>
      </c>
      <c r="E2583" s="2">
        <f ca="1">IFERROR(__xludf.DUMMYFUNCTION("""COMPUTED_VALUE"""),1)</f>
        <v>1</v>
      </c>
    </row>
    <row r="2584" spans="1:5" ht="13">
      <c r="A2584" s="2" t="str">
        <f ca="1">IFERROR(__xludf.DUMMYFUNCTION("""COMPUTED_VALUE"""),"Fiala, Günther")</f>
        <v>Fiala, Günther</v>
      </c>
      <c r="B2584" s="2">
        <f ca="1">IFERROR(__xludf.DUMMYFUNCTION("""COMPUTED_VALUE"""),1)</f>
        <v>1</v>
      </c>
      <c r="C2584" s="7">
        <f ca="1">IFERROR(__xludf.DUMMYFUNCTION("""COMPUTED_VALUE"""),1)</f>
        <v>1</v>
      </c>
      <c r="D2584" s="8">
        <f ca="1">IFERROR(__xludf.DUMMYFUNCTION("""COMPUTED_VALUE"""),1)</f>
        <v>1</v>
      </c>
      <c r="E2584" s="2">
        <f ca="1">IFERROR(__xludf.DUMMYFUNCTION("""COMPUTED_VALUE"""),1)</f>
        <v>1</v>
      </c>
    </row>
    <row r="2585" spans="1:5" ht="13">
      <c r="A2585" s="2" t="str">
        <f ca="1">IFERROR(__xludf.DUMMYFUNCTION("""COMPUTED_VALUE"""),"Fiala, Joseph")</f>
        <v>Fiala, Joseph</v>
      </c>
      <c r="B2585" s="2">
        <f ca="1">IFERROR(__xludf.DUMMYFUNCTION("""COMPUTED_VALUE"""),1)</f>
        <v>1</v>
      </c>
      <c r="C2585" s="7">
        <f ca="1">IFERROR(__xludf.DUMMYFUNCTION("""COMPUTED_VALUE"""),1)</f>
        <v>1</v>
      </c>
      <c r="D2585" s="8">
        <f ca="1">IFERROR(__xludf.DUMMYFUNCTION("""COMPUTED_VALUE"""),5)</f>
        <v>5</v>
      </c>
      <c r="E2585" s="2">
        <f ca="1">IFERROR(__xludf.DUMMYFUNCTION("""COMPUTED_VALUE"""),2)</f>
        <v>2</v>
      </c>
    </row>
    <row r="2586" spans="1:5" ht="13">
      <c r="A2586" s="2" t="str">
        <f ca="1">IFERROR(__xludf.DUMMYFUNCTION("""COMPUTED_VALUE"""),"Fibich, Zdenek")</f>
        <v>Fibich, Zdenek</v>
      </c>
      <c r="B2586" s="2">
        <f ca="1">IFERROR(__xludf.DUMMYFUNCTION("""COMPUTED_VALUE"""),1)</f>
        <v>1</v>
      </c>
      <c r="C2586" s="7">
        <f ca="1">IFERROR(__xludf.DUMMYFUNCTION("""COMPUTED_VALUE"""),1)</f>
        <v>1</v>
      </c>
      <c r="D2586" s="8">
        <f ca="1">IFERROR(__xludf.DUMMYFUNCTION("""COMPUTED_VALUE"""),5)</f>
        <v>5</v>
      </c>
      <c r="E2586" s="2">
        <f ca="1">IFERROR(__xludf.DUMMYFUNCTION("""COMPUTED_VALUE"""),2)</f>
        <v>2</v>
      </c>
    </row>
    <row r="2587" spans="1:5" ht="13">
      <c r="A2587" s="2" t="str">
        <f ca="1">IFERROR(__xludf.DUMMYFUNCTION("""COMPUTED_VALUE"""),"Fibich, Zdenko")</f>
        <v>Fibich, Zdenko</v>
      </c>
      <c r="B2587" s="2">
        <f ca="1">IFERROR(__xludf.DUMMYFUNCTION("""COMPUTED_VALUE"""),1)</f>
        <v>1</v>
      </c>
      <c r="C2587" s="7">
        <f ca="1">IFERROR(__xludf.DUMMYFUNCTION("""COMPUTED_VALUE"""),1)</f>
        <v>1</v>
      </c>
      <c r="D2587" s="8">
        <f ca="1">IFERROR(__xludf.DUMMYFUNCTION("""COMPUTED_VALUE"""),5)</f>
        <v>5</v>
      </c>
      <c r="E2587" s="2">
        <f ca="1">IFERROR(__xludf.DUMMYFUNCTION("""COMPUTED_VALUE"""),2)</f>
        <v>2</v>
      </c>
    </row>
    <row r="2588" spans="1:5" ht="13">
      <c r="A2588" s="2" t="str">
        <f ca="1">IFERROR(__xludf.DUMMYFUNCTION("""COMPUTED_VALUE"""),"Fick-Cambria, Zachary")</f>
        <v>Fick-Cambria, Zachary</v>
      </c>
      <c r="B2588" s="2">
        <f ca="1">IFERROR(__xludf.DUMMYFUNCTION("""COMPUTED_VALUE"""),1)</f>
        <v>1</v>
      </c>
      <c r="C2588" s="2">
        <f ca="1">IFERROR(__xludf.DUMMYFUNCTION("""COMPUTED_VALUE"""),1)</f>
        <v>1</v>
      </c>
      <c r="D2588" s="8">
        <f ca="1">IFERROR(__xludf.DUMMYFUNCTION("""COMPUTED_VALUE"""),1)</f>
        <v>1</v>
      </c>
      <c r="E2588" s="2">
        <f ca="1">IFERROR(__xludf.DUMMYFUNCTION("""COMPUTED_VALUE"""),1)</f>
        <v>1</v>
      </c>
    </row>
    <row r="2589" spans="1:5" ht="13">
      <c r="A2589" s="2" t="str">
        <f ca="1">IFERROR(__xludf.DUMMYFUNCTION("""COMPUTED_VALUE"""),"Fick, Zander")</f>
        <v>Fick, Zander</v>
      </c>
      <c r="B2589" s="3">
        <f ca="1">IFERROR(__xludf.DUMMYFUNCTION("""COMPUTED_VALUE"""),1)</f>
        <v>1</v>
      </c>
      <c r="C2589" s="7">
        <f ca="1">IFERROR(__xludf.DUMMYFUNCTION("""COMPUTED_VALUE"""),1)</f>
        <v>1</v>
      </c>
      <c r="D2589" s="8">
        <f ca="1">IFERROR(__xludf.DUMMYFUNCTION("""COMPUTED_VALUE"""),1)</f>
        <v>1</v>
      </c>
      <c r="E2589" s="2">
        <f ca="1">IFERROR(__xludf.DUMMYFUNCTION("""COMPUTED_VALUE"""),1)</f>
        <v>1</v>
      </c>
    </row>
    <row r="2590" spans="1:5" ht="13">
      <c r="A2590" s="2" t="str">
        <f ca="1">IFERROR(__xludf.DUMMYFUNCTION("""COMPUTED_VALUE"""),"Fiday, Michael")</f>
        <v>Fiday, Michael</v>
      </c>
      <c r="B2590" s="3">
        <f ca="1">IFERROR(__xludf.DUMMYFUNCTION("""COMPUTED_VALUE"""),1)</f>
        <v>1</v>
      </c>
      <c r="C2590" s="7">
        <f ca="1">IFERROR(__xludf.DUMMYFUNCTION("""COMPUTED_VALUE"""),1)</f>
        <v>1</v>
      </c>
      <c r="D2590" s="8">
        <f ca="1">IFERROR(__xludf.DUMMYFUNCTION("""COMPUTED_VALUE"""),1)</f>
        <v>1</v>
      </c>
      <c r="E2590" s="2">
        <f ca="1">IFERROR(__xludf.DUMMYFUNCTION("""COMPUTED_VALUE"""),1)</f>
        <v>1</v>
      </c>
    </row>
    <row r="2591" spans="1:5" ht="13">
      <c r="A2591" s="2" t="str">
        <f ca="1">IFERROR(__xludf.DUMMYFUNCTION("""COMPUTED_VALUE"""),"Field, John")</f>
        <v>Field, John</v>
      </c>
      <c r="B2591" s="2">
        <f ca="1">IFERROR(__xludf.DUMMYFUNCTION("""COMPUTED_VALUE"""),1)</f>
        <v>1</v>
      </c>
      <c r="C2591" s="7">
        <f ca="1">IFERROR(__xludf.DUMMYFUNCTION("""COMPUTED_VALUE"""),1)</f>
        <v>1</v>
      </c>
      <c r="D2591" s="8">
        <f ca="1">IFERROR(__xludf.DUMMYFUNCTION("""COMPUTED_VALUE"""),5)</f>
        <v>5</v>
      </c>
      <c r="E2591" s="2">
        <f ca="1">IFERROR(__xludf.DUMMYFUNCTION("""COMPUTED_VALUE"""),2)</f>
        <v>2</v>
      </c>
    </row>
    <row r="2592" spans="1:5" ht="13">
      <c r="A2592" s="8" t="str">
        <f ca="1">IFERROR(__xludf.DUMMYFUNCTION("""COMPUTED_VALUE"""),"Field, Robert")</f>
        <v>Field, Robert</v>
      </c>
      <c r="B2592" s="9">
        <f ca="1">IFERROR(__xludf.DUMMYFUNCTION("""COMPUTED_VALUE"""),1)</f>
        <v>1</v>
      </c>
      <c r="C2592" s="7">
        <f ca="1">IFERROR(__xludf.DUMMYFUNCTION("""COMPUTED_VALUE"""),1)</f>
        <v>1</v>
      </c>
      <c r="D2592" s="8">
        <f ca="1">IFERROR(__xludf.DUMMYFUNCTION("""COMPUTED_VALUE"""),5)</f>
        <v>5</v>
      </c>
      <c r="E2592" s="9">
        <f ca="1">IFERROR(__xludf.DUMMYFUNCTION("""COMPUTED_VALUE"""),2)</f>
        <v>2</v>
      </c>
    </row>
    <row r="2593" spans="1:5" ht="13">
      <c r="A2593" s="8" t="str">
        <f ca="1">IFERROR(__xludf.DUMMYFUNCTION("""COMPUTED_VALUE"""),"Fielding, Jerry")</f>
        <v>Fielding, Jerry</v>
      </c>
      <c r="B2593" s="3">
        <f ca="1">IFERROR(__xludf.DUMMYFUNCTION("""COMPUTED_VALUE"""),1)</f>
        <v>1</v>
      </c>
      <c r="C2593" s="7">
        <f ca="1">IFERROR(__xludf.DUMMYFUNCTION("""COMPUTED_VALUE"""),1)</f>
        <v>1</v>
      </c>
      <c r="D2593" s="8">
        <f ca="1">IFERROR(__xludf.DUMMYFUNCTION("""COMPUTED_VALUE"""),5)</f>
        <v>5</v>
      </c>
      <c r="E2593" s="2">
        <f ca="1">IFERROR(__xludf.DUMMYFUNCTION("""COMPUTED_VALUE"""),2)</f>
        <v>2</v>
      </c>
    </row>
    <row r="2594" spans="1:5" ht="13">
      <c r="A2594" s="2" t="str">
        <f ca="1">IFERROR(__xludf.DUMMYFUNCTION("""COMPUTED_VALUE"""),"Fieldsteel, Eli")</f>
        <v>Fieldsteel, Eli</v>
      </c>
      <c r="B2594" s="3">
        <f ca="1">IFERROR(__xludf.DUMMYFUNCTION("""COMPUTED_VALUE"""),1)</f>
        <v>1</v>
      </c>
      <c r="C2594" s="7">
        <f ca="1">IFERROR(__xludf.DUMMYFUNCTION("""COMPUTED_VALUE"""),1)</f>
        <v>1</v>
      </c>
      <c r="D2594" s="8">
        <f ca="1">IFERROR(__xludf.DUMMYFUNCTION("""COMPUTED_VALUE"""),1)</f>
        <v>1</v>
      </c>
      <c r="E2594" s="2">
        <f ca="1">IFERROR(__xludf.DUMMYFUNCTION("""COMPUTED_VALUE"""),1)</f>
        <v>1</v>
      </c>
    </row>
    <row r="2595" spans="1:5" ht="13">
      <c r="A2595" s="8" t="str">
        <f ca="1">IFERROR(__xludf.DUMMYFUNCTION("""COMPUTED_VALUE"""),"Filas, Thomas")</f>
        <v>Filas, Thomas</v>
      </c>
      <c r="B2595" s="2">
        <f ca="1">IFERROR(__xludf.DUMMYFUNCTION("""COMPUTED_VALUE"""),1)</f>
        <v>1</v>
      </c>
      <c r="C2595" s="7">
        <f ca="1">IFERROR(__xludf.DUMMYFUNCTION("""COMPUTED_VALUE"""),1)</f>
        <v>1</v>
      </c>
      <c r="D2595" s="8">
        <f ca="1">IFERROR(__xludf.DUMMYFUNCTION("""COMPUTED_VALUE"""),5)</f>
        <v>5</v>
      </c>
      <c r="E2595" s="2">
        <f ca="1">IFERROR(__xludf.DUMMYFUNCTION("""COMPUTED_VALUE"""),2)</f>
        <v>2</v>
      </c>
    </row>
    <row r="2596" spans="1:5" ht="13">
      <c r="A2596" s="2" t="str">
        <f ca="1">IFERROR(__xludf.DUMMYFUNCTION("""COMPUTED_VALUE"""),"Filidei, Francesco")</f>
        <v>Filidei, Francesco</v>
      </c>
      <c r="B2596" s="3">
        <f ca="1">IFERROR(__xludf.DUMMYFUNCTION("""COMPUTED_VALUE"""),1)</f>
        <v>1</v>
      </c>
      <c r="C2596" s="7">
        <f ca="1">IFERROR(__xludf.DUMMYFUNCTION("""COMPUTED_VALUE"""),1)</f>
        <v>1</v>
      </c>
      <c r="D2596" s="8">
        <f ca="1">IFERROR(__xludf.DUMMYFUNCTION("""COMPUTED_VALUE"""),1)</f>
        <v>1</v>
      </c>
      <c r="E2596" s="2">
        <f ca="1">IFERROR(__xludf.DUMMYFUNCTION("""COMPUTED_VALUE"""),1)</f>
        <v>1</v>
      </c>
    </row>
    <row r="2597" spans="1:5" ht="13">
      <c r="A2597" s="2" t="str">
        <f ca="1">IFERROR(__xludf.DUMMYFUNCTION("""COMPUTED_VALUE"""),"Filipucci, Edmond")</f>
        <v>Filipucci, Edmond</v>
      </c>
      <c r="B2597" s="3">
        <f ca="1">IFERROR(__xludf.DUMMYFUNCTION("""COMPUTED_VALUE"""),1)</f>
        <v>1</v>
      </c>
      <c r="C2597" s="7">
        <f ca="1">IFERROR(__xludf.DUMMYFUNCTION("""COMPUTED_VALUE"""),1)</f>
        <v>1</v>
      </c>
      <c r="D2597" s="8">
        <f ca="1">IFERROR(__xludf.DUMMYFUNCTION("""COMPUTED_VALUE"""),5)</f>
        <v>5</v>
      </c>
      <c r="E2597" s="2">
        <f ca="1">IFERROR(__xludf.DUMMYFUNCTION("""COMPUTED_VALUE"""),2)</f>
        <v>2</v>
      </c>
    </row>
    <row r="2598" spans="1:5" ht="13">
      <c r="A2598" s="2" t="str">
        <f ca="1">IFERROR(__xludf.DUMMYFUNCTION("""COMPUTED_VALUE"""),"Fillmore / Foster")</f>
        <v>Fillmore / Foster</v>
      </c>
      <c r="B2598" s="3">
        <f ca="1">IFERROR(__xludf.DUMMYFUNCTION("""COMPUTED_VALUE"""),1)</f>
        <v>1</v>
      </c>
      <c r="C2598" s="7">
        <f ca="1">IFERROR(__xludf.DUMMYFUNCTION("""COMPUTED_VALUE"""),1)</f>
        <v>1</v>
      </c>
      <c r="D2598" s="8">
        <f ca="1">IFERROR(__xludf.DUMMYFUNCTION("""COMPUTED_VALUE"""),5)</f>
        <v>5</v>
      </c>
      <c r="E2598" s="2">
        <f ca="1">IFERROR(__xludf.DUMMYFUNCTION("""COMPUTED_VALUE"""),2)</f>
        <v>2</v>
      </c>
    </row>
    <row r="2599" spans="1:5" ht="13">
      <c r="A2599" s="2" t="str">
        <f ca="1">IFERROR(__xludf.DUMMYFUNCTION("""COMPUTED_VALUE"""),"Fillmore, Henry")</f>
        <v>Fillmore, Henry</v>
      </c>
      <c r="B2599" s="3">
        <f ca="1">IFERROR(__xludf.DUMMYFUNCTION("""COMPUTED_VALUE"""),1)</f>
        <v>1</v>
      </c>
      <c r="C2599" s="7">
        <f ca="1">IFERROR(__xludf.DUMMYFUNCTION("""COMPUTED_VALUE"""),1)</f>
        <v>1</v>
      </c>
      <c r="D2599" s="8">
        <f ca="1">IFERROR(__xludf.DUMMYFUNCTION("""COMPUTED_VALUE"""),5)</f>
        <v>5</v>
      </c>
      <c r="E2599" s="2">
        <f ca="1">IFERROR(__xludf.DUMMYFUNCTION("""COMPUTED_VALUE"""),2)</f>
        <v>2</v>
      </c>
    </row>
    <row r="2600" spans="1:5" ht="13">
      <c r="A2600" s="8" t="str">
        <f ca="1">IFERROR(__xludf.DUMMYFUNCTION("""COMPUTED_VALUE"""),"Filtz, Anton")</f>
        <v>Filtz, Anton</v>
      </c>
      <c r="B2600" s="2">
        <f ca="1">IFERROR(__xludf.DUMMYFUNCTION("""COMPUTED_VALUE"""),1)</f>
        <v>1</v>
      </c>
      <c r="C2600" s="7">
        <f ca="1">IFERROR(__xludf.DUMMYFUNCTION("""COMPUTED_VALUE"""),1)</f>
        <v>1</v>
      </c>
      <c r="D2600" s="8">
        <f ca="1">IFERROR(__xludf.DUMMYFUNCTION("""COMPUTED_VALUE"""),5)</f>
        <v>5</v>
      </c>
      <c r="E2600" s="2">
        <f ca="1">IFERROR(__xludf.DUMMYFUNCTION("""COMPUTED_VALUE"""),2)</f>
        <v>2</v>
      </c>
    </row>
    <row r="2601" spans="1:5" ht="13">
      <c r="A2601" s="2" t="str">
        <f ca="1">IFERROR(__xludf.DUMMYFUNCTION("""COMPUTED_VALUE"""),"Finch, Ronald")</f>
        <v>Finch, Ronald</v>
      </c>
      <c r="B2601" s="3">
        <f ca="1">IFERROR(__xludf.DUMMYFUNCTION("""COMPUTED_VALUE"""),1)</f>
        <v>1</v>
      </c>
      <c r="C2601" s="7">
        <f ca="1">IFERROR(__xludf.DUMMYFUNCTION("""COMPUTED_VALUE"""),1)</f>
        <v>1</v>
      </c>
      <c r="D2601" s="8">
        <f ca="1">IFERROR(__xludf.DUMMYFUNCTION("""COMPUTED_VALUE"""),5)</f>
        <v>5</v>
      </c>
      <c r="E2601" s="2">
        <f ca="1">IFERROR(__xludf.DUMMYFUNCTION("""COMPUTED_VALUE"""),2)</f>
        <v>2</v>
      </c>
    </row>
    <row r="2602" spans="1:5" ht="13">
      <c r="A2602" s="2" t="str">
        <f ca="1">IFERROR(__xludf.DUMMYFUNCTION("""COMPUTED_VALUE"""),"Fine, Irving")</f>
        <v>Fine, Irving</v>
      </c>
      <c r="B2602" s="3">
        <f ca="1">IFERROR(__xludf.DUMMYFUNCTION("""COMPUTED_VALUE"""),1)</f>
        <v>1</v>
      </c>
      <c r="C2602" s="7">
        <f ca="1">IFERROR(__xludf.DUMMYFUNCTION("""COMPUTED_VALUE"""),1)</f>
        <v>1</v>
      </c>
      <c r="D2602" s="8">
        <f ca="1">IFERROR(__xludf.DUMMYFUNCTION("""COMPUTED_VALUE"""),5)</f>
        <v>5</v>
      </c>
      <c r="E2602" s="2">
        <f ca="1">IFERROR(__xludf.DUMMYFUNCTION("""COMPUTED_VALUE"""),2)</f>
        <v>2</v>
      </c>
    </row>
    <row r="2603" spans="1:5" ht="13">
      <c r="A2603" s="2" t="str">
        <f ca="1">IFERROR(__xludf.DUMMYFUNCTION("""COMPUTED_VALUE"""),"Fine, Michael")</f>
        <v>Fine, Michael</v>
      </c>
      <c r="B2603" s="3">
        <f ca="1">IFERROR(__xludf.DUMMYFUNCTION("""COMPUTED_VALUE"""),1)</f>
        <v>1</v>
      </c>
      <c r="C2603" s="7">
        <f ca="1">IFERROR(__xludf.DUMMYFUNCTION("""COMPUTED_VALUE"""),1)</f>
        <v>1</v>
      </c>
      <c r="D2603" s="8">
        <f ca="1">IFERROR(__xludf.DUMMYFUNCTION("""COMPUTED_VALUE"""),1)</f>
        <v>1</v>
      </c>
      <c r="E2603" s="2">
        <f ca="1">IFERROR(__xludf.DUMMYFUNCTION("""COMPUTED_VALUE"""),1)</f>
        <v>1</v>
      </c>
    </row>
    <row r="2604" spans="1:5" ht="13">
      <c r="A2604" s="2" t="str">
        <f ca="1">IFERROR(__xludf.DUMMYFUNCTION("""COMPUTED_VALUE"""),"Fink, Michael")</f>
        <v>Fink, Michael</v>
      </c>
      <c r="B2604" s="3">
        <f ca="1">IFERROR(__xludf.DUMMYFUNCTION("""COMPUTED_VALUE"""),1)</f>
        <v>1</v>
      </c>
      <c r="C2604" s="7">
        <f ca="1">IFERROR(__xludf.DUMMYFUNCTION("""COMPUTED_VALUE"""),1)</f>
        <v>1</v>
      </c>
      <c r="D2604" s="8">
        <f ca="1">IFERROR(__xludf.DUMMYFUNCTION("""COMPUTED_VALUE"""),1)</f>
        <v>1</v>
      </c>
      <c r="E2604" s="2">
        <f ca="1">IFERROR(__xludf.DUMMYFUNCTION("""COMPUTED_VALUE"""),1)</f>
        <v>1</v>
      </c>
    </row>
    <row r="2605" spans="1:5" ht="13">
      <c r="A2605" s="2" t="str">
        <f ca="1">IFERROR(__xludf.DUMMYFUNCTION("""COMPUTED_VALUE"""),"Fink, Philip")</f>
        <v>Fink, Philip</v>
      </c>
      <c r="B2605" s="3">
        <f ca="1">IFERROR(__xludf.DUMMYFUNCTION("""COMPUTED_VALUE"""),1)</f>
        <v>1</v>
      </c>
      <c r="C2605" s="7">
        <f ca="1">IFERROR(__xludf.DUMMYFUNCTION("""COMPUTED_VALUE"""),1)</f>
        <v>1</v>
      </c>
      <c r="D2605" s="8">
        <f ca="1">IFERROR(__xludf.DUMMYFUNCTION("""COMPUTED_VALUE"""),5)</f>
        <v>5</v>
      </c>
      <c r="E2605" s="2">
        <f ca="1">IFERROR(__xludf.DUMMYFUNCTION("""COMPUTED_VALUE"""),2)</f>
        <v>2</v>
      </c>
    </row>
    <row r="2606" spans="1:5" ht="13">
      <c r="A2606" s="2" t="str">
        <f ca="1">IFERROR(__xludf.DUMMYFUNCTION("""COMPUTED_VALUE"""),"Finlayson, Walter A.")</f>
        <v>Finlayson, Walter A.</v>
      </c>
      <c r="B2606" s="3">
        <f ca="1">IFERROR(__xludf.DUMMYFUNCTION("""COMPUTED_VALUE"""),1)</f>
        <v>1</v>
      </c>
      <c r="C2606" s="7">
        <f ca="1">IFERROR(__xludf.DUMMYFUNCTION("""COMPUTED_VALUE"""),1)</f>
        <v>1</v>
      </c>
      <c r="D2606" s="8">
        <f ca="1">IFERROR(__xludf.DUMMYFUNCTION("""COMPUTED_VALUE"""),5)</f>
        <v>5</v>
      </c>
      <c r="E2606" s="2">
        <f ca="1">IFERROR(__xludf.DUMMYFUNCTION("""COMPUTED_VALUE"""),2)</f>
        <v>2</v>
      </c>
    </row>
    <row r="2607" spans="1:5" ht="13">
      <c r="A2607" s="8" t="str">
        <f ca="1">IFERROR(__xludf.DUMMYFUNCTION("""COMPUTED_VALUE"""),"Finley, Brian")</f>
        <v>Finley, Brian</v>
      </c>
      <c r="B2607" s="3">
        <f ca="1">IFERROR(__xludf.DUMMYFUNCTION("""COMPUTED_VALUE"""),1)</f>
        <v>1</v>
      </c>
      <c r="C2607" s="7">
        <f ca="1">IFERROR(__xludf.DUMMYFUNCTION("""COMPUTED_VALUE"""),1)</f>
        <v>1</v>
      </c>
      <c r="D2607" s="8">
        <f ca="1">IFERROR(__xludf.DUMMYFUNCTION("""COMPUTED_VALUE"""),1)</f>
        <v>1</v>
      </c>
      <c r="E2607" s="2">
        <f ca="1">IFERROR(__xludf.DUMMYFUNCTION("""COMPUTED_VALUE"""),1)</f>
        <v>1</v>
      </c>
    </row>
    <row r="2608" spans="1:5" ht="13">
      <c r="A2608" s="8" t="str">
        <f ca="1">IFERROR(__xludf.DUMMYFUNCTION("""COMPUTED_VALUE"""),"Finn, William")</f>
        <v>Finn, William</v>
      </c>
      <c r="B2608" s="3">
        <f ca="1">IFERROR(__xludf.DUMMYFUNCTION("""COMPUTED_VALUE"""),1)</f>
        <v>1</v>
      </c>
      <c r="C2608" s="7">
        <f ca="1">IFERROR(__xludf.DUMMYFUNCTION("""COMPUTED_VALUE"""),1)</f>
        <v>1</v>
      </c>
      <c r="D2608" s="8">
        <f ca="1">IFERROR(__xludf.DUMMYFUNCTION("""COMPUTED_VALUE"""),1)</f>
        <v>1</v>
      </c>
      <c r="E2608" s="2">
        <f ca="1">IFERROR(__xludf.DUMMYFUNCTION("""COMPUTED_VALUE"""),1)</f>
        <v>1</v>
      </c>
    </row>
    <row r="2609" spans="1:5" ht="13">
      <c r="A2609" s="2" t="str">
        <f ca="1">IFERROR(__xludf.DUMMYFUNCTION("""COMPUTED_VALUE"""),"Finnegan, John")</f>
        <v>Finnegan, John</v>
      </c>
      <c r="B2609" s="3">
        <f ca="1">IFERROR(__xludf.DUMMYFUNCTION("""COMPUTED_VALUE"""),1)</f>
        <v>1</v>
      </c>
      <c r="C2609" s="7">
        <f ca="1">IFERROR(__xludf.DUMMYFUNCTION("""COMPUTED_VALUE"""),1)</f>
        <v>1</v>
      </c>
      <c r="D2609" s="8">
        <f ca="1">IFERROR(__xludf.DUMMYFUNCTION("""COMPUTED_VALUE"""),1)</f>
        <v>1</v>
      </c>
      <c r="E2609" s="2">
        <f ca="1">IFERROR(__xludf.DUMMYFUNCTION("""COMPUTED_VALUE"""),1)</f>
        <v>1</v>
      </c>
    </row>
    <row r="2610" spans="1:5" ht="13">
      <c r="A2610" s="2" t="str">
        <f ca="1">IFERROR(__xludf.DUMMYFUNCTION("""COMPUTED_VALUE"""),"Finney, Ross Lee")</f>
        <v>Finney, Ross Lee</v>
      </c>
      <c r="B2610" s="3">
        <f ca="1">IFERROR(__xludf.DUMMYFUNCTION("""COMPUTED_VALUE"""),1)</f>
        <v>1</v>
      </c>
      <c r="C2610" s="7">
        <f ca="1">IFERROR(__xludf.DUMMYFUNCTION("""COMPUTED_VALUE"""),1)</f>
        <v>1</v>
      </c>
      <c r="D2610" s="8">
        <f ca="1">IFERROR(__xludf.DUMMYFUNCTION("""COMPUTED_VALUE"""),5)</f>
        <v>5</v>
      </c>
      <c r="E2610" s="2">
        <f ca="1">IFERROR(__xludf.DUMMYFUNCTION("""COMPUTED_VALUE"""),2)</f>
        <v>2</v>
      </c>
    </row>
    <row r="2611" spans="1:5" ht="13">
      <c r="A2611" s="2" t="str">
        <f ca="1">IFERROR(__xludf.DUMMYFUNCTION("""COMPUTED_VALUE"""),"Finnigan, Michael")</f>
        <v>Finnigan, Michael</v>
      </c>
      <c r="B2611" s="3">
        <f ca="1">IFERROR(__xludf.DUMMYFUNCTION("""COMPUTED_VALUE"""),1)</f>
        <v>1</v>
      </c>
      <c r="C2611" s="7">
        <f ca="1">IFERROR(__xludf.DUMMYFUNCTION("""COMPUTED_VALUE"""),1)</f>
        <v>1</v>
      </c>
      <c r="D2611" s="8">
        <f ca="1">IFERROR(__xludf.DUMMYFUNCTION("""COMPUTED_VALUE"""),5)</f>
        <v>5</v>
      </c>
      <c r="E2611" s="2">
        <f ca="1">IFERROR(__xludf.DUMMYFUNCTION("""COMPUTED_VALUE"""),2)</f>
        <v>2</v>
      </c>
    </row>
    <row r="2612" spans="1:5" ht="13">
      <c r="A2612" s="2" t="str">
        <f ca="1">IFERROR(__xludf.DUMMYFUNCTION("""COMPUTED_VALUE"""),"Finnis, Edmund")</f>
        <v>Finnis, Edmund</v>
      </c>
      <c r="B2612" s="3">
        <f ca="1">IFERROR(__xludf.DUMMYFUNCTION("""COMPUTED_VALUE"""),1)</f>
        <v>1</v>
      </c>
      <c r="C2612" s="7">
        <f ca="1">IFERROR(__xludf.DUMMYFUNCTION("""COMPUTED_VALUE"""),1)</f>
        <v>1</v>
      </c>
      <c r="D2612" s="8">
        <f ca="1">IFERROR(__xludf.DUMMYFUNCTION("""COMPUTED_VALUE"""),1)</f>
        <v>1</v>
      </c>
      <c r="E2612" s="2">
        <f ca="1">IFERROR(__xludf.DUMMYFUNCTION("""COMPUTED_VALUE"""),1)</f>
        <v>1</v>
      </c>
    </row>
    <row r="2613" spans="1:5" ht="13">
      <c r="A2613" s="2" t="str">
        <f ca="1">IFERROR(__xludf.DUMMYFUNCTION("""COMPUTED_VALUE"""),"Finno, Jacobus")</f>
        <v>Finno, Jacobus</v>
      </c>
      <c r="B2613" s="3">
        <f ca="1">IFERROR(__xludf.DUMMYFUNCTION("""COMPUTED_VALUE"""),1)</f>
        <v>1</v>
      </c>
      <c r="C2613" s="7">
        <f ca="1">IFERROR(__xludf.DUMMYFUNCTION("""COMPUTED_VALUE"""),1)</f>
        <v>1</v>
      </c>
      <c r="D2613" s="8">
        <f ca="1">IFERROR(__xludf.DUMMYFUNCTION("""COMPUTED_VALUE"""),5)</f>
        <v>5</v>
      </c>
      <c r="E2613" s="2">
        <f ca="1">IFERROR(__xludf.DUMMYFUNCTION("""COMPUTED_VALUE"""),2)</f>
        <v>2</v>
      </c>
    </row>
    <row r="2614" spans="1:5" ht="13">
      <c r="A2614" s="2" t="str">
        <f ca="1">IFERROR(__xludf.DUMMYFUNCTION("""COMPUTED_VALUE"""),"Finzi, Gerald")</f>
        <v>Finzi, Gerald</v>
      </c>
      <c r="B2614" s="3">
        <f ca="1">IFERROR(__xludf.DUMMYFUNCTION("""COMPUTED_VALUE"""),1)</f>
        <v>1</v>
      </c>
      <c r="C2614" s="7">
        <f ca="1">IFERROR(__xludf.DUMMYFUNCTION("""COMPUTED_VALUE"""),1)</f>
        <v>1</v>
      </c>
      <c r="D2614" s="8">
        <f ca="1">IFERROR(__xludf.DUMMYFUNCTION("""COMPUTED_VALUE"""),5)</f>
        <v>5</v>
      </c>
      <c r="E2614" s="2">
        <f ca="1">IFERROR(__xludf.DUMMYFUNCTION("""COMPUTED_VALUE"""),2)</f>
        <v>2</v>
      </c>
    </row>
    <row r="2615" spans="1:5" ht="13">
      <c r="A2615" s="2" t="str">
        <f ca="1">IFERROR(__xludf.DUMMYFUNCTION("""COMPUTED_VALUE"""),"Fiocco, Joseph-Hector")</f>
        <v>Fiocco, Joseph-Hector</v>
      </c>
      <c r="B2615" s="2">
        <f ca="1">IFERROR(__xludf.DUMMYFUNCTION("""COMPUTED_VALUE"""),1)</f>
        <v>1</v>
      </c>
      <c r="C2615" s="7">
        <f ca="1">IFERROR(__xludf.DUMMYFUNCTION("""COMPUTED_VALUE"""),1)</f>
        <v>1</v>
      </c>
      <c r="D2615" s="8">
        <f ca="1">IFERROR(__xludf.DUMMYFUNCTION("""COMPUTED_VALUE"""),5)</f>
        <v>5</v>
      </c>
      <c r="E2615" s="2">
        <f ca="1">IFERROR(__xludf.DUMMYFUNCTION("""COMPUTED_VALUE"""),2)</f>
        <v>2</v>
      </c>
    </row>
    <row r="2616" spans="1:5" ht="13">
      <c r="A2616" s="2" t="str">
        <f ca="1">IFERROR(__xludf.DUMMYFUNCTION("""COMPUTED_VALUE"""),"Firth, Andy")</f>
        <v>Firth, Andy</v>
      </c>
      <c r="B2616" s="3">
        <f ca="1">IFERROR(__xludf.DUMMYFUNCTION("""COMPUTED_VALUE"""),1)</f>
        <v>1</v>
      </c>
      <c r="C2616" s="7">
        <f ca="1">IFERROR(__xludf.DUMMYFUNCTION("""COMPUTED_VALUE"""),1)</f>
        <v>1</v>
      </c>
      <c r="D2616" s="8">
        <f ca="1">IFERROR(__xludf.DUMMYFUNCTION("""COMPUTED_VALUE"""),1)</f>
        <v>1</v>
      </c>
      <c r="E2616" s="2">
        <f ca="1">IFERROR(__xludf.DUMMYFUNCTION("""COMPUTED_VALUE"""),1)</f>
        <v>1</v>
      </c>
    </row>
    <row r="2617" spans="1:5" ht="13">
      <c r="A2617" s="2" t="str">
        <f ca="1">IFERROR(__xludf.DUMMYFUNCTION("""COMPUTED_VALUE"""),"Fischer, Andrew")</f>
        <v>Fischer, Andrew</v>
      </c>
      <c r="B2617" s="3">
        <f ca="1">IFERROR(__xludf.DUMMYFUNCTION("""COMPUTED_VALUE"""),1)</f>
        <v>1</v>
      </c>
      <c r="C2617" s="7">
        <f ca="1">IFERROR(__xludf.DUMMYFUNCTION("""COMPUTED_VALUE"""),1)</f>
        <v>1</v>
      </c>
      <c r="D2617" s="8">
        <f ca="1">IFERROR(__xludf.DUMMYFUNCTION("""COMPUTED_VALUE"""),1)</f>
        <v>1</v>
      </c>
      <c r="E2617" s="2">
        <f ca="1">IFERROR(__xludf.DUMMYFUNCTION("""COMPUTED_VALUE"""),1)</f>
        <v>1</v>
      </c>
    </row>
    <row r="2618" spans="1:5" ht="13">
      <c r="A2618" s="8" t="str">
        <f ca="1">IFERROR(__xludf.DUMMYFUNCTION("""COMPUTED_VALUE"""),"Fischer, Claire")</f>
        <v>Fischer, Claire</v>
      </c>
      <c r="B2618" s="3">
        <f ca="1">IFERROR(__xludf.DUMMYFUNCTION("""COMPUTED_VALUE"""),1)</f>
        <v>1</v>
      </c>
      <c r="C2618" s="7">
        <f ca="1">IFERROR(__xludf.DUMMYFUNCTION("""COMPUTED_VALUE"""),1)</f>
        <v>1</v>
      </c>
      <c r="D2618" s="8">
        <f ca="1">IFERROR(__xludf.DUMMYFUNCTION("""COMPUTED_VALUE"""),5)</f>
        <v>5</v>
      </c>
      <c r="E2618" s="2">
        <f ca="1">IFERROR(__xludf.DUMMYFUNCTION("""COMPUTED_VALUE"""),2)</f>
        <v>2</v>
      </c>
    </row>
    <row r="2619" spans="1:5" ht="13">
      <c r="A2619" s="2" t="str">
        <f ca="1">IFERROR(__xludf.DUMMYFUNCTION("""COMPUTED_VALUE"""),"Fischer, Clare")</f>
        <v>Fischer, Clare</v>
      </c>
      <c r="B2619" s="3">
        <f ca="1">IFERROR(__xludf.DUMMYFUNCTION("""COMPUTED_VALUE"""),1)</f>
        <v>1</v>
      </c>
      <c r="C2619" s="7">
        <f ca="1">IFERROR(__xludf.DUMMYFUNCTION("""COMPUTED_VALUE"""),1)</f>
        <v>1</v>
      </c>
      <c r="D2619" s="8">
        <f ca="1">IFERROR(__xludf.DUMMYFUNCTION("""COMPUTED_VALUE"""),5)</f>
        <v>5</v>
      </c>
      <c r="E2619" s="2">
        <f ca="1">IFERROR(__xludf.DUMMYFUNCTION("""COMPUTED_VALUE"""),2)</f>
        <v>2</v>
      </c>
    </row>
    <row r="2620" spans="1:5" ht="13">
      <c r="A2620" s="2" t="str">
        <f ca="1">IFERROR(__xludf.DUMMYFUNCTION("""COMPUTED_VALUE"""),"Fischer, Fred")</f>
        <v>Fischer, Fred</v>
      </c>
      <c r="B2620" s="2">
        <f ca="1">IFERROR(__xludf.DUMMYFUNCTION("""COMPUTED_VALUE"""),1)</f>
        <v>1</v>
      </c>
      <c r="C2620" s="7">
        <f ca="1">IFERROR(__xludf.DUMMYFUNCTION("""COMPUTED_VALUE"""),1)</f>
        <v>1</v>
      </c>
      <c r="D2620" s="8">
        <f ca="1">IFERROR(__xludf.DUMMYFUNCTION("""COMPUTED_VALUE"""),5)</f>
        <v>5</v>
      </c>
      <c r="E2620" s="2">
        <f ca="1">IFERROR(__xludf.DUMMYFUNCTION("""COMPUTED_VALUE"""),2)</f>
        <v>2</v>
      </c>
    </row>
    <row r="2621" spans="1:5" ht="13">
      <c r="A2621" s="2" t="str">
        <f ca="1">IFERROR(__xludf.DUMMYFUNCTION("""COMPUTED_VALUE"""),"Fischer, Johann")</f>
        <v>Fischer, Johann</v>
      </c>
      <c r="B2621" s="3">
        <f ca="1">IFERROR(__xludf.DUMMYFUNCTION("""COMPUTED_VALUE"""),1)</f>
        <v>1</v>
      </c>
      <c r="C2621" s="7">
        <f ca="1">IFERROR(__xludf.DUMMYFUNCTION("""COMPUTED_VALUE"""),1)</f>
        <v>1</v>
      </c>
      <c r="D2621" s="8">
        <f ca="1">IFERROR(__xludf.DUMMYFUNCTION("""COMPUTED_VALUE"""),5)</f>
        <v>5</v>
      </c>
      <c r="E2621" s="2">
        <f ca="1">IFERROR(__xludf.DUMMYFUNCTION("""COMPUTED_VALUE"""),2)</f>
        <v>2</v>
      </c>
    </row>
    <row r="2622" spans="1:5" ht="13">
      <c r="A2622" s="2" t="str">
        <f ca="1">IFERROR(__xludf.DUMMYFUNCTION("""COMPUTED_VALUE"""),"Fischer, Johann Carl Christian")</f>
        <v>Fischer, Johann Carl Christian</v>
      </c>
      <c r="B2622" s="3">
        <f ca="1">IFERROR(__xludf.DUMMYFUNCTION("""COMPUTED_VALUE"""),1)</f>
        <v>1</v>
      </c>
      <c r="C2622" s="7">
        <f ca="1">IFERROR(__xludf.DUMMYFUNCTION("""COMPUTED_VALUE"""),1)</f>
        <v>1</v>
      </c>
      <c r="D2622" s="8">
        <f ca="1">IFERROR(__xludf.DUMMYFUNCTION("""COMPUTED_VALUE"""),5)</f>
        <v>5</v>
      </c>
      <c r="E2622" s="2">
        <f ca="1">IFERROR(__xludf.DUMMYFUNCTION("""COMPUTED_VALUE"""),2)</f>
        <v>2</v>
      </c>
    </row>
    <row r="2623" spans="1:5" ht="13">
      <c r="A2623" s="2" t="str">
        <f ca="1">IFERROR(__xludf.DUMMYFUNCTION("""COMPUTED_VALUE"""),"Fischer, Johann Caspare Ferdinand")</f>
        <v>Fischer, Johann Caspare Ferdinand</v>
      </c>
      <c r="B2623" s="2">
        <f ca="1">IFERROR(__xludf.DUMMYFUNCTION("""COMPUTED_VALUE"""),1)</f>
        <v>1</v>
      </c>
      <c r="C2623" s="7">
        <f ca="1">IFERROR(__xludf.DUMMYFUNCTION("""COMPUTED_VALUE"""),1)</f>
        <v>1</v>
      </c>
      <c r="D2623" s="8">
        <f ca="1">IFERROR(__xludf.DUMMYFUNCTION("""COMPUTED_VALUE"""),5)</f>
        <v>5</v>
      </c>
      <c r="E2623" s="2">
        <f ca="1">IFERROR(__xludf.DUMMYFUNCTION("""COMPUTED_VALUE"""),2)</f>
        <v>2</v>
      </c>
    </row>
    <row r="2624" spans="1:5" ht="13">
      <c r="A2624" s="2" t="str">
        <f ca="1">IFERROR(__xludf.DUMMYFUNCTION("""COMPUTED_VALUE"""),"Fischer, Tim")</f>
        <v>Fischer, Tim</v>
      </c>
      <c r="B2624" s="3">
        <f ca="1">IFERROR(__xludf.DUMMYFUNCTION("""COMPUTED_VALUE"""),1)</f>
        <v>1</v>
      </c>
      <c r="C2624" s="7">
        <f ca="1">IFERROR(__xludf.DUMMYFUNCTION("""COMPUTED_VALUE"""),1)</f>
        <v>1</v>
      </c>
      <c r="D2624" s="8">
        <f ca="1">IFERROR(__xludf.DUMMYFUNCTION("""COMPUTED_VALUE"""),1)</f>
        <v>1</v>
      </c>
      <c r="E2624" s="2">
        <f ca="1">IFERROR(__xludf.DUMMYFUNCTION("""COMPUTED_VALUE"""),1)</f>
        <v>1</v>
      </c>
    </row>
    <row r="2625" spans="1:5" ht="13">
      <c r="A2625" s="8" t="str">
        <f ca="1">IFERROR(__xludf.DUMMYFUNCTION("""COMPUTED_VALUE"""),"Fischer, William G.")</f>
        <v>Fischer, William G.</v>
      </c>
      <c r="B2625" s="3">
        <f ca="1">IFERROR(__xludf.DUMMYFUNCTION("""COMPUTED_VALUE"""),1)</f>
        <v>1</v>
      </c>
      <c r="C2625" s="7">
        <f ca="1">IFERROR(__xludf.DUMMYFUNCTION("""COMPUTED_VALUE"""),1)</f>
        <v>1</v>
      </c>
      <c r="D2625" s="8">
        <f ca="1">IFERROR(__xludf.DUMMYFUNCTION("""COMPUTED_VALUE"""),5)</f>
        <v>5</v>
      </c>
      <c r="E2625" s="2">
        <f ca="1">IFERROR(__xludf.DUMMYFUNCTION("""COMPUTED_VALUE"""),2)</f>
        <v>2</v>
      </c>
    </row>
    <row r="2626" spans="1:5" ht="13">
      <c r="A2626" s="8" t="str">
        <f ca="1">IFERROR(__xludf.DUMMYFUNCTION("""COMPUTED_VALUE"""),"Fiser, Lubos")</f>
        <v>Fiser, Lubos</v>
      </c>
      <c r="B2626" s="3">
        <f ca="1">IFERROR(__xludf.DUMMYFUNCTION("""COMPUTED_VALUE"""),1)</f>
        <v>1</v>
      </c>
      <c r="C2626" s="7">
        <f ca="1">IFERROR(__xludf.DUMMYFUNCTION("""COMPUTED_VALUE"""),1)</f>
        <v>1</v>
      </c>
      <c r="D2626" s="8">
        <f ca="1">IFERROR(__xludf.DUMMYFUNCTION("""COMPUTED_VALUE"""),5)</f>
        <v>5</v>
      </c>
      <c r="E2626" s="2">
        <f ca="1">IFERROR(__xludf.DUMMYFUNCTION("""COMPUTED_VALUE"""),2)</f>
        <v>2</v>
      </c>
    </row>
    <row r="2627" spans="1:5" ht="13">
      <c r="A2627" s="2" t="str">
        <f ca="1">IFERROR(__xludf.DUMMYFUNCTION("""COMPUTED_VALUE"""),"Fisher, David")</f>
        <v>Fisher, David</v>
      </c>
      <c r="B2627" s="3">
        <f ca="1">IFERROR(__xludf.DUMMYFUNCTION("""COMPUTED_VALUE"""),1)</f>
        <v>1</v>
      </c>
      <c r="C2627" s="7">
        <f ca="1">IFERROR(__xludf.DUMMYFUNCTION("""COMPUTED_VALUE"""),1)</f>
        <v>1</v>
      </c>
      <c r="D2627" s="8">
        <f ca="1">IFERROR(__xludf.DUMMYFUNCTION("""COMPUTED_VALUE"""),1)</f>
        <v>1</v>
      </c>
      <c r="E2627" s="2">
        <f ca="1">IFERROR(__xludf.DUMMYFUNCTION("""COMPUTED_VALUE"""),1)</f>
        <v>1</v>
      </c>
    </row>
    <row r="2628" spans="1:5" ht="13">
      <c r="A2628" s="2" t="str">
        <f ca="1">IFERROR(__xludf.DUMMYFUNCTION("""COMPUTED_VALUE"""),"Fisher, Dennis")</f>
        <v>Fisher, Dennis</v>
      </c>
      <c r="B2628" s="3">
        <f ca="1">IFERROR(__xludf.DUMMYFUNCTION("""COMPUTED_VALUE"""),1)</f>
        <v>1</v>
      </c>
      <c r="C2628" s="7">
        <f ca="1">IFERROR(__xludf.DUMMYFUNCTION("""COMPUTED_VALUE"""),1)</f>
        <v>1</v>
      </c>
      <c r="D2628" s="8">
        <f ca="1">IFERROR(__xludf.DUMMYFUNCTION("""COMPUTED_VALUE"""),1)</f>
        <v>1</v>
      </c>
      <c r="E2628" s="2">
        <f ca="1">IFERROR(__xludf.DUMMYFUNCTION("""COMPUTED_VALUE"""),1)</f>
        <v>1</v>
      </c>
    </row>
    <row r="2629" spans="1:5" ht="13">
      <c r="A2629" s="2" t="str">
        <f ca="1">IFERROR(__xludf.DUMMYFUNCTION("""COMPUTED_VALUE"""),"Fisher, Dennis W.")</f>
        <v>Fisher, Dennis W.</v>
      </c>
      <c r="B2629" s="3">
        <f ca="1">IFERROR(__xludf.DUMMYFUNCTION("""COMPUTED_VALUE"""),1)</f>
        <v>1</v>
      </c>
      <c r="C2629" s="7">
        <f ca="1">IFERROR(__xludf.DUMMYFUNCTION("""COMPUTED_VALUE"""),1)</f>
        <v>1</v>
      </c>
      <c r="D2629" s="8">
        <f ca="1">IFERROR(__xludf.DUMMYFUNCTION("""COMPUTED_VALUE"""),1)</f>
        <v>1</v>
      </c>
      <c r="E2629" s="2">
        <f ca="1">IFERROR(__xludf.DUMMYFUNCTION("""COMPUTED_VALUE"""),1)</f>
        <v>1</v>
      </c>
    </row>
    <row r="2630" spans="1:5" ht="13">
      <c r="A2630" s="2" t="str">
        <f ca="1">IFERROR(__xludf.DUMMYFUNCTION("""COMPUTED_VALUE"""),"Fisher, Fred")</f>
        <v>Fisher, Fred</v>
      </c>
      <c r="B2630" s="2">
        <f ca="1">IFERROR(__xludf.DUMMYFUNCTION("""COMPUTED_VALUE"""),1)</f>
        <v>1</v>
      </c>
      <c r="C2630" s="7">
        <f ca="1">IFERROR(__xludf.DUMMYFUNCTION("""COMPUTED_VALUE"""),1)</f>
        <v>1</v>
      </c>
      <c r="D2630" s="8">
        <f ca="1">IFERROR(__xludf.DUMMYFUNCTION("""COMPUTED_VALUE"""),5)</f>
        <v>5</v>
      </c>
      <c r="E2630" s="2">
        <f ca="1">IFERROR(__xludf.DUMMYFUNCTION("""COMPUTED_VALUE"""),2)</f>
        <v>2</v>
      </c>
    </row>
    <row r="2631" spans="1:5" ht="13">
      <c r="A2631" s="2" t="str">
        <f ca="1">IFERROR(__xludf.DUMMYFUNCTION("""COMPUTED_VALUE"""),"Fisher, H.B.")</f>
        <v>Fisher, H.B.</v>
      </c>
      <c r="B2631" s="2">
        <f ca="1">IFERROR(__xludf.DUMMYFUNCTION("""COMPUTED_VALUE"""),1)</f>
        <v>1</v>
      </c>
      <c r="C2631" s="2">
        <f ca="1">IFERROR(__xludf.DUMMYFUNCTION("""COMPUTED_VALUE"""),1)</f>
        <v>1</v>
      </c>
      <c r="D2631" s="8">
        <f ca="1">IFERROR(__xludf.DUMMYFUNCTION("""COMPUTED_VALUE"""),5)</f>
        <v>5</v>
      </c>
      <c r="E2631" s="2">
        <f ca="1">IFERROR(__xludf.DUMMYFUNCTION("""COMPUTED_VALUE"""),2)</f>
        <v>2</v>
      </c>
    </row>
    <row r="2632" spans="1:5" ht="13">
      <c r="A2632" s="2" t="str">
        <f ca="1">IFERROR(__xludf.DUMMYFUNCTION("""COMPUTED_VALUE"""),"Fisher, Harry")</f>
        <v>Fisher, Harry</v>
      </c>
      <c r="B2632" s="3">
        <f ca="1">IFERROR(__xludf.DUMMYFUNCTION("""COMPUTED_VALUE"""),1)</f>
        <v>1</v>
      </c>
      <c r="C2632" s="7">
        <f ca="1">IFERROR(__xludf.DUMMYFUNCTION("""COMPUTED_VALUE"""),1)</f>
        <v>1</v>
      </c>
      <c r="D2632" s="8">
        <f ca="1">IFERROR(__xludf.DUMMYFUNCTION("""COMPUTED_VALUE"""),1)</f>
        <v>1</v>
      </c>
      <c r="E2632" s="2">
        <f ca="1">IFERROR(__xludf.DUMMYFUNCTION("""COMPUTED_VALUE"""),1)</f>
        <v>1</v>
      </c>
    </row>
    <row r="2633" spans="1:5" ht="13">
      <c r="A2633" s="2" t="str">
        <f ca="1">IFERROR(__xludf.DUMMYFUNCTION("""COMPUTED_VALUE"""),"Fisher, Tim")</f>
        <v>Fisher, Tim</v>
      </c>
      <c r="B2633" s="2">
        <f ca="1">IFERROR(__xludf.DUMMYFUNCTION("""COMPUTED_VALUE"""),1)</f>
        <v>1</v>
      </c>
      <c r="C2633" s="7">
        <f ca="1">IFERROR(__xludf.DUMMYFUNCTION("""COMPUTED_VALUE"""),1)</f>
        <v>1</v>
      </c>
      <c r="D2633" s="8">
        <f ca="1">IFERROR(__xludf.DUMMYFUNCTION("""COMPUTED_VALUE"""),1)</f>
        <v>1</v>
      </c>
      <c r="E2633" s="2">
        <f ca="1">IFERROR(__xludf.DUMMYFUNCTION("""COMPUTED_VALUE"""),1)</f>
        <v>1</v>
      </c>
    </row>
    <row r="2634" spans="1:5" ht="13">
      <c r="A2634" s="2" t="str">
        <f ca="1">IFERROR(__xludf.DUMMYFUNCTION("""COMPUTED_VALUE"""),"Fiske, Roger")</f>
        <v>Fiske, Roger</v>
      </c>
      <c r="B2634" s="3">
        <f ca="1">IFERROR(__xludf.DUMMYFUNCTION("""COMPUTED_VALUE"""),1)</f>
        <v>1</v>
      </c>
      <c r="C2634" s="7">
        <f ca="1">IFERROR(__xludf.DUMMYFUNCTION("""COMPUTED_VALUE"""),1)</f>
        <v>1</v>
      </c>
      <c r="D2634" s="8">
        <f ca="1">IFERROR(__xludf.DUMMYFUNCTION("""COMPUTED_VALUE"""),5)</f>
        <v>5</v>
      </c>
      <c r="E2634" s="2">
        <f ca="1">IFERROR(__xludf.DUMMYFUNCTION("""COMPUTED_VALUE"""),2)</f>
        <v>2</v>
      </c>
    </row>
    <row r="2635" spans="1:5" ht="13">
      <c r="A2635" s="2" t="str">
        <f ca="1">IFERROR(__xludf.DUMMYFUNCTION("""COMPUTED_VALUE"""),"Fissinger, Edwin")</f>
        <v>Fissinger, Edwin</v>
      </c>
      <c r="B2635" s="3">
        <f ca="1">IFERROR(__xludf.DUMMYFUNCTION("""COMPUTED_VALUE"""),1)</f>
        <v>1</v>
      </c>
      <c r="C2635" s="7">
        <f ca="1">IFERROR(__xludf.DUMMYFUNCTION("""COMPUTED_VALUE"""),1)</f>
        <v>1</v>
      </c>
      <c r="D2635" s="8">
        <f ca="1">IFERROR(__xludf.DUMMYFUNCTION("""COMPUTED_VALUE"""),5)</f>
        <v>5</v>
      </c>
      <c r="E2635" s="2">
        <f ca="1">IFERROR(__xludf.DUMMYFUNCTION("""COMPUTED_VALUE"""),2)</f>
        <v>2</v>
      </c>
    </row>
    <row r="2636" spans="1:5" ht="13">
      <c r="A2636" s="2" t="str">
        <f ca="1">IFERROR(__xludf.DUMMYFUNCTION("""COMPUTED_VALUE"""),"Fitch, Keith")</f>
        <v>Fitch, Keith</v>
      </c>
      <c r="B2636" s="2">
        <f ca="1">IFERROR(__xludf.DUMMYFUNCTION("""COMPUTED_VALUE"""),1)</f>
        <v>1</v>
      </c>
      <c r="C2636" s="2">
        <f ca="1">IFERROR(__xludf.DUMMYFUNCTION("""COMPUTED_VALUE"""),1)</f>
        <v>1</v>
      </c>
      <c r="D2636" s="8">
        <f ca="1">IFERROR(__xludf.DUMMYFUNCTION("""COMPUTED_VALUE"""),1)</f>
        <v>1</v>
      </c>
      <c r="E2636" s="2">
        <f ca="1">IFERROR(__xludf.DUMMYFUNCTION("""COMPUTED_VALUE"""),1)</f>
        <v>1</v>
      </c>
    </row>
    <row r="2637" spans="1:5" ht="13">
      <c r="A2637" s="2" t="str">
        <f ca="1">IFERROR(__xludf.DUMMYFUNCTION("""COMPUTED_VALUE"""),"Fitkin, Graham")</f>
        <v>Fitkin, Graham</v>
      </c>
      <c r="B2637" s="3">
        <f ca="1">IFERROR(__xludf.DUMMYFUNCTION("""COMPUTED_VALUE"""),1)</f>
        <v>1</v>
      </c>
      <c r="C2637" s="7">
        <f ca="1">IFERROR(__xludf.DUMMYFUNCTION("""COMPUTED_VALUE"""),1)</f>
        <v>1</v>
      </c>
      <c r="D2637" s="8">
        <f ca="1">IFERROR(__xludf.DUMMYFUNCTION("""COMPUTED_VALUE"""),1)</f>
        <v>1</v>
      </c>
      <c r="E2637" s="2">
        <f ca="1">IFERROR(__xludf.DUMMYFUNCTION("""COMPUTED_VALUE"""),1)</f>
        <v>1</v>
      </c>
    </row>
    <row r="2638" spans="1:5" ht="13">
      <c r="A2638" s="2" t="str">
        <f ca="1">IFERROR(__xludf.DUMMYFUNCTION("""COMPUTED_VALUE"""),"Fitzgerald, Bernard")</f>
        <v>Fitzgerald, Bernard</v>
      </c>
      <c r="B2638" s="3">
        <f ca="1">IFERROR(__xludf.DUMMYFUNCTION("""COMPUTED_VALUE"""),1)</f>
        <v>1</v>
      </c>
      <c r="C2638" s="7">
        <f ca="1">IFERROR(__xludf.DUMMYFUNCTION("""COMPUTED_VALUE"""),1)</f>
        <v>1</v>
      </c>
      <c r="D2638" s="8">
        <f ca="1">IFERROR(__xludf.DUMMYFUNCTION("""COMPUTED_VALUE"""),1)</f>
        <v>1</v>
      </c>
      <c r="E2638" s="2">
        <f ca="1">IFERROR(__xludf.DUMMYFUNCTION("""COMPUTED_VALUE"""),1)</f>
        <v>1</v>
      </c>
    </row>
    <row r="2639" spans="1:5" ht="13">
      <c r="A2639" s="2" t="str">
        <f ca="1">IFERROR(__xludf.DUMMYFUNCTION("""COMPUTED_VALUE"""),"Fitzpatrick, Craig")</f>
        <v>Fitzpatrick, Craig</v>
      </c>
      <c r="B2639" s="3">
        <f ca="1">IFERROR(__xludf.DUMMYFUNCTION("""COMPUTED_VALUE"""),1)</f>
        <v>1</v>
      </c>
      <c r="C2639" s="7">
        <f ca="1">IFERROR(__xludf.DUMMYFUNCTION("""COMPUTED_VALUE"""),1)</f>
        <v>1</v>
      </c>
      <c r="D2639" s="8">
        <f ca="1">IFERROR(__xludf.DUMMYFUNCTION("""COMPUTED_VALUE"""),1)</f>
        <v>1</v>
      </c>
      <c r="E2639" s="2">
        <f ca="1">IFERROR(__xludf.DUMMYFUNCTION("""COMPUTED_VALUE"""),1)</f>
        <v>1</v>
      </c>
    </row>
    <row r="2640" spans="1:5" ht="13">
      <c r="A2640" s="2" t="str">
        <f ca="1">IFERROR(__xludf.DUMMYFUNCTION("""COMPUTED_VALUE"""),"Fiumara, Anthony")</f>
        <v>Fiumara, Anthony</v>
      </c>
      <c r="B2640" s="3">
        <f ca="1">IFERROR(__xludf.DUMMYFUNCTION("""COMPUTED_VALUE"""),1)</f>
        <v>1</v>
      </c>
      <c r="C2640" s="7">
        <f ca="1">IFERROR(__xludf.DUMMYFUNCTION("""COMPUTED_VALUE"""),1)</f>
        <v>1</v>
      </c>
      <c r="D2640" s="8">
        <f ca="1">IFERROR(__xludf.DUMMYFUNCTION("""COMPUTED_VALUE"""),5)</f>
        <v>5</v>
      </c>
      <c r="E2640" s="2">
        <f ca="1">IFERROR(__xludf.DUMMYFUNCTION("""COMPUTED_VALUE"""),2)</f>
        <v>2</v>
      </c>
    </row>
    <row r="2641" spans="1:5" ht="13">
      <c r="A2641" s="8" t="str">
        <f ca="1">IFERROR(__xludf.DUMMYFUNCTION("""COMPUTED_VALUE"""),"Fixmer, Dylan")</f>
        <v>Fixmer, Dylan</v>
      </c>
      <c r="B2641" s="3">
        <f ca="1">IFERROR(__xludf.DUMMYFUNCTION("""COMPUTED_VALUE"""),1)</f>
        <v>1</v>
      </c>
      <c r="C2641" s="7">
        <f ca="1">IFERROR(__xludf.DUMMYFUNCTION("""COMPUTED_VALUE"""),1)</f>
        <v>1</v>
      </c>
      <c r="D2641" s="8">
        <f ca="1">IFERROR(__xludf.DUMMYFUNCTION("""COMPUTED_VALUE"""),1)</f>
        <v>1</v>
      </c>
      <c r="E2641" s="2">
        <f ca="1">IFERROR(__xludf.DUMMYFUNCTION("""COMPUTED_VALUE"""),1)</f>
        <v>1</v>
      </c>
    </row>
    <row r="2642" spans="1:5" ht="13">
      <c r="A2642" s="2" t="str">
        <f ca="1">IFERROR(__xludf.DUMMYFUNCTION("""COMPUTED_VALUE"""),"Flagello, Nicolas")</f>
        <v>Flagello, Nicolas</v>
      </c>
      <c r="B2642" s="2">
        <f ca="1">IFERROR(__xludf.DUMMYFUNCTION("""COMPUTED_VALUE"""),1)</f>
        <v>1</v>
      </c>
      <c r="C2642" s="7">
        <f ca="1">IFERROR(__xludf.DUMMYFUNCTION("""COMPUTED_VALUE"""),1)</f>
        <v>1</v>
      </c>
      <c r="D2642" s="8">
        <f ca="1">IFERROR(__xludf.DUMMYFUNCTION("""COMPUTED_VALUE"""),5)</f>
        <v>5</v>
      </c>
      <c r="E2642" s="2">
        <f ca="1">IFERROR(__xludf.DUMMYFUNCTION("""COMPUTED_VALUE"""),2)</f>
        <v>2</v>
      </c>
    </row>
    <row r="2643" spans="1:5" ht="13">
      <c r="A2643" s="2" t="str">
        <f ca="1">IFERROR(__xludf.DUMMYFUNCTION("""COMPUTED_VALUE"""),"Flaherty, Stephen")</f>
        <v>Flaherty, Stephen</v>
      </c>
      <c r="B2643" s="3">
        <f ca="1">IFERROR(__xludf.DUMMYFUNCTION("""COMPUTED_VALUE"""),1)</f>
        <v>1</v>
      </c>
      <c r="C2643" s="7">
        <f ca="1">IFERROR(__xludf.DUMMYFUNCTION("""COMPUTED_VALUE"""),1)</f>
        <v>1</v>
      </c>
      <c r="D2643" s="8">
        <f ca="1">IFERROR(__xludf.DUMMYFUNCTION("""COMPUTED_VALUE"""),1)</f>
        <v>1</v>
      </c>
      <c r="E2643" s="2">
        <f ca="1">IFERROR(__xludf.DUMMYFUNCTION("""COMPUTED_VALUE"""),1)</f>
        <v>1</v>
      </c>
    </row>
    <row r="2644" spans="1:5" ht="13">
      <c r="A2644" s="2" t="str">
        <f ca="1">IFERROR(__xludf.DUMMYFUNCTION("""COMPUTED_VALUE"""),"Flaherty, Tom")</f>
        <v>Flaherty, Tom</v>
      </c>
      <c r="B2644" s="3">
        <f ca="1">IFERROR(__xludf.DUMMYFUNCTION("""COMPUTED_VALUE"""),1)</f>
        <v>1</v>
      </c>
      <c r="C2644" s="7">
        <f ca="1">IFERROR(__xludf.DUMMYFUNCTION("""COMPUTED_VALUE"""),1)</f>
        <v>1</v>
      </c>
      <c r="D2644" s="8">
        <f ca="1">IFERROR(__xludf.DUMMYFUNCTION("""COMPUTED_VALUE"""),1)</f>
        <v>1</v>
      </c>
      <c r="E2644" s="2">
        <f ca="1">IFERROR(__xludf.DUMMYFUNCTION("""COMPUTED_VALUE"""),1)</f>
        <v>1</v>
      </c>
    </row>
    <row r="2645" spans="1:5" ht="13">
      <c r="A2645" s="2" t="str">
        <f ca="1">IFERROR(__xludf.DUMMYFUNCTION("""COMPUTED_VALUE"""),"Flammer, Harold")</f>
        <v>Flammer, Harold</v>
      </c>
      <c r="B2645" s="3">
        <f ca="1">IFERROR(__xludf.DUMMYFUNCTION("""COMPUTED_VALUE"""),1)</f>
        <v>1</v>
      </c>
      <c r="C2645" s="7">
        <f ca="1">IFERROR(__xludf.DUMMYFUNCTION("""COMPUTED_VALUE"""),1)</f>
        <v>1</v>
      </c>
      <c r="D2645" s="8">
        <f ca="1">IFERROR(__xludf.DUMMYFUNCTION("""COMPUTED_VALUE"""),1)</f>
        <v>1</v>
      </c>
      <c r="E2645" s="2">
        <f ca="1">IFERROR(__xludf.DUMMYFUNCTION("""COMPUTED_VALUE"""),1)</f>
        <v>1</v>
      </c>
    </row>
    <row r="2646" spans="1:5" ht="13">
      <c r="A2646" s="2" t="str">
        <f ca="1">IFERROR(__xludf.DUMMYFUNCTION("""COMPUTED_VALUE"""),"Flecha, Mateo")</f>
        <v>Flecha, Mateo</v>
      </c>
      <c r="B2646" s="3">
        <f ca="1">IFERROR(__xludf.DUMMYFUNCTION("""COMPUTED_VALUE"""),1)</f>
        <v>1</v>
      </c>
      <c r="C2646" s="7">
        <f ca="1">IFERROR(__xludf.DUMMYFUNCTION("""COMPUTED_VALUE"""),1)</f>
        <v>1</v>
      </c>
      <c r="D2646" s="8">
        <f ca="1">IFERROR(__xludf.DUMMYFUNCTION("""COMPUTED_VALUE"""),5)</f>
        <v>5</v>
      </c>
      <c r="E2646" s="2">
        <f ca="1">IFERROR(__xludf.DUMMYFUNCTION("""COMPUTED_VALUE"""),2)</f>
        <v>2</v>
      </c>
    </row>
    <row r="2647" spans="1:5" ht="13">
      <c r="A2647" s="2" t="str">
        <f ca="1">IFERROR(__xludf.DUMMYFUNCTION("""COMPUTED_VALUE"""),"Fleck, Béla")</f>
        <v>Fleck, Béla</v>
      </c>
      <c r="B2647" s="3">
        <f ca="1">IFERROR(__xludf.DUMMYFUNCTION("""COMPUTED_VALUE"""),1)</f>
        <v>1</v>
      </c>
      <c r="C2647" s="7">
        <f ca="1">IFERROR(__xludf.DUMMYFUNCTION("""COMPUTED_VALUE"""),1)</f>
        <v>1</v>
      </c>
      <c r="D2647" s="8">
        <f ca="1">IFERROR(__xludf.DUMMYFUNCTION("""COMPUTED_VALUE"""),1)</f>
        <v>1</v>
      </c>
      <c r="E2647" s="2">
        <f ca="1">IFERROR(__xludf.DUMMYFUNCTION("""COMPUTED_VALUE"""),1)</f>
        <v>1</v>
      </c>
    </row>
    <row r="2648" spans="1:5" ht="13">
      <c r="A2648" s="2" t="str">
        <f ca="1">IFERROR(__xludf.DUMMYFUNCTION("""COMPUTED_VALUE"""),"Fleet, Ken")</f>
        <v>Fleet, Ken</v>
      </c>
      <c r="B2648" s="2">
        <f ca="1">IFERROR(__xludf.DUMMYFUNCTION("""COMPUTED_VALUE"""),1)</f>
        <v>1</v>
      </c>
      <c r="C2648" s="2">
        <f ca="1">IFERROR(__xludf.DUMMYFUNCTION("""COMPUTED_VALUE"""),1)</f>
        <v>1</v>
      </c>
      <c r="D2648" s="8">
        <f ca="1">IFERROR(__xludf.DUMMYFUNCTION("""COMPUTED_VALUE"""),5)</f>
        <v>5</v>
      </c>
      <c r="E2648" s="2">
        <f ca="1">IFERROR(__xludf.DUMMYFUNCTION("""COMPUTED_VALUE"""),2)</f>
        <v>2</v>
      </c>
    </row>
    <row r="2649" spans="1:5" ht="13">
      <c r="A2649" s="2" t="str">
        <f ca="1">IFERROR(__xludf.DUMMYFUNCTION("""COMPUTED_VALUE"""),"Fleischer, Randall Craig")</f>
        <v>Fleischer, Randall Craig</v>
      </c>
      <c r="B2649" s="2">
        <f ca="1">IFERROR(__xludf.DUMMYFUNCTION("""COMPUTED_VALUE"""),1)</f>
        <v>1</v>
      </c>
      <c r="C2649" s="2">
        <f ca="1">IFERROR(__xludf.DUMMYFUNCTION("""COMPUTED_VALUE"""),1)</f>
        <v>1</v>
      </c>
      <c r="D2649" s="8">
        <f ca="1">IFERROR(__xludf.DUMMYFUNCTION("""COMPUTED_VALUE"""),5)</f>
        <v>5</v>
      </c>
      <c r="E2649" s="2">
        <f ca="1">IFERROR(__xludf.DUMMYFUNCTION("""COMPUTED_VALUE"""),2)</f>
        <v>2</v>
      </c>
    </row>
    <row r="2650" spans="1:5" ht="13">
      <c r="A2650" s="2" t="str">
        <f ca="1">IFERROR(__xludf.DUMMYFUNCTION("""COMPUTED_VALUE"""),"Fleischfresser, Vaughan")</f>
        <v>Fleischfresser, Vaughan</v>
      </c>
      <c r="B2650" s="2">
        <f ca="1">IFERROR(__xludf.DUMMYFUNCTION("""COMPUTED_VALUE"""),1)</f>
        <v>1</v>
      </c>
      <c r="C2650" s="7">
        <f ca="1">IFERROR(__xludf.DUMMYFUNCTION("""COMPUTED_VALUE"""),1)</f>
        <v>1</v>
      </c>
      <c r="D2650" s="8">
        <f ca="1">IFERROR(__xludf.DUMMYFUNCTION("""COMPUTED_VALUE"""),1)</f>
        <v>1</v>
      </c>
      <c r="E2650" s="2">
        <f ca="1">IFERROR(__xludf.DUMMYFUNCTION("""COMPUTED_VALUE"""),1)</f>
        <v>1</v>
      </c>
    </row>
    <row r="2651" spans="1:5" ht="13">
      <c r="A2651" s="8" t="str">
        <f ca="1">IFERROR(__xludf.DUMMYFUNCTION("""COMPUTED_VALUE"""),"Fleming, Antony le")</f>
        <v>Fleming, Antony le</v>
      </c>
      <c r="B2651" s="3">
        <f ca="1">IFERROR(__xludf.DUMMYFUNCTION("""COMPUTED_VALUE"""),1)</f>
        <v>1</v>
      </c>
      <c r="C2651" s="7">
        <f ca="1">IFERROR(__xludf.DUMMYFUNCTION("""COMPUTED_VALUE"""),1)</f>
        <v>1</v>
      </c>
      <c r="D2651" s="8">
        <f ca="1">IFERROR(__xludf.DUMMYFUNCTION("""COMPUTED_VALUE"""),1)</f>
        <v>1</v>
      </c>
      <c r="E2651" s="2">
        <f ca="1">IFERROR(__xludf.DUMMYFUNCTION("""COMPUTED_VALUE"""),1)</f>
        <v>1</v>
      </c>
    </row>
    <row r="2652" spans="1:5" ht="13">
      <c r="A2652" s="2" t="str">
        <f ca="1">IFERROR(__xludf.DUMMYFUNCTION("""COMPUTED_VALUE"""),"Fleming, Larry")</f>
        <v>Fleming, Larry</v>
      </c>
      <c r="B2652" s="3">
        <f ca="1">IFERROR(__xludf.DUMMYFUNCTION("""COMPUTED_VALUE"""),1)</f>
        <v>1</v>
      </c>
      <c r="C2652" s="7">
        <f ca="1">IFERROR(__xludf.DUMMYFUNCTION("""COMPUTED_VALUE"""),1)</f>
        <v>1</v>
      </c>
      <c r="D2652" s="8">
        <f ca="1">IFERROR(__xludf.DUMMYFUNCTION("""COMPUTED_VALUE"""),5)</f>
        <v>5</v>
      </c>
      <c r="E2652" s="2">
        <f ca="1">IFERROR(__xludf.DUMMYFUNCTION("""COMPUTED_VALUE"""),2)</f>
        <v>2</v>
      </c>
    </row>
    <row r="2653" spans="1:5" ht="13">
      <c r="A2653" s="3" t="str">
        <f ca="1">IFERROR(__xludf.DUMMYFUNCTION("""COMPUTED_VALUE"""),"Fleming, Robert")</f>
        <v>Fleming, Robert</v>
      </c>
      <c r="B2653" s="3">
        <f ca="1">IFERROR(__xludf.DUMMYFUNCTION("""COMPUTED_VALUE"""),1)</f>
        <v>1</v>
      </c>
      <c r="C2653" s="7">
        <f ca="1">IFERROR(__xludf.DUMMYFUNCTION("""COMPUTED_VALUE"""),1)</f>
        <v>1</v>
      </c>
      <c r="D2653" s="8">
        <f ca="1">IFERROR(__xludf.DUMMYFUNCTION("""COMPUTED_VALUE"""),5)</f>
        <v>5</v>
      </c>
      <c r="E2653" s="2">
        <f ca="1">IFERROR(__xludf.DUMMYFUNCTION("""COMPUTED_VALUE"""),2)</f>
        <v>2</v>
      </c>
    </row>
    <row r="2654" spans="1:5" ht="13">
      <c r="A2654" s="2" t="str">
        <f ca="1">IFERROR(__xludf.DUMMYFUNCTION("""COMPUTED_VALUE"""),"Fletcher, Alan")</f>
        <v>Fletcher, Alan</v>
      </c>
      <c r="B2654" s="3">
        <f ca="1">IFERROR(__xludf.DUMMYFUNCTION("""COMPUTED_VALUE"""),1)</f>
        <v>1</v>
      </c>
      <c r="C2654" s="7">
        <f ca="1">IFERROR(__xludf.DUMMYFUNCTION("""COMPUTED_VALUE"""),1)</f>
        <v>1</v>
      </c>
      <c r="D2654" s="8">
        <f ca="1">IFERROR(__xludf.DUMMYFUNCTION("""COMPUTED_VALUE"""),1)</f>
        <v>1</v>
      </c>
      <c r="E2654" s="2">
        <f ca="1">IFERROR(__xludf.DUMMYFUNCTION("""COMPUTED_VALUE"""),1)</f>
        <v>1</v>
      </c>
    </row>
    <row r="2655" spans="1:5" ht="13">
      <c r="A2655" s="2" t="str">
        <f ca="1">IFERROR(__xludf.DUMMYFUNCTION("""COMPUTED_VALUE"""),"Fletcher, David")</f>
        <v>Fletcher, David</v>
      </c>
      <c r="B2655" s="3">
        <f ca="1">IFERROR(__xludf.DUMMYFUNCTION("""COMPUTED_VALUE"""),1)</f>
        <v>1</v>
      </c>
      <c r="C2655" s="7">
        <f ca="1">IFERROR(__xludf.DUMMYFUNCTION("""COMPUTED_VALUE"""),1)</f>
        <v>1</v>
      </c>
      <c r="D2655" s="8">
        <f ca="1">IFERROR(__xludf.DUMMYFUNCTION("""COMPUTED_VALUE"""),5)</f>
        <v>5</v>
      </c>
      <c r="E2655" s="2">
        <f ca="1">IFERROR(__xludf.DUMMYFUNCTION("""COMPUTED_VALUE"""),2)</f>
        <v>2</v>
      </c>
    </row>
    <row r="2656" spans="1:5" ht="13">
      <c r="A2656" s="8" t="str">
        <f ca="1">IFERROR(__xludf.DUMMYFUNCTION("""COMPUTED_VALUE"""),"Fletcher, Gary")</f>
        <v>Fletcher, Gary</v>
      </c>
      <c r="B2656" s="3">
        <f ca="1">IFERROR(__xludf.DUMMYFUNCTION("""COMPUTED_VALUE"""),1)</f>
        <v>1</v>
      </c>
      <c r="C2656" s="7">
        <f ca="1">IFERROR(__xludf.DUMMYFUNCTION("""COMPUTED_VALUE"""),1)</f>
        <v>1</v>
      </c>
      <c r="D2656" s="8">
        <f ca="1">IFERROR(__xludf.DUMMYFUNCTION("""COMPUTED_VALUE"""),1)</f>
        <v>1</v>
      </c>
      <c r="E2656" s="2">
        <f ca="1">IFERROR(__xludf.DUMMYFUNCTION("""COMPUTED_VALUE"""),1)</f>
        <v>1</v>
      </c>
    </row>
    <row r="2657" spans="1:5" ht="13">
      <c r="A2657" s="2" t="str">
        <f ca="1">IFERROR(__xludf.DUMMYFUNCTION("""COMPUTED_VALUE"""),"Fletcher, John")</f>
        <v>Fletcher, John</v>
      </c>
      <c r="B2657" s="3">
        <f ca="1">IFERROR(__xludf.DUMMYFUNCTION("""COMPUTED_VALUE"""),1)</f>
        <v>1</v>
      </c>
      <c r="C2657" s="7">
        <f ca="1">IFERROR(__xludf.DUMMYFUNCTION("""COMPUTED_VALUE"""),1)</f>
        <v>1</v>
      </c>
      <c r="D2657" s="8">
        <f ca="1">IFERROR(__xludf.DUMMYFUNCTION("""COMPUTED_VALUE"""),5)</f>
        <v>5</v>
      </c>
      <c r="E2657" s="2">
        <f ca="1">IFERROR(__xludf.DUMMYFUNCTION("""COMPUTED_VALUE"""),2)</f>
        <v>2</v>
      </c>
    </row>
    <row r="2658" spans="1:5" ht="13">
      <c r="A2658" s="2" t="str">
        <f ca="1">IFERROR(__xludf.DUMMYFUNCTION("""COMPUTED_VALUE"""),"Fletcher, Percy")</f>
        <v>Fletcher, Percy</v>
      </c>
      <c r="B2658" s="3">
        <f ca="1">IFERROR(__xludf.DUMMYFUNCTION("""COMPUTED_VALUE"""),1)</f>
        <v>1</v>
      </c>
      <c r="C2658" s="7">
        <f ca="1">IFERROR(__xludf.DUMMYFUNCTION("""COMPUTED_VALUE"""),1)</f>
        <v>1</v>
      </c>
      <c r="D2658" s="8">
        <f ca="1">IFERROR(__xludf.DUMMYFUNCTION("""COMPUTED_VALUE"""),5)</f>
        <v>5</v>
      </c>
      <c r="E2658" s="2">
        <f ca="1">IFERROR(__xludf.DUMMYFUNCTION("""COMPUTED_VALUE"""),2)</f>
        <v>2</v>
      </c>
    </row>
    <row r="2659" spans="1:5" ht="13">
      <c r="A2659" s="2" t="str">
        <f ca="1">IFERROR(__xludf.DUMMYFUNCTION("""COMPUTED_VALUE"""),"Fletcher, Percy E.")</f>
        <v>Fletcher, Percy E.</v>
      </c>
      <c r="B2659" s="3">
        <f ca="1">IFERROR(__xludf.DUMMYFUNCTION("""COMPUTED_VALUE"""),1)</f>
        <v>1</v>
      </c>
      <c r="C2659" s="7">
        <f ca="1">IFERROR(__xludf.DUMMYFUNCTION("""COMPUTED_VALUE"""),1)</f>
        <v>1</v>
      </c>
      <c r="D2659" s="8">
        <f ca="1">IFERROR(__xludf.DUMMYFUNCTION("""COMPUTED_VALUE"""),5)</f>
        <v>5</v>
      </c>
      <c r="E2659" s="2">
        <f ca="1">IFERROR(__xludf.DUMMYFUNCTION("""COMPUTED_VALUE"""),2)</f>
        <v>2</v>
      </c>
    </row>
    <row r="2660" spans="1:5" ht="13">
      <c r="A2660" s="2" t="str">
        <f ca="1">IFERROR(__xludf.DUMMYFUNCTION("""COMPUTED_VALUE"""),"Florence, Bob")</f>
        <v>Florence, Bob</v>
      </c>
      <c r="B2660" s="3">
        <f ca="1">IFERROR(__xludf.DUMMYFUNCTION("""COMPUTED_VALUE"""),1)</f>
        <v>1</v>
      </c>
      <c r="C2660" s="7">
        <f ca="1">IFERROR(__xludf.DUMMYFUNCTION("""COMPUTED_VALUE"""),1)</f>
        <v>1</v>
      </c>
      <c r="D2660" s="8">
        <f ca="1">IFERROR(__xludf.DUMMYFUNCTION("""COMPUTED_VALUE"""),5)</f>
        <v>5</v>
      </c>
      <c r="E2660" s="2">
        <f ca="1">IFERROR(__xludf.DUMMYFUNCTION("""COMPUTED_VALUE"""),2)</f>
        <v>2</v>
      </c>
    </row>
    <row r="2661" spans="1:5" ht="13">
      <c r="A2661" s="2" t="str">
        <f ca="1">IFERROR(__xludf.DUMMYFUNCTION("""COMPUTED_VALUE"""),"Flores, Ray")</f>
        <v>Flores, Ray</v>
      </c>
      <c r="B2661" s="3">
        <f ca="1">IFERROR(__xludf.DUMMYFUNCTION("""COMPUTED_VALUE"""),1)</f>
        <v>1</v>
      </c>
      <c r="C2661" s="7">
        <f ca="1">IFERROR(__xludf.DUMMYFUNCTION("""COMPUTED_VALUE"""),1)</f>
        <v>1</v>
      </c>
      <c r="D2661" s="8">
        <f ca="1">IFERROR(__xludf.DUMMYFUNCTION("""COMPUTED_VALUE"""),1)</f>
        <v>1</v>
      </c>
      <c r="E2661" s="2">
        <f ca="1">IFERROR(__xludf.DUMMYFUNCTION("""COMPUTED_VALUE"""),1)</f>
        <v>1</v>
      </c>
    </row>
    <row r="2662" spans="1:5" ht="13">
      <c r="A2662" s="2" t="str">
        <f ca="1">IFERROR(__xludf.DUMMYFUNCTION("""COMPUTED_VALUE"""),"Florio, Caryl")</f>
        <v>Florio, Caryl</v>
      </c>
      <c r="B2662" s="3">
        <f ca="1">IFERROR(__xludf.DUMMYFUNCTION("""COMPUTED_VALUE"""),1)</f>
        <v>1</v>
      </c>
      <c r="C2662" s="7">
        <f ca="1">IFERROR(__xludf.DUMMYFUNCTION("""COMPUTED_VALUE"""),1)</f>
        <v>1</v>
      </c>
      <c r="D2662" s="8">
        <f ca="1">IFERROR(__xludf.DUMMYFUNCTION("""COMPUTED_VALUE"""),5)</f>
        <v>5</v>
      </c>
      <c r="E2662" s="2">
        <f ca="1">IFERROR(__xludf.DUMMYFUNCTION("""COMPUTED_VALUE"""),2)</f>
        <v>2</v>
      </c>
    </row>
    <row r="2663" spans="1:5" ht="13">
      <c r="A2663" s="2" t="str">
        <f ca="1">IFERROR(__xludf.DUMMYFUNCTION("""COMPUTED_VALUE"""),"Flory, Neil")</f>
        <v>Flory, Neil</v>
      </c>
      <c r="B2663" s="3">
        <f ca="1">IFERROR(__xludf.DUMMYFUNCTION("""COMPUTED_VALUE"""),1)</f>
        <v>1</v>
      </c>
      <c r="C2663" s="7">
        <f ca="1">IFERROR(__xludf.DUMMYFUNCTION("""COMPUTED_VALUE"""),1)</f>
        <v>1</v>
      </c>
      <c r="D2663" s="8">
        <f ca="1">IFERROR(__xludf.DUMMYFUNCTION("""COMPUTED_VALUE"""),1)</f>
        <v>1</v>
      </c>
      <c r="E2663" s="2">
        <f ca="1">IFERROR(__xludf.DUMMYFUNCTION("""COMPUTED_VALUE"""),1)</f>
        <v>1</v>
      </c>
    </row>
    <row r="2664" spans="1:5" ht="13">
      <c r="A2664" s="2" t="str">
        <f ca="1">IFERROR(__xludf.DUMMYFUNCTION("""COMPUTED_VALUE"""),"Flotow, Friedrich von")</f>
        <v>Flotow, Friedrich von</v>
      </c>
      <c r="B2664" s="3">
        <f ca="1">IFERROR(__xludf.DUMMYFUNCTION("""COMPUTED_VALUE"""),1)</f>
        <v>1</v>
      </c>
      <c r="C2664" s="7">
        <f ca="1">IFERROR(__xludf.DUMMYFUNCTION("""COMPUTED_VALUE"""),1)</f>
        <v>1</v>
      </c>
      <c r="D2664" s="8">
        <f ca="1">IFERROR(__xludf.DUMMYFUNCTION("""COMPUTED_VALUE"""),5)</f>
        <v>5</v>
      </c>
      <c r="E2664" s="2">
        <f ca="1">IFERROR(__xludf.DUMMYFUNCTION("""COMPUTED_VALUE"""),2)</f>
        <v>2</v>
      </c>
    </row>
    <row r="2665" spans="1:5" ht="13">
      <c r="A2665" s="2" t="str">
        <f ca="1">IFERROR(__xludf.DUMMYFUNCTION("""COMPUTED_VALUE"""),"Flowers, Victor")</f>
        <v>Flowers, Victor</v>
      </c>
      <c r="B2665" s="3">
        <f ca="1">IFERROR(__xludf.DUMMYFUNCTION("""COMPUTED_VALUE"""),1)</f>
        <v>1</v>
      </c>
      <c r="C2665" s="7">
        <f ca="1">IFERROR(__xludf.DUMMYFUNCTION("""COMPUTED_VALUE"""),1)</f>
        <v>1</v>
      </c>
      <c r="D2665" s="8">
        <f ca="1">IFERROR(__xludf.DUMMYFUNCTION("""COMPUTED_VALUE"""),1)</f>
        <v>1</v>
      </c>
      <c r="E2665" s="2">
        <f ca="1">IFERROR(__xludf.DUMMYFUNCTION("""COMPUTED_VALUE"""),1)</f>
        <v>1</v>
      </c>
    </row>
    <row r="2666" spans="1:5" ht="13">
      <c r="A2666" s="2" t="str">
        <f ca="1">IFERROR(__xludf.DUMMYFUNCTION("""COMPUTED_VALUE"""),"Floyd, Ashley")</f>
        <v>Floyd, Ashley</v>
      </c>
      <c r="B2666" s="2">
        <f ca="1">IFERROR(__xludf.DUMMYFUNCTION("""COMPUTED_VALUE"""),1)</f>
        <v>1</v>
      </c>
      <c r="C2666" s="7">
        <f ca="1">IFERROR(__xludf.DUMMYFUNCTION("""COMPUTED_VALUE"""),1)</f>
        <v>1</v>
      </c>
      <c r="D2666" s="8">
        <f ca="1">IFERROR(__xludf.DUMMYFUNCTION("""COMPUTED_VALUE"""),1)</f>
        <v>1</v>
      </c>
      <c r="E2666" s="2">
        <f ca="1">IFERROR(__xludf.DUMMYFUNCTION("""COMPUTED_VALUE"""),1)</f>
        <v>1</v>
      </c>
    </row>
    <row r="2667" spans="1:5" ht="13">
      <c r="A2667" s="2" t="str">
        <f ca="1">IFERROR(__xludf.DUMMYFUNCTION("""COMPUTED_VALUE"""),"Floyd, Carlisle")</f>
        <v>Floyd, Carlisle</v>
      </c>
      <c r="B2667" s="3">
        <f ca="1">IFERROR(__xludf.DUMMYFUNCTION("""COMPUTED_VALUE"""),1)</f>
        <v>1</v>
      </c>
      <c r="C2667" s="7">
        <f ca="1">IFERROR(__xludf.DUMMYFUNCTION("""COMPUTED_VALUE"""),1)</f>
        <v>1</v>
      </c>
      <c r="D2667" s="8">
        <f ca="1">IFERROR(__xludf.DUMMYFUNCTION("""COMPUTED_VALUE"""),5)</f>
        <v>5</v>
      </c>
      <c r="E2667" s="2">
        <f ca="1">IFERROR(__xludf.DUMMYFUNCTION("""COMPUTED_VALUE"""),2)</f>
        <v>2</v>
      </c>
    </row>
    <row r="2668" spans="1:5" ht="13">
      <c r="A2668" s="2" t="str">
        <f ca="1">IFERROR(__xludf.DUMMYFUNCTION("""COMPUTED_VALUE"""),"Floyd, Chad")</f>
        <v>Floyd, Chad</v>
      </c>
      <c r="B2668" s="3">
        <f ca="1">IFERROR(__xludf.DUMMYFUNCTION("""COMPUTED_VALUE"""),1)</f>
        <v>1</v>
      </c>
      <c r="C2668" s="7">
        <f ca="1">IFERROR(__xludf.DUMMYFUNCTION("""COMPUTED_VALUE"""),1)</f>
        <v>1</v>
      </c>
      <c r="D2668" s="8">
        <f ca="1">IFERROR(__xludf.DUMMYFUNCTION("""COMPUTED_VALUE"""),1)</f>
        <v>1</v>
      </c>
      <c r="E2668" s="2">
        <f ca="1">IFERROR(__xludf.DUMMYFUNCTION("""COMPUTED_VALUE"""),1)</f>
        <v>1</v>
      </c>
    </row>
    <row r="2669" spans="1:5" ht="13">
      <c r="A2669" s="2" t="str">
        <f ca="1">IFERROR(__xludf.DUMMYFUNCTION("""COMPUTED_VALUE"""),"Fluck, Alan")</f>
        <v>Fluck, Alan</v>
      </c>
      <c r="B2669" s="3">
        <f ca="1">IFERROR(__xludf.DUMMYFUNCTION("""COMPUTED_VALUE"""),1)</f>
        <v>1</v>
      </c>
      <c r="C2669" s="7">
        <f ca="1">IFERROR(__xludf.DUMMYFUNCTION("""COMPUTED_VALUE"""),1)</f>
        <v>1</v>
      </c>
      <c r="D2669" s="8">
        <f ca="1">IFERROR(__xludf.DUMMYFUNCTION("""COMPUTED_VALUE"""),5)</f>
        <v>5</v>
      </c>
      <c r="E2669" s="2">
        <f ca="1">IFERROR(__xludf.DUMMYFUNCTION("""COMPUTED_VALUE"""),2)</f>
        <v>2</v>
      </c>
    </row>
    <row r="2670" spans="1:5" ht="13">
      <c r="A2670" s="2" t="str">
        <f ca="1">IFERROR(__xludf.DUMMYFUNCTION("""COMPUTED_VALUE"""),"Fluck, John D.")</f>
        <v>Fluck, John D.</v>
      </c>
      <c r="B2670" s="3">
        <f ca="1">IFERROR(__xludf.DUMMYFUNCTION("""COMPUTED_VALUE"""),1)</f>
        <v>1</v>
      </c>
      <c r="C2670" s="7">
        <f ca="1">IFERROR(__xludf.DUMMYFUNCTION("""COMPUTED_VALUE"""),1)</f>
        <v>1</v>
      </c>
      <c r="D2670" s="8">
        <f ca="1">IFERROR(__xludf.DUMMYFUNCTION("""COMPUTED_VALUE"""),1)</f>
        <v>1</v>
      </c>
      <c r="E2670" s="2">
        <f ca="1">IFERROR(__xludf.DUMMYFUNCTION("""COMPUTED_VALUE"""),1)</f>
        <v>1</v>
      </c>
    </row>
    <row r="2671" spans="1:5" ht="13">
      <c r="A2671" s="2" t="str">
        <f ca="1">IFERROR(__xludf.DUMMYFUNCTION("""COMPUTED_VALUE"""),"Flummerfelt, Joseph")</f>
        <v>Flummerfelt, Joseph</v>
      </c>
      <c r="B2671" s="3">
        <f ca="1">IFERROR(__xludf.DUMMYFUNCTION("""COMPUTED_VALUE"""),1)</f>
        <v>1</v>
      </c>
      <c r="C2671" s="7">
        <f ca="1">IFERROR(__xludf.DUMMYFUNCTION("""COMPUTED_VALUE"""),1)</f>
        <v>1</v>
      </c>
      <c r="D2671" s="8">
        <f ca="1">IFERROR(__xludf.DUMMYFUNCTION("""COMPUTED_VALUE"""),5)</f>
        <v>5</v>
      </c>
      <c r="E2671" s="2">
        <f ca="1">IFERROR(__xludf.DUMMYFUNCTION("""COMPUTED_VALUE"""),2)</f>
        <v>2</v>
      </c>
    </row>
    <row r="2672" spans="1:5" ht="13">
      <c r="A2672" s="2" t="str">
        <f ca="1">IFERROR(__xludf.DUMMYFUNCTION("""COMPUTED_VALUE"""),"Flurry, Henry")</f>
        <v>Flurry, Henry</v>
      </c>
      <c r="B2672" s="2">
        <f ca="1">IFERROR(__xludf.DUMMYFUNCTION("""COMPUTED_VALUE"""),1)</f>
        <v>1</v>
      </c>
      <c r="C2672" s="2">
        <f ca="1">IFERROR(__xludf.DUMMYFUNCTION("""COMPUTED_VALUE"""),1)</f>
        <v>1</v>
      </c>
      <c r="D2672" s="8">
        <f ca="1">IFERROR(__xludf.DUMMYFUNCTION("""COMPUTED_VALUE"""),1)</f>
        <v>1</v>
      </c>
      <c r="E2672" s="2">
        <f ca="1">IFERROR(__xludf.DUMMYFUNCTION("""COMPUTED_VALUE"""),1)</f>
        <v>1</v>
      </c>
    </row>
    <row r="2673" spans="1:5" ht="13">
      <c r="A2673" s="2" t="str">
        <f ca="1">IFERROR(__xludf.DUMMYFUNCTION("""COMPUTED_VALUE"""),"Flynn, Timothy")</f>
        <v>Flynn, Timothy</v>
      </c>
      <c r="B2673" s="3">
        <f ca="1">IFERROR(__xludf.DUMMYFUNCTION("""COMPUTED_VALUE"""),1)</f>
        <v>1</v>
      </c>
      <c r="C2673" s="7">
        <f ca="1">IFERROR(__xludf.DUMMYFUNCTION("""COMPUTED_VALUE"""),1)</f>
        <v>1</v>
      </c>
      <c r="D2673" s="8">
        <f ca="1">IFERROR(__xludf.DUMMYFUNCTION("""COMPUTED_VALUE"""),1)</f>
        <v>1</v>
      </c>
      <c r="E2673" s="2">
        <f ca="1">IFERROR(__xludf.DUMMYFUNCTION("""COMPUTED_VALUE"""),1)</f>
        <v>1</v>
      </c>
    </row>
    <row r="2674" spans="1:5" ht="13">
      <c r="A2674" s="8" t="str">
        <f ca="1">IFERROR(__xludf.DUMMYFUNCTION("""COMPUTED_VALUE"""),"Foden, William")</f>
        <v>Foden, William</v>
      </c>
      <c r="B2674" s="3">
        <f ca="1">IFERROR(__xludf.DUMMYFUNCTION("""COMPUTED_VALUE"""),1)</f>
        <v>1</v>
      </c>
      <c r="C2674" s="7">
        <f ca="1">IFERROR(__xludf.DUMMYFUNCTION("""COMPUTED_VALUE"""),1)</f>
        <v>1</v>
      </c>
      <c r="D2674" s="8">
        <f ca="1">IFERROR(__xludf.DUMMYFUNCTION("""COMPUTED_VALUE"""),5)</f>
        <v>5</v>
      </c>
      <c r="E2674" s="2">
        <f ca="1">IFERROR(__xludf.DUMMYFUNCTION("""COMPUTED_VALUE"""),2)</f>
        <v>2</v>
      </c>
    </row>
    <row r="2675" spans="1:5" ht="13">
      <c r="A2675" s="2" t="str">
        <f ca="1">IFERROR(__xludf.DUMMYFUNCTION("""COMPUTED_VALUE"""),"Foeller, George")</f>
        <v>Foeller, George</v>
      </c>
      <c r="B2675" s="3">
        <f ca="1">IFERROR(__xludf.DUMMYFUNCTION("""COMPUTED_VALUE"""),1)</f>
        <v>1</v>
      </c>
      <c r="C2675" s="7">
        <f ca="1">IFERROR(__xludf.DUMMYFUNCTION("""COMPUTED_VALUE"""),1)</f>
        <v>1</v>
      </c>
      <c r="D2675" s="8">
        <f ca="1">IFERROR(__xludf.DUMMYFUNCTION("""COMPUTED_VALUE"""),5)</f>
        <v>5</v>
      </c>
      <c r="E2675" s="2">
        <f ca="1">IFERROR(__xludf.DUMMYFUNCTION("""COMPUTED_VALUE"""),2)</f>
        <v>2</v>
      </c>
    </row>
    <row r="2676" spans="1:5" ht="13">
      <c r="A2676" s="8" t="str">
        <f ca="1">IFERROR(__xludf.DUMMYFUNCTION("""COMPUTED_VALUE"""),"Fogarty, R.achel Devore")</f>
        <v>Fogarty, R.achel Devore</v>
      </c>
      <c r="B2676" s="3">
        <f ca="1">IFERROR(__xludf.DUMMYFUNCTION("""COMPUTED_VALUE"""),1)</f>
        <v>1</v>
      </c>
      <c r="C2676" s="7">
        <f ca="1">IFERROR(__xludf.DUMMYFUNCTION("""COMPUTED_VALUE"""),1)</f>
        <v>1</v>
      </c>
      <c r="D2676" s="8">
        <f ca="1">IFERROR(__xludf.DUMMYFUNCTION("""COMPUTED_VALUE"""),1)</f>
        <v>1</v>
      </c>
      <c r="E2676" s="3">
        <f ca="1">IFERROR(__xludf.DUMMYFUNCTION("""COMPUTED_VALUE"""),1)</f>
        <v>1</v>
      </c>
    </row>
    <row r="2677" spans="1:5" ht="13">
      <c r="A2677" s="2" t="str">
        <f ca="1">IFERROR(__xludf.DUMMYFUNCTION("""COMPUTED_VALUE"""),"Fogliano, Giacomo")</f>
        <v>Fogliano, Giacomo</v>
      </c>
      <c r="B2677" s="3">
        <f ca="1">IFERROR(__xludf.DUMMYFUNCTION("""COMPUTED_VALUE"""),1)</f>
        <v>1</v>
      </c>
      <c r="C2677" s="7">
        <f ca="1">IFERROR(__xludf.DUMMYFUNCTION("""COMPUTED_VALUE"""),1)</f>
        <v>1</v>
      </c>
      <c r="D2677" s="8">
        <f ca="1">IFERROR(__xludf.DUMMYFUNCTION("""COMPUTED_VALUE"""),5)</f>
        <v>5</v>
      </c>
      <c r="E2677" s="2">
        <f ca="1">IFERROR(__xludf.DUMMYFUNCTION("""COMPUTED_VALUE"""),2)</f>
        <v>2</v>
      </c>
    </row>
    <row r="2678" spans="1:5" ht="13">
      <c r="A2678" s="2" t="str">
        <f ca="1">IFERROR(__xludf.DUMMYFUNCTION("""COMPUTED_VALUE"""),"Folds, Ben")</f>
        <v>Folds, Ben</v>
      </c>
      <c r="B2678" s="3">
        <f ca="1">IFERROR(__xludf.DUMMYFUNCTION("""COMPUTED_VALUE"""),1)</f>
        <v>1</v>
      </c>
      <c r="C2678" s="7">
        <f ca="1">IFERROR(__xludf.DUMMYFUNCTION("""COMPUTED_VALUE"""),1)</f>
        <v>1</v>
      </c>
      <c r="D2678" s="8">
        <f ca="1">IFERROR(__xludf.DUMMYFUNCTION("""COMPUTED_VALUE"""),1)</f>
        <v>1</v>
      </c>
      <c r="E2678" s="2">
        <f ca="1">IFERROR(__xludf.DUMMYFUNCTION("""COMPUTED_VALUE"""),1)</f>
        <v>1</v>
      </c>
    </row>
    <row r="2679" spans="1:5" ht="13">
      <c r="A2679" s="2" t="str">
        <f ca="1">IFERROR(__xludf.DUMMYFUNCTION("""COMPUTED_VALUE"""),"Foley, John")</f>
        <v>Foley, John</v>
      </c>
      <c r="B2679" s="3">
        <f ca="1">IFERROR(__xludf.DUMMYFUNCTION("""COMPUTED_VALUE"""),1)</f>
        <v>1</v>
      </c>
      <c r="C2679" s="7">
        <f ca="1">IFERROR(__xludf.DUMMYFUNCTION("""COMPUTED_VALUE"""),1)</f>
        <v>1</v>
      </c>
      <c r="D2679" s="8">
        <f ca="1">IFERROR(__xludf.DUMMYFUNCTION("""COMPUTED_VALUE"""),1)</f>
        <v>1</v>
      </c>
      <c r="E2679" s="2">
        <f ca="1">IFERROR(__xludf.DUMMYFUNCTION("""COMPUTED_VALUE"""),1)</f>
        <v>1</v>
      </c>
    </row>
    <row r="2680" spans="1:5" ht="13">
      <c r="A2680" s="2" t="str">
        <f ca="1">IFERROR(__xludf.DUMMYFUNCTION("""COMPUTED_VALUE"""),"Foley, Keith")</f>
        <v>Foley, Keith</v>
      </c>
      <c r="B2680" s="3">
        <f ca="1">IFERROR(__xludf.DUMMYFUNCTION("""COMPUTED_VALUE"""),1)</f>
        <v>1</v>
      </c>
      <c r="C2680" s="7">
        <f ca="1">IFERROR(__xludf.DUMMYFUNCTION("""COMPUTED_VALUE"""),1)</f>
        <v>1</v>
      </c>
      <c r="D2680" s="8">
        <f ca="1">IFERROR(__xludf.DUMMYFUNCTION("""COMPUTED_VALUE"""),1)</f>
        <v>1</v>
      </c>
      <c r="E2680" s="2">
        <f ca="1">IFERROR(__xludf.DUMMYFUNCTION("""COMPUTED_VALUE"""),1)</f>
        <v>1</v>
      </c>
    </row>
    <row r="2681" spans="1:5" ht="13">
      <c r="A2681" s="2" t="str">
        <f ca="1">IFERROR(__xludf.DUMMYFUNCTION("""COMPUTED_VALUE"""),"Follas, Ronald")</f>
        <v>Follas, Ronald</v>
      </c>
      <c r="B2681" s="2">
        <f ca="1">IFERROR(__xludf.DUMMYFUNCTION("""COMPUTED_VALUE"""),1)</f>
        <v>1</v>
      </c>
      <c r="C2681" s="7">
        <f ca="1">IFERROR(__xludf.DUMMYFUNCTION("""COMPUTED_VALUE"""),1)</f>
        <v>1</v>
      </c>
      <c r="D2681" s="8">
        <f ca="1">IFERROR(__xludf.DUMMYFUNCTION("""COMPUTED_VALUE"""),1)</f>
        <v>1</v>
      </c>
      <c r="E2681" s="2">
        <f ca="1">IFERROR(__xludf.DUMMYFUNCTION("""COMPUTED_VALUE"""),1)</f>
        <v>1</v>
      </c>
    </row>
    <row r="2682" spans="1:5" ht="13">
      <c r="A2682" s="2" t="str">
        <f ca="1">IFERROR(__xludf.DUMMYFUNCTION("""COMPUTED_VALUE"""),"Follett, Charles (pseudonym of Charles Ehret &amp; Elmer Kinsman)")</f>
        <v>Follett, Charles (pseudonym of Charles Ehret &amp; Elmer Kinsman)</v>
      </c>
      <c r="B2682" s="3">
        <f ca="1">IFERROR(__xludf.DUMMYFUNCTION("""COMPUTED_VALUE"""),1)</f>
        <v>1</v>
      </c>
      <c r="C2682" s="7">
        <f ca="1">IFERROR(__xludf.DUMMYFUNCTION("""COMPUTED_VALUE"""),1)</f>
        <v>1</v>
      </c>
      <c r="D2682" s="8">
        <f ca="1">IFERROR(__xludf.DUMMYFUNCTION("""COMPUTED_VALUE"""),5)</f>
        <v>5</v>
      </c>
      <c r="E2682" s="2">
        <f ca="1">IFERROR(__xludf.DUMMYFUNCTION("""COMPUTED_VALUE"""),2)</f>
        <v>2</v>
      </c>
    </row>
    <row r="2683" spans="1:5" ht="13">
      <c r="A2683" s="2" t="str">
        <f ca="1">IFERROR(__xludf.DUMMYFUNCTION("""COMPUTED_VALUE"""),"Follett, Charles / Green, Roland")</f>
        <v>Follett, Charles / Green, Roland</v>
      </c>
      <c r="B2683" s="3">
        <f ca="1">IFERROR(__xludf.DUMMYFUNCTION("""COMPUTED_VALUE"""),1)</f>
        <v>1</v>
      </c>
      <c r="C2683" s="7">
        <f ca="1">IFERROR(__xludf.DUMMYFUNCTION("""COMPUTED_VALUE"""),1)</f>
        <v>1</v>
      </c>
      <c r="D2683" s="8">
        <f ca="1">IFERROR(__xludf.DUMMYFUNCTION("""COMPUTED_VALUE"""),5)</f>
        <v>5</v>
      </c>
      <c r="E2683" s="2">
        <f ca="1">IFERROR(__xludf.DUMMYFUNCTION("""COMPUTED_VALUE"""),2)</f>
        <v>2</v>
      </c>
    </row>
    <row r="2684" spans="1:5" ht="13">
      <c r="A2684" s="8" t="str">
        <f ca="1">IFERROR(__xludf.DUMMYFUNCTION("""COMPUTED_VALUE"""),"Folstrom, Roger")</f>
        <v>Folstrom, Roger</v>
      </c>
      <c r="B2684" s="3">
        <f ca="1">IFERROR(__xludf.DUMMYFUNCTION("""COMPUTED_VALUE"""),1)</f>
        <v>1</v>
      </c>
      <c r="C2684" s="7">
        <f ca="1">IFERROR(__xludf.DUMMYFUNCTION("""COMPUTED_VALUE"""),1)</f>
        <v>1</v>
      </c>
      <c r="D2684" s="8">
        <f ca="1">IFERROR(__xludf.DUMMYFUNCTION("""COMPUTED_VALUE"""),5)</f>
        <v>5</v>
      </c>
      <c r="E2684" s="2">
        <f ca="1">IFERROR(__xludf.DUMMYFUNCTION("""COMPUTED_VALUE"""),2)</f>
        <v>2</v>
      </c>
    </row>
    <row r="2685" spans="1:5" ht="13">
      <c r="A2685" s="2" t="str">
        <f ca="1">IFERROR(__xludf.DUMMYFUNCTION("""COMPUTED_VALUE"""),"Foltz, David")</f>
        <v>Foltz, David</v>
      </c>
      <c r="B2685" s="3">
        <f ca="1">IFERROR(__xludf.DUMMYFUNCTION("""COMPUTED_VALUE"""),1)</f>
        <v>1</v>
      </c>
      <c r="C2685" s="7">
        <f ca="1">IFERROR(__xludf.DUMMYFUNCTION("""COMPUTED_VALUE"""),1)</f>
        <v>1</v>
      </c>
      <c r="D2685" s="8">
        <f ca="1">IFERROR(__xludf.DUMMYFUNCTION("""COMPUTED_VALUE"""),5)</f>
        <v>5</v>
      </c>
      <c r="E2685" s="2">
        <f ca="1">IFERROR(__xludf.DUMMYFUNCTION("""COMPUTED_VALUE"""),2)</f>
        <v>2</v>
      </c>
    </row>
    <row r="2686" spans="1:5" ht="13">
      <c r="A2686" s="2" t="str">
        <f ca="1">IFERROR(__xludf.DUMMYFUNCTION("""COMPUTED_VALUE"""),"Folus, Brian")</f>
        <v>Folus, Brian</v>
      </c>
      <c r="B2686" s="3">
        <f ca="1">IFERROR(__xludf.DUMMYFUNCTION("""COMPUTED_VALUE"""),1)</f>
        <v>1</v>
      </c>
      <c r="C2686" s="7">
        <f ca="1">IFERROR(__xludf.DUMMYFUNCTION("""COMPUTED_VALUE"""),1)</f>
        <v>1</v>
      </c>
      <c r="D2686" s="8">
        <f ca="1">IFERROR(__xludf.DUMMYFUNCTION("""COMPUTED_VALUE"""),1)</f>
        <v>1</v>
      </c>
      <c r="E2686" s="2">
        <f ca="1">IFERROR(__xludf.DUMMYFUNCTION("""COMPUTED_VALUE"""),1)</f>
        <v>1</v>
      </c>
    </row>
    <row r="2687" spans="1:5" ht="13">
      <c r="A2687" s="2" t="str">
        <f ca="1">IFERROR(__xludf.DUMMYFUNCTION("""COMPUTED_VALUE"""),"Fonder, Mark")</f>
        <v>Fonder, Mark</v>
      </c>
      <c r="B2687" s="2">
        <f ca="1">IFERROR(__xludf.DUMMYFUNCTION("""COMPUTED_VALUE"""),1)</f>
        <v>1</v>
      </c>
      <c r="C2687" s="2">
        <f ca="1">IFERROR(__xludf.DUMMYFUNCTION("""COMPUTED_VALUE"""),1)</f>
        <v>1</v>
      </c>
      <c r="D2687" s="8">
        <f ca="1">IFERROR(__xludf.DUMMYFUNCTION("""COMPUTED_VALUE"""),1)</f>
        <v>1</v>
      </c>
      <c r="E2687" s="2">
        <f ca="1">IFERROR(__xludf.DUMMYFUNCTION("""COMPUTED_VALUE"""),1)</f>
        <v>1</v>
      </c>
    </row>
    <row r="2688" spans="1:5" ht="13">
      <c r="A2688" s="2" t="str">
        <f ca="1">IFERROR(__xludf.DUMMYFUNCTION("""COMPUTED_VALUE"""),"Foote, Arthur")</f>
        <v>Foote, Arthur</v>
      </c>
      <c r="B2688" s="3">
        <f ca="1">IFERROR(__xludf.DUMMYFUNCTION("""COMPUTED_VALUE"""),1)</f>
        <v>1</v>
      </c>
      <c r="C2688" s="7">
        <f ca="1">IFERROR(__xludf.DUMMYFUNCTION("""COMPUTED_VALUE"""),1)</f>
        <v>1</v>
      </c>
      <c r="D2688" s="8">
        <f ca="1">IFERROR(__xludf.DUMMYFUNCTION("""COMPUTED_VALUE"""),5)</f>
        <v>5</v>
      </c>
      <c r="E2688" s="2">
        <f ca="1">IFERROR(__xludf.DUMMYFUNCTION("""COMPUTED_VALUE"""),2)</f>
        <v>2</v>
      </c>
    </row>
    <row r="2689" spans="1:5" ht="13">
      <c r="A2689" s="2" t="str">
        <f ca="1">IFERROR(__xludf.DUMMYFUNCTION("""COMPUTED_VALUE"""),"Forbes, Elliot")</f>
        <v>Forbes, Elliot</v>
      </c>
      <c r="B2689" s="3">
        <f ca="1">IFERROR(__xludf.DUMMYFUNCTION("""COMPUTED_VALUE"""),1)</f>
        <v>1</v>
      </c>
      <c r="C2689" s="7">
        <f ca="1">IFERROR(__xludf.DUMMYFUNCTION("""COMPUTED_VALUE"""),1)</f>
        <v>1</v>
      </c>
      <c r="D2689" s="8">
        <f ca="1">IFERROR(__xludf.DUMMYFUNCTION("""COMPUTED_VALUE"""),5)</f>
        <v>5</v>
      </c>
      <c r="E2689" s="2">
        <f ca="1">IFERROR(__xludf.DUMMYFUNCTION("""COMPUTED_VALUE"""),2)</f>
        <v>2</v>
      </c>
    </row>
    <row r="2690" spans="1:5" ht="13">
      <c r="A2690" s="2" t="str">
        <f ca="1">IFERROR(__xludf.DUMMYFUNCTION("""COMPUTED_VALUE"""),"Forbes, Guy")</f>
        <v>Forbes, Guy</v>
      </c>
      <c r="B2690" s="3">
        <f ca="1">IFERROR(__xludf.DUMMYFUNCTION("""COMPUTED_VALUE"""),1)</f>
        <v>1</v>
      </c>
      <c r="C2690" s="7">
        <f ca="1">IFERROR(__xludf.DUMMYFUNCTION("""COMPUTED_VALUE"""),1)</f>
        <v>1</v>
      </c>
      <c r="D2690" s="8">
        <f ca="1">IFERROR(__xludf.DUMMYFUNCTION("""COMPUTED_VALUE"""),1)</f>
        <v>1</v>
      </c>
      <c r="E2690" s="2">
        <f ca="1">IFERROR(__xludf.DUMMYFUNCTION("""COMPUTED_VALUE"""),1)</f>
        <v>1</v>
      </c>
    </row>
    <row r="2691" spans="1:5" ht="13">
      <c r="A2691" s="2" t="str">
        <f ca="1">IFERROR(__xludf.DUMMYFUNCTION("""COMPUTED_VALUE"""),"Forbes, Mike")</f>
        <v>Forbes, Mike</v>
      </c>
      <c r="B2691" s="3">
        <f ca="1">IFERROR(__xludf.DUMMYFUNCTION("""COMPUTED_VALUE"""),1)</f>
        <v>1</v>
      </c>
      <c r="C2691" s="7">
        <f ca="1">IFERROR(__xludf.DUMMYFUNCTION("""COMPUTED_VALUE"""),1)</f>
        <v>1</v>
      </c>
      <c r="D2691" s="8">
        <f ca="1">IFERROR(__xludf.DUMMYFUNCTION("""COMPUTED_VALUE"""),1)</f>
        <v>1</v>
      </c>
      <c r="E2691" s="2">
        <f ca="1">IFERROR(__xludf.DUMMYFUNCTION("""COMPUTED_VALUE"""),1)</f>
        <v>1</v>
      </c>
    </row>
    <row r="2692" spans="1:5" ht="13">
      <c r="A2692" s="2" t="str">
        <f ca="1">IFERROR(__xludf.DUMMYFUNCTION("""COMPUTED_VALUE"""),"Forbes, Watson")</f>
        <v>Forbes, Watson</v>
      </c>
      <c r="B2692" s="3">
        <f ca="1">IFERROR(__xludf.DUMMYFUNCTION("""COMPUTED_VALUE"""),1)</f>
        <v>1</v>
      </c>
      <c r="C2692" s="7">
        <f ca="1">IFERROR(__xludf.DUMMYFUNCTION("""COMPUTED_VALUE"""),1)</f>
        <v>1</v>
      </c>
      <c r="D2692" s="8">
        <f ca="1">IFERROR(__xludf.DUMMYFUNCTION("""COMPUTED_VALUE"""),5)</f>
        <v>5</v>
      </c>
      <c r="E2692" s="2">
        <f ca="1">IFERROR(__xludf.DUMMYFUNCTION("""COMPUTED_VALUE"""),2)</f>
        <v>2</v>
      </c>
    </row>
    <row r="2693" spans="1:5" ht="13">
      <c r="A2693" s="2" t="str">
        <f ca="1">IFERROR(__xludf.DUMMYFUNCTION("""COMPUTED_VALUE"""),"Ford, Barry M.")</f>
        <v>Ford, Barry M.</v>
      </c>
      <c r="B2693" s="3">
        <f ca="1">IFERROR(__xludf.DUMMYFUNCTION("""COMPUTED_VALUE"""),1)</f>
        <v>1</v>
      </c>
      <c r="C2693" s="7">
        <f ca="1">IFERROR(__xludf.DUMMYFUNCTION("""COMPUTED_VALUE"""),1)</f>
        <v>1</v>
      </c>
      <c r="D2693" s="8">
        <f ca="1">IFERROR(__xludf.DUMMYFUNCTION("""COMPUTED_VALUE"""),5)</f>
        <v>5</v>
      </c>
      <c r="E2693" s="2">
        <f ca="1">IFERROR(__xludf.DUMMYFUNCTION("""COMPUTED_VALUE"""),2)</f>
        <v>2</v>
      </c>
    </row>
    <row r="2694" spans="1:5" ht="13">
      <c r="A2694" s="2" t="str">
        <f ca="1">IFERROR(__xludf.DUMMYFUNCTION("""COMPUTED_VALUE"""),"Ford, J. Kevin")</f>
        <v>Ford, J. Kevin</v>
      </c>
      <c r="B2694" s="2">
        <f ca="1">IFERROR(__xludf.DUMMYFUNCTION("""COMPUTED_VALUE"""),1)</f>
        <v>1</v>
      </c>
      <c r="C2694" s="2">
        <f ca="1">IFERROR(__xludf.DUMMYFUNCTION("""COMPUTED_VALUE"""),1)</f>
        <v>1</v>
      </c>
      <c r="D2694" s="8">
        <f ca="1">IFERROR(__xludf.DUMMYFUNCTION("""COMPUTED_VALUE"""),1)</f>
        <v>1</v>
      </c>
      <c r="E2694" s="2">
        <f ca="1">IFERROR(__xludf.DUMMYFUNCTION("""COMPUTED_VALUE"""),1)</f>
        <v>1</v>
      </c>
    </row>
    <row r="2695" spans="1:5" ht="13">
      <c r="A2695" s="8" t="str">
        <f ca="1">IFERROR(__xludf.DUMMYFUNCTION("""COMPUTED_VALUE"""),"Ford, Jack")</f>
        <v>Ford, Jack</v>
      </c>
      <c r="B2695" s="3">
        <f ca="1">IFERROR(__xludf.DUMMYFUNCTION("""COMPUTED_VALUE"""),1)</f>
        <v>1</v>
      </c>
      <c r="C2695" s="7">
        <f ca="1">IFERROR(__xludf.DUMMYFUNCTION("""COMPUTED_VALUE"""),1)</f>
        <v>1</v>
      </c>
      <c r="D2695" s="8">
        <f ca="1">IFERROR(__xludf.DUMMYFUNCTION("""COMPUTED_VALUE"""),1)</f>
        <v>1</v>
      </c>
      <c r="E2695" s="2">
        <f ca="1">IFERROR(__xludf.DUMMYFUNCTION("""COMPUTED_VALUE"""),1)</f>
        <v>1</v>
      </c>
    </row>
    <row r="2696" spans="1:5" ht="13">
      <c r="A2696" s="2" t="str">
        <f ca="1">IFERROR(__xludf.DUMMYFUNCTION("""COMPUTED_VALUE"""),"Ford, Mark")</f>
        <v>Ford, Mark</v>
      </c>
      <c r="B2696" s="3">
        <f ca="1">IFERROR(__xludf.DUMMYFUNCTION("""COMPUTED_VALUE"""),1)</f>
        <v>1</v>
      </c>
      <c r="C2696" s="7">
        <f ca="1">IFERROR(__xludf.DUMMYFUNCTION("""COMPUTED_VALUE"""),1)</f>
        <v>1</v>
      </c>
      <c r="D2696" s="8">
        <f ca="1">IFERROR(__xludf.DUMMYFUNCTION("""COMPUTED_VALUE"""),1)</f>
        <v>1</v>
      </c>
      <c r="E2696" s="2">
        <f ca="1">IFERROR(__xludf.DUMMYFUNCTION("""COMPUTED_VALUE"""),1)</f>
        <v>1</v>
      </c>
    </row>
    <row r="2697" spans="1:5" ht="13">
      <c r="A2697" s="2" t="str">
        <f ca="1">IFERROR(__xludf.DUMMYFUNCTION("""COMPUTED_VALUE"""),"Ford, Maurice")</f>
        <v>Ford, Maurice</v>
      </c>
      <c r="B2697" s="3">
        <f ca="1">IFERROR(__xludf.DUMMYFUNCTION("""COMPUTED_VALUE"""),1)</f>
        <v>1</v>
      </c>
      <c r="C2697" s="7">
        <f ca="1">IFERROR(__xludf.DUMMYFUNCTION("""COMPUTED_VALUE"""),1)</f>
        <v>1</v>
      </c>
      <c r="D2697" s="8">
        <f ca="1">IFERROR(__xludf.DUMMYFUNCTION("""COMPUTED_VALUE"""),5)</f>
        <v>5</v>
      </c>
      <c r="E2697" s="2">
        <f ca="1">IFERROR(__xludf.DUMMYFUNCTION("""COMPUTED_VALUE"""),2)</f>
        <v>2</v>
      </c>
    </row>
    <row r="2698" spans="1:5" ht="13">
      <c r="A2698" s="2" t="str">
        <f ca="1">IFERROR(__xludf.DUMMYFUNCTION("""COMPUTED_VALUE"""),"Ford, Ralph")</f>
        <v>Ford, Ralph</v>
      </c>
      <c r="B2698" s="3">
        <f ca="1">IFERROR(__xludf.DUMMYFUNCTION("""COMPUTED_VALUE"""),1)</f>
        <v>1</v>
      </c>
      <c r="C2698" s="7">
        <f ca="1">IFERROR(__xludf.DUMMYFUNCTION("""COMPUTED_VALUE"""),1)</f>
        <v>1</v>
      </c>
      <c r="D2698" s="8">
        <f ca="1">IFERROR(__xludf.DUMMYFUNCTION("""COMPUTED_VALUE"""),1)</f>
        <v>1</v>
      </c>
      <c r="E2698" s="2">
        <f ca="1">IFERROR(__xludf.DUMMYFUNCTION("""COMPUTED_VALUE"""),1)</f>
        <v>1</v>
      </c>
    </row>
    <row r="2699" spans="1:5" ht="13">
      <c r="A2699" s="2" t="str">
        <f ca="1">IFERROR(__xludf.DUMMYFUNCTION("""COMPUTED_VALUE"""),"Ford, Thomas")</f>
        <v>Ford, Thomas</v>
      </c>
      <c r="B2699" s="2">
        <f ca="1">IFERROR(__xludf.DUMMYFUNCTION("""COMPUTED_VALUE"""),1)</f>
        <v>1</v>
      </c>
      <c r="C2699" s="7">
        <f ca="1">IFERROR(__xludf.DUMMYFUNCTION("""COMPUTED_VALUE"""),1)</f>
        <v>1</v>
      </c>
      <c r="D2699" s="8">
        <f ca="1">IFERROR(__xludf.DUMMYFUNCTION("""COMPUTED_VALUE"""),5)</f>
        <v>5</v>
      </c>
      <c r="E2699" s="2">
        <f ca="1">IFERROR(__xludf.DUMMYFUNCTION("""COMPUTED_VALUE"""),2)</f>
        <v>2</v>
      </c>
    </row>
    <row r="2700" spans="1:5" ht="13">
      <c r="A2700" s="2" t="str">
        <f ca="1">IFERROR(__xludf.DUMMYFUNCTION("""COMPUTED_VALUE"""),"Ford, Trevor")</f>
        <v>Ford, Trevor</v>
      </c>
      <c r="B2700" s="3">
        <f ca="1">IFERROR(__xludf.DUMMYFUNCTION("""COMPUTED_VALUE"""),1)</f>
        <v>1</v>
      </c>
      <c r="C2700" s="7">
        <f ca="1">IFERROR(__xludf.DUMMYFUNCTION("""COMPUTED_VALUE"""),1)</f>
        <v>1</v>
      </c>
      <c r="D2700" s="8">
        <f ca="1">IFERROR(__xludf.DUMMYFUNCTION("""COMPUTED_VALUE"""),1)</f>
        <v>1</v>
      </c>
      <c r="E2700" s="2">
        <f ca="1">IFERROR(__xludf.DUMMYFUNCTION("""COMPUTED_VALUE"""),1)</f>
        <v>1</v>
      </c>
    </row>
    <row r="2701" spans="1:5" ht="13">
      <c r="A2701" s="2" t="str">
        <f ca="1">IFERROR(__xludf.DUMMYFUNCTION("""COMPUTED_VALUE"""),"Ford, Virgil")</f>
        <v>Ford, Virgil</v>
      </c>
      <c r="B2701" s="3">
        <f ca="1">IFERROR(__xludf.DUMMYFUNCTION("""COMPUTED_VALUE"""),1)</f>
        <v>1</v>
      </c>
      <c r="C2701" s="7">
        <f ca="1">IFERROR(__xludf.DUMMYFUNCTION("""COMPUTED_VALUE"""),1)</f>
        <v>1</v>
      </c>
      <c r="D2701" s="8">
        <f ca="1">IFERROR(__xludf.DUMMYFUNCTION("""COMPUTED_VALUE"""),5)</f>
        <v>5</v>
      </c>
      <c r="E2701" s="2">
        <f ca="1">IFERROR(__xludf.DUMMYFUNCTION("""COMPUTED_VALUE"""),2)</f>
        <v>2</v>
      </c>
    </row>
    <row r="2702" spans="1:5" ht="13">
      <c r="A2702" s="2" t="str">
        <f ca="1">IFERROR(__xludf.DUMMYFUNCTION("""COMPUTED_VALUE"""),"Førde, Jan Magne")</f>
        <v>Førde, Jan Magne</v>
      </c>
      <c r="B2702" s="3">
        <f ca="1">IFERROR(__xludf.DUMMYFUNCTION("""COMPUTED_VALUE"""),1)</f>
        <v>1</v>
      </c>
      <c r="C2702" s="7">
        <f ca="1">IFERROR(__xludf.DUMMYFUNCTION("""COMPUTED_VALUE"""),1)</f>
        <v>1</v>
      </c>
      <c r="D2702" s="8">
        <f ca="1">IFERROR(__xludf.DUMMYFUNCTION("""COMPUTED_VALUE"""),1)</f>
        <v>1</v>
      </c>
      <c r="E2702" s="2">
        <f ca="1">IFERROR(__xludf.DUMMYFUNCTION("""COMPUTED_VALUE"""),1)</f>
        <v>1</v>
      </c>
    </row>
    <row r="2703" spans="1:5" ht="13">
      <c r="A2703" s="2" t="str">
        <f ca="1">IFERROR(__xludf.DUMMYFUNCTION("""COMPUTED_VALUE"""),"Forgaill, Dallan")</f>
        <v>Forgaill, Dallan</v>
      </c>
      <c r="B2703" s="3">
        <f ca="1">IFERROR(__xludf.DUMMYFUNCTION("""COMPUTED_VALUE"""),1)</f>
        <v>1</v>
      </c>
      <c r="C2703" s="7">
        <f ca="1">IFERROR(__xludf.DUMMYFUNCTION("""COMPUTED_VALUE"""),1)</f>
        <v>1</v>
      </c>
      <c r="D2703" s="8">
        <f ca="1">IFERROR(__xludf.DUMMYFUNCTION("""COMPUTED_VALUE"""),5)</f>
        <v>5</v>
      </c>
      <c r="E2703" s="2">
        <f ca="1">IFERROR(__xludf.DUMMYFUNCTION("""COMPUTED_VALUE"""),2)</f>
        <v>2</v>
      </c>
    </row>
    <row r="2704" spans="1:5" ht="13">
      <c r="A2704" s="2" t="str">
        <f ca="1">IFERROR(__xludf.DUMMYFUNCTION("""COMPUTED_VALUE"""),"Foris, Russ")</f>
        <v>Foris, Russ</v>
      </c>
      <c r="B2704" s="3">
        <f ca="1">IFERROR(__xludf.DUMMYFUNCTION("""COMPUTED_VALUE"""),1)</f>
        <v>1</v>
      </c>
      <c r="C2704" s="7">
        <f ca="1">IFERROR(__xludf.DUMMYFUNCTION("""COMPUTED_VALUE"""),1)</f>
        <v>1</v>
      </c>
      <c r="D2704" s="8">
        <f ca="1">IFERROR(__xludf.DUMMYFUNCTION("""COMPUTED_VALUE"""),1)</f>
        <v>1</v>
      </c>
      <c r="E2704" s="2">
        <f ca="1">IFERROR(__xludf.DUMMYFUNCTION("""COMPUTED_VALUE"""),1)</f>
        <v>1</v>
      </c>
    </row>
    <row r="2705" spans="1:5" ht="13">
      <c r="A2705" s="2" t="str">
        <f ca="1">IFERROR(__xludf.DUMMYFUNCTION("""COMPUTED_VALUE"""),"Foroni, Jacopo")</f>
        <v>Foroni, Jacopo</v>
      </c>
      <c r="B2705" s="3">
        <f ca="1">IFERROR(__xludf.DUMMYFUNCTION("""COMPUTED_VALUE"""),1)</f>
        <v>1</v>
      </c>
      <c r="C2705" s="7">
        <f ca="1">IFERROR(__xludf.DUMMYFUNCTION("""COMPUTED_VALUE"""),1)</f>
        <v>1</v>
      </c>
      <c r="D2705" s="8">
        <f ca="1">IFERROR(__xludf.DUMMYFUNCTION("""COMPUTED_VALUE"""),5)</f>
        <v>5</v>
      </c>
      <c r="E2705" s="2">
        <f ca="1">IFERROR(__xludf.DUMMYFUNCTION("""COMPUTED_VALUE"""),2)</f>
        <v>2</v>
      </c>
    </row>
    <row r="2706" spans="1:5" ht="13">
      <c r="A2706" s="2" t="str">
        <f ca="1">IFERROR(__xludf.DUMMYFUNCTION("""COMPUTED_VALUE"""),"Forrest, Dan")</f>
        <v>Forrest, Dan</v>
      </c>
      <c r="B2706" s="3">
        <f ca="1">IFERROR(__xludf.DUMMYFUNCTION("""COMPUTED_VALUE"""),1)</f>
        <v>1</v>
      </c>
      <c r="C2706" s="7">
        <f ca="1">IFERROR(__xludf.DUMMYFUNCTION("""COMPUTED_VALUE"""),1)</f>
        <v>1</v>
      </c>
      <c r="D2706" s="8">
        <f ca="1">IFERROR(__xludf.DUMMYFUNCTION("""COMPUTED_VALUE"""),1)</f>
        <v>1</v>
      </c>
      <c r="E2706" s="2">
        <f ca="1">IFERROR(__xludf.DUMMYFUNCTION("""COMPUTED_VALUE"""),1)</f>
        <v>1</v>
      </c>
    </row>
    <row r="2707" spans="1:5" ht="13">
      <c r="A2707" s="2" t="str">
        <f ca="1">IFERROR(__xludf.DUMMYFUNCTION("""COMPUTED_VALUE"""),"Forrest, Dan / Clausen")</f>
        <v>Forrest, Dan / Clausen</v>
      </c>
      <c r="B2707" s="3">
        <f ca="1">IFERROR(__xludf.DUMMYFUNCTION("""COMPUTED_VALUE"""),1)</f>
        <v>1</v>
      </c>
      <c r="C2707" s="7">
        <f ca="1">IFERROR(__xludf.DUMMYFUNCTION("""COMPUTED_VALUE"""),1)</f>
        <v>1</v>
      </c>
      <c r="D2707" s="8">
        <f ca="1">IFERROR(__xludf.DUMMYFUNCTION("""COMPUTED_VALUE"""),1)</f>
        <v>1</v>
      </c>
      <c r="E2707" s="2">
        <f ca="1">IFERROR(__xludf.DUMMYFUNCTION("""COMPUTED_VALUE"""),1)</f>
        <v>1</v>
      </c>
    </row>
    <row r="2708" spans="1:5" ht="13">
      <c r="A2708" s="2" t="str">
        <f ca="1">IFERROR(__xludf.DUMMYFUNCTION("""COMPUTED_VALUE"""),"Forrester, Marshall")</f>
        <v>Forrester, Marshall</v>
      </c>
      <c r="B2708" s="3">
        <f ca="1">IFERROR(__xludf.DUMMYFUNCTION("""COMPUTED_VALUE"""),1)</f>
        <v>1</v>
      </c>
      <c r="C2708" s="7">
        <f ca="1">IFERROR(__xludf.DUMMYFUNCTION("""COMPUTED_VALUE"""),1)</f>
        <v>1</v>
      </c>
      <c r="D2708" s="8">
        <f ca="1">IFERROR(__xludf.DUMMYFUNCTION("""COMPUTED_VALUE"""),1)</f>
        <v>1</v>
      </c>
      <c r="E2708" s="2">
        <f ca="1">IFERROR(__xludf.DUMMYFUNCTION("""COMPUTED_VALUE"""),1)</f>
        <v>1</v>
      </c>
    </row>
    <row r="2709" spans="1:5" ht="13">
      <c r="A2709" s="2" t="str">
        <f ca="1">IFERROR(__xludf.DUMMYFUNCTION("""COMPUTED_VALUE"""),"Forsblad, Leland")</f>
        <v>Forsblad, Leland</v>
      </c>
      <c r="B2709" s="3">
        <f ca="1">IFERROR(__xludf.DUMMYFUNCTION("""COMPUTED_VALUE"""),1)</f>
        <v>1</v>
      </c>
      <c r="C2709" s="7">
        <f ca="1">IFERROR(__xludf.DUMMYFUNCTION("""COMPUTED_VALUE"""),1)</f>
        <v>1</v>
      </c>
      <c r="D2709" s="8">
        <f ca="1">IFERROR(__xludf.DUMMYFUNCTION("""COMPUTED_VALUE"""),5)</f>
        <v>5</v>
      </c>
      <c r="E2709" s="2">
        <f ca="1">IFERROR(__xludf.DUMMYFUNCTION("""COMPUTED_VALUE"""),2)</f>
        <v>2</v>
      </c>
    </row>
    <row r="2710" spans="1:5" ht="13">
      <c r="A2710" s="8" t="str">
        <f ca="1">IFERROR(__xludf.DUMMYFUNCTION("""COMPUTED_VALUE"""),"Forsblad, Leland / Livingston, Wayne")</f>
        <v>Forsblad, Leland / Livingston, Wayne</v>
      </c>
      <c r="B2710" s="3">
        <f ca="1">IFERROR(__xludf.DUMMYFUNCTION("""COMPUTED_VALUE"""),1)</f>
        <v>1</v>
      </c>
      <c r="C2710" s="7">
        <f ca="1">IFERROR(__xludf.DUMMYFUNCTION("""COMPUTED_VALUE"""),1)</f>
        <v>1</v>
      </c>
      <c r="D2710" s="8">
        <f ca="1">IFERROR(__xludf.DUMMYFUNCTION("""COMPUTED_VALUE"""),5)</f>
        <v>5</v>
      </c>
      <c r="E2710" s="2">
        <f ca="1">IFERROR(__xludf.DUMMYFUNCTION("""COMPUTED_VALUE"""),2)</f>
        <v>2</v>
      </c>
    </row>
    <row r="2711" spans="1:5" ht="13">
      <c r="A2711" s="8" t="str">
        <f ca="1">IFERROR(__xludf.DUMMYFUNCTION("""COMPUTED_VALUE"""),"Forssmark, Karl A.")</f>
        <v>Forssmark, Karl A.</v>
      </c>
      <c r="B2711" s="3">
        <f ca="1">IFERROR(__xludf.DUMMYFUNCTION("""COMPUTED_VALUE"""),1)</f>
        <v>1</v>
      </c>
      <c r="C2711" s="7">
        <f ca="1">IFERROR(__xludf.DUMMYFUNCTION("""COMPUTED_VALUE"""),1)</f>
        <v>1</v>
      </c>
      <c r="D2711" s="8">
        <f ca="1">IFERROR(__xludf.DUMMYFUNCTION("""COMPUTED_VALUE"""),5)</f>
        <v>5</v>
      </c>
      <c r="E2711" s="2">
        <f ca="1">IFERROR(__xludf.DUMMYFUNCTION("""COMPUTED_VALUE"""),2)</f>
        <v>2</v>
      </c>
    </row>
    <row r="2712" spans="1:5" ht="13">
      <c r="A2712" s="2" t="str">
        <f ca="1">IFERROR(__xludf.DUMMYFUNCTION("""COMPUTED_VALUE"""),"Forster, Christoph")</f>
        <v>Forster, Christoph</v>
      </c>
      <c r="B2712" s="3">
        <f ca="1">IFERROR(__xludf.DUMMYFUNCTION("""COMPUTED_VALUE"""),1)</f>
        <v>1</v>
      </c>
      <c r="C2712" s="7">
        <f ca="1">IFERROR(__xludf.DUMMYFUNCTION("""COMPUTED_VALUE"""),1)</f>
        <v>1</v>
      </c>
      <c r="D2712" s="8">
        <f ca="1">IFERROR(__xludf.DUMMYFUNCTION("""COMPUTED_VALUE"""),5)</f>
        <v>5</v>
      </c>
      <c r="E2712" s="2">
        <f ca="1">IFERROR(__xludf.DUMMYFUNCTION("""COMPUTED_VALUE"""),2)</f>
        <v>2</v>
      </c>
    </row>
    <row r="2713" spans="1:5" ht="13">
      <c r="A2713" s="2" t="str">
        <f ca="1">IFERROR(__xludf.DUMMYFUNCTION("""COMPUTED_VALUE"""),"Forsyth, Cecil")</f>
        <v>Forsyth, Cecil</v>
      </c>
      <c r="B2713" s="2">
        <f ca="1">IFERROR(__xludf.DUMMYFUNCTION("""COMPUTED_VALUE"""),1)</f>
        <v>1</v>
      </c>
      <c r="C2713" s="2">
        <f ca="1">IFERROR(__xludf.DUMMYFUNCTION("""COMPUTED_VALUE"""),1)</f>
        <v>1</v>
      </c>
      <c r="D2713" s="8">
        <f ca="1">IFERROR(__xludf.DUMMYFUNCTION("""COMPUTED_VALUE"""),5)</f>
        <v>5</v>
      </c>
      <c r="E2713" s="2">
        <f ca="1">IFERROR(__xludf.DUMMYFUNCTION("""COMPUTED_VALUE"""),2)</f>
        <v>2</v>
      </c>
    </row>
    <row r="2714" spans="1:5" ht="13">
      <c r="A2714" s="2" t="str">
        <f ca="1">IFERROR(__xludf.DUMMYFUNCTION("""COMPUTED_VALUE"""),"Forsyth, Malcolm")</f>
        <v>Forsyth, Malcolm</v>
      </c>
      <c r="B2714" s="3">
        <f ca="1">IFERROR(__xludf.DUMMYFUNCTION("""COMPUTED_VALUE"""),1)</f>
        <v>1</v>
      </c>
      <c r="C2714" s="7">
        <f ca="1">IFERROR(__xludf.DUMMYFUNCTION("""COMPUTED_VALUE"""),1)</f>
        <v>1</v>
      </c>
      <c r="D2714" s="8">
        <f ca="1">IFERROR(__xludf.DUMMYFUNCTION("""COMPUTED_VALUE"""),5)</f>
        <v>5</v>
      </c>
      <c r="E2714" s="2">
        <f ca="1">IFERROR(__xludf.DUMMYFUNCTION("""COMPUTED_VALUE"""),2)</f>
        <v>2</v>
      </c>
    </row>
    <row r="2715" spans="1:5" ht="13">
      <c r="A2715" s="8" t="str">
        <f ca="1">IFERROR(__xludf.DUMMYFUNCTION("""COMPUTED_VALUE"""),"Forsythe, Edward")</f>
        <v>Forsythe, Edward</v>
      </c>
      <c r="B2715" s="9">
        <f ca="1">IFERROR(__xludf.DUMMYFUNCTION("""COMPUTED_VALUE"""),1)</f>
        <v>1</v>
      </c>
      <c r="C2715" s="7">
        <f ca="1">IFERROR(__xludf.DUMMYFUNCTION("""COMPUTED_VALUE"""),1)</f>
        <v>1</v>
      </c>
      <c r="D2715" s="8">
        <f ca="1">IFERROR(__xludf.DUMMYFUNCTION("""COMPUTED_VALUE"""),5)</f>
        <v>5</v>
      </c>
      <c r="E2715" s="9">
        <f ca="1">IFERROR(__xludf.DUMMYFUNCTION("""COMPUTED_VALUE"""),2)</f>
        <v>2</v>
      </c>
    </row>
    <row r="2716" spans="1:5" ht="13">
      <c r="A2716" s="8" t="str">
        <f ca="1">IFERROR(__xludf.DUMMYFUNCTION("""COMPUTED_VALUE"""),"Forte, Nicholas")</f>
        <v>Forte, Nicholas</v>
      </c>
      <c r="B2716" s="3">
        <f ca="1">IFERROR(__xludf.DUMMYFUNCTION("""COMPUTED_VALUE"""),1)</f>
        <v>1</v>
      </c>
      <c r="C2716" s="7">
        <f ca="1">IFERROR(__xludf.DUMMYFUNCTION("""COMPUTED_VALUE"""),1)</f>
        <v>1</v>
      </c>
      <c r="D2716" s="8">
        <f ca="1">IFERROR(__xludf.DUMMYFUNCTION("""COMPUTED_VALUE"""),5)</f>
        <v>5</v>
      </c>
      <c r="E2716" s="2">
        <f ca="1">IFERROR(__xludf.DUMMYFUNCTION("""COMPUTED_VALUE"""),2)</f>
        <v>2</v>
      </c>
    </row>
    <row r="2717" spans="1:5" ht="13">
      <c r="A2717" s="2" t="str">
        <f ca="1">IFERROR(__xludf.DUMMYFUNCTION("""COMPUTED_VALUE"""),"Fortmann, Thomas")</f>
        <v>Fortmann, Thomas</v>
      </c>
      <c r="B2717" s="3">
        <f ca="1">IFERROR(__xludf.DUMMYFUNCTION("""COMPUTED_VALUE"""),1)</f>
        <v>1</v>
      </c>
      <c r="C2717" s="7">
        <f ca="1">IFERROR(__xludf.DUMMYFUNCTION("""COMPUTED_VALUE"""),1)</f>
        <v>1</v>
      </c>
      <c r="D2717" s="8">
        <f ca="1">IFERROR(__xludf.DUMMYFUNCTION("""COMPUTED_VALUE"""),1)</f>
        <v>1</v>
      </c>
      <c r="E2717" s="2">
        <f ca="1">IFERROR(__xludf.DUMMYFUNCTION("""COMPUTED_VALUE"""),1)</f>
        <v>1</v>
      </c>
    </row>
    <row r="2718" spans="1:5" ht="13">
      <c r="A2718" s="2" t="str">
        <f ca="1">IFERROR(__xludf.DUMMYFUNCTION("""COMPUTED_VALUE"""),"Fortner, Wolfgang")</f>
        <v>Fortner, Wolfgang</v>
      </c>
      <c r="B2718" s="3">
        <f ca="1">IFERROR(__xludf.DUMMYFUNCTION("""COMPUTED_VALUE"""),1)</f>
        <v>1</v>
      </c>
      <c r="C2718" s="7">
        <f ca="1">IFERROR(__xludf.DUMMYFUNCTION("""COMPUTED_VALUE"""),1)</f>
        <v>1</v>
      </c>
      <c r="D2718" s="8">
        <f ca="1">IFERROR(__xludf.DUMMYFUNCTION("""COMPUTED_VALUE"""),5)</f>
        <v>5</v>
      </c>
      <c r="E2718" s="2">
        <f ca="1">IFERROR(__xludf.DUMMYFUNCTION("""COMPUTED_VALUE"""),2)</f>
        <v>2</v>
      </c>
    </row>
    <row r="2719" spans="1:5" ht="13">
      <c r="A2719" s="2" t="str">
        <f ca="1">IFERROR(__xludf.DUMMYFUNCTION("""COMPUTED_VALUE"""),"Foss, Chris")</f>
        <v>Foss, Chris</v>
      </c>
      <c r="B2719" s="3">
        <f ca="1">IFERROR(__xludf.DUMMYFUNCTION("""COMPUTED_VALUE"""),1)</f>
        <v>1</v>
      </c>
      <c r="C2719" s="7">
        <f ca="1">IFERROR(__xludf.DUMMYFUNCTION("""COMPUTED_VALUE"""),1)</f>
        <v>1</v>
      </c>
      <c r="D2719" s="8">
        <f ca="1">IFERROR(__xludf.DUMMYFUNCTION("""COMPUTED_VALUE"""),1)</f>
        <v>1</v>
      </c>
      <c r="E2719" s="2">
        <f ca="1">IFERROR(__xludf.DUMMYFUNCTION("""COMPUTED_VALUE"""),1)</f>
        <v>1</v>
      </c>
    </row>
    <row r="2720" spans="1:5" ht="13">
      <c r="A2720" s="2" t="str">
        <f ca="1">IFERROR(__xludf.DUMMYFUNCTION("""COMPUTED_VALUE"""),"Foss, Lukas")</f>
        <v>Foss, Lukas</v>
      </c>
      <c r="B2720" s="3">
        <f ca="1">IFERROR(__xludf.DUMMYFUNCTION("""COMPUTED_VALUE"""),1)</f>
        <v>1</v>
      </c>
      <c r="C2720" s="7">
        <f ca="1">IFERROR(__xludf.DUMMYFUNCTION("""COMPUTED_VALUE"""),1)</f>
        <v>1</v>
      </c>
      <c r="D2720" s="8">
        <f ca="1">IFERROR(__xludf.DUMMYFUNCTION("""COMPUTED_VALUE"""),5)</f>
        <v>5</v>
      </c>
      <c r="E2720" s="2">
        <f ca="1">IFERROR(__xludf.DUMMYFUNCTION("""COMPUTED_VALUE"""),2)</f>
        <v>2</v>
      </c>
    </row>
    <row r="2721" spans="1:5" ht="13">
      <c r="A2721" s="2" t="str">
        <f ca="1">IFERROR(__xludf.DUMMYFUNCTION("""COMPUTED_VALUE"""),"Fossa, Salvio")</f>
        <v>Fossa, Salvio</v>
      </c>
      <c r="B2721" s="3">
        <f ca="1">IFERROR(__xludf.DUMMYFUNCTION("""COMPUTED_VALUE"""),1)</f>
        <v>1</v>
      </c>
      <c r="C2721" s="7">
        <f ca="1">IFERROR(__xludf.DUMMYFUNCTION("""COMPUTED_VALUE"""),1)</f>
        <v>1</v>
      </c>
      <c r="D2721" s="8">
        <f ca="1">IFERROR(__xludf.DUMMYFUNCTION("""COMPUTED_VALUE"""),1)</f>
        <v>1</v>
      </c>
      <c r="E2721" s="2">
        <f ca="1">IFERROR(__xludf.DUMMYFUNCTION("""COMPUTED_VALUE"""),1)</f>
        <v>1</v>
      </c>
    </row>
    <row r="2722" spans="1:5" ht="13">
      <c r="A2722" s="8" t="str">
        <f ca="1">IFERROR(__xludf.DUMMYFUNCTION("""COMPUTED_VALUE"""),"Foster, Arnold")</f>
        <v>Foster, Arnold</v>
      </c>
      <c r="B2722" s="3">
        <f ca="1">IFERROR(__xludf.DUMMYFUNCTION("""COMPUTED_VALUE"""),1)</f>
        <v>1</v>
      </c>
      <c r="C2722" s="7">
        <f ca="1">IFERROR(__xludf.DUMMYFUNCTION("""COMPUTED_VALUE"""),1)</f>
        <v>1</v>
      </c>
      <c r="D2722" s="8">
        <f ca="1">IFERROR(__xludf.DUMMYFUNCTION("""COMPUTED_VALUE"""),5)</f>
        <v>5</v>
      </c>
      <c r="E2722" s="2">
        <f ca="1">IFERROR(__xludf.DUMMYFUNCTION("""COMPUTED_VALUE"""),2)</f>
        <v>2</v>
      </c>
    </row>
    <row r="2723" spans="1:5" ht="13">
      <c r="A2723" s="8" t="str">
        <f ca="1">IFERROR(__xludf.DUMMYFUNCTION("""COMPUTED_VALUE"""),"Foster, David")</f>
        <v>Foster, David</v>
      </c>
      <c r="B2723" s="3">
        <f ca="1">IFERROR(__xludf.DUMMYFUNCTION("""COMPUTED_VALUE"""),1)</f>
        <v>1</v>
      </c>
      <c r="C2723" s="7">
        <f ca="1">IFERROR(__xludf.DUMMYFUNCTION("""COMPUTED_VALUE"""),1)</f>
        <v>1</v>
      </c>
      <c r="D2723" s="8">
        <f ca="1">IFERROR(__xludf.DUMMYFUNCTION("""COMPUTED_VALUE"""),1)</f>
        <v>1</v>
      </c>
      <c r="E2723" s="2">
        <f ca="1">IFERROR(__xludf.DUMMYFUNCTION("""COMPUTED_VALUE"""),1)</f>
        <v>1</v>
      </c>
    </row>
    <row r="2724" spans="1:5" ht="13">
      <c r="A2724" s="2" t="str">
        <f ca="1">IFERROR(__xludf.DUMMYFUNCTION("""COMPUTED_VALUE"""),"Foster, Mark")</f>
        <v>Foster, Mark</v>
      </c>
      <c r="B2724" s="3">
        <f ca="1">IFERROR(__xludf.DUMMYFUNCTION("""COMPUTED_VALUE"""),1)</f>
        <v>1</v>
      </c>
      <c r="C2724" s="7">
        <f ca="1">IFERROR(__xludf.DUMMYFUNCTION("""COMPUTED_VALUE"""),1)</f>
        <v>1</v>
      </c>
      <c r="D2724" s="8">
        <f ca="1">IFERROR(__xludf.DUMMYFUNCTION("""COMPUTED_VALUE"""),1)</f>
        <v>1</v>
      </c>
      <c r="E2724" s="2">
        <f ca="1">IFERROR(__xludf.DUMMYFUNCTION("""COMPUTED_VALUE"""),1)</f>
        <v>1</v>
      </c>
    </row>
    <row r="2725" spans="1:5" ht="13">
      <c r="A2725" s="2" t="str">
        <f ca="1">IFERROR(__xludf.DUMMYFUNCTION("""COMPUTED_VALUE"""),"Foster, Robert E.")</f>
        <v>Foster, Robert E.</v>
      </c>
      <c r="B2725" s="3">
        <f ca="1">IFERROR(__xludf.DUMMYFUNCTION("""COMPUTED_VALUE"""),1)</f>
        <v>1</v>
      </c>
      <c r="C2725" s="7">
        <f ca="1">IFERROR(__xludf.DUMMYFUNCTION("""COMPUTED_VALUE"""),1)</f>
        <v>1</v>
      </c>
      <c r="D2725" s="8">
        <f ca="1">IFERROR(__xludf.DUMMYFUNCTION("""COMPUTED_VALUE"""),1)</f>
        <v>1</v>
      </c>
      <c r="E2725" s="2">
        <f ca="1">IFERROR(__xludf.DUMMYFUNCTION("""COMPUTED_VALUE"""),1)</f>
        <v>1</v>
      </c>
    </row>
    <row r="2726" spans="1:5" ht="13">
      <c r="A2726" s="2" t="str">
        <f ca="1">IFERROR(__xludf.DUMMYFUNCTION("""COMPUTED_VALUE"""),"Foster, Stephen")</f>
        <v>Foster, Stephen</v>
      </c>
      <c r="B2726" s="3">
        <f ca="1">IFERROR(__xludf.DUMMYFUNCTION("""COMPUTED_VALUE"""),1)</f>
        <v>1</v>
      </c>
      <c r="C2726" s="7">
        <f ca="1">IFERROR(__xludf.DUMMYFUNCTION("""COMPUTED_VALUE"""),1)</f>
        <v>1</v>
      </c>
      <c r="D2726" s="8">
        <f ca="1">IFERROR(__xludf.DUMMYFUNCTION("""COMPUTED_VALUE"""),5)</f>
        <v>5</v>
      </c>
      <c r="E2726" s="2">
        <f ca="1">IFERROR(__xludf.DUMMYFUNCTION("""COMPUTED_VALUE"""),2)</f>
        <v>2</v>
      </c>
    </row>
    <row r="2727" spans="1:5" ht="13">
      <c r="A2727" s="2" t="str">
        <f ca="1">IFERROR(__xludf.DUMMYFUNCTION("""COMPUTED_VALUE"""),"Fote, Richard")</f>
        <v>Fote, Richard</v>
      </c>
      <c r="B2727" s="2">
        <f ca="1">IFERROR(__xludf.DUMMYFUNCTION("""COMPUTED_VALUE"""),1)</f>
        <v>1</v>
      </c>
      <c r="C2727" s="7">
        <f ca="1">IFERROR(__xludf.DUMMYFUNCTION("""COMPUTED_VALUE"""),1)</f>
        <v>1</v>
      </c>
      <c r="D2727" s="8">
        <f ca="1">IFERROR(__xludf.DUMMYFUNCTION("""COMPUTED_VALUE"""),5)</f>
        <v>5</v>
      </c>
      <c r="E2727" s="2">
        <f ca="1">IFERROR(__xludf.DUMMYFUNCTION("""COMPUTED_VALUE"""),2)</f>
        <v>2</v>
      </c>
    </row>
    <row r="2728" spans="1:5" ht="13">
      <c r="A2728" s="2" t="str">
        <f ca="1">IFERROR(__xludf.DUMMYFUNCTION("""COMPUTED_VALUE"""),"Foulds, John")</f>
        <v>Foulds, John</v>
      </c>
      <c r="B2728" s="3">
        <f ca="1">IFERROR(__xludf.DUMMYFUNCTION("""COMPUTED_VALUE"""),1)</f>
        <v>1</v>
      </c>
      <c r="C2728" s="7">
        <f ca="1">IFERROR(__xludf.DUMMYFUNCTION("""COMPUTED_VALUE"""),1)</f>
        <v>1</v>
      </c>
      <c r="D2728" s="8">
        <f ca="1">IFERROR(__xludf.DUMMYFUNCTION("""COMPUTED_VALUE"""),5)</f>
        <v>5</v>
      </c>
      <c r="E2728" s="2">
        <f ca="1">IFERROR(__xludf.DUMMYFUNCTION("""COMPUTED_VALUE"""),2)</f>
        <v>2</v>
      </c>
    </row>
    <row r="2729" spans="1:5" ht="13">
      <c r="A2729" s="2" t="str">
        <f ca="1">IFERROR(__xludf.DUMMYFUNCTION("""COMPUTED_VALUE"""),"Foulkes, Ron")</f>
        <v>Foulkes, Ron</v>
      </c>
      <c r="B2729" s="2">
        <f ca="1">IFERROR(__xludf.DUMMYFUNCTION("""COMPUTED_VALUE"""),1)</f>
        <v>1</v>
      </c>
      <c r="C2729" s="7">
        <f ca="1">IFERROR(__xludf.DUMMYFUNCTION("""COMPUTED_VALUE"""),1)</f>
        <v>1</v>
      </c>
      <c r="D2729" s="8">
        <f ca="1">IFERROR(__xludf.DUMMYFUNCTION("""COMPUTED_VALUE"""),5)</f>
        <v>5</v>
      </c>
      <c r="E2729" s="2">
        <f ca="1">IFERROR(__xludf.DUMMYFUNCTION("""COMPUTED_VALUE"""),2)</f>
        <v>2</v>
      </c>
    </row>
    <row r="2730" spans="1:5" ht="13">
      <c r="A2730" s="8" t="str">
        <f ca="1">IFERROR(__xludf.DUMMYFUNCTION("""COMPUTED_VALUE"""),"Four Freshman")</f>
        <v>Four Freshman</v>
      </c>
      <c r="B2730" s="3">
        <f ca="1">IFERROR(__xludf.DUMMYFUNCTION("""COMPUTED_VALUE"""),1)</f>
        <v>1</v>
      </c>
      <c r="C2730" s="7">
        <f ca="1">IFERROR(__xludf.DUMMYFUNCTION("""COMPUTED_VALUE"""),1)</f>
        <v>1</v>
      </c>
      <c r="D2730" s="8">
        <f ca="1">IFERROR(__xludf.DUMMYFUNCTION("""COMPUTED_VALUE"""),5)</f>
        <v>5</v>
      </c>
      <c r="E2730" s="2">
        <f ca="1">IFERROR(__xludf.DUMMYFUNCTION("""COMPUTED_VALUE"""),2)</f>
        <v>2</v>
      </c>
    </row>
    <row r="2731" spans="1:5" ht="13">
      <c r="A2731" s="2" t="str">
        <f ca="1">IFERROR(__xludf.DUMMYFUNCTION("""COMPUTED_VALUE"""),"Four Freshmen")</f>
        <v>Four Freshmen</v>
      </c>
      <c r="B2731" s="3">
        <f ca="1">IFERROR(__xludf.DUMMYFUNCTION("""COMPUTED_VALUE"""),1)</f>
        <v>1</v>
      </c>
      <c r="C2731" s="7">
        <f ca="1">IFERROR(__xludf.DUMMYFUNCTION("""COMPUTED_VALUE"""),1)</f>
        <v>1</v>
      </c>
      <c r="D2731" s="8">
        <f ca="1">IFERROR(__xludf.DUMMYFUNCTION("""COMPUTED_VALUE"""),5)</f>
        <v>5</v>
      </c>
      <c r="E2731" s="2">
        <f ca="1">IFERROR(__xludf.DUMMYFUNCTION("""COMPUTED_VALUE"""),2)</f>
        <v>2</v>
      </c>
    </row>
    <row r="2732" spans="1:5" ht="13">
      <c r="A2732" s="2" t="str">
        <f ca="1">IFERROR(__xludf.DUMMYFUNCTION("""COMPUTED_VALUE"""),"Fournier, Pierre")</f>
        <v>Fournier, Pierre</v>
      </c>
      <c r="B2732" s="3">
        <f ca="1">IFERROR(__xludf.DUMMYFUNCTION("""COMPUTED_VALUE"""),1)</f>
        <v>1</v>
      </c>
      <c r="C2732" s="7">
        <f ca="1">IFERROR(__xludf.DUMMYFUNCTION("""COMPUTED_VALUE"""),1)</f>
        <v>1</v>
      </c>
      <c r="D2732" s="8">
        <f ca="1">IFERROR(__xludf.DUMMYFUNCTION("""COMPUTED_VALUE"""),5)</f>
        <v>5</v>
      </c>
      <c r="E2732" s="2">
        <f ca="1">IFERROR(__xludf.DUMMYFUNCTION("""COMPUTED_VALUE"""),2)</f>
        <v>2</v>
      </c>
    </row>
    <row r="2733" spans="1:5" ht="13">
      <c r="A2733" s="2" t="str">
        <f ca="1">IFERROR(__xludf.DUMMYFUNCTION("""COMPUTED_VALUE"""),"Fowler, Matthew")</f>
        <v>Fowler, Matthew</v>
      </c>
      <c r="B2733" s="3">
        <f ca="1">IFERROR(__xludf.DUMMYFUNCTION("""COMPUTED_VALUE"""),1)</f>
        <v>1</v>
      </c>
      <c r="C2733" s="7">
        <f ca="1">IFERROR(__xludf.DUMMYFUNCTION("""COMPUTED_VALUE"""),1)</f>
        <v>1</v>
      </c>
      <c r="D2733" s="8">
        <f ca="1">IFERROR(__xludf.DUMMYFUNCTION("""COMPUTED_VALUE"""),1)</f>
        <v>1</v>
      </c>
      <c r="E2733" s="2">
        <f ca="1">IFERROR(__xludf.DUMMYFUNCTION("""COMPUTED_VALUE"""),1)</f>
        <v>1</v>
      </c>
    </row>
    <row r="2734" spans="1:5" ht="13">
      <c r="A2734" s="2" t="str">
        <f ca="1">IFERROR(__xludf.DUMMYFUNCTION("""COMPUTED_VALUE"""),"Fowler, Paul")</f>
        <v>Fowler, Paul</v>
      </c>
      <c r="B2734" s="3">
        <f ca="1">IFERROR(__xludf.DUMMYFUNCTION("""COMPUTED_VALUE"""),1)</f>
        <v>1</v>
      </c>
      <c r="C2734" s="7">
        <f ca="1">IFERROR(__xludf.DUMMYFUNCTION("""COMPUTED_VALUE"""),1)</f>
        <v>1</v>
      </c>
      <c r="D2734" s="8">
        <f ca="1">IFERROR(__xludf.DUMMYFUNCTION("""COMPUTED_VALUE"""),1)</f>
        <v>1</v>
      </c>
      <c r="E2734" s="2">
        <f ca="1">IFERROR(__xludf.DUMMYFUNCTION("""COMPUTED_VALUE"""),1)</f>
        <v>1</v>
      </c>
    </row>
    <row r="2735" spans="1:5" ht="13">
      <c r="A2735" s="2" t="str">
        <f ca="1">IFERROR(__xludf.DUMMYFUNCTION("""COMPUTED_VALUE"""),"Fox, Andrew")</f>
        <v>Fox, Andrew</v>
      </c>
      <c r="B2735" s="3">
        <f ca="1">IFERROR(__xludf.DUMMYFUNCTION("""COMPUTED_VALUE"""),1)</f>
        <v>1</v>
      </c>
      <c r="C2735" s="7">
        <f ca="1">IFERROR(__xludf.DUMMYFUNCTION("""COMPUTED_VALUE"""),1)</f>
        <v>1</v>
      </c>
      <c r="D2735" s="8">
        <f ca="1">IFERROR(__xludf.DUMMYFUNCTION("""COMPUTED_VALUE"""),1)</f>
        <v>1</v>
      </c>
      <c r="E2735" s="2">
        <f ca="1">IFERROR(__xludf.DUMMYFUNCTION("""COMPUTED_VALUE"""),1)</f>
        <v>1</v>
      </c>
    </row>
    <row r="2736" spans="1:5" ht="13">
      <c r="A2736" s="2" t="str">
        <f ca="1">IFERROR(__xludf.DUMMYFUNCTION("""COMPUTED_VALUE"""),"Fox, Andrew C.")</f>
        <v>Fox, Andrew C.</v>
      </c>
      <c r="B2736" s="3">
        <f ca="1">IFERROR(__xludf.DUMMYFUNCTION("""COMPUTED_VALUE"""),1)</f>
        <v>1</v>
      </c>
      <c r="C2736" s="7">
        <f ca="1">IFERROR(__xludf.DUMMYFUNCTION("""COMPUTED_VALUE"""),1)</f>
        <v>1</v>
      </c>
      <c r="D2736" s="8">
        <f ca="1">IFERROR(__xludf.DUMMYFUNCTION("""COMPUTED_VALUE"""),1)</f>
        <v>1</v>
      </c>
      <c r="E2736" s="2">
        <f ca="1">IFERROR(__xludf.DUMMYFUNCTION("""COMPUTED_VALUE"""),1)</f>
        <v>1</v>
      </c>
    </row>
    <row r="2737" spans="1:5" ht="13">
      <c r="A2737" s="8" t="str">
        <f ca="1">IFERROR(__xludf.DUMMYFUNCTION("""COMPUTED_VALUE"""),"Fox, Charles")</f>
        <v>Fox, Charles</v>
      </c>
      <c r="B2737" s="3">
        <f ca="1">IFERROR(__xludf.DUMMYFUNCTION("""COMPUTED_VALUE"""),1)</f>
        <v>1</v>
      </c>
      <c r="C2737" s="7">
        <f ca="1">IFERROR(__xludf.DUMMYFUNCTION("""COMPUTED_VALUE"""),1)</f>
        <v>1</v>
      </c>
      <c r="D2737" s="8">
        <f ca="1">IFERROR(__xludf.DUMMYFUNCTION("""COMPUTED_VALUE"""),1)</f>
        <v>1</v>
      </c>
      <c r="E2737" s="2">
        <f ca="1">IFERROR(__xludf.DUMMYFUNCTION("""COMPUTED_VALUE"""),1)</f>
        <v>1</v>
      </c>
    </row>
    <row r="2738" spans="1:5" ht="13">
      <c r="A2738" s="2" t="str">
        <f ca="1">IFERROR(__xludf.DUMMYFUNCTION("""COMPUTED_VALUE"""),"Fox, Chris")</f>
        <v>Fox, Chris</v>
      </c>
      <c r="B2738" s="3">
        <f ca="1">IFERROR(__xludf.DUMMYFUNCTION("""COMPUTED_VALUE"""),1)</f>
        <v>1</v>
      </c>
      <c r="C2738" s="7">
        <f ca="1">IFERROR(__xludf.DUMMYFUNCTION("""COMPUTED_VALUE"""),1)</f>
        <v>1</v>
      </c>
      <c r="D2738" s="8">
        <f ca="1">IFERROR(__xludf.DUMMYFUNCTION("""COMPUTED_VALUE"""),1)</f>
        <v>1</v>
      </c>
      <c r="E2738" s="2">
        <f ca="1">IFERROR(__xludf.DUMMYFUNCTION("""COMPUTED_VALUE"""),1)</f>
        <v>1</v>
      </c>
    </row>
    <row r="2739" spans="1:5" ht="13">
      <c r="A2739" s="2" t="str">
        <f ca="1">IFERROR(__xludf.DUMMYFUNCTION("""COMPUTED_VALUE"""),"Fox, Christopher")</f>
        <v>Fox, Christopher</v>
      </c>
      <c r="B2739" s="3">
        <f ca="1">IFERROR(__xludf.DUMMYFUNCTION("""COMPUTED_VALUE"""),1)</f>
        <v>1</v>
      </c>
      <c r="C2739" s="7">
        <f ca="1">IFERROR(__xludf.DUMMYFUNCTION("""COMPUTED_VALUE"""),1)</f>
        <v>1</v>
      </c>
      <c r="D2739" s="8">
        <f ca="1">IFERROR(__xludf.DUMMYFUNCTION("""COMPUTED_VALUE"""),1)</f>
        <v>1</v>
      </c>
      <c r="E2739" s="2">
        <f ca="1">IFERROR(__xludf.DUMMYFUNCTION("""COMPUTED_VALUE"""),1)</f>
        <v>1</v>
      </c>
    </row>
    <row r="2740" spans="1:5" ht="13">
      <c r="A2740" s="2" t="str">
        <f ca="1">IFERROR(__xludf.DUMMYFUNCTION("""COMPUTED_VALUE"""),"Fox, Earl")</f>
        <v>Fox, Earl</v>
      </c>
      <c r="B2740" s="3">
        <f ca="1">IFERROR(__xludf.DUMMYFUNCTION("""COMPUTED_VALUE"""),1)</f>
        <v>1</v>
      </c>
      <c r="C2740" s="7">
        <f ca="1">IFERROR(__xludf.DUMMYFUNCTION("""COMPUTED_VALUE"""),1)</f>
        <v>1</v>
      </c>
      <c r="D2740" s="8">
        <f ca="1">IFERROR(__xludf.DUMMYFUNCTION("""COMPUTED_VALUE"""),5)</f>
        <v>5</v>
      </c>
      <c r="E2740" s="2">
        <f ca="1">IFERROR(__xludf.DUMMYFUNCTION("""COMPUTED_VALUE"""),2)</f>
        <v>2</v>
      </c>
    </row>
    <row r="2741" spans="1:5" ht="13">
      <c r="A2741" s="2" t="str">
        <f ca="1">IFERROR(__xludf.DUMMYFUNCTION("""COMPUTED_VALUE"""),"Fox, Fred")</f>
        <v>Fox, Fred</v>
      </c>
      <c r="B2741" s="3">
        <f ca="1">IFERROR(__xludf.DUMMYFUNCTION("""COMPUTED_VALUE"""),1)</f>
        <v>1</v>
      </c>
      <c r="C2741" s="7">
        <f ca="1">IFERROR(__xludf.DUMMYFUNCTION("""COMPUTED_VALUE"""),1)</f>
        <v>1</v>
      </c>
      <c r="D2741" s="8">
        <f ca="1">IFERROR(__xludf.DUMMYFUNCTION("""COMPUTED_VALUE"""),1)</f>
        <v>1</v>
      </c>
      <c r="E2741" s="2">
        <f ca="1">IFERROR(__xludf.DUMMYFUNCTION("""COMPUTED_VALUE"""),1)</f>
        <v>1</v>
      </c>
    </row>
    <row r="2742" spans="1:5" ht="13">
      <c r="A2742" s="2" t="str">
        <f ca="1">IFERROR(__xludf.DUMMYFUNCTION("""COMPUTED_VALUE"""),"Fox, Jeremy")</f>
        <v>Fox, Jeremy</v>
      </c>
      <c r="B2742" s="3">
        <f ca="1">IFERROR(__xludf.DUMMYFUNCTION("""COMPUTED_VALUE"""),1)</f>
        <v>1</v>
      </c>
      <c r="C2742" s="7">
        <f ca="1">IFERROR(__xludf.DUMMYFUNCTION("""COMPUTED_VALUE"""),1)</f>
        <v>1</v>
      </c>
      <c r="D2742" s="8">
        <f ca="1">IFERROR(__xludf.DUMMYFUNCTION("""COMPUTED_VALUE"""),1)</f>
        <v>1</v>
      </c>
      <c r="E2742" s="2">
        <f ca="1">IFERROR(__xludf.DUMMYFUNCTION("""COMPUTED_VALUE"""),1)</f>
        <v>1</v>
      </c>
    </row>
    <row r="2743" spans="1:5" ht="13">
      <c r="A2743" s="2" t="str">
        <f ca="1">IFERROR(__xludf.DUMMYFUNCTION("""COMPUTED_VALUE"""),"Fox, Toby")</f>
        <v>Fox, Toby</v>
      </c>
      <c r="B2743" s="3">
        <f ca="1">IFERROR(__xludf.DUMMYFUNCTION("""COMPUTED_VALUE"""),1)</f>
        <v>1</v>
      </c>
      <c r="C2743" s="7">
        <f ca="1">IFERROR(__xludf.DUMMYFUNCTION("""COMPUTED_VALUE"""),1)</f>
        <v>1</v>
      </c>
      <c r="D2743" s="8">
        <f ca="1">IFERROR(__xludf.DUMMYFUNCTION("""COMPUTED_VALUE"""),1)</f>
        <v>1</v>
      </c>
      <c r="E2743" s="2">
        <f ca="1">IFERROR(__xludf.DUMMYFUNCTION("""COMPUTED_VALUE"""),1)</f>
        <v>1</v>
      </c>
    </row>
    <row r="2744" spans="1:5" ht="13">
      <c r="A2744" s="8" t="str">
        <f ca="1">IFERROR(__xludf.DUMMYFUNCTION("""COMPUTED_VALUE"""),"Foxley, Simon")</f>
        <v>Foxley, Simon</v>
      </c>
      <c r="B2744" s="3">
        <f ca="1">IFERROR(__xludf.DUMMYFUNCTION("""COMPUTED_VALUE"""),1)</f>
        <v>1</v>
      </c>
      <c r="C2744" s="7">
        <f ca="1">IFERROR(__xludf.DUMMYFUNCTION("""COMPUTED_VALUE"""),1)</f>
        <v>1</v>
      </c>
      <c r="D2744" s="8">
        <f ca="1">IFERROR(__xludf.DUMMYFUNCTION("""COMPUTED_VALUE"""),1)</f>
        <v>1</v>
      </c>
      <c r="E2744" s="2">
        <f ca="1">IFERROR(__xludf.DUMMYFUNCTION("""COMPUTED_VALUE"""),1)</f>
        <v>1</v>
      </c>
    </row>
    <row r="2745" spans="1:5" ht="13">
      <c r="A2745" s="2" t="str">
        <f ca="1">IFERROR(__xludf.DUMMYFUNCTION("""COMPUTED_VALUE"""),"Frackenpohl, Arthur")</f>
        <v>Frackenpohl, Arthur</v>
      </c>
      <c r="B2745" s="3">
        <f ca="1">IFERROR(__xludf.DUMMYFUNCTION("""COMPUTED_VALUE"""),1)</f>
        <v>1</v>
      </c>
      <c r="C2745" s="7">
        <f ca="1">IFERROR(__xludf.DUMMYFUNCTION("""COMPUTED_VALUE"""),1)</f>
        <v>1</v>
      </c>
      <c r="D2745" s="8">
        <f ca="1">IFERROR(__xludf.DUMMYFUNCTION("""COMPUTED_VALUE"""),5)</f>
        <v>5</v>
      </c>
      <c r="E2745" s="2">
        <f ca="1">IFERROR(__xludf.DUMMYFUNCTION("""COMPUTED_VALUE"""),2)</f>
        <v>2</v>
      </c>
    </row>
    <row r="2746" spans="1:5" ht="13">
      <c r="A2746" s="2" t="str">
        <f ca="1">IFERROR(__xludf.DUMMYFUNCTION("""COMPUTED_VALUE"""),"Frackenpohl, Steven")</f>
        <v>Frackenpohl, Steven</v>
      </c>
      <c r="B2746" s="3">
        <f ca="1">IFERROR(__xludf.DUMMYFUNCTION("""COMPUTED_VALUE"""),1)</f>
        <v>1</v>
      </c>
      <c r="C2746" s="7">
        <f ca="1">IFERROR(__xludf.DUMMYFUNCTION("""COMPUTED_VALUE"""),1)</f>
        <v>1</v>
      </c>
      <c r="D2746" s="8">
        <f ca="1">IFERROR(__xludf.DUMMYFUNCTION("""COMPUTED_VALUE"""),1)</f>
        <v>1</v>
      </c>
      <c r="E2746" s="2">
        <f ca="1">IFERROR(__xludf.DUMMYFUNCTION("""COMPUTED_VALUE"""),1)</f>
        <v>1</v>
      </c>
    </row>
    <row r="2747" spans="1:5" ht="13">
      <c r="A2747" s="2" t="str">
        <f ca="1">IFERROR(__xludf.DUMMYFUNCTION("""COMPUTED_VALUE"""),"Fragoso")</f>
        <v>Fragoso</v>
      </c>
      <c r="B2747" s="3">
        <f ca="1">IFERROR(__xludf.DUMMYFUNCTION("""COMPUTED_VALUE"""),1)</f>
        <v>1</v>
      </c>
      <c r="C2747" s="7">
        <f ca="1">IFERROR(__xludf.DUMMYFUNCTION("""COMPUTED_VALUE"""),1)</f>
        <v>1</v>
      </c>
      <c r="D2747" s="8">
        <f ca="1">IFERROR(__xludf.DUMMYFUNCTION("""COMPUTED_VALUE"""),5)</f>
        <v>5</v>
      </c>
      <c r="E2747" s="2">
        <f ca="1">IFERROR(__xludf.DUMMYFUNCTION("""COMPUTED_VALUE"""),2)</f>
        <v>2</v>
      </c>
    </row>
    <row r="2748" spans="1:5" ht="13">
      <c r="A2748" s="2" t="str">
        <f ca="1">IFERROR(__xludf.DUMMYFUNCTION("""COMPUTED_VALUE"""),"Fraley, Ryan")</f>
        <v>Fraley, Ryan</v>
      </c>
      <c r="B2748" s="3">
        <f ca="1">IFERROR(__xludf.DUMMYFUNCTION("""COMPUTED_VALUE"""),1)</f>
        <v>1</v>
      </c>
      <c r="C2748" s="7">
        <f ca="1">IFERROR(__xludf.DUMMYFUNCTION("""COMPUTED_VALUE"""),1)</f>
        <v>1</v>
      </c>
      <c r="D2748" s="8">
        <f ca="1">IFERROR(__xludf.DUMMYFUNCTION("""COMPUTED_VALUE"""),1)</f>
        <v>1</v>
      </c>
      <c r="E2748" s="2">
        <f ca="1">IFERROR(__xludf.DUMMYFUNCTION("""COMPUTED_VALUE"""),1)</f>
        <v>1</v>
      </c>
    </row>
    <row r="2749" spans="1:5" ht="13">
      <c r="A2749" s="2" t="str">
        <f ca="1">IFERROR(__xludf.DUMMYFUNCTION("""COMPUTED_VALUE"""),"Francaix, Jean")</f>
        <v>Francaix, Jean</v>
      </c>
      <c r="B2749" s="3">
        <f ca="1">IFERROR(__xludf.DUMMYFUNCTION("""COMPUTED_VALUE"""),1)</f>
        <v>1</v>
      </c>
      <c r="C2749" s="7">
        <f ca="1">IFERROR(__xludf.DUMMYFUNCTION("""COMPUTED_VALUE"""),1)</f>
        <v>1</v>
      </c>
      <c r="D2749" s="8">
        <f ca="1">IFERROR(__xludf.DUMMYFUNCTION("""COMPUTED_VALUE"""),5)</f>
        <v>5</v>
      </c>
      <c r="E2749" s="2">
        <f ca="1">IFERROR(__xludf.DUMMYFUNCTION("""COMPUTED_VALUE"""),2)</f>
        <v>2</v>
      </c>
    </row>
    <row r="2750" spans="1:5" ht="13">
      <c r="A2750" s="2" t="str">
        <f ca="1">IFERROR(__xludf.DUMMYFUNCTION("""COMPUTED_VALUE"""),"Françaix, Jean")</f>
        <v>Françaix, Jean</v>
      </c>
      <c r="B2750" s="3">
        <f ca="1">IFERROR(__xludf.DUMMYFUNCTION("""COMPUTED_VALUE"""),1)</f>
        <v>1</v>
      </c>
      <c r="C2750" s="7">
        <f ca="1">IFERROR(__xludf.DUMMYFUNCTION("""COMPUTED_VALUE"""),1)</f>
        <v>1</v>
      </c>
      <c r="D2750" s="8">
        <f ca="1">IFERROR(__xludf.DUMMYFUNCTION("""COMPUTED_VALUE"""),5)</f>
        <v>5</v>
      </c>
      <c r="E2750" s="2">
        <f ca="1">IFERROR(__xludf.DUMMYFUNCTION("""COMPUTED_VALUE"""),2)</f>
        <v>2</v>
      </c>
    </row>
    <row r="2751" spans="1:5" ht="13">
      <c r="A2751" s="2" t="str">
        <f ca="1">IFERROR(__xludf.DUMMYFUNCTION("""COMPUTED_VALUE"""),"Francesconi, Luca")</f>
        <v>Francesconi, Luca</v>
      </c>
      <c r="B2751" s="3">
        <f ca="1">IFERROR(__xludf.DUMMYFUNCTION("""COMPUTED_VALUE"""),1)</f>
        <v>1</v>
      </c>
      <c r="C2751" s="7">
        <f ca="1">IFERROR(__xludf.DUMMYFUNCTION("""COMPUTED_VALUE"""),1)</f>
        <v>1</v>
      </c>
      <c r="D2751" s="8">
        <f ca="1">IFERROR(__xludf.DUMMYFUNCTION("""COMPUTED_VALUE"""),1)</f>
        <v>1</v>
      </c>
      <c r="E2751" s="2">
        <f ca="1">IFERROR(__xludf.DUMMYFUNCTION("""COMPUTED_VALUE"""),1)</f>
        <v>1</v>
      </c>
    </row>
    <row r="2752" spans="1:5" ht="13">
      <c r="A2752" s="2" t="str">
        <f ca="1">IFERROR(__xludf.DUMMYFUNCTION("""COMPUTED_VALUE"""),"Francis, Andy")</f>
        <v>Francis, Andy</v>
      </c>
      <c r="B2752" s="3">
        <f ca="1">IFERROR(__xludf.DUMMYFUNCTION("""COMPUTED_VALUE"""),1)</f>
        <v>1</v>
      </c>
      <c r="C2752" s="7">
        <f ca="1">IFERROR(__xludf.DUMMYFUNCTION("""COMPUTED_VALUE"""),1)</f>
        <v>1</v>
      </c>
      <c r="D2752" s="8">
        <f ca="1">IFERROR(__xludf.DUMMYFUNCTION("""COMPUTED_VALUE"""),1)</f>
        <v>1</v>
      </c>
      <c r="E2752" s="2">
        <f ca="1">IFERROR(__xludf.DUMMYFUNCTION("""COMPUTED_VALUE"""),1)</f>
        <v>1</v>
      </c>
    </row>
    <row r="2753" spans="1:5" ht="13">
      <c r="A2753" s="2" t="str">
        <f ca="1">IFERROR(__xludf.DUMMYFUNCTION("""COMPUTED_VALUE"""),"Franck, Cesar")</f>
        <v>Franck, Cesar</v>
      </c>
      <c r="B2753" s="3">
        <f ca="1">IFERROR(__xludf.DUMMYFUNCTION("""COMPUTED_VALUE"""),1)</f>
        <v>1</v>
      </c>
      <c r="C2753" s="7">
        <f ca="1">IFERROR(__xludf.DUMMYFUNCTION("""COMPUTED_VALUE"""),1)</f>
        <v>1</v>
      </c>
      <c r="D2753" s="8">
        <f ca="1">IFERROR(__xludf.DUMMYFUNCTION("""COMPUTED_VALUE"""),5)</f>
        <v>5</v>
      </c>
      <c r="E2753" s="2">
        <f ca="1">IFERROR(__xludf.DUMMYFUNCTION("""COMPUTED_VALUE"""),2)</f>
        <v>2</v>
      </c>
    </row>
    <row r="2754" spans="1:5" ht="13">
      <c r="A2754" s="2" t="str">
        <f ca="1">IFERROR(__xludf.DUMMYFUNCTION("""COMPUTED_VALUE"""),"Franck, César")</f>
        <v>Franck, César</v>
      </c>
      <c r="B2754" s="3">
        <f ca="1">IFERROR(__xludf.DUMMYFUNCTION("""COMPUTED_VALUE"""),1)</f>
        <v>1</v>
      </c>
      <c r="C2754" s="7">
        <f ca="1">IFERROR(__xludf.DUMMYFUNCTION("""COMPUTED_VALUE"""),1)</f>
        <v>1</v>
      </c>
      <c r="D2754" s="8">
        <f ca="1">IFERROR(__xludf.DUMMYFUNCTION("""COMPUTED_VALUE"""),5)</f>
        <v>5</v>
      </c>
      <c r="E2754" s="2">
        <f ca="1">IFERROR(__xludf.DUMMYFUNCTION("""COMPUTED_VALUE"""),2)</f>
        <v>2</v>
      </c>
    </row>
    <row r="2755" spans="1:5" ht="13">
      <c r="A2755" s="2" t="str">
        <f ca="1">IFERROR(__xludf.DUMMYFUNCTION("""COMPUTED_VALUE"""),"Franck, Melchior")</f>
        <v>Franck, Melchior</v>
      </c>
      <c r="B2755" s="3">
        <f ca="1">IFERROR(__xludf.DUMMYFUNCTION("""COMPUTED_VALUE"""),1)</f>
        <v>1</v>
      </c>
      <c r="C2755" s="7">
        <f ca="1">IFERROR(__xludf.DUMMYFUNCTION("""COMPUTED_VALUE"""),1)</f>
        <v>1</v>
      </c>
      <c r="D2755" s="8">
        <f ca="1">IFERROR(__xludf.DUMMYFUNCTION("""COMPUTED_VALUE"""),5)</f>
        <v>5</v>
      </c>
      <c r="E2755" s="2">
        <f ca="1">IFERROR(__xludf.DUMMYFUNCTION("""COMPUTED_VALUE"""),2)</f>
        <v>2</v>
      </c>
    </row>
    <row r="2756" spans="1:5" ht="13">
      <c r="A2756" s="8" t="str">
        <f ca="1">IFERROR(__xludf.DUMMYFUNCTION("""COMPUTED_VALUE"""),"Franco, Jose")</f>
        <v>Franco, Jose</v>
      </c>
      <c r="B2756" s="3">
        <f ca="1">IFERROR(__xludf.DUMMYFUNCTION("""COMPUTED_VALUE"""),1)</f>
        <v>1</v>
      </c>
      <c r="C2756" s="7">
        <f ca="1">IFERROR(__xludf.DUMMYFUNCTION("""COMPUTED_VALUE"""),1)</f>
        <v>1</v>
      </c>
      <c r="D2756" s="8">
        <f ca="1">IFERROR(__xludf.DUMMYFUNCTION("""COMPUTED_VALUE"""),1)</f>
        <v>1</v>
      </c>
      <c r="E2756" s="2">
        <f ca="1">IFERROR(__xludf.DUMMYFUNCTION("""COMPUTED_VALUE"""),1)</f>
        <v>1</v>
      </c>
    </row>
    <row r="2757" spans="1:5" ht="13">
      <c r="A2757" s="8" t="str">
        <f ca="1">IFERROR(__xludf.DUMMYFUNCTION("""COMPUTED_VALUE"""),"Francoeur, François")</f>
        <v>Francoeur, François</v>
      </c>
      <c r="B2757" s="3">
        <f ca="1">IFERROR(__xludf.DUMMYFUNCTION("""COMPUTED_VALUE"""),1)</f>
        <v>1</v>
      </c>
      <c r="C2757" s="7">
        <f ca="1">IFERROR(__xludf.DUMMYFUNCTION("""COMPUTED_VALUE"""),1)</f>
        <v>1</v>
      </c>
      <c r="D2757" s="8">
        <f ca="1">IFERROR(__xludf.DUMMYFUNCTION("""COMPUTED_VALUE"""),5)</f>
        <v>5</v>
      </c>
      <c r="E2757" s="2">
        <f ca="1">IFERROR(__xludf.DUMMYFUNCTION("""COMPUTED_VALUE"""),2)</f>
        <v>2</v>
      </c>
    </row>
    <row r="2758" spans="1:5" ht="13">
      <c r="A2758" s="2" t="str">
        <f ca="1">IFERROR(__xludf.DUMMYFUNCTION("""COMPUTED_VALUE"""),"Frangkiser, Carl")</f>
        <v>Frangkiser, Carl</v>
      </c>
      <c r="B2758" s="3">
        <f ca="1">IFERROR(__xludf.DUMMYFUNCTION("""COMPUTED_VALUE"""),1)</f>
        <v>1</v>
      </c>
      <c r="C2758" s="7">
        <f ca="1">IFERROR(__xludf.DUMMYFUNCTION("""COMPUTED_VALUE"""),1)</f>
        <v>1</v>
      </c>
      <c r="D2758" s="8">
        <f ca="1">IFERROR(__xludf.DUMMYFUNCTION("""COMPUTED_VALUE"""),5)</f>
        <v>5</v>
      </c>
      <c r="E2758" s="2">
        <f ca="1">IFERROR(__xludf.DUMMYFUNCTION("""COMPUTED_VALUE"""),2)</f>
        <v>2</v>
      </c>
    </row>
    <row r="2759" spans="1:5" ht="13">
      <c r="A2759" s="8" t="str">
        <f ca="1">IFERROR(__xludf.DUMMYFUNCTION("""COMPUTED_VALUE"""),"Frank, Fred L.")</f>
        <v>Frank, Fred L.</v>
      </c>
      <c r="B2759" s="3">
        <f ca="1">IFERROR(__xludf.DUMMYFUNCTION("""COMPUTED_VALUE"""),1)</f>
        <v>1</v>
      </c>
      <c r="C2759" s="7">
        <f ca="1">IFERROR(__xludf.DUMMYFUNCTION("""COMPUTED_VALUE"""),1)</f>
        <v>1</v>
      </c>
      <c r="D2759" s="8">
        <f ca="1">IFERROR(__xludf.DUMMYFUNCTION("""COMPUTED_VALUE"""),5)</f>
        <v>5</v>
      </c>
      <c r="E2759" s="2">
        <f ca="1">IFERROR(__xludf.DUMMYFUNCTION("""COMPUTED_VALUE"""),2)</f>
        <v>2</v>
      </c>
    </row>
    <row r="2760" spans="1:5" ht="13">
      <c r="A2760" s="2" t="str">
        <f ca="1">IFERROR(__xludf.DUMMYFUNCTION("""COMPUTED_VALUE"""),"Frank, Marcel")</f>
        <v>Frank, Marcel</v>
      </c>
      <c r="B2760" s="2">
        <f ca="1">IFERROR(__xludf.DUMMYFUNCTION("""COMPUTED_VALUE"""),1)</f>
        <v>1</v>
      </c>
      <c r="C2760" s="7">
        <f ca="1">IFERROR(__xludf.DUMMYFUNCTION("""COMPUTED_VALUE"""),1)</f>
        <v>1</v>
      </c>
      <c r="D2760" s="8">
        <f ca="1">IFERROR(__xludf.DUMMYFUNCTION("""COMPUTED_VALUE"""),5)</f>
        <v>5</v>
      </c>
      <c r="E2760" s="2">
        <f ca="1">IFERROR(__xludf.DUMMYFUNCTION("""COMPUTED_VALUE"""),2)</f>
        <v>2</v>
      </c>
    </row>
    <row r="2761" spans="1:5" ht="13">
      <c r="A2761" s="2" t="str">
        <f ca="1">IFERROR(__xludf.DUMMYFUNCTION("""COMPUTED_VALUE"""),"Frank, Steve")</f>
        <v>Frank, Steve</v>
      </c>
      <c r="B2761" s="3">
        <f ca="1">IFERROR(__xludf.DUMMYFUNCTION("""COMPUTED_VALUE"""),1)</f>
        <v>1</v>
      </c>
      <c r="C2761" s="7">
        <f ca="1">IFERROR(__xludf.DUMMYFUNCTION("""COMPUTED_VALUE"""),1)</f>
        <v>1</v>
      </c>
      <c r="D2761" s="8">
        <f ca="1">IFERROR(__xludf.DUMMYFUNCTION("""COMPUTED_VALUE"""),1)</f>
        <v>1</v>
      </c>
      <c r="E2761" s="2">
        <f ca="1">IFERROR(__xludf.DUMMYFUNCTION("""COMPUTED_VALUE"""),1)</f>
        <v>1</v>
      </c>
    </row>
    <row r="2762" spans="1:5" ht="13">
      <c r="A2762" s="2" t="str">
        <f ca="1">IFERROR(__xludf.DUMMYFUNCTION("""COMPUTED_VALUE"""),"Frankel, Benjamin")</f>
        <v>Frankel, Benjamin</v>
      </c>
      <c r="B2762" s="2">
        <f ca="1">IFERROR(__xludf.DUMMYFUNCTION("""COMPUTED_VALUE"""),1)</f>
        <v>1</v>
      </c>
      <c r="C2762" s="7">
        <f ca="1">IFERROR(__xludf.DUMMYFUNCTION("""COMPUTED_VALUE"""),1)</f>
        <v>1</v>
      </c>
      <c r="D2762" s="8">
        <f ca="1">IFERROR(__xludf.DUMMYFUNCTION("""COMPUTED_VALUE"""),5)</f>
        <v>5</v>
      </c>
      <c r="E2762" s="2">
        <f ca="1">IFERROR(__xludf.DUMMYFUNCTION("""COMPUTED_VALUE"""),2)</f>
        <v>2</v>
      </c>
    </row>
    <row r="2763" spans="1:5" ht="13">
      <c r="A2763" s="8" t="str">
        <f ca="1">IFERROR(__xludf.DUMMYFUNCTION("""COMPUTED_VALUE"""),"Franklin, Erik")</f>
        <v>Franklin, Erik</v>
      </c>
      <c r="B2763" s="3">
        <f ca="1">IFERROR(__xludf.DUMMYFUNCTION("""COMPUTED_VALUE"""),1)</f>
        <v>1</v>
      </c>
      <c r="C2763" s="7">
        <f ca="1">IFERROR(__xludf.DUMMYFUNCTION("""COMPUTED_VALUE"""),1)</f>
        <v>1</v>
      </c>
      <c r="D2763" s="8">
        <f ca="1">IFERROR(__xludf.DUMMYFUNCTION("""COMPUTED_VALUE"""),1)</f>
        <v>1</v>
      </c>
      <c r="E2763" s="2">
        <f ca="1">IFERROR(__xludf.DUMMYFUNCTION("""COMPUTED_VALUE"""),1)</f>
        <v>1</v>
      </c>
    </row>
    <row r="2764" spans="1:5" ht="13">
      <c r="A2764" s="2" t="str">
        <f ca="1">IFERROR(__xludf.DUMMYFUNCTION("""COMPUTED_VALUE"""),"Franklyn, Milt / Johnson, Carl / Lennertz, Christopher / Stalling, Carl W.")</f>
        <v>Franklyn, Milt / Johnson, Carl / Lennertz, Christopher / Stalling, Carl W.</v>
      </c>
      <c r="B2764" s="3">
        <f ca="1">IFERROR(__xludf.DUMMYFUNCTION("""COMPUTED_VALUE"""),1)</f>
        <v>1</v>
      </c>
      <c r="C2764" s="7">
        <f ca="1">IFERROR(__xludf.DUMMYFUNCTION("""COMPUTED_VALUE"""),1)</f>
        <v>1</v>
      </c>
      <c r="D2764" s="8">
        <f ca="1">IFERROR(__xludf.DUMMYFUNCTION("""COMPUTED_VALUE"""),5)</f>
        <v>5</v>
      </c>
      <c r="E2764" s="2">
        <f ca="1">IFERROR(__xludf.DUMMYFUNCTION("""COMPUTED_VALUE"""),2)</f>
        <v>2</v>
      </c>
    </row>
    <row r="2765" spans="1:5" ht="13">
      <c r="A2765" s="2" t="str">
        <f ca="1">IFERROR(__xludf.DUMMYFUNCTION("""COMPUTED_VALUE"""),"Franko, Edwin")</f>
        <v>Franko, Edwin</v>
      </c>
      <c r="B2765" s="3">
        <f ca="1">IFERROR(__xludf.DUMMYFUNCTION("""COMPUTED_VALUE"""),1)</f>
        <v>1</v>
      </c>
      <c r="C2765" s="7">
        <f ca="1">IFERROR(__xludf.DUMMYFUNCTION("""COMPUTED_VALUE"""),1)</f>
        <v>1</v>
      </c>
      <c r="D2765" s="8">
        <f ca="1">IFERROR(__xludf.DUMMYFUNCTION("""COMPUTED_VALUE"""),5)</f>
        <v>5</v>
      </c>
      <c r="E2765" s="2">
        <f ca="1">IFERROR(__xludf.DUMMYFUNCTION("""COMPUTED_VALUE"""),2)</f>
        <v>2</v>
      </c>
    </row>
    <row r="2766" spans="1:5" ht="13">
      <c r="A2766" s="8" t="str">
        <f ca="1">IFERROR(__xludf.DUMMYFUNCTION("""COMPUTED_VALUE"""),"Franko, Sam")</f>
        <v>Franko, Sam</v>
      </c>
      <c r="B2766" s="3">
        <f ca="1">IFERROR(__xludf.DUMMYFUNCTION("""COMPUTED_VALUE"""),1)</f>
        <v>1</v>
      </c>
      <c r="C2766" s="7">
        <f ca="1">IFERROR(__xludf.DUMMYFUNCTION("""COMPUTED_VALUE"""),1)</f>
        <v>1</v>
      </c>
      <c r="D2766" s="8">
        <f ca="1">IFERROR(__xludf.DUMMYFUNCTION("""COMPUTED_VALUE"""),5)</f>
        <v>5</v>
      </c>
      <c r="E2766" s="2">
        <f ca="1">IFERROR(__xludf.DUMMYFUNCTION("""COMPUTED_VALUE"""),2)</f>
        <v>2</v>
      </c>
    </row>
    <row r="2767" spans="1:5" ht="13">
      <c r="A2767" s="2" t="str">
        <f ca="1">IFERROR(__xludf.DUMMYFUNCTION("""COMPUTED_VALUE"""),"Frantik, Joseph J.")</f>
        <v>Frantik, Joseph J.</v>
      </c>
      <c r="B2767" s="3">
        <f ca="1">IFERROR(__xludf.DUMMYFUNCTION("""COMPUTED_VALUE"""),1)</f>
        <v>1</v>
      </c>
      <c r="C2767" s="7">
        <f ca="1">IFERROR(__xludf.DUMMYFUNCTION("""COMPUTED_VALUE"""),1)</f>
        <v>1</v>
      </c>
      <c r="D2767" s="8">
        <f ca="1">IFERROR(__xludf.DUMMYFUNCTION("""COMPUTED_VALUE"""),5)</f>
        <v>5</v>
      </c>
      <c r="E2767" s="2">
        <f ca="1">IFERROR(__xludf.DUMMYFUNCTION("""COMPUTED_VALUE"""),2)</f>
        <v>2</v>
      </c>
    </row>
    <row r="2768" spans="1:5" ht="13">
      <c r="A2768" s="2" t="str">
        <f ca="1">IFERROR(__xludf.DUMMYFUNCTION("""COMPUTED_VALUE"""),"Frantzen, John")</f>
        <v>Frantzen, John</v>
      </c>
      <c r="B2768" s="3">
        <f ca="1">IFERROR(__xludf.DUMMYFUNCTION("""COMPUTED_VALUE"""),1)</f>
        <v>1</v>
      </c>
      <c r="C2768" s="7">
        <f ca="1">IFERROR(__xludf.DUMMYFUNCTION("""COMPUTED_VALUE"""),1)</f>
        <v>1</v>
      </c>
      <c r="D2768" s="8">
        <f ca="1">IFERROR(__xludf.DUMMYFUNCTION("""COMPUTED_VALUE"""),1)</f>
        <v>1</v>
      </c>
      <c r="E2768" s="2">
        <f ca="1">IFERROR(__xludf.DUMMYFUNCTION("""COMPUTED_VALUE"""),1)</f>
        <v>1</v>
      </c>
    </row>
    <row r="2769" spans="1:5" ht="13">
      <c r="A2769" s="2" t="str">
        <f ca="1">IFERROR(__xludf.DUMMYFUNCTION("""COMPUTED_VALUE"""),"Fraschillo, Thomas V.")</f>
        <v>Fraschillo, Thomas V.</v>
      </c>
      <c r="B2769" s="3">
        <f ca="1">IFERROR(__xludf.DUMMYFUNCTION("""COMPUTED_VALUE"""),1)</f>
        <v>1</v>
      </c>
      <c r="C2769" s="7">
        <f ca="1">IFERROR(__xludf.DUMMYFUNCTION("""COMPUTED_VALUE"""),1)</f>
        <v>1</v>
      </c>
      <c r="D2769" s="8">
        <f ca="1">IFERROR(__xludf.DUMMYFUNCTION("""COMPUTED_VALUE"""),1)</f>
        <v>1</v>
      </c>
      <c r="E2769" s="2">
        <f ca="1">IFERROR(__xludf.DUMMYFUNCTION("""COMPUTED_VALUE"""),1)</f>
        <v>1</v>
      </c>
    </row>
    <row r="2770" spans="1:5" ht="13">
      <c r="A2770" s="2" t="str">
        <f ca="1">IFERROR(__xludf.DUMMYFUNCTION("""COMPUTED_VALUE"""),"Fraser, Alasdair")</f>
        <v>Fraser, Alasdair</v>
      </c>
      <c r="B2770" s="3">
        <f ca="1">IFERROR(__xludf.DUMMYFUNCTION("""COMPUTED_VALUE"""),1)</f>
        <v>1</v>
      </c>
      <c r="C2770" s="7">
        <f ca="1">IFERROR(__xludf.DUMMYFUNCTION("""COMPUTED_VALUE"""),1)</f>
        <v>1</v>
      </c>
      <c r="D2770" s="8">
        <f ca="1">IFERROR(__xludf.DUMMYFUNCTION("""COMPUTED_VALUE"""),1)</f>
        <v>1</v>
      </c>
      <c r="E2770" s="2">
        <f ca="1">IFERROR(__xludf.DUMMYFUNCTION("""COMPUTED_VALUE"""),1)</f>
        <v>1</v>
      </c>
    </row>
    <row r="2771" spans="1:5" ht="13">
      <c r="A2771" s="2" t="str">
        <f ca="1">IFERROR(__xludf.DUMMYFUNCTION("""COMPUTED_VALUE"""),"Fraser, Bruce")</f>
        <v>Fraser, Bruce</v>
      </c>
      <c r="B2771" s="3">
        <f ca="1">IFERROR(__xludf.DUMMYFUNCTION("""COMPUTED_VALUE"""),1)</f>
        <v>1</v>
      </c>
      <c r="C2771" s="7">
        <f ca="1">IFERROR(__xludf.DUMMYFUNCTION("""COMPUTED_VALUE"""),1)</f>
        <v>1</v>
      </c>
      <c r="D2771" s="8">
        <f ca="1">IFERROR(__xludf.DUMMYFUNCTION("""COMPUTED_VALUE"""),5)</f>
        <v>5</v>
      </c>
      <c r="E2771" s="2">
        <f ca="1">IFERROR(__xludf.DUMMYFUNCTION("""COMPUTED_VALUE"""),2)</f>
        <v>2</v>
      </c>
    </row>
    <row r="2772" spans="1:5" ht="13">
      <c r="A2772" s="2" t="str">
        <f ca="1">IFERROR(__xludf.DUMMYFUNCTION("""COMPUTED_VALUE"""),"Fraser, Donald")</f>
        <v>Fraser, Donald</v>
      </c>
      <c r="B2772" s="3">
        <f ca="1">IFERROR(__xludf.DUMMYFUNCTION("""COMPUTED_VALUE"""),1)</f>
        <v>1</v>
      </c>
      <c r="C2772" s="7">
        <f ca="1">IFERROR(__xludf.DUMMYFUNCTION("""COMPUTED_VALUE"""),1)</f>
        <v>1</v>
      </c>
      <c r="D2772" s="8">
        <f ca="1">IFERROR(__xludf.DUMMYFUNCTION("""COMPUTED_VALUE"""),1)</f>
        <v>1</v>
      </c>
      <c r="E2772" s="2">
        <f ca="1">IFERROR(__xludf.DUMMYFUNCTION("""COMPUTED_VALUE"""),1)</f>
        <v>1</v>
      </c>
    </row>
    <row r="2773" spans="1:5" ht="13">
      <c r="A2773" s="2" t="str">
        <f ca="1">IFERROR(__xludf.DUMMYFUNCTION("""COMPUTED_VALUE"""),"Frazier, David")</f>
        <v>Frazier, David</v>
      </c>
      <c r="B2773" s="3">
        <f ca="1">IFERROR(__xludf.DUMMYFUNCTION("""COMPUTED_VALUE"""),1)</f>
        <v>1</v>
      </c>
      <c r="C2773" s="7">
        <f ca="1">IFERROR(__xludf.DUMMYFUNCTION("""COMPUTED_VALUE"""),1)</f>
        <v>1</v>
      </c>
      <c r="D2773" s="8">
        <f ca="1">IFERROR(__xludf.DUMMYFUNCTION("""COMPUTED_VALUE"""),1)</f>
        <v>1</v>
      </c>
      <c r="E2773" s="2">
        <f ca="1">IFERROR(__xludf.DUMMYFUNCTION("""COMPUTED_VALUE"""),1)</f>
        <v>1</v>
      </c>
    </row>
    <row r="2774" spans="1:5" ht="13">
      <c r="A2774" s="2" t="str">
        <f ca="1">IFERROR(__xludf.DUMMYFUNCTION("""COMPUTED_VALUE"""),"Frazier, J. Todd")</f>
        <v>Frazier, J. Todd</v>
      </c>
      <c r="B2774" s="3">
        <f ca="1">IFERROR(__xludf.DUMMYFUNCTION("""COMPUTED_VALUE"""),1)</f>
        <v>1</v>
      </c>
      <c r="C2774" s="7">
        <f ca="1">IFERROR(__xludf.DUMMYFUNCTION("""COMPUTED_VALUE"""),1)</f>
        <v>1</v>
      </c>
      <c r="D2774" s="8">
        <f ca="1">IFERROR(__xludf.DUMMYFUNCTION("""COMPUTED_VALUE"""),1)</f>
        <v>1</v>
      </c>
      <c r="E2774" s="2">
        <f ca="1">IFERROR(__xludf.DUMMYFUNCTION("""COMPUTED_VALUE"""),1)</f>
        <v>1</v>
      </c>
    </row>
    <row r="2775" spans="1:5" ht="13">
      <c r="A2775" s="2" t="str">
        <f ca="1">IFERROR(__xludf.DUMMYFUNCTION("""COMPUTED_VALUE"""),"Fred")</f>
        <v>Fred</v>
      </c>
      <c r="B2775" s="3">
        <f ca="1">IFERROR(__xludf.DUMMYFUNCTION("""COMPUTED_VALUE"""),1)</f>
        <v>1</v>
      </c>
      <c r="C2775" s="7">
        <f ca="1">IFERROR(__xludf.DUMMYFUNCTION("""COMPUTED_VALUE"""),1)</f>
        <v>1</v>
      </c>
      <c r="D2775" s="8">
        <f ca="1">IFERROR(__xludf.DUMMYFUNCTION("""COMPUTED_VALUE"""),5)</f>
        <v>5</v>
      </c>
      <c r="E2775" s="2">
        <f ca="1">IFERROR(__xludf.DUMMYFUNCTION("""COMPUTED_VALUE"""),2)</f>
        <v>2</v>
      </c>
    </row>
    <row r="2776" spans="1:5" ht="13">
      <c r="A2776" s="2" t="str">
        <f ca="1">IFERROR(__xludf.DUMMYFUNCTION("""COMPUTED_VALUE"""),"Fred, Herbert W.")</f>
        <v>Fred, Herbert W.</v>
      </c>
      <c r="B2776" s="3">
        <f ca="1">IFERROR(__xludf.DUMMYFUNCTION("""COMPUTED_VALUE"""),1)</f>
        <v>1</v>
      </c>
      <c r="C2776" s="7">
        <f ca="1">IFERROR(__xludf.DUMMYFUNCTION("""COMPUTED_VALUE"""),1)</f>
        <v>1</v>
      </c>
      <c r="D2776" s="8">
        <f ca="1">IFERROR(__xludf.DUMMYFUNCTION("""COMPUTED_VALUE"""),1)</f>
        <v>1</v>
      </c>
      <c r="E2776" s="2">
        <f ca="1">IFERROR(__xludf.DUMMYFUNCTION("""COMPUTED_VALUE"""),1)</f>
        <v>1</v>
      </c>
    </row>
    <row r="2777" spans="1:5" ht="13">
      <c r="A2777" s="2" t="str">
        <f ca="1">IFERROR(__xludf.DUMMYFUNCTION("""COMPUTED_VALUE"""),"Frederick the Great")</f>
        <v>Frederick the Great</v>
      </c>
      <c r="B2777" s="3">
        <f ca="1">IFERROR(__xludf.DUMMYFUNCTION("""COMPUTED_VALUE"""),1)</f>
        <v>1</v>
      </c>
      <c r="C2777" s="7">
        <f ca="1">IFERROR(__xludf.DUMMYFUNCTION("""COMPUTED_VALUE"""),1)</f>
        <v>1</v>
      </c>
      <c r="D2777" s="8">
        <f ca="1">IFERROR(__xludf.DUMMYFUNCTION("""COMPUTED_VALUE"""),5)</f>
        <v>5</v>
      </c>
      <c r="E2777" s="2">
        <f ca="1">IFERROR(__xludf.DUMMYFUNCTION("""COMPUTED_VALUE"""),2)</f>
        <v>2</v>
      </c>
    </row>
    <row r="2778" spans="1:5" ht="13">
      <c r="A2778" s="8" t="str">
        <f ca="1">IFERROR(__xludf.DUMMYFUNCTION("""COMPUTED_VALUE"""),"Frederick, Donald")</f>
        <v>Frederick, Donald</v>
      </c>
      <c r="B2778" s="3">
        <f ca="1">IFERROR(__xludf.DUMMYFUNCTION("""COMPUTED_VALUE"""),1)</f>
        <v>1</v>
      </c>
      <c r="C2778" s="7">
        <f ca="1">IFERROR(__xludf.DUMMYFUNCTION("""COMPUTED_VALUE"""),1)</f>
        <v>1</v>
      </c>
      <c r="D2778" s="8">
        <f ca="1">IFERROR(__xludf.DUMMYFUNCTION("""COMPUTED_VALUE"""),5)</f>
        <v>5</v>
      </c>
      <c r="E2778" s="2">
        <f ca="1">IFERROR(__xludf.DUMMYFUNCTION("""COMPUTED_VALUE"""),2)</f>
        <v>2</v>
      </c>
    </row>
    <row r="2779" spans="1:5" ht="13">
      <c r="A2779" s="8" t="str">
        <f ca="1">IFERROR(__xludf.DUMMYFUNCTION("""COMPUTED_VALUE"""),"Frederick, Mark")</f>
        <v>Frederick, Mark</v>
      </c>
      <c r="B2779" s="3">
        <f ca="1">IFERROR(__xludf.DUMMYFUNCTION("""COMPUTED_VALUE"""),1)</f>
        <v>1</v>
      </c>
      <c r="C2779" s="7">
        <f ca="1">IFERROR(__xludf.DUMMYFUNCTION("""COMPUTED_VALUE"""),1)</f>
        <v>1</v>
      </c>
      <c r="D2779" s="8">
        <f ca="1">IFERROR(__xludf.DUMMYFUNCTION("""COMPUTED_VALUE"""),1)</f>
        <v>1</v>
      </c>
      <c r="E2779" s="2">
        <f ca="1">IFERROR(__xludf.DUMMYFUNCTION("""COMPUTED_VALUE"""),1)</f>
        <v>1</v>
      </c>
    </row>
    <row r="2780" spans="1:5" ht="13">
      <c r="A2780" s="2" t="str">
        <f ca="1">IFERROR(__xludf.DUMMYFUNCTION("""COMPUTED_VALUE"""),"Fredrickson, Carl")</f>
        <v>Fredrickson, Carl</v>
      </c>
      <c r="B2780" s="2">
        <f ca="1">IFERROR(__xludf.DUMMYFUNCTION("""COMPUTED_VALUE"""),1)</f>
        <v>1</v>
      </c>
      <c r="C2780" s="2">
        <f ca="1">IFERROR(__xludf.DUMMYFUNCTION("""COMPUTED_VALUE"""),1)</f>
        <v>1</v>
      </c>
      <c r="D2780" s="8">
        <f ca="1">IFERROR(__xludf.DUMMYFUNCTION("""COMPUTED_VALUE"""),1)</f>
        <v>1</v>
      </c>
      <c r="E2780" s="2">
        <f ca="1">IFERROR(__xludf.DUMMYFUNCTION("""COMPUTED_VALUE"""),1)</f>
        <v>1</v>
      </c>
    </row>
    <row r="2781" spans="1:5" ht="13">
      <c r="A2781" s="2" t="str">
        <f ca="1">IFERROR(__xludf.DUMMYFUNCTION("""COMPUTED_VALUE"""),"Freed, Arnold")</f>
        <v>Freed, Arnold</v>
      </c>
      <c r="B2781" s="3">
        <f ca="1">IFERROR(__xludf.DUMMYFUNCTION("""COMPUTED_VALUE"""),1)</f>
        <v>1</v>
      </c>
      <c r="C2781" s="7">
        <f ca="1">IFERROR(__xludf.DUMMYFUNCTION("""COMPUTED_VALUE"""),1)</f>
        <v>1</v>
      </c>
      <c r="D2781" s="8">
        <f ca="1">IFERROR(__xludf.DUMMYFUNCTION("""COMPUTED_VALUE"""),5)</f>
        <v>5</v>
      </c>
      <c r="E2781" s="2">
        <f ca="1">IFERROR(__xludf.DUMMYFUNCTION("""COMPUTED_VALUE"""),2)</f>
        <v>2</v>
      </c>
    </row>
    <row r="2782" spans="1:5" ht="13">
      <c r="A2782" s="2" t="str">
        <f ca="1">IFERROR(__xludf.DUMMYFUNCTION("""COMPUTED_VALUE"""),"Freed, Arthur / Brown, Nacio Herb")</f>
        <v>Freed, Arthur / Brown, Nacio Herb</v>
      </c>
      <c r="B2782" s="3">
        <f ca="1">IFERROR(__xludf.DUMMYFUNCTION("""COMPUTED_VALUE"""),1)</f>
        <v>1</v>
      </c>
      <c r="C2782" s="7">
        <f ca="1">IFERROR(__xludf.DUMMYFUNCTION("""COMPUTED_VALUE"""),1)</f>
        <v>1</v>
      </c>
      <c r="D2782" s="8">
        <f ca="1">IFERROR(__xludf.DUMMYFUNCTION("""COMPUTED_VALUE"""),5)</f>
        <v>5</v>
      </c>
      <c r="E2782" s="2">
        <f ca="1">IFERROR(__xludf.DUMMYFUNCTION("""COMPUTED_VALUE"""),2)</f>
        <v>2</v>
      </c>
    </row>
    <row r="2783" spans="1:5" ht="13">
      <c r="A2783" s="2" t="str">
        <f ca="1">IFERROR(__xludf.DUMMYFUNCTION("""COMPUTED_VALUE"""),"Freed, Isadore")</f>
        <v>Freed, Isadore</v>
      </c>
      <c r="B2783" s="3">
        <f ca="1">IFERROR(__xludf.DUMMYFUNCTION("""COMPUTED_VALUE"""),1)</f>
        <v>1</v>
      </c>
      <c r="C2783" s="7">
        <f ca="1">IFERROR(__xludf.DUMMYFUNCTION("""COMPUTED_VALUE"""),1)</f>
        <v>1</v>
      </c>
      <c r="D2783" s="8">
        <f ca="1">IFERROR(__xludf.DUMMYFUNCTION("""COMPUTED_VALUE"""),5)</f>
        <v>5</v>
      </c>
      <c r="E2783" s="2">
        <f ca="1">IFERROR(__xludf.DUMMYFUNCTION("""COMPUTED_VALUE"""),2)</f>
        <v>2</v>
      </c>
    </row>
    <row r="2784" spans="1:5" ht="13">
      <c r="A2784" s="2" t="str">
        <f ca="1">IFERROR(__xludf.DUMMYFUNCTION("""COMPUTED_VALUE"""),"Freedman, Bob")</f>
        <v>Freedman, Bob</v>
      </c>
      <c r="B2784" s="2">
        <f ca="1">IFERROR(__xludf.DUMMYFUNCTION("""COMPUTED_VALUE"""),1)</f>
        <v>1</v>
      </c>
      <c r="C2784" s="7">
        <f ca="1">IFERROR(__xludf.DUMMYFUNCTION("""COMPUTED_VALUE"""),1)</f>
        <v>1</v>
      </c>
      <c r="D2784" s="8">
        <f ca="1">IFERROR(__xludf.DUMMYFUNCTION("""COMPUTED_VALUE"""),5)</f>
        <v>5</v>
      </c>
      <c r="E2784" s="2">
        <f ca="1">IFERROR(__xludf.DUMMYFUNCTION("""COMPUTED_VALUE"""),2)</f>
        <v>2</v>
      </c>
    </row>
    <row r="2785" spans="1:5" ht="13">
      <c r="A2785" s="2" t="str">
        <f ca="1">IFERROR(__xludf.DUMMYFUNCTION("""COMPUTED_VALUE"""),"Freer, Justin")</f>
        <v>Freer, Justin</v>
      </c>
      <c r="B2785" s="3">
        <f ca="1">IFERROR(__xludf.DUMMYFUNCTION("""COMPUTED_VALUE"""),1)</f>
        <v>1</v>
      </c>
      <c r="C2785" s="7">
        <f ca="1">IFERROR(__xludf.DUMMYFUNCTION("""COMPUTED_VALUE"""),1)</f>
        <v>1</v>
      </c>
      <c r="D2785" s="8">
        <f ca="1">IFERROR(__xludf.DUMMYFUNCTION("""COMPUTED_VALUE"""),1)</f>
        <v>1</v>
      </c>
      <c r="E2785" s="2">
        <f ca="1">IFERROR(__xludf.DUMMYFUNCTION("""COMPUTED_VALUE"""),1)</f>
        <v>1</v>
      </c>
    </row>
    <row r="2786" spans="1:5" ht="13">
      <c r="A2786" s="8" t="str">
        <f ca="1">IFERROR(__xludf.DUMMYFUNCTION("""COMPUTED_VALUE"""),"Freicher, Jan")</f>
        <v>Freicher, Jan</v>
      </c>
      <c r="B2786" s="3">
        <f ca="1">IFERROR(__xludf.DUMMYFUNCTION("""COMPUTED_VALUE"""),1)</f>
        <v>1</v>
      </c>
      <c r="C2786" s="7">
        <f ca="1">IFERROR(__xludf.DUMMYFUNCTION("""COMPUTED_VALUE"""),1)</f>
        <v>1</v>
      </c>
      <c r="D2786" s="8">
        <f ca="1">IFERROR(__xludf.DUMMYFUNCTION("""COMPUTED_VALUE"""),1)</f>
        <v>1</v>
      </c>
      <c r="E2786" s="2">
        <f ca="1">IFERROR(__xludf.DUMMYFUNCTION("""COMPUTED_VALUE"""),1)</f>
        <v>1</v>
      </c>
    </row>
    <row r="2787" spans="1:5" ht="13">
      <c r="A2787" s="2" t="str">
        <f ca="1">IFERROR(__xludf.DUMMYFUNCTION("""COMPUTED_VALUE"""),"Freier, Ethan")</f>
        <v>Freier, Ethan</v>
      </c>
      <c r="B2787" s="3">
        <f ca="1">IFERROR(__xludf.DUMMYFUNCTION("""COMPUTED_VALUE"""),1)</f>
        <v>1</v>
      </c>
      <c r="C2787" s="7">
        <f ca="1">IFERROR(__xludf.DUMMYFUNCTION("""COMPUTED_VALUE"""),1)</f>
        <v>1</v>
      </c>
      <c r="D2787" s="8">
        <f ca="1">IFERROR(__xludf.DUMMYFUNCTION("""COMPUTED_VALUE"""),1)</f>
        <v>1</v>
      </c>
      <c r="E2787" s="2">
        <f ca="1">IFERROR(__xludf.DUMMYFUNCTION("""COMPUTED_VALUE"""),1)</f>
        <v>1</v>
      </c>
    </row>
    <row r="2788" spans="1:5" ht="13">
      <c r="A2788" s="2" t="str">
        <f ca="1">IFERROR(__xludf.DUMMYFUNCTION("""COMPUTED_VALUE"""),"French, Daniel")</f>
        <v>French, Daniel</v>
      </c>
      <c r="B2788" s="3">
        <f ca="1">IFERROR(__xludf.DUMMYFUNCTION("""COMPUTED_VALUE"""),1)</f>
        <v>1</v>
      </c>
      <c r="C2788" s="7">
        <f ca="1">IFERROR(__xludf.DUMMYFUNCTION("""COMPUTED_VALUE"""),1)</f>
        <v>1</v>
      </c>
      <c r="D2788" s="8">
        <f ca="1">IFERROR(__xludf.DUMMYFUNCTION("""COMPUTED_VALUE"""),1)</f>
        <v>1</v>
      </c>
      <c r="E2788" s="2">
        <f ca="1">IFERROR(__xludf.DUMMYFUNCTION("""COMPUTED_VALUE"""),1)</f>
        <v>1</v>
      </c>
    </row>
    <row r="2789" spans="1:5" ht="13">
      <c r="A2789" s="2" t="str">
        <f ca="1">IFERROR(__xludf.DUMMYFUNCTION("""COMPUTED_VALUE"""),"French, Jacob")</f>
        <v>French, Jacob</v>
      </c>
      <c r="B2789" s="3">
        <f ca="1">IFERROR(__xludf.DUMMYFUNCTION("""COMPUTED_VALUE"""),1)</f>
        <v>1</v>
      </c>
      <c r="C2789" s="7">
        <f ca="1">IFERROR(__xludf.DUMMYFUNCTION("""COMPUTED_VALUE"""),1)</f>
        <v>1</v>
      </c>
      <c r="D2789" s="8">
        <f ca="1">IFERROR(__xludf.DUMMYFUNCTION("""COMPUTED_VALUE"""),5)</f>
        <v>5</v>
      </c>
      <c r="E2789" s="2">
        <f ca="1">IFERROR(__xludf.DUMMYFUNCTION("""COMPUTED_VALUE"""),2)</f>
        <v>2</v>
      </c>
    </row>
    <row r="2790" spans="1:5" ht="13">
      <c r="A2790" s="8" t="str">
        <f ca="1">IFERROR(__xludf.DUMMYFUNCTION("""COMPUTED_VALUE"""),"Frenz, Terren")</f>
        <v>Frenz, Terren</v>
      </c>
      <c r="B2790" s="3">
        <f ca="1">IFERROR(__xludf.DUMMYFUNCTION("""COMPUTED_VALUE"""),1)</f>
        <v>1</v>
      </c>
      <c r="C2790" s="7">
        <f ca="1">IFERROR(__xludf.DUMMYFUNCTION("""COMPUTED_VALUE"""),1)</f>
        <v>1</v>
      </c>
      <c r="D2790" s="8">
        <f ca="1">IFERROR(__xludf.DUMMYFUNCTION("""COMPUTED_VALUE"""),5)</f>
        <v>5</v>
      </c>
      <c r="E2790" s="2">
        <f ca="1">IFERROR(__xludf.DUMMYFUNCTION("""COMPUTED_VALUE"""),2)</f>
        <v>2</v>
      </c>
    </row>
    <row r="2791" spans="1:5" ht="13">
      <c r="A2791" s="2" t="str">
        <f ca="1">IFERROR(__xludf.DUMMYFUNCTION("""COMPUTED_VALUE"""),"Frere, Jack")</f>
        <v>Frere, Jack</v>
      </c>
      <c r="B2791" s="3">
        <f ca="1">IFERROR(__xludf.DUMMYFUNCTION("""COMPUTED_VALUE"""),1)</f>
        <v>1</v>
      </c>
      <c r="C2791" s="7">
        <f ca="1">IFERROR(__xludf.DUMMYFUNCTION("""COMPUTED_VALUE"""),1)</f>
        <v>1</v>
      </c>
      <c r="D2791" s="8">
        <f ca="1">IFERROR(__xludf.DUMMYFUNCTION("""COMPUTED_VALUE"""),1)</f>
        <v>1</v>
      </c>
      <c r="E2791" s="2">
        <f ca="1">IFERROR(__xludf.DUMMYFUNCTION("""COMPUTED_VALUE"""),1)</f>
        <v>1</v>
      </c>
    </row>
    <row r="2792" spans="1:5" ht="13">
      <c r="A2792" s="2" t="str">
        <f ca="1">IFERROR(__xludf.DUMMYFUNCTION("""COMPUTED_VALUE"""),"Frerer, Jack")</f>
        <v>Frerer, Jack</v>
      </c>
      <c r="B2792" s="3">
        <f ca="1">IFERROR(__xludf.DUMMYFUNCTION("""COMPUTED_VALUE"""),1)</f>
        <v>1</v>
      </c>
      <c r="C2792" s="7">
        <f ca="1">IFERROR(__xludf.DUMMYFUNCTION("""COMPUTED_VALUE"""),1)</f>
        <v>1</v>
      </c>
      <c r="D2792" s="8">
        <f ca="1">IFERROR(__xludf.DUMMYFUNCTION("""COMPUTED_VALUE"""),1)</f>
        <v>1</v>
      </c>
      <c r="E2792" s="2">
        <f ca="1">IFERROR(__xludf.DUMMYFUNCTION("""COMPUTED_VALUE"""),1)</f>
        <v>1</v>
      </c>
    </row>
    <row r="2793" spans="1:5" ht="13">
      <c r="A2793" s="2" t="str">
        <f ca="1">IFERROR(__xludf.DUMMYFUNCTION("""COMPUTED_VALUE"""),"Frescobaldi, Girolamo")</f>
        <v>Frescobaldi, Girolamo</v>
      </c>
      <c r="B2793" s="3">
        <f ca="1">IFERROR(__xludf.DUMMYFUNCTION("""COMPUTED_VALUE"""),1)</f>
        <v>1</v>
      </c>
      <c r="C2793" s="7">
        <f ca="1">IFERROR(__xludf.DUMMYFUNCTION("""COMPUTED_VALUE"""),1)</f>
        <v>1</v>
      </c>
      <c r="D2793" s="8">
        <f ca="1">IFERROR(__xludf.DUMMYFUNCTION("""COMPUTED_VALUE"""),5)</f>
        <v>5</v>
      </c>
      <c r="E2793" s="2">
        <f ca="1">IFERROR(__xludf.DUMMYFUNCTION("""COMPUTED_VALUE"""),2)</f>
        <v>2</v>
      </c>
    </row>
    <row r="2794" spans="1:5" ht="13">
      <c r="A2794" s="2" t="str">
        <f ca="1">IFERROR(__xludf.DUMMYFUNCTION("""COMPUTED_VALUE"""),"Frescobaldi, Girolamo / Cassadó, Gaspar")</f>
        <v>Frescobaldi, Girolamo / Cassadó, Gaspar</v>
      </c>
      <c r="B2794" s="3">
        <f ca="1">IFERROR(__xludf.DUMMYFUNCTION("""COMPUTED_VALUE"""),1)</f>
        <v>1</v>
      </c>
      <c r="C2794" s="7">
        <f ca="1">IFERROR(__xludf.DUMMYFUNCTION("""COMPUTED_VALUE"""),1)</f>
        <v>1</v>
      </c>
      <c r="D2794" s="8">
        <f ca="1">IFERROR(__xludf.DUMMYFUNCTION("""COMPUTED_VALUE"""),5)</f>
        <v>5</v>
      </c>
      <c r="E2794" s="2">
        <f ca="1">IFERROR(__xludf.DUMMYFUNCTION("""COMPUTED_VALUE"""),2)</f>
        <v>2</v>
      </c>
    </row>
    <row r="2795" spans="1:5" ht="13">
      <c r="A2795" s="2" t="str">
        <f ca="1">IFERROR(__xludf.DUMMYFUNCTION("""COMPUTED_VALUE"""),"Freund, Don")</f>
        <v>Freund, Don</v>
      </c>
      <c r="B2795" s="3">
        <f ca="1">IFERROR(__xludf.DUMMYFUNCTION("""COMPUTED_VALUE"""),1)</f>
        <v>1</v>
      </c>
      <c r="C2795" s="7">
        <f ca="1">IFERROR(__xludf.DUMMYFUNCTION("""COMPUTED_VALUE"""),1)</f>
        <v>1</v>
      </c>
      <c r="D2795" s="8">
        <f ca="1">IFERROR(__xludf.DUMMYFUNCTION("""COMPUTED_VALUE"""),5)</f>
        <v>5</v>
      </c>
      <c r="E2795" s="2">
        <f ca="1">IFERROR(__xludf.DUMMYFUNCTION("""COMPUTED_VALUE"""),2)</f>
        <v>2</v>
      </c>
    </row>
    <row r="2796" spans="1:5" ht="13">
      <c r="A2796" s="2" t="str">
        <f ca="1">IFERROR(__xludf.DUMMYFUNCTION("""COMPUTED_VALUE"""),"Freund, Stefan")</f>
        <v>Freund, Stefan</v>
      </c>
      <c r="B2796" s="3">
        <f ca="1">IFERROR(__xludf.DUMMYFUNCTION("""COMPUTED_VALUE"""),1)</f>
        <v>1</v>
      </c>
      <c r="C2796" s="7">
        <f ca="1">IFERROR(__xludf.DUMMYFUNCTION("""COMPUTED_VALUE"""),1)</f>
        <v>1</v>
      </c>
      <c r="D2796" s="8">
        <f ca="1">IFERROR(__xludf.DUMMYFUNCTION("""COMPUTED_VALUE"""),1)</f>
        <v>1</v>
      </c>
      <c r="E2796" s="2">
        <f ca="1">IFERROR(__xludf.DUMMYFUNCTION("""COMPUTED_VALUE"""),1)</f>
        <v>1</v>
      </c>
    </row>
    <row r="2797" spans="1:5" ht="13">
      <c r="A2797" s="2" t="str">
        <f ca="1">IFERROR(__xludf.DUMMYFUNCTION("""COMPUTED_VALUE"""),"Freund. Don")</f>
        <v>Freund. Don</v>
      </c>
      <c r="B2797" s="3">
        <f ca="1">IFERROR(__xludf.DUMMYFUNCTION("""COMPUTED_VALUE"""),1)</f>
        <v>1</v>
      </c>
      <c r="C2797" s="7">
        <f ca="1">IFERROR(__xludf.DUMMYFUNCTION("""COMPUTED_VALUE"""),1)</f>
        <v>1</v>
      </c>
      <c r="D2797" s="8">
        <f ca="1">IFERROR(__xludf.DUMMYFUNCTION("""COMPUTED_VALUE"""),1)</f>
        <v>1</v>
      </c>
      <c r="E2797" s="2">
        <f ca="1">IFERROR(__xludf.DUMMYFUNCTION("""COMPUTED_VALUE"""),1)</f>
        <v>1</v>
      </c>
    </row>
    <row r="2798" spans="1:5" ht="13">
      <c r="A2798" s="2" t="str">
        <f ca="1">IFERROR(__xludf.DUMMYFUNCTION("""COMPUTED_VALUE"""),"Freundt, Cornelius")</f>
        <v>Freundt, Cornelius</v>
      </c>
      <c r="B2798" s="3">
        <f ca="1">IFERROR(__xludf.DUMMYFUNCTION("""COMPUTED_VALUE"""),1)</f>
        <v>1</v>
      </c>
      <c r="C2798" s="7">
        <f ca="1">IFERROR(__xludf.DUMMYFUNCTION("""COMPUTED_VALUE"""),1)</f>
        <v>1</v>
      </c>
      <c r="D2798" s="8">
        <f ca="1">IFERROR(__xludf.DUMMYFUNCTION("""COMPUTED_VALUE"""),5)</f>
        <v>5</v>
      </c>
      <c r="E2798" s="2">
        <f ca="1">IFERROR(__xludf.DUMMYFUNCTION("""COMPUTED_VALUE"""),2)</f>
        <v>2</v>
      </c>
    </row>
    <row r="2799" spans="1:5" ht="13">
      <c r="A2799" s="2" t="str">
        <f ca="1">IFERROR(__xludf.DUMMYFUNCTION("""COMPUTED_VALUE"""),"Friderici, Daniel")</f>
        <v>Friderici, Daniel</v>
      </c>
      <c r="B2799" s="2">
        <f ca="1">IFERROR(__xludf.DUMMYFUNCTION("""COMPUTED_VALUE"""),1)</f>
        <v>1</v>
      </c>
      <c r="C2799" s="7">
        <f ca="1">IFERROR(__xludf.DUMMYFUNCTION("""COMPUTED_VALUE"""),1)</f>
        <v>1</v>
      </c>
      <c r="D2799" s="8">
        <f ca="1">IFERROR(__xludf.DUMMYFUNCTION("""COMPUTED_VALUE"""),5)</f>
        <v>5</v>
      </c>
      <c r="E2799" s="2">
        <f ca="1">IFERROR(__xludf.DUMMYFUNCTION("""COMPUTED_VALUE"""),2)</f>
        <v>2</v>
      </c>
    </row>
    <row r="2800" spans="1:5" ht="13">
      <c r="A2800" s="2" t="str">
        <f ca="1">IFERROR(__xludf.DUMMYFUNCTION("""COMPUTED_VALUE"""),"Friedell, Harold")</f>
        <v>Friedell, Harold</v>
      </c>
      <c r="B2800" s="3">
        <f ca="1">IFERROR(__xludf.DUMMYFUNCTION("""COMPUTED_VALUE"""),1)</f>
        <v>1</v>
      </c>
      <c r="C2800" s="7">
        <f ca="1">IFERROR(__xludf.DUMMYFUNCTION("""COMPUTED_VALUE"""),1)</f>
        <v>1</v>
      </c>
      <c r="D2800" s="8">
        <f ca="1">IFERROR(__xludf.DUMMYFUNCTION("""COMPUTED_VALUE"""),5)</f>
        <v>5</v>
      </c>
      <c r="E2800" s="2">
        <f ca="1">IFERROR(__xludf.DUMMYFUNCTION("""COMPUTED_VALUE"""),2)</f>
        <v>2</v>
      </c>
    </row>
    <row r="2801" spans="1:5" ht="13">
      <c r="A2801" s="2" t="str">
        <f ca="1">IFERROR(__xludf.DUMMYFUNCTION("""COMPUTED_VALUE"""),"Friedemann, Carl")</f>
        <v>Friedemann, Carl</v>
      </c>
      <c r="B2801" s="3">
        <f ca="1">IFERROR(__xludf.DUMMYFUNCTION("""COMPUTED_VALUE"""),1)</f>
        <v>1</v>
      </c>
      <c r="C2801" s="7">
        <f ca="1">IFERROR(__xludf.DUMMYFUNCTION("""COMPUTED_VALUE"""),1)</f>
        <v>1</v>
      </c>
      <c r="D2801" s="8">
        <f ca="1">IFERROR(__xludf.DUMMYFUNCTION("""COMPUTED_VALUE"""),5)</f>
        <v>5</v>
      </c>
      <c r="E2801" s="2">
        <f ca="1">IFERROR(__xludf.DUMMYFUNCTION("""COMPUTED_VALUE"""),2)</f>
        <v>2</v>
      </c>
    </row>
    <row r="2802" spans="1:5" ht="13">
      <c r="A2802" s="2" t="str">
        <f ca="1">IFERROR(__xludf.DUMMYFUNCTION("""COMPUTED_VALUE"""),"Friedman, Jay")</f>
        <v>Friedman, Jay</v>
      </c>
      <c r="B2802" s="3">
        <f ca="1">IFERROR(__xludf.DUMMYFUNCTION("""COMPUTED_VALUE"""),1)</f>
        <v>1</v>
      </c>
      <c r="C2802" s="7">
        <f ca="1">IFERROR(__xludf.DUMMYFUNCTION("""COMPUTED_VALUE"""),1)</f>
        <v>1</v>
      </c>
      <c r="D2802" s="8">
        <f ca="1">IFERROR(__xludf.DUMMYFUNCTION("""COMPUTED_VALUE"""),1)</f>
        <v>1</v>
      </c>
      <c r="E2802" s="2">
        <f ca="1">IFERROR(__xludf.DUMMYFUNCTION("""COMPUTED_VALUE"""),1)</f>
        <v>1</v>
      </c>
    </row>
    <row r="2803" spans="1:5" ht="13">
      <c r="A2803" s="2" t="str">
        <f ca="1">IFERROR(__xludf.DUMMYFUNCTION("""COMPUTED_VALUE"""),"Friedman, Jim")</f>
        <v>Friedman, Jim</v>
      </c>
      <c r="B2803" s="3">
        <f ca="1">IFERROR(__xludf.DUMMYFUNCTION("""COMPUTED_VALUE"""),1)</f>
        <v>1</v>
      </c>
      <c r="C2803" s="7">
        <f ca="1">IFERROR(__xludf.DUMMYFUNCTION("""COMPUTED_VALUE"""),1)</f>
        <v>1</v>
      </c>
      <c r="D2803" s="8">
        <f ca="1">IFERROR(__xludf.DUMMYFUNCTION("""COMPUTED_VALUE"""),1)</f>
        <v>1</v>
      </c>
      <c r="E2803" s="2">
        <f ca="1">IFERROR(__xludf.DUMMYFUNCTION("""COMPUTED_VALUE"""),1)</f>
        <v>1</v>
      </c>
    </row>
    <row r="2804" spans="1:5" ht="13">
      <c r="A2804" s="2" t="str">
        <f ca="1">IFERROR(__xludf.DUMMYFUNCTION("""COMPUTED_VALUE"""),"Friedman, Norman")</f>
        <v>Friedman, Norman</v>
      </c>
      <c r="B2804" s="3">
        <f ca="1">IFERROR(__xludf.DUMMYFUNCTION("""COMPUTED_VALUE"""),1)</f>
        <v>1</v>
      </c>
      <c r="C2804" s="7">
        <f ca="1">IFERROR(__xludf.DUMMYFUNCTION("""COMPUTED_VALUE"""),1)</f>
        <v>1</v>
      </c>
      <c r="D2804" s="8">
        <f ca="1">IFERROR(__xludf.DUMMYFUNCTION("""COMPUTED_VALUE"""),5)</f>
        <v>5</v>
      </c>
      <c r="E2804" s="2">
        <f ca="1">IFERROR(__xludf.DUMMYFUNCTION("""COMPUTED_VALUE"""),2)</f>
        <v>2</v>
      </c>
    </row>
    <row r="2805" spans="1:5" ht="13">
      <c r="A2805" s="2" t="str">
        <f ca="1">IFERROR(__xludf.DUMMYFUNCTION("""COMPUTED_VALUE"""),"Friedman, Stanley")</f>
        <v>Friedman, Stanley</v>
      </c>
      <c r="B2805" s="3">
        <f ca="1">IFERROR(__xludf.DUMMYFUNCTION("""COMPUTED_VALUE"""),1)</f>
        <v>1</v>
      </c>
      <c r="C2805" s="7">
        <f ca="1">IFERROR(__xludf.DUMMYFUNCTION("""COMPUTED_VALUE"""),1)</f>
        <v>1</v>
      </c>
      <c r="D2805" s="8">
        <f ca="1">IFERROR(__xludf.DUMMYFUNCTION("""COMPUTED_VALUE"""),1)</f>
        <v>1</v>
      </c>
      <c r="E2805" s="2">
        <f ca="1">IFERROR(__xludf.DUMMYFUNCTION("""COMPUTED_VALUE"""),1)</f>
        <v>1</v>
      </c>
    </row>
    <row r="2806" spans="1:5" ht="13">
      <c r="A2806" s="8" t="str">
        <f ca="1">IFERROR(__xludf.DUMMYFUNCTION("""COMPUTED_VALUE"""),"Friedmann, Carl")</f>
        <v>Friedmann, Carl</v>
      </c>
      <c r="B2806" s="3">
        <f ca="1">IFERROR(__xludf.DUMMYFUNCTION("""COMPUTED_VALUE"""),1)</f>
        <v>1</v>
      </c>
      <c r="C2806" s="7">
        <f ca="1">IFERROR(__xludf.DUMMYFUNCTION("""COMPUTED_VALUE"""),1)</f>
        <v>1</v>
      </c>
      <c r="D2806" s="8">
        <f ca="1">IFERROR(__xludf.DUMMYFUNCTION("""COMPUTED_VALUE"""),5)</f>
        <v>5</v>
      </c>
      <c r="E2806" s="2">
        <f ca="1">IFERROR(__xludf.DUMMYFUNCTION("""COMPUTED_VALUE"""),2)</f>
        <v>2</v>
      </c>
    </row>
    <row r="2807" spans="1:5" ht="13">
      <c r="A2807" s="2" t="str">
        <f ca="1">IFERROR(__xludf.DUMMYFUNCTION("""COMPUTED_VALUE"""),"Friedmann, Stanley")</f>
        <v>Friedmann, Stanley</v>
      </c>
      <c r="B2807" s="3">
        <f ca="1">IFERROR(__xludf.DUMMYFUNCTION("""COMPUTED_VALUE"""),1)</f>
        <v>1</v>
      </c>
      <c r="C2807" s="7">
        <f ca="1">IFERROR(__xludf.DUMMYFUNCTION("""COMPUTED_VALUE"""),1)</f>
        <v>1</v>
      </c>
      <c r="D2807" s="8">
        <f ca="1">IFERROR(__xludf.DUMMYFUNCTION("""COMPUTED_VALUE"""),1)</f>
        <v>1</v>
      </c>
      <c r="E2807" s="2">
        <f ca="1">IFERROR(__xludf.DUMMYFUNCTION("""COMPUTED_VALUE"""),1)</f>
        <v>1</v>
      </c>
    </row>
    <row r="2808" spans="1:5" ht="13">
      <c r="A2808" s="2" t="str">
        <f ca="1">IFERROR(__xludf.DUMMYFUNCTION("""COMPUTED_VALUE"""),"Friend, C. / Nathan, J. / Summer, J.")</f>
        <v>Friend, C. / Nathan, J. / Summer, J.</v>
      </c>
      <c r="B2808" s="2">
        <f ca="1">IFERROR(__xludf.DUMMYFUNCTION("""COMPUTED_VALUE"""),1)</f>
        <v>1</v>
      </c>
      <c r="C2808" s="7">
        <f ca="1">IFERROR(__xludf.DUMMYFUNCTION("""COMPUTED_VALUE"""),1)</f>
        <v>1</v>
      </c>
      <c r="D2808" s="8">
        <f ca="1">IFERROR(__xludf.DUMMYFUNCTION("""COMPUTED_VALUE"""),5)</f>
        <v>5</v>
      </c>
      <c r="E2808" s="2">
        <f ca="1">IFERROR(__xludf.DUMMYFUNCTION("""COMPUTED_VALUE"""),2)</f>
        <v>2</v>
      </c>
    </row>
    <row r="2809" spans="1:5" ht="13">
      <c r="A2809" s="2" t="str">
        <f ca="1">IFERROR(__xludf.DUMMYFUNCTION("""COMPUTED_VALUE"""),"Friesen, Eugene")</f>
        <v>Friesen, Eugene</v>
      </c>
      <c r="B2809" s="3">
        <f ca="1">IFERROR(__xludf.DUMMYFUNCTION("""COMPUTED_VALUE"""),1)</f>
        <v>1</v>
      </c>
      <c r="C2809" s="7">
        <f ca="1">IFERROR(__xludf.DUMMYFUNCTION("""COMPUTED_VALUE"""),1)</f>
        <v>1</v>
      </c>
      <c r="D2809" s="8">
        <f ca="1">IFERROR(__xludf.DUMMYFUNCTION("""COMPUTED_VALUE"""),1)</f>
        <v>1</v>
      </c>
      <c r="E2809" s="2">
        <f ca="1">IFERROR(__xludf.DUMMYFUNCTION("""COMPUTED_VALUE"""),1)</f>
        <v>1</v>
      </c>
    </row>
    <row r="2810" spans="1:5" ht="13">
      <c r="A2810" s="2" t="str">
        <f ca="1">IFERROR(__xludf.DUMMYFUNCTION("""COMPUTED_VALUE"""),"Frigyes, Hidas")</f>
        <v>Frigyes, Hidas</v>
      </c>
      <c r="B2810" s="2">
        <f ca="1">IFERROR(__xludf.DUMMYFUNCTION("""COMPUTED_VALUE"""),1)</f>
        <v>1</v>
      </c>
      <c r="C2810" s="7">
        <f ca="1">IFERROR(__xludf.DUMMYFUNCTION("""COMPUTED_VALUE"""),1)</f>
        <v>1</v>
      </c>
      <c r="D2810" s="8">
        <f ca="1">IFERROR(__xludf.DUMMYFUNCTION("""COMPUTED_VALUE"""),5)</f>
        <v>5</v>
      </c>
      <c r="E2810" s="2">
        <f ca="1">IFERROR(__xludf.DUMMYFUNCTION("""COMPUTED_VALUE"""),2)</f>
        <v>2</v>
      </c>
    </row>
    <row r="2811" spans="1:5" ht="13">
      <c r="A2811" s="2" t="str">
        <f ca="1">IFERROR(__xludf.DUMMYFUNCTION("""COMPUTED_VALUE"""),"Friml, Rudolf")</f>
        <v>Friml, Rudolf</v>
      </c>
      <c r="B2811" s="2">
        <f ca="1">IFERROR(__xludf.DUMMYFUNCTION("""COMPUTED_VALUE"""),1)</f>
        <v>1</v>
      </c>
      <c r="C2811" s="7">
        <f ca="1">IFERROR(__xludf.DUMMYFUNCTION("""COMPUTED_VALUE"""),1)</f>
        <v>1</v>
      </c>
      <c r="D2811" s="8">
        <f ca="1">IFERROR(__xludf.DUMMYFUNCTION("""COMPUTED_VALUE"""),5)</f>
        <v>5</v>
      </c>
      <c r="E2811" s="2">
        <f ca="1">IFERROR(__xludf.DUMMYFUNCTION("""COMPUTED_VALUE"""),2)</f>
        <v>2</v>
      </c>
    </row>
    <row r="2812" spans="1:5" ht="13">
      <c r="A2812" s="2" t="str">
        <f ca="1">IFERROR(__xludf.DUMMYFUNCTION("""COMPUTED_VALUE"""),"Frischmann, Charles G.")</f>
        <v>Frischmann, Charles G.</v>
      </c>
      <c r="B2812" s="2">
        <f ca="1">IFERROR(__xludf.DUMMYFUNCTION("""COMPUTED_VALUE"""),1)</f>
        <v>1</v>
      </c>
      <c r="C2812" s="2">
        <f ca="1">IFERROR(__xludf.DUMMYFUNCTION("""COMPUTED_VALUE"""),1)</f>
        <v>1</v>
      </c>
      <c r="D2812" s="8">
        <f ca="1">IFERROR(__xludf.DUMMYFUNCTION("""COMPUTED_VALUE"""),1)</f>
        <v>1</v>
      </c>
      <c r="E2812" s="2">
        <f ca="1">IFERROR(__xludf.DUMMYFUNCTION("""COMPUTED_VALUE"""),1)</f>
        <v>1</v>
      </c>
    </row>
    <row r="2813" spans="1:5" ht="13">
      <c r="A2813" s="8" t="str">
        <f ca="1">IFERROR(__xludf.DUMMYFUNCTION("""COMPUTED_VALUE"""),"Fritchie, Wayne")</f>
        <v>Fritchie, Wayne</v>
      </c>
      <c r="B2813" s="3">
        <f ca="1">IFERROR(__xludf.DUMMYFUNCTION("""COMPUTED_VALUE"""),1)</f>
        <v>1</v>
      </c>
      <c r="C2813" s="7">
        <f ca="1">IFERROR(__xludf.DUMMYFUNCTION("""COMPUTED_VALUE"""),1)</f>
        <v>1</v>
      </c>
      <c r="D2813" s="8">
        <f ca="1">IFERROR(__xludf.DUMMYFUNCTION("""COMPUTED_VALUE"""),1)</f>
        <v>1</v>
      </c>
      <c r="E2813" s="2">
        <f ca="1">IFERROR(__xludf.DUMMYFUNCTION("""COMPUTED_VALUE"""),1)</f>
        <v>1</v>
      </c>
    </row>
    <row r="2814" spans="1:5" ht="13">
      <c r="A2814" s="2" t="str">
        <f ca="1">IFERROR(__xludf.DUMMYFUNCTION("""COMPUTED_VALUE"""),"Fritschel, James")</f>
        <v>Fritschel, James</v>
      </c>
      <c r="B2814" s="2">
        <f ca="1">IFERROR(__xludf.DUMMYFUNCTION("""COMPUTED_VALUE"""),1)</f>
        <v>1</v>
      </c>
      <c r="C2814" s="7">
        <f ca="1">IFERROR(__xludf.DUMMYFUNCTION("""COMPUTED_VALUE"""),1)</f>
        <v>1</v>
      </c>
      <c r="D2814" s="8">
        <f ca="1">IFERROR(__xludf.DUMMYFUNCTION("""COMPUTED_VALUE"""),5)</f>
        <v>5</v>
      </c>
      <c r="E2814" s="2">
        <f ca="1">IFERROR(__xludf.DUMMYFUNCTION("""COMPUTED_VALUE"""),2)</f>
        <v>2</v>
      </c>
    </row>
    <row r="2815" spans="1:5" ht="13">
      <c r="A2815" s="2" t="str">
        <f ca="1">IFERROR(__xludf.DUMMYFUNCTION("""COMPUTED_VALUE"""),"Fritz, Gaspard")</f>
        <v>Fritz, Gaspard</v>
      </c>
      <c r="B2815" s="3">
        <f ca="1">IFERROR(__xludf.DUMMYFUNCTION("""COMPUTED_VALUE"""),1)</f>
        <v>1</v>
      </c>
      <c r="C2815" s="7">
        <f ca="1">IFERROR(__xludf.DUMMYFUNCTION("""COMPUTED_VALUE"""),1)</f>
        <v>1</v>
      </c>
      <c r="D2815" s="8">
        <f ca="1">IFERROR(__xludf.DUMMYFUNCTION("""COMPUTED_VALUE"""),5)</f>
        <v>5</v>
      </c>
      <c r="E2815" s="2">
        <f ca="1">IFERROR(__xludf.DUMMYFUNCTION("""COMPUTED_VALUE"""),2)</f>
        <v>2</v>
      </c>
    </row>
    <row r="2816" spans="1:5" ht="13">
      <c r="A2816" s="2" t="str">
        <f ca="1">IFERROR(__xludf.DUMMYFUNCTION("""COMPUTED_VALUE"""),"Fritz, John")</f>
        <v>Fritz, John</v>
      </c>
      <c r="B2816" s="3">
        <f ca="1">IFERROR(__xludf.DUMMYFUNCTION("""COMPUTED_VALUE"""),1)</f>
        <v>1</v>
      </c>
      <c r="C2816" s="7">
        <f ca="1">IFERROR(__xludf.DUMMYFUNCTION("""COMPUTED_VALUE"""),1)</f>
        <v>1</v>
      </c>
      <c r="D2816" s="8">
        <f ca="1">IFERROR(__xludf.DUMMYFUNCTION("""COMPUTED_VALUE"""),1)</f>
        <v>1</v>
      </c>
      <c r="E2816" s="2">
        <f ca="1">IFERROR(__xludf.DUMMYFUNCTION("""COMPUTED_VALUE"""),1)</f>
        <v>1</v>
      </c>
    </row>
    <row r="2817" spans="1:5" ht="13">
      <c r="A2817" s="2" t="str">
        <f ca="1">IFERROR(__xludf.DUMMYFUNCTION("""COMPUTED_VALUE"""),"Fritz, Parker")</f>
        <v>Fritz, Parker</v>
      </c>
      <c r="B2817" s="3">
        <f ca="1">IFERROR(__xludf.DUMMYFUNCTION("""COMPUTED_VALUE"""),1)</f>
        <v>1</v>
      </c>
      <c r="C2817" s="7">
        <f ca="1">IFERROR(__xludf.DUMMYFUNCTION("""COMPUTED_VALUE"""),1)</f>
        <v>1</v>
      </c>
      <c r="D2817" s="8">
        <f ca="1">IFERROR(__xludf.DUMMYFUNCTION("""COMPUTED_VALUE"""),1)</f>
        <v>1</v>
      </c>
      <c r="E2817" s="2">
        <f ca="1">IFERROR(__xludf.DUMMYFUNCTION("""COMPUTED_VALUE"""),1)</f>
        <v>1</v>
      </c>
    </row>
    <row r="2818" spans="1:5" ht="13">
      <c r="A2818" s="2" t="str">
        <f ca="1">IFERROR(__xludf.DUMMYFUNCTION("""COMPUTED_VALUE"""),"Fritz, Tom")</f>
        <v>Fritz, Tom</v>
      </c>
      <c r="B2818" s="3">
        <f ca="1">IFERROR(__xludf.DUMMYFUNCTION("""COMPUTED_VALUE"""),1)</f>
        <v>1</v>
      </c>
      <c r="C2818" s="7">
        <f ca="1">IFERROR(__xludf.DUMMYFUNCTION("""COMPUTED_VALUE"""),1)</f>
        <v>1</v>
      </c>
      <c r="D2818" s="8">
        <f ca="1">IFERROR(__xludf.DUMMYFUNCTION("""COMPUTED_VALUE"""),1)</f>
        <v>1</v>
      </c>
      <c r="E2818" s="2">
        <f ca="1">IFERROR(__xludf.DUMMYFUNCTION("""COMPUTED_VALUE"""),1)</f>
        <v>1</v>
      </c>
    </row>
    <row r="2819" spans="1:5" ht="13">
      <c r="A2819" s="2" t="str">
        <f ca="1">IFERROR(__xludf.DUMMYFUNCTION("""COMPUTED_VALUE"""),"Fritze, Greg")</f>
        <v>Fritze, Greg</v>
      </c>
      <c r="B2819" s="2">
        <f ca="1">IFERROR(__xludf.DUMMYFUNCTION("""COMPUTED_VALUE"""),1)</f>
        <v>1</v>
      </c>
      <c r="C2819" s="7">
        <f ca="1">IFERROR(__xludf.DUMMYFUNCTION("""COMPUTED_VALUE"""),1)</f>
        <v>1</v>
      </c>
      <c r="D2819" s="8">
        <f ca="1">IFERROR(__xludf.DUMMYFUNCTION("""COMPUTED_VALUE"""),1)</f>
        <v>1</v>
      </c>
      <c r="E2819" s="2">
        <f ca="1">IFERROR(__xludf.DUMMYFUNCTION("""COMPUTED_VALUE"""),1)</f>
        <v>1</v>
      </c>
    </row>
    <row r="2820" spans="1:5" ht="13">
      <c r="A2820" s="2" t="str">
        <f ca="1">IFERROR(__xludf.DUMMYFUNCTION("""COMPUTED_VALUE"""),"Frizzell, J.D.")</f>
        <v>Frizzell, J.D.</v>
      </c>
      <c r="B2820" s="2">
        <f ca="1">IFERROR(__xludf.DUMMYFUNCTION("""COMPUTED_VALUE"""),1)</f>
        <v>1</v>
      </c>
      <c r="C2820" s="7">
        <f ca="1">IFERROR(__xludf.DUMMYFUNCTION("""COMPUTED_VALUE"""),1)</f>
        <v>1</v>
      </c>
      <c r="D2820" s="8">
        <f ca="1">IFERROR(__xludf.DUMMYFUNCTION("""COMPUTED_VALUE"""),1)</f>
        <v>1</v>
      </c>
      <c r="E2820" s="2">
        <f ca="1">IFERROR(__xludf.DUMMYFUNCTION("""COMPUTED_VALUE"""),1)</f>
        <v>1</v>
      </c>
    </row>
    <row r="2821" spans="1:5" ht="13">
      <c r="A2821" s="8" t="str">
        <f ca="1">IFERROR(__xludf.DUMMYFUNCTION("""COMPUTED_VALUE"""),"Frizzi, Jeff")</f>
        <v>Frizzi, Jeff</v>
      </c>
      <c r="B2821" s="3">
        <f ca="1">IFERROR(__xludf.DUMMYFUNCTION("""COMPUTED_VALUE"""),1)</f>
        <v>1</v>
      </c>
      <c r="C2821" s="7">
        <f ca="1">IFERROR(__xludf.DUMMYFUNCTION("""COMPUTED_VALUE"""),1)</f>
        <v>1</v>
      </c>
      <c r="D2821" s="8">
        <f ca="1">IFERROR(__xludf.DUMMYFUNCTION("""COMPUTED_VALUE"""),1)</f>
        <v>1</v>
      </c>
      <c r="E2821" s="2">
        <f ca="1">IFERROR(__xludf.DUMMYFUNCTION("""COMPUTED_VALUE"""),1)</f>
        <v>1</v>
      </c>
    </row>
    <row r="2822" spans="1:5" ht="13">
      <c r="A2822" s="2" t="str">
        <f ca="1">IFERROR(__xludf.DUMMYFUNCTION("""COMPUTED_VALUE"""),"Frizzi, Jeffrey")</f>
        <v>Frizzi, Jeffrey</v>
      </c>
      <c r="B2822" s="3">
        <f ca="1">IFERROR(__xludf.DUMMYFUNCTION("""COMPUTED_VALUE"""),1)</f>
        <v>1</v>
      </c>
      <c r="C2822" s="7">
        <f ca="1">IFERROR(__xludf.DUMMYFUNCTION("""COMPUTED_VALUE"""),1)</f>
        <v>1</v>
      </c>
      <c r="D2822" s="8">
        <f ca="1">IFERROR(__xludf.DUMMYFUNCTION("""COMPUTED_VALUE"""),1)</f>
        <v>1</v>
      </c>
      <c r="E2822" s="2">
        <f ca="1">IFERROR(__xludf.DUMMYFUNCTION("""COMPUTED_VALUE"""),1)</f>
        <v>1</v>
      </c>
    </row>
    <row r="2823" spans="1:5" ht="13">
      <c r="A2823" s="2" t="str">
        <f ca="1">IFERROR(__xludf.DUMMYFUNCTION("""COMPUTED_VALUE"""),"Froberger, Johann")</f>
        <v>Froberger, Johann</v>
      </c>
      <c r="B2823" s="3">
        <f ca="1">IFERROR(__xludf.DUMMYFUNCTION("""COMPUTED_VALUE"""),1)</f>
        <v>1</v>
      </c>
      <c r="C2823" s="7">
        <f ca="1">IFERROR(__xludf.DUMMYFUNCTION("""COMPUTED_VALUE"""),1)</f>
        <v>1</v>
      </c>
      <c r="D2823" s="8">
        <f ca="1">IFERROR(__xludf.DUMMYFUNCTION("""COMPUTED_VALUE"""),5)</f>
        <v>5</v>
      </c>
      <c r="E2823" s="2">
        <f ca="1">IFERROR(__xludf.DUMMYFUNCTION("""COMPUTED_VALUE"""),2)</f>
        <v>2</v>
      </c>
    </row>
    <row r="2824" spans="1:5" ht="13">
      <c r="A2824" s="2" t="str">
        <f ca="1">IFERROR(__xludf.DUMMYFUNCTION("""COMPUTED_VALUE"""),"Froelich, Kenneth")</f>
        <v>Froelich, Kenneth</v>
      </c>
      <c r="B2824" s="3">
        <f ca="1">IFERROR(__xludf.DUMMYFUNCTION("""COMPUTED_VALUE"""),1)</f>
        <v>1</v>
      </c>
      <c r="C2824" s="7">
        <f ca="1">IFERROR(__xludf.DUMMYFUNCTION("""COMPUTED_VALUE"""),1)</f>
        <v>1</v>
      </c>
      <c r="D2824" s="8">
        <f ca="1">IFERROR(__xludf.DUMMYFUNCTION("""COMPUTED_VALUE"""),1)</f>
        <v>1</v>
      </c>
      <c r="E2824" s="2">
        <f ca="1">IFERROR(__xludf.DUMMYFUNCTION("""COMPUTED_VALUE"""),1)</f>
        <v>1</v>
      </c>
    </row>
    <row r="2825" spans="1:5" ht="13">
      <c r="A2825" s="8" t="str">
        <f ca="1">IFERROR(__xludf.DUMMYFUNCTION("""COMPUTED_VALUE"""),"Frolich, Otto")</f>
        <v>Frolich, Otto</v>
      </c>
      <c r="B2825" s="3">
        <f ca="1">IFERROR(__xludf.DUMMYFUNCTION("""COMPUTED_VALUE"""),1)</f>
        <v>1</v>
      </c>
      <c r="C2825" s="7">
        <f ca="1">IFERROR(__xludf.DUMMYFUNCTION("""COMPUTED_VALUE"""),1)</f>
        <v>1</v>
      </c>
      <c r="D2825" s="8">
        <f ca="1">IFERROR(__xludf.DUMMYFUNCTION("""COMPUTED_VALUE"""),5)</f>
        <v>5</v>
      </c>
      <c r="E2825" s="2">
        <f ca="1">IFERROR(__xludf.DUMMYFUNCTION("""COMPUTED_VALUE"""),2)</f>
        <v>2</v>
      </c>
    </row>
    <row r="2826" spans="1:5" ht="13">
      <c r="A2826" s="2" t="str">
        <f ca="1">IFERROR(__xludf.DUMMYFUNCTION("""COMPUTED_VALUE"""),"Fromm, Herbert")</f>
        <v>Fromm, Herbert</v>
      </c>
      <c r="B2826" s="2">
        <f ca="1">IFERROR(__xludf.DUMMYFUNCTION("""COMPUTED_VALUE"""),1)</f>
        <v>1</v>
      </c>
      <c r="C2826" s="7">
        <f ca="1">IFERROR(__xludf.DUMMYFUNCTION("""COMPUTED_VALUE"""),1)</f>
        <v>1</v>
      </c>
      <c r="D2826" s="8">
        <f ca="1">IFERROR(__xludf.DUMMYFUNCTION("""COMPUTED_VALUE"""),5)</f>
        <v>5</v>
      </c>
      <c r="E2826" s="2">
        <f ca="1">IFERROR(__xludf.DUMMYFUNCTION("""COMPUTED_VALUE"""),2)</f>
        <v>2</v>
      </c>
    </row>
    <row r="2827" spans="1:5" ht="13">
      <c r="A2827" s="2" t="str">
        <f ca="1">IFERROR(__xludf.DUMMYFUNCTION("""COMPUTED_VALUE"""),"Fröst, Martin")</f>
        <v>Fröst, Martin</v>
      </c>
      <c r="B2827" s="3">
        <f ca="1">IFERROR(__xludf.DUMMYFUNCTION("""COMPUTED_VALUE"""),1)</f>
        <v>1</v>
      </c>
      <c r="C2827" s="7">
        <f ca="1">IFERROR(__xludf.DUMMYFUNCTION("""COMPUTED_VALUE"""),1)</f>
        <v>1</v>
      </c>
      <c r="D2827" s="8">
        <f ca="1">IFERROR(__xludf.DUMMYFUNCTION("""COMPUTED_VALUE"""),1)</f>
        <v>1</v>
      </c>
      <c r="E2827" s="2">
        <f ca="1">IFERROR(__xludf.DUMMYFUNCTION("""COMPUTED_VALUE"""),1)</f>
        <v>1</v>
      </c>
    </row>
    <row r="2828" spans="1:5" ht="13">
      <c r="A2828" s="8" t="str">
        <f ca="1">IFERROR(__xludf.DUMMYFUNCTION("""COMPUTED_VALUE"""),"Frost, Peter")</f>
        <v>Frost, Peter</v>
      </c>
      <c r="B2828" s="3">
        <f ca="1">IFERROR(__xludf.DUMMYFUNCTION("""COMPUTED_VALUE"""),1)</f>
        <v>1</v>
      </c>
      <c r="C2828" s="7">
        <f ca="1">IFERROR(__xludf.DUMMYFUNCTION("""COMPUTED_VALUE"""),1)</f>
        <v>1</v>
      </c>
      <c r="D2828" s="8">
        <f ca="1">IFERROR(__xludf.DUMMYFUNCTION("""COMPUTED_VALUE"""),1)</f>
        <v>1</v>
      </c>
      <c r="E2828" s="2">
        <f ca="1">IFERROR(__xludf.DUMMYFUNCTION("""COMPUTED_VALUE"""),1)</f>
        <v>1</v>
      </c>
    </row>
    <row r="2829" spans="1:5" ht="13">
      <c r="A2829" s="8" t="str">
        <f ca="1">IFERROR(__xludf.DUMMYFUNCTION("""COMPUTED_VALUE"""),"Frost, Robert")</f>
        <v>Frost, Robert</v>
      </c>
      <c r="B2829" s="3">
        <f ca="1">IFERROR(__xludf.DUMMYFUNCTION("""COMPUTED_VALUE"""),1)</f>
        <v>1</v>
      </c>
      <c r="C2829" s="7">
        <f ca="1">IFERROR(__xludf.DUMMYFUNCTION("""COMPUTED_VALUE"""),1)</f>
        <v>1</v>
      </c>
      <c r="D2829" s="8">
        <f ca="1">IFERROR(__xludf.DUMMYFUNCTION("""COMPUTED_VALUE"""),5)</f>
        <v>5</v>
      </c>
      <c r="E2829" s="2">
        <f ca="1">IFERROR(__xludf.DUMMYFUNCTION("""COMPUTED_VALUE"""),2)</f>
        <v>2</v>
      </c>
    </row>
    <row r="2830" spans="1:5" ht="13">
      <c r="A2830" s="2" t="str">
        <f ca="1">IFERROR(__xludf.DUMMYFUNCTION("""COMPUTED_VALUE"""),"Frost, Robert S.")</f>
        <v>Frost, Robert S.</v>
      </c>
      <c r="B2830" s="2">
        <f ca="1">IFERROR(__xludf.DUMMYFUNCTION("""COMPUTED_VALUE"""),1)</f>
        <v>1</v>
      </c>
      <c r="C2830" s="7">
        <f ca="1">IFERROR(__xludf.DUMMYFUNCTION("""COMPUTED_VALUE"""),1)</f>
        <v>1</v>
      </c>
      <c r="D2830" s="8">
        <f ca="1">IFERROR(__xludf.DUMMYFUNCTION("""COMPUTED_VALUE"""),5)</f>
        <v>5</v>
      </c>
      <c r="E2830" s="2">
        <f ca="1">IFERROR(__xludf.DUMMYFUNCTION("""COMPUTED_VALUE"""),2)</f>
        <v>2</v>
      </c>
    </row>
    <row r="2831" spans="1:5" ht="13">
      <c r="A2831" s="2" t="str">
        <f ca="1">IFERROR(__xludf.DUMMYFUNCTION("""COMPUTED_VALUE"""),"Frost, Robin")</f>
        <v>Frost, Robin</v>
      </c>
      <c r="B2831" s="3">
        <f ca="1">IFERROR(__xludf.DUMMYFUNCTION("""COMPUTED_VALUE"""),1)</f>
        <v>1</v>
      </c>
      <c r="C2831" s="7">
        <f ca="1">IFERROR(__xludf.DUMMYFUNCTION("""COMPUTED_VALUE"""),1)</f>
        <v>1</v>
      </c>
      <c r="D2831" s="8">
        <f ca="1">IFERROR(__xludf.DUMMYFUNCTION("""COMPUTED_VALUE"""),5)</f>
        <v>5</v>
      </c>
      <c r="E2831" s="2">
        <f ca="1">IFERROR(__xludf.DUMMYFUNCTION("""COMPUTED_VALUE"""),2)</f>
        <v>2</v>
      </c>
    </row>
    <row r="2832" spans="1:5" ht="13">
      <c r="A2832" s="2" t="str">
        <f ca="1">IFERROR(__xludf.DUMMYFUNCTION("""COMPUTED_VALUE"""),"Frost, Trevor")</f>
        <v>Frost, Trevor</v>
      </c>
      <c r="B2832" s="3">
        <f ca="1">IFERROR(__xludf.DUMMYFUNCTION("""COMPUTED_VALUE"""),1)</f>
        <v>1</v>
      </c>
      <c r="C2832" s="7">
        <f ca="1">IFERROR(__xludf.DUMMYFUNCTION("""COMPUTED_VALUE"""),1)</f>
        <v>1</v>
      </c>
      <c r="D2832" s="8">
        <f ca="1">IFERROR(__xludf.DUMMYFUNCTION("""COMPUTED_VALUE"""),1)</f>
        <v>1</v>
      </c>
      <c r="E2832" s="2">
        <f ca="1">IFERROR(__xludf.DUMMYFUNCTION("""COMPUTED_VALUE"""),1)</f>
        <v>1</v>
      </c>
    </row>
    <row r="2833" spans="1:5" ht="13">
      <c r="A2833" s="8" t="str">
        <f ca="1">IFERROR(__xludf.DUMMYFUNCTION("""COMPUTED_VALUE"""),"Frucht, Paul")</f>
        <v>Frucht, Paul</v>
      </c>
      <c r="B2833" s="2">
        <f ca="1">IFERROR(__xludf.DUMMYFUNCTION("""COMPUTED_VALUE"""),1)</f>
        <v>1</v>
      </c>
      <c r="C2833" s="2">
        <f ca="1">IFERROR(__xludf.DUMMYFUNCTION("""COMPUTED_VALUE"""),1)</f>
        <v>1</v>
      </c>
      <c r="D2833" s="8">
        <f ca="1">IFERROR(__xludf.DUMMYFUNCTION("""COMPUTED_VALUE"""),1)</f>
        <v>1</v>
      </c>
      <c r="E2833" s="2">
        <f ca="1">IFERROR(__xludf.DUMMYFUNCTION("""COMPUTED_VALUE"""),1)</f>
        <v>1</v>
      </c>
    </row>
    <row r="2834" spans="1:5" ht="13">
      <c r="A2834" s="2" t="str">
        <f ca="1">IFERROR(__xludf.DUMMYFUNCTION("""COMPUTED_VALUE"""),"Frueh, George T.")</f>
        <v>Frueh, George T.</v>
      </c>
      <c r="B2834" s="3">
        <f ca="1">IFERROR(__xludf.DUMMYFUNCTION("""COMPUTED_VALUE"""),1)</f>
        <v>1</v>
      </c>
      <c r="C2834" s="7">
        <f ca="1">IFERROR(__xludf.DUMMYFUNCTION("""COMPUTED_VALUE"""),1)</f>
        <v>1</v>
      </c>
      <c r="D2834" s="8">
        <f ca="1">IFERROR(__xludf.DUMMYFUNCTION("""COMPUTED_VALUE"""),1)</f>
        <v>1</v>
      </c>
      <c r="E2834" s="2">
        <f ca="1">IFERROR(__xludf.DUMMYFUNCTION("""COMPUTED_VALUE"""),1)</f>
        <v>1</v>
      </c>
    </row>
    <row r="2835" spans="1:5" ht="13">
      <c r="A2835" s="2" t="str">
        <f ca="1">IFERROR(__xludf.DUMMYFUNCTION("""COMPUTED_VALUE"""),"Fry, Cody")</f>
        <v>Fry, Cody</v>
      </c>
      <c r="B2835" s="2">
        <f ca="1">IFERROR(__xludf.DUMMYFUNCTION("""COMPUTED_VALUE"""),1)</f>
        <v>1</v>
      </c>
      <c r="C2835" s="2">
        <f ca="1">IFERROR(__xludf.DUMMYFUNCTION("""COMPUTED_VALUE"""),1)</f>
        <v>1</v>
      </c>
      <c r="D2835" s="8">
        <f ca="1">IFERROR(__xludf.DUMMYFUNCTION("""COMPUTED_VALUE"""),1)</f>
        <v>1</v>
      </c>
      <c r="E2835" s="2">
        <f ca="1">IFERROR(__xludf.DUMMYFUNCTION("""COMPUTED_VALUE"""),1)</f>
        <v>1</v>
      </c>
    </row>
    <row r="2836" spans="1:5" ht="13">
      <c r="A2836" s="2" t="str">
        <f ca="1">IFERROR(__xludf.DUMMYFUNCTION("""COMPUTED_VALUE"""),"Fry, Gary")</f>
        <v>Fry, Gary</v>
      </c>
      <c r="B2836" s="3">
        <f ca="1">IFERROR(__xludf.DUMMYFUNCTION("""COMPUTED_VALUE"""),1)</f>
        <v>1</v>
      </c>
      <c r="C2836" s="7">
        <f ca="1">IFERROR(__xludf.DUMMYFUNCTION("""COMPUTED_VALUE"""),1)</f>
        <v>1</v>
      </c>
      <c r="D2836" s="8">
        <f ca="1">IFERROR(__xludf.DUMMYFUNCTION("""COMPUTED_VALUE"""),1)</f>
        <v>1</v>
      </c>
      <c r="E2836" s="2">
        <f ca="1">IFERROR(__xludf.DUMMYFUNCTION("""COMPUTED_VALUE"""),1)</f>
        <v>1</v>
      </c>
    </row>
    <row r="2837" spans="1:5" ht="13">
      <c r="A2837" s="2" t="str">
        <f ca="1">IFERROR(__xludf.DUMMYFUNCTION("""COMPUTED_VALUE"""),"Fry, Tommy")</f>
        <v>Fry, Tommy</v>
      </c>
      <c r="B2837" s="2">
        <f ca="1">IFERROR(__xludf.DUMMYFUNCTION("""COMPUTED_VALUE"""),1)</f>
        <v>1</v>
      </c>
      <c r="C2837" s="7">
        <f ca="1">IFERROR(__xludf.DUMMYFUNCTION("""COMPUTED_VALUE"""),1)</f>
        <v>1</v>
      </c>
      <c r="D2837" s="8">
        <f ca="1">IFERROR(__xludf.DUMMYFUNCTION("""COMPUTED_VALUE"""),5)</f>
        <v>5</v>
      </c>
      <c r="E2837" s="2">
        <f ca="1">IFERROR(__xludf.DUMMYFUNCTION("""COMPUTED_VALUE"""),2)</f>
        <v>2</v>
      </c>
    </row>
    <row r="2838" spans="1:5" ht="13">
      <c r="A2838" s="2" t="str">
        <f ca="1">IFERROR(__xludf.DUMMYFUNCTION("""COMPUTED_VALUE"""),"Fry, Tommy J.")</f>
        <v>Fry, Tommy J.</v>
      </c>
      <c r="B2838" s="3">
        <f ca="1">IFERROR(__xludf.DUMMYFUNCTION("""COMPUTED_VALUE"""),1)</f>
        <v>1</v>
      </c>
      <c r="C2838" s="7">
        <f ca="1">IFERROR(__xludf.DUMMYFUNCTION("""COMPUTED_VALUE"""),1)</f>
        <v>1</v>
      </c>
      <c r="D2838" s="8">
        <f ca="1">IFERROR(__xludf.DUMMYFUNCTION("""COMPUTED_VALUE"""),1)</f>
        <v>1</v>
      </c>
      <c r="E2838" s="2">
        <f ca="1">IFERROR(__xludf.DUMMYFUNCTION("""COMPUTED_VALUE"""),1)</f>
        <v>1</v>
      </c>
    </row>
    <row r="2839" spans="1:5" ht="13">
      <c r="A2839" s="2" t="str">
        <f ca="1">IFERROR(__xludf.DUMMYFUNCTION("""COMPUTED_VALUE"""),"Fry, William Henry")</f>
        <v>Fry, William Henry</v>
      </c>
      <c r="B2839" s="3">
        <f ca="1">IFERROR(__xludf.DUMMYFUNCTION("""COMPUTED_VALUE"""),1)</f>
        <v>1</v>
      </c>
      <c r="C2839" s="7">
        <f ca="1">IFERROR(__xludf.DUMMYFUNCTION("""COMPUTED_VALUE"""),1)</f>
        <v>1</v>
      </c>
      <c r="D2839" s="8">
        <f ca="1">IFERROR(__xludf.DUMMYFUNCTION("""COMPUTED_VALUE"""),5)</f>
        <v>5</v>
      </c>
      <c r="E2839" s="2">
        <f ca="1">IFERROR(__xludf.DUMMYFUNCTION("""COMPUTED_VALUE"""),2)</f>
        <v>2</v>
      </c>
    </row>
    <row r="2840" spans="1:5" ht="13">
      <c r="A2840" s="2" t="str">
        <f ca="1">IFERROR(__xludf.DUMMYFUNCTION("""COMPUTED_VALUE"""),"Fryklund, Aaron")</f>
        <v>Fryklund, Aaron</v>
      </c>
      <c r="B2840" s="3">
        <f ca="1">IFERROR(__xludf.DUMMYFUNCTION("""COMPUTED_VALUE"""),1)</f>
        <v>1</v>
      </c>
      <c r="C2840" s="7">
        <f ca="1">IFERROR(__xludf.DUMMYFUNCTION("""COMPUTED_VALUE"""),1)</f>
        <v>1</v>
      </c>
      <c r="D2840" s="8">
        <f ca="1">IFERROR(__xludf.DUMMYFUNCTION("""COMPUTED_VALUE"""),1)</f>
        <v>1</v>
      </c>
      <c r="E2840" s="2">
        <f ca="1">IFERROR(__xludf.DUMMYFUNCTION("""COMPUTED_VALUE"""),1)</f>
        <v>1</v>
      </c>
    </row>
    <row r="2841" spans="1:5" ht="13">
      <c r="A2841" s="8" t="str">
        <f ca="1">IFERROR(__xludf.DUMMYFUNCTION("""COMPUTED_VALUE"""),"Fryml, Nathan")</f>
        <v>Fryml, Nathan</v>
      </c>
      <c r="B2841" s="3">
        <f ca="1">IFERROR(__xludf.DUMMYFUNCTION("""COMPUTED_VALUE"""),1)</f>
        <v>1</v>
      </c>
      <c r="C2841" s="7">
        <f ca="1">IFERROR(__xludf.DUMMYFUNCTION("""COMPUTED_VALUE"""),1)</f>
        <v>1</v>
      </c>
      <c r="D2841" s="8">
        <f ca="1">IFERROR(__xludf.DUMMYFUNCTION("""COMPUTED_VALUE"""),1)</f>
        <v>1</v>
      </c>
      <c r="E2841" s="2">
        <f ca="1">IFERROR(__xludf.DUMMYFUNCTION("""COMPUTED_VALUE"""),1)</f>
        <v>1</v>
      </c>
    </row>
    <row r="2842" spans="1:5" ht="13">
      <c r="A2842" s="2" t="str">
        <f ca="1">IFERROR(__xludf.DUMMYFUNCTION("""COMPUTED_VALUE"""),"Fryxell, Anders")</f>
        <v>Fryxell, Anders</v>
      </c>
      <c r="B2842" s="3">
        <f ca="1">IFERROR(__xludf.DUMMYFUNCTION("""COMPUTED_VALUE"""),1)</f>
        <v>1</v>
      </c>
      <c r="C2842" s="7">
        <f ca="1">IFERROR(__xludf.DUMMYFUNCTION("""COMPUTED_VALUE"""),1)</f>
        <v>1</v>
      </c>
      <c r="D2842" s="8">
        <f ca="1">IFERROR(__xludf.DUMMYFUNCTION("""COMPUTED_VALUE"""),5)</f>
        <v>5</v>
      </c>
      <c r="E2842" s="2">
        <f ca="1">IFERROR(__xludf.DUMMYFUNCTION("""COMPUTED_VALUE"""),2)</f>
        <v>2</v>
      </c>
    </row>
    <row r="2843" spans="1:5" ht="13">
      <c r="A2843" s="2" t="str">
        <f ca="1">IFERROR(__xludf.DUMMYFUNCTION("""COMPUTED_VALUE"""),"Fuchs, Kenneth")</f>
        <v>Fuchs, Kenneth</v>
      </c>
      <c r="B2843" s="3">
        <f ca="1">IFERROR(__xludf.DUMMYFUNCTION("""COMPUTED_VALUE"""),1)</f>
        <v>1</v>
      </c>
      <c r="C2843" s="7">
        <f ca="1">IFERROR(__xludf.DUMMYFUNCTION("""COMPUTED_VALUE"""),1)</f>
        <v>1</v>
      </c>
      <c r="D2843" s="8">
        <f ca="1">IFERROR(__xludf.DUMMYFUNCTION("""COMPUTED_VALUE"""),1)</f>
        <v>1</v>
      </c>
      <c r="E2843" s="2">
        <f ca="1">IFERROR(__xludf.DUMMYFUNCTION("""COMPUTED_VALUE"""),1)</f>
        <v>1</v>
      </c>
    </row>
    <row r="2844" spans="1:5" ht="13">
      <c r="A2844" s="2" t="str">
        <f ca="1">IFERROR(__xludf.DUMMYFUNCTION("""COMPUTED_VALUE"""),"Fuchs, Robert")</f>
        <v>Fuchs, Robert</v>
      </c>
      <c r="B2844" s="3">
        <f ca="1">IFERROR(__xludf.DUMMYFUNCTION("""COMPUTED_VALUE"""),1)</f>
        <v>1</v>
      </c>
      <c r="C2844" s="7">
        <f ca="1">IFERROR(__xludf.DUMMYFUNCTION("""COMPUTED_VALUE"""),1)</f>
        <v>1</v>
      </c>
      <c r="D2844" s="8">
        <f ca="1">IFERROR(__xludf.DUMMYFUNCTION("""COMPUTED_VALUE"""),5)</f>
        <v>5</v>
      </c>
      <c r="E2844" s="2">
        <f ca="1">IFERROR(__xludf.DUMMYFUNCTION("""COMPUTED_VALUE"""),2)</f>
        <v>2</v>
      </c>
    </row>
    <row r="2845" spans="1:5" ht="13">
      <c r="A2845" s="2" t="str">
        <f ca="1">IFERROR(__xludf.DUMMYFUNCTION("""COMPUTED_VALUE"""),"Fučik, Julius")</f>
        <v>Fučik, Julius</v>
      </c>
      <c r="B2845" s="3">
        <f ca="1">IFERROR(__xludf.DUMMYFUNCTION("""COMPUTED_VALUE"""),1)</f>
        <v>1</v>
      </c>
      <c r="C2845" s="7">
        <f ca="1">IFERROR(__xludf.DUMMYFUNCTION("""COMPUTED_VALUE"""),1)</f>
        <v>1</v>
      </c>
      <c r="D2845" s="8">
        <f ca="1">IFERROR(__xludf.DUMMYFUNCTION("""COMPUTED_VALUE"""),5)</f>
        <v>5</v>
      </c>
      <c r="E2845" s="2">
        <f ca="1">IFERROR(__xludf.DUMMYFUNCTION("""COMPUTED_VALUE"""),2)</f>
        <v>2</v>
      </c>
    </row>
    <row r="2846" spans="1:5" ht="13">
      <c r="A2846" s="2" t="str">
        <f ca="1">IFERROR(__xludf.DUMMYFUNCTION("""COMPUTED_VALUE"""),"Fuller, Tucker")</f>
        <v>Fuller, Tucker</v>
      </c>
      <c r="B2846" s="3">
        <f ca="1">IFERROR(__xludf.DUMMYFUNCTION("""COMPUTED_VALUE"""),1)</f>
        <v>1</v>
      </c>
      <c r="C2846" s="7">
        <f ca="1">IFERROR(__xludf.DUMMYFUNCTION("""COMPUTED_VALUE"""),1)</f>
        <v>1</v>
      </c>
      <c r="D2846" s="8">
        <f ca="1">IFERROR(__xludf.DUMMYFUNCTION("""COMPUTED_VALUE"""),1)</f>
        <v>1</v>
      </c>
      <c r="E2846" s="2">
        <f ca="1">IFERROR(__xludf.DUMMYFUNCTION("""COMPUTED_VALUE"""),1)</f>
        <v>1</v>
      </c>
    </row>
    <row r="2847" spans="1:5" ht="13">
      <c r="A2847" s="8" t="str">
        <f ca="1">IFERROR(__xludf.DUMMYFUNCTION("""COMPUTED_VALUE"""),"Fullman, Daniel")</f>
        <v>Fullman, Daniel</v>
      </c>
      <c r="B2847" s="3">
        <f ca="1">IFERROR(__xludf.DUMMYFUNCTION("""COMPUTED_VALUE"""),1)</f>
        <v>1</v>
      </c>
      <c r="C2847" s="7">
        <f ca="1">IFERROR(__xludf.DUMMYFUNCTION("""COMPUTED_VALUE"""),1)</f>
        <v>1</v>
      </c>
      <c r="D2847" s="8">
        <f ca="1">IFERROR(__xludf.DUMMYFUNCTION("""COMPUTED_VALUE"""),1)</f>
        <v>1</v>
      </c>
      <c r="E2847" s="2">
        <f ca="1">IFERROR(__xludf.DUMMYFUNCTION("""COMPUTED_VALUE"""),1)</f>
        <v>1</v>
      </c>
    </row>
    <row r="2848" spans="1:5" ht="13">
      <c r="A2848" s="8" t="str">
        <f ca="1">IFERROR(__xludf.DUMMYFUNCTION("""COMPUTED_VALUE"""),"Fulton, James")</f>
        <v>Fulton, James</v>
      </c>
      <c r="B2848" s="3">
        <f ca="1">IFERROR(__xludf.DUMMYFUNCTION("""COMPUTED_VALUE"""),1)</f>
        <v>1</v>
      </c>
      <c r="C2848" s="7">
        <f ca="1">IFERROR(__xludf.DUMMYFUNCTION("""COMPUTED_VALUE"""),1)</f>
        <v>1</v>
      </c>
      <c r="D2848" s="8">
        <f ca="1">IFERROR(__xludf.DUMMYFUNCTION("""COMPUTED_VALUE"""),5)</f>
        <v>5</v>
      </c>
      <c r="E2848" s="2">
        <f ca="1">IFERROR(__xludf.DUMMYFUNCTION("""COMPUTED_VALUE"""),2)</f>
        <v>2</v>
      </c>
    </row>
    <row r="2849" spans="1:5" ht="13">
      <c r="A2849" s="2" t="str">
        <f ca="1">IFERROR(__xludf.DUMMYFUNCTION("""COMPUTED_VALUE"""),"Fulton, John")</f>
        <v>Fulton, John</v>
      </c>
      <c r="B2849" s="3">
        <f ca="1">IFERROR(__xludf.DUMMYFUNCTION("""COMPUTED_VALUE"""),1)</f>
        <v>1</v>
      </c>
      <c r="C2849" s="7">
        <f ca="1">IFERROR(__xludf.DUMMYFUNCTION("""COMPUTED_VALUE"""),1)</f>
        <v>1</v>
      </c>
      <c r="D2849" s="8">
        <f ca="1">IFERROR(__xludf.DUMMYFUNCTION("""COMPUTED_VALUE"""),1)</f>
        <v>1</v>
      </c>
      <c r="E2849" s="2">
        <f ca="1">IFERROR(__xludf.DUMMYFUNCTION("""COMPUTED_VALUE"""),1)</f>
        <v>1</v>
      </c>
    </row>
    <row r="2850" spans="1:5" ht="13">
      <c r="A2850" s="2" t="str">
        <f ca="1">IFERROR(__xludf.DUMMYFUNCTION("""COMPUTED_VALUE"""),"Fulton, Kenneth")</f>
        <v>Fulton, Kenneth</v>
      </c>
      <c r="B2850" s="2">
        <f ca="1">IFERROR(__xludf.DUMMYFUNCTION("""COMPUTED_VALUE"""),1)</f>
        <v>1</v>
      </c>
      <c r="C2850" s="2">
        <f ca="1">IFERROR(__xludf.DUMMYFUNCTION("""COMPUTED_VALUE"""),1)</f>
        <v>1</v>
      </c>
      <c r="D2850" s="8">
        <f ca="1">IFERROR(__xludf.DUMMYFUNCTION("""COMPUTED_VALUE"""),5)</f>
        <v>5</v>
      </c>
      <c r="E2850" s="2">
        <f ca="1">IFERROR(__xludf.DUMMYFUNCTION("""COMPUTED_VALUE"""),2)</f>
        <v>2</v>
      </c>
    </row>
    <row r="2851" spans="1:5" ht="13">
      <c r="A2851" s="2" t="str">
        <f ca="1">IFERROR(__xludf.DUMMYFUNCTION("""COMPUTED_VALUE"""),"Fulton, Kristopher")</f>
        <v>Fulton, Kristopher</v>
      </c>
      <c r="B2851" s="3">
        <f ca="1">IFERROR(__xludf.DUMMYFUNCTION("""COMPUTED_VALUE"""),1)</f>
        <v>1</v>
      </c>
      <c r="C2851" s="7">
        <f ca="1">IFERROR(__xludf.DUMMYFUNCTION("""COMPUTED_VALUE"""),1)</f>
        <v>1</v>
      </c>
      <c r="D2851" s="8">
        <f ca="1">IFERROR(__xludf.DUMMYFUNCTION("""COMPUTED_VALUE"""),1)</f>
        <v>1</v>
      </c>
      <c r="E2851" s="2">
        <f ca="1">IFERROR(__xludf.DUMMYFUNCTION("""COMPUTED_VALUE"""),1)</f>
        <v>1</v>
      </c>
    </row>
    <row r="2852" spans="1:5" ht="13">
      <c r="A2852" s="2" t="str">
        <f ca="1">IFERROR(__xludf.DUMMYFUNCTION("""COMPUTED_VALUE"""),"Funk, Eric")</f>
        <v>Funk, Eric</v>
      </c>
      <c r="B2852" s="3">
        <f ca="1">IFERROR(__xludf.DUMMYFUNCTION("""COMPUTED_VALUE"""),1)</f>
        <v>1</v>
      </c>
      <c r="C2852" s="7">
        <f ca="1">IFERROR(__xludf.DUMMYFUNCTION("""COMPUTED_VALUE"""),1)</f>
        <v>1</v>
      </c>
      <c r="D2852" s="8">
        <f ca="1">IFERROR(__xludf.DUMMYFUNCTION("""COMPUTED_VALUE"""),1)</f>
        <v>1</v>
      </c>
      <c r="E2852" s="2">
        <f ca="1">IFERROR(__xludf.DUMMYFUNCTION("""COMPUTED_VALUE"""),1)</f>
        <v>1</v>
      </c>
    </row>
    <row r="2853" spans="1:5" ht="13">
      <c r="A2853" s="2" t="str">
        <f ca="1">IFERROR(__xludf.DUMMYFUNCTION("""COMPUTED_VALUE"""),"Funk, Jeff")</f>
        <v>Funk, Jeff</v>
      </c>
      <c r="B2853" s="3">
        <f ca="1">IFERROR(__xludf.DUMMYFUNCTION("""COMPUTED_VALUE"""),1)</f>
        <v>1</v>
      </c>
      <c r="C2853" s="7">
        <f ca="1">IFERROR(__xludf.DUMMYFUNCTION("""COMPUTED_VALUE"""),1)</f>
        <v>1</v>
      </c>
      <c r="D2853" s="8">
        <f ca="1">IFERROR(__xludf.DUMMYFUNCTION("""COMPUTED_VALUE"""),1)</f>
        <v>1</v>
      </c>
      <c r="E2853" s="2">
        <f ca="1">IFERROR(__xludf.DUMMYFUNCTION("""COMPUTED_VALUE"""),1)</f>
        <v>1</v>
      </c>
    </row>
    <row r="2854" spans="1:5" ht="13">
      <c r="A2854" s="2" t="str">
        <f ca="1">IFERROR(__xludf.DUMMYFUNCTION("""COMPUTED_VALUE"""),"Furman, James")</f>
        <v>Furman, James</v>
      </c>
      <c r="B2854" s="3">
        <f ca="1">IFERROR(__xludf.DUMMYFUNCTION("""COMPUTED_VALUE"""),1)</f>
        <v>1</v>
      </c>
      <c r="C2854" s="7">
        <f ca="1">IFERROR(__xludf.DUMMYFUNCTION("""COMPUTED_VALUE"""),1)</f>
        <v>1</v>
      </c>
      <c r="D2854" s="8">
        <f ca="1">IFERROR(__xludf.DUMMYFUNCTION("""COMPUTED_VALUE"""),5)</f>
        <v>5</v>
      </c>
      <c r="E2854" s="2">
        <f ca="1">IFERROR(__xludf.DUMMYFUNCTION("""COMPUTED_VALUE"""),2)</f>
        <v>2</v>
      </c>
    </row>
    <row r="2855" spans="1:5" ht="13">
      <c r="A2855" s="8" t="str">
        <f ca="1">IFERROR(__xludf.DUMMYFUNCTION("""COMPUTED_VALUE"""),"Fürst, Georg")</f>
        <v>Fürst, Georg</v>
      </c>
      <c r="B2855" s="3">
        <f ca="1">IFERROR(__xludf.DUMMYFUNCTION("""COMPUTED_VALUE"""),1)</f>
        <v>1</v>
      </c>
      <c r="C2855" s="7">
        <f ca="1">IFERROR(__xludf.DUMMYFUNCTION("""COMPUTED_VALUE"""),1)</f>
        <v>1</v>
      </c>
      <c r="D2855" s="8">
        <f ca="1">IFERROR(__xludf.DUMMYFUNCTION("""COMPUTED_VALUE"""),5)</f>
        <v>5</v>
      </c>
      <c r="E2855" s="2">
        <f ca="1">IFERROR(__xludf.DUMMYFUNCTION("""COMPUTED_VALUE"""),2)</f>
        <v>2</v>
      </c>
    </row>
    <row r="2856" spans="1:5" ht="13">
      <c r="A2856" s="2" t="str">
        <f ca="1">IFERROR(__xludf.DUMMYFUNCTION("""COMPUTED_VALUE"""),"Futterman, Alan")</f>
        <v>Futterman, Alan</v>
      </c>
      <c r="B2856" s="2">
        <f ca="1">IFERROR(__xludf.DUMMYFUNCTION("""COMPUTED_VALUE"""),1)</f>
        <v>1</v>
      </c>
      <c r="C2856" s="2">
        <f ca="1">IFERROR(__xludf.DUMMYFUNCTION("""COMPUTED_VALUE"""),1)</f>
        <v>1</v>
      </c>
      <c r="D2856" s="8">
        <f ca="1">IFERROR(__xludf.DUMMYFUNCTION("""COMPUTED_VALUE"""),1)</f>
        <v>1</v>
      </c>
      <c r="E2856" s="2">
        <f ca="1">IFERROR(__xludf.DUMMYFUNCTION("""COMPUTED_VALUE"""),1)</f>
        <v>1</v>
      </c>
    </row>
    <row r="2857" spans="1:5" ht="13">
      <c r="A2857" s="2" t="str">
        <f ca="1">IFERROR(__xludf.DUMMYFUNCTION("""COMPUTED_VALUE"""),"Fux, J.J.")</f>
        <v>Fux, J.J.</v>
      </c>
      <c r="B2857" s="3">
        <f ca="1">IFERROR(__xludf.DUMMYFUNCTION("""COMPUTED_VALUE"""),1)</f>
        <v>1</v>
      </c>
      <c r="C2857" s="7">
        <f ca="1">IFERROR(__xludf.DUMMYFUNCTION("""COMPUTED_VALUE"""),1)</f>
        <v>1</v>
      </c>
      <c r="D2857" s="8">
        <f ca="1">IFERROR(__xludf.DUMMYFUNCTION("""COMPUTED_VALUE"""),5)</f>
        <v>5</v>
      </c>
      <c r="E2857" s="2">
        <f ca="1">IFERROR(__xludf.DUMMYFUNCTION("""COMPUTED_VALUE"""),2)</f>
        <v>2</v>
      </c>
    </row>
    <row r="2858" spans="1:5" ht="13">
      <c r="A2858" s="2" t="str">
        <f ca="1">IFERROR(__xludf.DUMMYFUNCTION("""COMPUTED_VALUE"""),"Fux, Johann J.")</f>
        <v>Fux, Johann J.</v>
      </c>
      <c r="B2858" s="3">
        <f ca="1">IFERROR(__xludf.DUMMYFUNCTION("""COMPUTED_VALUE"""),1)</f>
        <v>1</v>
      </c>
      <c r="C2858" s="7">
        <f ca="1">IFERROR(__xludf.DUMMYFUNCTION("""COMPUTED_VALUE"""),1)</f>
        <v>1</v>
      </c>
      <c r="D2858" s="8">
        <f ca="1">IFERROR(__xludf.DUMMYFUNCTION("""COMPUTED_VALUE"""),5)</f>
        <v>5</v>
      </c>
      <c r="E2858" s="2">
        <f ca="1">IFERROR(__xludf.DUMMYFUNCTION("""COMPUTED_VALUE"""),2)</f>
        <v>2</v>
      </c>
    </row>
    <row r="2859" spans="1:5" ht="13">
      <c r="A2859" s="2" t="str">
        <f ca="1">IFERROR(__xludf.DUMMYFUNCTION("""COMPUTED_VALUE"""),"Fux, Johann Joseph")</f>
        <v>Fux, Johann Joseph</v>
      </c>
      <c r="B2859" s="2">
        <f ca="1">IFERROR(__xludf.DUMMYFUNCTION("""COMPUTED_VALUE"""),1)</f>
        <v>1</v>
      </c>
      <c r="C2859" s="7">
        <f ca="1">IFERROR(__xludf.DUMMYFUNCTION("""COMPUTED_VALUE"""),1)</f>
        <v>1</v>
      </c>
      <c r="D2859" s="8">
        <f ca="1">IFERROR(__xludf.DUMMYFUNCTION("""COMPUTED_VALUE"""),5)</f>
        <v>5</v>
      </c>
      <c r="E2859" s="2">
        <f ca="1">IFERROR(__xludf.DUMMYFUNCTION("""COMPUTED_VALUE"""),2)</f>
        <v>2</v>
      </c>
    </row>
    <row r="2860" spans="1:5" ht="13">
      <c r="A2860" s="2" t="str">
        <f ca="1">IFERROR(__xludf.DUMMYFUNCTION("""COMPUTED_VALUE"""),"Gabaye, Pierre")</f>
        <v>Gabaye, Pierre</v>
      </c>
      <c r="B2860" s="3">
        <f ca="1">IFERROR(__xludf.DUMMYFUNCTION("""COMPUTED_VALUE"""),1)</f>
        <v>1</v>
      </c>
      <c r="C2860" s="7">
        <f ca="1">IFERROR(__xludf.DUMMYFUNCTION("""COMPUTED_VALUE"""),1)</f>
        <v>1</v>
      </c>
      <c r="D2860" s="8">
        <f ca="1">IFERROR(__xludf.DUMMYFUNCTION("""COMPUTED_VALUE"""),5)</f>
        <v>5</v>
      </c>
      <c r="E2860" s="2">
        <f ca="1">IFERROR(__xludf.DUMMYFUNCTION("""COMPUTED_VALUE"""),2)</f>
        <v>2</v>
      </c>
    </row>
    <row r="2861" spans="1:5" ht="13">
      <c r="A2861" s="2" t="str">
        <f ca="1">IFERROR(__xludf.DUMMYFUNCTION("""COMPUTED_VALUE"""),"Gabbitas, Robert")</f>
        <v>Gabbitas, Robert</v>
      </c>
      <c r="B2861" s="3">
        <f ca="1">IFERROR(__xludf.DUMMYFUNCTION("""COMPUTED_VALUE"""),1)</f>
        <v>1</v>
      </c>
      <c r="C2861" s="7">
        <f ca="1">IFERROR(__xludf.DUMMYFUNCTION("""COMPUTED_VALUE"""),1)</f>
        <v>1</v>
      </c>
      <c r="D2861" s="8">
        <f ca="1">IFERROR(__xludf.DUMMYFUNCTION("""COMPUTED_VALUE"""),1)</f>
        <v>1</v>
      </c>
      <c r="E2861" s="2">
        <f ca="1">IFERROR(__xludf.DUMMYFUNCTION("""COMPUTED_VALUE"""),1)</f>
        <v>1</v>
      </c>
    </row>
    <row r="2862" spans="1:5" ht="13">
      <c r="A2862" s="2" t="str">
        <f ca="1">IFERROR(__xludf.DUMMYFUNCTION("""COMPUTED_VALUE"""),"Gable, Cora (aka John Kinyon)")</f>
        <v>Gable, Cora (aka John Kinyon)</v>
      </c>
      <c r="B2862" s="2">
        <f ca="1">IFERROR(__xludf.DUMMYFUNCTION("""COMPUTED_VALUE"""),1)</f>
        <v>1</v>
      </c>
      <c r="C2862" s="7">
        <f ca="1">IFERROR(__xludf.DUMMYFUNCTION("""COMPUTED_VALUE"""),1)</f>
        <v>1</v>
      </c>
      <c r="D2862" s="8">
        <f ca="1">IFERROR(__xludf.DUMMYFUNCTION("""COMPUTED_VALUE"""),5)</f>
        <v>5</v>
      </c>
      <c r="E2862" s="2">
        <f ca="1">IFERROR(__xludf.DUMMYFUNCTION("""COMPUTED_VALUE"""),2)</f>
        <v>2</v>
      </c>
    </row>
    <row r="2863" spans="1:5" ht="13">
      <c r="A2863" s="2" t="str">
        <f ca="1">IFERROR(__xludf.DUMMYFUNCTION("""COMPUTED_VALUE"""),"Gabriel-Marie, Jean")</f>
        <v>Gabriel-Marie, Jean</v>
      </c>
      <c r="B2863" s="3">
        <f ca="1">IFERROR(__xludf.DUMMYFUNCTION("""COMPUTED_VALUE"""),1)</f>
        <v>1</v>
      </c>
      <c r="C2863" s="7">
        <f ca="1">IFERROR(__xludf.DUMMYFUNCTION("""COMPUTED_VALUE"""),1)</f>
        <v>1</v>
      </c>
      <c r="D2863" s="8">
        <f ca="1">IFERROR(__xludf.DUMMYFUNCTION("""COMPUTED_VALUE"""),5)</f>
        <v>5</v>
      </c>
      <c r="E2863" s="2">
        <f ca="1">IFERROR(__xludf.DUMMYFUNCTION("""COMPUTED_VALUE"""),2)</f>
        <v>2</v>
      </c>
    </row>
    <row r="2864" spans="1:5" ht="13">
      <c r="A2864" s="2" t="str">
        <f ca="1">IFERROR(__xludf.DUMMYFUNCTION("""COMPUTED_VALUE"""),"Gabriel, Charles")</f>
        <v>Gabriel, Charles</v>
      </c>
      <c r="B2864" s="3">
        <f ca="1">IFERROR(__xludf.DUMMYFUNCTION("""COMPUTED_VALUE"""),1)</f>
        <v>1</v>
      </c>
      <c r="C2864" s="7">
        <f ca="1">IFERROR(__xludf.DUMMYFUNCTION("""COMPUTED_VALUE"""),1)</f>
        <v>1</v>
      </c>
      <c r="D2864" s="8">
        <f ca="1">IFERROR(__xludf.DUMMYFUNCTION("""COMPUTED_VALUE"""),5)</f>
        <v>5</v>
      </c>
      <c r="E2864" s="2">
        <f ca="1">IFERROR(__xludf.DUMMYFUNCTION("""COMPUTED_VALUE"""),2)</f>
        <v>2</v>
      </c>
    </row>
    <row r="2865" spans="1:5" ht="13">
      <c r="A2865" s="2" t="str">
        <f ca="1">IFERROR(__xludf.DUMMYFUNCTION("""COMPUTED_VALUE"""),"Gabriel, Charles H")</f>
        <v>Gabriel, Charles H</v>
      </c>
      <c r="B2865" s="3">
        <f ca="1">IFERROR(__xludf.DUMMYFUNCTION("""COMPUTED_VALUE"""),1)</f>
        <v>1</v>
      </c>
      <c r="C2865" s="7">
        <f ca="1">IFERROR(__xludf.DUMMYFUNCTION("""COMPUTED_VALUE"""),1)</f>
        <v>1</v>
      </c>
      <c r="D2865" s="8">
        <f ca="1">IFERROR(__xludf.DUMMYFUNCTION("""COMPUTED_VALUE"""),5)</f>
        <v>5</v>
      </c>
      <c r="E2865" s="2">
        <f ca="1">IFERROR(__xludf.DUMMYFUNCTION("""COMPUTED_VALUE"""),2)</f>
        <v>2</v>
      </c>
    </row>
    <row r="2866" spans="1:5" ht="13">
      <c r="A2866" s="2" t="str">
        <f ca="1">IFERROR(__xludf.DUMMYFUNCTION("""COMPUTED_VALUE"""),"Gabrieli, Andrea")</f>
        <v>Gabrieli, Andrea</v>
      </c>
      <c r="B2866" s="3">
        <f ca="1">IFERROR(__xludf.DUMMYFUNCTION("""COMPUTED_VALUE"""),1)</f>
        <v>1</v>
      </c>
      <c r="C2866" s="7">
        <f ca="1">IFERROR(__xludf.DUMMYFUNCTION("""COMPUTED_VALUE"""),1)</f>
        <v>1</v>
      </c>
      <c r="D2866" s="8">
        <f ca="1">IFERROR(__xludf.DUMMYFUNCTION("""COMPUTED_VALUE"""),5)</f>
        <v>5</v>
      </c>
      <c r="E2866" s="2">
        <f ca="1">IFERROR(__xludf.DUMMYFUNCTION("""COMPUTED_VALUE"""),2)</f>
        <v>2</v>
      </c>
    </row>
    <row r="2867" spans="1:5" ht="13">
      <c r="A2867" s="2" t="str">
        <f ca="1">IFERROR(__xludf.DUMMYFUNCTION("""COMPUTED_VALUE"""),"Gabrieli, Giovanni")</f>
        <v>Gabrieli, Giovanni</v>
      </c>
      <c r="B2867" s="3">
        <f ca="1">IFERROR(__xludf.DUMMYFUNCTION("""COMPUTED_VALUE"""),1)</f>
        <v>1</v>
      </c>
      <c r="C2867" s="7">
        <f ca="1">IFERROR(__xludf.DUMMYFUNCTION("""COMPUTED_VALUE"""),1)</f>
        <v>1</v>
      </c>
      <c r="D2867" s="8">
        <f ca="1">IFERROR(__xludf.DUMMYFUNCTION("""COMPUTED_VALUE"""),5)</f>
        <v>5</v>
      </c>
      <c r="E2867" s="2">
        <f ca="1">IFERROR(__xludf.DUMMYFUNCTION("""COMPUTED_VALUE"""),2)</f>
        <v>2</v>
      </c>
    </row>
    <row r="2868" spans="1:5" ht="13">
      <c r="A2868" s="2" t="str">
        <f ca="1">IFERROR(__xludf.DUMMYFUNCTION("""COMPUTED_VALUE"""),"Gabrielsen, Stephen")</f>
        <v>Gabrielsen, Stephen</v>
      </c>
      <c r="B2868" s="3">
        <f ca="1">IFERROR(__xludf.DUMMYFUNCTION("""COMPUTED_VALUE"""),1)</f>
        <v>1</v>
      </c>
      <c r="C2868" s="7">
        <f ca="1">IFERROR(__xludf.DUMMYFUNCTION("""COMPUTED_VALUE"""),1)</f>
        <v>1</v>
      </c>
      <c r="D2868" s="8">
        <f ca="1">IFERROR(__xludf.DUMMYFUNCTION("""COMPUTED_VALUE"""),5)</f>
        <v>5</v>
      </c>
      <c r="E2868" s="2">
        <f ca="1">IFERROR(__xludf.DUMMYFUNCTION("""COMPUTED_VALUE"""),2)</f>
        <v>2</v>
      </c>
    </row>
    <row r="2869" spans="1:5" ht="13">
      <c r="A2869" s="2" t="str">
        <f ca="1">IFERROR(__xludf.DUMMYFUNCTION("""COMPUTED_VALUE"""),"Gackstatter, Gary")</f>
        <v>Gackstatter, Gary</v>
      </c>
      <c r="B2869" s="3">
        <f ca="1">IFERROR(__xludf.DUMMYFUNCTION("""COMPUTED_VALUE"""),1)</f>
        <v>1</v>
      </c>
      <c r="C2869" s="7">
        <f ca="1">IFERROR(__xludf.DUMMYFUNCTION("""COMPUTED_VALUE"""),1)</f>
        <v>1</v>
      </c>
      <c r="D2869" s="8">
        <f ca="1">IFERROR(__xludf.DUMMYFUNCTION("""COMPUTED_VALUE"""),1)</f>
        <v>1</v>
      </c>
      <c r="E2869" s="2">
        <f ca="1">IFERROR(__xludf.DUMMYFUNCTION("""COMPUTED_VALUE"""),1)</f>
        <v>1</v>
      </c>
    </row>
    <row r="2870" spans="1:5" ht="13">
      <c r="A2870" s="2" t="str">
        <f ca="1">IFERROR(__xludf.DUMMYFUNCTION("""COMPUTED_VALUE"""),"Gade, Jacob")</f>
        <v>Gade, Jacob</v>
      </c>
      <c r="B2870" s="3">
        <f ca="1">IFERROR(__xludf.DUMMYFUNCTION("""COMPUTED_VALUE"""),1)</f>
        <v>1</v>
      </c>
      <c r="C2870" s="7">
        <f ca="1">IFERROR(__xludf.DUMMYFUNCTION("""COMPUTED_VALUE"""),1)</f>
        <v>1</v>
      </c>
      <c r="D2870" s="8">
        <f ca="1">IFERROR(__xludf.DUMMYFUNCTION("""COMPUTED_VALUE"""),5)</f>
        <v>5</v>
      </c>
      <c r="E2870" s="2">
        <f ca="1">IFERROR(__xludf.DUMMYFUNCTION("""COMPUTED_VALUE"""),2)</f>
        <v>2</v>
      </c>
    </row>
    <row r="2871" spans="1:5" ht="13">
      <c r="A2871" s="2" t="str">
        <f ca="1">IFERROR(__xludf.DUMMYFUNCTION("""COMPUTED_VALUE"""),"Gade, Neils W.")</f>
        <v>Gade, Neils W.</v>
      </c>
      <c r="B2871" s="2">
        <f ca="1">IFERROR(__xludf.DUMMYFUNCTION("""COMPUTED_VALUE"""),1)</f>
        <v>1</v>
      </c>
      <c r="C2871" s="7">
        <f ca="1">IFERROR(__xludf.DUMMYFUNCTION("""COMPUTED_VALUE"""),1)</f>
        <v>1</v>
      </c>
      <c r="D2871" s="8">
        <f ca="1">IFERROR(__xludf.DUMMYFUNCTION("""COMPUTED_VALUE"""),5)</f>
        <v>5</v>
      </c>
      <c r="E2871" s="2">
        <f ca="1">IFERROR(__xludf.DUMMYFUNCTION("""COMPUTED_VALUE"""),2)</f>
        <v>2</v>
      </c>
    </row>
    <row r="2872" spans="1:5" ht="13">
      <c r="A2872" s="2" t="str">
        <f ca="1">IFERROR(__xludf.DUMMYFUNCTION("""COMPUTED_VALUE"""),"Gade, Niels")</f>
        <v>Gade, Niels</v>
      </c>
      <c r="B2872" s="2">
        <f ca="1">IFERROR(__xludf.DUMMYFUNCTION("""COMPUTED_VALUE"""),1)</f>
        <v>1</v>
      </c>
      <c r="C2872" s="7">
        <f ca="1">IFERROR(__xludf.DUMMYFUNCTION("""COMPUTED_VALUE"""),1)</f>
        <v>1</v>
      </c>
      <c r="D2872" s="8">
        <f ca="1">IFERROR(__xludf.DUMMYFUNCTION("""COMPUTED_VALUE"""),5)</f>
        <v>5</v>
      </c>
      <c r="E2872" s="2">
        <f ca="1">IFERROR(__xludf.DUMMYFUNCTION("""COMPUTED_VALUE"""),2)</f>
        <v>2</v>
      </c>
    </row>
    <row r="2873" spans="1:5" ht="13">
      <c r="A2873" s="2" t="str">
        <f ca="1">IFERROR(__xludf.DUMMYFUNCTION("""COMPUTED_VALUE"""),"Gade, Niels W.")</f>
        <v>Gade, Niels W.</v>
      </c>
      <c r="B2873" s="2">
        <f ca="1">IFERROR(__xludf.DUMMYFUNCTION("""COMPUTED_VALUE"""),1)</f>
        <v>1</v>
      </c>
      <c r="C2873" s="7">
        <f ca="1">IFERROR(__xludf.DUMMYFUNCTION("""COMPUTED_VALUE"""),1)</f>
        <v>1</v>
      </c>
      <c r="D2873" s="8">
        <f ca="1">IFERROR(__xludf.DUMMYFUNCTION("""COMPUTED_VALUE"""),5)</f>
        <v>5</v>
      </c>
      <c r="E2873" s="2">
        <f ca="1">IFERROR(__xludf.DUMMYFUNCTION("""COMPUTED_VALUE"""),2)</f>
        <v>2</v>
      </c>
    </row>
    <row r="2874" spans="1:5" ht="13">
      <c r="A2874" s="2" t="str">
        <f ca="1">IFERROR(__xludf.DUMMYFUNCTION("""COMPUTED_VALUE"""),"Gade, Niels Wilhelm")</f>
        <v>Gade, Niels Wilhelm</v>
      </c>
      <c r="B2874" s="3">
        <f ca="1">IFERROR(__xludf.DUMMYFUNCTION("""COMPUTED_VALUE"""),1)</f>
        <v>1</v>
      </c>
      <c r="C2874" s="7">
        <f ca="1">IFERROR(__xludf.DUMMYFUNCTION("""COMPUTED_VALUE"""),1)</f>
        <v>1</v>
      </c>
      <c r="D2874" s="8">
        <f ca="1">IFERROR(__xludf.DUMMYFUNCTION("""COMPUTED_VALUE"""),5)</f>
        <v>5</v>
      </c>
      <c r="E2874" s="2">
        <f ca="1">IFERROR(__xludf.DUMMYFUNCTION("""COMPUTED_VALUE"""),2)</f>
        <v>2</v>
      </c>
    </row>
    <row r="2875" spans="1:5" ht="13">
      <c r="A2875" s="2" t="str">
        <f ca="1">IFERROR(__xludf.DUMMYFUNCTION("""COMPUTED_VALUE"""),"Gaims, Ssgt. Parker")</f>
        <v>Gaims, Ssgt. Parker</v>
      </c>
      <c r="B2875" s="3">
        <f ca="1">IFERROR(__xludf.DUMMYFUNCTION("""COMPUTED_VALUE"""),1)</f>
        <v>1</v>
      </c>
      <c r="C2875" s="7">
        <f ca="1">IFERROR(__xludf.DUMMYFUNCTION("""COMPUTED_VALUE"""),1)</f>
        <v>1</v>
      </c>
      <c r="D2875" s="8">
        <f ca="1">IFERROR(__xludf.DUMMYFUNCTION("""COMPUTED_VALUE"""),1)</f>
        <v>1</v>
      </c>
      <c r="E2875" s="2">
        <f ca="1">IFERROR(__xludf.DUMMYFUNCTION("""COMPUTED_VALUE"""),1)</f>
        <v>1</v>
      </c>
    </row>
    <row r="2876" spans="1:5" ht="13">
      <c r="A2876" s="2" t="str">
        <f ca="1">IFERROR(__xludf.DUMMYFUNCTION("""COMPUTED_VALUE"""),"Gaines, David")</f>
        <v>Gaines, David</v>
      </c>
      <c r="B2876" s="3">
        <f ca="1">IFERROR(__xludf.DUMMYFUNCTION("""COMPUTED_VALUE"""),1)</f>
        <v>1</v>
      </c>
      <c r="C2876" s="7">
        <f ca="1">IFERROR(__xludf.DUMMYFUNCTION("""COMPUTED_VALUE"""),1)</f>
        <v>1</v>
      </c>
      <c r="D2876" s="8">
        <f ca="1">IFERROR(__xludf.DUMMYFUNCTION("""COMPUTED_VALUE"""),1)</f>
        <v>1</v>
      </c>
      <c r="E2876" s="2">
        <f ca="1">IFERROR(__xludf.DUMMYFUNCTION("""COMPUTED_VALUE"""),1)</f>
        <v>1</v>
      </c>
    </row>
    <row r="2877" spans="1:5" ht="13">
      <c r="A2877" s="2" t="str">
        <f ca="1">IFERROR(__xludf.DUMMYFUNCTION("""COMPUTED_VALUE"""),"Gainsbourg, Serge")</f>
        <v>Gainsbourg, Serge</v>
      </c>
      <c r="B2877" s="2">
        <f ca="1">IFERROR(__xludf.DUMMYFUNCTION("""COMPUTED_VALUE"""),1)</f>
        <v>1</v>
      </c>
      <c r="C2877" s="7">
        <f ca="1">IFERROR(__xludf.DUMMYFUNCTION("""COMPUTED_VALUE"""),1)</f>
        <v>1</v>
      </c>
      <c r="D2877" s="8">
        <f ca="1">IFERROR(__xludf.DUMMYFUNCTION("""COMPUTED_VALUE"""),5)</f>
        <v>5</v>
      </c>
      <c r="E2877" s="2">
        <f ca="1">IFERROR(__xludf.DUMMYFUNCTION("""COMPUTED_VALUE"""),2)</f>
        <v>2</v>
      </c>
    </row>
    <row r="2878" spans="1:5" ht="13">
      <c r="A2878" s="2" t="str">
        <f ca="1">IFERROR(__xludf.DUMMYFUNCTION("""COMPUTED_VALUE"""),"Gajani, Giovanni Battista")</f>
        <v>Gajani, Giovanni Battista</v>
      </c>
      <c r="B2878" s="3">
        <f ca="1">IFERROR(__xludf.DUMMYFUNCTION("""COMPUTED_VALUE"""),1)</f>
        <v>1</v>
      </c>
      <c r="C2878" s="7">
        <f ca="1">IFERROR(__xludf.DUMMYFUNCTION("""COMPUTED_VALUE"""),1)</f>
        <v>1</v>
      </c>
      <c r="D2878" s="8">
        <f ca="1">IFERROR(__xludf.DUMMYFUNCTION("""COMPUTED_VALUE"""),5)</f>
        <v>5</v>
      </c>
      <c r="E2878" s="2">
        <f ca="1">IFERROR(__xludf.DUMMYFUNCTION("""COMPUTED_VALUE"""),2)</f>
        <v>2</v>
      </c>
    </row>
    <row r="2879" spans="1:5" ht="13">
      <c r="A2879" s="2" t="str">
        <f ca="1">IFERROR(__xludf.DUMMYFUNCTION("""COMPUTED_VALUE"""),"Galante, Brian Edward")</f>
        <v>Galante, Brian Edward</v>
      </c>
      <c r="B2879" s="3">
        <f ca="1">IFERROR(__xludf.DUMMYFUNCTION("""COMPUTED_VALUE"""),1)</f>
        <v>1</v>
      </c>
      <c r="C2879" s="7">
        <f ca="1">IFERROR(__xludf.DUMMYFUNCTION("""COMPUTED_VALUE"""),1)</f>
        <v>1</v>
      </c>
      <c r="D2879" s="8">
        <f ca="1">IFERROR(__xludf.DUMMYFUNCTION("""COMPUTED_VALUE"""),1)</f>
        <v>1</v>
      </c>
      <c r="E2879" s="2">
        <f ca="1">IFERROR(__xludf.DUMMYFUNCTION("""COMPUTED_VALUE"""),1)</f>
        <v>1</v>
      </c>
    </row>
    <row r="2880" spans="1:5" ht="13">
      <c r="A2880" s="2" t="str">
        <f ca="1">IFERROR(__xludf.DUMMYFUNCTION("""COMPUTED_VALUE"""),"Galante, Rossano")</f>
        <v>Galante, Rossano</v>
      </c>
      <c r="B2880" s="3">
        <f ca="1">IFERROR(__xludf.DUMMYFUNCTION("""COMPUTED_VALUE"""),1)</f>
        <v>1</v>
      </c>
      <c r="C2880" s="7">
        <f ca="1">IFERROR(__xludf.DUMMYFUNCTION("""COMPUTED_VALUE"""),1)</f>
        <v>1</v>
      </c>
      <c r="D2880" s="8">
        <f ca="1">IFERROR(__xludf.DUMMYFUNCTION("""COMPUTED_VALUE"""),1)</f>
        <v>1</v>
      </c>
      <c r="E2880" s="2">
        <f ca="1">IFERROR(__xludf.DUMMYFUNCTION("""COMPUTED_VALUE"""),1)</f>
        <v>1</v>
      </c>
    </row>
    <row r="2881" spans="1:5" ht="13">
      <c r="A2881" s="2" t="str">
        <f ca="1">IFERROR(__xludf.DUMMYFUNCTION("""COMPUTED_VALUE"""),"Gale, Jack")</f>
        <v>Gale, Jack</v>
      </c>
      <c r="B2881" s="3">
        <f ca="1">IFERROR(__xludf.DUMMYFUNCTION("""COMPUTED_VALUE"""),1)</f>
        <v>1</v>
      </c>
      <c r="C2881" s="7">
        <f ca="1">IFERROR(__xludf.DUMMYFUNCTION("""COMPUTED_VALUE"""),1)</f>
        <v>1</v>
      </c>
      <c r="D2881" s="8">
        <f ca="1">IFERROR(__xludf.DUMMYFUNCTION("""COMPUTED_VALUE"""),1)</f>
        <v>1</v>
      </c>
      <c r="E2881" s="2">
        <f ca="1">IFERROR(__xludf.DUMMYFUNCTION("""COMPUTED_VALUE"""),1)</f>
        <v>1</v>
      </c>
    </row>
    <row r="2882" spans="1:5" ht="13">
      <c r="A2882" s="8" t="str">
        <f ca="1">IFERROR(__xludf.DUMMYFUNCTION("""COMPUTED_VALUE"""),"Galilei, Vincenzo")</f>
        <v>Galilei, Vincenzo</v>
      </c>
      <c r="B2882" s="3">
        <f ca="1">IFERROR(__xludf.DUMMYFUNCTION("""COMPUTED_VALUE"""),1)</f>
        <v>1</v>
      </c>
      <c r="C2882" s="7">
        <f ca="1">IFERROR(__xludf.DUMMYFUNCTION("""COMPUTED_VALUE"""),1)</f>
        <v>1</v>
      </c>
      <c r="D2882" s="8">
        <f ca="1">IFERROR(__xludf.DUMMYFUNCTION("""COMPUTED_VALUE"""),5)</f>
        <v>5</v>
      </c>
      <c r="E2882" s="2">
        <f ca="1">IFERROR(__xludf.DUMMYFUNCTION("""COMPUTED_VALUE"""),2)</f>
        <v>2</v>
      </c>
    </row>
    <row r="2883" spans="1:5" ht="13">
      <c r="A2883" s="2" t="str">
        <f ca="1">IFERROR(__xludf.DUMMYFUNCTION("""COMPUTED_VALUE"""),"Galime, Frank")</f>
        <v>Galime, Frank</v>
      </c>
      <c r="B2883" s="2">
        <f ca="1">IFERROR(__xludf.DUMMYFUNCTION("""COMPUTED_VALUE"""),1)</f>
        <v>1</v>
      </c>
      <c r="C2883" s="7">
        <f ca="1">IFERROR(__xludf.DUMMYFUNCTION("""COMPUTED_VALUE"""),1)</f>
        <v>1</v>
      </c>
      <c r="D2883" s="8">
        <f ca="1">IFERROR(__xludf.DUMMYFUNCTION("""COMPUTED_VALUE"""),5)</f>
        <v>5</v>
      </c>
      <c r="E2883" s="2">
        <f ca="1">IFERROR(__xludf.DUMMYFUNCTION("""COMPUTED_VALUE"""),2)</f>
        <v>2</v>
      </c>
    </row>
    <row r="2884" spans="1:5" ht="13">
      <c r="A2884" s="2" t="str">
        <f ca="1">IFERROR(__xludf.DUMMYFUNCTION("""COMPUTED_VALUE"""),"Gallagher, Charles")</f>
        <v>Gallagher, Charles</v>
      </c>
      <c r="B2884" s="3">
        <f ca="1">IFERROR(__xludf.DUMMYFUNCTION("""COMPUTED_VALUE"""),1)</f>
        <v>1</v>
      </c>
      <c r="C2884" s="7">
        <f ca="1">IFERROR(__xludf.DUMMYFUNCTION("""COMPUTED_VALUE"""),1)</f>
        <v>1</v>
      </c>
      <c r="D2884" s="8">
        <f ca="1">IFERROR(__xludf.DUMMYFUNCTION("""COMPUTED_VALUE"""),5)</f>
        <v>5</v>
      </c>
      <c r="E2884" s="3">
        <f ca="1">IFERROR(__xludf.DUMMYFUNCTION("""COMPUTED_VALUE"""),2)</f>
        <v>2</v>
      </c>
    </row>
    <row r="2885" spans="1:5" ht="13">
      <c r="A2885" s="2" t="str">
        <f ca="1">IFERROR(__xludf.DUMMYFUNCTION("""COMPUTED_VALUE"""),"Gallagher, Jack")</f>
        <v>Gallagher, Jack</v>
      </c>
      <c r="B2885" s="2">
        <f ca="1">IFERROR(__xludf.DUMMYFUNCTION("""COMPUTED_VALUE"""),1)</f>
        <v>1</v>
      </c>
      <c r="C2885" s="7">
        <f ca="1">IFERROR(__xludf.DUMMYFUNCTION("""COMPUTED_VALUE"""),1)</f>
        <v>1</v>
      </c>
      <c r="D2885" s="8">
        <f ca="1">IFERROR(__xludf.DUMMYFUNCTION("""COMPUTED_VALUE"""),1)</f>
        <v>1</v>
      </c>
      <c r="E2885" s="2">
        <f ca="1">IFERROR(__xludf.DUMMYFUNCTION("""COMPUTED_VALUE"""),1)</f>
        <v>1</v>
      </c>
    </row>
    <row r="2886" spans="1:5" ht="13">
      <c r="A2886" s="2" t="str">
        <f ca="1">IFERROR(__xludf.DUMMYFUNCTION("""COMPUTED_VALUE"""),"Gallagher, Jonah M.")</f>
        <v>Gallagher, Jonah M.</v>
      </c>
      <c r="B2886" s="3">
        <f ca="1">IFERROR(__xludf.DUMMYFUNCTION("""COMPUTED_VALUE"""),1)</f>
        <v>1</v>
      </c>
      <c r="C2886" s="7">
        <f ca="1">IFERROR(__xludf.DUMMYFUNCTION("""COMPUTED_VALUE"""),1)</f>
        <v>1</v>
      </c>
      <c r="D2886" s="8">
        <f ca="1">IFERROR(__xludf.DUMMYFUNCTION("""COMPUTED_VALUE"""),1)</f>
        <v>1</v>
      </c>
      <c r="E2886" s="2">
        <f ca="1">IFERROR(__xludf.DUMMYFUNCTION("""COMPUTED_VALUE"""),1)</f>
        <v>1</v>
      </c>
    </row>
    <row r="2887" spans="1:5" ht="13">
      <c r="A2887" s="2" t="str">
        <f ca="1">IFERROR(__xludf.DUMMYFUNCTION("""COMPUTED_VALUE"""),"Gallehue, Michael")</f>
        <v>Gallehue, Michael</v>
      </c>
      <c r="B2887" s="2">
        <f ca="1">IFERROR(__xludf.DUMMYFUNCTION("""COMPUTED_VALUE"""),1)</f>
        <v>1</v>
      </c>
      <c r="C2887" s="7">
        <f ca="1">IFERROR(__xludf.DUMMYFUNCTION("""COMPUTED_VALUE"""),1)</f>
        <v>1</v>
      </c>
      <c r="D2887" s="8">
        <f ca="1">IFERROR(__xludf.DUMMYFUNCTION("""COMPUTED_VALUE"""),5)</f>
        <v>5</v>
      </c>
      <c r="E2887" s="2">
        <f ca="1">IFERROR(__xludf.DUMMYFUNCTION("""COMPUTED_VALUE"""),2)</f>
        <v>2</v>
      </c>
    </row>
    <row r="2888" spans="1:5" ht="13">
      <c r="A2888" s="2" t="str">
        <f ca="1">IFERROR(__xludf.DUMMYFUNCTION("""COMPUTED_VALUE"""),"Gallehue, Mike")</f>
        <v>Gallehue, Mike</v>
      </c>
      <c r="B2888" s="2">
        <f ca="1">IFERROR(__xludf.DUMMYFUNCTION("""COMPUTED_VALUE"""),1)</f>
        <v>1</v>
      </c>
      <c r="C2888" s="7">
        <f ca="1">IFERROR(__xludf.DUMMYFUNCTION("""COMPUTED_VALUE"""),1)</f>
        <v>1</v>
      </c>
      <c r="D2888" s="8">
        <f ca="1">IFERROR(__xludf.DUMMYFUNCTION("""COMPUTED_VALUE"""),5)</f>
        <v>5</v>
      </c>
      <c r="E2888" s="2">
        <f ca="1">IFERROR(__xludf.DUMMYFUNCTION("""COMPUTED_VALUE"""),2)</f>
        <v>2</v>
      </c>
    </row>
    <row r="2889" spans="1:5" ht="13">
      <c r="A2889" s="2" t="str">
        <f ca="1">IFERROR(__xludf.DUMMYFUNCTION("""COMPUTED_VALUE"""),"Galliard, Johann Ernst")</f>
        <v>Galliard, Johann Ernst</v>
      </c>
      <c r="B2889" s="3">
        <f ca="1">IFERROR(__xludf.DUMMYFUNCTION("""COMPUTED_VALUE"""),1)</f>
        <v>1</v>
      </c>
      <c r="C2889" s="7">
        <f ca="1">IFERROR(__xludf.DUMMYFUNCTION("""COMPUTED_VALUE"""),1)</f>
        <v>1</v>
      </c>
      <c r="D2889" s="8">
        <f ca="1">IFERROR(__xludf.DUMMYFUNCTION("""COMPUTED_VALUE"""),5)</f>
        <v>5</v>
      </c>
      <c r="E2889" s="2">
        <f ca="1">IFERROR(__xludf.DUMMYFUNCTION("""COMPUTED_VALUE"""),2)</f>
        <v>2</v>
      </c>
    </row>
    <row r="2890" spans="1:5" ht="13">
      <c r="A2890" s="8" t="str">
        <f ca="1">IFERROR(__xludf.DUMMYFUNCTION("""COMPUTED_VALUE"""),"Gallo, Domenico")</f>
        <v>Gallo, Domenico</v>
      </c>
      <c r="B2890" s="3">
        <f ca="1">IFERROR(__xludf.DUMMYFUNCTION("""COMPUTED_VALUE"""),1)</f>
        <v>1</v>
      </c>
      <c r="C2890" s="7">
        <f ca="1">IFERROR(__xludf.DUMMYFUNCTION("""COMPUTED_VALUE"""),1)</f>
        <v>1</v>
      </c>
      <c r="D2890" s="8">
        <f ca="1">IFERROR(__xludf.DUMMYFUNCTION("""COMPUTED_VALUE"""),5)</f>
        <v>5</v>
      </c>
      <c r="E2890" s="2">
        <f ca="1">IFERROR(__xludf.DUMMYFUNCTION("""COMPUTED_VALUE"""),2)</f>
        <v>2</v>
      </c>
    </row>
    <row r="2891" spans="1:5" ht="13">
      <c r="A2891" s="2" t="str">
        <f ca="1">IFERROR(__xludf.DUMMYFUNCTION("""COMPUTED_VALUE"""),"Gallo, Franklin")</f>
        <v>Gallo, Franklin</v>
      </c>
      <c r="B2891" s="3">
        <f ca="1">IFERROR(__xludf.DUMMYFUNCTION("""COMPUTED_VALUE"""),1)</f>
        <v>1</v>
      </c>
      <c r="C2891" s="7">
        <f ca="1">IFERROR(__xludf.DUMMYFUNCTION("""COMPUTED_VALUE"""),1)</f>
        <v>1</v>
      </c>
      <c r="D2891" s="8">
        <f ca="1">IFERROR(__xludf.DUMMYFUNCTION("""COMPUTED_VALUE"""),1)</f>
        <v>1</v>
      </c>
      <c r="E2891" s="2">
        <f ca="1">IFERROR(__xludf.DUMMYFUNCTION("""COMPUTED_VALUE"""),1)</f>
        <v>1</v>
      </c>
    </row>
    <row r="2892" spans="1:5" ht="13">
      <c r="A2892" s="8" t="str">
        <f ca="1">IFERROR(__xludf.DUMMYFUNCTION("""COMPUTED_VALUE"""),"Galloway, Aaron")</f>
        <v>Galloway, Aaron</v>
      </c>
      <c r="B2892" s="3">
        <f ca="1">IFERROR(__xludf.DUMMYFUNCTION("""COMPUTED_VALUE"""),1)</f>
        <v>1</v>
      </c>
      <c r="C2892" s="7">
        <f ca="1">IFERROR(__xludf.DUMMYFUNCTION("""COMPUTED_VALUE"""),1)</f>
        <v>1</v>
      </c>
      <c r="D2892" s="8">
        <f ca="1">IFERROR(__xludf.DUMMYFUNCTION("""COMPUTED_VALUE"""),1)</f>
        <v>1</v>
      </c>
      <c r="E2892" s="2">
        <f ca="1">IFERROR(__xludf.DUMMYFUNCTION("""COMPUTED_VALUE"""),1)</f>
        <v>1</v>
      </c>
    </row>
    <row r="2893" spans="1:5" ht="13">
      <c r="A2893" s="8" t="str">
        <f ca="1">IFERROR(__xludf.DUMMYFUNCTION("""COMPUTED_VALUE"""),"Gallus, Jacobus")</f>
        <v>Gallus, Jacobus</v>
      </c>
      <c r="B2893" s="3">
        <f ca="1">IFERROR(__xludf.DUMMYFUNCTION("""COMPUTED_VALUE"""),1)</f>
        <v>1</v>
      </c>
      <c r="C2893" s="7">
        <f ca="1">IFERROR(__xludf.DUMMYFUNCTION("""COMPUTED_VALUE"""),1)</f>
        <v>1</v>
      </c>
      <c r="D2893" s="8">
        <f ca="1">IFERROR(__xludf.DUMMYFUNCTION("""COMPUTED_VALUE"""),5)</f>
        <v>5</v>
      </c>
      <c r="E2893" s="2">
        <f ca="1">IFERROR(__xludf.DUMMYFUNCTION("""COMPUTED_VALUE"""),2)</f>
        <v>2</v>
      </c>
    </row>
    <row r="2894" spans="1:5" ht="13">
      <c r="A2894" s="2" t="str">
        <f ca="1">IFERROR(__xludf.DUMMYFUNCTION("""COMPUTED_VALUE"""),"Galuppi, Baldassare")</f>
        <v>Galuppi, Baldassare</v>
      </c>
      <c r="B2894" s="3">
        <f ca="1">IFERROR(__xludf.DUMMYFUNCTION("""COMPUTED_VALUE"""),1)</f>
        <v>1</v>
      </c>
      <c r="C2894" s="7">
        <f ca="1">IFERROR(__xludf.DUMMYFUNCTION("""COMPUTED_VALUE"""),1)</f>
        <v>1</v>
      </c>
      <c r="D2894" s="8">
        <f ca="1">IFERROR(__xludf.DUMMYFUNCTION("""COMPUTED_VALUE"""),5)</f>
        <v>5</v>
      </c>
      <c r="E2894" s="2">
        <f ca="1">IFERROR(__xludf.DUMMYFUNCTION("""COMPUTED_VALUE"""),2)</f>
        <v>2</v>
      </c>
    </row>
    <row r="2895" spans="1:5" ht="13">
      <c r="A2895" s="2" t="str">
        <f ca="1">IFERROR(__xludf.DUMMYFUNCTION("""COMPUTED_VALUE"""),"Gamba, Seth")</f>
        <v>Gamba, Seth</v>
      </c>
      <c r="B2895" s="3">
        <f ca="1">IFERROR(__xludf.DUMMYFUNCTION("""COMPUTED_VALUE"""),1)</f>
        <v>1</v>
      </c>
      <c r="C2895" s="7">
        <f ca="1">IFERROR(__xludf.DUMMYFUNCTION("""COMPUTED_VALUE"""),1)</f>
        <v>1</v>
      </c>
      <c r="D2895" s="8">
        <f ca="1">IFERROR(__xludf.DUMMYFUNCTION("""COMPUTED_VALUE"""),1)</f>
        <v>1</v>
      </c>
      <c r="E2895" s="2">
        <f ca="1">IFERROR(__xludf.DUMMYFUNCTION("""COMPUTED_VALUE"""),1)</f>
        <v>1</v>
      </c>
    </row>
    <row r="2896" spans="1:5" ht="13">
      <c r="A2896" s="2" t="str">
        <f ca="1">IFERROR(__xludf.DUMMYFUNCTION("""COMPUTED_VALUE"""),"Gandolfi, Michael")</f>
        <v>Gandolfi, Michael</v>
      </c>
      <c r="B2896" s="3">
        <f ca="1">IFERROR(__xludf.DUMMYFUNCTION("""COMPUTED_VALUE"""),1)</f>
        <v>1</v>
      </c>
      <c r="C2896" s="7">
        <f ca="1">IFERROR(__xludf.DUMMYFUNCTION("""COMPUTED_VALUE"""),1)</f>
        <v>1</v>
      </c>
      <c r="D2896" s="8">
        <f ca="1">IFERROR(__xludf.DUMMYFUNCTION("""COMPUTED_VALUE"""),1)</f>
        <v>1</v>
      </c>
      <c r="E2896" s="2">
        <f ca="1">IFERROR(__xludf.DUMMYFUNCTION("""COMPUTED_VALUE"""),1)</f>
        <v>1</v>
      </c>
    </row>
    <row r="2897" spans="1:5" ht="13">
      <c r="A2897" s="2" t="str">
        <f ca="1">IFERROR(__xludf.DUMMYFUNCTION("""COMPUTED_VALUE"""),"Ganne, Louis")</f>
        <v>Ganne, Louis</v>
      </c>
      <c r="B2897" s="3">
        <f ca="1">IFERROR(__xludf.DUMMYFUNCTION("""COMPUTED_VALUE"""),1)</f>
        <v>1</v>
      </c>
      <c r="C2897" s="7">
        <f ca="1">IFERROR(__xludf.DUMMYFUNCTION("""COMPUTED_VALUE"""),1)</f>
        <v>1</v>
      </c>
      <c r="D2897" s="8">
        <f ca="1">IFERROR(__xludf.DUMMYFUNCTION("""COMPUTED_VALUE"""),5)</f>
        <v>5</v>
      </c>
      <c r="E2897" s="2">
        <f ca="1">IFERROR(__xludf.DUMMYFUNCTION("""COMPUTED_VALUE"""),2)</f>
        <v>2</v>
      </c>
    </row>
    <row r="2898" spans="1:5" ht="13">
      <c r="A2898" s="2" t="str">
        <f ca="1">IFERROR(__xludf.DUMMYFUNCTION("""COMPUTED_VALUE"""),"Gannon, Kim / Kent, Walter")</f>
        <v>Gannon, Kim / Kent, Walter</v>
      </c>
      <c r="B2898" s="3">
        <f ca="1">IFERROR(__xludf.DUMMYFUNCTION("""COMPUTED_VALUE"""),1)</f>
        <v>1</v>
      </c>
      <c r="C2898" s="7">
        <f ca="1">IFERROR(__xludf.DUMMYFUNCTION("""COMPUTED_VALUE"""),1)</f>
        <v>1</v>
      </c>
      <c r="D2898" s="8">
        <f ca="1">IFERROR(__xludf.DUMMYFUNCTION("""COMPUTED_VALUE"""),5)</f>
        <v>5</v>
      </c>
      <c r="E2898" s="2">
        <f ca="1">IFERROR(__xludf.DUMMYFUNCTION("""COMPUTED_VALUE"""),2)</f>
        <v>2</v>
      </c>
    </row>
    <row r="2899" spans="1:5" ht="13">
      <c r="A2899" s="2" t="str">
        <f ca="1">IFERROR(__xludf.DUMMYFUNCTION("""COMPUTED_VALUE"""),"Gannon, Lee")</f>
        <v>Gannon, Lee</v>
      </c>
      <c r="B2899" s="3">
        <f ca="1">IFERROR(__xludf.DUMMYFUNCTION("""COMPUTED_VALUE"""),1)</f>
        <v>1</v>
      </c>
      <c r="C2899" s="7">
        <f ca="1">IFERROR(__xludf.DUMMYFUNCTION("""COMPUTED_VALUE"""),1)</f>
        <v>1</v>
      </c>
      <c r="D2899" s="8">
        <f ca="1">IFERROR(__xludf.DUMMYFUNCTION("""COMPUTED_VALUE"""),5)</f>
        <v>5</v>
      </c>
      <c r="E2899" s="2">
        <f ca="1">IFERROR(__xludf.DUMMYFUNCTION("""COMPUTED_VALUE"""),2)</f>
        <v>2</v>
      </c>
    </row>
    <row r="2900" spans="1:5" ht="13">
      <c r="A2900" s="2" t="str">
        <f ca="1">IFERROR(__xludf.DUMMYFUNCTION("""COMPUTED_VALUE"""),"Gantt, William")</f>
        <v>Gantt, William</v>
      </c>
      <c r="B2900" s="2">
        <f ca="1">IFERROR(__xludf.DUMMYFUNCTION("""COMPUTED_VALUE"""),1)</f>
        <v>1</v>
      </c>
      <c r="C2900" s="7">
        <f ca="1">IFERROR(__xludf.DUMMYFUNCTION("""COMPUTED_VALUE"""),1)</f>
        <v>1</v>
      </c>
      <c r="D2900" s="8">
        <f ca="1">IFERROR(__xludf.DUMMYFUNCTION("""COMPUTED_VALUE"""),1)</f>
        <v>1</v>
      </c>
      <c r="E2900" s="2">
        <f ca="1">IFERROR(__xludf.DUMMYFUNCTION("""COMPUTED_VALUE"""),1)</f>
        <v>1</v>
      </c>
    </row>
    <row r="2901" spans="1:5" ht="13">
      <c r="A2901" s="8" t="str">
        <f ca="1">IFERROR(__xludf.DUMMYFUNCTION("""COMPUTED_VALUE"""),"Gaqi, Thoma")</f>
        <v>Gaqi, Thoma</v>
      </c>
      <c r="B2901" s="3">
        <f ca="1">IFERROR(__xludf.DUMMYFUNCTION("""COMPUTED_VALUE"""),1)</f>
        <v>1</v>
      </c>
      <c r="C2901" s="7">
        <f ca="1">IFERROR(__xludf.DUMMYFUNCTION("""COMPUTED_VALUE"""),1)</f>
        <v>1</v>
      </c>
      <c r="D2901" s="8">
        <f ca="1">IFERROR(__xludf.DUMMYFUNCTION("""COMPUTED_VALUE"""),1)</f>
        <v>1</v>
      </c>
      <c r="E2901" s="2">
        <f ca="1">IFERROR(__xludf.DUMMYFUNCTION("""COMPUTED_VALUE"""),1)</f>
        <v>1</v>
      </c>
    </row>
    <row r="2902" spans="1:5" ht="13">
      <c r="A2902" s="2" t="str">
        <f ca="1">IFERROR(__xludf.DUMMYFUNCTION("""COMPUTED_VALUE"""),"Garau, Mariano")</f>
        <v>Garau, Mariano</v>
      </c>
      <c r="B2902" s="3">
        <f ca="1">IFERROR(__xludf.DUMMYFUNCTION("""COMPUTED_VALUE"""),1)</f>
        <v>1</v>
      </c>
      <c r="C2902" s="7">
        <f ca="1">IFERROR(__xludf.DUMMYFUNCTION("""COMPUTED_VALUE"""),1)</f>
        <v>1</v>
      </c>
      <c r="D2902" s="8">
        <f ca="1">IFERROR(__xludf.DUMMYFUNCTION("""COMPUTED_VALUE"""),1)</f>
        <v>1</v>
      </c>
      <c r="E2902" s="2">
        <f ca="1">IFERROR(__xludf.DUMMYFUNCTION("""COMPUTED_VALUE"""),1)</f>
        <v>1</v>
      </c>
    </row>
    <row r="2903" spans="1:5" ht="13">
      <c r="A2903" s="2" t="str">
        <f ca="1">IFERROR(__xludf.DUMMYFUNCTION("""COMPUTED_VALUE"""),"García, José María Lacalle")</f>
        <v>García, José María Lacalle</v>
      </c>
      <c r="B2903" s="2">
        <f ca="1">IFERROR(__xludf.DUMMYFUNCTION("""COMPUTED_VALUE"""),1)</f>
        <v>1</v>
      </c>
      <c r="C2903" s="2">
        <f ca="1">IFERROR(__xludf.DUMMYFUNCTION("""COMPUTED_VALUE"""),1)</f>
        <v>1</v>
      </c>
      <c r="D2903" s="8">
        <f ca="1">IFERROR(__xludf.DUMMYFUNCTION("""COMPUTED_VALUE"""),5)</f>
        <v>5</v>
      </c>
      <c r="E2903" s="2">
        <f ca="1">IFERROR(__xludf.DUMMYFUNCTION("""COMPUTED_VALUE"""),2)</f>
        <v>2</v>
      </c>
    </row>
    <row r="2904" spans="1:5" ht="13">
      <c r="A2904" s="2" t="str">
        <f ca="1">IFERROR(__xludf.DUMMYFUNCTION("""COMPUTED_VALUE"""),"Gardiner, Henry Balfour")</f>
        <v>Gardiner, Henry Balfour</v>
      </c>
      <c r="B2904" s="2">
        <f ca="1">IFERROR(__xludf.DUMMYFUNCTION("""COMPUTED_VALUE"""),1)</f>
        <v>1</v>
      </c>
      <c r="C2904" s="7">
        <f ca="1">IFERROR(__xludf.DUMMYFUNCTION("""COMPUTED_VALUE"""),1)</f>
        <v>1</v>
      </c>
      <c r="D2904" s="8">
        <f ca="1">IFERROR(__xludf.DUMMYFUNCTION("""COMPUTED_VALUE"""),5)</f>
        <v>5</v>
      </c>
      <c r="E2904" s="2">
        <f ca="1">IFERROR(__xludf.DUMMYFUNCTION("""COMPUTED_VALUE"""),2)</f>
        <v>2</v>
      </c>
    </row>
    <row r="2905" spans="1:5" ht="13">
      <c r="A2905" s="2" t="str">
        <f ca="1">IFERROR(__xludf.DUMMYFUNCTION("""COMPUTED_VALUE"""),"Gardner, John")</f>
        <v>Gardner, John</v>
      </c>
      <c r="B2905" s="3">
        <f ca="1">IFERROR(__xludf.DUMMYFUNCTION("""COMPUTED_VALUE"""),1)</f>
        <v>1</v>
      </c>
      <c r="C2905" s="7">
        <f ca="1">IFERROR(__xludf.DUMMYFUNCTION("""COMPUTED_VALUE"""),1)</f>
        <v>1</v>
      </c>
      <c r="D2905" s="8">
        <f ca="1">IFERROR(__xludf.DUMMYFUNCTION("""COMPUTED_VALUE"""),5)</f>
        <v>5</v>
      </c>
      <c r="E2905" s="2">
        <f ca="1">IFERROR(__xludf.DUMMYFUNCTION("""COMPUTED_VALUE"""),2)</f>
        <v>2</v>
      </c>
    </row>
    <row r="2906" spans="1:5" ht="13">
      <c r="A2906" s="2" t="str">
        <f ca="1">IFERROR(__xludf.DUMMYFUNCTION("""COMPUTED_VALUE"""),"Gardner, Maurice")</f>
        <v>Gardner, Maurice</v>
      </c>
      <c r="B2906" s="2">
        <f ca="1">IFERROR(__xludf.DUMMYFUNCTION("""COMPUTED_VALUE"""),1)</f>
        <v>1</v>
      </c>
      <c r="C2906" s="7">
        <f ca="1">IFERROR(__xludf.DUMMYFUNCTION("""COMPUTED_VALUE"""),1)</f>
        <v>1</v>
      </c>
      <c r="D2906" s="8">
        <f ca="1">IFERROR(__xludf.DUMMYFUNCTION("""COMPUTED_VALUE"""),5)</f>
        <v>5</v>
      </c>
      <c r="E2906" s="2">
        <f ca="1">IFERROR(__xludf.DUMMYFUNCTION("""COMPUTED_VALUE"""),2)</f>
        <v>2</v>
      </c>
    </row>
    <row r="2907" spans="1:5" ht="13">
      <c r="A2907" s="8" t="str">
        <f ca="1">IFERROR(__xludf.DUMMYFUNCTION("""COMPUTED_VALUE"""),"Gardner, Rob")</f>
        <v>Gardner, Rob</v>
      </c>
      <c r="B2907" s="3">
        <f ca="1">IFERROR(__xludf.DUMMYFUNCTION("""COMPUTED_VALUE"""),1)</f>
        <v>1</v>
      </c>
      <c r="C2907" s="7">
        <f ca="1">IFERROR(__xludf.DUMMYFUNCTION("""COMPUTED_VALUE"""),1)</f>
        <v>1</v>
      </c>
      <c r="D2907" s="8">
        <f ca="1">IFERROR(__xludf.DUMMYFUNCTION("""COMPUTED_VALUE"""),1)</f>
        <v>1</v>
      </c>
      <c r="E2907" s="2">
        <f ca="1">IFERROR(__xludf.DUMMYFUNCTION("""COMPUTED_VALUE"""),1)</f>
        <v>1</v>
      </c>
    </row>
    <row r="2908" spans="1:5" ht="13">
      <c r="A2908" s="8" t="str">
        <f ca="1">IFERROR(__xludf.DUMMYFUNCTION("""COMPUTED_VALUE"""),"Gardner, Ron")</f>
        <v>Gardner, Ron</v>
      </c>
      <c r="B2908" s="3">
        <f ca="1">IFERROR(__xludf.DUMMYFUNCTION("""COMPUTED_VALUE"""),1)</f>
        <v>1</v>
      </c>
      <c r="C2908" s="7">
        <f ca="1">IFERROR(__xludf.DUMMYFUNCTION("""COMPUTED_VALUE"""),1)</f>
        <v>1</v>
      </c>
      <c r="D2908" s="8">
        <f ca="1">IFERROR(__xludf.DUMMYFUNCTION("""COMPUTED_VALUE"""),1)</f>
        <v>1</v>
      </c>
      <c r="E2908" s="2">
        <f ca="1">IFERROR(__xludf.DUMMYFUNCTION("""COMPUTED_VALUE"""),1)</f>
        <v>1</v>
      </c>
    </row>
    <row r="2909" spans="1:5" ht="13">
      <c r="A2909" s="2" t="str">
        <f ca="1">IFERROR(__xludf.DUMMYFUNCTION("""COMPUTED_VALUE"""),"Garland, Charles")</f>
        <v>Garland, Charles</v>
      </c>
      <c r="B2909" s="2">
        <f ca="1">IFERROR(__xludf.DUMMYFUNCTION("""COMPUTED_VALUE"""),1)</f>
        <v>1</v>
      </c>
      <c r="C2909" s="7">
        <f ca="1">IFERROR(__xludf.DUMMYFUNCTION("""COMPUTED_VALUE"""),1)</f>
        <v>1</v>
      </c>
      <c r="D2909" s="8">
        <f ca="1">IFERROR(__xludf.DUMMYFUNCTION("""COMPUTED_VALUE"""),5)</f>
        <v>5</v>
      </c>
      <c r="E2909" s="2">
        <f ca="1">IFERROR(__xludf.DUMMYFUNCTION("""COMPUTED_VALUE"""),2)</f>
        <v>2</v>
      </c>
    </row>
    <row r="2910" spans="1:5" ht="13">
      <c r="A2910" s="2" t="str">
        <f ca="1">IFERROR(__xludf.DUMMYFUNCTION("""COMPUTED_VALUE"""),"Garlock, Frank")</f>
        <v>Garlock, Frank</v>
      </c>
      <c r="B2910" s="3">
        <f ca="1">IFERROR(__xludf.DUMMYFUNCTION("""COMPUTED_VALUE"""),1)</f>
        <v>1</v>
      </c>
      <c r="C2910" s="7">
        <f ca="1">IFERROR(__xludf.DUMMYFUNCTION("""COMPUTED_VALUE"""),1)</f>
        <v>1</v>
      </c>
      <c r="D2910" s="8">
        <f ca="1">IFERROR(__xludf.DUMMYFUNCTION("""COMPUTED_VALUE"""),1)</f>
        <v>1</v>
      </c>
      <c r="E2910" s="2">
        <f ca="1">IFERROR(__xludf.DUMMYFUNCTION("""COMPUTED_VALUE"""),1)</f>
        <v>1</v>
      </c>
    </row>
    <row r="2911" spans="1:5" ht="13">
      <c r="A2911" s="2" t="str">
        <f ca="1">IFERROR(__xludf.DUMMYFUNCTION("""COMPUTED_VALUE"""),"Garnard, Noah")</f>
        <v>Garnard, Noah</v>
      </c>
      <c r="B2911" s="2">
        <f ca="1">IFERROR(__xludf.DUMMYFUNCTION("""COMPUTED_VALUE"""),1)</f>
        <v>1</v>
      </c>
      <c r="C2911" s="7">
        <f ca="1">IFERROR(__xludf.DUMMYFUNCTION("""COMPUTED_VALUE"""),1)</f>
        <v>1</v>
      </c>
      <c r="D2911" s="8">
        <f ca="1">IFERROR(__xludf.DUMMYFUNCTION("""COMPUTED_VALUE"""),1)</f>
        <v>1</v>
      </c>
      <c r="E2911" s="2">
        <f ca="1">IFERROR(__xludf.DUMMYFUNCTION("""COMPUTED_VALUE"""),1)</f>
        <v>1</v>
      </c>
    </row>
    <row r="2912" spans="1:5" ht="13">
      <c r="A2912" s="2" t="str">
        <f ca="1">IFERROR(__xludf.DUMMYFUNCTION("""COMPUTED_VALUE"""),"Garner, Craig")</f>
        <v>Garner, Craig</v>
      </c>
      <c r="B2912" s="2">
        <f ca="1">IFERROR(__xludf.DUMMYFUNCTION("""COMPUTED_VALUE"""),1)</f>
        <v>1</v>
      </c>
      <c r="C2912" s="2">
        <f ca="1">IFERROR(__xludf.DUMMYFUNCTION("""COMPUTED_VALUE"""),1)</f>
        <v>1</v>
      </c>
      <c r="D2912" s="8">
        <f ca="1">IFERROR(__xludf.DUMMYFUNCTION("""COMPUTED_VALUE"""),1)</f>
        <v>1</v>
      </c>
      <c r="E2912" s="2">
        <f ca="1">IFERROR(__xludf.DUMMYFUNCTION("""COMPUTED_VALUE"""),1)</f>
        <v>1</v>
      </c>
    </row>
    <row r="2913" spans="1:5" ht="13">
      <c r="A2913" s="2" t="str">
        <f ca="1">IFERROR(__xludf.DUMMYFUNCTION("""COMPUTED_VALUE"""),"Garner, David Kirkland")</f>
        <v>Garner, David Kirkland</v>
      </c>
      <c r="B2913" s="3">
        <f ca="1">IFERROR(__xludf.DUMMYFUNCTION("""COMPUTED_VALUE"""),1)</f>
        <v>1</v>
      </c>
      <c r="C2913" s="7">
        <f ca="1">IFERROR(__xludf.DUMMYFUNCTION("""COMPUTED_VALUE"""),1)</f>
        <v>1</v>
      </c>
      <c r="D2913" s="8">
        <f ca="1">IFERROR(__xludf.DUMMYFUNCTION("""COMPUTED_VALUE"""),1)</f>
        <v>1</v>
      </c>
      <c r="E2913" s="2">
        <f ca="1">IFERROR(__xludf.DUMMYFUNCTION("""COMPUTED_VALUE"""),1)</f>
        <v>1</v>
      </c>
    </row>
    <row r="2914" spans="1:5" ht="13">
      <c r="A2914" s="2" t="str">
        <f ca="1">IFERROR(__xludf.DUMMYFUNCTION("""COMPUTED_VALUE"""),"Garner, Gary")</f>
        <v>Garner, Gary</v>
      </c>
      <c r="B2914" s="3">
        <f ca="1">IFERROR(__xludf.DUMMYFUNCTION("""COMPUTED_VALUE"""),1)</f>
        <v>1</v>
      </c>
      <c r="C2914" s="7">
        <f ca="1">IFERROR(__xludf.DUMMYFUNCTION("""COMPUTED_VALUE"""),1)</f>
        <v>1</v>
      </c>
      <c r="D2914" s="8">
        <f ca="1">IFERROR(__xludf.DUMMYFUNCTION("""COMPUTED_VALUE"""),1)</f>
        <v>1</v>
      </c>
      <c r="E2914" s="2">
        <f ca="1">IFERROR(__xludf.DUMMYFUNCTION("""COMPUTED_VALUE"""),1)</f>
        <v>1</v>
      </c>
    </row>
    <row r="2915" spans="1:5" ht="13">
      <c r="A2915" s="2" t="str">
        <f ca="1">IFERROR(__xludf.DUMMYFUNCTION("""COMPUTED_VALUE"""),"Garner, Lucas")</f>
        <v>Garner, Lucas</v>
      </c>
      <c r="B2915" s="3">
        <f ca="1">IFERROR(__xludf.DUMMYFUNCTION("""COMPUTED_VALUE"""),1)</f>
        <v>1</v>
      </c>
      <c r="C2915" s="7">
        <f ca="1">IFERROR(__xludf.DUMMYFUNCTION("""COMPUTED_VALUE"""),1)</f>
        <v>1</v>
      </c>
      <c r="D2915" s="8">
        <f ca="1">IFERROR(__xludf.DUMMYFUNCTION("""COMPUTED_VALUE"""),1)</f>
        <v>1</v>
      </c>
      <c r="E2915" s="2">
        <f ca="1">IFERROR(__xludf.DUMMYFUNCTION("""COMPUTED_VALUE"""),1)</f>
        <v>1</v>
      </c>
    </row>
    <row r="2916" spans="1:5" ht="13">
      <c r="A2916" s="2" t="str">
        <f ca="1">IFERROR(__xludf.DUMMYFUNCTION("""COMPUTED_VALUE"""),"Garofalo, Robert")</f>
        <v>Garofalo, Robert</v>
      </c>
      <c r="B2916" s="3">
        <f ca="1">IFERROR(__xludf.DUMMYFUNCTION("""COMPUTED_VALUE"""),1)</f>
        <v>1</v>
      </c>
      <c r="C2916" s="7">
        <f ca="1">IFERROR(__xludf.DUMMYFUNCTION("""COMPUTED_VALUE"""),1)</f>
        <v>1</v>
      </c>
      <c r="D2916" s="8">
        <f ca="1">IFERROR(__xludf.DUMMYFUNCTION("""COMPUTED_VALUE"""),1)</f>
        <v>1</v>
      </c>
      <c r="E2916" s="2">
        <f ca="1">IFERROR(__xludf.DUMMYFUNCTION("""COMPUTED_VALUE"""),1)</f>
        <v>1</v>
      </c>
    </row>
    <row r="2917" spans="1:5" ht="13">
      <c r="A2917" s="2" t="str">
        <f ca="1">IFERROR(__xludf.DUMMYFUNCTION("""COMPUTED_VALUE"""),"Garofalo, Robert / Whaley, Garwood")</f>
        <v>Garofalo, Robert / Whaley, Garwood</v>
      </c>
      <c r="B2917" s="3">
        <f ca="1">IFERROR(__xludf.DUMMYFUNCTION("""COMPUTED_VALUE"""),1)</f>
        <v>1</v>
      </c>
      <c r="C2917" s="7">
        <f ca="1">IFERROR(__xludf.DUMMYFUNCTION("""COMPUTED_VALUE"""),1)</f>
        <v>1</v>
      </c>
      <c r="D2917" s="8">
        <f ca="1">IFERROR(__xludf.DUMMYFUNCTION("""COMPUTED_VALUE"""),1)</f>
        <v>1</v>
      </c>
      <c r="E2917" s="2">
        <f ca="1">IFERROR(__xludf.DUMMYFUNCTION("""COMPUTED_VALUE"""),1)</f>
        <v>1</v>
      </c>
    </row>
    <row r="2918" spans="1:5" ht="13">
      <c r="A2918" s="8" t="str">
        <f ca="1">IFERROR(__xludf.DUMMYFUNCTION("""COMPUTED_VALUE"""),"Garrett, Keaton")</f>
        <v>Garrett, Keaton</v>
      </c>
      <c r="B2918" s="3">
        <f ca="1">IFERROR(__xludf.DUMMYFUNCTION("""COMPUTED_VALUE"""),1)</f>
        <v>1</v>
      </c>
      <c r="C2918" s="7">
        <f ca="1">IFERROR(__xludf.DUMMYFUNCTION("""COMPUTED_VALUE"""),1)</f>
        <v>1</v>
      </c>
      <c r="D2918" s="8">
        <f ca="1">IFERROR(__xludf.DUMMYFUNCTION("""COMPUTED_VALUE"""),1)</f>
        <v>1</v>
      </c>
      <c r="E2918" s="2">
        <f ca="1">IFERROR(__xludf.DUMMYFUNCTION("""COMPUTED_VALUE"""),1)</f>
        <v>1</v>
      </c>
    </row>
    <row r="2919" spans="1:5" ht="13">
      <c r="A2919" s="2" t="str">
        <f ca="1">IFERROR(__xludf.DUMMYFUNCTION("""COMPUTED_VALUE"""),"Garrido, J. Pérez")</f>
        <v>Garrido, J. Pérez</v>
      </c>
      <c r="B2919" s="3">
        <f ca="1">IFERROR(__xludf.DUMMYFUNCTION("""COMPUTED_VALUE"""),1)</f>
        <v>1</v>
      </c>
      <c r="C2919" s="7">
        <f ca="1">IFERROR(__xludf.DUMMYFUNCTION("""COMPUTED_VALUE"""),1)</f>
        <v>1</v>
      </c>
      <c r="D2919" s="8">
        <f ca="1">IFERROR(__xludf.DUMMYFUNCTION("""COMPUTED_VALUE"""),1)</f>
        <v>1</v>
      </c>
      <c r="E2919" s="2">
        <f ca="1">IFERROR(__xludf.DUMMYFUNCTION("""COMPUTED_VALUE"""),1)</f>
        <v>1</v>
      </c>
    </row>
    <row r="2920" spans="1:5" ht="13">
      <c r="A2920" s="2" t="str">
        <f ca="1">IFERROR(__xludf.DUMMYFUNCTION("""COMPUTED_VALUE"""),"Gartner, Alex")</f>
        <v>Gartner, Alex</v>
      </c>
      <c r="B2920" s="3">
        <f ca="1">IFERROR(__xludf.DUMMYFUNCTION("""COMPUTED_VALUE"""),1)</f>
        <v>1</v>
      </c>
      <c r="C2920" s="7">
        <f ca="1">IFERROR(__xludf.DUMMYFUNCTION("""COMPUTED_VALUE"""),1)</f>
        <v>1</v>
      </c>
      <c r="D2920" s="8">
        <f ca="1">IFERROR(__xludf.DUMMYFUNCTION("""COMPUTED_VALUE"""),1)</f>
        <v>1</v>
      </c>
      <c r="E2920" s="2">
        <f ca="1">IFERROR(__xludf.DUMMYFUNCTION("""COMPUTED_VALUE"""),1)</f>
        <v>1</v>
      </c>
    </row>
    <row r="2921" spans="1:5" ht="13">
      <c r="A2921" s="2" t="str">
        <f ca="1">IFERROR(__xludf.DUMMYFUNCTION("""COMPUTED_VALUE"""),"Gascogne, Mathieu")</f>
        <v>Gascogne, Mathieu</v>
      </c>
      <c r="B2921" s="3">
        <f ca="1">IFERROR(__xludf.DUMMYFUNCTION("""COMPUTED_VALUE"""),1)</f>
        <v>1</v>
      </c>
      <c r="C2921" s="7">
        <f ca="1">IFERROR(__xludf.DUMMYFUNCTION("""COMPUTED_VALUE"""),1)</f>
        <v>1</v>
      </c>
      <c r="D2921" s="8">
        <f ca="1">IFERROR(__xludf.DUMMYFUNCTION("""COMPUTED_VALUE"""),5)</f>
        <v>5</v>
      </c>
      <c r="E2921" s="2">
        <f ca="1">IFERROR(__xludf.DUMMYFUNCTION("""COMPUTED_VALUE"""),2)</f>
        <v>2</v>
      </c>
    </row>
    <row r="2922" spans="1:5" ht="13">
      <c r="A2922" s="2" t="str">
        <f ca="1">IFERROR(__xludf.DUMMYFUNCTION("""COMPUTED_VALUE"""),"Gaskell, Clarence / McHugh, Jimmy / Mills, Irving")</f>
        <v>Gaskell, Clarence / McHugh, Jimmy / Mills, Irving</v>
      </c>
      <c r="B2922" s="2">
        <f ca="1">IFERROR(__xludf.DUMMYFUNCTION("""COMPUTED_VALUE"""),1)</f>
        <v>1</v>
      </c>
      <c r="C2922" s="7">
        <f ca="1">IFERROR(__xludf.DUMMYFUNCTION("""COMPUTED_VALUE"""),1)</f>
        <v>1</v>
      </c>
      <c r="D2922" s="8">
        <f ca="1">IFERROR(__xludf.DUMMYFUNCTION("""COMPUTED_VALUE"""),5)</f>
        <v>5</v>
      </c>
      <c r="E2922" s="2">
        <f ca="1">IFERROR(__xludf.DUMMYFUNCTION("""COMPUTED_VALUE"""),2)</f>
        <v>2</v>
      </c>
    </row>
    <row r="2923" spans="1:5" ht="13">
      <c r="A2923" s="2" t="str">
        <f ca="1">IFERROR(__xludf.DUMMYFUNCTION("""COMPUTED_VALUE"""),"Gaskell, Martin")</f>
        <v>Gaskell, Martin</v>
      </c>
      <c r="B2923" s="2">
        <f ca="1">IFERROR(__xludf.DUMMYFUNCTION("""COMPUTED_VALUE"""),1)</f>
        <v>1</v>
      </c>
      <c r="C2923" s="2">
        <f ca="1">IFERROR(__xludf.DUMMYFUNCTION("""COMPUTED_VALUE"""),1)</f>
        <v>1</v>
      </c>
      <c r="D2923" s="8">
        <f ca="1">IFERROR(__xludf.DUMMYFUNCTION("""COMPUTED_VALUE"""),1)</f>
        <v>1</v>
      </c>
      <c r="E2923" s="2">
        <f ca="1">IFERROR(__xludf.DUMMYFUNCTION("""COMPUTED_VALUE"""),1)</f>
        <v>1</v>
      </c>
    </row>
    <row r="2924" spans="1:5" ht="13">
      <c r="A2924" s="2" t="str">
        <f ca="1">IFERROR(__xludf.DUMMYFUNCTION("""COMPUTED_VALUE"""),"Gaspard, Marvin")</f>
        <v>Gaspard, Marvin</v>
      </c>
      <c r="B2924" s="3">
        <f ca="1">IFERROR(__xludf.DUMMYFUNCTION("""COMPUTED_VALUE"""),1)</f>
        <v>1</v>
      </c>
      <c r="C2924" s="7">
        <f ca="1">IFERROR(__xludf.DUMMYFUNCTION("""COMPUTED_VALUE"""),1)</f>
        <v>1</v>
      </c>
      <c r="D2924" s="8">
        <f ca="1">IFERROR(__xludf.DUMMYFUNCTION("""COMPUTED_VALUE"""),1)</f>
        <v>1</v>
      </c>
      <c r="E2924" s="2">
        <f ca="1">IFERROR(__xludf.DUMMYFUNCTION("""COMPUTED_VALUE"""),1)</f>
        <v>1</v>
      </c>
    </row>
    <row r="2925" spans="1:5" ht="13">
      <c r="A2925" s="8" t="str">
        <f ca="1">IFERROR(__xludf.DUMMYFUNCTION("""COMPUTED_VALUE"""),"Gasparini, Quirino")</f>
        <v>Gasparini, Quirino</v>
      </c>
      <c r="B2925" s="3">
        <f ca="1">IFERROR(__xludf.DUMMYFUNCTION("""COMPUTED_VALUE"""),1)</f>
        <v>1</v>
      </c>
      <c r="C2925" s="7">
        <f ca="1">IFERROR(__xludf.DUMMYFUNCTION("""COMPUTED_VALUE"""),1)</f>
        <v>1</v>
      </c>
      <c r="D2925" s="8">
        <f ca="1">IFERROR(__xludf.DUMMYFUNCTION("""COMPUTED_VALUE"""),5)</f>
        <v>5</v>
      </c>
      <c r="E2925" s="2">
        <f ca="1">IFERROR(__xludf.DUMMYFUNCTION("""COMPUTED_VALUE"""),2)</f>
        <v>2</v>
      </c>
    </row>
    <row r="2926" spans="1:5" ht="13">
      <c r="A2926" s="2" t="str">
        <f ca="1">IFERROR(__xludf.DUMMYFUNCTION("""COMPUTED_VALUE"""),"Gassi, Vince")</f>
        <v>Gassi, Vince</v>
      </c>
      <c r="B2926" s="3">
        <f ca="1">IFERROR(__xludf.DUMMYFUNCTION("""COMPUTED_VALUE"""),1)</f>
        <v>1</v>
      </c>
      <c r="C2926" s="7">
        <f ca="1">IFERROR(__xludf.DUMMYFUNCTION("""COMPUTED_VALUE"""),1)</f>
        <v>1</v>
      </c>
      <c r="D2926" s="8">
        <f ca="1">IFERROR(__xludf.DUMMYFUNCTION("""COMPUTED_VALUE"""),1)</f>
        <v>1</v>
      </c>
      <c r="E2926" s="2">
        <f ca="1">IFERROR(__xludf.DUMMYFUNCTION("""COMPUTED_VALUE"""),1)</f>
        <v>1</v>
      </c>
    </row>
    <row r="2927" spans="1:5" ht="13">
      <c r="A2927" s="8" t="str">
        <f ca="1">IFERROR(__xludf.DUMMYFUNCTION("""COMPUTED_VALUE"""),"Gastoldi, Giovanni")</f>
        <v>Gastoldi, Giovanni</v>
      </c>
      <c r="B2927" s="3">
        <f ca="1">IFERROR(__xludf.DUMMYFUNCTION("""COMPUTED_VALUE"""),1)</f>
        <v>1</v>
      </c>
      <c r="C2927" s="7">
        <f ca="1">IFERROR(__xludf.DUMMYFUNCTION("""COMPUTED_VALUE"""),1)</f>
        <v>1</v>
      </c>
      <c r="D2927" s="8">
        <f ca="1">IFERROR(__xludf.DUMMYFUNCTION("""COMPUTED_VALUE"""),5)</f>
        <v>5</v>
      </c>
      <c r="E2927" s="2">
        <f ca="1">IFERROR(__xludf.DUMMYFUNCTION("""COMPUTED_VALUE"""),2)</f>
        <v>2</v>
      </c>
    </row>
    <row r="2928" spans="1:5" ht="13">
      <c r="A2928" s="2" t="str">
        <f ca="1">IFERROR(__xludf.DUMMYFUNCTION("""COMPUTED_VALUE"""),"Gastoldi, Giovanni / Michaels, Matthew")</f>
        <v>Gastoldi, Giovanni / Michaels, Matthew</v>
      </c>
      <c r="B2928" s="3">
        <f ca="1">IFERROR(__xludf.DUMMYFUNCTION("""COMPUTED_VALUE"""),1)</f>
        <v>1</v>
      </c>
      <c r="C2928" s="7">
        <f ca="1">IFERROR(__xludf.DUMMYFUNCTION("""COMPUTED_VALUE"""),1)</f>
        <v>1</v>
      </c>
      <c r="D2928" s="8">
        <f ca="1">IFERROR(__xludf.DUMMYFUNCTION("""COMPUTED_VALUE"""),5)</f>
        <v>5</v>
      </c>
      <c r="E2928" s="2">
        <f ca="1">IFERROR(__xludf.DUMMYFUNCTION("""COMPUTED_VALUE"""),2)</f>
        <v>2</v>
      </c>
    </row>
    <row r="2929" spans="1:5" ht="13">
      <c r="A2929" s="2" t="str">
        <f ca="1">IFERROR(__xludf.DUMMYFUNCTION("""COMPUTED_VALUE"""),"Gaston, Ed")</f>
        <v>Gaston, Ed</v>
      </c>
      <c r="B2929" s="2">
        <f ca="1">IFERROR(__xludf.DUMMYFUNCTION("""COMPUTED_VALUE"""),1)</f>
        <v>1</v>
      </c>
      <c r="C2929" s="7">
        <f ca="1">IFERROR(__xludf.DUMMYFUNCTION("""COMPUTED_VALUE"""),1)</f>
        <v>1</v>
      </c>
      <c r="D2929" s="8">
        <f ca="1">IFERROR(__xludf.DUMMYFUNCTION("""COMPUTED_VALUE"""),1)</f>
        <v>1</v>
      </c>
      <c r="E2929" s="2">
        <f ca="1">IFERROR(__xludf.DUMMYFUNCTION("""COMPUTED_VALUE"""),1)</f>
        <v>1</v>
      </c>
    </row>
    <row r="2930" spans="1:5" ht="13">
      <c r="A2930" s="2" t="str">
        <f ca="1">IFERROR(__xludf.DUMMYFUNCTION("""COMPUTED_VALUE"""),"Gates, Crawford")</f>
        <v>Gates, Crawford</v>
      </c>
      <c r="B2930" s="3">
        <f ca="1">IFERROR(__xludf.DUMMYFUNCTION("""COMPUTED_VALUE"""),1)</f>
        <v>1</v>
      </c>
      <c r="C2930" s="7">
        <f ca="1">IFERROR(__xludf.DUMMYFUNCTION("""COMPUTED_VALUE"""),1)</f>
        <v>1</v>
      </c>
      <c r="D2930" s="8">
        <f ca="1">IFERROR(__xludf.DUMMYFUNCTION("""COMPUTED_VALUE"""),5)</f>
        <v>5</v>
      </c>
      <c r="E2930" s="2">
        <f ca="1">IFERROR(__xludf.DUMMYFUNCTION("""COMPUTED_VALUE"""),2)</f>
        <v>2</v>
      </c>
    </row>
    <row r="2931" spans="1:5" ht="13">
      <c r="A2931" s="2" t="str">
        <f ca="1">IFERROR(__xludf.DUMMYFUNCTION("""COMPUTED_VALUE"""),"Gates, Everett")</f>
        <v>Gates, Everett</v>
      </c>
      <c r="B2931" s="2">
        <f ca="1">IFERROR(__xludf.DUMMYFUNCTION("""COMPUTED_VALUE"""),1)</f>
        <v>1</v>
      </c>
      <c r="C2931" s="7">
        <f ca="1">IFERROR(__xludf.DUMMYFUNCTION("""COMPUTED_VALUE"""),1)</f>
        <v>1</v>
      </c>
      <c r="D2931" s="8">
        <f ca="1">IFERROR(__xludf.DUMMYFUNCTION("""COMPUTED_VALUE"""),5)</f>
        <v>5</v>
      </c>
      <c r="E2931" s="2">
        <f ca="1">IFERROR(__xludf.DUMMYFUNCTION("""COMPUTED_VALUE"""),2)</f>
        <v>2</v>
      </c>
    </row>
    <row r="2932" spans="1:5" ht="13">
      <c r="A2932" s="2" t="str">
        <f ca="1">IFERROR(__xludf.DUMMYFUNCTION("""COMPUTED_VALUE"""),"Gates, George")</f>
        <v>Gates, George</v>
      </c>
      <c r="B2932" s="3">
        <f ca="1">IFERROR(__xludf.DUMMYFUNCTION("""COMPUTED_VALUE"""),1)</f>
        <v>1</v>
      </c>
      <c r="C2932" s="7">
        <f ca="1">IFERROR(__xludf.DUMMYFUNCTION("""COMPUTED_VALUE"""),1)</f>
        <v>1</v>
      </c>
      <c r="D2932" s="8">
        <f ca="1">IFERROR(__xludf.DUMMYFUNCTION("""COMPUTED_VALUE"""),5)</f>
        <v>5</v>
      </c>
      <c r="E2932" s="2">
        <f ca="1">IFERROR(__xludf.DUMMYFUNCTION("""COMPUTED_VALUE"""),2)</f>
        <v>2</v>
      </c>
    </row>
    <row r="2933" spans="1:5" ht="13">
      <c r="A2933" s="2" t="str">
        <f ca="1">IFERROR(__xludf.DUMMYFUNCTION("""COMPUTED_VALUE"""),"Gates, Keith")</f>
        <v>Gates, Keith</v>
      </c>
      <c r="B2933" s="3">
        <f ca="1">IFERROR(__xludf.DUMMYFUNCTION("""COMPUTED_VALUE"""),1)</f>
        <v>1</v>
      </c>
      <c r="C2933" s="7">
        <f ca="1">IFERROR(__xludf.DUMMYFUNCTION("""COMPUTED_VALUE"""),1)</f>
        <v>1</v>
      </c>
      <c r="D2933" s="8">
        <f ca="1">IFERROR(__xludf.DUMMYFUNCTION("""COMPUTED_VALUE"""),5)</f>
        <v>5</v>
      </c>
      <c r="E2933" s="2">
        <f ca="1">IFERROR(__xludf.DUMMYFUNCTION("""COMPUTED_VALUE"""),2)</f>
        <v>2</v>
      </c>
    </row>
    <row r="2934" spans="1:5" ht="13">
      <c r="A2934" s="2" t="str">
        <f ca="1">IFERROR(__xludf.DUMMYFUNCTION("""COMPUTED_VALUE"""),"Gatlin, Larry")</f>
        <v>Gatlin, Larry</v>
      </c>
      <c r="B2934" s="3">
        <f ca="1">IFERROR(__xludf.DUMMYFUNCTION("""COMPUTED_VALUE"""),1)</f>
        <v>1</v>
      </c>
      <c r="C2934" s="7">
        <f ca="1">IFERROR(__xludf.DUMMYFUNCTION("""COMPUTED_VALUE"""),1)</f>
        <v>1</v>
      </c>
      <c r="D2934" s="8">
        <f ca="1">IFERROR(__xludf.DUMMYFUNCTION("""COMPUTED_VALUE"""),1)</f>
        <v>1</v>
      </c>
      <c r="E2934" s="2">
        <f ca="1">IFERROR(__xludf.DUMMYFUNCTION("""COMPUTED_VALUE"""),1)</f>
        <v>1</v>
      </c>
    </row>
    <row r="2935" spans="1:5" ht="13">
      <c r="A2935" s="2" t="str">
        <f ca="1">IFERROR(__xludf.DUMMYFUNCTION("""COMPUTED_VALUE"""),"Gaubert, Philippe")</f>
        <v>Gaubert, Philippe</v>
      </c>
      <c r="B2935" s="3">
        <f ca="1">IFERROR(__xludf.DUMMYFUNCTION("""COMPUTED_VALUE"""),1)</f>
        <v>1</v>
      </c>
      <c r="C2935" s="7">
        <f ca="1">IFERROR(__xludf.DUMMYFUNCTION("""COMPUTED_VALUE"""),1)</f>
        <v>1</v>
      </c>
      <c r="D2935" s="8">
        <f ca="1">IFERROR(__xludf.DUMMYFUNCTION("""COMPUTED_VALUE"""),5)</f>
        <v>5</v>
      </c>
      <c r="E2935" s="2">
        <f ca="1">IFERROR(__xludf.DUMMYFUNCTION("""COMPUTED_VALUE"""),2)</f>
        <v>2</v>
      </c>
    </row>
    <row r="2936" spans="1:5" ht="13">
      <c r="A2936" s="2" t="str">
        <f ca="1">IFERROR(__xludf.DUMMYFUNCTION("""COMPUTED_VALUE"""),"Gaul, Alfred R.")</f>
        <v>Gaul, Alfred R.</v>
      </c>
      <c r="B2936" s="3">
        <f ca="1">IFERROR(__xludf.DUMMYFUNCTION("""COMPUTED_VALUE"""),1)</f>
        <v>1</v>
      </c>
      <c r="C2936" s="7">
        <f ca="1">IFERROR(__xludf.DUMMYFUNCTION("""COMPUTED_VALUE"""),1)</f>
        <v>1</v>
      </c>
      <c r="D2936" s="8">
        <f ca="1">IFERROR(__xludf.DUMMYFUNCTION("""COMPUTED_VALUE"""),5)</f>
        <v>5</v>
      </c>
      <c r="E2936" s="2">
        <f ca="1">IFERROR(__xludf.DUMMYFUNCTION("""COMPUTED_VALUE"""),2)</f>
        <v>2</v>
      </c>
    </row>
    <row r="2937" spans="1:5" ht="13">
      <c r="A2937" s="2" t="str">
        <f ca="1">IFERROR(__xludf.DUMMYFUNCTION("""COMPUTED_VALUE"""),"Gauntlett, Henry")</f>
        <v>Gauntlett, Henry</v>
      </c>
      <c r="B2937" s="3">
        <f ca="1">IFERROR(__xludf.DUMMYFUNCTION("""COMPUTED_VALUE"""),1)</f>
        <v>1</v>
      </c>
      <c r="C2937" s="7">
        <f ca="1">IFERROR(__xludf.DUMMYFUNCTION("""COMPUTED_VALUE"""),1)</f>
        <v>1</v>
      </c>
      <c r="D2937" s="8">
        <f ca="1">IFERROR(__xludf.DUMMYFUNCTION("""COMPUTED_VALUE"""),5)</f>
        <v>5</v>
      </c>
      <c r="E2937" s="2">
        <f ca="1">IFERROR(__xludf.DUMMYFUNCTION("""COMPUTED_VALUE"""),2)</f>
        <v>2</v>
      </c>
    </row>
    <row r="2938" spans="1:5" ht="13">
      <c r="A2938" s="2" t="str">
        <f ca="1">IFERROR(__xludf.DUMMYFUNCTION("""COMPUTED_VALUE"""),"Gawthrop, Daniel")</f>
        <v>Gawthrop, Daniel</v>
      </c>
      <c r="B2938" s="3">
        <f ca="1">IFERROR(__xludf.DUMMYFUNCTION("""COMPUTED_VALUE"""),1)</f>
        <v>1</v>
      </c>
      <c r="C2938" s="7">
        <f ca="1">IFERROR(__xludf.DUMMYFUNCTION("""COMPUTED_VALUE"""),1)</f>
        <v>1</v>
      </c>
      <c r="D2938" s="8">
        <f ca="1">IFERROR(__xludf.DUMMYFUNCTION("""COMPUTED_VALUE"""),1)</f>
        <v>1</v>
      </c>
      <c r="E2938" s="2">
        <f ca="1">IFERROR(__xludf.DUMMYFUNCTION("""COMPUTED_VALUE"""),1)</f>
        <v>1</v>
      </c>
    </row>
    <row r="2939" spans="1:5" ht="13">
      <c r="A2939" s="8" t="str">
        <f ca="1">IFERROR(__xludf.DUMMYFUNCTION("""COMPUTED_VALUE"""),"Gay, John")</f>
        <v>Gay, John</v>
      </c>
      <c r="B2939" s="3">
        <f ca="1">IFERROR(__xludf.DUMMYFUNCTION("""COMPUTED_VALUE"""),1)</f>
        <v>1</v>
      </c>
      <c r="C2939" s="7">
        <f ca="1">IFERROR(__xludf.DUMMYFUNCTION("""COMPUTED_VALUE"""),1)</f>
        <v>1</v>
      </c>
      <c r="D2939" s="8">
        <f ca="1">IFERROR(__xludf.DUMMYFUNCTION("""COMPUTED_VALUE"""),5)</f>
        <v>5</v>
      </c>
      <c r="E2939" s="2">
        <f ca="1">IFERROR(__xludf.DUMMYFUNCTION("""COMPUTED_VALUE"""),2)</f>
        <v>2</v>
      </c>
    </row>
    <row r="2940" spans="1:5" ht="13">
      <c r="A2940" s="2" t="str">
        <f ca="1">IFERROR(__xludf.DUMMYFUNCTION("""COMPUTED_VALUE"""),"Gay, Kirk")</f>
        <v>Gay, Kirk</v>
      </c>
      <c r="B2940" s="2">
        <f ca="1">IFERROR(__xludf.DUMMYFUNCTION("""COMPUTED_VALUE"""),1)</f>
        <v>1</v>
      </c>
      <c r="C2940" s="7">
        <f ca="1">IFERROR(__xludf.DUMMYFUNCTION("""COMPUTED_VALUE"""),1)</f>
        <v>1</v>
      </c>
      <c r="D2940" s="8">
        <f ca="1">IFERROR(__xludf.DUMMYFUNCTION("""COMPUTED_VALUE"""),1)</f>
        <v>1</v>
      </c>
      <c r="E2940" s="2">
        <f ca="1">IFERROR(__xludf.DUMMYFUNCTION("""COMPUTED_VALUE"""),1)</f>
        <v>1</v>
      </c>
    </row>
    <row r="2941" spans="1:5" ht="13">
      <c r="A2941" s="8" t="str">
        <f ca="1">IFERROR(__xludf.DUMMYFUNCTION("""COMPUTED_VALUE"""),"Gay, Paul Edward")</f>
        <v>Gay, Paul Edward</v>
      </c>
      <c r="B2941" s="3">
        <f ca="1">IFERROR(__xludf.DUMMYFUNCTION("""COMPUTED_VALUE"""),1)</f>
        <v>1</v>
      </c>
      <c r="C2941" s="7">
        <f ca="1">IFERROR(__xludf.DUMMYFUNCTION("""COMPUTED_VALUE"""),1)</f>
        <v>1</v>
      </c>
      <c r="D2941" s="8">
        <f ca="1">IFERROR(__xludf.DUMMYFUNCTION("""COMPUTED_VALUE"""),1)</f>
        <v>1</v>
      </c>
      <c r="E2941" s="2">
        <f ca="1">IFERROR(__xludf.DUMMYFUNCTION("""COMPUTED_VALUE"""),1)</f>
        <v>1</v>
      </c>
    </row>
    <row r="2942" spans="1:5" ht="13">
      <c r="A2942" s="2" t="str">
        <f ca="1">IFERROR(__xludf.DUMMYFUNCTION("""COMPUTED_VALUE"""),"Gaydeski, Michael")</f>
        <v>Gaydeski, Michael</v>
      </c>
      <c r="B2942" s="3">
        <f ca="1">IFERROR(__xludf.DUMMYFUNCTION("""COMPUTED_VALUE"""),1)</f>
        <v>1</v>
      </c>
      <c r="C2942" s="7">
        <f ca="1">IFERROR(__xludf.DUMMYFUNCTION("""COMPUTED_VALUE"""),1)</f>
        <v>1</v>
      </c>
      <c r="D2942" s="8">
        <f ca="1">IFERROR(__xludf.DUMMYFUNCTION("""COMPUTED_VALUE"""),1)</f>
        <v>1</v>
      </c>
      <c r="E2942" s="2">
        <f ca="1">IFERROR(__xludf.DUMMYFUNCTION("""COMPUTED_VALUE"""),1)</f>
        <v>1</v>
      </c>
    </row>
    <row r="2943" spans="1:5" ht="13">
      <c r="A2943" s="2" t="str">
        <f ca="1">IFERROR(__xludf.DUMMYFUNCTION("""COMPUTED_VALUE"""),"Gazlay, Gary")</f>
        <v>Gazlay, Gary</v>
      </c>
      <c r="B2943" s="3">
        <f ca="1">IFERROR(__xludf.DUMMYFUNCTION("""COMPUTED_VALUE"""),1)</f>
        <v>1</v>
      </c>
      <c r="C2943" s="7">
        <f ca="1">IFERROR(__xludf.DUMMYFUNCTION("""COMPUTED_VALUE"""),1)</f>
        <v>1</v>
      </c>
      <c r="D2943" s="8">
        <f ca="1">IFERROR(__xludf.DUMMYFUNCTION("""COMPUTED_VALUE"""),1)</f>
        <v>1</v>
      </c>
      <c r="E2943" s="2">
        <f ca="1">IFERROR(__xludf.DUMMYFUNCTION("""COMPUTED_VALUE"""),1)</f>
        <v>1</v>
      </c>
    </row>
    <row r="2944" spans="1:5" ht="13">
      <c r="A2944" s="2" t="str">
        <f ca="1">IFERROR(__xludf.DUMMYFUNCTION("""COMPUTED_VALUE"""),"Gearhart, Livingston")</f>
        <v>Gearhart, Livingston</v>
      </c>
      <c r="B2944" s="3">
        <f ca="1">IFERROR(__xludf.DUMMYFUNCTION("""COMPUTED_VALUE"""),1)</f>
        <v>1</v>
      </c>
      <c r="C2944" s="7">
        <f ca="1">IFERROR(__xludf.DUMMYFUNCTION("""COMPUTED_VALUE"""),1)</f>
        <v>1</v>
      </c>
      <c r="D2944" s="8">
        <f ca="1">IFERROR(__xludf.DUMMYFUNCTION("""COMPUTED_VALUE"""),5)</f>
        <v>5</v>
      </c>
      <c r="E2944" s="2">
        <f ca="1">IFERROR(__xludf.DUMMYFUNCTION("""COMPUTED_VALUE"""),2)</f>
        <v>2</v>
      </c>
    </row>
    <row r="2945" spans="1:5" ht="13">
      <c r="A2945" s="2" t="str">
        <f ca="1">IFERROR(__xludf.DUMMYFUNCTION("""COMPUTED_VALUE"""),"Gebauer, François René")</f>
        <v>Gebauer, François René</v>
      </c>
      <c r="B2945" s="3">
        <f ca="1">IFERROR(__xludf.DUMMYFUNCTION("""COMPUTED_VALUE"""),1)</f>
        <v>1</v>
      </c>
      <c r="C2945" s="7">
        <f ca="1">IFERROR(__xludf.DUMMYFUNCTION("""COMPUTED_VALUE"""),1)</f>
        <v>1</v>
      </c>
      <c r="D2945" s="8">
        <f ca="1">IFERROR(__xludf.DUMMYFUNCTION("""COMPUTED_VALUE"""),5)</f>
        <v>5</v>
      </c>
      <c r="E2945" s="2">
        <f ca="1">IFERROR(__xludf.DUMMYFUNCTION("""COMPUTED_VALUE"""),2)</f>
        <v>2</v>
      </c>
    </row>
    <row r="2946" spans="1:5" ht="13">
      <c r="A2946" s="2" t="str">
        <f ca="1">IFERROR(__xludf.DUMMYFUNCTION("""COMPUTED_VALUE"""),"Gebhardt, Thomas")</f>
        <v>Gebhardt, Thomas</v>
      </c>
      <c r="B2946" s="3">
        <f ca="1">IFERROR(__xludf.DUMMYFUNCTION("""COMPUTED_VALUE"""),1)</f>
        <v>1</v>
      </c>
      <c r="C2946" s="7">
        <f ca="1">IFERROR(__xludf.DUMMYFUNCTION("""COMPUTED_VALUE"""),1)</f>
        <v>1</v>
      </c>
      <c r="D2946" s="8">
        <f ca="1">IFERROR(__xludf.DUMMYFUNCTION("""COMPUTED_VALUE"""),1)</f>
        <v>1</v>
      </c>
      <c r="E2946" s="2">
        <f ca="1">IFERROR(__xludf.DUMMYFUNCTION("""COMPUTED_VALUE"""),1)</f>
        <v>1</v>
      </c>
    </row>
    <row r="2947" spans="1:5" ht="13">
      <c r="A2947" s="2" t="str">
        <f ca="1">IFERROR(__xludf.DUMMYFUNCTION("""COMPUTED_VALUE"""),"Geehl, Henry E.")</f>
        <v>Geehl, Henry E.</v>
      </c>
      <c r="B2947" s="3">
        <f ca="1">IFERROR(__xludf.DUMMYFUNCTION("""COMPUTED_VALUE"""),1)</f>
        <v>1</v>
      </c>
      <c r="C2947" s="7">
        <f ca="1">IFERROR(__xludf.DUMMYFUNCTION("""COMPUTED_VALUE"""),1)</f>
        <v>1</v>
      </c>
      <c r="D2947" s="8">
        <f ca="1">IFERROR(__xludf.DUMMYFUNCTION("""COMPUTED_VALUE"""),5)</f>
        <v>5</v>
      </c>
      <c r="E2947" s="2">
        <f ca="1">IFERROR(__xludf.DUMMYFUNCTION("""COMPUTED_VALUE"""),2)</f>
        <v>2</v>
      </c>
    </row>
    <row r="2948" spans="1:5" ht="13">
      <c r="A2948" s="2" t="str">
        <f ca="1">IFERROR(__xludf.DUMMYFUNCTION("""COMPUTED_VALUE"""),"Geer, E. Harold")</f>
        <v>Geer, E. Harold</v>
      </c>
      <c r="B2948" s="2">
        <f ca="1">IFERROR(__xludf.DUMMYFUNCTION("""COMPUTED_VALUE"""),1)</f>
        <v>1</v>
      </c>
      <c r="C2948" s="2">
        <f ca="1">IFERROR(__xludf.DUMMYFUNCTION("""COMPUTED_VALUE"""),1)</f>
        <v>1</v>
      </c>
      <c r="D2948" s="8">
        <f ca="1">IFERROR(__xludf.DUMMYFUNCTION("""COMPUTED_VALUE"""),5)</f>
        <v>5</v>
      </c>
      <c r="E2948" s="2">
        <f ca="1">IFERROR(__xludf.DUMMYFUNCTION("""COMPUTED_VALUE"""),2)</f>
        <v>2</v>
      </c>
    </row>
    <row r="2949" spans="1:5" ht="13">
      <c r="A2949" s="2" t="str">
        <f ca="1">IFERROR(__xludf.DUMMYFUNCTION("""COMPUTED_VALUE"""),"Geiringer, Karl")</f>
        <v>Geiringer, Karl</v>
      </c>
      <c r="B2949" s="2">
        <f ca="1">IFERROR(__xludf.DUMMYFUNCTION("""COMPUTED_VALUE"""),1)</f>
        <v>1</v>
      </c>
      <c r="C2949" s="2">
        <f ca="1">IFERROR(__xludf.DUMMYFUNCTION("""COMPUTED_VALUE"""),1)</f>
        <v>1</v>
      </c>
      <c r="D2949" s="8">
        <f ca="1">IFERROR(__xludf.DUMMYFUNCTION("""COMPUTED_VALUE"""),5)</f>
        <v>5</v>
      </c>
      <c r="E2949" s="2">
        <f ca="1">IFERROR(__xludf.DUMMYFUNCTION("""COMPUTED_VALUE"""),2)</f>
        <v>2</v>
      </c>
    </row>
    <row r="2950" spans="1:5" ht="13">
      <c r="A2950" s="2" t="str">
        <f ca="1">IFERROR(__xludf.DUMMYFUNCTION("""COMPUTED_VALUE"""),"Geisler, Johann Christian")</f>
        <v>Geisler, Johann Christian</v>
      </c>
      <c r="B2950" s="3">
        <f ca="1">IFERROR(__xludf.DUMMYFUNCTION("""COMPUTED_VALUE"""),1)</f>
        <v>1</v>
      </c>
      <c r="C2950" s="7">
        <f ca="1">IFERROR(__xludf.DUMMYFUNCTION("""COMPUTED_VALUE"""),1)</f>
        <v>1</v>
      </c>
      <c r="D2950" s="8">
        <f ca="1">IFERROR(__xludf.DUMMYFUNCTION("""COMPUTED_VALUE"""),5)</f>
        <v>5</v>
      </c>
      <c r="E2950" s="2">
        <f ca="1">IFERROR(__xludf.DUMMYFUNCTION("""COMPUTED_VALUE"""),2)</f>
        <v>2</v>
      </c>
    </row>
    <row r="2951" spans="1:5" ht="13">
      <c r="A2951" s="2" t="str">
        <f ca="1">IFERROR(__xludf.DUMMYFUNCTION("""COMPUTED_VALUE"""),"Geisler, Robert")</f>
        <v>Geisler, Robert</v>
      </c>
      <c r="B2951" s="3">
        <f ca="1">IFERROR(__xludf.DUMMYFUNCTION("""COMPUTED_VALUE"""),1)</f>
        <v>1</v>
      </c>
      <c r="C2951" s="7">
        <f ca="1">IFERROR(__xludf.DUMMYFUNCTION("""COMPUTED_VALUE"""),1)</f>
        <v>1</v>
      </c>
      <c r="D2951" s="8">
        <f ca="1">IFERROR(__xludf.DUMMYFUNCTION("""COMPUTED_VALUE"""),5)</f>
        <v>5</v>
      </c>
      <c r="E2951" s="2">
        <f ca="1">IFERROR(__xludf.DUMMYFUNCTION("""COMPUTED_VALUE"""),2)</f>
        <v>2</v>
      </c>
    </row>
    <row r="2952" spans="1:5" ht="13">
      <c r="A2952" s="2" t="str">
        <f ca="1">IFERROR(__xludf.DUMMYFUNCTION("""COMPUTED_VALUE"""),"Geiss, Philippe")</f>
        <v>Geiss, Philippe</v>
      </c>
      <c r="B2952" s="3">
        <f ca="1">IFERROR(__xludf.DUMMYFUNCTION("""COMPUTED_VALUE"""),1)</f>
        <v>1</v>
      </c>
      <c r="C2952" s="7">
        <f ca="1">IFERROR(__xludf.DUMMYFUNCTION("""COMPUTED_VALUE"""),1)</f>
        <v>1</v>
      </c>
      <c r="D2952" s="8">
        <f ca="1">IFERROR(__xludf.DUMMYFUNCTION("""COMPUTED_VALUE"""),1)</f>
        <v>1</v>
      </c>
      <c r="E2952" s="2">
        <f ca="1">IFERROR(__xludf.DUMMYFUNCTION("""COMPUTED_VALUE"""),1)</f>
        <v>1</v>
      </c>
    </row>
    <row r="2953" spans="1:5" ht="13">
      <c r="A2953" s="2" t="str">
        <f ca="1">IFERROR(__xludf.DUMMYFUNCTION("""COMPUTED_VALUE"""),"Gelbart, Michel")</f>
        <v>Gelbart, Michel</v>
      </c>
      <c r="B2953" s="3">
        <f ca="1">IFERROR(__xludf.DUMMYFUNCTION("""COMPUTED_VALUE"""),1)</f>
        <v>1</v>
      </c>
      <c r="C2953" s="7">
        <f ca="1">IFERROR(__xludf.DUMMYFUNCTION("""COMPUTED_VALUE"""),1)</f>
        <v>1</v>
      </c>
      <c r="D2953" s="8">
        <f ca="1">IFERROR(__xludf.DUMMYFUNCTION("""COMPUTED_VALUE"""),5)</f>
        <v>5</v>
      </c>
      <c r="E2953" s="2">
        <f ca="1">IFERROR(__xludf.DUMMYFUNCTION("""COMPUTED_VALUE"""),2)</f>
        <v>2</v>
      </c>
    </row>
    <row r="2954" spans="1:5" ht="13">
      <c r="A2954" s="8" t="str">
        <f ca="1">IFERROR(__xludf.DUMMYFUNCTION("""COMPUTED_VALUE"""),"Geld, Gary")</f>
        <v>Geld, Gary</v>
      </c>
      <c r="B2954" s="3">
        <f ca="1">IFERROR(__xludf.DUMMYFUNCTION("""COMPUTED_VALUE"""),1)</f>
        <v>1</v>
      </c>
      <c r="C2954" s="7">
        <f ca="1">IFERROR(__xludf.DUMMYFUNCTION("""COMPUTED_VALUE"""),1)</f>
        <v>1</v>
      </c>
      <c r="D2954" s="8">
        <f ca="1">IFERROR(__xludf.DUMMYFUNCTION("""COMPUTED_VALUE"""),1)</f>
        <v>1</v>
      </c>
      <c r="E2954" s="2">
        <f ca="1">IFERROR(__xludf.DUMMYFUNCTION("""COMPUTED_VALUE"""),1)</f>
        <v>1</v>
      </c>
    </row>
    <row r="2955" spans="1:5" ht="13">
      <c r="A2955" s="2" t="str">
        <f ca="1">IFERROR(__xludf.DUMMYFUNCTION("""COMPUTED_VALUE"""),"Gelfer, Matthew")</f>
        <v>Gelfer, Matthew</v>
      </c>
      <c r="B2955" s="2">
        <f ca="1">IFERROR(__xludf.DUMMYFUNCTION("""COMPUTED_VALUE"""),1)</f>
        <v>1</v>
      </c>
      <c r="C2955" s="7">
        <f ca="1">IFERROR(__xludf.DUMMYFUNCTION("""COMPUTED_VALUE"""),1)</f>
        <v>1</v>
      </c>
      <c r="D2955" s="8">
        <f ca="1">IFERROR(__xludf.DUMMYFUNCTION("""COMPUTED_VALUE"""),1)</f>
        <v>1</v>
      </c>
      <c r="E2955" s="2">
        <f ca="1">IFERROR(__xludf.DUMMYFUNCTION("""COMPUTED_VALUE"""),1)</f>
        <v>1</v>
      </c>
    </row>
    <row r="2956" spans="1:5" ht="13">
      <c r="A2956" s="2" t="str">
        <f ca="1">IFERROR(__xludf.DUMMYFUNCTION("""COMPUTED_VALUE"""),"Gelfer, Samuel")</f>
        <v>Gelfer, Samuel</v>
      </c>
      <c r="B2956" s="3">
        <f ca="1">IFERROR(__xludf.DUMMYFUNCTION("""COMPUTED_VALUE"""),1)</f>
        <v>1</v>
      </c>
      <c r="C2956" s="7">
        <f ca="1">IFERROR(__xludf.DUMMYFUNCTION("""COMPUTED_VALUE"""),1)</f>
        <v>1</v>
      </c>
      <c r="D2956" s="8">
        <f ca="1">IFERROR(__xludf.DUMMYFUNCTION("""COMPUTED_VALUE"""),1)</f>
        <v>1</v>
      </c>
      <c r="E2956" s="2">
        <f ca="1">IFERROR(__xludf.DUMMYFUNCTION("""COMPUTED_VALUE"""),1)</f>
        <v>1</v>
      </c>
    </row>
    <row r="2957" spans="1:5" ht="13">
      <c r="A2957" s="2" t="str">
        <f ca="1">IFERROR(__xludf.DUMMYFUNCTION("""COMPUTED_VALUE"""),"Gelhaus, Tim")</f>
        <v>Gelhaus, Tim</v>
      </c>
      <c r="B2957" s="3">
        <f ca="1">IFERROR(__xludf.DUMMYFUNCTION("""COMPUTED_VALUE"""),1)</f>
        <v>1</v>
      </c>
      <c r="C2957" s="7">
        <f ca="1">IFERROR(__xludf.DUMMYFUNCTION("""COMPUTED_VALUE"""),1)</f>
        <v>1</v>
      </c>
      <c r="D2957" s="8">
        <f ca="1">IFERROR(__xludf.DUMMYFUNCTION("""COMPUTED_VALUE"""),1)</f>
        <v>1</v>
      </c>
      <c r="E2957" s="2">
        <f ca="1">IFERROR(__xludf.DUMMYFUNCTION("""COMPUTED_VALUE"""),1)</f>
        <v>1</v>
      </c>
    </row>
    <row r="2958" spans="1:5" ht="13">
      <c r="A2958" s="2" t="str">
        <f ca="1">IFERROR(__xludf.DUMMYFUNCTION("""COMPUTED_VALUE"""),"Geminiani, Francesco")</f>
        <v>Geminiani, Francesco</v>
      </c>
      <c r="B2958" s="3">
        <f ca="1">IFERROR(__xludf.DUMMYFUNCTION("""COMPUTED_VALUE"""),1)</f>
        <v>1</v>
      </c>
      <c r="C2958" s="7">
        <f ca="1">IFERROR(__xludf.DUMMYFUNCTION("""COMPUTED_VALUE"""),1)</f>
        <v>1</v>
      </c>
      <c r="D2958" s="8">
        <f ca="1">IFERROR(__xludf.DUMMYFUNCTION("""COMPUTED_VALUE"""),5)</f>
        <v>5</v>
      </c>
      <c r="E2958" s="2">
        <f ca="1">IFERROR(__xludf.DUMMYFUNCTION("""COMPUTED_VALUE"""),2)</f>
        <v>2</v>
      </c>
    </row>
    <row r="2959" spans="1:5" ht="13">
      <c r="A2959" s="8" t="str">
        <f ca="1">IFERROR(__xludf.DUMMYFUNCTION("""COMPUTED_VALUE"""),"Gendel, Scott")</f>
        <v>Gendel, Scott</v>
      </c>
      <c r="B2959" s="3">
        <f ca="1">IFERROR(__xludf.DUMMYFUNCTION("""COMPUTED_VALUE"""),1)</f>
        <v>1</v>
      </c>
      <c r="C2959" s="7">
        <f ca="1">IFERROR(__xludf.DUMMYFUNCTION("""COMPUTED_VALUE"""),1)</f>
        <v>1</v>
      </c>
      <c r="D2959" s="8">
        <f ca="1">IFERROR(__xludf.DUMMYFUNCTION("""COMPUTED_VALUE"""),1)</f>
        <v>1</v>
      </c>
      <c r="E2959" s="2">
        <f ca="1">IFERROR(__xludf.DUMMYFUNCTION("""COMPUTED_VALUE"""),1)</f>
        <v>1</v>
      </c>
    </row>
    <row r="2960" spans="1:5" ht="13">
      <c r="A2960" s="2" t="str">
        <f ca="1">IFERROR(__xludf.DUMMYFUNCTION("""COMPUTED_VALUE"""),"Genese, Michael")</f>
        <v>Genese, Michael</v>
      </c>
      <c r="B2960" s="3">
        <f ca="1">IFERROR(__xludf.DUMMYFUNCTION("""COMPUTED_VALUE"""),1)</f>
        <v>1</v>
      </c>
      <c r="C2960" s="7">
        <f ca="1">IFERROR(__xludf.DUMMYFUNCTION("""COMPUTED_VALUE"""),1)</f>
        <v>1</v>
      </c>
      <c r="D2960" s="8">
        <f ca="1">IFERROR(__xludf.DUMMYFUNCTION("""COMPUTED_VALUE"""),1)</f>
        <v>1</v>
      </c>
      <c r="E2960" s="2">
        <f ca="1">IFERROR(__xludf.DUMMYFUNCTION("""COMPUTED_VALUE"""),1)</f>
        <v>1</v>
      </c>
    </row>
    <row r="2961" spans="1:5" ht="13">
      <c r="A2961" s="2" t="str">
        <f ca="1">IFERROR(__xludf.DUMMYFUNCTION("""COMPUTED_VALUE"""),"Genet, Elzear")</f>
        <v>Genet, Elzear</v>
      </c>
      <c r="B2961" s="3">
        <f ca="1">IFERROR(__xludf.DUMMYFUNCTION("""COMPUTED_VALUE"""),1)</f>
        <v>1</v>
      </c>
      <c r="C2961" s="7">
        <f ca="1">IFERROR(__xludf.DUMMYFUNCTION("""COMPUTED_VALUE"""),1)</f>
        <v>1</v>
      </c>
      <c r="D2961" s="8">
        <f ca="1">IFERROR(__xludf.DUMMYFUNCTION("""COMPUTED_VALUE"""),5)</f>
        <v>5</v>
      </c>
      <c r="E2961" s="2">
        <f ca="1">IFERROR(__xludf.DUMMYFUNCTION("""COMPUTED_VALUE"""),2)</f>
        <v>2</v>
      </c>
    </row>
    <row r="2962" spans="1:5" ht="13">
      <c r="A2962" s="2" t="str">
        <f ca="1">IFERROR(__xludf.DUMMYFUNCTION("""COMPUTED_VALUE"""),"Genin, Vadim D.")</f>
        <v>Genin, Vadim D.</v>
      </c>
      <c r="B2962" s="2">
        <f ca="1">IFERROR(__xludf.DUMMYFUNCTION("""COMPUTED_VALUE"""),1)</f>
        <v>1</v>
      </c>
      <c r="C2962" s="7">
        <f ca="1">IFERROR(__xludf.DUMMYFUNCTION("""COMPUTED_VALUE"""),1)</f>
        <v>1</v>
      </c>
      <c r="D2962" s="8">
        <f ca="1">IFERROR(__xludf.DUMMYFUNCTION("""COMPUTED_VALUE"""),1)</f>
        <v>1</v>
      </c>
      <c r="E2962" s="2">
        <f ca="1">IFERROR(__xludf.DUMMYFUNCTION("""COMPUTED_VALUE"""),1)</f>
        <v>1</v>
      </c>
    </row>
    <row r="2963" spans="1:5" ht="13">
      <c r="A2963" s="2" t="str">
        <f ca="1">IFERROR(__xludf.DUMMYFUNCTION("""COMPUTED_VALUE"""),"Gentry, Tom")</f>
        <v>Gentry, Tom</v>
      </c>
      <c r="B2963" s="3">
        <f ca="1">IFERROR(__xludf.DUMMYFUNCTION("""COMPUTED_VALUE"""),1)</f>
        <v>1</v>
      </c>
      <c r="C2963" s="7">
        <f ca="1">IFERROR(__xludf.DUMMYFUNCTION("""COMPUTED_VALUE"""),1)</f>
        <v>1</v>
      </c>
      <c r="D2963" s="8">
        <f ca="1">IFERROR(__xludf.DUMMYFUNCTION("""COMPUTED_VALUE"""),1)</f>
        <v>1</v>
      </c>
      <c r="E2963" s="2">
        <f ca="1">IFERROR(__xludf.DUMMYFUNCTION("""COMPUTED_VALUE"""),1)</f>
        <v>1</v>
      </c>
    </row>
    <row r="2964" spans="1:5" ht="13">
      <c r="A2964" s="8" t="str">
        <f ca="1">IFERROR(__xludf.DUMMYFUNCTION("""COMPUTED_VALUE"""),"Genzmer, Harald")</f>
        <v>Genzmer, Harald</v>
      </c>
      <c r="B2964" s="3">
        <f ca="1">IFERROR(__xludf.DUMMYFUNCTION("""COMPUTED_VALUE"""),1)</f>
        <v>1</v>
      </c>
      <c r="C2964" s="7">
        <f ca="1">IFERROR(__xludf.DUMMYFUNCTION("""COMPUTED_VALUE"""),1)</f>
        <v>1</v>
      </c>
      <c r="D2964" s="8">
        <f ca="1">IFERROR(__xludf.DUMMYFUNCTION("""COMPUTED_VALUE"""),5)</f>
        <v>5</v>
      </c>
      <c r="E2964" s="2">
        <f ca="1">IFERROR(__xludf.DUMMYFUNCTION("""COMPUTED_VALUE"""),2)</f>
        <v>2</v>
      </c>
    </row>
    <row r="2965" spans="1:5" ht="13">
      <c r="A2965" s="2" t="str">
        <f ca="1">IFERROR(__xludf.DUMMYFUNCTION("""COMPUTED_VALUE"""),"George Gershwin, Du Bose and Dorothy Heyward and Ira Gershwin")</f>
        <v>George Gershwin, Du Bose and Dorothy Heyward and Ira Gershwin</v>
      </c>
      <c r="B2965" s="3">
        <f ca="1">IFERROR(__xludf.DUMMYFUNCTION("""COMPUTED_VALUE"""),1)</f>
        <v>1</v>
      </c>
      <c r="C2965" s="7">
        <f ca="1">IFERROR(__xludf.DUMMYFUNCTION("""COMPUTED_VALUE"""),1)</f>
        <v>1</v>
      </c>
      <c r="D2965" s="8">
        <f ca="1">IFERROR(__xludf.DUMMYFUNCTION("""COMPUTED_VALUE"""),5)</f>
        <v>5</v>
      </c>
      <c r="E2965" s="2">
        <f ca="1">IFERROR(__xludf.DUMMYFUNCTION("""COMPUTED_VALUE"""),2)</f>
        <v>2</v>
      </c>
    </row>
    <row r="2966" spans="1:5" ht="13">
      <c r="A2966" s="2" t="str">
        <f ca="1">IFERROR(__xludf.DUMMYFUNCTION("""COMPUTED_VALUE"""),"George, Earl")</f>
        <v>George, Earl</v>
      </c>
      <c r="B2966" s="3">
        <f ca="1">IFERROR(__xludf.DUMMYFUNCTION("""COMPUTED_VALUE"""),1)</f>
        <v>1</v>
      </c>
      <c r="C2966" s="7">
        <f ca="1">IFERROR(__xludf.DUMMYFUNCTION("""COMPUTED_VALUE"""),1)</f>
        <v>1</v>
      </c>
      <c r="D2966" s="8">
        <f ca="1">IFERROR(__xludf.DUMMYFUNCTION("""COMPUTED_VALUE"""),5)</f>
        <v>5</v>
      </c>
      <c r="E2966" s="2">
        <f ca="1">IFERROR(__xludf.DUMMYFUNCTION("""COMPUTED_VALUE"""),2)</f>
        <v>2</v>
      </c>
    </row>
    <row r="2967" spans="1:5" ht="13">
      <c r="A2967" s="2" t="str">
        <f ca="1">IFERROR(__xludf.DUMMYFUNCTION("""COMPUTED_VALUE"""),"George, Ryan")</f>
        <v>George, Ryan</v>
      </c>
      <c r="B2967" s="3">
        <f ca="1">IFERROR(__xludf.DUMMYFUNCTION("""COMPUTED_VALUE"""),1)</f>
        <v>1</v>
      </c>
      <c r="C2967" s="7">
        <f ca="1">IFERROR(__xludf.DUMMYFUNCTION("""COMPUTED_VALUE"""),1)</f>
        <v>1</v>
      </c>
      <c r="D2967" s="8">
        <f ca="1">IFERROR(__xludf.DUMMYFUNCTION("""COMPUTED_VALUE"""),1)</f>
        <v>1</v>
      </c>
      <c r="E2967" s="2">
        <f ca="1">IFERROR(__xludf.DUMMYFUNCTION("""COMPUTED_VALUE"""),1)</f>
        <v>1</v>
      </c>
    </row>
    <row r="2968" spans="1:5" ht="13">
      <c r="A2968" s="2" t="str">
        <f ca="1">IFERROR(__xludf.DUMMYFUNCTION("""COMPUTED_VALUE"""),"George, T. Ritter")</f>
        <v>George, T. Ritter</v>
      </c>
      <c r="B2968" s="2">
        <f ca="1">IFERROR(__xludf.DUMMYFUNCTION("""COMPUTED_VALUE"""),1)</f>
        <v>1</v>
      </c>
      <c r="C2968" s="7">
        <f ca="1">IFERROR(__xludf.DUMMYFUNCTION("""COMPUTED_VALUE"""),1)</f>
        <v>1</v>
      </c>
      <c r="D2968" s="8">
        <f ca="1">IFERROR(__xludf.DUMMYFUNCTION("""COMPUTED_VALUE"""),5)</f>
        <v>5</v>
      </c>
      <c r="E2968" s="2">
        <f ca="1">IFERROR(__xludf.DUMMYFUNCTION("""COMPUTED_VALUE"""),2)</f>
        <v>2</v>
      </c>
    </row>
    <row r="2969" spans="1:5" ht="13">
      <c r="A2969" s="2" t="str">
        <f ca="1">IFERROR(__xludf.DUMMYFUNCTION("""COMPUTED_VALUE"""),"George, Thom Ritter")</f>
        <v>George, Thom Ritter</v>
      </c>
      <c r="B2969" s="2">
        <f ca="1">IFERROR(__xludf.DUMMYFUNCTION("""COMPUTED_VALUE"""),1)</f>
        <v>1</v>
      </c>
      <c r="C2969" s="7">
        <f ca="1">IFERROR(__xludf.DUMMYFUNCTION("""COMPUTED_VALUE"""),1)</f>
        <v>1</v>
      </c>
      <c r="D2969" s="8">
        <f ca="1">IFERROR(__xludf.DUMMYFUNCTION("""COMPUTED_VALUE"""),5)</f>
        <v>5</v>
      </c>
      <c r="E2969" s="2">
        <f ca="1">IFERROR(__xludf.DUMMYFUNCTION("""COMPUTED_VALUE"""),2)</f>
        <v>2</v>
      </c>
    </row>
    <row r="2970" spans="1:5" ht="13">
      <c r="A2970" s="2" t="str">
        <f ca="1">IFERROR(__xludf.DUMMYFUNCTION("""COMPUTED_VALUE"""),"Gerhard, Roberto")</f>
        <v>Gerhard, Roberto</v>
      </c>
      <c r="B2970" s="3">
        <f ca="1">IFERROR(__xludf.DUMMYFUNCTION("""COMPUTED_VALUE"""),1)</f>
        <v>1</v>
      </c>
      <c r="C2970" s="7">
        <f ca="1">IFERROR(__xludf.DUMMYFUNCTION("""COMPUTED_VALUE"""),1)</f>
        <v>1</v>
      </c>
      <c r="D2970" s="8">
        <f ca="1">IFERROR(__xludf.DUMMYFUNCTION("""COMPUTED_VALUE"""),5)</f>
        <v>5</v>
      </c>
      <c r="E2970" s="2">
        <f ca="1">IFERROR(__xludf.DUMMYFUNCTION("""COMPUTED_VALUE"""),2)</f>
        <v>2</v>
      </c>
    </row>
    <row r="2971" spans="1:5" ht="13">
      <c r="A2971" s="2" t="str">
        <f ca="1">IFERROR(__xludf.DUMMYFUNCTION("""COMPUTED_VALUE"""),"Gerig, David A.")</f>
        <v>Gerig, David A.</v>
      </c>
      <c r="B2971" s="3">
        <f ca="1">IFERROR(__xludf.DUMMYFUNCTION("""COMPUTED_VALUE"""),1)</f>
        <v>1</v>
      </c>
      <c r="C2971" s="7">
        <f ca="1">IFERROR(__xludf.DUMMYFUNCTION("""COMPUTED_VALUE"""),1)</f>
        <v>1</v>
      </c>
      <c r="D2971" s="8">
        <f ca="1">IFERROR(__xludf.DUMMYFUNCTION("""COMPUTED_VALUE"""),1)</f>
        <v>1</v>
      </c>
      <c r="E2971" s="2">
        <f ca="1">IFERROR(__xludf.DUMMYFUNCTION("""COMPUTED_VALUE"""),1)</f>
        <v>1</v>
      </c>
    </row>
    <row r="2972" spans="1:5" ht="13">
      <c r="A2972" s="2" t="str">
        <f ca="1">IFERROR(__xludf.DUMMYFUNCTION("""COMPUTED_VALUE"""),"Gerike, Henry")</f>
        <v>Gerike, Henry</v>
      </c>
      <c r="B2972" s="3">
        <f ca="1">IFERROR(__xludf.DUMMYFUNCTION("""COMPUTED_VALUE"""),1)</f>
        <v>1</v>
      </c>
      <c r="C2972" s="7">
        <f ca="1">IFERROR(__xludf.DUMMYFUNCTION("""COMPUTED_VALUE"""),1)</f>
        <v>1</v>
      </c>
      <c r="D2972" s="8">
        <f ca="1">IFERROR(__xludf.DUMMYFUNCTION("""COMPUTED_VALUE"""),1)</f>
        <v>1</v>
      </c>
      <c r="E2972" s="2">
        <f ca="1">IFERROR(__xludf.DUMMYFUNCTION("""COMPUTED_VALUE"""),1)</f>
        <v>1</v>
      </c>
    </row>
    <row r="2973" spans="1:5" ht="13">
      <c r="A2973" s="2" t="str">
        <f ca="1">IFERROR(__xludf.DUMMYFUNCTION("""COMPUTED_VALUE"""),"German, Edward")</f>
        <v>German, Edward</v>
      </c>
      <c r="B2973" s="3">
        <f ca="1">IFERROR(__xludf.DUMMYFUNCTION("""COMPUTED_VALUE"""),1)</f>
        <v>1</v>
      </c>
      <c r="C2973" s="7">
        <f ca="1">IFERROR(__xludf.DUMMYFUNCTION("""COMPUTED_VALUE"""),1)</f>
        <v>1</v>
      </c>
      <c r="D2973" s="8">
        <f ca="1">IFERROR(__xludf.DUMMYFUNCTION("""COMPUTED_VALUE"""),5)</f>
        <v>5</v>
      </c>
      <c r="E2973" s="2">
        <f ca="1">IFERROR(__xludf.DUMMYFUNCTION("""COMPUTED_VALUE"""),2)</f>
        <v>2</v>
      </c>
    </row>
    <row r="2974" spans="1:5" ht="13">
      <c r="A2974" s="2" t="str">
        <f ca="1">IFERROR(__xludf.DUMMYFUNCTION("""COMPUTED_VALUE"""),"Germiniani, Francesco")</f>
        <v>Germiniani, Francesco</v>
      </c>
      <c r="B2974" s="3">
        <f ca="1">IFERROR(__xludf.DUMMYFUNCTION("""COMPUTED_VALUE"""),1)</f>
        <v>1</v>
      </c>
      <c r="C2974" s="7">
        <f ca="1">IFERROR(__xludf.DUMMYFUNCTION("""COMPUTED_VALUE"""),1)</f>
        <v>1</v>
      </c>
      <c r="D2974" s="8">
        <f ca="1">IFERROR(__xludf.DUMMYFUNCTION("""COMPUTED_VALUE"""),5)</f>
        <v>5</v>
      </c>
      <c r="E2974" s="2">
        <f ca="1">IFERROR(__xludf.DUMMYFUNCTION("""COMPUTED_VALUE"""),2)</f>
        <v>2</v>
      </c>
    </row>
    <row r="2975" spans="1:5" ht="13">
      <c r="A2975" s="8" t="str">
        <f ca="1">IFERROR(__xludf.DUMMYFUNCTION("""COMPUTED_VALUE"""),"Gerou, Tom")</f>
        <v>Gerou, Tom</v>
      </c>
      <c r="B2975" s="3">
        <f ca="1">IFERROR(__xludf.DUMMYFUNCTION("""COMPUTED_VALUE"""),1)</f>
        <v>1</v>
      </c>
      <c r="C2975" s="7">
        <f ca="1">IFERROR(__xludf.DUMMYFUNCTION("""COMPUTED_VALUE"""),1)</f>
        <v>1</v>
      </c>
      <c r="D2975" s="8">
        <f ca="1">IFERROR(__xludf.DUMMYFUNCTION("""COMPUTED_VALUE"""),1)</f>
        <v>1</v>
      </c>
      <c r="E2975" s="2">
        <f ca="1">IFERROR(__xludf.DUMMYFUNCTION("""COMPUTED_VALUE"""),1)</f>
        <v>1</v>
      </c>
    </row>
    <row r="2976" spans="1:5" ht="13">
      <c r="A2976" s="2" t="str">
        <f ca="1">IFERROR(__xludf.DUMMYFUNCTION("""COMPUTED_VALUE"""),"Gerraughty, Jason")</f>
        <v>Gerraughty, Jason</v>
      </c>
      <c r="B2976" s="3">
        <f ca="1">IFERROR(__xludf.DUMMYFUNCTION("""COMPUTED_VALUE"""),1)</f>
        <v>1</v>
      </c>
      <c r="C2976" s="7">
        <f ca="1">IFERROR(__xludf.DUMMYFUNCTION("""COMPUTED_VALUE"""),1)</f>
        <v>1</v>
      </c>
      <c r="D2976" s="8">
        <f ca="1">IFERROR(__xludf.DUMMYFUNCTION("""COMPUTED_VALUE"""),1)</f>
        <v>1</v>
      </c>
      <c r="E2976" s="2">
        <f ca="1">IFERROR(__xludf.DUMMYFUNCTION("""COMPUTED_VALUE"""),1)</f>
        <v>1</v>
      </c>
    </row>
    <row r="2977" spans="1:5" ht="13">
      <c r="A2977" s="2" t="str">
        <f ca="1">IFERROR(__xludf.DUMMYFUNCTION("""COMPUTED_VALUE"""),"Gerrish, John")</f>
        <v>Gerrish, John</v>
      </c>
      <c r="B2977" s="3">
        <f ca="1">IFERROR(__xludf.DUMMYFUNCTION("""COMPUTED_VALUE"""),1)</f>
        <v>1</v>
      </c>
      <c r="C2977" s="7">
        <f ca="1">IFERROR(__xludf.DUMMYFUNCTION("""COMPUTED_VALUE"""),1)</f>
        <v>1</v>
      </c>
      <c r="D2977" s="8">
        <f ca="1">IFERROR(__xludf.DUMMYFUNCTION("""COMPUTED_VALUE"""),5)</f>
        <v>5</v>
      </c>
      <c r="E2977" s="2">
        <f ca="1">IFERROR(__xludf.DUMMYFUNCTION("""COMPUTED_VALUE"""),2)</f>
        <v>2</v>
      </c>
    </row>
    <row r="2978" spans="1:5" ht="13">
      <c r="A2978" s="2" t="str">
        <f ca="1">IFERROR(__xludf.DUMMYFUNCTION("""COMPUTED_VALUE"""),"Gerschefski, Edwin")</f>
        <v>Gerschefski, Edwin</v>
      </c>
      <c r="B2978" s="3">
        <f ca="1">IFERROR(__xludf.DUMMYFUNCTION("""COMPUTED_VALUE"""),1)</f>
        <v>1</v>
      </c>
      <c r="C2978" s="7">
        <f ca="1">IFERROR(__xludf.DUMMYFUNCTION("""COMPUTED_VALUE"""),1)</f>
        <v>1</v>
      </c>
      <c r="D2978" s="8">
        <f ca="1">IFERROR(__xludf.DUMMYFUNCTION("""COMPUTED_VALUE"""),5)</f>
        <v>5</v>
      </c>
      <c r="E2978" s="2">
        <f ca="1">IFERROR(__xludf.DUMMYFUNCTION("""COMPUTED_VALUE"""),2)</f>
        <v>2</v>
      </c>
    </row>
    <row r="2979" spans="1:5" ht="13">
      <c r="A2979" s="2" t="str">
        <f ca="1">IFERROR(__xludf.DUMMYFUNCTION("""COMPUTED_VALUE"""),"Gershman, Jeff")</f>
        <v>Gershman, Jeff</v>
      </c>
      <c r="B2979" s="3">
        <f ca="1">IFERROR(__xludf.DUMMYFUNCTION("""COMPUTED_VALUE"""),1)</f>
        <v>1</v>
      </c>
      <c r="C2979" s="7">
        <f ca="1">IFERROR(__xludf.DUMMYFUNCTION("""COMPUTED_VALUE"""),1)</f>
        <v>1</v>
      </c>
      <c r="D2979" s="8">
        <f ca="1">IFERROR(__xludf.DUMMYFUNCTION("""COMPUTED_VALUE"""),1)</f>
        <v>1</v>
      </c>
      <c r="E2979" s="2">
        <f ca="1">IFERROR(__xludf.DUMMYFUNCTION("""COMPUTED_VALUE"""),1)</f>
        <v>1</v>
      </c>
    </row>
    <row r="2980" spans="1:5" ht="13">
      <c r="A2980" s="2" t="str">
        <f ca="1">IFERROR(__xludf.DUMMYFUNCTION("""COMPUTED_VALUE"""),"Gershwin, George")</f>
        <v>Gershwin, George</v>
      </c>
      <c r="B2980" s="3">
        <f ca="1">IFERROR(__xludf.DUMMYFUNCTION("""COMPUTED_VALUE"""),1)</f>
        <v>1</v>
      </c>
      <c r="C2980" s="7">
        <f ca="1">IFERROR(__xludf.DUMMYFUNCTION("""COMPUTED_VALUE"""),1)</f>
        <v>1</v>
      </c>
      <c r="D2980" s="8">
        <f ca="1">IFERROR(__xludf.DUMMYFUNCTION("""COMPUTED_VALUE"""),5)</f>
        <v>5</v>
      </c>
      <c r="E2980" s="2">
        <f ca="1">IFERROR(__xludf.DUMMYFUNCTION("""COMPUTED_VALUE"""),2)</f>
        <v>2</v>
      </c>
    </row>
    <row r="2981" spans="1:5" ht="13">
      <c r="A2981" s="2" t="str">
        <f ca="1">IFERROR(__xludf.DUMMYFUNCTION("""COMPUTED_VALUE"""),"Gershwin, George (1926 orchestration, Grofé)")</f>
        <v>Gershwin, George (1926 orchestration, Grofé)</v>
      </c>
      <c r="B2981" s="3">
        <f ca="1">IFERROR(__xludf.DUMMYFUNCTION("""COMPUTED_VALUE"""),1)</f>
        <v>1</v>
      </c>
      <c r="C2981" s="7">
        <f ca="1">IFERROR(__xludf.DUMMYFUNCTION("""COMPUTED_VALUE"""),1)</f>
        <v>1</v>
      </c>
      <c r="D2981" s="8">
        <f ca="1">IFERROR(__xludf.DUMMYFUNCTION("""COMPUTED_VALUE"""),5)</f>
        <v>5</v>
      </c>
      <c r="E2981" s="2">
        <f ca="1">IFERROR(__xludf.DUMMYFUNCTION("""COMPUTED_VALUE"""),2)</f>
        <v>2</v>
      </c>
    </row>
    <row r="2982" spans="1:5" ht="13">
      <c r="A2982" s="2" t="str">
        <f ca="1">IFERROR(__xludf.DUMMYFUNCTION("""COMPUTED_VALUE"""),"Gershwin, George / Bennet")</f>
        <v>Gershwin, George / Bennet</v>
      </c>
      <c r="B2982" s="3">
        <f ca="1">IFERROR(__xludf.DUMMYFUNCTION("""COMPUTED_VALUE"""),1)</f>
        <v>1</v>
      </c>
      <c r="C2982" s="7">
        <f ca="1">IFERROR(__xludf.DUMMYFUNCTION("""COMPUTED_VALUE"""),1)</f>
        <v>1</v>
      </c>
      <c r="D2982" s="8">
        <f ca="1">IFERROR(__xludf.DUMMYFUNCTION("""COMPUTED_VALUE"""),5)</f>
        <v>5</v>
      </c>
      <c r="E2982" s="2">
        <f ca="1">IFERROR(__xludf.DUMMYFUNCTION("""COMPUTED_VALUE"""),2)</f>
        <v>2</v>
      </c>
    </row>
    <row r="2983" spans="1:5" ht="13">
      <c r="A2983" s="2" t="str">
        <f ca="1">IFERROR(__xludf.DUMMYFUNCTION("""COMPUTED_VALUE"""),"Gershwin, George / Gershwin, Ira")</f>
        <v>Gershwin, George / Gershwin, Ira</v>
      </c>
      <c r="B2983" s="2">
        <f ca="1">IFERROR(__xludf.DUMMYFUNCTION("""COMPUTED_VALUE"""),1)</f>
        <v>1</v>
      </c>
      <c r="C2983" s="7">
        <f ca="1">IFERROR(__xludf.DUMMYFUNCTION("""COMPUTED_VALUE"""),1)</f>
        <v>1</v>
      </c>
      <c r="D2983" s="8">
        <f ca="1">IFERROR(__xludf.DUMMYFUNCTION("""COMPUTED_VALUE"""),5)</f>
        <v>5</v>
      </c>
      <c r="E2983" s="2">
        <f ca="1">IFERROR(__xludf.DUMMYFUNCTION("""COMPUTED_VALUE"""),2)</f>
        <v>2</v>
      </c>
    </row>
    <row r="2984" spans="1:5" ht="13">
      <c r="A2984" s="2" t="str">
        <f ca="1">IFERROR(__xludf.DUMMYFUNCTION("""COMPUTED_VALUE"""),"Gershwin, Ira")</f>
        <v>Gershwin, Ira</v>
      </c>
      <c r="B2984" s="3">
        <f ca="1">IFERROR(__xludf.DUMMYFUNCTION("""COMPUTED_VALUE"""),1)</f>
        <v>1</v>
      </c>
      <c r="C2984" s="7">
        <f ca="1">IFERROR(__xludf.DUMMYFUNCTION("""COMPUTED_VALUE"""),1)</f>
        <v>1</v>
      </c>
      <c r="D2984" s="8">
        <f ca="1">IFERROR(__xludf.DUMMYFUNCTION("""COMPUTED_VALUE"""),5)</f>
        <v>5</v>
      </c>
      <c r="E2984" s="2">
        <f ca="1">IFERROR(__xludf.DUMMYFUNCTION("""COMPUTED_VALUE"""),2)</f>
        <v>2</v>
      </c>
    </row>
    <row r="2985" spans="1:5" ht="13">
      <c r="A2985" s="2" t="str">
        <f ca="1">IFERROR(__xludf.DUMMYFUNCTION("""COMPUTED_VALUE"""),"Gervaise, Claude")</f>
        <v>Gervaise, Claude</v>
      </c>
      <c r="B2985" s="3">
        <f ca="1">IFERROR(__xludf.DUMMYFUNCTION("""COMPUTED_VALUE"""),1)</f>
        <v>1</v>
      </c>
      <c r="C2985" s="7">
        <f ca="1">IFERROR(__xludf.DUMMYFUNCTION("""COMPUTED_VALUE"""),1)</f>
        <v>1</v>
      </c>
      <c r="D2985" s="8">
        <f ca="1">IFERROR(__xludf.DUMMYFUNCTION("""COMPUTED_VALUE"""),5)</f>
        <v>5</v>
      </c>
      <c r="E2985" s="2">
        <f ca="1">IFERROR(__xludf.DUMMYFUNCTION("""COMPUTED_VALUE"""),2)</f>
        <v>2</v>
      </c>
    </row>
    <row r="2986" spans="1:5" ht="13">
      <c r="A2986" s="2" t="str">
        <f ca="1">IFERROR(__xludf.DUMMYFUNCTION("""COMPUTED_VALUE"""),"Gervaise, Claude / d'Attaignant, Pierre")</f>
        <v>Gervaise, Claude / d'Attaignant, Pierre</v>
      </c>
      <c r="B2986" s="3">
        <f ca="1">IFERROR(__xludf.DUMMYFUNCTION("""COMPUTED_VALUE"""),1)</f>
        <v>1</v>
      </c>
      <c r="C2986" s="7">
        <f ca="1">IFERROR(__xludf.DUMMYFUNCTION("""COMPUTED_VALUE"""),1)</f>
        <v>1</v>
      </c>
      <c r="D2986" s="8">
        <f ca="1">IFERROR(__xludf.DUMMYFUNCTION("""COMPUTED_VALUE"""),5)</f>
        <v>5</v>
      </c>
      <c r="E2986" s="2">
        <f ca="1">IFERROR(__xludf.DUMMYFUNCTION("""COMPUTED_VALUE"""),2)</f>
        <v>2</v>
      </c>
    </row>
    <row r="2987" spans="1:5" ht="13">
      <c r="A2987" s="2" t="str">
        <f ca="1">IFERROR(__xludf.DUMMYFUNCTION("""COMPUTED_VALUE"""),"Gesben, Abbe")</f>
        <v>Gesben, Abbe</v>
      </c>
      <c r="B2987" s="3">
        <f ca="1">IFERROR(__xludf.DUMMYFUNCTION("""COMPUTED_VALUE"""),1)</f>
        <v>1</v>
      </c>
      <c r="C2987" s="7">
        <f ca="1">IFERROR(__xludf.DUMMYFUNCTION("""COMPUTED_VALUE"""),1)</f>
        <v>1</v>
      </c>
      <c r="D2987" s="8">
        <f ca="1">IFERROR(__xludf.DUMMYFUNCTION("""COMPUTED_VALUE"""),5)</f>
        <v>5</v>
      </c>
      <c r="E2987" s="2">
        <f ca="1">IFERROR(__xludf.DUMMYFUNCTION("""COMPUTED_VALUE"""),2)</f>
        <v>2</v>
      </c>
    </row>
    <row r="2988" spans="1:5" ht="13">
      <c r="A2988" s="2" t="str">
        <f ca="1">IFERROR(__xludf.DUMMYFUNCTION("""COMPUTED_VALUE"""),"Gesner, Clark")</f>
        <v>Gesner, Clark</v>
      </c>
      <c r="B2988" s="3">
        <f ca="1">IFERROR(__xludf.DUMMYFUNCTION("""COMPUTED_VALUE"""),1)</f>
        <v>1</v>
      </c>
      <c r="C2988" s="7">
        <f ca="1">IFERROR(__xludf.DUMMYFUNCTION("""COMPUTED_VALUE"""),1)</f>
        <v>1</v>
      </c>
      <c r="D2988" s="8">
        <f ca="1">IFERROR(__xludf.DUMMYFUNCTION("""COMPUTED_VALUE"""),5)</f>
        <v>5</v>
      </c>
      <c r="E2988" s="2">
        <f ca="1">IFERROR(__xludf.DUMMYFUNCTION("""COMPUTED_VALUE"""),2)</f>
        <v>2</v>
      </c>
    </row>
    <row r="2989" spans="1:5" ht="13">
      <c r="A2989" s="2" t="str">
        <f ca="1">IFERROR(__xludf.DUMMYFUNCTION("""COMPUTED_VALUE"""),"Gesualdo, C.")</f>
        <v>Gesualdo, C.</v>
      </c>
      <c r="B2989" s="3">
        <f ca="1">IFERROR(__xludf.DUMMYFUNCTION("""COMPUTED_VALUE"""),1)</f>
        <v>1</v>
      </c>
      <c r="C2989" s="7">
        <f ca="1">IFERROR(__xludf.DUMMYFUNCTION("""COMPUTED_VALUE"""),1)</f>
        <v>1</v>
      </c>
      <c r="D2989" s="8">
        <f ca="1">IFERROR(__xludf.DUMMYFUNCTION("""COMPUTED_VALUE"""),5)</f>
        <v>5</v>
      </c>
      <c r="E2989" s="2">
        <f ca="1">IFERROR(__xludf.DUMMYFUNCTION("""COMPUTED_VALUE"""),2)</f>
        <v>2</v>
      </c>
    </row>
    <row r="2990" spans="1:5" ht="13">
      <c r="A2990" s="2" t="str">
        <f ca="1">IFERROR(__xludf.DUMMYFUNCTION("""COMPUTED_VALUE"""),"Gesualdo, Carlo")</f>
        <v>Gesualdo, Carlo</v>
      </c>
      <c r="B2990" s="3">
        <f ca="1">IFERROR(__xludf.DUMMYFUNCTION("""COMPUTED_VALUE"""),1)</f>
        <v>1</v>
      </c>
      <c r="C2990" s="7">
        <f ca="1">IFERROR(__xludf.DUMMYFUNCTION("""COMPUTED_VALUE"""),1)</f>
        <v>1</v>
      </c>
      <c r="D2990" s="8">
        <f ca="1">IFERROR(__xludf.DUMMYFUNCTION("""COMPUTED_VALUE"""),5)</f>
        <v>5</v>
      </c>
      <c r="E2990" s="2">
        <f ca="1">IFERROR(__xludf.DUMMYFUNCTION("""COMPUTED_VALUE"""),2)</f>
        <v>2</v>
      </c>
    </row>
    <row r="2991" spans="1:5" ht="13">
      <c r="A2991" s="2" t="str">
        <f ca="1">IFERROR(__xludf.DUMMYFUNCTION("""COMPUTED_VALUE"""),"Gevaert, Francois-Auguste")</f>
        <v>Gevaert, Francois-Auguste</v>
      </c>
      <c r="B2991" s="3">
        <f ca="1">IFERROR(__xludf.DUMMYFUNCTION("""COMPUTED_VALUE"""),1)</f>
        <v>1</v>
      </c>
      <c r="C2991" s="7">
        <f ca="1">IFERROR(__xludf.DUMMYFUNCTION("""COMPUTED_VALUE"""),1)</f>
        <v>1</v>
      </c>
      <c r="D2991" s="8">
        <f ca="1">IFERROR(__xludf.DUMMYFUNCTION("""COMPUTED_VALUE"""),5)</f>
        <v>5</v>
      </c>
      <c r="E2991" s="2">
        <f ca="1">IFERROR(__xludf.DUMMYFUNCTION("""COMPUTED_VALUE"""),2)</f>
        <v>2</v>
      </c>
    </row>
    <row r="2992" spans="1:5" ht="13">
      <c r="A2992" s="2" t="str">
        <f ca="1">IFERROR(__xludf.DUMMYFUNCTION("""COMPUTED_VALUE"""),"Giacchino, Michael")</f>
        <v>Giacchino, Michael</v>
      </c>
      <c r="B2992" s="3">
        <f ca="1">IFERROR(__xludf.DUMMYFUNCTION("""COMPUTED_VALUE"""),1)</f>
        <v>1</v>
      </c>
      <c r="C2992" s="7">
        <f ca="1">IFERROR(__xludf.DUMMYFUNCTION("""COMPUTED_VALUE"""),1)</f>
        <v>1</v>
      </c>
      <c r="D2992" s="8">
        <f ca="1">IFERROR(__xludf.DUMMYFUNCTION("""COMPUTED_VALUE"""),1)</f>
        <v>1</v>
      </c>
      <c r="E2992" s="2">
        <f ca="1">IFERROR(__xludf.DUMMYFUNCTION("""COMPUTED_VALUE"""),1)</f>
        <v>1</v>
      </c>
    </row>
    <row r="2993" spans="1:5" ht="13">
      <c r="A2993" s="2" t="str">
        <f ca="1">IFERROR(__xludf.DUMMYFUNCTION("""COMPUTED_VALUE"""),"Giacomelli, Geminiano")</f>
        <v>Giacomelli, Geminiano</v>
      </c>
      <c r="B2993" s="3">
        <f ca="1">IFERROR(__xludf.DUMMYFUNCTION("""COMPUTED_VALUE"""),1)</f>
        <v>1</v>
      </c>
      <c r="C2993" s="7">
        <f ca="1">IFERROR(__xludf.DUMMYFUNCTION("""COMPUTED_VALUE"""),1)</f>
        <v>1</v>
      </c>
      <c r="D2993" s="8">
        <f ca="1">IFERROR(__xludf.DUMMYFUNCTION("""COMPUTED_VALUE"""),5)</f>
        <v>5</v>
      </c>
      <c r="E2993" s="2">
        <f ca="1">IFERROR(__xludf.DUMMYFUNCTION("""COMPUTED_VALUE"""),2)</f>
        <v>2</v>
      </c>
    </row>
    <row r="2994" spans="1:5" ht="13">
      <c r="A2994" s="2" t="str">
        <f ca="1">IFERROR(__xludf.DUMMYFUNCTION("""COMPUTED_VALUE"""),"Giallombardo, Jay")</f>
        <v>Giallombardo, Jay</v>
      </c>
      <c r="B2994" s="3">
        <f ca="1">IFERROR(__xludf.DUMMYFUNCTION("""COMPUTED_VALUE"""),1)</f>
        <v>1</v>
      </c>
      <c r="C2994" s="7">
        <f ca="1">IFERROR(__xludf.DUMMYFUNCTION("""COMPUTED_VALUE"""),1)</f>
        <v>1</v>
      </c>
      <c r="D2994" s="8">
        <f ca="1">IFERROR(__xludf.DUMMYFUNCTION("""COMPUTED_VALUE"""),1)</f>
        <v>1</v>
      </c>
      <c r="E2994" s="2">
        <f ca="1">IFERROR(__xludf.DUMMYFUNCTION("""COMPUTED_VALUE"""),1)</f>
        <v>1</v>
      </c>
    </row>
    <row r="2995" spans="1:5" ht="13">
      <c r="A2995" s="2" t="str">
        <f ca="1">IFERROR(__xludf.DUMMYFUNCTION("""COMPUTED_VALUE"""),"Giammario, Matteo")</f>
        <v>Giammario, Matteo</v>
      </c>
      <c r="B2995" s="3">
        <f ca="1">IFERROR(__xludf.DUMMYFUNCTION("""COMPUTED_VALUE"""),1)</f>
        <v>1</v>
      </c>
      <c r="C2995" s="7">
        <f ca="1">IFERROR(__xludf.DUMMYFUNCTION("""COMPUTED_VALUE"""),1)</f>
        <v>1</v>
      </c>
      <c r="D2995" s="8">
        <f ca="1">IFERROR(__xludf.DUMMYFUNCTION("""COMPUTED_VALUE"""),1)</f>
        <v>1</v>
      </c>
      <c r="E2995" s="2">
        <f ca="1">IFERROR(__xludf.DUMMYFUNCTION("""COMPUTED_VALUE"""),1)</f>
        <v>1</v>
      </c>
    </row>
    <row r="2996" spans="1:5" ht="13">
      <c r="A2996" s="2" t="str">
        <f ca="1">IFERROR(__xludf.DUMMYFUNCTION("""COMPUTED_VALUE"""),"Giannini, Vittorio")</f>
        <v>Giannini, Vittorio</v>
      </c>
      <c r="B2996" s="3">
        <f ca="1">IFERROR(__xludf.DUMMYFUNCTION("""COMPUTED_VALUE"""),1)</f>
        <v>1</v>
      </c>
      <c r="C2996" s="7">
        <f ca="1">IFERROR(__xludf.DUMMYFUNCTION("""COMPUTED_VALUE"""),1)</f>
        <v>1</v>
      </c>
      <c r="D2996" s="8">
        <f ca="1">IFERROR(__xludf.DUMMYFUNCTION("""COMPUTED_VALUE"""),5)</f>
        <v>5</v>
      </c>
      <c r="E2996" s="2">
        <f ca="1">IFERROR(__xludf.DUMMYFUNCTION("""COMPUTED_VALUE"""),2)</f>
        <v>2</v>
      </c>
    </row>
    <row r="2997" spans="1:5" ht="13">
      <c r="A2997" s="2" t="str">
        <f ca="1">IFERROR(__xludf.DUMMYFUNCTION("""COMPUTED_VALUE"""),"Giardini, Felice de")</f>
        <v>Giardini, Felice de</v>
      </c>
      <c r="B2997" s="3">
        <f ca="1">IFERROR(__xludf.DUMMYFUNCTION("""COMPUTED_VALUE"""),1)</f>
        <v>1</v>
      </c>
      <c r="C2997" s="7">
        <f ca="1">IFERROR(__xludf.DUMMYFUNCTION("""COMPUTED_VALUE"""),1)</f>
        <v>1</v>
      </c>
      <c r="D2997" s="8">
        <f ca="1">IFERROR(__xludf.DUMMYFUNCTION("""COMPUTED_VALUE"""),5)</f>
        <v>5</v>
      </c>
      <c r="E2997" s="2">
        <f ca="1">IFERROR(__xludf.DUMMYFUNCTION("""COMPUTED_VALUE"""),2)</f>
        <v>2</v>
      </c>
    </row>
    <row r="2998" spans="1:5" ht="13">
      <c r="A2998" s="8" t="str">
        <f ca="1">IFERROR(__xludf.DUMMYFUNCTION("""COMPUTED_VALUE"""),"Giardiniere, David")</f>
        <v>Giardiniere, David</v>
      </c>
      <c r="B2998" s="3">
        <f ca="1">IFERROR(__xludf.DUMMYFUNCTION("""COMPUTED_VALUE"""),1)</f>
        <v>1</v>
      </c>
      <c r="C2998" s="7">
        <f ca="1">IFERROR(__xludf.DUMMYFUNCTION("""COMPUTED_VALUE"""),1)</f>
        <v>1</v>
      </c>
      <c r="D2998" s="8">
        <f ca="1">IFERROR(__xludf.DUMMYFUNCTION("""COMPUTED_VALUE"""),1)</f>
        <v>1</v>
      </c>
      <c r="E2998" s="2">
        <f ca="1">IFERROR(__xludf.DUMMYFUNCTION("""COMPUTED_VALUE"""),1)</f>
        <v>1</v>
      </c>
    </row>
    <row r="2999" spans="1:5" ht="13">
      <c r="A2999" s="2" t="str">
        <f ca="1">IFERROR(__xludf.DUMMYFUNCTION("""COMPUTED_VALUE"""),"Giazotto, Remo")</f>
        <v>Giazotto, Remo</v>
      </c>
      <c r="B2999" s="3">
        <f ca="1">IFERROR(__xludf.DUMMYFUNCTION("""COMPUTED_VALUE"""),1)</f>
        <v>1</v>
      </c>
      <c r="C2999" s="7">
        <f ca="1">IFERROR(__xludf.DUMMYFUNCTION("""COMPUTED_VALUE"""),1)</f>
        <v>1</v>
      </c>
      <c r="D2999" s="8">
        <f ca="1">IFERROR(__xludf.DUMMYFUNCTION("""COMPUTED_VALUE"""),5)</f>
        <v>5</v>
      </c>
      <c r="E2999" s="2">
        <f ca="1">IFERROR(__xludf.DUMMYFUNCTION("""COMPUTED_VALUE"""),2)</f>
        <v>2</v>
      </c>
    </row>
    <row r="3000" spans="1:5" ht="13">
      <c r="A3000" s="2" t="str">
        <f ca="1">IFERROR(__xludf.DUMMYFUNCTION("""COMPUTED_VALUE"""),"Gibb, James")</f>
        <v>Gibb, James</v>
      </c>
      <c r="B3000" s="2">
        <f ca="1">IFERROR(__xludf.DUMMYFUNCTION("""COMPUTED_VALUE"""),1)</f>
        <v>1</v>
      </c>
      <c r="C3000" s="2">
        <f ca="1">IFERROR(__xludf.DUMMYFUNCTION("""COMPUTED_VALUE"""),1)</f>
        <v>1</v>
      </c>
      <c r="D3000" s="8">
        <f ca="1">IFERROR(__xludf.DUMMYFUNCTION("""COMPUTED_VALUE"""),5)</f>
        <v>5</v>
      </c>
      <c r="E3000" s="2">
        <f ca="1">IFERROR(__xludf.DUMMYFUNCTION("""COMPUTED_VALUE"""),2)</f>
        <v>2</v>
      </c>
    </row>
    <row r="3001" spans="1:5" ht="13">
      <c r="A3001" s="8" t="str">
        <f ca="1">IFERROR(__xludf.DUMMYFUNCTION("""COMPUTED_VALUE"""),"Gibb, Robert W.")</f>
        <v>Gibb, Robert W.</v>
      </c>
      <c r="B3001" s="9">
        <f ca="1">IFERROR(__xludf.DUMMYFUNCTION("""COMPUTED_VALUE"""),1)</f>
        <v>1</v>
      </c>
      <c r="C3001" s="7">
        <f ca="1">IFERROR(__xludf.DUMMYFUNCTION("""COMPUTED_VALUE"""),1)</f>
        <v>1</v>
      </c>
      <c r="D3001" s="8">
        <f ca="1">IFERROR(__xludf.DUMMYFUNCTION("""COMPUTED_VALUE"""),5)</f>
        <v>5</v>
      </c>
      <c r="E3001" s="9">
        <f ca="1">IFERROR(__xludf.DUMMYFUNCTION("""COMPUTED_VALUE"""),2)</f>
        <v>2</v>
      </c>
    </row>
    <row r="3002" spans="1:5" ht="13">
      <c r="A3002" s="2" t="str">
        <f ca="1">IFERROR(__xludf.DUMMYFUNCTION("""COMPUTED_VALUE"""),"Gibbons, Henry")</f>
        <v>Gibbons, Henry</v>
      </c>
      <c r="B3002" s="2">
        <f ca="1">IFERROR(__xludf.DUMMYFUNCTION("""COMPUTED_VALUE"""),1)</f>
        <v>1</v>
      </c>
      <c r="C3002" s="2">
        <f ca="1">IFERROR(__xludf.DUMMYFUNCTION("""COMPUTED_VALUE"""),1)</f>
        <v>1</v>
      </c>
      <c r="D3002" s="8">
        <f ca="1">IFERROR(__xludf.DUMMYFUNCTION("""COMPUTED_VALUE"""),1)</f>
        <v>1</v>
      </c>
      <c r="E3002" s="2">
        <f ca="1">IFERROR(__xludf.DUMMYFUNCTION("""COMPUTED_VALUE"""),1)</f>
        <v>1</v>
      </c>
    </row>
    <row r="3003" spans="1:5" ht="13">
      <c r="A3003" s="8" t="str">
        <f ca="1">IFERROR(__xludf.DUMMYFUNCTION("""COMPUTED_VALUE"""),"Gibbons, Orlando")</f>
        <v>Gibbons, Orlando</v>
      </c>
      <c r="B3003" s="3">
        <f ca="1">IFERROR(__xludf.DUMMYFUNCTION("""COMPUTED_VALUE"""),1)</f>
        <v>1</v>
      </c>
      <c r="C3003" s="7">
        <f ca="1">IFERROR(__xludf.DUMMYFUNCTION("""COMPUTED_VALUE"""),1)</f>
        <v>1</v>
      </c>
      <c r="D3003" s="8">
        <f ca="1">IFERROR(__xludf.DUMMYFUNCTION("""COMPUTED_VALUE"""),5)</f>
        <v>5</v>
      </c>
      <c r="E3003" s="2">
        <f ca="1">IFERROR(__xludf.DUMMYFUNCTION("""COMPUTED_VALUE"""),2)</f>
        <v>2</v>
      </c>
    </row>
    <row r="3004" spans="1:5" ht="13">
      <c r="A3004" s="8" t="str">
        <f ca="1">IFERROR(__xludf.DUMMYFUNCTION("""COMPUTED_VALUE"""),"Gibbs, Cecil Armstrong")</f>
        <v>Gibbs, Cecil Armstrong</v>
      </c>
      <c r="B3004" s="3">
        <f ca="1">IFERROR(__xludf.DUMMYFUNCTION("""COMPUTED_VALUE"""),1)</f>
        <v>1</v>
      </c>
      <c r="C3004" s="7">
        <f ca="1">IFERROR(__xludf.DUMMYFUNCTION("""COMPUTED_VALUE"""),1)</f>
        <v>1</v>
      </c>
      <c r="D3004" s="8">
        <f ca="1">IFERROR(__xludf.DUMMYFUNCTION("""COMPUTED_VALUE"""),5)</f>
        <v>5</v>
      </c>
      <c r="E3004" s="2">
        <f ca="1">IFERROR(__xludf.DUMMYFUNCTION("""COMPUTED_VALUE"""),2)</f>
        <v>2</v>
      </c>
    </row>
    <row r="3005" spans="1:5" ht="13">
      <c r="A3005" s="2" t="str">
        <f ca="1">IFERROR(__xludf.DUMMYFUNCTION("""COMPUTED_VALUE"""),"Gibson, David")</f>
        <v>Gibson, David</v>
      </c>
      <c r="B3005" s="3">
        <f ca="1">IFERROR(__xludf.DUMMYFUNCTION("""COMPUTED_VALUE"""),1)</f>
        <v>1</v>
      </c>
      <c r="C3005" s="7">
        <f ca="1">IFERROR(__xludf.DUMMYFUNCTION("""COMPUTED_VALUE"""),1)</f>
        <v>1</v>
      </c>
      <c r="D3005" s="8">
        <f ca="1">IFERROR(__xludf.DUMMYFUNCTION("""COMPUTED_VALUE"""),1)</f>
        <v>1</v>
      </c>
      <c r="E3005" s="2">
        <f ca="1">IFERROR(__xludf.DUMMYFUNCTION("""COMPUTED_VALUE"""),1)</f>
        <v>1</v>
      </c>
    </row>
    <row r="3006" spans="1:5" ht="13">
      <c r="A3006" s="2" t="str">
        <f ca="1">IFERROR(__xludf.DUMMYFUNCTION("""COMPUTED_VALUE"""),"Gibson, Don")</f>
        <v>Gibson, Don</v>
      </c>
      <c r="B3006" s="2">
        <f ca="1">IFERROR(__xludf.DUMMYFUNCTION("""COMPUTED_VALUE"""),1)</f>
        <v>1</v>
      </c>
      <c r="C3006" s="7">
        <f ca="1">IFERROR(__xludf.DUMMYFUNCTION("""COMPUTED_VALUE"""),1)</f>
        <v>1</v>
      </c>
      <c r="D3006" s="8">
        <f ca="1">IFERROR(__xludf.DUMMYFUNCTION("""COMPUTED_VALUE"""),5)</f>
        <v>5</v>
      </c>
      <c r="E3006" s="2">
        <f ca="1">IFERROR(__xludf.DUMMYFUNCTION("""COMPUTED_VALUE"""),2)</f>
        <v>2</v>
      </c>
    </row>
    <row r="3007" spans="1:5" ht="13">
      <c r="A3007" s="8" t="str">
        <f ca="1">IFERROR(__xludf.DUMMYFUNCTION("""COMPUTED_VALUE"""),"Gibson, Douglas")</f>
        <v>Gibson, Douglas</v>
      </c>
      <c r="B3007" s="3">
        <f ca="1">IFERROR(__xludf.DUMMYFUNCTION("""COMPUTED_VALUE"""),1)</f>
        <v>1</v>
      </c>
      <c r="C3007" s="7">
        <f ca="1">IFERROR(__xludf.DUMMYFUNCTION("""COMPUTED_VALUE"""),1)</f>
        <v>1</v>
      </c>
      <c r="D3007" s="8">
        <f ca="1">IFERROR(__xludf.DUMMYFUNCTION("""COMPUTED_VALUE"""),1)</f>
        <v>1</v>
      </c>
      <c r="E3007" s="2">
        <f ca="1">IFERROR(__xludf.DUMMYFUNCTION("""COMPUTED_VALUE"""),1)</f>
        <v>1</v>
      </c>
    </row>
    <row r="3008" spans="1:5" ht="13">
      <c r="A3008" s="8" t="str">
        <f ca="1">IFERROR(__xludf.DUMMYFUNCTION("""COMPUTED_VALUE"""),"Gibson, John")</f>
        <v>Gibson, John</v>
      </c>
      <c r="B3008" s="3">
        <f ca="1">IFERROR(__xludf.DUMMYFUNCTION("""COMPUTED_VALUE"""),1)</f>
        <v>1</v>
      </c>
      <c r="C3008" s="7">
        <f ca="1">IFERROR(__xludf.DUMMYFUNCTION("""COMPUTED_VALUE"""),1)</f>
        <v>1</v>
      </c>
      <c r="D3008" s="8">
        <f ca="1">IFERROR(__xludf.DUMMYFUNCTION("""COMPUTED_VALUE"""),1)</f>
        <v>1</v>
      </c>
      <c r="E3008" s="2">
        <f ca="1">IFERROR(__xludf.DUMMYFUNCTION("""COMPUTED_VALUE"""),1)</f>
        <v>1</v>
      </c>
    </row>
    <row r="3009" spans="1:5" ht="13">
      <c r="A3009" s="2" t="str">
        <f ca="1">IFERROR(__xludf.DUMMYFUNCTION("""COMPUTED_VALUE"""),"Gibson, John Wesley")</f>
        <v>Gibson, John Wesley</v>
      </c>
      <c r="B3009" s="3">
        <f ca="1">IFERROR(__xludf.DUMMYFUNCTION("""COMPUTED_VALUE"""),1)</f>
        <v>1</v>
      </c>
      <c r="C3009" s="7">
        <f ca="1">IFERROR(__xludf.DUMMYFUNCTION("""COMPUTED_VALUE"""),1)</f>
        <v>1</v>
      </c>
      <c r="D3009" s="8">
        <f ca="1">IFERROR(__xludf.DUMMYFUNCTION("""COMPUTED_VALUE"""),1)</f>
        <v>1</v>
      </c>
      <c r="E3009" s="2">
        <f ca="1">IFERROR(__xludf.DUMMYFUNCTION("""COMPUTED_VALUE"""),1)</f>
        <v>1</v>
      </c>
    </row>
    <row r="3010" spans="1:5" ht="13">
      <c r="A3010" s="2" t="str">
        <f ca="1">IFERROR(__xludf.DUMMYFUNCTION("""COMPUTED_VALUE"""),"Gibson, Robert")</f>
        <v>Gibson, Robert</v>
      </c>
      <c r="B3010" s="3">
        <f ca="1">IFERROR(__xludf.DUMMYFUNCTION("""COMPUTED_VALUE"""),1)</f>
        <v>1</v>
      </c>
      <c r="C3010" s="7">
        <f ca="1">IFERROR(__xludf.DUMMYFUNCTION("""COMPUTED_VALUE"""),1)</f>
        <v>1</v>
      </c>
      <c r="D3010" s="8">
        <f ca="1">IFERROR(__xludf.DUMMYFUNCTION("""COMPUTED_VALUE"""),1)</f>
        <v>1</v>
      </c>
      <c r="E3010" s="2">
        <f ca="1">IFERROR(__xludf.DUMMYFUNCTION("""COMPUTED_VALUE"""),1)</f>
        <v>1</v>
      </c>
    </row>
    <row r="3011" spans="1:5" ht="13">
      <c r="A3011" s="2" t="str">
        <f ca="1">IFERROR(__xludf.DUMMYFUNCTION("""COMPUTED_VALUE"""),"Gielas, Robert J.")</f>
        <v>Gielas, Robert J.</v>
      </c>
      <c r="B3011" s="3">
        <f ca="1">IFERROR(__xludf.DUMMYFUNCTION("""COMPUTED_VALUE"""),1)</f>
        <v>1</v>
      </c>
      <c r="C3011" s="7">
        <f ca="1">IFERROR(__xludf.DUMMYFUNCTION("""COMPUTED_VALUE"""),1)</f>
        <v>1</v>
      </c>
      <c r="D3011" s="8">
        <f ca="1">IFERROR(__xludf.DUMMYFUNCTION("""COMPUTED_VALUE"""),1)</f>
        <v>1</v>
      </c>
      <c r="E3011" s="2">
        <f ca="1">IFERROR(__xludf.DUMMYFUNCTION("""COMPUTED_VALUE"""),1)</f>
        <v>1</v>
      </c>
    </row>
    <row r="3012" spans="1:5" ht="13">
      <c r="A3012" s="8" t="str">
        <f ca="1">IFERROR(__xludf.DUMMYFUNCTION("""COMPUTED_VALUE"""),"Giesler, Robert")</f>
        <v>Giesler, Robert</v>
      </c>
      <c r="B3012" s="3">
        <f ca="1">IFERROR(__xludf.DUMMYFUNCTION("""COMPUTED_VALUE"""),1)</f>
        <v>1</v>
      </c>
      <c r="C3012" s="7">
        <f ca="1">IFERROR(__xludf.DUMMYFUNCTION("""COMPUTED_VALUE"""),1)</f>
        <v>1</v>
      </c>
      <c r="D3012" s="8">
        <f ca="1">IFERROR(__xludf.DUMMYFUNCTION("""COMPUTED_VALUE"""),1)</f>
        <v>1</v>
      </c>
      <c r="E3012" s="2">
        <f ca="1">IFERROR(__xludf.DUMMYFUNCTION("""COMPUTED_VALUE"""),1)</f>
        <v>1</v>
      </c>
    </row>
    <row r="3013" spans="1:5" ht="13">
      <c r="A3013" s="2" t="str">
        <f ca="1">IFERROR(__xludf.DUMMYFUNCTION("""COMPUTED_VALUE"""),"Gigout, Eugene")</f>
        <v>Gigout, Eugene</v>
      </c>
      <c r="B3013" s="3">
        <f ca="1">IFERROR(__xludf.DUMMYFUNCTION("""COMPUTED_VALUE"""),1)</f>
        <v>1</v>
      </c>
      <c r="C3013" s="7">
        <f ca="1">IFERROR(__xludf.DUMMYFUNCTION("""COMPUTED_VALUE"""),1)</f>
        <v>1</v>
      </c>
      <c r="D3013" s="8">
        <f ca="1">IFERROR(__xludf.DUMMYFUNCTION("""COMPUTED_VALUE"""),5)</f>
        <v>5</v>
      </c>
      <c r="E3013" s="2">
        <f ca="1">IFERROR(__xludf.DUMMYFUNCTION("""COMPUTED_VALUE"""),2)</f>
        <v>2</v>
      </c>
    </row>
    <row r="3014" spans="1:5" ht="13">
      <c r="A3014" s="2" t="str">
        <f ca="1">IFERROR(__xludf.DUMMYFUNCTION("""COMPUTED_VALUE"""),"Gigout, Eugène")</f>
        <v>Gigout, Eugène</v>
      </c>
      <c r="B3014" s="2">
        <f ca="1">IFERROR(__xludf.DUMMYFUNCTION("""COMPUTED_VALUE"""),1)</f>
        <v>1</v>
      </c>
      <c r="C3014" s="2">
        <f ca="1">IFERROR(__xludf.DUMMYFUNCTION("""COMPUTED_VALUE"""),1)</f>
        <v>1</v>
      </c>
      <c r="D3014" s="8">
        <f ca="1">IFERROR(__xludf.DUMMYFUNCTION("""COMPUTED_VALUE"""),5)</f>
        <v>5</v>
      </c>
      <c r="E3014" s="2">
        <f ca="1">IFERROR(__xludf.DUMMYFUNCTION("""COMPUTED_VALUE"""),2)</f>
        <v>2</v>
      </c>
    </row>
    <row r="3015" spans="1:5" ht="13">
      <c r="A3015" s="2" t="str">
        <f ca="1">IFERROR(__xludf.DUMMYFUNCTION("""COMPUTED_VALUE"""),"Gilbert, Jay")</f>
        <v>Gilbert, Jay</v>
      </c>
      <c r="B3015" s="3">
        <f ca="1">IFERROR(__xludf.DUMMYFUNCTION("""COMPUTED_VALUE"""),1)</f>
        <v>1</v>
      </c>
      <c r="C3015" s="7">
        <f ca="1">IFERROR(__xludf.DUMMYFUNCTION("""COMPUTED_VALUE"""),1)</f>
        <v>1</v>
      </c>
      <c r="D3015" s="8">
        <f ca="1">IFERROR(__xludf.DUMMYFUNCTION("""COMPUTED_VALUE"""),1)</f>
        <v>1</v>
      </c>
      <c r="E3015" s="2">
        <f ca="1">IFERROR(__xludf.DUMMYFUNCTION("""COMPUTED_VALUE"""),1)</f>
        <v>1</v>
      </c>
    </row>
    <row r="3016" spans="1:5" ht="13">
      <c r="A3016" s="2" t="str">
        <f ca="1">IFERROR(__xludf.DUMMYFUNCTION("""COMPUTED_VALUE"""),"Gilbert, Norman")</f>
        <v>Gilbert, Norman</v>
      </c>
      <c r="B3016" s="3">
        <f ca="1">IFERROR(__xludf.DUMMYFUNCTION("""COMPUTED_VALUE"""),1)</f>
        <v>1</v>
      </c>
      <c r="C3016" s="7">
        <f ca="1">IFERROR(__xludf.DUMMYFUNCTION("""COMPUTED_VALUE"""),1)</f>
        <v>1</v>
      </c>
      <c r="D3016" s="8">
        <f ca="1">IFERROR(__xludf.DUMMYFUNCTION("""COMPUTED_VALUE"""),5)</f>
        <v>5</v>
      </c>
      <c r="E3016" s="2">
        <f ca="1">IFERROR(__xludf.DUMMYFUNCTION("""COMPUTED_VALUE"""),2)</f>
        <v>2</v>
      </c>
    </row>
    <row r="3017" spans="1:5" ht="13">
      <c r="A3017" s="2" t="str">
        <f ca="1">IFERROR(__xludf.DUMMYFUNCTION("""COMPUTED_VALUE"""),"Gilbertson, Michael")</f>
        <v>Gilbertson, Michael</v>
      </c>
      <c r="B3017" s="3">
        <f ca="1">IFERROR(__xludf.DUMMYFUNCTION("""COMPUTED_VALUE"""),1)</f>
        <v>1</v>
      </c>
      <c r="C3017" s="7">
        <f ca="1">IFERROR(__xludf.DUMMYFUNCTION("""COMPUTED_VALUE"""),1)</f>
        <v>1</v>
      </c>
      <c r="D3017" s="8">
        <f ca="1">IFERROR(__xludf.DUMMYFUNCTION("""COMPUTED_VALUE"""),1)</f>
        <v>1</v>
      </c>
      <c r="E3017" s="2">
        <f ca="1">IFERROR(__xludf.DUMMYFUNCTION("""COMPUTED_VALUE"""),1)</f>
        <v>1</v>
      </c>
    </row>
    <row r="3018" spans="1:5" ht="13">
      <c r="A3018" s="8" t="str">
        <f ca="1">IFERROR(__xludf.DUMMYFUNCTION("""COMPUTED_VALUE"""),"Gilchrist, Paul")</f>
        <v>Gilchrist, Paul</v>
      </c>
      <c r="B3018" s="3">
        <f ca="1">IFERROR(__xludf.DUMMYFUNCTION("""COMPUTED_VALUE"""),1)</f>
        <v>1</v>
      </c>
      <c r="C3018" s="7">
        <f ca="1">IFERROR(__xludf.DUMMYFUNCTION("""COMPUTED_VALUE"""),1)</f>
        <v>1</v>
      </c>
      <c r="D3018" s="8">
        <f ca="1">IFERROR(__xludf.DUMMYFUNCTION("""COMPUTED_VALUE"""),5)</f>
        <v>5</v>
      </c>
      <c r="E3018" s="2">
        <f ca="1">IFERROR(__xludf.DUMMYFUNCTION("""COMPUTED_VALUE"""),2)</f>
        <v>2</v>
      </c>
    </row>
    <row r="3019" spans="1:5" ht="13">
      <c r="A3019" s="2" t="str">
        <f ca="1">IFERROR(__xludf.DUMMYFUNCTION("""COMPUTED_VALUE"""),"Gilkes, Marshall")</f>
        <v>Gilkes, Marshall</v>
      </c>
      <c r="B3019" s="3">
        <f ca="1">IFERROR(__xludf.DUMMYFUNCTION("""COMPUTED_VALUE"""),1)</f>
        <v>1</v>
      </c>
      <c r="C3019" s="7">
        <f ca="1">IFERROR(__xludf.DUMMYFUNCTION("""COMPUTED_VALUE"""),1)</f>
        <v>1</v>
      </c>
      <c r="D3019" s="8">
        <f ca="1">IFERROR(__xludf.DUMMYFUNCTION("""COMPUTED_VALUE"""),1)</f>
        <v>1</v>
      </c>
      <c r="E3019" s="2">
        <f ca="1">IFERROR(__xludf.DUMMYFUNCTION("""COMPUTED_VALUE"""),1)</f>
        <v>1</v>
      </c>
    </row>
    <row r="3020" spans="1:5" ht="13">
      <c r="A3020" s="2" t="str">
        <f ca="1">IFERROR(__xludf.DUMMYFUNCTION("""COMPUTED_VALUE"""),"Gilkyson, Terry")</f>
        <v>Gilkyson, Terry</v>
      </c>
      <c r="B3020" s="3">
        <f ca="1">IFERROR(__xludf.DUMMYFUNCTION("""COMPUTED_VALUE"""),1)</f>
        <v>1</v>
      </c>
      <c r="C3020" s="7">
        <f ca="1">IFERROR(__xludf.DUMMYFUNCTION("""COMPUTED_VALUE"""),1)</f>
        <v>1</v>
      </c>
      <c r="D3020" s="8">
        <f ca="1">IFERROR(__xludf.DUMMYFUNCTION("""COMPUTED_VALUE"""),5)</f>
        <v>5</v>
      </c>
      <c r="E3020" s="2">
        <f ca="1">IFERROR(__xludf.DUMMYFUNCTION("""COMPUTED_VALUE"""),2)</f>
        <v>2</v>
      </c>
    </row>
    <row r="3021" spans="1:5" ht="13">
      <c r="A3021" s="2" t="str">
        <f ca="1">IFERROR(__xludf.DUMMYFUNCTION("""COMPUTED_VALUE"""),"Gill, Jeremy")</f>
        <v>Gill, Jeremy</v>
      </c>
      <c r="B3021" s="3">
        <f ca="1">IFERROR(__xludf.DUMMYFUNCTION("""COMPUTED_VALUE"""),1)</f>
        <v>1</v>
      </c>
      <c r="C3021" s="7">
        <f ca="1">IFERROR(__xludf.DUMMYFUNCTION("""COMPUTED_VALUE"""),1)</f>
        <v>1</v>
      </c>
      <c r="D3021" s="8">
        <f ca="1">IFERROR(__xludf.DUMMYFUNCTION("""COMPUTED_VALUE"""),1)</f>
        <v>1</v>
      </c>
      <c r="E3021" s="2">
        <f ca="1">IFERROR(__xludf.DUMMYFUNCTION("""COMPUTED_VALUE"""),1)</f>
        <v>1</v>
      </c>
    </row>
    <row r="3022" spans="1:5" ht="13">
      <c r="A3022" s="2" t="str">
        <f ca="1">IFERROR(__xludf.DUMMYFUNCTION("""COMPUTED_VALUE"""),"Gill, Randall")</f>
        <v>Gill, Randall</v>
      </c>
      <c r="B3022" s="3">
        <f ca="1">IFERROR(__xludf.DUMMYFUNCTION("""COMPUTED_VALUE"""),1)</f>
        <v>1</v>
      </c>
      <c r="C3022" s="7">
        <f ca="1">IFERROR(__xludf.DUMMYFUNCTION("""COMPUTED_VALUE"""),1)</f>
        <v>1</v>
      </c>
      <c r="D3022" s="8">
        <f ca="1">IFERROR(__xludf.DUMMYFUNCTION("""COMPUTED_VALUE"""),1)</f>
        <v>1</v>
      </c>
      <c r="E3022" s="2">
        <f ca="1">IFERROR(__xludf.DUMMYFUNCTION("""COMPUTED_VALUE"""),1)</f>
        <v>1</v>
      </c>
    </row>
    <row r="3023" spans="1:5" ht="13">
      <c r="A3023" s="2" t="str">
        <f ca="1">IFERROR(__xludf.DUMMYFUNCTION("""COMPUTED_VALUE"""),"Gill, Vince")</f>
        <v>Gill, Vince</v>
      </c>
      <c r="B3023" s="3">
        <f ca="1">IFERROR(__xludf.DUMMYFUNCTION("""COMPUTED_VALUE"""),1)</f>
        <v>1</v>
      </c>
      <c r="C3023" s="7">
        <f ca="1">IFERROR(__xludf.DUMMYFUNCTION("""COMPUTED_VALUE"""),1)</f>
        <v>1</v>
      </c>
      <c r="D3023" s="8">
        <f ca="1">IFERROR(__xludf.DUMMYFUNCTION("""COMPUTED_VALUE"""),1)</f>
        <v>1</v>
      </c>
      <c r="E3023" s="2">
        <f ca="1">IFERROR(__xludf.DUMMYFUNCTION("""COMPUTED_VALUE"""),1)</f>
        <v>1</v>
      </c>
    </row>
    <row r="3024" spans="1:5" ht="13">
      <c r="A3024" s="2" t="str">
        <f ca="1">IFERROR(__xludf.DUMMYFUNCTION("""COMPUTED_VALUE"""),"Gillam, Russell C.")</f>
        <v>Gillam, Russell C.</v>
      </c>
      <c r="B3024" s="3">
        <f ca="1">IFERROR(__xludf.DUMMYFUNCTION("""COMPUTED_VALUE"""),1)</f>
        <v>1</v>
      </c>
      <c r="C3024" s="7">
        <f ca="1">IFERROR(__xludf.DUMMYFUNCTION("""COMPUTED_VALUE"""),1)</f>
        <v>1</v>
      </c>
      <c r="D3024" s="8">
        <f ca="1">IFERROR(__xludf.DUMMYFUNCTION("""COMPUTED_VALUE"""),1)</f>
        <v>1</v>
      </c>
      <c r="E3024" s="2">
        <f ca="1">IFERROR(__xludf.DUMMYFUNCTION("""COMPUTED_VALUE"""),1)</f>
        <v>1</v>
      </c>
    </row>
    <row r="3025" spans="1:5" ht="13">
      <c r="A3025" s="8" t="str">
        <f ca="1">IFERROR(__xludf.DUMMYFUNCTION("""COMPUTED_VALUE"""),"Gillespie, Robert")</f>
        <v>Gillespie, Robert</v>
      </c>
      <c r="B3025" s="3">
        <f ca="1">IFERROR(__xludf.DUMMYFUNCTION("""COMPUTED_VALUE"""),1)</f>
        <v>1</v>
      </c>
      <c r="C3025" s="7">
        <f ca="1">IFERROR(__xludf.DUMMYFUNCTION("""COMPUTED_VALUE"""),1)</f>
        <v>1</v>
      </c>
      <c r="D3025" s="8">
        <f ca="1">IFERROR(__xludf.DUMMYFUNCTION("""COMPUTED_VALUE"""),1)</f>
        <v>1</v>
      </c>
      <c r="E3025" s="2">
        <f ca="1">IFERROR(__xludf.DUMMYFUNCTION("""COMPUTED_VALUE"""),1)</f>
        <v>1</v>
      </c>
    </row>
    <row r="3026" spans="1:5" ht="13">
      <c r="A3026" s="2" t="str">
        <f ca="1">IFERROR(__xludf.DUMMYFUNCTION("""COMPUTED_VALUE"""),"Gillet, Ernest")</f>
        <v>Gillet, Ernest</v>
      </c>
      <c r="B3026" s="3">
        <f ca="1">IFERROR(__xludf.DUMMYFUNCTION("""COMPUTED_VALUE"""),1)</f>
        <v>1</v>
      </c>
      <c r="C3026" s="7">
        <f ca="1">IFERROR(__xludf.DUMMYFUNCTION("""COMPUTED_VALUE"""),1)</f>
        <v>1</v>
      </c>
      <c r="D3026" s="8">
        <f ca="1">IFERROR(__xludf.DUMMYFUNCTION("""COMPUTED_VALUE"""),5)</f>
        <v>5</v>
      </c>
      <c r="E3026" s="2">
        <f ca="1">IFERROR(__xludf.DUMMYFUNCTION("""COMPUTED_VALUE"""),2)</f>
        <v>2</v>
      </c>
    </row>
    <row r="3027" spans="1:5" ht="13">
      <c r="A3027" s="2" t="str">
        <f ca="1">IFERROR(__xludf.DUMMYFUNCTION("""COMPUTED_VALUE"""),"Gillette, James")</f>
        <v>Gillette, James</v>
      </c>
      <c r="B3027" s="3">
        <f ca="1">IFERROR(__xludf.DUMMYFUNCTION("""COMPUTED_VALUE"""),1)</f>
        <v>1</v>
      </c>
      <c r="C3027" s="7">
        <f ca="1">IFERROR(__xludf.DUMMYFUNCTION("""COMPUTED_VALUE"""),1)</f>
        <v>1</v>
      </c>
      <c r="D3027" s="8">
        <f ca="1">IFERROR(__xludf.DUMMYFUNCTION("""COMPUTED_VALUE"""),5)</f>
        <v>5</v>
      </c>
      <c r="E3027" s="2">
        <f ca="1">IFERROR(__xludf.DUMMYFUNCTION("""COMPUTED_VALUE"""),2)</f>
        <v>2</v>
      </c>
    </row>
    <row r="3028" spans="1:5" ht="13">
      <c r="A3028" s="2" t="str">
        <f ca="1">IFERROR(__xludf.DUMMYFUNCTION("""COMPUTED_VALUE"""),"Gillette, James / Campbell-Watson, Frank")</f>
        <v>Gillette, James / Campbell-Watson, Frank</v>
      </c>
      <c r="B3028" s="3">
        <f ca="1">IFERROR(__xludf.DUMMYFUNCTION("""COMPUTED_VALUE"""),1)</f>
        <v>1</v>
      </c>
      <c r="C3028" s="7">
        <f ca="1">IFERROR(__xludf.DUMMYFUNCTION("""COMPUTED_VALUE"""),1)</f>
        <v>1</v>
      </c>
      <c r="D3028" s="8">
        <f ca="1">IFERROR(__xludf.DUMMYFUNCTION("""COMPUTED_VALUE"""),5)</f>
        <v>5</v>
      </c>
      <c r="E3028" s="2">
        <f ca="1">IFERROR(__xludf.DUMMYFUNCTION("""COMPUTED_VALUE"""),2)</f>
        <v>2</v>
      </c>
    </row>
    <row r="3029" spans="1:5" ht="13">
      <c r="A3029" s="2" t="str">
        <f ca="1">IFERROR(__xludf.DUMMYFUNCTION("""COMPUTED_VALUE"""),"Gilliam, R. Lee")</f>
        <v>Gilliam, R. Lee</v>
      </c>
      <c r="B3029" s="3">
        <f ca="1">IFERROR(__xludf.DUMMYFUNCTION("""COMPUTED_VALUE"""),1)</f>
        <v>1</v>
      </c>
      <c r="C3029" s="7">
        <f ca="1">IFERROR(__xludf.DUMMYFUNCTION("""COMPUTED_VALUE"""),1)</f>
        <v>1</v>
      </c>
      <c r="D3029" s="8">
        <f ca="1">IFERROR(__xludf.DUMMYFUNCTION("""COMPUTED_VALUE"""),5)</f>
        <v>5</v>
      </c>
      <c r="E3029" s="2">
        <f ca="1">IFERROR(__xludf.DUMMYFUNCTION("""COMPUTED_VALUE"""),2)</f>
        <v>2</v>
      </c>
    </row>
    <row r="3030" spans="1:5" ht="13">
      <c r="A3030" s="8" t="str">
        <f ca="1">IFERROR(__xludf.DUMMYFUNCTION("""COMPUTED_VALUE"""),"Gillies, Douglas")</f>
        <v>Gillies, Douglas</v>
      </c>
      <c r="B3030" s="3">
        <f ca="1">IFERROR(__xludf.DUMMYFUNCTION("""COMPUTED_VALUE"""),1)</f>
        <v>1</v>
      </c>
      <c r="C3030" s="7">
        <f ca="1">IFERROR(__xludf.DUMMYFUNCTION("""COMPUTED_VALUE"""),1)</f>
        <v>1</v>
      </c>
      <c r="D3030" s="8">
        <f ca="1">IFERROR(__xludf.DUMMYFUNCTION("""COMPUTED_VALUE"""),5)</f>
        <v>5</v>
      </c>
      <c r="E3030" s="2">
        <f ca="1">IFERROR(__xludf.DUMMYFUNCTION("""COMPUTED_VALUE"""),2)</f>
        <v>2</v>
      </c>
    </row>
    <row r="3031" spans="1:5" ht="13">
      <c r="A3031" s="2" t="str">
        <f ca="1">IFERROR(__xludf.DUMMYFUNCTION("""COMPUTED_VALUE"""),"Gilliland, Alan")</f>
        <v>Gilliland, Alan</v>
      </c>
      <c r="B3031" s="3">
        <f ca="1">IFERROR(__xludf.DUMMYFUNCTION("""COMPUTED_VALUE"""),1)</f>
        <v>1</v>
      </c>
      <c r="C3031" s="7">
        <f ca="1">IFERROR(__xludf.DUMMYFUNCTION("""COMPUTED_VALUE"""),1)</f>
        <v>1</v>
      </c>
      <c r="D3031" s="8">
        <f ca="1">IFERROR(__xludf.DUMMYFUNCTION("""COMPUTED_VALUE"""),1)</f>
        <v>1</v>
      </c>
      <c r="E3031" s="2">
        <f ca="1">IFERROR(__xludf.DUMMYFUNCTION("""COMPUTED_VALUE"""),1)</f>
        <v>1</v>
      </c>
    </row>
    <row r="3032" spans="1:5" ht="13">
      <c r="A3032" s="2" t="str">
        <f ca="1">IFERROR(__xludf.DUMMYFUNCTION("""COMPUTED_VALUE"""),"Gilliland, Allan")</f>
        <v>Gilliland, Allan</v>
      </c>
      <c r="B3032" s="3">
        <f ca="1">IFERROR(__xludf.DUMMYFUNCTION("""COMPUTED_VALUE"""),1)</f>
        <v>1</v>
      </c>
      <c r="C3032" s="7">
        <f ca="1">IFERROR(__xludf.DUMMYFUNCTION("""COMPUTED_VALUE"""),1)</f>
        <v>1</v>
      </c>
      <c r="D3032" s="8">
        <f ca="1">IFERROR(__xludf.DUMMYFUNCTION("""COMPUTED_VALUE"""),1)</f>
        <v>1</v>
      </c>
      <c r="E3032" s="2">
        <f ca="1">IFERROR(__xludf.DUMMYFUNCTION("""COMPUTED_VALUE"""),1)</f>
        <v>1</v>
      </c>
    </row>
    <row r="3033" spans="1:5" ht="13">
      <c r="A3033" s="2" t="str">
        <f ca="1">IFERROR(__xludf.DUMMYFUNCTION("""COMPUTED_VALUE"""),"Gillingham, David")</f>
        <v>Gillingham, David</v>
      </c>
      <c r="B3033" s="3">
        <f ca="1">IFERROR(__xludf.DUMMYFUNCTION("""COMPUTED_VALUE"""),1)</f>
        <v>1</v>
      </c>
      <c r="C3033" s="7">
        <f ca="1">IFERROR(__xludf.DUMMYFUNCTION("""COMPUTED_VALUE"""),1)</f>
        <v>1</v>
      </c>
      <c r="D3033" s="8">
        <f ca="1">IFERROR(__xludf.DUMMYFUNCTION("""COMPUTED_VALUE"""),1)</f>
        <v>1</v>
      </c>
      <c r="E3033" s="2">
        <f ca="1">IFERROR(__xludf.DUMMYFUNCTION("""COMPUTED_VALUE"""),1)</f>
        <v>1</v>
      </c>
    </row>
    <row r="3034" spans="1:5" ht="13">
      <c r="A3034" s="2" t="str">
        <f ca="1">IFERROR(__xludf.DUMMYFUNCTION("""COMPUTED_VALUE"""),"Gillis, Don")</f>
        <v>Gillis, Don</v>
      </c>
      <c r="B3034" s="3">
        <f ca="1">IFERROR(__xludf.DUMMYFUNCTION("""COMPUTED_VALUE"""),1)</f>
        <v>1</v>
      </c>
      <c r="C3034" s="7">
        <f ca="1">IFERROR(__xludf.DUMMYFUNCTION("""COMPUTED_VALUE"""),1)</f>
        <v>1</v>
      </c>
      <c r="D3034" s="8">
        <f ca="1">IFERROR(__xludf.DUMMYFUNCTION("""COMPUTED_VALUE"""),5)</f>
        <v>5</v>
      </c>
      <c r="E3034" s="2">
        <f ca="1">IFERROR(__xludf.DUMMYFUNCTION("""COMPUTED_VALUE"""),2)</f>
        <v>2</v>
      </c>
    </row>
    <row r="3035" spans="1:5" ht="13">
      <c r="A3035" s="2" t="str">
        <f ca="1">IFERROR(__xludf.DUMMYFUNCTION("""COMPUTED_VALUE"""),"Gillmore, William")</f>
        <v>Gillmore, William</v>
      </c>
      <c r="B3035" s="3">
        <f ca="1">IFERROR(__xludf.DUMMYFUNCTION("""COMPUTED_VALUE"""),1)</f>
        <v>1</v>
      </c>
      <c r="C3035" s="7">
        <f ca="1">IFERROR(__xludf.DUMMYFUNCTION("""COMPUTED_VALUE"""),1)</f>
        <v>1</v>
      </c>
      <c r="D3035" s="8">
        <f ca="1">IFERROR(__xludf.DUMMYFUNCTION("""COMPUTED_VALUE"""),5)</f>
        <v>5</v>
      </c>
      <c r="E3035" s="2">
        <f ca="1">IFERROR(__xludf.DUMMYFUNCTION("""COMPUTED_VALUE"""),2)</f>
        <v>2</v>
      </c>
    </row>
    <row r="3036" spans="1:5" ht="13">
      <c r="A3036" s="2" t="str">
        <f ca="1">IFERROR(__xludf.DUMMYFUNCTION("""COMPUTED_VALUE"""),"Gillott, Matthew")</f>
        <v>Gillott, Matthew</v>
      </c>
      <c r="B3036" s="3">
        <f ca="1">IFERROR(__xludf.DUMMYFUNCTION("""COMPUTED_VALUE"""),1)</f>
        <v>1</v>
      </c>
      <c r="C3036" s="7">
        <f ca="1">IFERROR(__xludf.DUMMYFUNCTION("""COMPUTED_VALUE"""),1)</f>
        <v>1</v>
      </c>
      <c r="D3036" s="8">
        <f ca="1">IFERROR(__xludf.DUMMYFUNCTION("""COMPUTED_VALUE"""),1)</f>
        <v>1</v>
      </c>
      <c r="E3036" s="2">
        <f ca="1">IFERROR(__xludf.DUMMYFUNCTION("""COMPUTED_VALUE"""),1)</f>
        <v>1</v>
      </c>
    </row>
    <row r="3037" spans="1:5" ht="13">
      <c r="A3037" s="2" t="str">
        <f ca="1">IFERROR(__xludf.DUMMYFUNCTION("""COMPUTED_VALUE"""),"Gilmore, Bernard")</f>
        <v>Gilmore, Bernard</v>
      </c>
      <c r="B3037" s="3">
        <f ca="1">IFERROR(__xludf.DUMMYFUNCTION("""COMPUTED_VALUE"""),1)</f>
        <v>1</v>
      </c>
      <c r="C3037" s="7">
        <f ca="1">IFERROR(__xludf.DUMMYFUNCTION("""COMPUTED_VALUE"""),1)</f>
        <v>1</v>
      </c>
      <c r="D3037" s="8">
        <f ca="1">IFERROR(__xludf.DUMMYFUNCTION("""COMPUTED_VALUE"""),5)</f>
        <v>5</v>
      </c>
      <c r="E3037" s="2">
        <f ca="1">IFERROR(__xludf.DUMMYFUNCTION("""COMPUTED_VALUE"""),2)</f>
        <v>2</v>
      </c>
    </row>
    <row r="3038" spans="1:5" ht="13">
      <c r="A3038" s="2" t="str">
        <f ca="1">IFERROR(__xludf.DUMMYFUNCTION("""COMPUTED_VALUE"""),"Gilmore, Patrick")</f>
        <v>Gilmore, Patrick</v>
      </c>
      <c r="B3038" s="3">
        <f ca="1">IFERROR(__xludf.DUMMYFUNCTION("""COMPUTED_VALUE"""),1)</f>
        <v>1</v>
      </c>
      <c r="C3038" s="7">
        <f ca="1">IFERROR(__xludf.DUMMYFUNCTION("""COMPUTED_VALUE"""),1)</f>
        <v>1</v>
      </c>
      <c r="D3038" s="8">
        <f ca="1">IFERROR(__xludf.DUMMYFUNCTION("""COMPUTED_VALUE"""),5)</f>
        <v>5</v>
      </c>
      <c r="E3038" s="2">
        <f ca="1">IFERROR(__xludf.DUMMYFUNCTION("""COMPUTED_VALUE"""),2)</f>
        <v>2</v>
      </c>
    </row>
    <row r="3039" spans="1:5" ht="13">
      <c r="A3039" s="2" t="str">
        <f ca="1">IFERROR(__xludf.DUMMYFUNCTION("""COMPUTED_VALUE"""),"Gilmore, William")</f>
        <v>Gilmore, William</v>
      </c>
      <c r="B3039" s="2">
        <f ca="1">IFERROR(__xludf.DUMMYFUNCTION("""COMPUTED_VALUE"""),1)</f>
        <v>1</v>
      </c>
      <c r="C3039" s="7">
        <f ca="1">IFERROR(__xludf.DUMMYFUNCTION("""COMPUTED_VALUE"""),1)</f>
        <v>1</v>
      </c>
      <c r="D3039" s="8">
        <f ca="1">IFERROR(__xludf.DUMMYFUNCTION("""COMPUTED_VALUE"""),5)</f>
        <v>5</v>
      </c>
      <c r="E3039" s="2">
        <f ca="1">IFERROR(__xludf.DUMMYFUNCTION("""COMPUTED_VALUE"""),2)</f>
        <v>2</v>
      </c>
    </row>
    <row r="3040" spans="1:5" ht="13">
      <c r="A3040" s="8" t="str">
        <f ca="1">IFERROR(__xludf.DUMMYFUNCTION("""COMPUTED_VALUE"""),"Gilpin, Greg")</f>
        <v>Gilpin, Greg</v>
      </c>
      <c r="B3040" s="3">
        <f ca="1">IFERROR(__xludf.DUMMYFUNCTION("""COMPUTED_VALUE"""),1)</f>
        <v>1</v>
      </c>
      <c r="C3040" s="7">
        <f ca="1">IFERROR(__xludf.DUMMYFUNCTION("""COMPUTED_VALUE"""),1)</f>
        <v>1</v>
      </c>
      <c r="D3040" s="8">
        <f ca="1">IFERROR(__xludf.DUMMYFUNCTION("""COMPUTED_VALUE"""),1)</f>
        <v>1</v>
      </c>
      <c r="E3040" s="2">
        <f ca="1">IFERROR(__xludf.DUMMYFUNCTION("""COMPUTED_VALUE"""),1)</f>
        <v>1</v>
      </c>
    </row>
    <row r="3041" spans="1:5" ht="13">
      <c r="A3041" s="2" t="str">
        <f ca="1">IFERROR(__xludf.DUMMYFUNCTION("""COMPUTED_VALUE"""),"Gilreath, Leslie")</f>
        <v>Gilreath, Leslie</v>
      </c>
      <c r="B3041" s="3">
        <f ca="1">IFERROR(__xludf.DUMMYFUNCTION("""COMPUTED_VALUE"""),1)</f>
        <v>1</v>
      </c>
      <c r="C3041" s="7">
        <f ca="1">IFERROR(__xludf.DUMMYFUNCTION("""COMPUTED_VALUE"""),1)</f>
        <v>1</v>
      </c>
      <c r="D3041" s="8">
        <f ca="1">IFERROR(__xludf.DUMMYFUNCTION("""COMPUTED_VALUE"""),1)</f>
        <v>1</v>
      </c>
      <c r="E3041" s="2">
        <f ca="1">IFERROR(__xludf.DUMMYFUNCTION("""COMPUTED_VALUE"""),1)</f>
        <v>1</v>
      </c>
    </row>
    <row r="3042" spans="1:5" ht="13">
      <c r="A3042" s="2" t="str">
        <f ca="1">IFERROR(__xludf.DUMMYFUNCTION("""COMPUTED_VALUE"""),"Gilroy, Gary P.")</f>
        <v>Gilroy, Gary P.</v>
      </c>
      <c r="B3042" s="3">
        <f ca="1">IFERROR(__xludf.DUMMYFUNCTION("""COMPUTED_VALUE"""),1)</f>
        <v>1</v>
      </c>
      <c r="C3042" s="7">
        <f ca="1">IFERROR(__xludf.DUMMYFUNCTION("""COMPUTED_VALUE"""),1)</f>
        <v>1</v>
      </c>
      <c r="D3042" s="8">
        <f ca="1">IFERROR(__xludf.DUMMYFUNCTION("""COMPUTED_VALUE"""),1)</f>
        <v>1</v>
      </c>
      <c r="E3042" s="2">
        <f ca="1">IFERROR(__xludf.DUMMYFUNCTION("""COMPUTED_VALUE"""),1)</f>
        <v>1</v>
      </c>
    </row>
    <row r="3043" spans="1:5" ht="13">
      <c r="A3043" s="2" t="str">
        <f ca="1">IFERROR(__xludf.DUMMYFUNCTION("""COMPUTED_VALUE"""),"Gilson, David")</f>
        <v>Gilson, David</v>
      </c>
      <c r="B3043" s="3">
        <f ca="1">IFERROR(__xludf.DUMMYFUNCTION("""COMPUTED_VALUE"""),1)</f>
        <v>1</v>
      </c>
      <c r="C3043" s="7">
        <f ca="1">IFERROR(__xludf.DUMMYFUNCTION("""COMPUTED_VALUE"""),1)</f>
        <v>1</v>
      </c>
      <c r="D3043" s="8">
        <f ca="1">IFERROR(__xludf.DUMMYFUNCTION("""COMPUTED_VALUE"""),1)</f>
        <v>1</v>
      </c>
      <c r="E3043" s="2">
        <f ca="1">IFERROR(__xludf.DUMMYFUNCTION("""COMPUTED_VALUE"""),1)</f>
        <v>1</v>
      </c>
    </row>
    <row r="3044" spans="1:5" ht="13">
      <c r="A3044" s="2" t="str">
        <f ca="1">IFERROR(__xludf.DUMMYFUNCTION("""COMPUTED_VALUE"""),"Gilson, Paul")</f>
        <v>Gilson, Paul</v>
      </c>
      <c r="B3044" s="3">
        <f ca="1">IFERROR(__xludf.DUMMYFUNCTION("""COMPUTED_VALUE"""),1)</f>
        <v>1</v>
      </c>
      <c r="C3044" s="7">
        <f ca="1">IFERROR(__xludf.DUMMYFUNCTION("""COMPUTED_VALUE"""),1)</f>
        <v>1</v>
      </c>
      <c r="D3044" s="8">
        <f ca="1">IFERROR(__xludf.DUMMYFUNCTION("""COMPUTED_VALUE"""),1)</f>
        <v>1</v>
      </c>
      <c r="E3044" s="2">
        <f ca="1">IFERROR(__xludf.DUMMYFUNCTION("""COMPUTED_VALUE"""),1)</f>
        <v>1</v>
      </c>
    </row>
    <row r="3045" spans="1:5" ht="13">
      <c r="A3045" s="2" t="str">
        <f ca="1">IFERROR(__xludf.DUMMYFUNCTION("""COMPUTED_VALUE"""),"Giménez, Gerónimo")</f>
        <v>Giménez, Gerónimo</v>
      </c>
      <c r="B3045" s="3">
        <f ca="1">IFERROR(__xludf.DUMMYFUNCTION("""COMPUTED_VALUE"""),1)</f>
        <v>1</v>
      </c>
      <c r="C3045" s="7">
        <f ca="1">IFERROR(__xludf.DUMMYFUNCTION("""COMPUTED_VALUE"""),1)</f>
        <v>1</v>
      </c>
      <c r="D3045" s="8">
        <f ca="1">IFERROR(__xludf.DUMMYFUNCTION("""COMPUTED_VALUE"""),5)</f>
        <v>5</v>
      </c>
      <c r="E3045" s="2">
        <f ca="1">IFERROR(__xludf.DUMMYFUNCTION("""COMPUTED_VALUE"""),2)</f>
        <v>2</v>
      </c>
    </row>
    <row r="3046" spans="1:5" ht="13">
      <c r="A3046" s="2" t="str">
        <f ca="1">IFERROR(__xludf.DUMMYFUNCTION("""COMPUTED_VALUE"""),"Gingery, Ralph")</f>
        <v>Gingery, Ralph</v>
      </c>
      <c r="B3046" s="3">
        <f ca="1">IFERROR(__xludf.DUMMYFUNCTION("""COMPUTED_VALUE"""),1)</f>
        <v>1</v>
      </c>
      <c r="C3046" s="7">
        <f ca="1">IFERROR(__xludf.DUMMYFUNCTION("""COMPUTED_VALUE"""),1)</f>
        <v>1</v>
      </c>
      <c r="D3046" s="8">
        <f ca="1">IFERROR(__xludf.DUMMYFUNCTION("""COMPUTED_VALUE"""),1)</f>
        <v>1</v>
      </c>
      <c r="E3046" s="2">
        <f ca="1">IFERROR(__xludf.DUMMYFUNCTION("""COMPUTED_VALUE"""),1)</f>
        <v>1</v>
      </c>
    </row>
    <row r="3047" spans="1:5" ht="13">
      <c r="A3047" s="8" t="str">
        <f ca="1">IFERROR(__xludf.DUMMYFUNCTION("""COMPUTED_VALUE"""),"Ginsberg, Neil")</f>
        <v>Ginsberg, Neil</v>
      </c>
      <c r="B3047" s="3">
        <f ca="1">IFERROR(__xludf.DUMMYFUNCTION("""COMPUTED_VALUE"""),1)</f>
        <v>1</v>
      </c>
      <c r="C3047" s="7">
        <f ca="1">IFERROR(__xludf.DUMMYFUNCTION("""COMPUTED_VALUE"""),1)</f>
        <v>1</v>
      </c>
      <c r="D3047" s="8">
        <f ca="1">IFERROR(__xludf.DUMMYFUNCTION("""COMPUTED_VALUE"""),1)</f>
        <v>1</v>
      </c>
      <c r="E3047" s="2">
        <f ca="1">IFERROR(__xludf.DUMMYFUNCTION("""COMPUTED_VALUE"""),1)</f>
        <v>1</v>
      </c>
    </row>
    <row r="3048" spans="1:5" ht="13">
      <c r="A3048" s="2" t="str">
        <f ca="1">IFERROR(__xludf.DUMMYFUNCTION("""COMPUTED_VALUE"""),"Giordani, Giuseppe")</f>
        <v>Giordani, Giuseppe</v>
      </c>
      <c r="B3048" s="3">
        <f ca="1">IFERROR(__xludf.DUMMYFUNCTION("""COMPUTED_VALUE"""),1)</f>
        <v>1</v>
      </c>
      <c r="C3048" s="7">
        <f ca="1">IFERROR(__xludf.DUMMYFUNCTION("""COMPUTED_VALUE"""),1)</f>
        <v>1</v>
      </c>
      <c r="D3048" s="8">
        <f ca="1">IFERROR(__xludf.DUMMYFUNCTION("""COMPUTED_VALUE"""),5)</f>
        <v>5</v>
      </c>
      <c r="E3048" s="2">
        <f ca="1">IFERROR(__xludf.DUMMYFUNCTION("""COMPUTED_VALUE"""),2)</f>
        <v>2</v>
      </c>
    </row>
    <row r="3049" spans="1:5" ht="13">
      <c r="A3049" s="2" t="str">
        <f ca="1">IFERROR(__xludf.DUMMYFUNCTION("""COMPUTED_VALUE"""),"Giordani, Tommaso")</f>
        <v>Giordani, Tommaso</v>
      </c>
      <c r="B3049" s="3">
        <f ca="1">IFERROR(__xludf.DUMMYFUNCTION("""COMPUTED_VALUE"""),1)</f>
        <v>1</v>
      </c>
      <c r="C3049" s="7">
        <f ca="1">IFERROR(__xludf.DUMMYFUNCTION("""COMPUTED_VALUE"""),1)</f>
        <v>1</v>
      </c>
      <c r="D3049" s="8">
        <f ca="1">IFERROR(__xludf.DUMMYFUNCTION("""COMPUTED_VALUE"""),5)</f>
        <v>5</v>
      </c>
      <c r="E3049" s="2">
        <f ca="1">IFERROR(__xludf.DUMMYFUNCTION("""COMPUTED_VALUE"""),2)</f>
        <v>2</v>
      </c>
    </row>
    <row r="3050" spans="1:5" ht="13">
      <c r="A3050" s="2" t="str">
        <f ca="1">IFERROR(__xludf.DUMMYFUNCTION("""COMPUTED_VALUE"""),"Giordano, Umberto")</f>
        <v>Giordano, Umberto</v>
      </c>
      <c r="B3050" s="3">
        <f ca="1">IFERROR(__xludf.DUMMYFUNCTION("""COMPUTED_VALUE"""),1)</f>
        <v>1</v>
      </c>
      <c r="C3050" s="7">
        <f ca="1">IFERROR(__xludf.DUMMYFUNCTION("""COMPUTED_VALUE"""),1)</f>
        <v>1</v>
      </c>
      <c r="D3050" s="8">
        <f ca="1">IFERROR(__xludf.DUMMYFUNCTION("""COMPUTED_VALUE"""),5)</f>
        <v>5</v>
      </c>
      <c r="E3050" s="2">
        <f ca="1">IFERROR(__xludf.DUMMYFUNCTION("""COMPUTED_VALUE"""),2)</f>
        <v>2</v>
      </c>
    </row>
    <row r="3051" spans="1:5" ht="13">
      <c r="A3051" s="2" t="str">
        <f ca="1">IFERROR(__xludf.DUMMYFUNCTION("""COMPUTED_VALUE"""),"Giovannelli, Ruggiero")</f>
        <v>Giovannelli, Ruggiero</v>
      </c>
      <c r="B3051" s="3">
        <f ca="1">IFERROR(__xludf.DUMMYFUNCTION("""COMPUTED_VALUE"""),1)</f>
        <v>1</v>
      </c>
      <c r="C3051" s="7">
        <f ca="1">IFERROR(__xludf.DUMMYFUNCTION("""COMPUTED_VALUE"""),1)</f>
        <v>1</v>
      </c>
      <c r="D3051" s="8">
        <f ca="1">IFERROR(__xludf.DUMMYFUNCTION("""COMPUTED_VALUE"""),5)</f>
        <v>5</v>
      </c>
      <c r="E3051" s="2">
        <f ca="1">IFERROR(__xludf.DUMMYFUNCTION("""COMPUTED_VALUE"""),2)</f>
        <v>2</v>
      </c>
    </row>
    <row r="3052" spans="1:5" ht="13">
      <c r="A3052" s="2" t="str">
        <f ca="1">IFERROR(__xludf.DUMMYFUNCTION("""COMPUTED_VALUE"""),"Giovannini, Caesar")</f>
        <v>Giovannini, Caesar</v>
      </c>
      <c r="B3052" s="3">
        <f ca="1">IFERROR(__xludf.DUMMYFUNCTION("""COMPUTED_VALUE"""),1)</f>
        <v>1</v>
      </c>
      <c r="C3052" s="7">
        <f ca="1">IFERROR(__xludf.DUMMYFUNCTION("""COMPUTED_VALUE"""),1)</f>
        <v>1</v>
      </c>
      <c r="D3052" s="8">
        <f ca="1">IFERROR(__xludf.DUMMYFUNCTION("""COMPUTED_VALUE"""),5)</f>
        <v>5</v>
      </c>
      <c r="E3052" s="2">
        <f ca="1">IFERROR(__xludf.DUMMYFUNCTION("""COMPUTED_VALUE"""),2)</f>
        <v>2</v>
      </c>
    </row>
    <row r="3053" spans="1:5" ht="13">
      <c r="A3053" s="2" t="str">
        <f ca="1">IFERROR(__xludf.DUMMYFUNCTION("""COMPUTED_VALUE"""),"Gist, Jim")</f>
        <v>Gist, Jim</v>
      </c>
      <c r="B3053" s="3">
        <f ca="1">IFERROR(__xludf.DUMMYFUNCTION("""COMPUTED_VALUE"""),1)</f>
        <v>1</v>
      </c>
      <c r="C3053" s="7">
        <f ca="1">IFERROR(__xludf.DUMMYFUNCTION("""COMPUTED_VALUE"""),1)</f>
        <v>1</v>
      </c>
      <c r="D3053" s="8">
        <f ca="1">IFERROR(__xludf.DUMMYFUNCTION("""COMPUTED_VALUE"""),1)</f>
        <v>1</v>
      </c>
      <c r="E3053" s="2">
        <f ca="1">IFERROR(__xludf.DUMMYFUNCTION("""COMPUTED_VALUE"""),1)</f>
        <v>1</v>
      </c>
    </row>
    <row r="3054" spans="1:5" ht="13">
      <c r="A3054" s="2" t="str">
        <f ca="1">IFERROR(__xludf.DUMMYFUNCTION("""COMPUTED_VALUE"""),"Giuffre, Jimmy")</f>
        <v>Giuffre, Jimmy</v>
      </c>
      <c r="B3054" s="2">
        <f ca="1">IFERROR(__xludf.DUMMYFUNCTION("""COMPUTED_VALUE"""),1)</f>
        <v>1</v>
      </c>
      <c r="C3054" s="7">
        <f ca="1">IFERROR(__xludf.DUMMYFUNCTION("""COMPUTED_VALUE"""),1)</f>
        <v>1</v>
      </c>
      <c r="D3054" s="8">
        <f ca="1">IFERROR(__xludf.DUMMYFUNCTION("""COMPUTED_VALUE"""),5)</f>
        <v>5</v>
      </c>
      <c r="E3054" s="2">
        <f ca="1">IFERROR(__xludf.DUMMYFUNCTION("""COMPUTED_VALUE"""),2)</f>
        <v>2</v>
      </c>
    </row>
    <row r="3055" spans="1:5" ht="13">
      <c r="A3055" s="2" t="str">
        <f ca="1">IFERROR(__xludf.DUMMYFUNCTION("""COMPUTED_VALUE"""),"Giuliani, Mauro")</f>
        <v>Giuliani, Mauro</v>
      </c>
      <c r="B3055" s="3">
        <f ca="1">IFERROR(__xludf.DUMMYFUNCTION("""COMPUTED_VALUE"""),1)</f>
        <v>1</v>
      </c>
      <c r="C3055" s="7">
        <f ca="1">IFERROR(__xludf.DUMMYFUNCTION("""COMPUTED_VALUE"""),1)</f>
        <v>1</v>
      </c>
      <c r="D3055" s="8">
        <f ca="1">IFERROR(__xludf.DUMMYFUNCTION("""COMPUTED_VALUE"""),5)</f>
        <v>5</v>
      </c>
      <c r="E3055" s="2">
        <f ca="1">IFERROR(__xludf.DUMMYFUNCTION("""COMPUTED_VALUE"""),2)</f>
        <v>2</v>
      </c>
    </row>
    <row r="3056" spans="1:5" ht="13">
      <c r="A3056" s="2" t="str">
        <f ca="1">IFERROR(__xludf.DUMMYFUNCTION("""COMPUTED_VALUE"""),"Giuseppe, Tartini")</f>
        <v>Giuseppe, Tartini</v>
      </c>
      <c r="B3056" s="2">
        <f ca="1">IFERROR(__xludf.DUMMYFUNCTION("""COMPUTED_VALUE"""),1)</f>
        <v>1</v>
      </c>
      <c r="C3056" s="7">
        <f ca="1">IFERROR(__xludf.DUMMYFUNCTION("""COMPUTED_VALUE"""),1)</f>
        <v>1</v>
      </c>
      <c r="D3056" s="8">
        <f ca="1">IFERROR(__xludf.DUMMYFUNCTION("""COMPUTED_VALUE"""),5)</f>
        <v>5</v>
      </c>
      <c r="E3056" s="2">
        <f ca="1">IFERROR(__xludf.DUMMYFUNCTION("""COMPUTED_VALUE"""),2)</f>
        <v>2</v>
      </c>
    </row>
    <row r="3057" spans="1:5" ht="13">
      <c r="A3057" s="2" t="str">
        <f ca="1">IFERROR(__xludf.DUMMYFUNCTION("""COMPUTED_VALUE"""),"Gjeilo, Ola")</f>
        <v>Gjeilo, Ola</v>
      </c>
      <c r="B3057" s="3">
        <f ca="1">IFERROR(__xludf.DUMMYFUNCTION("""COMPUTED_VALUE"""),1)</f>
        <v>1</v>
      </c>
      <c r="C3057" s="7">
        <f ca="1">IFERROR(__xludf.DUMMYFUNCTION("""COMPUTED_VALUE"""),1)</f>
        <v>1</v>
      </c>
      <c r="D3057" s="8">
        <f ca="1">IFERROR(__xludf.DUMMYFUNCTION("""COMPUTED_VALUE"""),1)</f>
        <v>1</v>
      </c>
      <c r="E3057" s="2">
        <f ca="1">IFERROR(__xludf.DUMMYFUNCTION("""COMPUTED_VALUE"""),1)</f>
        <v>1</v>
      </c>
    </row>
    <row r="3058" spans="1:5" ht="13">
      <c r="A3058" s="2" t="str">
        <f ca="1">IFERROR(__xludf.DUMMYFUNCTION("""COMPUTED_VALUE"""),"Glanert, Detlev")</f>
        <v>Glanert, Detlev</v>
      </c>
      <c r="B3058" s="3">
        <f ca="1">IFERROR(__xludf.DUMMYFUNCTION("""COMPUTED_VALUE"""),1)</f>
        <v>1</v>
      </c>
      <c r="C3058" s="7">
        <f ca="1">IFERROR(__xludf.DUMMYFUNCTION("""COMPUTED_VALUE"""),1)</f>
        <v>1</v>
      </c>
      <c r="D3058" s="8">
        <f ca="1">IFERROR(__xludf.DUMMYFUNCTION("""COMPUTED_VALUE"""),1)</f>
        <v>1</v>
      </c>
      <c r="E3058" s="2">
        <f ca="1">IFERROR(__xludf.DUMMYFUNCTION("""COMPUTED_VALUE"""),1)</f>
        <v>1</v>
      </c>
    </row>
    <row r="3059" spans="1:5" ht="13">
      <c r="A3059" s="2" t="str">
        <f ca="1">IFERROR(__xludf.DUMMYFUNCTION("""COMPUTED_VALUE"""),"Glanzberg, Norbert")</f>
        <v>Glanzberg, Norbert</v>
      </c>
      <c r="B3059" s="3">
        <f ca="1">IFERROR(__xludf.DUMMYFUNCTION("""COMPUTED_VALUE"""),1)</f>
        <v>1</v>
      </c>
      <c r="C3059" s="7">
        <f ca="1">IFERROR(__xludf.DUMMYFUNCTION("""COMPUTED_VALUE"""),1)</f>
        <v>1</v>
      </c>
      <c r="D3059" s="8">
        <f ca="1">IFERROR(__xludf.DUMMYFUNCTION("""COMPUTED_VALUE"""),5)</f>
        <v>5</v>
      </c>
      <c r="E3059" s="2">
        <f ca="1">IFERROR(__xludf.DUMMYFUNCTION("""COMPUTED_VALUE"""),2)</f>
        <v>2</v>
      </c>
    </row>
    <row r="3060" spans="1:5" ht="13">
      <c r="A3060" s="2" t="str">
        <f ca="1">IFERROR(__xludf.DUMMYFUNCTION("""COMPUTED_VALUE"""),"Glarum, L. Stanley")</f>
        <v>Glarum, L. Stanley</v>
      </c>
      <c r="B3060" s="3">
        <f ca="1">IFERROR(__xludf.DUMMYFUNCTION("""COMPUTED_VALUE"""),1)</f>
        <v>1</v>
      </c>
      <c r="C3060" s="7">
        <f ca="1">IFERROR(__xludf.DUMMYFUNCTION("""COMPUTED_VALUE"""),1)</f>
        <v>1</v>
      </c>
      <c r="D3060" s="8">
        <f ca="1">IFERROR(__xludf.DUMMYFUNCTION("""COMPUTED_VALUE"""),5)</f>
        <v>5</v>
      </c>
      <c r="E3060" s="2">
        <f ca="1">IFERROR(__xludf.DUMMYFUNCTION("""COMPUTED_VALUE"""),2)</f>
        <v>2</v>
      </c>
    </row>
    <row r="3061" spans="1:5" ht="13">
      <c r="A3061" s="2" t="str">
        <f ca="1">IFERROR(__xludf.DUMMYFUNCTION("""COMPUTED_VALUE"""),"Glaser, Kyle")</f>
        <v>Glaser, Kyle</v>
      </c>
      <c r="B3061" s="2">
        <f ca="1">IFERROR(__xludf.DUMMYFUNCTION("""COMPUTED_VALUE"""),1)</f>
        <v>1</v>
      </c>
      <c r="C3061" s="2">
        <f ca="1">IFERROR(__xludf.DUMMYFUNCTION("""COMPUTED_VALUE"""),1)</f>
        <v>1</v>
      </c>
      <c r="D3061" s="8">
        <f ca="1">IFERROR(__xludf.DUMMYFUNCTION("""COMPUTED_VALUE"""),1)</f>
        <v>1</v>
      </c>
      <c r="E3061" s="2">
        <f ca="1">IFERROR(__xludf.DUMMYFUNCTION("""COMPUTED_VALUE"""),1)</f>
        <v>1</v>
      </c>
    </row>
    <row r="3062" spans="1:5" ht="13">
      <c r="A3062" s="2" t="str">
        <f ca="1">IFERROR(__xludf.DUMMYFUNCTION("""COMPUTED_VALUE"""),"Glasock, Lynn")</f>
        <v>Glasock, Lynn</v>
      </c>
      <c r="B3062" s="3">
        <f ca="1">IFERROR(__xludf.DUMMYFUNCTION("""COMPUTED_VALUE"""),1)</f>
        <v>1</v>
      </c>
      <c r="C3062" s="7">
        <f ca="1">IFERROR(__xludf.DUMMYFUNCTION("""COMPUTED_VALUE"""),1)</f>
        <v>1</v>
      </c>
      <c r="D3062" s="8">
        <f ca="1">IFERROR(__xludf.DUMMYFUNCTION("""COMPUTED_VALUE"""),1)</f>
        <v>1</v>
      </c>
      <c r="E3062" s="2">
        <f ca="1">IFERROR(__xludf.DUMMYFUNCTION("""COMPUTED_VALUE"""),1)</f>
        <v>1</v>
      </c>
    </row>
    <row r="3063" spans="1:5" ht="13">
      <c r="A3063" s="2" t="str">
        <f ca="1">IFERROR(__xludf.DUMMYFUNCTION("""COMPUTED_VALUE"""),"Glass, Paul")</f>
        <v>Glass, Paul</v>
      </c>
      <c r="B3063" s="3">
        <f ca="1">IFERROR(__xludf.DUMMYFUNCTION("""COMPUTED_VALUE"""),1)</f>
        <v>1</v>
      </c>
      <c r="C3063" s="7">
        <f ca="1">IFERROR(__xludf.DUMMYFUNCTION("""COMPUTED_VALUE"""),1)</f>
        <v>1</v>
      </c>
      <c r="D3063" s="8">
        <f ca="1">IFERROR(__xludf.DUMMYFUNCTION("""COMPUTED_VALUE"""),1)</f>
        <v>1</v>
      </c>
      <c r="E3063" s="2">
        <f ca="1">IFERROR(__xludf.DUMMYFUNCTION("""COMPUTED_VALUE"""),1)</f>
        <v>1</v>
      </c>
    </row>
    <row r="3064" spans="1:5" ht="13">
      <c r="A3064" s="2" t="str">
        <f ca="1">IFERROR(__xludf.DUMMYFUNCTION("""COMPUTED_VALUE"""),"Glass, Philip")</f>
        <v>Glass, Philip</v>
      </c>
      <c r="B3064" s="3">
        <f ca="1">IFERROR(__xludf.DUMMYFUNCTION("""COMPUTED_VALUE"""),1)</f>
        <v>1</v>
      </c>
      <c r="C3064" s="7">
        <f ca="1">IFERROR(__xludf.DUMMYFUNCTION("""COMPUTED_VALUE"""),1)</f>
        <v>1</v>
      </c>
      <c r="D3064" s="8">
        <f ca="1">IFERROR(__xludf.DUMMYFUNCTION("""COMPUTED_VALUE"""),1)</f>
        <v>1</v>
      </c>
      <c r="E3064" s="2">
        <f ca="1">IFERROR(__xludf.DUMMYFUNCTION("""COMPUTED_VALUE"""),1)</f>
        <v>1</v>
      </c>
    </row>
    <row r="3065" spans="1:5" ht="13">
      <c r="A3065" s="2" t="str">
        <f ca="1">IFERROR(__xludf.DUMMYFUNCTION("""COMPUTED_VALUE"""),"Glassock, Lynn")</f>
        <v>Glassock, Lynn</v>
      </c>
      <c r="B3065" s="3">
        <f ca="1">IFERROR(__xludf.DUMMYFUNCTION("""COMPUTED_VALUE"""),1)</f>
        <v>1</v>
      </c>
      <c r="C3065" s="7">
        <f ca="1">IFERROR(__xludf.DUMMYFUNCTION("""COMPUTED_VALUE"""),1)</f>
        <v>1</v>
      </c>
      <c r="D3065" s="8">
        <f ca="1">IFERROR(__xludf.DUMMYFUNCTION("""COMPUTED_VALUE"""),1)</f>
        <v>1</v>
      </c>
      <c r="E3065" s="2">
        <f ca="1">IFERROR(__xludf.DUMMYFUNCTION("""COMPUTED_VALUE"""),1)</f>
        <v>1</v>
      </c>
    </row>
    <row r="3066" spans="1:5" ht="13">
      <c r="A3066" s="2" t="str">
        <f ca="1">IFERROR(__xludf.DUMMYFUNCTION("""COMPUTED_VALUE"""),"Glausi, Tony")</f>
        <v>Glausi, Tony</v>
      </c>
      <c r="B3066" s="3">
        <f ca="1">IFERROR(__xludf.DUMMYFUNCTION("""COMPUTED_VALUE"""),1)</f>
        <v>1</v>
      </c>
      <c r="C3066" s="7">
        <f ca="1">IFERROR(__xludf.DUMMYFUNCTION("""COMPUTED_VALUE"""),1)</f>
        <v>1</v>
      </c>
      <c r="D3066" s="8">
        <f ca="1">IFERROR(__xludf.DUMMYFUNCTION("""COMPUTED_VALUE"""),1)</f>
        <v>1</v>
      </c>
      <c r="E3066" s="2">
        <f ca="1">IFERROR(__xludf.DUMMYFUNCTION("""COMPUTED_VALUE"""),1)</f>
        <v>1</v>
      </c>
    </row>
    <row r="3067" spans="1:5" ht="13">
      <c r="A3067" s="2" t="str">
        <f ca="1">IFERROR(__xludf.DUMMYFUNCTION("""COMPUTED_VALUE"""),"Glazer, Stuart")</f>
        <v>Glazer, Stuart</v>
      </c>
      <c r="B3067" s="3">
        <f ca="1">IFERROR(__xludf.DUMMYFUNCTION("""COMPUTED_VALUE"""),1)</f>
        <v>1</v>
      </c>
      <c r="C3067" s="7">
        <f ca="1">IFERROR(__xludf.DUMMYFUNCTION("""COMPUTED_VALUE"""),1)</f>
        <v>1</v>
      </c>
      <c r="D3067" s="8">
        <f ca="1">IFERROR(__xludf.DUMMYFUNCTION("""COMPUTED_VALUE"""),1)</f>
        <v>1</v>
      </c>
      <c r="E3067" s="2">
        <f ca="1">IFERROR(__xludf.DUMMYFUNCTION("""COMPUTED_VALUE"""),1)</f>
        <v>1</v>
      </c>
    </row>
    <row r="3068" spans="1:5" ht="13">
      <c r="A3068" s="2" t="str">
        <f ca="1">IFERROR(__xludf.DUMMYFUNCTION("""COMPUTED_VALUE"""),"Glazunov, Alexander")</f>
        <v>Glazunov, Alexander</v>
      </c>
      <c r="B3068" s="3">
        <f ca="1">IFERROR(__xludf.DUMMYFUNCTION("""COMPUTED_VALUE"""),1)</f>
        <v>1</v>
      </c>
      <c r="C3068" s="7">
        <f ca="1">IFERROR(__xludf.DUMMYFUNCTION("""COMPUTED_VALUE"""),1)</f>
        <v>1</v>
      </c>
      <c r="D3068" s="8">
        <f ca="1">IFERROR(__xludf.DUMMYFUNCTION("""COMPUTED_VALUE"""),5)</f>
        <v>5</v>
      </c>
      <c r="E3068" s="2">
        <f ca="1">IFERROR(__xludf.DUMMYFUNCTION("""COMPUTED_VALUE"""),2)</f>
        <v>2</v>
      </c>
    </row>
    <row r="3069" spans="1:5" ht="13">
      <c r="A3069" s="2" t="str">
        <f ca="1">IFERROR(__xludf.DUMMYFUNCTION("""COMPUTED_VALUE"""),"Glick, Srul Irving")</f>
        <v>Glick, Srul Irving</v>
      </c>
      <c r="B3069" s="3">
        <f ca="1">IFERROR(__xludf.DUMMYFUNCTION("""COMPUTED_VALUE"""),1)</f>
        <v>1</v>
      </c>
      <c r="C3069" s="7">
        <f ca="1">IFERROR(__xludf.DUMMYFUNCTION("""COMPUTED_VALUE"""),1)</f>
        <v>1</v>
      </c>
      <c r="D3069" s="8">
        <f ca="1">IFERROR(__xludf.DUMMYFUNCTION("""COMPUTED_VALUE"""),5)</f>
        <v>5</v>
      </c>
      <c r="E3069" s="2">
        <f ca="1">IFERROR(__xludf.DUMMYFUNCTION("""COMPUTED_VALUE"""),2)</f>
        <v>2</v>
      </c>
    </row>
    <row r="3070" spans="1:5" ht="13">
      <c r="A3070" s="2" t="str">
        <f ca="1">IFERROR(__xludf.DUMMYFUNCTION("""COMPUTED_VALUE"""),"Glière, Reinhold")</f>
        <v>Glière, Reinhold</v>
      </c>
      <c r="B3070" s="3">
        <f ca="1">IFERROR(__xludf.DUMMYFUNCTION("""COMPUTED_VALUE"""),1)</f>
        <v>1</v>
      </c>
      <c r="C3070" s="7">
        <f ca="1">IFERROR(__xludf.DUMMYFUNCTION("""COMPUTED_VALUE"""),1)</f>
        <v>1</v>
      </c>
      <c r="D3070" s="8">
        <f ca="1">IFERROR(__xludf.DUMMYFUNCTION("""COMPUTED_VALUE"""),5)</f>
        <v>5</v>
      </c>
      <c r="E3070" s="2">
        <f ca="1">IFERROR(__xludf.DUMMYFUNCTION("""COMPUTED_VALUE"""),2)</f>
        <v>2</v>
      </c>
    </row>
    <row r="3071" spans="1:5" ht="13">
      <c r="A3071" s="2" t="str">
        <f ca="1">IFERROR(__xludf.DUMMYFUNCTION("""COMPUTED_VALUE"""),"Glinka, Mikhail")</f>
        <v>Glinka, Mikhail</v>
      </c>
      <c r="B3071" s="3">
        <f ca="1">IFERROR(__xludf.DUMMYFUNCTION("""COMPUTED_VALUE"""),1)</f>
        <v>1</v>
      </c>
      <c r="C3071" s="7">
        <f ca="1">IFERROR(__xludf.DUMMYFUNCTION("""COMPUTED_VALUE"""),1)</f>
        <v>1</v>
      </c>
      <c r="D3071" s="8">
        <f ca="1">IFERROR(__xludf.DUMMYFUNCTION("""COMPUTED_VALUE"""),5)</f>
        <v>5</v>
      </c>
      <c r="E3071" s="2">
        <f ca="1">IFERROR(__xludf.DUMMYFUNCTION("""COMPUTED_VALUE"""),2)</f>
        <v>2</v>
      </c>
    </row>
    <row r="3072" spans="1:5" ht="13">
      <c r="A3072" s="2" t="str">
        <f ca="1">IFERROR(__xludf.DUMMYFUNCTION("""COMPUTED_VALUE"""),"Glogau, Jack")</f>
        <v>Glogau, Jack</v>
      </c>
      <c r="B3072" s="2">
        <f ca="1">IFERROR(__xludf.DUMMYFUNCTION("""COMPUTED_VALUE"""),1)</f>
        <v>1</v>
      </c>
      <c r="C3072" s="7">
        <f ca="1">IFERROR(__xludf.DUMMYFUNCTION("""COMPUTED_VALUE"""),1)</f>
        <v>1</v>
      </c>
      <c r="D3072" s="8">
        <f ca="1">IFERROR(__xludf.DUMMYFUNCTION("""COMPUTED_VALUE"""),5)</f>
        <v>5</v>
      </c>
      <c r="E3072" s="2">
        <f ca="1">IFERROR(__xludf.DUMMYFUNCTION("""COMPUTED_VALUE"""),2)</f>
        <v>2</v>
      </c>
    </row>
    <row r="3073" spans="1:5" ht="13">
      <c r="A3073" s="2" t="str">
        <f ca="1">IFERROR(__xludf.DUMMYFUNCTION("""COMPUTED_VALUE"""),"Glossup, Jay")</f>
        <v>Glossup, Jay</v>
      </c>
      <c r="B3073" s="3">
        <f ca="1">IFERROR(__xludf.DUMMYFUNCTION("""COMPUTED_VALUE"""),1)</f>
        <v>1</v>
      </c>
      <c r="C3073" s="7">
        <f ca="1">IFERROR(__xludf.DUMMYFUNCTION("""COMPUTED_VALUE"""),1)</f>
        <v>1</v>
      </c>
      <c r="D3073" s="8">
        <f ca="1">IFERROR(__xludf.DUMMYFUNCTION("""COMPUTED_VALUE"""),1)</f>
        <v>1</v>
      </c>
      <c r="E3073" s="2">
        <f ca="1">IFERROR(__xludf.DUMMYFUNCTION("""COMPUTED_VALUE"""),1)</f>
        <v>1</v>
      </c>
    </row>
    <row r="3074" spans="1:5" ht="13">
      <c r="A3074" s="2" t="str">
        <f ca="1">IFERROR(__xludf.DUMMYFUNCTION("""COMPUTED_VALUE"""),"Glover, Andrew")</f>
        <v>Glover, Andrew</v>
      </c>
      <c r="B3074" s="3">
        <f ca="1">IFERROR(__xludf.DUMMYFUNCTION("""COMPUTED_VALUE"""),1)</f>
        <v>1</v>
      </c>
      <c r="C3074" s="7">
        <f ca="1">IFERROR(__xludf.DUMMYFUNCTION("""COMPUTED_VALUE"""),1)</f>
        <v>1</v>
      </c>
      <c r="D3074" s="8">
        <f ca="1">IFERROR(__xludf.DUMMYFUNCTION("""COMPUTED_VALUE"""),1)</f>
        <v>1</v>
      </c>
      <c r="E3074" s="2">
        <f ca="1">IFERROR(__xludf.DUMMYFUNCTION("""COMPUTED_VALUE"""),1)</f>
        <v>1</v>
      </c>
    </row>
    <row r="3075" spans="1:5" ht="13">
      <c r="A3075" s="2" t="str">
        <f ca="1">IFERROR(__xludf.DUMMYFUNCTION("""COMPUTED_VALUE"""),"Glover, Charles")</f>
        <v>Glover, Charles</v>
      </c>
      <c r="B3075" s="2">
        <f ca="1">IFERROR(__xludf.DUMMYFUNCTION("""COMPUTED_VALUE"""),1)</f>
        <v>1</v>
      </c>
      <c r="C3075" s="7">
        <f ca="1">IFERROR(__xludf.DUMMYFUNCTION("""COMPUTED_VALUE"""),1)</f>
        <v>1</v>
      </c>
      <c r="D3075" s="8">
        <f ca="1">IFERROR(__xludf.DUMMYFUNCTION("""COMPUTED_VALUE"""),5)</f>
        <v>5</v>
      </c>
      <c r="E3075" s="2">
        <f ca="1">IFERROR(__xludf.DUMMYFUNCTION("""COMPUTED_VALUE"""),2)</f>
        <v>2</v>
      </c>
    </row>
    <row r="3076" spans="1:5" ht="13">
      <c r="A3076" s="8" t="str">
        <f ca="1">IFERROR(__xludf.DUMMYFUNCTION("""COMPUTED_VALUE"""),"Glover, John")</f>
        <v>Glover, John</v>
      </c>
      <c r="B3076" s="3">
        <f ca="1">IFERROR(__xludf.DUMMYFUNCTION("""COMPUTED_VALUE"""),1)</f>
        <v>1</v>
      </c>
      <c r="C3076" s="7">
        <f ca="1">IFERROR(__xludf.DUMMYFUNCTION("""COMPUTED_VALUE"""),1)</f>
        <v>1</v>
      </c>
      <c r="D3076" s="8">
        <f ca="1">IFERROR(__xludf.DUMMYFUNCTION("""COMPUTED_VALUE"""),1)</f>
        <v>1</v>
      </c>
      <c r="E3076" s="2">
        <f ca="1">IFERROR(__xludf.DUMMYFUNCTION("""COMPUTED_VALUE"""),1)</f>
        <v>1</v>
      </c>
    </row>
    <row r="3077" spans="1:5" ht="13">
      <c r="A3077" s="2" t="str">
        <f ca="1">IFERROR(__xludf.DUMMYFUNCTION("""COMPUTED_VALUE"""),"Glück, Christoph Willibald")</f>
        <v>Glück, Christoph Willibald</v>
      </c>
      <c r="B3077" s="3">
        <f ca="1">IFERROR(__xludf.DUMMYFUNCTION("""COMPUTED_VALUE"""),1)</f>
        <v>1</v>
      </c>
      <c r="C3077" s="7">
        <f ca="1">IFERROR(__xludf.DUMMYFUNCTION("""COMPUTED_VALUE"""),1)</f>
        <v>1</v>
      </c>
      <c r="D3077" s="8">
        <f ca="1">IFERROR(__xludf.DUMMYFUNCTION("""COMPUTED_VALUE"""),5)</f>
        <v>5</v>
      </c>
      <c r="E3077" s="2">
        <f ca="1">IFERROR(__xludf.DUMMYFUNCTION("""COMPUTED_VALUE"""),2)</f>
        <v>2</v>
      </c>
    </row>
    <row r="3078" spans="1:5" ht="13">
      <c r="A3078" s="8" t="str">
        <f ca="1">IFERROR(__xludf.DUMMYFUNCTION("""COMPUTED_VALUE"""),"Glück, Christoph Willibald / Mozart, Wolfgang Amadeus")</f>
        <v>Glück, Christoph Willibald / Mozart, Wolfgang Amadeus</v>
      </c>
      <c r="B3078" s="3">
        <f ca="1">IFERROR(__xludf.DUMMYFUNCTION("""COMPUTED_VALUE"""),1)</f>
        <v>1</v>
      </c>
      <c r="C3078" s="7">
        <f ca="1">IFERROR(__xludf.DUMMYFUNCTION("""COMPUTED_VALUE"""),1)</f>
        <v>1</v>
      </c>
      <c r="D3078" s="8">
        <f ca="1">IFERROR(__xludf.DUMMYFUNCTION("""COMPUTED_VALUE"""),5)</f>
        <v>5</v>
      </c>
      <c r="E3078" s="2">
        <f ca="1">IFERROR(__xludf.DUMMYFUNCTION("""COMPUTED_VALUE"""),2)</f>
        <v>2</v>
      </c>
    </row>
    <row r="3079" spans="1:5" ht="13">
      <c r="A3079" s="2" t="str">
        <f ca="1">IFERROR(__xludf.DUMMYFUNCTION("""COMPUTED_VALUE"""),"Gnesin, Mikhail F.")</f>
        <v>Gnesin, Mikhail F.</v>
      </c>
      <c r="B3079" s="3">
        <f ca="1">IFERROR(__xludf.DUMMYFUNCTION("""COMPUTED_VALUE"""),1)</f>
        <v>1</v>
      </c>
      <c r="C3079" s="7">
        <f ca="1">IFERROR(__xludf.DUMMYFUNCTION("""COMPUTED_VALUE"""),1)</f>
        <v>1</v>
      </c>
      <c r="D3079" s="8">
        <f ca="1">IFERROR(__xludf.DUMMYFUNCTION("""COMPUTED_VALUE"""),5)</f>
        <v>5</v>
      </c>
      <c r="E3079" s="2">
        <f ca="1">IFERROR(__xludf.DUMMYFUNCTION("""COMPUTED_VALUE"""),2)</f>
        <v>2</v>
      </c>
    </row>
    <row r="3080" spans="1:5" ht="13">
      <c r="A3080" s="2" t="str">
        <f ca="1">IFERROR(__xludf.DUMMYFUNCTION("""COMPUTED_VALUE"""),"Godard, Benjamin")</f>
        <v>Godard, Benjamin</v>
      </c>
      <c r="B3080" s="2">
        <f ca="1">IFERROR(__xludf.DUMMYFUNCTION("""COMPUTED_VALUE"""),1)</f>
        <v>1</v>
      </c>
      <c r="C3080" s="7">
        <f ca="1">IFERROR(__xludf.DUMMYFUNCTION("""COMPUTED_VALUE"""),1)</f>
        <v>1</v>
      </c>
      <c r="D3080" s="8">
        <f ca="1">IFERROR(__xludf.DUMMYFUNCTION("""COMPUTED_VALUE"""),5)</f>
        <v>5</v>
      </c>
      <c r="E3080" s="2">
        <f ca="1">IFERROR(__xludf.DUMMYFUNCTION("""COMPUTED_VALUE"""),2)</f>
        <v>2</v>
      </c>
    </row>
    <row r="3081" spans="1:5" ht="13">
      <c r="A3081" s="2" t="str">
        <f ca="1">IFERROR(__xludf.DUMMYFUNCTION("""COMPUTED_VALUE"""),"Godbold, David")</f>
        <v>Godbold, David</v>
      </c>
      <c r="B3081" s="3">
        <f ca="1">IFERROR(__xludf.DUMMYFUNCTION("""COMPUTED_VALUE"""),1)</f>
        <v>1</v>
      </c>
      <c r="C3081" s="7">
        <f ca="1">IFERROR(__xludf.DUMMYFUNCTION("""COMPUTED_VALUE"""),1)</f>
        <v>1</v>
      </c>
      <c r="D3081" s="8">
        <f ca="1">IFERROR(__xludf.DUMMYFUNCTION("""COMPUTED_VALUE"""),1)</f>
        <v>1</v>
      </c>
      <c r="E3081" s="2">
        <f ca="1">IFERROR(__xludf.DUMMYFUNCTION("""COMPUTED_VALUE"""),1)</f>
        <v>1</v>
      </c>
    </row>
    <row r="3082" spans="1:5" ht="13">
      <c r="A3082" s="2" t="str">
        <f ca="1">IFERROR(__xludf.DUMMYFUNCTION("""COMPUTED_VALUE"""),"Goddard, Christopher")</f>
        <v>Goddard, Christopher</v>
      </c>
      <c r="B3082" s="3">
        <f ca="1">IFERROR(__xludf.DUMMYFUNCTION("""COMPUTED_VALUE"""),1)</f>
        <v>1</v>
      </c>
      <c r="C3082" s="7">
        <f ca="1">IFERROR(__xludf.DUMMYFUNCTION("""COMPUTED_VALUE"""),1)</f>
        <v>1</v>
      </c>
      <c r="D3082" s="8">
        <f ca="1">IFERROR(__xludf.DUMMYFUNCTION("""COMPUTED_VALUE"""),1)</f>
        <v>1</v>
      </c>
      <c r="E3082" s="2">
        <f ca="1">IFERROR(__xludf.DUMMYFUNCTION("""COMPUTED_VALUE"""),1)</f>
        <v>1</v>
      </c>
    </row>
    <row r="3083" spans="1:5" ht="13">
      <c r="A3083" s="2" t="str">
        <f ca="1">IFERROR(__xludf.DUMMYFUNCTION("""COMPUTED_VALUE"""),"Godebrye, Jacob")</f>
        <v>Godebrye, Jacob</v>
      </c>
      <c r="B3083" s="2">
        <f ca="1">IFERROR(__xludf.DUMMYFUNCTION("""COMPUTED_VALUE"""),1)</f>
        <v>1</v>
      </c>
      <c r="C3083" s="7">
        <f ca="1">IFERROR(__xludf.DUMMYFUNCTION("""COMPUTED_VALUE"""),1)</f>
        <v>1</v>
      </c>
      <c r="D3083" s="8">
        <f ca="1">IFERROR(__xludf.DUMMYFUNCTION("""COMPUTED_VALUE"""),5)</f>
        <v>5</v>
      </c>
      <c r="E3083" s="2">
        <f ca="1">IFERROR(__xludf.DUMMYFUNCTION("""COMPUTED_VALUE"""),2)</f>
        <v>2</v>
      </c>
    </row>
    <row r="3084" spans="1:5" ht="13">
      <c r="A3084" s="2" t="str">
        <f ca="1">IFERROR(__xludf.DUMMYFUNCTION("""COMPUTED_VALUE"""),"Godfrey, Charles")</f>
        <v>Godfrey, Charles</v>
      </c>
      <c r="B3084" s="3">
        <f ca="1">IFERROR(__xludf.DUMMYFUNCTION("""COMPUTED_VALUE"""),1)</f>
        <v>1</v>
      </c>
      <c r="C3084" s="7">
        <f ca="1">IFERROR(__xludf.DUMMYFUNCTION("""COMPUTED_VALUE"""),1)</f>
        <v>1</v>
      </c>
      <c r="D3084" s="8">
        <f ca="1">IFERROR(__xludf.DUMMYFUNCTION("""COMPUTED_VALUE"""),5)</f>
        <v>5</v>
      </c>
      <c r="E3084" s="2">
        <f ca="1">IFERROR(__xludf.DUMMYFUNCTION("""COMPUTED_VALUE"""),2)</f>
        <v>2</v>
      </c>
    </row>
    <row r="3085" spans="1:5" ht="13">
      <c r="A3085" s="2" t="str">
        <f ca="1">IFERROR(__xludf.DUMMYFUNCTION("""COMPUTED_VALUE"""),"Godfrey, Charles / McAllister, Clark")</f>
        <v>Godfrey, Charles / McAllister, Clark</v>
      </c>
      <c r="B3085" s="3">
        <f ca="1">IFERROR(__xludf.DUMMYFUNCTION("""COMPUTED_VALUE"""),1)</f>
        <v>1</v>
      </c>
      <c r="C3085" s="7">
        <f ca="1">IFERROR(__xludf.DUMMYFUNCTION("""COMPUTED_VALUE"""),1)</f>
        <v>1</v>
      </c>
      <c r="D3085" s="8">
        <f ca="1">IFERROR(__xludf.DUMMYFUNCTION("""COMPUTED_VALUE"""),5)</f>
        <v>5</v>
      </c>
      <c r="E3085" s="2">
        <f ca="1">IFERROR(__xludf.DUMMYFUNCTION("""COMPUTED_VALUE"""),2)</f>
        <v>2</v>
      </c>
    </row>
    <row r="3086" spans="1:5" ht="13">
      <c r="A3086" s="2" t="str">
        <f ca="1">IFERROR(__xludf.DUMMYFUNCTION("""COMPUTED_VALUE"""),"Godfrey, Dan / Leidzén, Erik")</f>
        <v>Godfrey, Dan / Leidzén, Erik</v>
      </c>
      <c r="B3086" s="3">
        <f ca="1">IFERROR(__xludf.DUMMYFUNCTION("""COMPUTED_VALUE"""),1)</f>
        <v>1</v>
      </c>
      <c r="C3086" s="7">
        <f ca="1">IFERROR(__xludf.DUMMYFUNCTION("""COMPUTED_VALUE"""),1)</f>
        <v>1</v>
      </c>
      <c r="D3086" s="8">
        <f ca="1">IFERROR(__xludf.DUMMYFUNCTION("""COMPUTED_VALUE"""),5)</f>
        <v>5</v>
      </c>
      <c r="E3086" s="2">
        <f ca="1">IFERROR(__xludf.DUMMYFUNCTION("""COMPUTED_VALUE"""),2)</f>
        <v>2</v>
      </c>
    </row>
    <row r="3087" spans="1:5" ht="13">
      <c r="A3087" s="2" t="str">
        <f ca="1">IFERROR(__xludf.DUMMYFUNCTION("""COMPUTED_VALUE"""),"Godfrey, Daniel")</f>
        <v>Godfrey, Daniel</v>
      </c>
      <c r="B3087" s="3">
        <f ca="1">IFERROR(__xludf.DUMMYFUNCTION("""COMPUTED_VALUE"""),1)</f>
        <v>1</v>
      </c>
      <c r="C3087" s="7">
        <f ca="1">IFERROR(__xludf.DUMMYFUNCTION("""COMPUTED_VALUE"""),1)</f>
        <v>1</v>
      </c>
      <c r="D3087" s="8">
        <f ca="1">IFERROR(__xludf.DUMMYFUNCTION("""COMPUTED_VALUE"""),5)</f>
        <v>5</v>
      </c>
      <c r="E3087" s="2">
        <f ca="1">IFERROR(__xludf.DUMMYFUNCTION("""COMPUTED_VALUE"""),2)</f>
        <v>2</v>
      </c>
    </row>
    <row r="3088" spans="1:5" ht="13">
      <c r="A3088" s="2" t="str">
        <f ca="1">IFERROR(__xludf.DUMMYFUNCTION("""COMPUTED_VALUE"""),"Godfrey, F.")</f>
        <v>Godfrey, F.</v>
      </c>
      <c r="B3088" s="3">
        <f ca="1">IFERROR(__xludf.DUMMYFUNCTION("""COMPUTED_VALUE"""),1)</f>
        <v>1</v>
      </c>
      <c r="C3088" s="7">
        <f ca="1">IFERROR(__xludf.DUMMYFUNCTION("""COMPUTED_VALUE"""),1)</f>
        <v>1</v>
      </c>
      <c r="D3088" s="8">
        <f ca="1">IFERROR(__xludf.DUMMYFUNCTION("""COMPUTED_VALUE"""),5)</f>
        <v>5</v>
      </c>
      <c r="E3088" s="2">
        <f ca="1">IFERROR(__xludf.DUMMYFUNCTION("""COMPUTED_VALUE"""),2)</f>
        <v>2</v>
      </c>
    </row>
    <row r="3089" spans="1:5" ht="13">
      <c r="A3089" s="2" t="str">
        <f ca="1">IFERROR(__xludf.DUMMYFUNCTION("""COMPUTED_VALUE"""),"Goedicke, Alexander")</f>
        <v>Goedicke, Alexander</v>
      </c>
      <c r="B3089" s="2">
        <f ca="1">IFERROR(__xludf.DUMMYFUNCTION("""COMPUTED_VALUE"""),1)</f>
        <v>1</v>
      </c>
      <c r="C3089" s="7">
        <f ca="1">IFERROR(__xludf.DUMMYFUNCTION("""COMPUTED_VALUE"""),1)</f>
        <v>1</v>
      </c>
      <c r="D3089" s="8">
        <f ca="1">IFERROR(__xludf.DUMMYFUNCTION("""COMPUTED_VALUE"""),5)</f>
        <v>5</v>
      </c>
      <c r="E3089" s="2">
        <f ca="1">IFERROR(__xludf.DUMMYFUNCTION("""COMPUTED_VALUE"""),2)</f>
        <v>2</v>
      </c>
    </row>
    <row r="3090" spans="1:5" ht="13">
      <c r="A3090" s="8" t="str">
        <f ca="1">IFERROR(__xludf.DUMMYFUNCTION("""COMPUTED_VALUE"""),"Goehring, Ed")</f>
        <v>Goehring, Ed</v>
      </c>
      <c r="B3090" s="2">
        <f ca="1">IFERROR(__xludf.DUMMYFUNCTION("""COMPUTED_VALUE"""),1)</f>
        <v>1</v>
      </c>
      <c r="C3090" s="7">
        <f ca="1">IFERROR(__xludf.DUMMYFUNCTION("""COMPUTED_VALUE"""),1)</f>
        <v>1</v>
      </c>
      <c r="D3090" s="8">
        <f ca="1">IFERROR(__xludf.DUMMYFUNCTION("""COMPUTED_VALUE"""),1)</f>
        <v>1</v>
      </c>
      <c r="E3090" s="2">
        <f ca="1">IFERROR(__xludf.DUMMYFUNCTION("""COMPUTED_VALUE"""),1)</f>
        <v>1</v>
      </c>
    </row>
    <row r="3091" spans="1:5" ht="13">
      <c r="A3091" s="2" t="str">
        <f ca="1">IFERROR(__xludf.DUMMYFUNCTION("""COMPUTED_VALUE"""),"Goeller, Dan")</f>
        <v>Goeller, Dan</v>
      </c>
      <c r="B3091" s="2">
        <f ca="1">IFERROR(__xludf.DUMMYFUNCTION("""COMPUTED_VALUE"""),1)</f>
        <v>1</v>
      </c>
      <c r="C3091" s="2">
        <f ca="1">IFERROR(__xludf.DUMMYFUNCTION("""COMPUTED_VALUE"""),1)</f>
        <v>1</v>
      </c>
      <c r="D3091" s="8">
        <f ca="1">IFERROR(__xludf.DUMMYFUNCTION("""COMPUTED_VALUE"""),1)</f>
        <v>1</v>
      </c>
      <c r="E3091" s="2">
        <f ca="1">IFERROR(__xludf.DUMMYFUNCTION("""COMPUTED_VALUE"""),1)</f>
        <v>1</v>
      </c>
    </row>
    <row r="3092" spans="1:5" ht="13">
      <c r="A3092" s="8" t="str">
        <f ca="1">IFERROR(__xludf.DUMMYFUNCTION("""COMPUTED_VALUE"""),"Goemanne, Noël")</f>
        <v>Goemanne, Noël</v>
      </c>
      <c r="B3092" s="3">
        <f ca="1">IFERROR(__xludf.DUMMYFUNCTION("""COMPUTED_VALUE"""),1)</f>
        <v>1</v>
      </c>
      <c r="C3092" s="7">
        <f ca="1">IFERROR(__xludf.DUMMYFUNCTION("""COMPUTED_VALUE"""),1)</f>
        <v>1</v>
      </c>
      <c r="D3092" s="8">
        <f ca="1">IFERROR(__xludf.DUMMYFUNCTION("""COMPUTED_VALUE"""),5)</f>
        <v>5</v>
      </c>
      <c r="E3092" s="2">
        <f ca="1">IFERROR(__xludf.DUMMYFUNCTION("""COMPUTED_VALUE"""),2)</f>
        <v>2</v>
      </c>
    </row>
    <row r="3093" spans="1:5" ht="13">
      <c r="A3093" s="2" t="str">
        <f ca="1">IFERROR(__xludf.DUMMYFUNCTION("""COMPUTED_VALUE"""),"Goens, Daniel")</f>
        <v>Goens, Daniel</v>
      </c>
      <c r="B3093" s="2">
        <f ca="1">IFERROR(__xludf.DUMMYFUNCTION("""COMPUTED_VALUE"""),1)</f>
        <v>1</v>
      </c>
      <c r="C3093" s="7">
        <f ca="1">IFERROR(__xludf.DUMMYFUNCTION("""COMPUTED_VALUE"""),1)</f>
        <v>1</v>
      </c>
      <c r="D3093" s="8">
        <f ca="1">IFERROR(__xludf.DUMMYFUNCTION("""COMPUTED_VALUE"""),5)</f>
        <v>5</v>
      </c>
      <c r="E3093" s="2">
        <f ca="1">IFERROR(__xludf.DUMMYFUNCTION("""COMPUTED_VALUE"""),2)</f>
        <v>2</v>
      </c>
    </row>
    <row r="3094" spans="1:5" ht="13">
      <c r="A3094" s="2" t="str">
        <f ca="1">IFERROR(__xludf.DUMMYFUNCTION("""COMPUTED_VALUE"""),"Goetze, Heinrich")</f>
        <v>Goetze, Heinrich</v>
      </c>
      <c r="B3094" s="2">
        <f ca="1">IFERROR(__xludf.DUMMYFUNCTION("""COMPUTED_VALUE"""),1)</f>
        <v>1</v>
      </c>
      <c r="C3094" s="7">
        <f ca="1">IFERROR(__xludf.DUMMYFUNCTION("""COMPUTED_VALUE"""),1)</f>
        <v>1</v>
      </c>
      <c r="D3094" s="8">
        <f ca="1">IFERROR(__xludf.DUMMYFUNCTION("""COMPUTED_VALUE"""),5)</f>
        <v>5</v>
      </c>
      <c r="E3094" s="2">
        <f ca="1">IFERROR(__xludf.DUMMYFUNCTION("""COMPUTED_VALUE"""),2)</f>
        <v>2</v>
      </c>
    </row>
    <row r="3095" spans="1:5" ht="13">
      <c r="A3095" s="2" t="str">
        <f ca="1">IFERROR(__xludf.DUMMYFUNCTION("""COMPUTED_VALUE"""),"Goffin, Dean")</f>
        <v>Goffin, Dean</v>
      </c>
      <c r="B3095" s="3">
        <f ca="1">IFERROR(__xludf.DUMMYFUNCTION("""COMPUTED_VALUE"""),1)</f>
        <v>1</v>
      </c>
      <c r="C3095" s="7">
        <f ca="1">IFERROR(__xludf.DUMMYFUNCTION("""COMPUTED_VALUE"""),1)</f>
        <v>1</v>
      </c>
      <c r="D3095" s="8">
        <f ca="1">IFERROR(__xludf.DUMMYFUNCTION("""COMPUTED_VALUE"""),5)</f>
        <v>5</v>
      </c>
      <c r="E3095" s="2">
        <f ca="1">IFERROR(__xludf.DUMMYFUNCTION("""COMPUTED_VALUE"""),2)</f>
        <v>2</v>
      </c>
    </row>
    <row r="3096" spans="1:5" ht="13">
      <c r="A3096" s="2" t="str">
        <f ca="1">IFERROR(__xludf.DUMMYFUNCTION("""COMPUTED_VALUE"""),"Goffin, Sir Dean")</f>
        <v>Goffin, Sir Dean</v>
      </c>
      <c r="B3096" s="3">
        <f ca="1">IFERROR(__xludf.DUMMYFUNCTION("""COMPUTED_VALUE"""),1)</f>
        <v>1</v>
      </c>
      <c r="C3096" s="7">
        <f ca="1">IFERROR(__xludf.DUMMYFUNCTION("""COMPUTED_VALUE"""),1)</f>
        <v>1</v>
      </c>
      <c r="D3096" s="8">
        <f ca="1">IFERROR(__xludf.DUMMYFUNCTION("""COMPUTED_VALUE"""),5)</f>
        <v>5</v>
      </c>
      <c r="E3096" s="2">
        <f ca="1">IFERROR(__xludf.DUMMYFUNCTION("""COMPUTED_VALUE"""),2)</f>
        <v>2</v>
      </c>
    </row>
    <row r="3097" spans="1:5" ht="13">
      <c r="A3097" s="2" t="str">
        <f ca="1">IFERROR(__xludf.DUMMYFUNCTION("""COMPUTED_VALUE"""),"Golan, Lawrence")</f>
        <v>Golan, Lawrence</v>
      </c>
      <c r="B3097" s="3">
        <f ca="1">IFERROR(__xludf.DUMMYFUNCTION("""COMPUTED_VALUE"""),1)</f>
        <v>1</v>
      </c>
      <c r="C3097" s="7">
        <f ca="1">IFERROR(__xludf.DUMMYFUNCTION("""COMPUTED_VALUE"""),1)</f>
        <v>1</v>
      </c>
      <c r="D3097" s="8">
        <f ca="1">IFERROR(__xludf.DUMMYFUNCTION("""COMPUTED_VALUE"""),1)</f>
        <v>1</v>
      </c>
      <c r="E3097" s="2">
        <f ca="1">IFERROR(__xludf.DUMMYFUNCTION("""COMPUTED_VALUE"""),1)</f>
        <v>1</v>
      </c>
    </row>
    <row r="3098" spans="1:5" ht="13">
      <c r="A3098" s="2" t="str">
        <f ca="1">IFERROR(__xludf.DUMMYFUNCTION("""COMPUTED_VALUE"""),"Gold, Ernest")</f>
        <v>Gold, Ernest</v>
      </c>
      <c r="B3098" s="2">
        <f ca="1">IFERROR(__xludf.DUMMYFUNCTION("""COMPUTED_VALUE"""),1)</f>
        <v>1</v>
      </c>
      <c r="C3098" s="7">
        <f ca="1">IFERROR(__xludf.DUMMYFUNCTION("""COMPUTED_VALUE"""),1)</f>
        <v>1</v>
      </c>
      <c r="D3098" s="8">
        <f ca="1">IFERROR(__xludf.DUMMYFUNCTION("""COMPUTED_VALUE"""),5)</f>
        <v>5</v>
      </c>
      <c r="E3098" s="2">
        <f ca="1">IFERROR(__xludf.DUMMYFUNCTION("""COMPUTED_VALUE"""),2)</f>
        <v>2</v>
      </c>
    </row>
    <row r="3099" spans="1:5" ht="13">
      <c r="A3099" s="2" t="str">
        <f ca="1">IFERROR(__xludf.DUMMYFUNCTION("""COMPUTED_VALUE"""),"Gold, Marty")</f>
        <v>Gold, Marty</v>
      </c>
      <c r="B3099" s="3">
        <f ca="1">IFERROR(__xludf.DUMMYFUNCTION("""COMPUTED_VALUE"""),1)</f>
        <v>1</v>
      </c>
      <c r="C3099" s="7">
        <f ca="1">IFERROR(__xludf.DUMMYFUNCTION("""COMPUTED_VALUE"""),1)</f>
        <v>1</v>
      </c>
      <c r="D3099" s="8">
        <f ca="1">IFERROR(__xludf.DUMMYFUNCTION("""COMPUTED_VALUE"""),1)</f>
        <v>1</v>
      </c>
      <c r="E3099" s="2">
        <f ca="1">IFERROR(__xludf.DUMMYFUNCTION("""COMPUTED_VALUE"""),1)</f>
        <v>1</v>
      </c>
    </row>
    <row r="3100" spans="1:5" ht="13">
      <c r="A3100" s="2" t="str">
        <f ca="1">IFERROR(__xludf.DUMMYFUNCTION("""COMPUTED_VALUE"""),"Gold, Murray")</f>
        <v>Gold, Murray</v>
      </c>
      <c r="B3100" s="3">
        <f ca="1">IFERROR(__xludf.DUMMYFUNCTION("""COMPUTED_VALUE"""),1)</f>
        <v>1</v>
      </c>
      <c r="C3100" s="7">
        <f ca="1">IFERROR(__xludf.DUMMYFUNCTION("""COMPUTED_VALUE"""),1)</f>
        <v>1</v>
      </c>
      <c r="D3100" s="8">
        <f ca="1">IFERROR(__xludf.DUMMYFUNCTION("""COMPUTED_VALUE"""),1)</f>
        <v>1</v>
      </c>
      <c r="E3100" s="2">
        <f ca="1">IFERROR(__xludf.DUMMYFUNCTION("""COMPUTED_VALUE"""),1)</f>
        <v>1</v>
      </c>
    </row>
    <row r="3101" spans="1:5" ht="13">
      <c r="A3101" s="2" t="str">
        <f ca="1">IFERROR(__xludf.DUMMYFUNCTION("""COMPUTED_VALUE"""),"Goldberg, Eric")</f>
        <v>Goldberg, Eric</v>
      </c>
      <c r="B3101" s="3">
        <f ca="1">IFERROR(__xludf.DUMMYFUNCTION("""COMPUTED_VALUE"""),1)</f>
        <v>1</v>
      </c>
      <c r="C3101" s="7">
        <f ca="1">IFERROR(__xludf.DUMMYFUNCTION("""COMPUTED_VALUE"""),1)</f>
        <v>1</v>
      </c>
      <c r="D3101" s="8">
        <f ca="1">IFERROR(__xludf.DUMMYFUNCTION("""COMPUTED_VALUE"""),1)</f>
        <v>1</v>
      </c>
      <c r="E3101" s="2">
        <f ca="1">IFERROR(__xludf.DUMMYFUNCTION("""COMPUTED_VALUE"""),1)</f>
        <v>1</v>
      </c>
    </row>
    <row r="3102" spans="1:5" ht="13">
      <c r="A3102" s="2" t="str">
        <f ca="1">IFERROR(__xludf.DUMMYFUNCTION("""COMPUTED_VALUE"""),"Goldberg, Norman")</f>
        <v>Goldberg, Norman</v>
      </c>
      <c r="B3102" s="3">
        <f ca="1">IFERROR(__xludf.DUMMYFUNCTION("""COMPUTED_VALUE"""),1)</f>
        <v>1</v>
      </c>
      <c r="C3102" s="7">
        <f ca="1">IFERROR(__xludf.DUMMYFUNCTION("""COMPUTED_VALUE"""),1)</f>
        <v>1</v>
      </c>
      <c r="D3102" s="8">
        <f ca="1">IFERROR(__xludf.DUMMYFUNCTION("""COMPUTED_VALUE"""),5)</f>
        <v>5</v>
      </c>
      <c r="E3102" s="2">
        <f ca="1">IFERROR(__xludf.DUMMYFUNCTION("""COMPUTED_VALUE"""),2)</f>
        <v>2</v>
      </c>
    </row>
    <row r="3103" spans="1:5" ht="13">
      <c r="A3103" s="2" t="str">
        <f ca="1">IFERROR(__xludf.DUMMYFUNCTION("""COMPUTED_VALUE"""),"Goldenthal, Elliot")</f>
        <v>Goldenthal, Elliot</v>
      </c>
      <c r="B3103" s="3">
        <f ca="1">IFERROR(__xludf.DUMMYFUNCTION("""COMPUTED_VALUE"""),1)</f>
        <v>1</v>
      </c>
      <c r="C3103" s="7">
        <f ca="1">IFERROR(__xludf.DUMMYFUNCTION("""COMPUTED_VALUE"""),1)</f>
        <v>1</v>
      </c>
      <c r="D3103" s="8">
        <f ca="1">IFERROR(__xludf.DUMMYFUNCTION("""COMPUTED_VALUE"""),1)</f>
        <v>1</v>
      </c>
      <c r="E3103" s="2">
        <f ca="1">IFERROR(__xludf.DUMMYFUNCTION("""COMPUTED_VALUE"""),1)</f>
        <v>1</v>
      </c>
    </row>
    <row r="3104" spans="1:5" ht="13">
      <c r="A3104" s="8" t="str">
        <f ca="1">IFERROR(__xludf.DUMMYFUNCTION("""COMPUTED_VALUE"""),"Goldfaden, Abraham")</f>
        <v>Goldfaden, Abraham</v>
      </c>
      <c r="B3104" s="3">
        <f ca="1">IFERROR(__xludf.DUMMYFUNCTION("""COMPUTED_VALUE"""),1)</f>
        <v>1</v>
      </c>
      <c r="C3104" s="7">
        <f ca="1">IFERROR(__xludf.DUMMYFUNCTION("""COMPUTED_VALUE"""),1)</f>
        <v>1</v>
      </c>
      <c r="D3104" s="8">
        <f ca="1">IFERROR(__xludf.DUMMYFUNCTION("""COMPUTED_VALUE"""),5)</f>
        <v>5</v>
      </c>
      <c r="E3104" s="2">
        <f ca="1">IFERROR(__xludf.DUMMYFUNCTION("""COMPUTED_VALUE"""),2)</f>
        <v>2</v>
      </c>
    </row>
    <row r="3105" spans="1:5" ht="13">
      <c r="A3105" s="2" t="str">
        <f ca="1">IFERROR(__xludf.DUMMYFUNCTION("""COMPUTED_VALUE"""),"Goldfarb, Samuel")</f>
        <v>Goldfarb, Samuel</v>
      </c>
      <c r="B3105" s="3">
        <f ca="1">IFERROR(__xludf.DUMMYFUNCTION("""COMPUTED_VALUE"""),1)</f>
        <v>1</v>
      </c>
      <c r="C3105" s="7">
        <f ca="1">IFERROR(__xludf.DUMMYFUNCTION("""COMPUTED_VALUE"""),1)</f>
        <v>1</v>
      </c>
      <c r="D3105" s="8">
        <f ca="1">IFERROR(__xludf.DUMMYFUNCTION("""COMPUTED_VALUE"""),5)</f>
        <v>5</v>
      </c>
      <c r="E3105" s="2">
        <f ca="1">IFERROR(__xludf.DUMMYFUNCTION("""COMPUTED_VALUE"""),2)</f>
        <v>2</v>
      </c>
    </row>
    <row r="3106" spans="1:5" ht="13">
      <c r="A3106" s="2" t="str">
        <f ca="1">IFERROR(__xludf.DUMMYFUNCTION("""COMPUTED_VALUE"""),"Goldman, Edwin Franko")</f>
        <v>Goldman, Edwin Franko</v>
      </c>
      <c r="B3106" s="3">
        <f ca="1">IFERROR(__xludf.DUMMYFUNCTION("""COMPUTED_VALUE"""),1)</f>
        <v>1</v>
      </c>
      <c r="C3106" s="7">
        <f ca="1">IFERROR(__xludf.DUMMYFUNCTION("""COMPUTED_VALUE"""),1)</f>
        <v>1</v>
      </c>
      <c r="D3106" s="8">
        <f ca="1">IFERROR(__xludf.DUMMYFUNCTION("""COMPUTED_VALUE"""),5)</f>
        <v>5</v>
      </c>
      <c r="E3106" s="2">
        <f ca="1">IFERROR(__xludf.DUMMYFUNCTION("""COMPUTED_VALUE"""),2)</f>
        <v>2</v>
      </c>
    </row>
    <row r="3107" spans="1:5" ht="13">
      <c r="A3107" s="8" t="str">
        <f ca="1">IFERROR(__xludf.DUMMYFUNCTION("""COMPUTED_VALUE"""),"Goldman, Maurice")</f>
        <v>Goldman, Maurice</v>
      </c>
      <c r="B3107" s="3">
        <f ca="1">IFERROR(__xludf.DUMMYFUNCTION("""COMPUTED_VALUE"""),1)</f>
        <v>1</v>
      </c>
      <c r="C3107" s="7">
        <f ca="1">IFERROR(__xludf.DUMMYFUNCTION("""COMPUTED_VALUE"""),1)</f>
        <v>1</v>
      </c>
      <c r="D3107" s="8">
        <f ca="1">IFERROR(__xludf.DUMMYFUNCTION("""COMPUTED_VALUE"""),5)</f>
        <v>5</v>
      </c>
      <c r="E3107" s="2">
        <f ca="1">IFERROR(__xludf.DUMMYFUNCTION("""COMPUTED_VALUE"""),2)</f>
        <v>2</v>
      </c>
    </row>
    <row r="3108" spans="1:5" ht="13">
      <c r="A3108" s="2" t="str">
        <f ca="1">IFERROR(__xludf.DUMMYFUNCTION("""COMPUTED_VALUE"""),"Goldman, Richard Franko")</f>
        <v>Goldman, Richard Franko</v>
      </c>
      <c r="B3108" s="3">
        <f ca="1">IFERROR(__xludf.DUMMYFUNCTION("""COMPUTED_VALUE"""),1)</f>
        <v>1</v>
      </c>
      <c r="C3108" s="7">
        <f ca="1">IFERROR(__xludf.DUMMYFUNCTION("""COMPUTED_VALUE"""),1)</f>
        <v>1</v>
      </c>
      <c r="D3108" s="8">
        <f ca="1">IFERROR(__xludf.DUMMYFUNCTION("""COMPUTED_VALUE"""),5)</f>
        <v>5</v>
      </c>
      <c r="E3108" s="2">
        <f ca="1">IFERROR(__xludf.DUMMYFUNCTION("""COMPUTED_VALUE"""),2)</f>
        <v>2</v>
      </c>
    </row>
    <row r="3109" spans="1:5" ht="13">
      <c r="A3109" s="2" t="str">
        <f ca="1">IFERROR(__xludf.DUMMYFUNCTION("""COMPUTED_VALUE"""),"Goldman, Richard Franko / Leist, Robert")</f>
        <v>Goldman, Richard Franko / Leist, Robert</v>
      </c>
      <c r="B3109" s="3">
        <f ca="1">IFERROR(__xludf.DUMMYFUNCTION("""COMPUTED_VALUE"""),1)</f>
        <v>1</v>
      </c>
      <c r="C3109" s="7">
        <f ca="1">IFERROR(__xludf.DUMMYFUNCTION("""COMPUTED_VALUE"""),1)</f>
        <v>1</v>
      </c>
      <c r="D3109" s="8">
        <f ca="1">IFERROR(__xludf.DUMMYFUNCTION("""COMPUTED_VALUE"""),5)</f>
        <v>5</v>
      </c>
      <c r="E3109" s="2">
        <f ca="1">IFERROR(__xludf.DUMMYFUNCTION("""COMPUTED_VALUE"""),2)</f>
        <v>2</v>
      </c>
    </row>
    <row r="3110" spans="1:5" ht="13">
      <c r="A3110" s="2" t="str">
        <f ca="1">IFERROR(__xludf.DUMMYFUNCTION("""COMPUTED_VALUE"""),"Goldman, Richard Franko / Smith, Roger")</f>
        <v>Goldman, Richard Franko / Smith, Roger</v>
      </c>
      <c r="B3110" s="3">
        <f ca="1">IFERROR(__xludf.DUMMYFUNCTION("""COMPUTED_VALUE"""),1)</f>
        <v>1</v>
      </c>
      <c r="C3110" s="7">
        <f ca="1">IFERROR(__xludf.DUMMYFUNCTION("""COMPUTED_VALUE"""),1)</f>
        <v>1</v>
      </c>
      <c r="D3110" s="8">
        <f ca="1">IFERROR(__xludf.DUMMYFUNCTION("""COMPUTED_VALUE"""),5)</f>
        <v>5</v>
      </c>
      <c r="E3110" s="2">
        <f ca="1">IFERROR(__xludf.DUMMYFUNCTION("""COMPUTED_VALUE"""),2)</f>
        <v>2</v>
      </c>
    </row>
    <row r="3111" spans="1:5" ht="13">
      <c r="A3111" s="2" t="str">
        <f ca="1">IFERROR(__xludf.DUMMYFUNCTION("""COMPUTED_VALUE"""),"Goldmark, Carl")</f>
        <v>Goldmark, Carl</v>
      </c>
      <c r="B3111" s="2">
        <f ca="1">IFERROR(__xludf.DUMMYFUNCTION("""COMPUTED_VALUE"""),1)</f>
        <v>1</v>
      </c>
      <c r="C3111" s="7">
        <f ca="1">IFERROR(__xludf.DUMMYFUNCTION("""COMPUTED_VALUE"""),1)</f>
        <v>1</v>
      </c>
      <c r="D3111" s="8">
        <f ca="1">IFERROR(__xludf.DUMMYFUNCTION("""COMPUTED_VALUE"""),5)</f>
        <v>5</v>
      </c>
      <c r="E3111" s="2">
        <f ca="1">IFERROR(__xludf.DUMMYFUNCTION("""COMPUTED_VALUE"""),2)</f>
        <v>2</v>
      </c>
    </row>
    <row r="3112" spans="1:5" ht="13">
      <c r="A3112" s="2" t="str">
        <f ca="1">IFERROR(__xludf.DUMMYFUNCTION("""COMPUTED_VALUE"""),"Goldmark, Karl")</f>
        <v>Goldmark, Karl</v>
      </c>
      <c r="B3112" s="2">
        <f ca="1">IFERROR(__xludf.DUMMYFUNCTION("""COMPUTED_VALUE"""),1)</f>
        <v>1</v>
      </c>
      <c r="C3112" s="7">
        <f ca="1">IFERROR(__xludf.DUMMYFUNCTION("""COMPUTED_VALUE"""),1)</f>
        <v>1</v>
      </c>
      <c r="D3112" s="8">
        <f ca="1">IFERROR(__xludf.DUMMYFUNCTION("""COMPUTED_VALUE"""),5)</f>
        <v>5</v>
      </c>
      <c r="E3112" s="2">
        <f ca="1">IFERROR(__xludf.DUMMYFUNCTION("""COMPUTED_VALUE"""),2)</f>
        <v>2</v>
      </c>
    </row>
    <row r="3113" spans="1:5" ht="13">
      <c r="A3113" s="2" t="str">
        <f ca="1">IFERROR(__xludf.DUMMYFUNCTION("""COMPUTED_VALUE"""),"Goldsmith, Jerry")</f>
        <v>Goldsmith, Jerry</v>
      </c>
      <c r="B3113" s="3">
        <f ca="1">IFERROR(__xludf.DUMMYFUNCTION("""COMPUTED_VALUE"""),1)</f>
        <v>1</v>
      </c>
      <c r="C3113" s="7">
        <f ca="1">IFERROR(__xludf.DUMMYFUNCTION("""COMPUTED_VALUE"""),1)</f>
        <v>1</v>
      </c>
      <c r="D3113" s="8">
        <f ca="1">IFERROR(__xludf.DUMMYFUNCTION("""COMPUTED_VALUE"""),5)</f>
        <v>5</v>
      </c>
      <c r="E3113" s="2">
        <f ca="1">IFERROR(__xludf.DUMMYFUNCTION("""COMPUTED_VALUE"""),2)</f>
        <v>2</v>
      </c>
    </row>
    <row r="3114" spans="1:5" ht="13">
      <c r="A3114" s="8" t="str">
        <f ca="1">IFERROR(__xludf.DUMMYFUNCTION("""COMPUTED_VALUE"""),"Goldsmith, Owen")</f>
        <v>Goldsmith, Owen</v>
      </c>
      <c r="B3114" s="3">
        <f ca="1">IFERROR(__xludf.DUMMYFUNCTION("""COMPUTED_VALUE"""),1)</f>
        <v>1</v>
      </c>
      <c r="C3114" s="7">
        <f ca="1">IFERROR(__xludf.DUMMYFUNCTION("""COMPUTED_VALUE"""),1)</f>
        <v>1</v>
      </c>
      <c r="D3114" s="8">
        <f ca="1">IFERROR(__xludf.DUMMYFUNCTION("""COMPUTED_VALUE"""),5)</f>
        <v>5</v>
      </c>
      <c r="E3114" s="2">
        <f ca="1">IFERROR(__xludf.DUMMYFUNCTION("""COMPUTED_VALUE"""),2)</f>
        <v>2</v>
      </c>
    </row>
    <row r="3115" spans="1:5" ht="13">
      <c r="A3115" s="2" t="str">
        <f ca="1">IFERROR(__xludf.DUMMYFUNCTION("""COMPUTED_VALUE"""),"Goldstaub, Paul")</f>
        <v>Goldstaub, Paul</v>
      </c>
      <c r="B3115" s="3">
        <f ca="1">IFERROR(__xludf.DUMMYFUNCTION("""COMPUTED_VALUE"""),1)</f>
        <v>1</v>
      </c>
      <c r="C3115" s="7">
        <f ca="1">IFERROR(__xludf.DUMMYFUNCTION("""COMPUTED_VALUE"""),1)</f>
        <v>1</v>
      </c>
      <c r="D3115" s="8">
        <f ca="1">IFERROR(__xludf.DUMMYFUNCTION("""COMPUTED_VALUE"""),1)</f>
        <v>1</v>
      </c>
      <c r="E3115" s="2">
        <f ca="1">IFERROR(__xludf.DUMMYFUNCTION("""COMPUTED_VALUE"""),1)</f>
        <v>1</v>
      </c>
    </row>
    <row r="3116" spans="1:5" ht="13">
      <c r="A3116" s="2" t="str">
        <f ca="1">IFERROR(__xludf.DUMMYFUNCTION("""COMPUTED_VALUE"""),"Goldstein, William")</f>
        <v>Goldstein, William</v>
      </c>
      <c r="B3116" s="3">
        <f ca="1">IFERROR(__xludf.DUMMYFUNCTION("""COMPUTED_VALUE"""),1)</f>
        <v>1</v>
      </c>
      <c r="C3116" s="7">
        <f ca="1">IFERROR(__xludf.DUMMYFUNCTION("""COMPUTED_VALUE"""),1)</f>
        <v>1</v>
      </c>
      <c r="D3116" s="8">
        <f ca="1">IFERROR(__xludf.DUMMYFUNCTION("""COMPUTED_VALUE"""),1)</f>
        <v>1</v>
      </c>
      <c r="E3116" s="2">
        <f ca="1">IFERROR(__xludf.DUMMYFUNCTION("""COMPUTED_VALUE"""),1)</f>
        <v>1</v>
      </c>
    </row>
    <row r="3117" spans="1:5" ht="13">
      <c r="A3117" s="8" t="str">
        <f ca="1">IFERROR(__xludf.DUMMYFUNCTION("""COMPUTED_VALUE"""),"Goleminov, Marin")</f>
        <v>Goleminov, Marin</v>
      </c>
      <c r="B3117" s="3">
        <f ca="1">IFERROR(__xludf.DUMMYFUNCTION("""COMPUTED_VALUE"""),1)</f>
        <v>1</v>
      </c>
      <c r="C3117" s="7">
        <f ca="1">IFERROR(__xludf.DUMMYFUNCTION("""COMPUTED_VALUE"""),1)</f>
        <v>1</v>
      </c>
      <c r="D3117" s="8">
        <f ca="1">IFERROR(__xludf.DUMMYFUNCTION("""COMPUTED_VALUE"""),5)</f>
        <v>5</v>
      </c>
      <c r="E3117" s="2">
        <f ca="1">IFERROR(__xludf.DUMMYFUNCTION("""COMPUTED_VALUE"""),2)</f>
        <v>2</v>
      </c>
    </row>
    <row r="3118" spans="1:5" ht="13">
      <c r="A3118" s="2" t="str">
        <f ca="1">IFERROR(__xludf.DUMMYFUNCTION("""COMPUTED_VALUE"""),"Golemo, Michael")</f>
        <v>Golemo, Michael</v>
      </c>
      <c r="B3118" s="3">
        <f ca="1">IFERROR(__xludf.DUMMYFUNCTION("""COMPUTED_VALUE"""),1)</f>
        <v>1</v>
      </c>
      <c r="C3118" s="7">
        <f ca="1">IFERROR(__xludf.DUMMYFUNCTION("""COMPUTED_VALUE"""),1)</f>
        <v>1</v>
      </c>
      <c r="D3118" s="8">
        <f ca="1">IFERROR(__xludf.DUMMYFUNCTION("""COMPUTED_VALUE"""),1)</f>
        <v>1</v>
      </c>
      <c r="E3118" s="2">
        <f ca="1">IFERROR(__xludf.DUMMYFUNCTION("""COMPUTED_VALUE"""),1)</f>
        <v>1</v>
      </c>
    </row>
    <row r="3119" spans="1:5" ht="13">
      <c r="A3119" s="2" t="str">
        <f ca="1">IFERROR(__xludf.DUMMYFUNCTION("""COMPUTED_VALUE"""),"Golland, John")</f>
        <v>Golland, John</v>
      </c>
      <c r="B3119" s="2">
        <f ca="1">IFERROR(__xludf.DUMMYFUNCTION("""COMPUTED_VALUE"""),1)</f>
        <v>1</v>
      </c>
      <c r="C3119" s="7">
        <f ca="1">IFERROR(__xludf.DUMMYFUNCTION("""COMPUTED_VALUE"""),1)</f>
        <v>1</v>
      </c>
      <c r="D3119" s="8">
        <f ca="1">IFERROR(__xludf.DUMMYFUNCTION("""COMPUTED_VALUE"""),5)</f>
        <v>5</v>
      </c>
      <c r="E3119" s="2">
        <f ca="1">IFERROR(__xludf.DUMMYFUNCTION("""COMPUTED_VALUE"""),2)</f>
        <v>2</v>
      </c>
    </row>
    <row r="3120" spans="1:5" ht="13">
      <c r="A3120" s="2" t="str">
        <f ca="1">IFERROR(__xludf.DUMMYFUNCTION("""COMPUTED_VALUE"""),"Golovanov, Nikolay")</f>
        <v>Golovanov, Nikolay</v>
      </c>
      <c r="B3120" s="2">
        <f ca="1">IFERROR(__xludf.DUMMYFUNCTION("""COMPUTED_VALUE"""),1)</f>
        <v>1</v>
      </c>
      <c r="C3120" s="7">
        <f ca="1">IFERROR(__xludf.DUMMYFUNCTION("""COMPUTED_VALUE"""),1)</f>
        <v>1</v>
      </c>
      <c r="D3120" s="8">
        <f ca="1">IFERROR(__xludf.DUMMYFUNCTION("""COMPUTED_VALUE"""),5)</f>
        <v>5</v>
      </c>
      <c r="E3120" s="2">
        <f ca="1">IFERROR(__xludf.DUMMYFUNCTION("""COMPUTED_VALUE"""),2)</f>
        <v>2</v>
      </c>
    </row>
    <row r="3121" spans="1:5" ht="13">
      <c r="A3121" s="2" t="str">
        <f ca="1">IFERROR(__xludf.DUMMYFUNCTION("""COMPUTED_VALUE"""),"Golovko, Sergei")</f>
        <v>Golovko, Sergei</v>
      </c>
      <c r="B3121" s="2">
        <f ca="1">IFERROR(__xludf.DUMMYFUNCTION("""COMPUTED_VALUE"""),1)</f>
        <v>1</v>
      </c>
      <c r="C3121" s="2">
        <f ca="1">IFERROR(__xludf.DUMMYFUNCTION("""COMPUTED_VALUE"""),1)</f>
        <v>1</v>
      </c>
      <c r="D3121" s="8">
        <f ca="1">IFERROR(__xludf.DUMMYFUNCTION("""COMPUTED_VALUE"""),1)</f>
        <v>1</v>
      </c>
      <c r="E3121" s="2">
        <f ca="1">IFERROR(__xludf.DUMMYFUNCTION("""COMPUTED_VALUE"""),1)</f>
        <v>1</v>
      </c>
    </row>
    <row r="3122" spans="1:5" ht="13">
      <c r="A3122" s="2" t="str">
        <f ca="1">IFERROR(__xludf.DUMMYFUNCTION("""COMPUTED_VALUE"""),"Goltermann, Georg")</f>
        <v>Goltermann, Georg</v>
      </c>
      <c r="B3122" s="2">
        <f ca="1">IFERROR(__xludf.DUMMYFUNCTION("""COMPUTED_VALUE"""),1)</f>
        <v>1</v>
      </c>
      <c r="C3122" s="7">
        <f ca="1">IFERROR(__xludf.DUMMYFUNCTION("""COMPUTED_VALUE"""),1)</f>
        <v>1</v>
      </c>
      <c r="D3122" s="8">
        <f ca="1">IFERROR(__xludf.DUMMYFUNCTION("""COMPUTED_VALUE"""),5)</f>
        <v>5</v>
      </c>
      <c r="E3122" s="2">
        <f ca="1">IFERROR(__xludf.DUMMYFUNCTION("""COMPUTED_VALUE"""),2)</f>
        <v>2</v>
      </c>
    </row>
    <row r="3123" spans="1:5" ht="13">
      <c r="A3123" s="2" t="str">
        <f ca="1">IFERROR(__xludf.DUMMYFUNCTION("""COMPUTED_VALUE"""),"Gombert, Nicolas")</f>
        <v>Gombert, Nicolas</v>
      </c>
      <c r="B3123" s="3">
        <f ca="1">IFERROR(__xludf.DUMMYFUNCTION("""COMPUTED_VALUE"""),1)</f>
        <v>1</v>
      </c>
      <c r="C3123" s="7">
        <f ca="1">IFERROR(__xludf.DUMMYFUNCTION("""COMPUTED_VALUE"""),1)</f>
        <v>1</v>
      </c>
      <c r="D3123" s="8">
        <f ca="1">IFERROR(__xludf.DUMMYFUNCTION("""COMPUTED_VALUE"""),5)</f>
        <v>5</v>
      </c>
      <c r="E3123" s="2">
        <f ca="1">IFERROR(__xludf.DUMMYFUNCTION("""COMPUTED_VALUE"""),2)</f>
        <v>2</v>
      </c>
    </row>
    <row r="3124" spans="1:5" ht="13">
      <c r="A3124" s="2" t="str">
        <f ca="1">IFERROR(__xludf.DUMMYFUNCTION("""COMPUTED_VALUE"""),"Gomes, Joaquim Luiz")</f>
        <v>Gomes, Joaquim Luiz</v>
      </c>
      <c r="B3124" s="2">
        <f ca="1">IFERROR(__xludf.DUMMYFUNCTION("""COMPUTED_VALUE"""),1)</f>
        <v>1</v>
      </c>
      <c r="C3124" s="7">
        <f ca="1">IFERROR(__xludf.DUMMYFUNCTION("""COMPUTED_VALUE"""),1)</f>
        <v>1</v>
      </c>
      <c r="D3124" s="8">
        <f ca="1">IFERROR(__xludf.DUMMYFUNCTION("""COMPUTED_VALUE"""),5)</f>
        <v>5</v>
      </c>
      <c r="E3124" s="2">
        <f ca="1">IFERROR(__xludf.DUMMYFUNCTION("""COMPUTED_VALUE"""),2)</f>
        <v>2</v>
      </c>
    </row>
    <row r="3125" spans="1:5" ht="13">
      <c r="A3125" s="2" t="str">
        <f ca="1">IFERROR(__xludf.DUMMYFUNCTION("""COMPUTED_VALUE"""),"González Moreno, José Salvador")</f>
        <v>González Moreno, José Salvador</v>
      </c>
      <c r="B3125" s="3">
        <f ca="1">IFERROR(__xludf.DUMMYFUNCTION("""COMPUTED_VALUE"""),1)</f>
        <v>1</v>
      </c>
      <c r="C3125" s="7">
        <f ca="1">IFERROR(__xludf.DUMMYFUNCTION("""COMPUTED_VALUE"""),1)</f>
        <v>1</v>
      </c>
      <c r="D3125" s="8">
        <f ca="1">IFERROR(__xludf.DUMMYFUNCTION("""COMPUTED_VALUE"""),1)</f>
        <v>1</v>
      </c>
      <c r="E3125" s="2">
        <f ca="1">IFERROR(__xludf.DUMMYFUNCTION("""COMPUTED_VALUE"""),1)</f>
        <v>1</v>
      </c>
    </row>
    <row r="3126" spans="1:5" ht="13">
      <c r="A3126" s="2" t="str">
        <f ca="1">IFERROR(__xludf.DUMMYFUNCTION("""COMPUTED_VALUE"""),"Gooch, Warren")</f>
        <v>Gooch, Warren</v>
      </c>
      <c r="B3126" s="3">
        <f ca="1">IFERROR(__xludf.DUMMYFUNCTION("""COMPUTED_VALUE"""),1)</f>
        <v>1</v>
      </c>
      <c r="C3126" s="7">
        <f ca="1">IFERROR(__xludf.DUMMYFUNCTION("""COMPUTED_VALUE"""),1)</f>
        <v>1</v>
      </c>
      <c r="D3126" s="8">
        <f ca="1">IFERROR(__xludf.DUMMYFUNCTION("""COMPUTED_VALUE"""),1)</f>
        <v>1</v>
      </c>
      <c r="E3126" s="2">
        <f ca="1">IFERROR(__xludf.DUMMYFUNCTION("""COMPUTED_VALUE"""),1)</f>
        <v>1</v>
      </c>
    </row>
    <row r="3127" spans="1:5" ht="13">
      <c r="A3127" s="2" t="str">
        <f ca="1">IFERROR(__xludf.DUMMYFUNCTION("""COMPUTED_VALUE"""),"Good, Robby")</f>
        <v>Good, Robby</v>
      </c>
      <c r="B3127" s="3">
        <f ca="1">IFERROR(__xludf.DUMMYFUNCTION("""COMPUTED_VALUE"""),1)</f>
        <v>1</v>
      </c>
      <c r="C3127" s="7">
        <f ca="1">IFERROR(__xludf.DUMMYFUNCTION("""COMPUTED_VALUE"""),1)</f>
        <v>1</v>
      </c>
      <c r="D3127" s="8">
        <f ca="1">IFERROR(__xludf.DUMMYFUNCTION("""COMPUTED_VALUE"""),1)</f>
        <v>1</v>
      </c>
      <c r="E3127" s="2">
        <f ca="1">IFERROR(__xludf.DUMMYFUNCTION("""COMPUTED_VALUE"""),1)</f>
        <v>1</v>
      </c>
    </row>
    <row r="3128" spans="1:5" ht="13">
      <c r="A3128" s="2" t="str">
        <f ca="1">IFERROR(__xludf.DUMMYFUNCTION("""COMPUTED_VALUE"""),"Good, Scott")</f>
        <v>Good, Scott</v>
      </c>
      <c r="B3128" s="3">
        <f ca="1">IFERROR(__xludf.DUMMYFUNCTION("""COMPUTED_VALUE"""),1)</f>
        <v>1</v>
      </c>
      <c r="C3128" s="7">
        <f ca="1">IFERROR(__xludf.DUMMYFUNCTION("""COMPUTED_VALUE"""),1)</f>
        <v>1</v>
      </c>
      <c r="D3128" s="8">
        <f ca="1">IFERROR(__xludf.DUMMYFUNCTION("""COMPUTED_VALUE"""),1)</f>
        <v>1</v>
      </c>
      <c r="E3128" s="2">
        <f ca="1">IFERROR(__xludf.DUMMYFUNCTION("""COMPUTED_VALUE"""),1)</f>
        <v>1</v>
      </c>
    </row>
    <row r="3129" spans="1:5" ht="13">
      <c r="A3129" s="8" t="str">
        <f ca="1">IFERROR(__xludf.DUMMYFUNCTION("""COMPUTED_VALUE"""),"Goodale, Robert")</f>
        <v>Goodale, Robert</v>
      </c>
      <c r="B3129" s="3">
        <f ca="1">IFERROR(__xludf.DUMMYFUNCTION("""COMPUTED_VALUE"""),1)</f>
        <v>1</v>
      </c>
      <c r="C3129" s="7">
        <f ca="1">IFERROR(__xludf.DUMMYFUNCTION("""COMPUTED_VALUE"""),1)</f>
        <v>1</v>
      </c>
      <c r="D3129" s="8">
        <f ca="1">IFERROR(__xludf.DUMMYFUNCTION("""COMPUTED_VALUE"""),5)</f>
        <v>5</v>
      </c>
      <c r="E3129" s="2">
        <f ca="1">IFERROR(__xludf.DUMMYFUNCTION("""COMPUTED_VALUE"""),2)</f>
        <v>2</v>
      </c>
    </row>
    <row r="3130" spans="1:5" ht="13">
      <c r="A3130" s="2" t="str">
        <f ca="1">IFERROR(__xludf.DUMMYFUNCTION("""COMPUTED_VALUE"""),"Goodall, Howard")</f>
        <v>Goodall, Howard</v>
      </c>
      <c r="B3130" s="3">
        <f ca="1">IFERROR(__xludf.DUMMYFUNCTION("""COMPUTED_VALUE"""),1)</f>
        <v>1</v>
      </c>
      <c r="C3130" s="7">
        <f ca="1">IFERROR(__xludf.DUMMYFUNCTION("""COMPUTED_VALUE"""),1)</f>
        <v>1</v>
      </c>
      <c r="D3130" s="8">
        <f ca="1">IFERROR(__xludf.DUMMYFUNCTION("""COMPUTED_VALUE"""),1)</f>
        <v>1</v>
      </c>
      <c r="E3130" s="2">
        <f ca="1">IFERROR(__xludf.DUMMYFUNCTION("""COMPUTED_VALUE"""),1)</f>
        <v>1</v>
      </c>
    </row>
    <row r="3131" spans="1:5" ht="13">
      <c r="A3131" s="2" t="str">
        <f ca="1">IFERROR(__xludf.DUMMYFUNCTION("""COMPUTED_VALUE"""),"Goodban, Ken")</f>
        <v>Goodban, Ken</v>
      </c>
      <c r="B3131" s="3">
        <f ca="1">IFERROR(__xludf.DUMMYFUNCTION("""COMPUTED_VALUE"""),1)</f>
        <v>1</v>
      </c>
      <c r="C3131" s="7">
        <f ca="1">IFERROR(__xludf.DUMMYFUNCTION("""COMPUTED_VALUE"""),1)</f>
        <v>1</v>
      </c>
      <c r="D3131" s="8">
        <f ca="1">IFERROR(__xludf.DUMMYFUNCTION("""COMPUTED_VALUE"""),1)</f>
        <v>1</v>
      </c>
      <c r="E3131" s="2">
        <f ca="1">IFERROR(__xludf.DUMMYFUNCTION("""COMPUTED_VALUE"""),1)</f>
        <v>1</v>
      </c>
    </row>
    <row r="3132" spans="1:5" ht="13">
      <c r="A3132" s="2" t="str">
        <f ca="1">IFERROR(__xludf.DUMMYFUNCTION("""COMPUTED_VALUE"""),"Goodman, Benny")</f>
        <v>Goodman, Benny</v>
      </c>
      <c r="B3132" s="2">
        <f ca="1">IFERROR(__xludf.DUMMYFUNCTION("""COMPUTED_VALUE"""),1)</f>
        <v>1</v>
      </c>
      <c r="C3132" s="7">
        <f ca="1">IFERROR(__xludf.DUMMYFUNCTION("""COMPUTED_VALUE"""),1)</f>
        <v>1</v>
      </c>
      <c r="D3132" s="8">
        <f ca="1">IFERROR(__xludf.DUMMYFUNCTION("""COMPUTED_VALUE"""),5)</f>
        <v>5</v>
      </c>
      <c r="E3132" s="2">
        <f ca="1">IFERROR(__xludf.DUMMYFUNCTION("""COMPUTED_VALUE"""),2)</f>
        <v>2</v>
      </c>
    </row>
    <row r="3133" spans="1:5" ht="13">
      <c r="A3133" s="2" t="str">
        <f ca="1">IFERROR(__xludf.DUMMYFUNCTION("""COMPUTED_VALUE"""),"Goodman, Michael")</f>
        <v>Goodman, Michael</v>
      </c>
      <c r="B3133" s="3">
        <f ca="1">IFERROR(__xludf.DUMMYFUNCTION("""COMPUTED_VALUE"""),1)</f>
        <v>1</v>
      </c>
      <c r="C3133" s="7">
        <f ca="1">IFERROR(__xludf.DUMMYFUNCTION("""COMPUTED_VALUE"""),1)</f>
        <v>1</v>
      </c>
      <c r="D3133" s="8">
        <f ca="1">IFERROR(__xludf.DUMMYFUNCTION("""COMPUTED_VALUE"""),1)</f>
        <v>1</v>
      </c>
      <c r="E3133" s="2">
        <f ca="1">IFERROR(__xludf.DUMMYFUNCTION("""COMPUTED_VALUE"""),1)</f>
        <v>1</v>
      </c>
    </row>
    <row r="3134" spans="1:5" ht="13">
      <c r="A3134" s="8" t="str">
        <f ca="1">IFERROR(__xludf.DUMMYFUNCTION("""COMPUTED_VALUE"""),"Goodman, Miles / Williams, Paul")</f>
        <v>Goodman, Miles / Williams, Paul</v>
      </c>
      <c r="B3134" s="3">
        <f ca="1">IFERROR(__xludf.DUMMYFUNCTION("""COMPUTED_VALUE"""),1)</f>
        <v>1</v>
      </c>
      <c r="C3134" s="7">
        <f ca="1">IFERROR(__xludf.DUMMYFUNCTION("""COMPUTED_VALUE"""),1)</f>
        <v>1</v>
      </c>
      <c r="D3134" s="8" t="str">
        <f ca="1">IFERROR(__xludf.DUMMYFUNCTION("""COMPUTED_VALUE"""),"")</f>
        <v/>
      </c>
      <c r="E3134" s="2" t="str">
        <f ca="1">IFERROR(__xludf.DUMMYFUNCTION("""COMPUTED_VALUE"""),"1&amp;2")</f>
        <v>1&amp;2</v>
      </c>
    </row>
    <row r="3135" spans="1:5" ht="13">
      <c r="A3135" s="2" t="str">
        <f ca="1">IFERROR(__xludf.DUMMYFUNCTION("""COMPUTED_VALUE"""),"Goodman, Stephen Kent")</f>
        <v>Goodman, Stephen Kent</v>
      </c>
      <c r="B3135" s="3">
        <f ca="1">IFERROR(__xludf.DUMMYFUNCTION("""COMPUTED_VALUE"""),1)</f>
        <v>1</v>
      </c>
      <c r="C3135" s="7">
        <f ca="1">IFERROR(__xludf.DUMMYFUNCTION("""COMPUTED_VALUE"""),1)</f>
        <v>1</v>
      </c>
      <c r="D3135" s="8">
        <f ca="1">IFERROR(__xludf.DUMMYFUNCTION("""COMPUTED_VALUE"""),1)</f>
        <v>1</v>
      </c>
      <c r="E3135" s="2">
        <f ca="1">IFERROR(__xludf.DUMMYFUNCTION("""COMPUTED_VALUE"""),1)</f>
        <v>1</v>
      </c>
    </row>
    <row r="3136" spans="1:5" ht="13">
      <c r="A3136" s="2" t="str">
        <f ca="1">IFERROR(__xludf.DUMMYFUNCTION("""COMPUTED_VALUE"""),"Goodwin, Gordon")</f>
        <v>Goodwin, Gordon</v>
      </c>
      <c r="B3136" s="3">
        <f ca="1">IFERROR(__xludf.DUMMYFUNCTION("""COMPUTED_VALUE"""),1)</f>
        <v>1</v>
      </c>
      <c r="C3136" s="7">
        <f ca="1">IFERROR(__xludf.DUMMYFUNCTION("""COMPUTED_VALUE"""),1)</f>
        <v>1</v>
      </c>
      <c r="D3136" s="8">
        <f ca="1">IFERROR(__xludf.DUMMYFUNCTION("""COMPUTED_VALUE"""),1)</f>
        <v>1</v>
      </c>
      <c r="E3136" s="2">
        <f ca="1">IFERROR(__xludf.DUMMYFUNCTION("""COMPUTED_VALUE"""),1)</f>
        <v>1</v>
      </c>
    </row>
    <row r="3137" spans="1:5" ht="13">
      <c r="A3137" s="2" t="str">
        <f ca="1">IFERROR(__xludf.DUMMYFUNCTION("""COMPUTED_VALUE"""),"Goodwin, Ron")</f>
        <v>Goodwin, Ron</v>
      </c>
      <c r="B3137" s="3">
        <f ca="1">IFERROR(__xludf.DUMMYFUNCTION("""COMPUTED_VALUE"""),1)</f>
        <v>1</v>
      </c>
      <c r="C3137" s="7">
        <f ca="1">IFERROR(__xludf.DUMMYFUNCTION("""COMPUTED_VALUE"""),1)</f>
        <v>1</v>
      </c>
      <c r="D3137" s="8">
        <f ca="1">IFERROR(__xludf.DUMMYFUNCTION("""COMPUTED_VALUE"""),5)</f>
        <v>5</v>
      </c>
      <c r="E3137" s="2">
        <f ca="1">IFERROR(__xludf.DUMMYFUNCTION("""COMPUTED_VALUE"""),2)</f>
        <v>2</v>
      </c>
    </row>
    <row r="3138" spans="1:5" ht="13">
      <c r="A3138" s="2" t="str">
        <f ca="1">IFERROR(__xludf.DUMMYFUNCTION("""COMPUTED_VALUE"""),"Goossens, Eugene")</f>
        <v>Goossens, Eugene</v>
      </c>
      <c r="B3138" s="3">
        <f ca="1">IFERROR(__xludf.DUMMYFUNCTION("""COMPUTED_VALUE"""),1)</f>
        <v>1</v>
      </c>
      <c r="C3138" s="7">
        <f ca="1">IFERROR(__xludf.DUMMYFUNCTION("""COMPUTED_VALUE"""),1)</f>
        <v>1</v>
      </c>
      <c r="D3138" s="8">
        <f ca="1">IFERROR(__xludf.DUMMYFUNCTION("""COMPUTED_VALUE"""),5)</f>
        <v>5</v>
      </c>
      <c r="E3138" s="2">
        <f ca="1">IFERROR(__xludf.DUMMYFUNCTION("""COMPUTED_VALUE"""),2)</f>
        <v>2</v>
      </c>
    </row>
    <row r="3139" spans="1:5" ht="13">
      <c r="A3139" s="2" t="str">
        <f ca="1">IFERROR(__xludf.DUMMYFUNCTION("""COMPUTED_VALUE"""),"Goossens, Eugène")</f>
        <v>Goossens, Eugène</v>
      </c>
      <c r="B3139" s="3">
        <f ca="1">IFERROR(__xludf.DUMMYFUNCTION("""COMPUTED_VALUE"""),1)</f>
        <v>1</v>
      </c>
      <c r="C3139" s="7">
        <f ca="1">IFERROR(__xludf.DUMMYFUNCTION("""COMPUTED_VALUE"""),1)</f>
        <v>1</v>
      </c>
      <c r="D3139" s="8">
        <f ca="1">IFERROR(__xludf.DUMMYFUNCTION("""COMPUTED_VALUE"""),5)</f>
        <v>5</v>
      </c>
      <c r="E3139" s="2">
        <f ca="1">IFERROR(__xludf.DUMMYFUNCTION("""COMPUTED_VALUE"""),2)</f>
        <v>2</v>
      </c>
    </row>
    <row r="3140" spans="1:5" ht="13">
      <c r="A3140" s="2" t="str">
        <f ca="1">IFERROR(__xludf.DUMMYFUNCTION("""COMPUTED_VALUE"""),"Goransson, Ludwig")</f>
        <v>Goransson, Ludwig</v>
      </c>
      <c r="B3140" s="3">
        <f ca="1">IFERROR(__xludf.DUMMYFUNCTION("""COMPUTED_VALUE"""),1)</f>
        <v>1</v>
      </c>
      <c r="C3140" s="7">
        <f ca="1">IFERROR(__xludf.DUMMYFUNCTION("""COMPUTED_VALUE"""),1)</f>
        <v>1</v>
      </c>
      <c r="D3140" s="8">
        <f ca="1">IFERROR(__xludf.DUMMYFUNCTION("""COMPUTED_VALUE"""),1)</f>
        <v>1</v>
      </c>
      <c r="E3140" s="2">
        <f ca="1">IFERROR(__xludf.DUMMYFUNCTION("""COMPUTED_VALUE"""),1)</f>
        <v>1</v>
      </c>
    </row>
    <row r="3141" spans="1:5" ht="13">
      <c r="A3141" s="2" t="str">
        <f ca="1">IFERROR(__xludf.DUMMYFUNCTION("""COMPUTED_VALUE"""),"Göransson, Ludwig")</f>
        <v>Göransson, Ludwig</v>
      </c>
      <c r="B3141" s="3">
        <f ca="1">IFERROR(__xludf.DUMMYFUNCTION("""COMPUTED_VALUE"""),1)</f>
        <v>1</v>
      </c>
      <c r="C3141" s="7">
        <f ca="1">IFERROR(__xludf.DUMMYFUNCTION("""COMPUTED_VALUE"""),1)</f>
        <v>1</v>
      </c>
      <c r="D3141" s="8">
        <f ca="1">IFERROR(__xludf.DUMMYFUNCTION("""COMPUTED_VALUE"""),1)</f>
        <v>1</v>
      </c>
      <c r="E3141" s="2">
        <f ca="1">IFERROR(__xludf.DUMMYFUNCTION("""COMPUTED_VALUE"""),1)</f>
        <v>1</v>
      </c>
    </row>
    <row r="3142" spans="1:5" ht="13">
      <c r="A3142" s="8" t="str">
        <f ca="1">IFERROR(__xludf.DUMMYFUNCTION("""COMPUTED_VALUE"""),"Goransson, Ludwig / Murtha")</f>
        <v>Goransson, Ludwig / Murtha</v>
      </c>
      <c r="B3142" s="3">
        <f ca="1">IFERROR(__xludf.DUMMYFUNCTION("""COMPUTED_VALUE"""),1)</f>
        <v>1</v>
      </c>
      <c r="C3142" s="7">
        <f ca="1">IFERROR(__xludf.DUMMYFUNCTION("""COMPUTED_VALUE"""),1)</f>
        <v>1</v>
      </c>
      <c r="D3142" s="8">
        <f ca="1">IFERROR(__xludf.DUMMYFUNCTION("""COMPUTED_VALUE"""),1)</f>
        <v>1</v>
      </c>
      <c r="E3142" s="2">
        <f ca="1">IFERROR(__xludf.DUMMYFUNCTION("""COMPUTED_VALUE"""),1)</f>
        <v>1</v>
      </c>
    </row>
    <row r="3143" spans="1:5" ht="13">
      <c r="A3143" s="2" t="str">
        <f ca="1">IFERROR(__xludf.DUMMYFUNCTION("""COMPUTED_VALUE"""),"Gorb, Adam")</f>
        <v>Gorb, Adam</v>
      </c>
      <c r="B3143" s="3">
        <f ca="1">IFERROR(__xludf.DUMMYFUNCTION("""COMPUTED_VALUE"""),1)</f>
        <v>1</v>
      </c>
      <c r="C3143" s="7">
        <f ca="1">IFERROR(__xludf.DUMMYFUNCTION("""COMPUTED_VALUE"""),1)</f>
        <v>1</v>
      </c>
      <c r="D3143" s="8">
        <f ca="1">IFERROR(__xludf.DUMMYFUNCTION("""COMPUTED_VALUE"""),1)</f>
        <v>1</v>
      </c>
      <c r="E3143" s="2">
        <f ca="1">IFERROR(__xludf.DUMMYFUNCTION("""COMPUTED_VALUE"""),1)</f>
        <v>1</v>
      </c>
    </row>
    <row r="3144" spans="1:5" ht="13">
      <c r="A3144" s="2" t="str">
        <f ca="1">IFERROR(__xludf.DUMMYFUNCTION("""COMPUTED_VALUE"""),"Gorcyzcki, Grzegorz")</f>
        <v>Gorcyzcki, Grzegorz</v>
      </c>
      <c r="B3144" s="3">
        <f ca="1">IFERROR(__xludf.DUMMYFUNCTION("""COMPUTED_VALUE"""),1)</f>
        <v>1</v>
      </c>
      <c r="C3144" s="7">
        <f ca="1">IFERROR(__xludf.DUMMYFUNCTION("""COMPUTED_VALUE"""),1)</f>
        <v>1</v>
      </c>
      <c r="D3144" s="8">
        <f ca="1">IFERROR(__xludf.DUMMYFUNCTION("""COMPUTED_VALUE"""),5)</f>
        <v>5</v>
      </c>
      <c r="E3144" s="2">
        <f ca="1">IFERROR(__xludf.DUMMYFUNCTION("""COMPUTED_VALUE"""),2)</f>
        <v>2</v>
      </c>
    </row>
    <row r="3145" spans="1:5" ht="13">
      <c r="A3145" s="2" t="str">
        <f ca="1">IFERROR(__xludf.DUMMYFUNCTION("""COMPUTED_VALUE"""),"Gorczycki, Gregorz")</f>
        <v>Gorczycki, Gregorz</v>
      </c>
      <c r="B3145" s="2">
        <f ca="1">IFERROR(__xludf.DUMMYFUNCTION("""COMPUTED_VALUE"""),1)</f>
        <v>1</v>
      </c>
      <c r="C3145" s="7">
        <f ca="1">IFERROR(__xludf.DUMMYFUNCTION("""COMPUTED_VALUE"""),1)</f>
        <v>1</v>
      </c>
      <c r="D3145" s="8">
        <f ca="1">IFERROR(__xludf.DUMMYFUNCTION("""COMPUTED_VALUE"""),5)</f>
        <v>5</v>
      </c>
      <c r="E3145" s="2">
        <f ca="1">IFERROR(__xludf.DUMMYFUNCTION("""COMPUTED_VALUE"""),2)</f>
        <v>2</v>
      </c>
    </row>
    <row r="3146" spans="1:5" ht="13">
      <c r="A3146" s="2" t="str">
        <f ca="1">IFERROR(__xludf.DUMMYFUNCTION("""COMPUTED_VALUE"""),"Gorczycki, Grzegorg")</f>
        <v>Gorczycki, Grzegorg</v>
      </c>
      <c r="B3146" s="2">
        <f ca="1">IFERROR(__xludf.DUMMYFUNCTION("""COMPUTED_VALUE"""),1)</f>
        <v>1</v>
      </c>
      <c r="C3146" s="7">
        <f ca="1">IFERROR(__xludf.DUMMYFUNCTION("""COMPUTED_VALUE"""),1)</f>
        <v>1</v>
      </c>
      <c r="D3146" s="8">
        <f ca="1">IFERROR(__xludf.DUMMYFUNCTION("""COMPUTED_VALUE"""),5)</f>
        <v>5</v>
      </c>
      <c r="E3146" s="2">
        <f ca="1">IFERROR(__xludf.DUMMYFUNCTION("""COMPUTED_VALUE"""),2)</f>
        <v>2</v>
      </c>
    </row>
    <row r="3147" spans="1:5" ht="13">
      <c r="A3147" s="2" t="str">
        <f ca="1">IFERROR(__xludf.DUMMYFUNCTION("""COMPUTED_VALUE"""),"Gorczycki, Grzegorz")</f>
        <v>Gorczycki, Grzegorz</v>
      </c>
      <c r="B3147" s="2">
        <f ca="1">IFERROR(__xludf.DUMMYFUNCTION("""COMPUTED_VALUE"""),1)</f>
        <v>1</v>
      </c>
      <c r="C3147" s="7">
        <f ca="1">IFERROR(__xludf.DUMMYFUNCTION("""COMPUTED_VALUE"""),1)</f>
        <v>1</v>
      </c>
      <c r="D3147" s="8">
        <f ca="1">IFERROR(__xludf.DUMMYFUNCTION("""COMPUTED_VALUE"""),5)</f>
        <v>5</v>
      </c>
      <c r="E3147" s="2">
        <f ca="1">IFERROR(__xludf.DUMMYFUNCTION("""COMPUTED_VALUE"""),2)</f>
        <v>2</v>
      </c>
    </row>
    <row r="3148" spans="1:5" ht="13">
      <c r="A3148" s="2" t="str">
        <f ca="1">IFERROR(__xludf.DUMMYFUNCTION("""COMPUTED_VALUE"""),"Gordeli, Otar")</f>
        <v>Gordeli, Otar</v>
      </c>
      <c r="B3148" s="3">
        <f ca="1">IFERROR(__xludf.DUMMYFUNCTION("""COMPUTED_VALUE"""),1)</f>
        <v>1</v>
      </c>
      <c r="C3148" s="7">
        <f ca="1">IFERROR(__xludf.DUMMYFUNCTION("""COMPUTED_VALUE"""),1)</f>
        <v>1</v>
      </c>
      <c r="D3148" s="8">
        <f ca="1">IFERROR(__xludf.DUMMYFUNCTION("""COMPUTED_VALUE"""),5)</f>
        <v>5</v>
      </c>
      <c r="E3148" s="2">
        <f ca="1">IFERROR(__xludf.DUMMYFUNCTION("""COMPUTED_VALUE"""),2)</f>
        <v>2</v>
      </c>
    </row>
    <row r="3149" spans="1:5" ht="13">
      <c r="A3149" s="2" t="str">
        <f ca="1">IFERROR(__xludf.DUMMYFUNCTION("""COMPUTED_VALUE"""),"Gorder, Wayne")</f>
        <v>Gorder, Wayne</v>
      </c>
      <c r="B3149" s="3">
        <f ca="1">IFERROR(__xludf.DUMMYFUNCTION("""COMPUTED_VALUE"""),1)</f>
        <v>1</v>
      </c>
      <c r="C3149" s="7">
        <f ca="1">IFERROR(__xludf.DUMMYFUNCTION("""COMPUTED_VALUE"""),1)</f>
        <v>1</v>
      </c>
      <c r="D3149" s="8">
        <f ca="1">IFERROR(__xludf.DUMMYFUNCTION("""COMPUTED_VALUE"""),1)</f>
        <v>1</v>
      </c>
      <c r="E3149" s="2">
        <f ca="1">IFERROR(__xludf.DUMMYFUNCTION("""COMPUTED_VALUE"""),1)</f>
        <v>1</v>
      </c>
    </row>
    <row r="3150" spans="1:5" ht="13">
      <c r="A3150" s="2" t="str">
        <f ca="1">IFERROR(__xludf.DUMMYFUNCTION("""COMPUTED_VALUE"""),"Gordon, A.J.")</f>
        <v>Gordon, A.J.</v>
      </c>
      <c r="B3150" s="2">
        <f ca="1">IFERROR(__xludf.DUMMYFUNCTION("""COMPUTED_VALUE"""),1)</f>
        <v>1</v>
      </c>
      <c r="C3150" s="7">
        <f ca="1">IFERROR(__xludf.DUMMYFUNCTION("""COMPUTED_VALUE"""),1)</f>
        <v>1</v>
      </c>
      <c r="D3150" s="8">
        <f ca="1">IFERROR(__xludf.DUMMYFUNCTION("""COMPUTED_VALUE"""),5)</f>
        <v>5</v>
      </c>
      <c r="E3150" s="2">
        <f ca="1">IFERROR(__xludf.DUMMYFUNCTION("""COMPUTED_VALUE"""),2)</f>
        <v>2</v>
      </c>
    </row>
    <row r="3151" spans="1:5" ht="13">
      <c r="A3151" s="8" t="str">
        <f ca="1">IFERROR(__xludf.DUMMYFUNCTION("""COMPUTED_VALUE"""),"Gordon, Adoniram")</f>
        <v>Gordon, Adoniram</v>
      </c>
      <c r="B3151" s="3">
        <f ca="1">IFERROR(__xludf.DUMMYFUNCTION("""COMPUTED_VALUE"""),1)</f>
        <v>1</v>
      </c>
      <c r="C3151" s="7">
        <f ca="1">IFERROR(__xludf.DUMMYFUNCTION("""COMPUTED_VALUE"""),1)</f>
        <v>1</v>
      </c>
      <c r="D3151" s="8">
        <f ca="1">IFERROR(__xludf.DUMMYFUNCTION("""COMPUTED_VALUE"""),5)</f>
        <v>5</v>
      </c>
      <c r="E3151" s="2">
        <f ca="1">IFERROR(__xludf.DUMMYFUNCTION("""COMPUTED_VALUE"""),2)</f>
        <v>2</v>
      </c>
    </row>
    <row r="3152" spans="1:5" ht="13">
      <c r="A3152" s="2" t="str">
        <f ca="1">IFERROR(__xludf.DUMMYFUNCTION("""COMPUTED_VALUE"""),"Gordon, Cennen")</f>
        <v>Gordon, Cennen</v>
      </c>
      <c r="B3152" s="2">
        <f ca="1">IFERROR(__xludf.DUMMYFUNCTION("""COMPUTED_VALUE"""),1)</f>
        <v>1</v>
      </c>
      <c r="C3152" s="2">
        <f ca="1">IFERROR(__xludf.DUMMYFUNCTION("""COMPUTED_VALUE"""),1)</f>
        <v>1</v>
      </c>
      <c r="D3152" s="8">
        <f ca="1">IFERROR(__xludf.DUMMYFUNCTION("""COMPUTED_VALUE"""),5)</f>
        <v>5</v>
      </c>
      <c r="E3152" s="2">
        <f ca="1">IFERROR(__xludf.DUMMYFUNCTION("""COMPUTED_VALUE"""),2)</f>
        <v>2</v>
      </c>
    </row>
    <row r="3153" spans="1:5" ht="13">
      <c r="A3153" s="2" t="str">
        <f ca="1">IFERROR(__xludf.DUMMYFUNCTION("""COMPUTED_VALUE"""),"Gordon, Chris")</f>
        <v>Gordon, Chris</v>
      </c>
      <c r="B3153" s="3">
        <f ca="1">IFERROR(__xludf.DUMMYFUNCTION("""COMPUTED_VALUE"""),1)</f>
        <v>1</v>
      </c>
      <c r="C3153" s="7">
        <f ca="1">IFERROR(__xludf.DUMMYFUNCTION("""COMPUTED_VALUE"""),1)</f>
        <v>1</v>
      </c>
      <c r="D3153" s="8">
        <f ca="1">IFERROR(__xludf.DUMMYFUNCTION("""COMPUTED_VALUE"""),1)</f>
        <v>1</v>
      </c>
      <c r="E3153" s="2">
        <f ca="1">IFERROR(__xludf.DUMMYFUNCTION("""COMPUTED_VALUE"""),1)</f>
        <v>1</v>
      </c>
    </row>
    <row r="3154" spans="1:5" ht="13">
      <c r="A3154" s="2" t="str">
        <f ca="1">IFERROR(__xludf.DUMMYFUNCTION("""COMPUTED_VALUE"""),"Gordon, David")</f>
        <v>Gordon, David</v>
      </c>
      <c r="B3154" s="3">
        <f ca="1">IFERROR(__xludf.DUMMYFUNCTION("""COMPUTED_VALUE"""),1)</f>
        <v>1</v>
      </c>
      <c r="C3154" s="7">
        <f ca="1">IFERROR(__xludf.DUMMYFUNCTION("""COMPUTED_VALUE"""),1)</f>
        <v>1</v>
      </c>
      <c r="D3154" s="8">
        <f ca="1">IFERROR(__xludf.DUMMYFUNCTION("""COMPUTED_VALUE"""),1)</f>
        <v>1</v>
      </c>
      <c r="E3154" s="2">
        <f ca="1">IFERROR(__xludf.DUMMYFUNCTION("""COMPUTED_VALUE"""),1)</f>
        <v>1</v>
      </c>
    </row>
    <row r="3155" spans="1:5" ht="13">
      <c r="A3155" s="2" t="str">
        <f ca="1">IFERROR(__xludf.DUMMYFUNCTION("""COMPUTED_VALUE"""),"Gordon, Geoffrey")</f>
        <v>Gordon, Geoffrey</v>
      </c>
      <c r="B3155" s="3">
        <f ca="1">IFERROR(__xludf.DUMMYFUNCTION("""COMPUTED_VALUE"""),1)</f>
        <v>1</v>
      </c>
      <c r="C3155" s="7">
        <f ca="1">IFERROR(__xludf.DUMMYFUNCTION("""COMPUTED_VALUE"""),1)</f>
        <v>1</v>
      </c>
      <c r="D3155" s="8">
        <f ca="1">IFERROR(__xludf.DUMMYFUNCTION("""COMPUTED_VALUE"""),1)</f>
        <v>1</v>
      </c>
      <c r="E3155" s="2">
        <f ca="1">IFERROR(__xludf.DUMMYFUNCTION("""COMPUTED_VALUE"""),1)</f>
        <v>1</v>
      </c>
    </row>
    <row r="3156" spans="1:5" ht="13">
      <c r="A3156" s="2" t="str">
        <f ca="1">IFERROR(__xludf.DUMMYFUNCTION("""COMPUTED_VALUE"""),"Gordon, Irving")</f>
        <v>Gordon, Irving</v>
      </c>
      <c r="B3156" s="2">
        <f ca="1">IFERROR(__xludf.DUMMYFUNCTION("""COMPUTED_VALUE"""),1)</f>
        <v>1</v>
      </c>
      <c r="C3156" s="7">
        <f ca="1">IFERROR(__xludf.DUMMYFUNCTION("""COMPUTED_VALUE"""),1)</f>
        <v>1</v>
      </c>
      <c r="D3156" s="8">
        <f ca="1">IFERROR(__xludf.DUMMYFUNCTION("""COMPUTED_VALUE"""),5)</f>
        <v>5</v>
      </c>
      <c r="E3156" s="2">
        <f ca="1">IFERROR(__xludf.DUMMYFUNCTION("""COMPUTED_VALUE"""),2)</f>
        <v>2</v>
      </c>
    </row>
    <row r="3157" spans="1:5" ht="13">
      <c r="A3157" s="2" t="str">
        <f ca="1">IFERROR(__xludf.DUMMYFUNCTION("""COMPUTED_VALUE"""),"Gordon, James")</f>
        <v>Gordon, James</v>
      </c>
      <c r="B3157" s="3">
        <f ca="1">IFERROR(__xludf.DUMMYFUNCTION("""COMPUTED_VALUE"""),1)</f>
        <v>1</v>
      </c>
      <c r="C3157" s="7">
        <f ca="1">IFERROR(__xludf.DUMMYFUNCTION("""COMPUTED_VALUE"""),1)</f>
        <v>1</v>
      </c>
      <c r="D3157" s="8">
        <f ca="1">IFERROR(__xludf.DUMMYFUNCTION("""COMPUTED_VALUE"""),1)</f>
        <v>1</v>
      </c>
      <c r="E3157" s="2">
        <f ca="1">IFERROR(__xludf.DUMMYFUNCTION("""COMPUTED_VALUE"""),1)</f>
        <v>1</v>
      </c>
    </row>
    <row r="3158" spans="1:5" ht="13">
      <c r="A3158" s="2" t="str">
        <f ca="1">IFERROR(__xludf.DUMMYFUNCTION("""COMPUTED_VALUE"""),"Gordon, L.M.")</f>
        <v>Gordon, L.M.</v>
      </c>
      <c r="B3158" s="3">
        <f ca="1">IFERROR(__xludf.DUMMYFUNCTION("""COMPUTED_VALUE"""),1)</f>
        <v>1</v>
      </c>
      <c r="C3158" s="7">
        <f ca="1">IFERROR(__xludf.DUMMYFUNCTION("""COMPUTED_VALUE"""),1)</f>
        <v>1</v>
      </c>
      <c r="D3158" s="8">
        <f ca="1">IFERROR(__xludf.DUMMYFUNCTION("""COMPUTED_VALUE"""),5)</f>
        <v>5</v>
      </c>
      <c r="E3158" s="2">
        <f ca="1">IFERROR(__xludf.DUMMYFUNCTION("""COMPUTED_VALUE"""),2)</f>
        <v>2</v>
      </c>
    </row>
    <row r="3159" spans="1:5" ht="13">
      <c r="A3159" s="2" t="str">
        <f ca="1">IFERROR(__xludf.DUMMYFUNCTION("""COMPUTED_VALUE"""),"Gordon, Michael")</f>
        <v>Gordon, Michael</v>
      </c>
      <c r="B3159" s="3">
        <f ca="1">IFERROR(__xludf.DUMMYFUNCTION("""COMPUTED_VALUE"""),1)</f>
        <v>1</v>
      </c>
      <c r="C3159" s="7">
        <f ca="1">IFERROR(__xludf.DUMMYFUNCTION("""COMPUTED_VALUE"""),1)</f>
        <v>1</v>
      </c>
      <c r="D3159" s="8">
        <f ca="1">IFERROR(__xludf.DUMMYFUNCTION("""COMPUTED_VALUE"""),1)</f>
        <v>1</v>
      </c>
      <c r="E3159" s="2">
        <f ca="1">IFERROR(__xludf.DUMMYFUNCTION("""COMPUTED_VALUE"""),1)</f>
        <v>1</v>
      </c>
    </row>
    <row r="3160" spans="1:5" ht="13">
      <c r="A3160" s="2" t="str">
        <f ca="1">IFERROR(__xludf.DUMMYFUNCTION("""COMPUTED_VALUE"""),"Gordon, Philip")</f>
        <v>Gordon, Philip</v>
      </c>
      <c r="B3160" s="3">
        <f ca="1">IFERROR(__xludf.DUMMYFUNCTION("""COMPUTED_VALUE"""),1)</f>
        <v>1</v>
      </c>
      <c r="C3160" s="7">
        <f ca="1">IFERROR(__xludf.DUMMYFUNCTION("""COMPUTED_VALUE"""),1)</f>
        <v>1</v>
      </c>
      <c r="D3160" s="8">
        <f ca="1">IFERROR(__xludf.DUMMYFUNCTION("""COMPUTED_VALUE"""),5)</f>
        <v>5</v>
      </c>
      <c r="E3160" s="2">
        <f ca="1">IFERROR(__xludf.DUMMYFUNCTION("""COMPUTED_VALUE"""),2)</f>
        <v>2</v>
      </c>
    </row>
    <row r="3161" spans="1:5" ht="13">
      <c r="A3161" s="8" t="str">
        <f ca="1">IFERROR(__xludf.DUMMYFUNCTION("""COMPUTED_VALUE"""),"Gordon, Ricky Ian")</f>
        <v>Gordon, Ricky Ian</v>
      </c>
      <c r="B3161" s="3">
        <f ca="1">IFERROR(__xludf.DUMMYFUNCTION("""COMPUTED_VALUE"""),1)</f>
        <v>1</v>
      </c>
      <c r="C3161" s="7">
        <f ca="1">IFERROR(__xludf.DUMMYFUNCTION("""COMPUTED_VALUE"""),1)</f>
        <v>1</v>
      </c>
      <c r="D3161" s="8">
        <f ca="1">IFERROR(__xludf.DUMMYFUNCTION("""COMPUTED_VALUE"""),1)</f>
        <v>1</v>
      </c>
      <c r="E3161" s="2">
        <f ca="1">IFERROR(__xludf.DUMMYFUNCTION("""COMPUTED_VALUE"""),1)</f>
        <v>1</v>
      </c>
    </row>
    <row r="3162" spans="1:5" ht="13">
      <c r="A3162" s="2" t="str">
        <f ca="1">IFERROR(__xludf.DUMMYFUNCTION("""COMPUTED_VALUE"""),"Gordon, William")</f>
        <v>Gordon, William</v>
      </c>
      <c r="B3162" s="3">
        <f ca="1">IFERROR(__xludf.DUMMYFUNCTION("""COMPUTED_VALUE"""),1)</f>
        <v>1</v>
      </c>
      <c r="C3162" s="7">
        <f ca="1">IFERROR(__xludf.DUMMYFUNCTION("""COMPUTED_VALUE"""),1)</f>
        <v>1</v>
      </c>
      <c r="D3162" s="8">
        <f ca="1">IFERROR(__xludf.DUMMYFUNCTION("""COMPUTED_VALUE"""),1)</f>
        <v>1</v>
      </c>
      <c r="E3162" s="2">
        <f ca="1">IFERROR(__xludf.DUMMYFUNCTION("""COMPUTED_VALUE"""),1)</f>
        <v>1</v>
      </c>
    </row>
    <row r="3163" spans="1:5" ht="13">
      <c r="A3163" s="2" t="str">
        <f ca="1">IFERROR(__xludf.DUMMYFUNCTION("""COMPUTED_VALUE"""),"Gore, Harold")</f>
        <v>Gore, Harold</v>
      </c>
      <c r="B3163" s="2">
        <f ca="1">IFERROR(__xludf.DUMMYFUNCTION("""COMPUTED_VALUE"""),1)</f>
        <v>1</v>
      </c>
      <c r="C3163" s="7">
        <f ca="1">IFERROR(__xludf.DUMMYFUNCTION("""COMPUTED_VALUE"""),1)</f>
        <v>1</v>
      </c>
      <c r="D3163" s="8">
        <f ca="1">IFERROR(__xludf.DUMMYFUNCTION("""COMPUTED_VALUE"""),5)</f>
        <v>5</v>
      </c>
      <c r="E3163" s="2">
        <f ca="1">IFERROR(__xludf.DUMMYFUNCTION("""COMPUTED_VALUE"""),2)</f>
        <v>2</v>
      </c>
    </row>
    <row r="3164" spans="1:5" ht="13">
      <c r="A3164" s="2" t="str">
        <f ca="1">IFERROR(__xludf.DUMMYFUNCTION("""COMPUTED_VALUE"""),"Gore, Jude")</f>
        <v>Gore, Jude</v>
      </c>
      <c r="B3164" s="2">
        <f ca="1">IFERROR(__xludf.DUMMYFUNCTION("""COMPUTED_VALUE"""),1)</f>
        <v>1</v>
      </c>
      <c r="C3164" s="7">
        <f ca="1">IFERROR(__xludf.DUMMYFUNCTION("""COMPUTED_VALUE"""),1)</f>
        <v>1</v>
      </c>
      <c r="D3164" s="8">
        <f ca="1">IFERROR(__xludf.DUMMYFUNCTION("""COMPUTED_VALUE"""),1)</f>
        <v>1</v>
      </c>
      <c r="E3164" s="2">
        <f ca="1">IFERROR(__xludf.DUMMYFUNCTION("""COMPUTED_VALUE"""),1)</f>
        <v>1</v>
      </c>
    </row>
    <row r="3165" spans="1:5" ht="13">
      <c r="A3165" s="2" t="str">
        <f ca="1">IFERROR(__xludf.DUMMYFUNCTION("""COMPUTED_VALUE"""),"Górecki, Henryk")</f>
        <v>Górecki, Henryk</v>
      </c>
      <c r="B3165" s="3">
        <f ca="1">IFERROR(__xludf.DUMMYFUNCTION("""COMPUTED_VALUE"""),1)</f>
        <v>1</v>
      </c>
      <c r="C3165" s="7">
        <f ca="1">IFERROR(__xludf.DUMMYFUNCTION("""COMPUTED_VALUE"""),1)</f>
        <v>1</v>
      </c>
      <c r="D3165" s="8">
        <f ca="1">IFERROR(__xludf.DUMMYFUNCTION("""COMPUTED_VALUE"""),5)</f>
        <v>5</v>
      </c>
      <c r="E3165" s="2">
        <f ca="1">IFERROR(__xludf.DUMMYFUNCTION("""COMPUTED_VALUE"""),2)</f>
        <v>2</v>
      </c>
    </row>
    <row r="3166" spans="1:5" ht="13">
      <c r="A3166" s="2" t="str">
        <f ca="1">IFERROR(__xludf.DUMMYFUNCTION("""COMPUTED_VALUE"""),"Gorham, David")</f>
        <v>Gorham, David</v>
      </c>
      <c r="B3166" s="3">
        <f ca="1">IFERROR(__xludf.DUMMYFUNCTION("""COMPUTED_VALUE"""),1)</f>
        <v>1</v>
      </c>
      <c r="C3166" s="7">
        <f ca="1">IFERROR(__xludf.DUMMYFUNCTION("""COMPUTED_VALUE"""),1)</f>
        <v>1</v>
      </c>
      <c r="D3166" s="8">
        <f ca="1">IFERROR(__xludf.DUMMYFUNCTION("""COMPUTED_VALUE"""),1)</f>
        <v>1</v>
      </c>
      <c r="E3166" s="2">
        <f ca="1">IFERROR(__xludf.DUMMYFUNCTION("""COMPUTED_VALUE"""),1)</f>
        <v>1</v>
      </c>
    </row>
    <row r="3167" spans="1:5" ht="13">
      <c r="A3167" s="8" t="str">
        <f ca="1">IFERROR(__xludf.DUMMYFUNCTION("""COMPUTED_VALUE"""),"Gorow, Ron")</f>
        <v>Gorow, Ron</v>
      </c>
      <c r="B3167" s="3">
        <f ca="1">IFERROR(__xludf.DUMMYFUNCTION("""COMPUTED_VALUE"""),1)</f>
        <v>1</v>
      </c>
      <c r="C3167" s="7">
        <f ca="1">IFERROR(__xludf.DUMMYFUNCTION("""COMPUTED_VALUE"""),1)</f>
        <v>1</v>
      </c>
      <c r="D3167" s="8">
        <f ca="1">IFERROR(__xludf.DUMMYFUNCTION("""COMPUTED_VALUE"""),5)</f>
        <v>5</v>
      </c>
      <c r="E3167" s="2">
        <f ca="1">IFERROR(__xludf.DUMMYFUNCTION("""COMPUTED_VALUE"""),2)</f>
        <v>2</v>
      </c>
    </row>
    <row r="3168" spans="1:5" ht="13">
      <c r="A3168" s="2" t="str">
        <f ca="1">IFERROR(__xludf.DUMMYFUNCTION("""COMPUTED_VALUE"""),"Gosman, Lazar")</f>
        <v>Gosman, Lazar</v>
      </c>
      <c r="B3168" s="2">
        <f ca="1">IFERROR(__xludf.DUMMYFUNCTION("""COMPUTED_VALUE"""),1)</f>
        <v>1</v>
      </c>
      <c r="C3168" s="7">
        <f ca="1">IFERROR(__xludf.DUMMYFUNCTION("""COMPUTED_VALUE"""),1)</f>
        <v>1</v>
      </c>
      <c r="D3168" s="8">
        <f ca="1">IFERROR(__xludf.DUMMYFUNCTION("""COMPUTED_VALUE"""),5)</f>
        <v>5</v>
      </c>
      <c r="E3168" s="2">
        <f ca="1">IFERROR(__xludf.DUMMYFUNCTION("""COMPUTED_VALUE"""),2)</f>
        <v>2</v>
      </c>
    </row>
    <row r="3169" spans="1:5" ht="13">
      <c r="A3169" s="2" t="str">
        <f ca="1">IFERROR(__xludf.DUMMYFUNCTION("""COMPUTED_VALUE"""),"Goss, John")</f>
        <v>Goss, John</v>
      </c>
      <c r="B3169" s="3">
        <f ca="1">IFERROR(__xludf.DUMMYFUNCTION("""COMPUTED_VALUE"""),1)</f>
        <v>1</v>
      </c>
      <c r="C3169" s="7">
        <f ca="1">IFERROR(__xludf.DUMMYFUNCTION("""COMPUTED_VALUE"""),1)</f>
        <v>1</v>
      </c>
      <c r="D3169" s="8">
        <f ca="1">IFERROR(__xludf.DUMMYFUNCTION("""COMPUTED_VALUE"""),5)</f>
        <v>5</v>
      </c>
      <c r="E3169" s="2">
        <f ca="1">IFERROR(__xludf.DUMMYFUNCTION("""COMPUTED_VALUE"""),2)</f>
        <v>2</v>
      </c>
    </row>
    <row r="3170" spans="1:5" ht="13">
      <c r="A3170" s="2" t="str">
        <f ca="1">IFERROR(__xludf.DUMMYFUNCTION("""COMPUTED_VALUE"""),"Goss, Stephen")</f>
        <v>Goss, Stephen</v>
      </c>
      <c r="B3170" s="3">
        <f ca="1">IFERROR(__xludf.DUMMYFUNCTION("""COMPUTED_VALUE"""),1)</f>
        <v>1</v>
      </c>
      <c r="C3170" s="7">
        <f ca="1">IFERROR(__xludf.DUMMYFUNCTION("""COMPUTED_VALUE"""),1)</f>
        <v>1</v>
      </c>
      <c r="D3170" s="8">
        <f ca="1">IFERROR(__xludf.DUMMYFUNCTION("""COMPUTED_VALUE"""),1)</f>
        <v>1</v>
      </c>
      <c r="E3170" s="2">
        <f ca="1">IFERROR(__xludf.DUMMYFUNCTION("""COMPUTED_VALUE"""),1)</f>
        <v>1</v>
      </c>
    </row>
    <row r="3171" spans="1:5" ht="13">
      <c r="A3171" s="2" t="str">
        <f ca="1">IFERROR(__xludf.DUMMYFUNCTION("""COMPUTED_VALUE"""),"Gossec, François-Joseph")</f>
        <v>Gossec, François-Joseph</v>
      </c>
      <c r="B3171" s="3">
        <f ca="1">IFERROR(__xludf.DUMMYFUNCTION("""COMPUTED_VALUE"""),1)</f>
        <v>1</v>
      </c>
      <c r="C3171" s="7">
        <f ca="1">IFERROR(__xludf.DUMMYFUNCTION("""COMPUTED_VALUE"""),1)</f>
        <v>1</v>
      </c>
      <c r="D3171" s="8">
        <f ca="1">IFERROR(__xludf.DUMMYFUNCTION("""COMPUTED_VALUE"""),5)</f>
        <v>5</v>
      </c>
      <c r="E3171" s="2">
        <f ca="1">IFERROR(__xludf.DUMMYFUNCTION("""COMPUTED_VALUE"""),2)</f>
        <v>2</v>
      </c>
    </row>
    <row r="3172" spans="1:5" ht="13">
      <c r="A3172" s="2" t="str">
        <f ca="1">IFERROR(__xludf.DUMMYFUNCTION("""COMPUTED_VALUE"""),"Gossler, James")</f>
        <v>Gossler, James</v>
      </c>
      <c r="B3172" s="3">
        <f ca="1">IFERROR(__xludf.DUMMYFUNCTION("""COMPUTED_VALUE"""),1)</f>
        <v>1</v>
      </c>
      <c r="C3172" s="7">
        <f ca="1">IFERROR(__xludf.DUMMYFUNCTION("""COMPUTED_VALUE"""),1)</f>
        <v>1</v>
      </c>
      <c r="D3172" s="8">
        <f ca="1">IFERROR(__xludf.DUMMYFUNCTION("""COMPUTED_VALUE"""),1)</f>
        <v>1</v>
      </c>
      <c r="E3172" s="2">
        <f ca="1">IFERROR(__xludf.DUMMYFUNCTION("""COMPUTED_VALUE"""),1)</f>
        <v>1</v>
      </c>
    </row>
    <row r="3173" spans="1:5" ht="13">
      <c r="A3173" s="8" t="str">
        <f ca="1">IFERROR(__xludf.DUMMYFUNCTION("""COMPUTED_VALUE"""),"Gossman, Lazar")</f>
        <v>Gossman, Lazar</v>
      </c>
      <c r="B3173" s="3">
        <f ca="1">IFERROR(__xludf.DUMMYFUNCTION("""COMPUTED_VALUE"""),1)</f>
        <v>1</v>
      </c>
      <c r="C3173" s="7">
        <f ca="1">IFERROR(__xludf.DUMMYFUNCTION("""COMPUTED_VALUE"""),1)</f>
        <v>1</v>
      </c>
      <c r="D3173" s="8">
        <f ca="1">IFERROR(__xludf.DUMMYFUNCTION("""COMPUTED_VALUE"""),5)</f>
        <v>5</v>
      </c>
      <c r="E3173" s="2">
        <f ca="1">IFERROR(__xludf.DUMMYFUNCTION("""COMPUTED_VALUE"""),2)</f>
        <v>2</v>
      </c>
    </row>
    <row r="3174" spans="1:5" ht="13">
      <c r="A3174" s="2" t="str">
        <f ca="1">IFERROR(__xludf.DUMMYFUNCTION("""COMPUTED_VALUE"""),"Gotham, Nic")</f>
        <v>Gotham, Nic</v>
      </c>
      <c r="B3174" s="2">
        <f ca="1">IFERROR(__xludf.DUMMYFUNCTION("""COMPUTED_VALUE"""),1)</f>
        <v>1</v>
      </c>
      <c r="C3174" s="7">
        <f ca="1">IFERROR(__xludf.DUMMYFUNCTION("""COMPUTED_VALUE"""),1)</f>
        <v>1</v>
      </c>
      <c r="D3174" s="8">
        <f ca="1">IFERROR(__xludf.DUMMYFUNCTION("""COMPUTED_VALUE"""),5)</f>
        <v>5</v>
      </c>
      <c r="E3174" s="2">
        <f ca="1">IFERROR(__xludf.DUMMYFUNCTION("""COMPUTED_VALUE"""),2)</f>
        <v>2</v>
      </c>
    </row>
    <row r="3175" spans="1:5" ht="13">
      <c r="A3175" s="2" t="str">
        <f ca="1">IFERROR(__xludf.DUMMYFUNCTION("""COMPUTED_VALUE"""),"Gott, Barrie")</f>
        <v>Gott, Barrie</v>
      </c>
      <c r="B3175" s="3">
        <f ca="1">IFERROR(__xludf.DUMMYFUNCTION("""COMPUTED_VALUE"""),1)</f>
        <v>1</v>
      </c>
      <c r="C3175" s="7">
        <f ca="1">IFERROR(__xludf.DUMMYFUNCTION("""COMPUTED_VALUE"""),1)</f>
        <v>1</v>
      </c>
      <c r="D3175" s="8">
        <f ca="1">IFERROR(__xludf.DUMMYFUNCTION("""COMPUTED_VALUE"""),1)</f>
        <v>1</v>
      </c>
      <c r="E3175" s="2">
        <f ca="1">IFERROR(__xludf.DUMMYFUNCTION("""COMPUTED_VALUE"""),1)</f>
        <v>1</v>
      </c>
    </row>
    <row r="3176" spans="1:5" ht="13">
      <c r="A3176" s="2" t="str">
        <f ca="1">IFERROR(__xludf.DUMMYFUNCTION("""COMPUTED_VALUE"""),"Gottesman, Marc")</f>
        <v>Gottesman, Marc</v>
      </c>
      <c r="B3176" s="3">
        <f ca="1">IFERROR(__xludf.DUMMYFUNCTION("""COMPUTED_VALUE"""),1)</f>
        <v>1</v>
      </c>
      <c r="C3176" s="7">
        <f ca="1">IFERROR(__xludf.DUMMYFUNCTION("""COMPUTED_VALUE"""),1)</f>
        <v>1</v>
      </c>
      <c r="D3176" s="8">
        <f ca="1">IFERROR(__xludf.DUMMYFUNCTION("""COMPUTED_VALUE"""),1)</f>
        <v>1</v>
      </c>
      <c r="E3176" s="2">
        <f ca="1">IFERROR(__xludf.DUMMYFUNCTION("""COMPUTED_VALUE"""),1)</f>
        <v>1</v>
      </c>
    </row>
    <row r="3177" spans="1:5" ht="13">
      <c r="A3177" s="2" t="str">
        <f ca="1">IFERROR(__xludf.DUMMYFUNCTION("""COMPUTED_VALUE"""),"Gottry, Josh")</f>
        <v>Gottry, Josh</v>
      </c>
      <c r="B3177" s="3">
        <f ca="1">IFERROR(__xludf.DUMMYFUNCTION("""COMPUTED_VALUE"""),1)</f>
        <v>1</v>
      </c>
      <c r="C3177" s="7">
        <f ca="1">IFERROR(__xludf.DUMMYFUNCTION("""COMPUTED_VALUE"""),1)</f>
        <v>1</v>
      </c>
      <c r="D3177" s="8">
        <f ca="1">IFERROR(__xludf.DUMMYFUNCTION("""COMPUTED_VALUE"""),1)</f>
        <v>1</v>
      </c>
      <c r="E3177" s="2">
        <f ca="1">IFERROR(__xludf.DUMMYFUNCTION("""COMPUTED_VALUE"""),1)</f>
        <v>1</v>
      </c>
    </row>
    <row r="3178" spans="1:5" ht="13">
      <c r="A3178" s="2" t="str">
        <f ca="1">IFERROR(__xludf.DUMMYFUNCTION("""COMPUTED_VALUE"""),"Gottschalk, Arthur")</f>
        <v>Gottschalk, Arthur</v>
      </c>
      <c r="B3178" s="3">
        <f ca="1">IFERROR(__xludf.DUMMYFUNCTION("""COMPUTED_VALUE"""),1)</f>
        <v>1</v>
      </c>
      <c r="C3178" s="7">
        <f ca="1">IFERROR(__xludf.DUMMYFUNCTION("""COMPUTED_VALUE"""),1)</f>
        <v>1</v>
      </c>
      <c r="D3178" s="8">
        <f ca="1">IFERROR(__xludf.DUMMYFUNCTION("""COMPUTED_VALUE"""),5)</f>
        <v>5</v>
      </c>
      <c r="E3178" s="2">
        <f ca="1">IFERROR(__xludf.DUMMYFUNCTION("""COMPUTED_VALUE"""),2)</f>
        <v>2</v>
      </c>
    </row>
    <row r="3179" spans="1:5" ht="13">
      <c r="A3179" s="2" t="str">
        <f ca="1">IFERROR(__xludf.DUMMYFUNCTION("""COMPUTED_VALUE"""),"Gottschalk, Louis Moreau")</f>
        <v>Gottschalk, Louis Moreau</v>
      </c>
      <c r="B3179" s="3">
        <f ca="1">IFERROR(__xludf.DUMMYFUNCTION("""COMPUTED_VALUE"""),1)</f>
        <v>1</v>
      </c>
      <c r="C3179" s="7">
        <f ca="1">IFERROR(__xludf.DUMMYFUNCTION("""COMPUTED_VALUE"""),1)</f>
        <v>1</v>
      </c>
      <c r="D3179" s="8">
        <f ca="1">IFERROR(__xludf.DUMMYFUNCTION("""COMPUTED_VALUE"""),5)</f>
        <v>5</v>
      </c>
      <c r="E3179" s="2">
        <f ca="1">IFERROR(__xludf.DUMMYFUNCTION("""COMPUTED_VALUE"""),2)</f>
        <v>2</v>
      </c>
    </row>
    <row r="3180" spans="1:5" ht="13">
      <c r="A3180" s="2" t="str">
        <f ca="1">IFERROR(__xludf.DUMMYFUNCTION("""COMPUTED_VALUE"""),"Gotwals, Vernon")</f>
        <v>Gotwals, Vernon</v>
      </c>
      <c r="B3180" s="2">
        <f ca="1">IFERROR(__xludf.DUMMYFUNCTION("""COMPUTED_VALUE"""),1)</f>
        <v>1</v>
      </c>
      <c r="C3180" s="2">
        <f ca="1">IFERROR(__xludf.DUMMYFUNCTION("""COMPUTED_VALUE"""),1)</f>
        <v>1</v>
      </c>
      <c r="D3180" s="8">
        <f ca="1">IFERROR(__xludf.DUMMYFUNCTION("""COMPUTED_VALUE"""),5)</f>
        <v>5</v>
      </c>
      <c r="E3180" s="2">
        <f ca="1">IFERROR(__xludf.DUMMYFUNCTION("""COMPUTED_VALUE"""),2)</f>
        <v>2</v>
      </c>
    </row>
    <row r="3181" spans="1:5" ht="13">
      <c r="A3181" s="2" t="str">
        <f ca="1">IFERROR(__xludf.DUMMYFUNCTION("""COMPUTED_VALUE"""),"Gotwals, Vernon / Keppler, Philip")</f>
        <v>Gotwals, Vernon / Keppler, Philip</v>
      </c>
      <c r="B3181" s="2">
        <f ca="1">IFERROR(__xludf.DUMMYFUNCTION("""COMPUTED_VALUE"""),1)</f>
        <v>1</v>
      </c>
      <c r="C3181" s="2">
        <f ca="1">IFERROR(__xludf.DUMMYFUNCTION("""COMPUTED_VALUE"""),1)</f>
        <v>1</v>
      </c>
      <c r="D3181" s="8">
        <f ca="1">IFERROR(__xludf.DUMMYFUNCTION("""COMPUTED_VALUE"""),5)</f>
        <v>5</v>
      </c>
      <c r="E3181" s="2">
        <f ca="1">IFERROR(__xludf.DUMMYFUNCTION("""COMPUTED_VALUE"""),2)</f>
        <v>2</v>
      </c>
    </row>
    <row r="3182" spans="1:5" ht="13">
      <c r="A3182" s="2" t="str">
        <f ca="1">IFERROR(__xludf.DUMMYFUNCTION("""COMPUTED_VALUE"""),"Goudimel, Claude")</f>
        <v>Goudimel, Claude</v>
      </c>
      <c r="B3182" s="3">
        <f ca="1">IFERROR(__xludf.DUMMYFUNCTION("""COMPUTED_VALUE"""),1)</f>
        <v>1</v>
      </c>
      <c r="C3182" s="7">
        <f ca="1">IFERROR(__xludf.DUMMYFUNCTION("""COMPUTED_VALUE"""),1)</f>
        <v>1</v>
      </c>
      <c r="D3182" s="8">
        <f ca="1">IFERROR(__xludf.DUMMYFUNCTION("""COMPUTED_VALUE"""),5)</f>
        <v>5</v>
      </c>
      <c r="E3182" s="2">
        <f ca="1">IFERROR(__xludf.DUMMYFUNCTION("""COMPUTED_VALUE"""),2)</f>
        <v>2</v>
      </c>
    </row>
    <row r="3183" spans="1:5" ht="13">
      <c r="A3183" s="2" t="str">
        <f ca="1">IFERROR(__xludf.DUMMYFUNCTION("""COMPUTED_VALUE"""),"Gould, Morton")</f>
        <v>Gould, Morton</v>
      </c>
      <c r="B3183" s="3">
        <f ca="1">IFERROR(__xludf.DUMMYFUNCTION("""COMPUTED_VALUE"""),1)</f>
        <v>1</v>
      </c>
      <c r="C3183" s="7">
        <f ca="1">IFERROR(__xludf.DUMMYFUNCTION("""COMPUTED_VALUE"""),1)</f>
        <v>1</v>
      </c>
      <c r="D3183" s="8">
        <f ca="1">IFERROR(__xludf.DUMMYFUNCTION("""COMPUTED_VALUE"""),5)</f>
        <v>5</v>
      </c>
      <c r="E3183" s="2">
        <f ca="1">IFERROR(__xludf.DUMMYFUNCTION("""COMPUTED_VALUE"""),2)</f>
        <v>2</v>
      </c>
    </row>
    <row r="3184" spans="1:5" ht="13">
      <c r="A3184" s="2" t="str">
        <f ca="1">IFERROR(__xludf.DUMMYFUNCTION("""COMPUTED_VALUE"""),"Goulding, Edmund / Gordon, Mack")</f>
        <v>Goulding, Edmund / Gordon, Mack</v>
      </c>
      <c r="B3184" s="2">
        <f ca="1">IFERROR(__xludf.DUMMYFUNCTION("""COMPUTED_VALUE"""),1)</f>
        <v>1</v>
      </c>
      <c r="C3184" s="7">
        <f ca="1">IFERROR(__xludf.DUMMYFUNCTION("""COMPUTED_VALUE"""),1)</f>
        <v>1</v>
      </c>
      <c r="D3184" s="8">
        <f ca="1">IFERROR(__xludf.DUMMYFUNCTION("""COMPUTED_VALUE"""),5)</f>
        <v>5</v>
      </c>
      <c r="E3184" s="2">
        <f ca="1">IFERROR(__xludf.DUMMYFUNCTION("""COMPUTED_VALUE"""),2)</f>
        <v>2</v>
      </c>
    </row>
    <row r="3185" spans="1:5" ht="13">
      <c r="A3185" s="2" t="str">
        <f ca="1">IFERROR(__xludf.DUMMYFUNCTION("""COMPUTED_VALUE"""),"Goulet, Maxime")</f>
        <v>Goulet, Maxime</v>
      </c>
      <c r="B3185" s="3">
        <f ca="1">IFERROR(__xludf.DUMMYFUNCTION("""COMPUTED_VALUE"""),1)</f>
        <v>1</v>
      </c>
      <c r="C3185" s="7">
        <f ca="1">IFERROR(__xludf.DUMMYFUNCTION("""COMPUTED_VALUE"""),1)</f>
        <v>1</v>
      </c>
      <c r="D3185" s="8">
        <f ca="1">IFERROR(__xludf.DUMMYFUNCTION("""COMPUTED_VALUE"""),1)</f>
        <v>1</v>
      </c>
      <c r="E3185" s="2">
        <f ca="1">IFERROR(__xludf.DUMMYFUNCTION("""COMPUTED_VALUE"""),1)</f>
        <v>1</v>
      </c>
    </row>
    <row r="3186" spans="1:5" ht="13">
      <c r="A3186" s="2" t="str">
        <f ca="1">IFERROR(__xludf.DUMMYFUNCTION("""COMPUTED_VALUE"""),"Gounod, Charles")</f>
        <v>Gounod, Charles</v>
      </c>
      <c r="B3186" s="3">
        <f ca="1">IFERROR(__xludf.DUMMYFUNCTION("""COMPUTED_VALUE"""),1)</f>
        <v>1</v>
      </c>
      <c r="C3186" s="7">
        <f ca="1">IFERROR(__xludf.DUMMYFUNCTION("""COMPUTED_VALUE"""),1)</f>
        <v>1</v>
      </c>
      <c r="D3186" s="8">
        <f ca="1">IFERROR(__xludf.DUMMYFUNCTION("""COMPUTED_VALUE"""),5)</f>
        <v>5</v>
      </c>
      <c r="E3186" s="2">
        <f ca="1">IFERROR(__xludf.DUMMYFUNCTION("""COMPUTED_VALUE"""),2)</f>
        <v>2</v>
      </c>
    </row>
    <row r="3187" spans="1:5" ht="13">
      <c r="A3187" s="8" t="str">
        <f ca="1">IFERROR(__xludf.DUMMYFUNCTION("""COMPUTED_VALUE"""),"Gounod, Charles / Angerman, David")</f>
        <v>Gounod, Charles / Angerman, David</v>
      </c>
      <c r="B3187" s="9">
        <f ca="1">IFERROR(__xludf.DUMMYFUNCTION("""COMPUTED_VALUE"""),1)</f>
        <v>1</v>
      </c>
      <c r="C3187" s="7">
        <f ca="1">IFERROR(__xludf.DUMMYFUNCTION("""COMPUTED_VALUE"""),1)</f>
        <v>1</v>
      </c>
      <c r="D3187" s="8" t="str">
        <f ca="1">IFERROR(__xludf.DUMMYFUNCTION("""COMPUTED_VALUE"""),"")</f>
        <v/>
      </c>
      <c r="E3187" s="9" t="str">
        <f ca="1">IFERROR(__xludf.DUMMYFUNCTION("""COMPUTED_VALUE"""),"1&amp;2")</f>
        <v>1&amp;2</v>
      </c>
    </row>
    <row r="3188" spans="1:5" ht="13">
      <c r="A3188" s="2" t="str">
        <f ca="1">IFERROR(__xludf.DUMMYFUNCTION("""COMPUTED_VALUE"""),"Gouvy, Louis Theodore")</f>
        <v>Gouvy, Louis Theodore</v>
      </c>
      <c r="B3188" s="3">
        <f ca="1">IFERROR(__xludf.DUMMYFUNCTION("""COMPUTED_VALUE"""),1)</f>
        <v>1</v>
      </c>
      <c r="C3188" s="7">
        <f ca="1">IFERROR(__xludf.DUMMYFUNCTION("""COMPUTED_VALUE"""),1)</f>
        <v>1</v>
      </c>
      <c r="D3188" s="8">
        <f ca="1">IFERROR(__xludf.DUMMYFUNCTION("""COMPUTED_VALUE"""),5)</f>
        <v>5</v>
      </c>
      <c r="E3188" s="2">
        <f ca="1">IFERROR(__xludf.DUMMYFUNCTION("""COMPUTED_VALUE"""),2)</f>
        <v>2</v>
      </c>
    </row>
    <row r="3189" spans="1:5" ht="13">
      <c r="A3189" s="2" t="str">
        <f ca="1">IFERROR(__xludf.DUMMYFUNCTION("""COMPUTED_VALUE"""),"Govedas, John")</f>
        <v>Govedas, John</v>
      </c>
      <c r="B3189" s="3">
        <f ca="1">IFERROR(__xludf.DUMMYFUNCTION("""COMPUTED_VALUE"""),1)</f>
        <v>1</v>
      </c>
      <c r="C3189" s="7">
        <f ca="1">IFERROR(__xludf.DUMMYFUNCTION("""COMPUTED_VALUE"""),1)</f>
        <v>1</v>
      </c>
      <c r="D3189" s="8">
        <f ca="1">IFERROR(__xludf.DUMMYFUNCTION("""COMPUTED_VALUE"""),5)</f>
        <v>5</v>
      </c>
      <c r="E3189" s="2">
        <f ca="1">IFERROR(__xludf.DUMMYFUNCTION("""COMPUTED_VALUE"""),2)</f>
        <v>2</v>
      </c>
    </row>
    <row r="3190" spans="1:5" ht="13">
      <c r="A3190" s="2" t="str">
        <f ca="1">IFERROR(__xludf.DUMMYFUNCTION("""COMPUTED_VALUE"""),"Gow, Niel")</f>
        <v>Gow, Niel</v>
      </c>
      <c r="B3190" s="2">
        <f ca="1">IFERROR(__xludf.DUMMYFUNCTION("""COMPUTED_VALUE"""),1)</f>
        <v>1</v>
      </c>
      <c r="C3190" s="7">
        <f ca="1">IFERROR(__xludf.DUMMYFUNCTION("""COMPUTED_VALUE"""),1)</f>
        <v>1</v>
      </c>
      <c r="D3190" s="8">
        <f ca="1">IFERROR(__xludf.DUMMYFUNCTION("""COMPUTED_VALUE"""),5)</f>
        <v>5</v>
      </c>
      <c r="E3190" s="2">
        <f ca="1">IFERROR(__xludf.DUMMYFUNCTION("""COMPUTED_VALUE"""),2)</f>
        <v>2</v>
      </c>
    </row>
    <row r="3191" spans="1:5" ht="13">
      <c r="A3191" s="2" t="str">
        <f ca="1">IFERROR(__xludf.DUMMYFUNCTION("""COMPUTED_VALUE"""),"Gower, Robert")</f>
        <v>Gower, Robert</v>
      </c>
      <c r="B3191" s="3">
        <f ca="1">IFERROR(__xludf.DUMMYFUNCTION("""COMPUTED_VALUE"""),1)</f>
        <v>1</v>
      </c>
      <c r="C3191" s="7">
        <f ca="1">IFERROR(__xludf.DUMMYFUNCTION("""COMPUTED_VALUE"""),1)</f>
        <v>1</v>
      </c>
      <c r="D3191" s="8">
        <f ca="1">IFERROR(__xludf.DUMMYFUNCTION("""COMPUTED_VALUE"""),1)</f>
        <v>1</v>
      </c>
      <c r="E3191" s="2">
        <f ca="1">IFERROR(__xludf.DUMMYFUNCTION("""COMPUTED_VALUE"""),1)</f>
        <v>1</v>
      </c>
    </row>
    <row r="3192" spans="1:5" ht="13">
      <c r="A3192" s="2" t="str">
        <f ca="1">IFERROR(__xludf.DUMMYFUNCTION("""COMPUTED_VALUE"""),"Grabel, Victor")</f>
        <v>Grabel, Victor</v>
      </c>
      <c r="B3192" s="3">
        <f ca="1">IFERROR(__xludf.DUMMYFUNCTION("""COMPUTED_VALUE"""),1)</f>
        <v>1</v>
      </c>
      <c r="C3192" s="7">
        <f ca="1">IFERROR(__xludf.DUMMYFUNCTION("""COMPUTED_VALUE"""),1)</f>
        <v>1</v>
      </c>
      <c r="D3192" s="8">
        <f ca="1">IFERROR(__xludf.DUMMYFUNCTION("""COMPUTED_VALUE"""),5)</f>
        <v>5</v>
      </c>
      <c r="E3192" s="3">
        <f ca="1">IFERROR(__xludf.DUMMYFUNCTION("""COMPUTED_VALUE"""),2)</f>
        <v>2</v>
      </c>
    </row>
    <row r="3193" spans="1:5" ht="13">
      <c r="A3193" s="2" t="str">
        <f ca="1">IFERROR(__xludf.DUMMYFUNCTION("""COMPUTED_VALUE"""),"Grabel, Victor J")</f>
        <v>Grabel, Victor J</v>
      </c>
      <c r="B3193" s="3">
        <f ca="1">IFERROR(__xludf.DUMMYFUNCTION("""COMPUTED_VALUE"""),1)</f>
        <v>1</v>
      </c>
      <c r="C3193" s="7">
        <f ca="1">IFERROR(__xludf.DUMMYFUNCTION("""COMPUTED_VALUE"""),1)</f>
        <v>1</v>
      </c>
      <c r="D3193" s="8">
        <f ca="1">IFERROR(__xludf.DUMMYFUNCTION("""COMPUTED_VALUE"""),5)</f>
        <v>5</v>
      </c>
      <c r="E3193" s="2">
        <f ca="1">IFERROR(__xludf.DUMMYFUNCTION("""COMPUTED_VALUE"""),2)</f>
        <v>2</v>
      </c>
    </row>
    <row r="3194" spans="1:5" ht="13">
      <c r="A3194" s="2" t="str">
        <f ca="1">IFERROR(__xludf.DUMMYFUNCTION("""COMPUTED_VALUE"""),"Grady, Michael")</f>
        <v>Grady, Michael</v>
      </c>
      <c r="B3194" s="3">
        <f ca="1">IFERROR(__xludf.DUMMYFUNCTION("""COMPUTED_VALUE"""),1)</f>
        <v>1</v>
      </c>
      <c r="C3194" s="7">
        <f ca="1">IFERROR(__xludf.DUMMYFUNCTION("""COMPUTED_VALUE"""),1)</f>
        <v>1</v>
      </c>
      <c r="D3194" s="8">
        <f ca="1">IFERROR(__xludf.DUMMYFUNCTION("""COMPUTED_VALUE"""),1)</f>
        <v>1</v>
      </c>
      <c r="E3194" s="2">
        <f ca="1">IFERROR(__xludf.DUMMYFUNCTION("""COMPUTED_VALUE"""),1)</f>
        <v>1</v>
      </c>
    </row>
    <row r="3195" spans="1:5" ht="13">
      <c r="A3195" s="2" t="str">
        <f ca="1">IFERROR(__xludf.DUMMYFUNCTION("""COMPUTED_VALUE"""),"Graf, Thomas")</f>
        <v>Graf, Thomas</v>
      </c>
      <c r="B3195" s="3">
        <f ca="1">IFERROR(__xludf.DUMMYFUNCTION("""COMPUTED_VALUE"""),1)</f>
        <v>1</v>
      </c>
      <c r="C3195" s="7">
        <f ca="1">IFERROR(__xludf.DUMMYFUNCTION("""COMPUTED_VALUE"""),1)</f>
        <v>1</v>
      </c>
      <c r="D3195" s="8">
        <f ca="1">IFERROR(__xludf.DUMMYFUNCTION("""COMPUTED_VALUE"""),1)</f>
        <v>1</v>
      </c>
      <c r="E3195" s="2">
        <f ca="1">IFERROR(__xludf.DUMMYFUNCTION("""COMPUTED_VALUE"""),1)</f>
        <v>1</v>
      </c>
    </row>
    <row r="3196" spans="1:5" ht="13">
      <c r="A3196" s="2" t="str">
        <f ca="1">IFERROR(__xludf.DUMMYFUNCTION("""COMPUTED_VALUE"""),"Grafulla, Claudio")</f>
        <v>Grafulla, Claudio</v>
      </c>
      <c r="B3196" s="3">
        <f ca="1">IFERROR(__xludf.DUMMYFUNCTION("""COMPUTED_VALUE"""),1)</f>
        <v>1</v>
      </c>
      <c r="C3196" s="7">
        <f ca="1">IFERROR(__xludf.DUMMYFUNCTION("""COMPUTED_VALUE"""),1)</f>
        <v>1</v>
      </c>
      <c r="D3196" s="8">
        <f ca="1">IFERROR(__xludf.DUMMYFUNCTION("""COMPUTED_VALUE"""),5)</f>
        <v>5</v>
      </c>
      <c r="E3196" s="2">
        <f ca="1">IFERROR(__xludf.DUMMYFUNCTION("""COMPUTED_VALUE"""),2)</f>
        <v>2</v>
      </c>
    </row>
    <row r="3197" spans="1:5" ht="13">
      <c r="A3197" s="2" t="str">
        <f ca="1">IFERROR(__xludf.DUMMYFUNCTION("""COMPUTED_VALUE"""),"Graham, Brendan")</f>
        <v>Graham, Brendan</v>
      </c>
      <c r="B3197" s="3">
        <f ca="1">IFERROR(__xludf.DUMMYFUNCTION("""COMPUTED_VALUE"""),1)</f>
        <v>1</v>
      </c>
      <c r="C3197" s="7">
        <f ca="1">IFERROR(__xludf.DUMMYFUNCTION("""COMPUTED_VALUE"""),1)</f>
        <v>1</v>
      </c>
      <c r="D3197" s="8">
        <f ca="1">IFERROR(__xludf.DUMMYFUNCTION("""COMPUTED_VALUE"""),1)</f>
        <v>1</v>
      </c>
      <c r="E3197" s="2">
        <f ca="1">IFERROR(__xludf.DUMMYFUNCTION("""COMPUTED_VALUE"""),1)</f>
        <v>1</v>
      </c>
    </row>
    <row r="3198" spans="1:5" ht="13">
      <c r="A3198" s="2" t="str">
        <f ca="1">IFERROR(__xludf.DUMMYFUNCTION("""COMPUTED_VALUE"""),"Graham, Brendan / Downes, David")</f>
        <v>Graham, Brendan / Downes, David</v>
      </c>
      <c r="B3198" s="3">
        <f ca="1">IFERROR(__xludf.DUMMYFUNCTION("""COMPUTED_VALUE"""),1)</f>
        <v>1</v>
      </c>
      <c r="C3198" s="7">
        <f ca="1">IFERROR(__xludf.DUMMYFUNCTION("""COMPUTED_VALUE"""),1)</f>
        <v>1</v>
      </c>
      <c r="D3198" s="8">
        <f ca="1">IFERROR(__xludf.DUMMYFUNCTION("""COMPUTED_VALUE"""),1)</f>
        <v>1</v>
      </c>
      <c r="E3198" s="2">
        <f ca="1">IFERROR(__xludf.DUMMYFUNCTION("""COMPUTED_VALUE"""),1)</f>
        <v>1</v>
      </c>
    </row>
    <row r="3199" spans="1:5" ht="13">
      <c r="A3199" s="2" t="str">
        <f ca="1">IFERROR(__xludf.DUMMYFUNCTION("""COMPUTED_VALUE"""),"Graham, Brendan / Løvland, Rolf")</f>
        <v>Graham, Brendan / Løvland, Rolf</v>
      </c>
      <c r="B3199" s="2">
        <f ca="1">IFERROR(__xludf.DUMMYFUNCTION("""COMPUTED_VALUE"""),1)</f>
        <v>1</v>
      </c>
      <c r="C3199" s="7">
        <f ca="1">IFERROR(__xludf.DUMMYFUNCTION("""COMPUTED_VALUE"""),1)</f>
        <v>1</v>
      </c>
      <c r="D3199" s="8">
        <f ca="1">IFERROR(__xludf.DUMMYFUNCTION("""COMPUTED_VALUE"""),1)</f>
        <v>1</v>
      </c>
      <c r="E3199" s="2">
        <f ca="1">IFERROR(__xludf.DUMMYFUNCTION("""COMPUTED_VALUE"""),1)</f>
        <v>1</v>
      </c>
    </row>
    <row r="3200" spans="1:5" ht="13">
      <c r="A3200" s="2" t="str">
        <f ca="1">IFERROR(__xludf.DUMMYFUNCTION("""COMPUTED_VALUE"""),"Graham, Joseph")</f>
        <v>Graham, Joseph</v>
      </c>
      <c r="B3200" s="3">
        <f ca="1">IFERROR(__xludf.DUMMYFUNCTION("""COMPUTED_VALUE"""),1)</f>
        <v>1</v>
      </c>
      <c r="C3200" s="7">
        <f ca="1">IFERROR(__xludf.DUMMYFUNCTION("""COMPUTED_VALUE"""),1)</f>
        <v>1</v>
      </c>
      <c r="D3200" s="8">
        <f ca="1">IFERROR(__xludf.DUMMYFUNCTION("""COMPUTED_VALUE"""),1)</f>
        <v>1</v>
      </c>
      <c r="E3200" s="2">
        <f ca="1">IFERROR(__xludf.DUMMYFUNCTION("""COMPUTED_VALUE"""),1)</f>
        <v>1</v>
      </c>
    </row>
    <row r="3201" spans="1:5" ht="13">
      <c r="A3201" s="2" t="str">
        <f ca="1">IFERROR(__xludf.DUMMYFUNCTION("""COMPUTED_VALUE"""),"Graham, Paul")</f>
        <v>Graham, Paul</v>
      </c>
      <c r="B3201" s="3">
        <f ca="1">IFERROR(__xludf.DUMMYFUNCTION("""COMPUTED_VALUE"""),1)</f>
        <v>1</v>
      </c>
      <c r="C3201" s="7">
        <f ca="1">IFERROR(__xludf.DUMMYFUNCTION("""COMPUTED_VALUE"""),1)</f>
        <v>1</v>
      </c>
      <c r="D3201" s="8">
        <f ca="1">IFERROR(__xludf.DUMMYFUNCTION("""COMPUTED_VALUE"""),1)</f>
        <v>1</v>
      </c>
      <c r="E3201" s="2">
        <f ca="1">IFERROR(__xludf.DUMMYFUNCTION("""COMPUTED_VALUE"""),1)</f>
        <v>1</v>
      </c>
    </row>
    <row r="3202" spans="1:5" ht="13">
      <c r="A3202" s="2" t="str">
        <f ca="1">IFERROR(__xludf.DUMMYFUNCTION("""COMPUTED_VALUE"""),"Graham, Peter")</f>
        <v>Graham, Peter</v>
      </c>
      <c r="B3202" s="3">
        <f ca="1">IFERROR(__xludf.DUMMYFUNCTION("""COMPUTED_VALUE"""),1)</f>
        <v>1</v>
      </c>
      <c r="C3202" s="7">
        <f ca="1">IFERROR(__xludf.DUMMYFUNCTION("""COMPUTED_VALUE"""),1)</f>
        <v>1</v>
      </c>
      <c r="D3202" s="8">
        <f ca="1">IFERROR(__xludf.DUMMYFUNCTION("""COMPUTED_VALUE"""),1)</f>
        <v>1</v>
      </c>
      <c r="E3202" s="2">
        <f ca="1">IFERROR(__xludf.DUMMYFUNCTION("""COMPUTED_VALUE"""),1)</f>
        <v>1</v>
      </c>
    </row>
    <row r="3203" spans="1:5" ht="13">
      <c r="A3203" s="2" t="str">
        <f ca="1">IFERROR(__xludf.DUMMYFUNCTION("""COMPUTED_VALUE"""),"Graham, Robert")</f>
        <v>Graham, Robert</v>
      </c>
      <c r="B3203" s="3">
        <f ca="1">IFERROR(__xludf.DUMMYFUNCTION("""COMPUTED_VALUE"""),1)</f>
        <v>1</v>
      </c>
      <c r="C3203" s="7">
        <f ca="1">IFERROR(__xludf.DUMMYFUNCTION("""COMPUTED_VALUE"""),1)</f>
        <v>1</v>
      </c>
      <c r="D3203" s="8">
        <f ca="1">IFERROR(__xludf.DUMMYFUNCTION("""COMPUTED_VALUE"""),5)</f>
        <v>5</v>
      </c>
      <c r="E3203" s="2">
        <f ca="1">IFERROR(__xludf.DUMMYFUNCTION("""COMPUTED_VALUE"""),2)</f>
        <v>2</v>
      </c>
    </row>
    <row r="3204" spans="1:5" ht="13">
      <c r="A3204" s="2" t="str">
        <f ca="1">IFERROR(__xludf.DUMMYFUNCTION("""COMPUTED_VALUE"""),"Grainger, Percy Aldridge")</f>
        <v>Grainger, Percy Aldridge</v>
      </c>
      <c r="B3204" s="2">
        <f ca="1">IFERROR(__xludf.DUMMYFUNCTION("""COMPUTED_VALUE"""),1)</f>
        <v>1</v>
      </c>
      <c r="C3204" s="7">
        <f ca="1">IFERROR(__xludf.DUMMYFUNCTION("""COMPUTED_VALUE"""),1)</f>
        <v>1</v>
      </c>
      <c r="D3204" s="8">
        <f ca="1">IFERROR(__xludf.DUMMYFUNCTION("""COMPUTED_VALUE"""),5)</f>
        <v>5</v>
      </c>
      <c r="E3204" s="2">
        <f ca="1">IFERROR(__xludf.DUMMYFUNCTION("""COMPUTED_VALUE"""),2)</f>
        <v>2</v>
      </c>
    </row>
    <row r="3205" spans="1:5" ht="13">
      <c r="A3205" s="2" t="str">
        <f ca="1">IFERROR(__xludf.DUMMYFUNCTION("""COMPUTED_VALUE"""),"Granade, John Adam")</f>
        <v>Granade, John Adam</v>
      </c>
      <c r="B3205" s="3">
        <f ca="1">IFERROR(__xludf.DUMMYFUNCTION("""COMPUTED_VALUE"""),1)</f>
        <v>1</v>
      </c>
      <c r="C3205" s="7">
        <f ca="1">IFERROR(__xludf.DUMMYFUNCTION("""COMPUTED_VALUE"""),1)</f>
        <v>1</v>
      </c>
      <c r="D3205" s="8">
        <f ca="1">IFERROR(__xludf.DUMMYFUNCTION("""COMPUTED_VALUE"""),5)</f>
        <v>5</v>
      </c>
      <c r="E3205" s="2">
        <f ca="1">IFERROR(__xludf.DUMMYFUNCTION("""COMPUTED_VALUE"""),2)</f>
        <v>2</v>
      </c>
    </row>
    <row r="3206" spans="1:5" ht="13">
      <c r="A3206" s="2" t="str">
        <f ca="1">IFERROR(__xludf.DUMMYFUNCTION("""COMPUTED_VALUE"""),"Granados, Enrique")</f>
        <v>Granados, Enrique</v>
      </c>
      <c r="B3206" s="3">
        <f ca="1">IFERROR(__xludf.DUMMYFUNCTION("""COMPUTED_VALUE"""),1)</f>
        <v>1</v>
      </c>
      <c r="C3206" s="7">
        <f ca="1">IFERROR(__xludf.DUMMYFUNCTION("""COMPUTED_VALUE"""),1)</f>
        <v>1</v>
      </c>
      <c r="D3206" s="8">
        <f ca="1">IFERROR(__xludf.DUMMYFUNCTION("""COMPUTED_VALUE"""),5)</f>
        <v>5</v>
      </c>
      <c r="E3206" s="2">
        <f ca="1">IFERROR(__xludf.DUMMYFUNCTION("""COMPUTED_VALUE"""),2)</f>
        <v>2</v>
      </c>
    </row>
    <row r="3207" spans="1:5" ht="13">
      <c r="A3207" s="2" t="str">
        <f ca="1">IFERROR(__xludf.DUMMYFUNCTION("""COMPUTED_VALUE"""),"Granard, Noah")</f>
        <v>Granard, Noah</v>
      </c>
      <c r="B3207" s="2">
        <f ca="1">IFERROR(__xludf.DUMMYFUNCTION("""COMPUTED_VALUE"""),1)</f>
        <v>1</v>
      </c>
      <c r="C3207" s="7">
        <f ca="1">IFERROR(__xludf.DUMMYFUNCTION("""COMPUTED_VALUE"""),1)</f>
        <v>1</v>
      </c>
      <c r="D3207" s="8">
        <f ca="1">IFERROR(__xludf.DUMMYFUNCTION("""COMPUTED_VALUE"""),1)</f>
        <v>1</v>
      </c>
      <c r="E3207" s="2">
        <f ca="1">IFERROR(__xludf.DUMMYFUNCTION("""COMPUTED_VALUE"""),1)</f>
        <v>1</v>
      </c>
    </row>
    <row r="3208" spans="1:5" ht="13">
      <c r="A3208" s="2" t="str">
        <f ca="1">IFERROR(__xludf.DUMMYFUNCTION("""COMPUTED_VALUE"""),"Granata, Anthony")</f>
        <v>Granata, Anthony</v>
      </c>
      <c r="B3208" s="3">
        <f ca="1">IFERROR(__xludf.DUMMYFUNCTION("""COMPUTED_VALUE"""),1)</f>
        <v>1</v>
      </c>
      <c r="C3208" s="7">
        <f ca="1">IFERROR(__xludf.DUMMYFUNCTION("""COMPUTED_VALUE"""),1)</f>
        <v>1</v>
      </c>
      <c r="D3208" s="8">
        <f ca="1">IFERROR(__xludf.DUMMYFUNCTION("""COMPUTED_VALUE"""),1)</f>
        <v>1</v>
      </c>
      <c r="E3208" s="2">
        <f ca="1">IFERROR(__xludf.DUMMYFUNCTION("""COMPUTED_VALUE"""),1)</f>
        <v>1</v>
      </c>
    </row>
    <row r="3209" spans="1:5" ht="13">
      <c r="A3209" s="2" t="str">
        <f ca="1">IFERROR(__xludf.DUMMYFUNCTION("""COMPUTED_VALUE"""),"Grandage, Iain")</f>
        <v>Grandage, Iain</v>
      </c>
      <c r="B3209" s="3">
        <f ca="1">IFERROR(__xludf.DUMMYFUNCTION("""COMPUTED_VALUE"""),1)</f>
        <v>1</v>
      </c>
      <c r="C3209" s="7">
        <f ca="1">IFERROR(__xludf.DUMMYFUNCTION("""COMPUTED_VALUE"""),1)</f>
        <v>1</v>
      </c>
      <c r="D3209" s="8">
        <f ca="1">IFERROR(__xludf.DUMMYFUNCTION("""COMPUTED_VALUE"""),1)</f>
        <v>1</v>
      </c>
      <c r="E3209" s="3">
        <f ca="1">IFERROR(__xludf.DUMMYFUNCTION("""COMPUTED_VALUE"""),1)</f>
        <v>1</v>
      </c>
    </row>
    <row r="3210" spans="1:5" ht="13">
      <c r="A3210" s="2" t="str">
        <f ca="1">IFERROR(__xludf.DUMMYFUNCTION("""COMPUTED_VALUE"""),"Grandi, Alessandro")</f>
        <v>Grandi, Alessandro</v>
      </c>
      <c r="B3210" s="3">
        <f ca="1">IFERROR(__xludf.DUMMYFUNCTION("""COMPUTED_VALUE"""),1)</f>
        <v>1</v>
      </c>
      <c r="C3210" s="7">
        <f ca="1">IFERROR(__xludf.DUMMYFUNCTION("""COMPUTED_VALUE"""),1)</f>
        <v>1</v>
      </c>
      <c r="D3210" s="8">
        <f ca="1">IFERROR(__xludf.DUMMYFUNCTION("""COMPUTED_VALUE"""),5)</f>
        <v>5</v>
      </c>
      <c r="E3210" s="2">
        <f ca="1">IFERROR(__xludf.DUMMYFUNCTION("""COMPUTED_VALUE"""),2)</f>
        <v>2</v>
      </c>
    </row>
    <row r="3211" spans="1:5" ht="13">
      <c r="A3211" s="2" t="str">
        <f ca="1">IFERROR(__xludf.DUMMYFUNCTION("""COMPUTED_VALUE"""),"Grandjany, Marcel")</f>
        <v>Grandjany, Marcel</v>
      </c>
      <c r="B3211" s="3">
        <f ca="1">IFERROR(__xludf.DUMMYFUNCTION("""COMPUTED_VALUE"""),1)</f>
        <v>1</v>
      </c>
      <c r="C3211" s="7">
        <f ca="1">IFERROR(__xludf.DUMMYFUNCTION("""COMPUTED_VALUE"""),1)</f>
        <v>1</v>
      </c>
      <c r="D3211" s="8">
        <f ca="1">IFERROR(__xludf.DUMMYFUNCTION("""COMPUTED_VALUE"""),5)</f>
        <v>5</v>
      </c>
      <c r="E3211" s="2">
        <f ca="1">IFERROR(__xludf.DUMMYFUNCTION("""COMPUTED_VALUE"""),2)</f>
        <v>2</v>
      </c>
    </row>
    <row r="3212" spans="1:5" ht="13">
      <c r="A3212" s="8" t="str">
        <f ca="1">IFERROR(__xludf.DUMMYFUNCTION("""COMPUTED_VALUE"""),"Granero, Jose")</f>
        <v>Granero, Jose</v>
      </c>
      <c r="B3212" s="3">
        <f ca="1">IFERROR(__xludf.DUMMYFUNCTION("""COMPUTED_VALUE"""),1)</f>
        <v>1</v>
      </c>
      <c r="C3212" s="7">
        <f ca="1">IFERROR(__xludf.DUMMYFUNCTION("""COMPUTED_VALUE"""),1)</f>
        <v>1</v>
      </c>
      <c r="D3212" s="8">
        <f ca="1">IFERROR(__xludf.DUMMYFUNCTION("""COMPUTED_VALUE"""),1)</f>
        <v>1</v>
      </c>
      <c r="E3212" s="2">
        <f ca="1">IFERROR(__xludf.DUMMYFUNCTION("""COMPUTED_VALUE"""),1)</f>
        <v>1</v>
      </c>
    </row>
    <row r="3213" spans="1:5" ht="13">
      <c r="A3213" s="2" t="str">
        <f ca="1">IFERROR(__xludf.DUMMYFUNCTION("""COMPUTED_VALUE"""),"Grant, Francis")</f>
        <v>Grant, Francis</v>
      </c>
      <c r="B3213" s="2">
        <f ca="1">IFERROR(__xludf.DUMMYFUNCTION("""COMPUTED_VALUE"""),1)</f>
        <v>1</v>
      </c>
      <c r="C3213" s="7">
        <f ca="1">IFERROR(__xludf.DUMMYFUNCTION("""COMPUTED_VALUE"""),1)</f>
        <v>1</v>
      </c>
      <c r="D3213" s="8">
        <f ca="1">IFERROR(__xludf.DUMMYFUNCTION("""COMPUTED_VALUE"""),5)</f>
        <v>5</v>
      </c>
      <c r="E3213" s="2">
        <f ca="1">IFERROR(__xludf.DUMMYFUNCTION("""COMPUTED_VALUE"""),2)</f>
        <v>2</v>
      </c>
    </row>
    <row r="3214" spans="1:5" ht="13">
      <c r="A3214" s="2" t="str">
        <f ca="1">IFERROR(__xludf.DUMMYFUNCTION("""COMPUTED_VALUE"""),"Grant, James")</f>
        <v>Grant, James</v>
      </c>
      <c r="B3214" s="3">
        <f ca="1">IFERROR(__xludf.DUMMYFUNCTION("""COMPUTED_VALUE"""),1)</f>
        <v>1</v>
      </c>
      <c r="C3214" s="7">
        <f ca="1">IFERROR(__xludf.DUMMYFUNCTION("""COMPUTED_VALUE"""),1)</f>
        <v>1</v>
      </c>
      <c r="D3214" s="8">
        <f ca="1">IFERROR(__xludf.DUMMYFUNCTION("""COMPUTED_VALUE"""),1)</f>
        <v>1</v>
      </c>
      <c r="E3214" s="2">
        <f ca="1">IFERROR(__xludf.DUMMYFUNCTION("""COMPUTED_VALUE"""),1)</f>
        <v>1</v>
      </c>
    </row>
    <row r="3215" spans="1:5" ht="13">
      <c r="A3215" s="2" t="str">
        <f ca="1">IFERROR(__xludf.DUMMYFUNCTION("""COMPUTED_VALUE"""),"Grant, Julian")</f>
        <v>Grant, Julian</v>
      </c>
      <c r="B3215" s="3">
        <f ca="1">IFERROR(__xludf.DUMMYFUNCTION("""COMPUTED_VALUE"""),1)</f>
        <v>1</v>
      </c>
      <c r="C3215" s="7">
        <f ca="1">IFERROR(__xludf.DUMMYFUNCTION("""COMPUTED_VALUE"""),1)</f>
        <v>1</v>
      </c>
      <c r="D3215" s="8">
        <f ca="1">IFERROR(__xludf.DUMMYFUNCTION("""COMPUTED_VALUE"""),1)</f>
        <v>1</v>
      </c>
      <c r="E3215" s="2">
        <f ca="1">IFERROR(__xludf.DUMMYFUNCTION("""COMPUTED_VALUE"""),1)</f>
        <v>1</v>
      </c>
    </row>
    <row r="3216" spans="1:5" ht="13">
      <c r="A3216" s="2" t="str">
        <f ca="1">IFERROR(__xludf.DUMMYFUNCTION("""COMPUTED_VALUE"""),"Grant, Sanford")</f>
        <v>Grant, Sanford</v>
      </c>
      <c r="B3216" s="3">
        <f ca="1">IFERROR(__xludf.DUMMYFUNCTION("""COMPUTED_VALUE"""),1)</f>
        <v>1</v>
      </c>
      <c r="C3216" s="7">
        <f ca="1">IFERROR(__xludf.DUMMYFUNCTION("""COMPUTED_VALUE"""),1)</f>
        <v>1</v>
      </c>
      <c r="D3216" s="8">
        <f ca="1">IFERROR(__xludf.DUMMYFUNCTION("""COMPUTED_VALUE"""),5)</f>
        <v>5</v>
      </c>
      <c r="E3216" s="2">
        <f ca="1">IFERROR(__xludf.DUMMYFUNCTION("""COMPUTED_VALUE"""),2)</f>
        <v>2</v>
      </c>
    </row>
    <row r="3217" spans="1:5" ht="13">
      <c r="A3217" s="2" t="str">
        <f ca="1">IFERROR(__xludf.DUMMYFUNCTION("""COMPUTED_VALUE"""),"Grant, Tyler S.")</f>
        <v>Grant, Tyler S.</v>
      </c>
      <c r="B3217" s="3">
        <f ca="1">IFERROR(__xludf.DUMMYFUNCTION("""COMPUTED_VALUE"""),1)</f>
        <v>1</v>
      </c>
      <c r="C3217" s="7">
        <f ca="1">IFERROR(__xludf.DUMMYFUNCTION("""COMPUTED_VALUE"""),1)</f>
        <v>1</v>
      </c>
      <c r="D3217" s="8">
        <f ca="1">IFERROR(__xludf.DUMMYFUNCTION("""COMPUTED_VALUE"""),1)</f>
        <v>1</v>
      </c>
      <c r="E3217" s="2">
        <f ca="1">IFERROR(__xludf.DUMMYFUNCTION("""COMPUTED_VALUE"""),1)</f>
        <v>1</v>
      </c>
    </row>
    <row r="3218" spans="1:5" ht="13">
      <c r="A3218" s="2" t="str">
        <f ca="1">IFERROR(__xludf.DUMMYFUNCTION("""COMPUTED_VALUE"""),"Grantham, Donald")</f>
        <v>Grantham, Donald</v>
      </c>
      <c r="B3218" s="3">
        <f ca="1">IFERROR(__xludf.DUMMYFUNCTION("""COMPUTED_VALUE"""),1)</f>
        <v>1</v>
      </c>
      <c r="C3218" s="7">
        <f ca="1">IFERROR(__xludf.DUMMYFUNCTION("""COMPUTED_VALUE"""),1)</f>
        <v>1</v>
      </c>
      <c r="D3218" s="8">
        <f ca="1">IFERROR(__xludf.DUMMYFUNCTION("""COMPUTED_VALUE"""),1)</f>
        <v>1</v>
      </c>
      <c r="E3218" s="2">
        <f ca="1">IFERROR(__xludf.DUMMYFUNCTION("""COMPUTED_VALUE"""),1)</f>
        <v>1</v>
      </c>
    </row>
    <row r="3219" spans="1:5" ht="13">
      <c r="A3219" s="8" t="str">
        <f ca="1">IFERROR(__xludf.DUMMYFUNCTION("""COMPUTED_VALUE"""),"Granville, Roger (Ehret, Walter)")</f>
        <v>Granville, Roger (Ehret, Walter)</v>
      </c>
      <c r="B3219" s="3">
        <f ca="1">IFERROR(__xludf.DUMMYFUNCTION("""COMPUTED_VALUE"""),1)</f>
        <v>1</v>
      </c>
      <c r="C3219" s="7">
        <f ca="1">IFERROR(__xludf.DUMMYFUNCTION("""COMPUTED_VALUE"""),1)</f>
        <v>1</v>
      </c>
      <c r="D3219" s="8">
        <f ca="1">IFERROR(__xludf.DUMMYFUNCTION("""COMPUTED_VALUE"""),5)</f>
        <v>5</v>
      </c>
      <c r="E3219" s="2">
        <f ca="1">IFERROR(__xludf.DUMMYFUNCTION("""COMPUTED_VALUE"""),2)</f>
        <v>2</v>
      </c>
    </row>
    <row r="3220" spans="1:5" ht="13">
      <c r="A3220" s="8" t="str">
        <f ca="1">IFERROR(__xludf.DUMMYFUNCTION("""COMPUTED_VALUE"""),"Grappelli, Stephane")</f>
        <v>Grappelli, Stephane</v>
      </c>
      <c r="B3220" s="3">
        <f ca="1">IFERROR(__xludf.DUMMYFUNCTION("""COMPUTED_VALUE"""),1)</f>
        <v>1</v>
      </c>
      <c r="C3220" s="7">
        <f ca="1">IFERROR(__xludf.DUMMYFUNCTION("""COMPUTED_VALUE"""),1)</f>
        <v>1</v>
      </c>
      <c r="D3220" s="8">
        <f ca="1">IFERROR(__xludf.DUMMYFUNCTION("""COMPUTED_VALUE"""),5)</f>
        <v>5</v>
      </c>
      <c r="E3220" s="2">
        <f ca="1">IFERROR(__xludf.DUMMYFUNCTION("""COMPUTED_VALUE"""),2)</f>
        <v>2</v>
      </c>
    </row>
    <row r="3221" spans="1:5" ht="13">
      <c r="A3221" s="8" t="str">
        <f ca="1">IFERROR(__xludf.DUMMYFUNCTION("""COMPUTED_VALUE"""),"Gras, Robert")</f>
        <v>Gras, Robert</v>
      </c>
      <c r="B3221" s="3">
        <f ca="1">IFERROR(__xludf.DUMMYFUNCTION("""COMPUTED_VALUE"""),1)</f>
        <v>1</v>
      </c>
      <c r="C3221" s="7">
        <f ca="1">IFERROR(__xludf.DUMMYFUNCTION("""COMPUTED_VALUE"""),1)</f>
        <v>1</v>
      </c>
      <c r="D3221" s="8">
        <f ca="1">IFERROR(__xludf.DUMMYFUNCTION("""COMPUTED_VALUE"""),1)</f>
        <v>1</v>
      </c>
      <c r="E3221" s="2">
        <f ca="1">IFERROR(__xludf.DUMMYFUNCTION("""COMPUTED_VALUE"""),1)</f>
        <v>1</v>
      </c>
    </row>
    <row r="3222" spans="1:5" ht="13">
      <c r="A3222" s="2" t="str">
        <f ca="1">IFERROR(__xludf.DUMMYFUNCTION("""COMPUTED_VALUE"""),"Graser, Dan")</f>
        <v>Graser, Dan</v>
      </c>
      <c r="B3222" s="3">
        <f ca="1">IFERROR(__xludf.DUMMYFUNCTION("""COMPUTED_VALUE"""),1)</f>
        <v>1</v>
      </c>
      <c r="C3222" s="7">
        <f ca="1">IFERROR(__xludf.DUMMYFUNCTION("""COMPUTED_VALUE"""),1)</f>
        <v>1</v>
      </c>
      <c r="D3222" s="8">
        <f ca="1">IFERROR(__xludf.DUMMYFUNCTION("""COMPUTED_VALUE"""),1)</f>
        <v>1</v>
      </c>
      <c r="E3222" s="2">
        <f ca="1">IFERROR(__xludf.DUMMYFUNCTION("""COMPUTED_VALUE"""),1)</f>
        <v>1</v>
      </c>
    </row>
    <row r="3223" spans="1:5" ht="13">
      <c r="A3223" s="2" t="str">
        <f ca="1">IFERROR(__xludf.DUMMYFUNCTION("""COMPUTED_VALUE"""),"Grauer, Mark")</f>
        <v>Grauer, Mark</v>
      </c>
      <c r="B3223" s="2">
        <f ca="1">IFERROR(__xludf.DUMMYFUNCTION("""COMPUTED_VALUE"""),1)</f>
        <v>1</v>
      </c>
      <c r="C3223" s="2">
        <f ca="1">IFERROR(__xludf.DUMMYFUNCTION("""COMPUTED_VALUE"""),1)</f>
        <v>1</v>
      </c>
      <c r="D3223" s="8">
        <f ca="1">IFERROR(__xludf.DUMMYFUNCTION("""COMPUTED_VALUE"""),1)</f>
        <v>1</v>
      </c>
      <c r="E3223" s="2">
        <f ca="1">IFERROR(__xludf.DUMMYFUNCTION("""COMPUTED_VALUE"""),1)</f>
        <v>1</v>
      </c>
    </row>
    <row r="3224" spans="1:5" ht="13">
      <c r="A3224" s="2" t="str">
        <f ca="1">IFERROR(__xludf.DUMMYFUNCTION("""COMPUTED_VALUE"""),"Graun, Carl H.")</f>
        <v>Graun, Carl H.</v>
      </c>
      <c r="B3224" s="3">
        <f ca="1">IFERROR(__xludf.DUMMYFUNCTION("""COMPUTED_VALUE"""),1)</f>
        <v>1</v>
      </c>
      <c r="C3224" s="7">
        <f ca="1">IFERROR(__xludf.DUMMYFUNCTION("""COMPUTED_VALUE"""),1)</f>
        <v>1</v>
      </c>
      <c r="D3224" s="8">
        <f ca="1">IFERROR(__xludf.DUMMYFUNCTION("""COMPUTED_VALUE"""),5)</f>
        <v>5</v>
      </c>
      <c r="E3224" s="2">
        <f ca="1">IFERROR(__xludf.DUMMYFUNCTION("""COMPUTED_VALUE"""),2)</f>
        <v>2</v>
      </c>
    </row>
    <row r="3225" spans="1:5" ht="13">
      <c r="A3225" s="2" t="str">
        <f ca="1">IFERROR(__xludf.DUMMYFUNCTION("""COMPUTED_VALUE"""),"Graun, Johann G.")</f>
        <v>Graun, Johann G.</v>
      </c>
      <c r="B3225" s="3">
        <f ca="1">IFERROR(__xludf.DUMMYFUNCTION("""COMPUTED_VALUE"""),1)</f>
        <v>1</v>
      </c>
      <c r="C3225" s="7">
        <f ca="1">IFERROR(__xludf.DUMMYFUNCTION("""COMPUTED_VALUE"""),1)</f>
        <v>1</v>
      </c>
      <c r="D3225" s="8">
        <f ca="1">IFERROR(__xludf.DUMMYFUNCTION("""COMPUTED_VALUE"""),5)</f>
        <v>5</v>
      </c>
      <c r="E3225" s="2">
        <f ca="1">IFERROR(__xludf.DUMMYFUNCTION("""COMPUTED_VALUE"""),2)</f>
        <v>2</v>
      </c>
    </row>
    <row r="3226" spans="1:5" ht="13">
      <c r="A3226" s="2" t="str">
        <f ca="1">IFERROR(__xludf.DUMMYFUNCTION("""COMPUTED_VALUE"""),"Graupner, Christoph")</f>
        <v>Graupner, Christoph</v>
      </c>
      <c r="B3226" s="3">
        <f ca="1">IFERROR(__xludf.DUMMYFUNCTION("""COMPUTED_VALUE"""),1)</f>
        <v>1</v>
      </c>
      <c r="C3226" s="7">
        <f ca="1">IFERROR(__xludf.DUMMYFUNCTION("""COMPUTED_VALUE"""),1)</f>
        <v>1</v>
      </c>
      <c r="D3226" s="8">
        <f ca="1">IFERROR(__xludf.DUMMYFUNCTION("""COMPUTED_VALUE"""),5)</f>
        <v>5</v>
      </c>
      <c r="E3226" s="2">
        <f ca="1">IFERROR(__xludf.DUMMYFUNCTION("""COMPUTED_VALUE"""),2)</f>
        <v>2</v>
      </c>
    </row>
    <row r="3227" spans="1:5" ht="13">
      <c r="A3227" s="2" t="str">
        <f ca="1">IFERROR(__xludf.DUMMYFUNCTION("""COMPUTED_VALUE"""),"Gray, Bobby / Gentry, Tom")</f>
        <v>Gray, Bobby / Gentry, Tom</v>
      </c>
      <c r="B3227" s="3">
        <f ca="1">IFERROR(__xludf.DUMMYFUNCTION("""COMPUTED_VALUE"""),1)</f>
        <v>1</v>
      </c>
      <c r="C3227" s="7">
        <f ca="1">IFERROR(__xludf.DUMMYFUNCTION("""COMPUTED_VALUE"""),1)</f>
        <v>1</v>
      </c>
      <c r="D3227" s="8">
        <f ca="1">IFERROR(__xludf.DUMMYFUNCTION("""COMPUTED_VALUE"""),1)</f>
        <v>1</v>
      </c>
      <c r="E3227" s="2">
        <f ca="1">IFERROR(__xludf.DUMMYFUNCTION("""COMPUTED_VALUE"""),1)</f>
        <v>1</v>
      </c>
    </row>
    <row r="3228" spans="1:5" ht="13">
      <c r="A3228" s="2" t="str">
        <f ca="1">IFERROR(__xludf.DUMMYFUNCTION("""COMPUTED_VALUE"""),"Gray, Calum")</f>
        <v>Gray, Calum</v>
      </c>
      <c r="B3228" s="3">
        <f ca="1">IFERROR(__xludf.DUMMYFUNCTION("""COMPUTED_VALUE"""),1)</f>
        <v>1</v>
      </c>
      <c r="C3228" s="7">
        <f ca="1">IFERROR(__xludf.DUMMYFUNCTION("""COMPUTED_VALUE"""),1)</f>
        <v>1</v>
      </c>
      <c r="D3228" s="8">
        <f ca="1">IFERROR(__xludf.DUMMYFUNCTION("""COMPUTED_VALUE"""),1)</f>
        <v>1</v>
      </c>
      <c r="E3228" s="2">
        <f ca="1">IFERROR(__xludf.DUMMYFUNCTION("""COMPUTED_VALUE"""),1)</f>
        <v>1</v>
      </c>
    </row>
    <row r="3229" spans="1:5" ht="13">
      <c r="A3229" s="8" t="str">
        <f ca="1">IFERROR(__xludf.DUMMYFUNCTION("""COMPUTED_VALUE"""),"Gray, Don")</f>
        <v>Gray, Don</v>
      </c>
      <c r="B3229" s="3">
        <f ca="1">IFERROR(__xludf.DUMMYFUNCTION("""COMPUTED_VALUE"""),1)</f>
        <v>1</v>
      </c>
      <c r="C3229" s="7">
        <f ca="1">IFERROR(__xludf.DUMMYFUNCTION("""COMPUTED_VALUE"""),1)</f>
        <v>1</v>
      </c>
      <c r="D3229" s="8">
        <f ca="1">IFERROR(__xludf.DUMMYFUNCTION("""COMPUTED_VALUE"""),1)</f>
        <v>1</v>
      </c>
      <c r="E3229" s="2">
        <f ca="1">IFERROR(__xludf.DUMMYFUNCTION("""COMPUTED_VALUE"""),1)</f>
        <v>1</v>
      </c>
    </row>
    <row r="3230" spans="1:5" ht="13">
      <c r="A3230" s="2" t="str">
        <f ca="1">IFERROR(__xludf.DUMMYFUNCTION("""COMPUTED_VALUE"""),"Gray, Jerry")</f>
        <v>Gray, Jerry</v>
      </c>
      <c r="B3230" s="2">
        <f ca="1">IFERROR(__xludf.DUMMYFUNCTION("""COMPUTED_VALUE"""),1)</f>
        <v>1</v>
      </c>
      <c r="C3230" s="7">
        <f ca="1">IFERROR(__xludf.DUMMYFUNCTION("""COMPUTED_VALUE"""),1)</f>
        <v>1</v>
      </c>
      <c r="D3230" s="8">
        <f ca="1">IFERROR(__xludf.DUMMYFUNCTION("""COMPUTED_VALUE"""),5)</f>
        <v>5</v>
      </c>
      <c r="E3230" s="2">
        <f ca="1">IFERROR(__xludf.DUMMYFUNCTION("""COMPUTED_VALUE"""),2)</f>
        <v>2</v>
      </c>
    </row>
    <row r="3231" spans="1:5" ht="13">
      <c r="A3231" s="2" t="str">
        <f ca="1">IFERROR(__xludf.DUMMYFUNCTION("""COMPUTED_VALUE"""),"Gray, Max")</f>
        <v>Gray, Max</v>
      </c>
      <c r="B3231" s="2">
        <f ca="1">IFERROR(__xludf.DUMMYFUNCTION("""COMPUTED_VALUE"""),1)</f>
        <v>1</v>
      </c>
      <c r="C3231" s="7">
        <f ca="1">IFERROR(__xludf.DUMMYFUNCTION("""COMPUTED_VALUE"""),1)</f>
        <v>1</v>
      </c>
      <c r="D3231" s="8">
        <f ca="1">IFERROR(__xludf.DUMMYFUNCTION("""COMPUTED_VALUE"""),1)</f>
        <v>1</v>
      </c>
      <c r="E3231" s="2">
        <f ca="1">IFERROR(__xludf.DUMMYFUNCTION("""COMPUTED_VALUE"""),1)</f>
        <v>1</v>
      </c>
    </row>
    <row r="3232" spans="1:5" ht="13">
      <c r="A3232" s="2" t="str">
        <f ca="1">IFERROR(__xludf.DUMMYFUNCTION("""COMPUTED_VALUE"""),"Gray, Michael")</f>
        <v>Gray, Michael</v>
      </c>
      <c r="B3232" s="3">
        <f ca="1">IFERROR(__xludf.DUMMYFUNCTION("""COMPUTED_VALUE"""),1)</f>
        <v>1</v>
      </c>
      <c r="C3232" s="7">
        <f ca="1">IFERROR(__xludf.DUMMYFUNCTION("""COMPUTED_VALUE"""),1)</f>
        <v>1</v>
      </c>
      <c r="D3232" s="8">
        <f ca="1">IFERROR(__xludf.DUMMYFUNCTION("""COMPUTED_VALUE"""),1)</f>
        <v>1</v>
      </c>
      <c r="E3232" s="2">
        <f ca="1">IFERROR(__xludf.DUMMYFUNCTION("""COMPUTED_VALUE"""),1)</f>
        <v>1</v>
      </c>
    </row>
    <row r="3233" spans="1:5" ht="13">
      <c r="A3233" s="2" t="str">
        <f ca="1">IFERROR(__xludf.DUMMYFUNCTION("""COMPUTED_VALUE"""),"Gray, Peyton")</f>
        <v>Gray, Peyton</v>
      </c>
      <c r="B3233" s="3">
        <f ca="1">IFERROR(__xludf.DUMMYFUNCTION("""COMPUTED_VALUE"""),1)</f>
        <v>1</v>
      </c>
      <c r="C3233" s="7">
        <f ca="1">IFERROR(__xludf.DUMMYFUNCTION("""COMPUTED_VALUE"""),1)</f>
        <v>1</v>
      </c>
      <c r="D3233" s="8">
        <f ca="1">IFERROR(__xludf.DUMMYFUNCTION("""COMPUTED_VALUE"""),1)</f>
        <v>1</v>
      </c>
      <c r="E3233" s="2">
        <f ca="1">IFERROR(__xludf.DUMMYFUNCTION("""COMPUTED_VALUE"""),1)</f>
        <v>1</v>
      </c>
    </row>
    <row r="3234" spans="1:5" ht="13">
      <c r="A3234" s="2" t="str">
        <f ca="1">IFERROR(__xludf.DUMMYFUNCTION("""COMPUTED_VALUE"""),"Graybill, Jonathan")</f>
        <v>Graybill, Jonathan</v>
      </c>
      <c r="B3234" s="3">
        <f ca="1">IFERROR(__xludf.DUMMYFUNCTION("""COMPUTED_VALUE"""),1)</f>
        <v>1</v>
      </c>
      <c r="C3234" s="7">
        <f ca="1">IFERROR(__xludf.DUMMYFUNCTION("""COMPUTED_VALUE"""),1)</f>
        <v>1</v>
      </c>
      <c r="D3234" s="8">
        <f ca="1">IFERROR(__xludf.DUMMYFUNCTION("""COMPUTED_VALUE"""),1)</f>
        <v>1</v>
      </c>
      <c r="E3234" s="2">
        <f ca="1">IFERROR(__xludf.DUMMYFUNCTION("""COMPUTED_VALUE"""),1)</f>
        <v>1</v>
      </c>
    </row>
    <row r="3235" spans="1:5" ht="13">
      <c r="A3235" s="8" t="str">
        <f ca="1">IFERROR(__xludf.DUMMYFUNCTION("""COMPUTED_VALUE"""),"Grayson, Alan")</f>
        <v>Grayson, Alan</v>
      </c>
      <c r="B3235" s="3">
        <f ca="1">IFERROR(__xludf.DUMMYFUNCTION("""COMPUTED_VALUE"""),1)</f>
        <v>1</v>
      </c>
      <c r="C3235" s="7">
        <f ca="1">IFERROR(__xludf.DUMMYFUNCTION("""COMPUTED_VALUE"""),1)</f>
        <v>1</v>
      </c>
      <c r="D3235" s="8">
        <f ca="1">IFERROR(__xludf.DUMMYFUNCTION("""COMPUTED_VALUE"""),1)</f>
        <v>1</v>
      </c>
      <c r="E3235" s="2">
        <f ca="1">IFERROR(__xludf.DUMMYFUNCTION("""COMPUTED_VALUE"""),1)</f>
        <v>1</v>
      </c>
    </row>
    <row r="3236" spans="1:5" ht="13">
      <c r="A3236" s="2" t="str">
        <f ca="1">IFERROR(__xludf.DUMMYFUNCTION("""COMPUTED_VALUE"""),"Grayson, Martin")</f>
        <v>Grayson, Martin</v>
      </c>
      <c r="B3236" s="3">
        <f ca="1">IFERROR(__xludf.DUMMYFUNCTION("""COMPUTED_VALUE"""),1)</f>
        <v>1</v>
      </c>
      <c r="C3236" s="7">
        <f ca="1">IFERROR(__xludf.DUMMYFUNCTION("""COMPUTED_VALUE"""),1)</f>
        <v>1</v>
      </c>
      <c r="D3236" s="8">
        <f ca="1">IFERROR(__xludf.DUMMYFUNCTION("""COMPUTED_VALUE"""),1)</f>
        <v>1</v>
      </c>
      <c r="E3236" s="2">
        <f ca="1">IFERROR(__xludf.DUMMYFUNCTION("""COMPUTED_VALUE"""),1)</f>
        <v>1</v>
      </c>
    </row>
    <row r="3237" spans="1:5" ht="13">
      <c r="A3237" s="8" t="str">
        <f ca="1">IFERROR(__xludf.DUMMYFUNCTION("""COMPUTED_VALUE"""),"Grazioli, Giovanni Battista")</f>
        <v>Grazioli, Giovanni Battista</v>
      </c>
      <c r="B3237" s="3">
        <f ca="1">IFERROR(__xludf.DUMMYFUNCTION("""COMPUTED_VALUE"""),1)</f>
        <v>1</v>
      </c>
      <c r="C3237" s="7">
        <f ca="1">IFERROR(__xludf.DUMMYFUNCTION("""COMPUTED_VALUE"""),1)</f>
        <v>1</v>
      </c>
      <c r="D3237" s="8">
        <f ca="1">IFERROR(__xludf.DUMMYFUNCTION("""COMPUTED_VALUE"""),5)</f>
        <v>5</v>
      </c>
      <c r="E3237" s="2">
        <f ca="1">IFERROR(__xludf.DUMMYFUNCTION("""COMPUTED_VALUE"""),2)</f>
        <v>2</v>
      </c>
    </row>
    <row r="3238" spans="1:5" ht="13">
      <c r="A3238" s="2" t="str">
        <f ca="1">IFERROR(__xludf.DUMMYFUNCTION("""COMPUTED_VALUE"""),"Greaves, Thomas")</f>
        <v>Greaves, Thomas</v>
      </c>
      <c r="B3238" s="2">
        <f ca="1">IFERROR(__xludf.DUMMYFUNCTION("""COMPUTED_VALUE"""),1)</f>
        <v>1</v>
      </c>
      <c r="C3238" s="7">
        <f ca="1">IFERROR(__xludf.DUMMYFUNCTION("""COMPUTED_VALUE"""),1)</f>
        <v>1</v>
      </c>
      <c r="D3238" s="8">
        <f ca="1">IFERROR(__xludf.DUMMYFUNCTION("""COMPUTED_VALUE"""),5)</f>
        <v>5</v>
      </c>
      <c r="E3238" s="2">
        <f ca="1">IFERROR(__xludf.DUMMYFUNCTION("""COMPUTED_VALUE"""),2)</f>
        <v>2</v>
      </c>
    </row>
    <row r="3239" spans="1:5" ht="13">
      <c r="A3239" s="2" t="str">
        <f ca="1">IFERROR(__xludf.DUMMYFUNCTION("""COMPUTED_VALUE"""),"Grechaninov, Alexander")</f>
        <v>Grechaninov, Alexander</v>
      </c>
      <c r="B3239" s="2">
        <f ca="1">IFERROR(__xludf.DUMMYFUNCTION("""COMPUTED_VALUE"""),1)</f>
        <v>1</v>
      </c>
      <c r="C3239" s="7">
        <f ca="1">IFERROR(__xludf.DUMMYFUNCTION("""COMPUTED_VALUE"""),1)</f>
        <v>1</v>
      </c>
      <c r="D3239" s="8">
        <f ca="1">IFERROR(__xludf.DUMMYFUNCTION("""COMPUTED_VALUE"""),5)</f>
        <v>5</v>
      </c>
      <c r="E3239" s="2">
        <f ca="1">IFERROR(__xludf.DUMMYFUNCTION("""COMPUTED_VALUE"""),2)</f>
        <v>2</v>
      </c>
    </row>
    <row r="3240" spans="1:5" ht="13">
      <c r="A3240" s="2" t="str">
        <f ca="1">IFERROR(__xludf.DUMMYFUNCTION("""COMPUTED_VALUE"""),"Greco, Armando ""Buddy""")</f>
        <v>Greco, Armando "Buddy"</v>
      </c>
      <c r="B3240" s="2">
        <f ca="1">IFERROR(__xludf.DUMMYFUNCTION("""COMPUTED_VALUE"""),1)</f>
        <v>1</v>
      </c>
      <c r="C3240" s="7">
        <f ca="1">IFERROR(__xludf.DUMMYFUNCTION("""COMPUTED_VALUE"""),1)</f>
        <v>1</v>
      </c>
      <c r="D3240" s="8">
        <f ca="1">IFERROR(__xludf.DUMMYFUNCTION("""COMPUTED_VALUE"""),5)</f>
        <v>5</v>
      </c>
      <c r="E3240" s="2">
        <f ca="1">IFERROR(__xludf.DUMMYFUNCTION("""COMPUTED_VALUE"""),2)</f>
        <v>2</v>
      </c>
    </row>
    <row r="3241" spans="1:5" ht="13">
      <c r="A3241" s="8" t="str">
        <f ca="1">IFERROR(__xludf.DUMMYFUNCTION("""COMPUTED_VALUE"""),"Green, Brad")</f>
        <v>Green, Brad</v>
      </c>
      <c r="B3241" s="3">
        <f ca="1">IFERROR(__xludf.DUMMYFUNCTION("""COMPUTED_VALUE"""),1)</f>
        <v>1</v>
      </c>
      <c r="C3241" s="7">
        <f ca="1">IFERROR(__xludf.DUMMYFUNCTION("""COMPUTED_VALUE"""),1)</f>
        <v>1</v>
      </c>
      <c r="D3241" s="8">
        <f ca="1">IFERROR(__xludf.DUMMYFUNCTION("""COMPUTED_VALUE"""),1)</f>
        <v>1</v>
      </c>
      <c r="E3241" s="2">
        <f ca="1">IFERROR(__xludf.DUMMYFUNCTION("""COMPUTED_VALUE"""),1)</f>
        <v>1</v>
      </c>
    </row>
    <row r="3242" spans="1:5" ht="13">
      <c r="A3242" s="2" t="str">
        <f ca="1">IFERROR(__xludf.DUMMYFUNCTION("""COMPUTED_VALUE"""),"Green, Bud / Brown, Les / Homer, Ben")</f>
        <v>Green, Bud / Brown, Les / Homer, Ben</v>
      </c>
      <c r="B3242" s="3">
        <f ca="1">IFERROR(__xludf.DUMMYFUNCTION("""COMPUTED_VALUE"""),1)</f>
        <v>1</v>
      </c>
      <c r="C3242" s="7">
        <f ca="1">IFERROR(__xludf.DUMMYFUNCTION("""COMPUTED_VALUE"""),1)</f>
        <v>1</v>
      </c>
      <c r="D3242" s="8">
        <f ca="1">IFERROR(__xludf.DUMMYFUNCTION("""COMPUTED_VALUE"""),1)</f>
        <v>1</v>
      </c>
      <c r="E3242" s="2">
        <f ca="1">IFERROR(__xludf.DUMMYFUNCTION("""COMPUTED_VALUE"""),1)</f>
        <v>1</v>
      </c>
    </row>
    <row r="3243" spans="1:5" ht="13">
      <c r="A3243" s="2" t="str">
        <f ca="1">IFERROR(__xludf.DUMMYFUNCTION("""COMPUTED_VALUE"""),"Green, Bud / Stept, Sam")</f>
        <v>Green, Bud / Stept, Sam</v>
      </c>
      <c r="B3243" s="2">
        <f ca="1">IFERROR(__xludf.DUMMYFUNCTION("""COMPUTED_VALUE"""),1)</f>
        <v>1</v>
      </c>
      <c r="C3243" s="7">
        <f ca="1">IFERROR(__xludf.DUMMYFUNCTION("""COMPUTED_VALUE"""),1)</f>
        <v>1</v>
      </c>
      <c r="D3243" s="8">
        <f ca="1">IFERROR(__xludf.DUMMYFUNCTION("""COMPUTED_VALUE"""),5)</f>
        <v>5</v>
      </c>
      <c r="E3243" s="2">
        <f ca="1">IFERROR(__xludf.DUMMYFUNCTION("""COMPUTED_VALUE"""),2)</f>
        <v>2</v>
      </c>
    </row>
    <row r="3244" spans="1:5" ht="13">
      <c r="A3244" s="2" t="str">
        <f ca="1">IFERROR(__xludf.DUMMYFUNCTION("""COMPUTED_VALUE"""),"Green, Bud; Brown, Les; Homer, Ben")</f>
        <v>Green, Bud; Brown, Les; Homer, Ben</v>
      </c>
      <c r="B3244" s="3">
        <f ca="1">IFERROR(__xludf.DUMMYFUNCTION("""COMPUTED_VALUE"""),1)</f>
        <v>1</v>
      </c>
      <c r="C3244" s="7">
        <f ca="1">IFERROR(__xludf.DUMMYFUNCTION("""COMPUTED_VALUE"""),1)</f>
        <v>1</v>
      </c>
      <c r="D3244" s="8">
        <f ca="1">IFERROR(__xludf.DUMMYFUNCTION("""COMPUTED_VALUE"""),1)</f>
        <v>1</v>
      </c>
      <c r="E3244" s="2">
        <f ca="1">IFERROR(__xludf.DUMMYFUNCTION("""COMPUTED_VALUE"""),1)</f>
        <v>1</v>
      </c>
    </row>
    <row r="3245" spans="1:5" ht="13">
      <c r="A3245" s="2" t="str">
        <f ca="1">IFERROR(__xludf.DUMMYFUNCTION("""COMPUTED_VALUE"""),"Green, Christopher Kyle")</f>
        <v>Green, Christopher Kyle</v>
      </c>
      <c r="B3245" s="3">
        <f ca="1">IFERROR(__xludf.DUMMYFUNCTION("""COMPUTED_VALUE"""),1)</f>
        <v>1</v>
      </c>
      <c r="C3245" s="7">
        <f ca="1">IFERROR(__xludf.DUMMYFUNCTION("""COMPUTED_VALUE"""),1)</f>
        <v>1</v>
      </c>
      <c r="D3245" s="8">
        <f ca="1">IFERROR(__xludf.DUMMYFUNCTION("""COMPUTED_VALUE"""),1)</f>
        <v>1</v>
      </c>
      <c r="E3245" s="2">
        <f ca="1">IFERROR(__xludf.DUMMYFUNCTION("""COMPUTED_VALUE"""),1)</f>
        <v>1</v>
      </c>
    </row>
    <row r="3246" spans="1:5" ht="13">
      <c r="A3246" s="2" t="str">
        <f ca="1">IFERROR(__xludf.DUMMYFUNCTION("""COMPUTED_VALUE"""),"Green, Ed")</f>
        <v>Green, Ed</v>
      </c>
      <c r="B3246" s="3">
        <f ca="1">IFERROR(__xludf.DUMMYFUNCTION("""COMPUTED_VALUE"""),1)</f>
        <v>1</v>
      </c>
      <c r="C3246" s="7">
        <f ca="1">IFERROR(__xludf.DUMMYFUNCTION("""COMPUTED_VALUE"""),1)</f>
        <v>1</v>
      </c>
      <c r="D3246" s="8">
        <f ca="1">IFERROR(__xludf.DUMMYFUNCTION("""COMPUTED_VALUE"""),1)</f>
        <v>1</v>
      </c>
      <c r="E3246" s="2">
        <f ca="1">IFERROR(__xludf.DUMMYFUNCTION("""COMPUTED_VALUE"""),1)</f>
        <v>1</v>
      </c>
    </row>
    <row r="3247" spans="1:5" ht="13">
      <c r="A3247" s="2" t="str">
        <f ca="1">IFERROR(__xludf.DUMMYFUNCTION("""COMPUTED_VALUE"""),"Green, Gary")</f>
        <v>Green, Gary</v>
      </c>
      <c r="B3247" s="3">
        <f ca="1">IFERROR(__xludf.DUMMYFUNCTION("""COMPUTED_VALUE"""),1)</f>
        <v>1</v>
      </c>
      <c r="C3247" s="7">
        <f ca="1">IFERROR(__xludf.DUMMYFUNCTION("""COMPUTED_VALUE"""),1)</f>
        <v>1</v>
      </c>
      <c r="D3247" s="8">
        <f ca="1">IFERROR(__xludf.DUMMYFUNCTION("""COMPUTED_VALUE"""),1)</f>
        <v>1</v>
      </c>
      <c r="E3247" s="2">
        <f ca="1">IFERROR(__xludf.DUMMYFUNCTION("""COMPUTED_VALUE"""),1)</f>
        <v>1</v>
      </c>
    </row>
    <row r="3248" spans="1:5" ht="13">
      <c r="A3248" s="2" t="str">
        <f ca="1">IFERROR(__xludf.DUMMYFUNCTION("""COMPUTED_VALUE"""),"Green, George Hamilton")</f>
        <v>Green, George Hamilton</v>
      </c>
      <c r="B3248" s="3">
        <f ca="1">IFERROR(__xludf.DUMMYFUNCTION("""COMPUTED_VALUE"""),1)</f>
        <v>1</v>
      </c>
      <c r="C3248" s="7">
        <f ca="1">IFERROR(__xludf.DUMMYFUNCTION("""COMPUTED_VALUE"""),1)</f>
        <v>1</v>
      </c>
      <c r="D3248" s="8">
        <f ca="1">IFERROR(__xludf.DUMMYFUNCTION("""COMPUTED_VALUE"""),5)</f>
        <v>5</v>
      </c>
      <c r="E3248" s="2">
        <f ca="1">IFERROR(__xludf.DUMMYFUNCTION("""COMPUTED_VALUE"""),2)</f>
        <v>2</v>
      </c>
    </row>
    <row r="3249" spans="1:5" ht="13">
      <c r="A3249" s="2" t="str">
        <f ca="1">IFERROR(__xludf.DUMMYFUNCTION("""COMPUTED_VALUE"""),"Green, Joe")</f>
        <v>Green, Joe</v>
      </c>
      <c r="B3249" s="3">
        <f ca="1">IFERROR(__xludf.DUMMYFUNCTION("""COMPUTED_VALUE"""),1)</f>
        <v>1</v>
      </c>
      <c r="C3249" s="7">
        <f ca="1">IFERROR(__xludf.DUMMYFUNCTION("""COMPUTED_VALUE"""),1)</f>
        <v>1</v>
      </c>
      <c r="D3249" s="8">
        <f ca="1">IFERROR(__xludf.DUMMYFUNCTION("""COMPUTED_VALUE"""),5)</f>
        <v>5</v>
      </c>
      <c r="E3249" s="2">
        <f ca="1">IFERROR(__xludf.DUMMYFUNCTION("""COMPUTED_VALUE"""),2)</f>
        <v>2</v>
      </c>
    </row>
    <row r="3250" spans="1:5" ht="13">
      <c r="A3250" s="2" t="str">
        <f ca="1">IFERROR(__xludf.DUMMYFUNCTION("""COMPUTED_VALUE"""),"Green, John")</f>
        <v>Green, John</v>
      </c>
      <c r="B3250" s="3">
        <f ca="1">IFERROR(__xludf.DUMMYFUNCTION("""COMPUTED_VALUE"""),1)</f>
        <v>1</v>
      </c>
      <c r="C3250" s="7">
        <f ca="1">IFERROR(__xludf.DUMMYFUNCTION("""COMPUTED_VALUE"""),1)</f>
        <v>1</v>
      </c>
      <c r="D3250" s="8">
        <f ca="1">IFERROR(__xludf.DUMMYFUNCTION("""COMPUTED_VALUE"""),5)</f>
        <v>5</v>
      </c>
      <c r="E3250" s="2">
        <f ca="1">IFERROR(__xludf.DUMMYFUNCTION("""COMPUTED_VALUE"""),2)</f>
        <v>2</v>
      </c>
    </row>
    <row r="3251" spans="1:5" ht="13">
      <c r="A3251" s="2" t="str">
        <f ca="1">IFERROR(__xludf.DUMMYFUNCTION("""COMPUTED_VALUE"""),"Green, John / Heyman, Edward / Sour, Robert")</f>
        <v>Green, John / Heyman, Edward / Sour, Robert</v>
      </c>
      <c r="B3251" s="3">
        <f ca="1">IFERROR(__xludf.DUMMYFUNCTION("""COMPUTED_VALUE"""),1)</f>
        <v>1</v>
      </c>
      <c r="C3251" s="7">
        <f ca="1">IFERROR(__xludf.DUMMYFUNCTION("""COMPUTED_VALUE"""),1)</f>
        <v>1</v>
      </c>
      <c r="D3251" s="8">
        <f ca="1">IFERROR(__xludf.DUMMYFUNCTION("""COMPUTED_VALUE"""),5)</f>
        <v>5</v>
      </c>
      <c r="E3251" s="2">
        <f ca="1">IFERROR(__xludf.DUMMYFUNCTION("""COMPUTED_VALUE"""),2)</f>
        <v>2</v>
      </c>
    </row>
    <row r="3252" spans="1:5" ht="13">
      <c r="A3252" s="2" t="str">
        <f ca="1">IFERROR(__xludf.DUMMYFUNCTION("""COMPUTED_VALUE"""),"Green, Johnny / Lombardo, Carmen")</f>
        <v>Green, Johnny / Lombardo, Carmen</v>
      </c>
      <c r="B3252" s="2">
        <f ca="1">IFERROR(__xludf.DUMMYFUNCTION("""COMPUTED_VALUE"""),1)</f>
        <v>1</v>
      </c>
      <c r="C3252" s="7">
        <f ca="1">IFERROR(__xludf.DUMMYFUNCTION("""COMPUTED_VALUE"""),1)</f>
        <v>1</v>
      </c>
      <c r="D3252" s="8">
        <f ca="1">IFERROR(__xludf.DUMMYFUNCTION("""COMPUTED_VALUE"""),5)</f>
        <v>5</v>
      </c>
      <c r="E3252" s="2">
        <f ca="1">IFERROR(__xludf.DUMMYFUNCTION("""COMPUTED_VALUE"""),2)</f>
        <v>2</v>
      </c>
    </row>
    <row r="3253" spans="1:5" ht="13">
      <c r="A3253" s="2" t="str">
        <f ca="1">IFERROR(__xludf.DUMMYFUNCTION("""COMPUTED_VALUE"""),"Green, Kyle")</f>
        <v>Green, Kyle</v>
      </c>
      <c r="B3253" s="3">
        <f ca="1">IFERROR(__xludf.DUMMYFUNCTION("""COMPUTED_VALUE"""),1)</f>
        <v>1</v>
      </c>
      <c r="C3253" s="7">
        <f ca="1">IFERROR(__xludf.DUMMYFUNCTION("""COMPUTED_VALUE"""),1)</f>
        <v>1</v>
      </c>
      <c r="D3253" s="8">
        <f ca="1">IFERROR(__xludf.DUMMYFUNCTION("""COMPUTED_VALUE"""),1)</f>
        <v>1</v>
      </c>
      <c r="E3253" s="2">
        <f ca="1">IFERROR(__xludf.DUMMYFUNCTION("""COMPUTED_VALUE"""),1)</f>
        <v>1</v>
      </c>
    </row>
    <row r="3254" spans="1:5" ht="13">
      <c r="A3254" s="2" t="str">
        <f ca="1">IFERROR(__xludf.DUMMYFUNCTION("""COMPUTED_VALUE"""),"Green, Michael")</f>
        <v>Green, Michael</v>
      </c>
      <c r="B3254" s="2">
        <f ca="1">IFERROR(__xludf.DUMMYFUNCTION("""COMPUTED_VALUE"""),1)</f>
        <v>1</v>
      </c>
      <c r="C3254" s="7">
        <f ca="1">IFERROR(__xludf.DUMMYFUNCTION("""COMPUTED_VALUE"""),1)</f>
        <v>1</v>
      </c>
      <c r="D3254" s="8">
        <f ca="1">IFERROR(__xludf.DUMMYFUNCTION("""COMPUTED_VALUE"""),1)</f>
        <v>1</v>
      </c>
      <c r="E3254" s="2">
        <f ca="1">IFERROR(__xludf.DUMMYFUNCTION("""COMPUTED_VALUE"""),1)</f>
        <v>1</v>
      </c>
    </row>
    <row r="3255" spans="1:5" ht="13">
      <c r="A3255" s="8" t="str">
        <f ca="1">IFERROR(__xludf.DUMMYFUNCTION("""COMPUTED_VALUE"""),"Green, W.")</f>
        <v>Green, W.</v>
      </c>
      <c r="B3255" s="3">
        <f ca="1">IFERROR(__xludf.DUMMYFUNCTION("""COMPUTED_VALUE"""),1)</f>
        <v>1</v>
      </c>
      <c r="C3255" s="7">
        <f ca="1">IFERROR(__xludf.DUMMYFUNCTION("""COMPUTED_VALUE"""),1)</f>
        <v>1</v>
      </c>
      <c r="D3255" s="8">
        <f ca="1">IFERROR(__xludf.DUMMYFUNCTION("""COMPUTED_VALUE"""),5)</f>
        <v>5</v>
      </c>
      <c r="E3255" s="2">
        <f ca="1">IFERROR(__xludf.DUMMYFUNCTION("""COMPUTED_VALUE"""),2)</f>
        <v>2</v>
      </c>
    </row>
    <row r="3256" spans="1:5" ht="13">
      <c r="A3256" s="2" t="str">
        <f ca="1">IFERROR(__xludf.DUMMYFUNCTION("""COMPUTED_VALUE"""),"Greenberg, Noah")</f>
        <v>Greenberg, Noah</v>
      </c>
      <c r="B3256" s="2">
        <f ca="1">IFERROR(__xludf.DUMMYFUNCTION("""COMPUTED_VALUE"""),1)</f>
        <v>1</v>
      </c>
      <c r="C3256" s="2">
        <f ca="1">IFERROR(__xludf.DUMMYFUNCTION("""COMPUTED_VALUE"""),1)</f>
        <v>1</v>
      </c>
      <c r="D3256" s="8">
        <f ca="1">IFERROR(__xludf.DUMMYFUNCTION("""COMPUTED_VALUE"""),5)</f>
        <v>5</v>
      </c>
      <c r="E3256" s="2">
        <f ca="1">IFERROR(__xludf.DUMMYFUNCTION("""COMPUTED_VALUE"""),2)</f>
        <v>2</v>
      </c>
    </row>
    <row r="3257" spans="1:5" ht="13">
      <c r="A3257" s="2" t="str">
        <f ca="1">IFERROR(__xludf.DUMMYFUNCTION("""COMPUTED_VALUE"""),"Greene, Maurice")</f>
        <v>Greene, Maurice</v>
      </c>
      <c r="B3257" s="3">
        <f ca="1">IFERROR(__xludf.DUMMYFUNCTION("""COMPUTED_VALUE"""),1)</f>
        <v>1</v>
      </c>
      <c r="C3257" s="7">
        <f ca="1">IFERROR(__xludf.DUMMYFUNCTION("""COMPUTED_VALUE"""),1)</f>
        <v>1</v>
      </c>
      <c r="D3257" s="8">
        <f ca="1">IFERROR(__xludf.DUMMYFUNCTION("""COMPUTED_VALUE"""),5)</f>
        <v>5</v>
      </c>
      <c r="E3257" s="2">
        <f ca="1">IFERROR(__xludf.DUMMYFUNCTION("""COMPUTED_VALUE"""),2)</f>
        <v>2</v>
      </c>
    </row>
    <row r="3258" spans="1:5" ht="13">
      <c r="A3258" s="8" t="str">
        <f ca="1">IFERROR(__xludf.DUMMYFUNCTION("""COMPUTED_VALUE"""),"Greenlee, Robert")</f>
        <v>Greenlee, Robert</v>
      </c>
      <c r="B3258" s="3">
        <f ca="1">IFERROR(__xludf.DUMMYFUNCTION("""COMPUTED_VALUE"""),1)</f>
        <v>1</v>
      </c>
      <c r="C3258" s="7">
        <f ca="1">IFERROR(__xludf.DUMMYFUNCTION("""COMPUTED_VALUE"""),1)</f>
        <v>1</v>
      </c>
      <c r="D3258" s="8">
        <f ca="1">IFERROR(__xludf.DUMMYFUNCTION("""COMPUTED_VALUE"""),1)</f>
        <v>1</v>
      </c>
      <c r="E3258" s="2">
        <f ca="1">IFERROR(__xludf.DUMMYFUNCTION("""COMPUTED_VALUE"""),1)</f>
        <v>1</v>
      </c>
    </row>
    <row r="3259" spans="1:5" ht="13">
      <c r="A3259" s="2" t="str">
        <f ca="1">IFERROR(__xludf.DUMMYFUNCTION("""COMPUTED_VALUE"""),"Greenly, Mike / Papoulis, Jim")</f>
        <v>Greenly, Mike / Papoulis, Jim</v>
      </c>
      <c r="B3259" s="3">
        <f ca="1">IFERROR(__xludf.DUMMYFUNCTION("""COMPUTED_VALUE"""),1)</f>
        <v>1</v>
      </c>
      <c r="C3259" s="7">
        <f ca="1">IFERROR(__xludf.DUMMYFUNCTION("""COMPUTED_VALUE"""),1)</f>
        <v>1</v>
      </c>
      <c r="D3259" s="8">
        <f ca="1">IFERROR(__xludf.DUMMYFUNCTION("""COMPUTED_VALUE"""),1)</f>
        <v>1</v>
      </c>
      <c r="E3259" s="2">
        <f ca="1">IFERROR(__xludf.DUMMYFUNCTION("""COMPUTED_VALUE"""),1)</f>
        <v>1</v>
      </c>
    </row>
    <row r="3260" spans="1:5" ht="13">
      <c r="A3260" s="2" t="str">
        <f ca="1">IFERROR(__xludf.DUMMYFUNCTION("""COMPUTED_VALUE"""),"Greenstein, Judd")</f>
        <v>Greenstein, Judd</v>
      </c>
      <c r="B3260" s="3">
        <f ca="1">IFERROR(__xludf.DUMMYFUNCTION("""COMPUTED_VALUE"""),1)</f>
        <v>1</v>
      </c>
      <c r="C3260" s="7">
        <f ca="1">IFERROR(__xludf.DUMMYFUNCTION("""COMPUTED_VALUE"""),1)</f>
        <v>1</v>
      </c>
      <c r="D3260" s="8">
        <f ca="1">IFERROR(__xludf.DUMMYFUNCTION("""COMPUTED_VALUE"""),1)</f>
        <v>1</v>
      </c>
      <c r="E3260" s="2">
        <f ca="1">IFERROR(__xludf.DUMMYFUNCTION("""COMPUTED_VALUE"""),1)</f>
        <v>1</v>
      </c>
    </row>
    <row r="3261" spans="1:5" ht="13">
      <c r="A3261" s="2" t="str">
        <f ca="1">IFERROR(__xludf.DUMMYFUNCTION("""COMPUTED_VALUE"""),"Greenwood, Johnny")</f>
        <v>Greenwood, Johnny</v>
      </c>
      <c r="B3261" s="3">
        <f ca="1">IFERROR(__xludf.DUMMYFUNCTION("""COMPUTED_VALUE"""),1)</f>
        <v>1</v>
      </c>
      <c r="C3261" s="7">
        <f ca="1">IFERROR(__xludf.DUMMYFUNCTION("""COMPUTED_VALUE"""),1)</f>
        <v>1</v>
      </c>
      <c r="D3261" s="8">
        <f ca="1">IFERROR(__xludf.DUMMYFUNCTION("""COMPUTED_VALUE"""),1)</f>
        <v>1</v>
      </c>
      <c r="E3261" s="2">
        <f ca="1">IFERROR(__xludf.DUMMYFUNCTION("""COMPUTED_VALUE"""),1)</f>
        <v>1</v>
      </c>
    </row>
    <row r="3262" spans="1:5" ht="13">
      <c r="A3262" s="2" t="str">
        <f ca="1">IFERROR(__xludf.DUMMYFUNCTION("""COMPUTED_VALUE"""),"Greenwood, Jonny")</f>
        <v>Greenwood, Jonny</v>
      </c>
      <c r="B3262" s="3">
        <f ca="1">IFERROR(__xludf.DUMMYFUNCTION("""COMPUTED_VALUE"""),1)</f>
        <v>1</v>
      </c>
      <c r="C3262" s="7">
        <f ca="1">IFERROR(__xludf.DUMMYFUNCTION("""COMPUTED_VALUE"""),1)</f>
        <v>1</v>
      </c>
      <c r="D3262" s="8">
        <f ca="1">IFERROR(__xludf.DUMMYFUNCTION("""COMPUTED_VALUE"""),1)</f>
        <v>1</v>
      </c>
      <c r="E3262" s="2">
        <f ca="1">IFERROR(__xludf.DUMMYFUNCTION("""COMPUTED_VALUE"""),1)</f>
        <v>1</v>
      </c>
    </row>
    <row r="3263" spans="1:5" ht="13">
      <c r="A3263" s="2" t="str">
        <f ca="1">IFERROR(__xludf.DUMMYFUNCTION("""COMPUTED_VALUE"""),"Greer, Bryan L.")</f>
        <v>Greer, Bryan L.</v>
      </c>
      <c r="B3263" s="3">
        <f ca="1">IFERROR(__xludf.DUMMYFUNCTION("""COMPUTED_VALUE"""),1)</f>
        <v>1</v>
      </c>
      <c r="C3263" s="7">
        <f ca="1">IFERROR(__xludf.DUMMYFUNCTION("""COMPUTED_VALUE"""),1)</f>
        <v>1</v>
      </c>
      <c r="D3263" s="8">
        <f ca="1">IFERROR(__xludf.DUMMYFUNCTION("""COMPUTED_VALUE"""),1)</f>
        <v>1</v>
      </c>
      <c r="E3263" s="2">
        <f ca="1">IFERROR(__xludf.DUMMYFUNCTION("""COMPUTED_VALUE"""),1)</f>
        <v>1</v>
      </c>
    </row>
    <row r="3264" spans="1:5" ht="13">
      <c r="A3264" s="2" t="str">
        <f ca="1">IFERROR(__xludf.DUMMYFUNCTION("""COMPUTED_VALUE"""),"Greer, Jesse")</f>
        <v>Greer, Jesse</v>
      </c>
      <c r="B3264" s="3">
        <f ca="1">IFERROR(__xludf.DUMMYFUNCTION("""COMPUTED_VALUE"""),1)</f>
        <v>1</v>
      </c>
      <c r="C3264" s="7">
        <f ca="1">IFERROR(__xludf.DUMMYFUNCTION("""COMPUTED_VALUE"""),1)</f>
        <v>1</v>
      </c>
      <c r="D3264" s="8">
        <f ca="1">IFERROR(__xludf.DUMMYFUNCTION("""COMPUTED_VALUE"""),1)</f>
        <v>1</v>
      </c>
      <c r="E3264" s="2">
        <f ca="1">IFERROR(__xludf.DUMMYFUNCTION("""COMPUTED_VALUE"""),1)</f>
        <v>1</v>
      </c>
    </row>
    <row r="3265" spans="1:5" ht="13">
      <c r="A3265" s="2" t="str">
        <f ca="1">IFERROR(__xludf.DUMMYFUNCTION("""COMPUTED_VALUE"""),"Greer, Jesse / Klages, Raymond")</f>
        <v>Greer, Jesse / Klages, Raymond</v>
      </c>
      <c r="B3265" s="2">
        <f ca="1">IFERROR(__xludf.DUMMYFUNCTION("""COMPUTED_VALUE"""),1)</f>
        <v>1</v>
      </c>
      <c r="C3265" s="7">
        <f ca="1">IFERROR(__xludf.DUMMYFUNCTION("""COMPUTED_VALUE"""),1)</f>
        <v>1</v>
      </c>
      <c r="D3265" s="8">
        <f ca="1">IFERROR(__xludf.DUMMYFUNCTION("""COMPUTED_VALUE"""),5)</f>
        <v>5</v>
      </c>
      <c r="E3265" s="2">
        <f ca="1">IFERROR(__xludf.DUMMYFUNCTION("""COMPUTED_VALUE"""),2)</f>
        <v>2</v>
      </c>
    </row>
    <row r="3266" spans="1:5" ht="13">
      <c r="A3266" s="2" t="str">
        <f ca="1">IFERROR(__xludf.DUMMYFUNCTION("""COMPUTED_VALUE"""),"Gregg, J.S.")</f>
        <v>Gregg, J.S.</v>
      </c>
      <c r="B3266" s="2">
        <f ca="1">IFERROR(__xludf.DUMMYFUNCTION("""COMPUTED_VALUE"""),1)</f>
        <v>1</v>
      </c>
      <c r="C3266" s="7">
        <f ca="1">IFERROR(__xludf.DUMMYFUNCTION("""COMPUTED_VALUE"""),1)</f>
        <v>1</v>
      </c>
      <c r="D3266" s="8">
        <f ca="1">IFERROR(__xludf.DUMMYFUNCTION("""COMPUTED_VALUE"""),1)</f>
        <v>1</v>
      </c>
      <c r="E3266" s="2">
        <f ca="1">IFERROR(__xludf.DUMMYFUNCTION("""COMPUTED_VALUE"""),1)</f>
        <v>1</v>
      </c>
    </row>
    <row r="3267" spans="1:5" ht="13">
      <c r="A3267" s="2" t="str">
        <f ca="1">IFERROR(__xludf.DUMMYFUNCTION("""COMPUTED_VALUE"""),"Gregg, Jeremiah")</f>
        <v>Gregg, Jeremiah</v>
      </c>
      <c r="B3267" s="3">
        <f ca="1">IFERROR(__xludf.DUMMYFUNCTION("""COMPUTED_VALUE"""),1)</f>
        <v>1</v>
      </c>
      <c r="C3267" s="7">
        <f ca="1">IFERROR(__xludf.DUMMYFUNCTION("""COMPUTED_VALUE"""),1)</f>
        <v>1</v>
      </c>
      <c r="D3267" s="8">
        <f ca="1">IFERROR(__xludf.DUMMYFUNCTION("""COMPUTED_VALUE"""),1)</f>
        <v>1</v>
      </c>
      <c r="E3267" s="2">
        <f ca="1">IFERROR(__xludf.DUMMYFUNCTION("""COMPUTED_VALUE"""),1)</f>
        <v>1</v>
      </c>
    </row>
    <row r="3268" spans="1:5" ht="13">
      <c r="A3268" s="2" t="str">
        <f ca="1">IFERROR(__xludf.DUMMYFUNCTION("""COMPUTED_VALUE"""),"Gregor, Christian / Trusler, Ivan")</f>
        <v>Gregor, Christian / Trusler, Ivan</v>
      </c>
      <c r="B3268" s="3">
        <f ca="1">IFERROR(__xludf.DUMMYFUNCTION("""COMPUTED_VALUE"""),1)</f>
        <v>1</v>
      </c>
      <c r="C3268" s="7">
        <f ca="1">IFERROR(__xludf.DUMMYFUNCTION("""COMPUTED_VALUE"""),1)</f>
        <v>1</v>
      </c>
      <c r="D3268" s="8">
        <f ca="1">IFERROR(__xludf.DUMMYFUNCTION("""COMPUTED_VALUE"""),5)</f>
        <v>5</v>
      </c>
      <c r="E3268" s="2">
        <f ca="1">IFERROR(__xludf.DUMMYFUNCTION("""COMPUTED_VALUE"""),2)</f>
        <v>2</v>
      </c>
    </row>
    <row r="3269" spans="1:5" ht="13">
      <c r="A3269" s="8" t="str">
        <f ca="1">IFERROR(__xludf.DUMMYFUNCTION("""COMPUTED_VALUE"""),"Gregorio, Joseph")</f>
        <v>Gregorio, Joseph</v>
      </c>
      <c r="B3269" s="3">
        <f ca="1">IFERROR(__xludf.DUMMYFUNCTION("""COMPUTED_VALUE"""),1)</f>
        <v>1</v>
      </c>
      <c r="C3269" s="7">
        <f ca="1">IFERROR(__xludf.DUMMYFUNCTION("""COMPUTED_VALUE"""),1)</f>
        <v>1</v>
      </c>
      <c r="D3269" s="8">
        <f ca="1">IFERROR(__xludf.DUMMYFUNCTION("""COMPUTED_VALUE"""),1)</f>
        <v>1</v>
      </c>
      <c r="E3269" s="2">
        <f ca="1">IFERROR(__xludf.DUMMYFUNCTION("""COMPUTED_VALUE"""),1)</f>
        <v>1</v>
      </c>
    </row>
    <row r="3270" spans="1:5" ht="13">
      <c r="A3270" s="2" t="str">
        <f ca="1">IFERROR(__xludf.DUMMYFUNCTION("""COMPUTED_VALUE"""),"Gregory, Hunter")</f>
        <v>Gregory, Hunter</v>
      </c>
      <c r="B3270" s="3">
        <f ca="1">IFERROR(__xludf.DUMMYFUNCTION("""COMPUTED_VALUE"""),1)</f>
        <v>1</v>
      </c>
      <c r="C3270" s="7">
        <f ca="1">IFERROR(__xludf.DUMMYFUNCTION("""COMPUTED_VALUE"""),1)</f>
        <v>1</v>
      </c>
      <c r="D3270" s="8">
        <f ca="1">IFERROR(__xludf.DUMMYFUNCTION("""COMPUTED_VALUE"""),1)</f>
        <v>1</v>
      </c>
      <c r="E3270" s="2">
        <f ca="1">IFERROR(__xludf.DUMMYFUNCTION("""COMPUTED_VALUE"""),1)</f>
        <v>1</v>
      </c>
    </row>
    <row r="3271" spans="1:5" ht="13">
      <c r="A3271" s="2" t="str">
        <f ca="1">IFERROR(__xludf.DUMMYFUNCTION("""COMPUTED_VALUE"""),"Gregory, Tim")</f>
        <v>Gregory, Tim</v>
      </c>
      <c r="B3271" s="3">
        <f ca="1">IFERROR(__xludf.DUMMYFUNCTION("""COMPUTED_VALUE"""),1)</f>
        <v>1</v>
      </c>
      <c r="C3271" s="7">
        <f ca="1">IFERROR(__xludf.DUMMYFUNCTION("""COMPUTED_VALUE"""),1)</f>
        <v>1</v>
      </c>
      <c r="D3271" s="8">
        <f ca="1">IFERROR(__xludf.DUMMYFUNCTION("""COMPUTED_VALUE"""),1)</f>
        <v>1</v>
      </c>
      <c r="E3271" s="2">
        <f ca="1">IFERROR(__xludf.DUMMYFUNCTION("""COMPUTED_VALUE"""),1)</f>
        <v>1</v>
      </c>
    </row>
    <row r="3272" spans="1:5" ht="13">
      <c r="A3272" s="8" t="str">
        <f ca="1">IFERROR(__xludf.DUMMYFUNCTION("""COMPUTED_VALUE"""),"Gregson-Williams, Harry")</f>
        <v>Gregson-Williams, Harry</v>
      </c>
      <c r="B3272" s="3">
        <f ca="1">IFERROR(__xludf.DUMMYFUNCTION("""COMPUTED_VALUE"""),1)</f>
        <v>1</v>
      </c>
      <c r="C3272" s="7">
        <f ca="1">IFERROR(__xludf.DUMMYFUNCTION("""COMPUTED_VALUE"""),1)</f>
        <v>1</v>
      </c>
      <c r="D3272" s="8">
        <f ca="1">IFERROR(__xludf.DUMMYFUNCTION("""COMPUTED_VALUE"""),1)</f>
        <v>1</v>
      </c>
      <c r="E3272" s="2">
        <f ca="1">IFERROR(__xludf.DUMMYFUNCTION("""COMPUTED_VALUE"""),1)</f>
        <v>1</v>
      </c>
    </row>
    <row r="3273" spans="1:5" ht="13">
      <c r="A3273" s="2" t="str">
        <f ca="1">IFERROR(__xludf.DUMMYFUNCTION("""COMPUTED_VALUE"""),"Gregson-Williams, Rupert")</f>
        <v>Gregson-Williams, Rupert</v>
      </c>
      <c r="B3273" s="3">
        <f ca="1">IFERROR(__xludf.DUMMYFUNCTION("""COMPUTED_VALUE"""),1)</f>
        <v>1</v>
      </c>
      <c r="C3273" s="7">
        <f ca="1">IFERROR(__xludf.DUMMYFUNCTION("""COMPUTED_VALUE"""),1)</f>
        <v>1</v>
      </c>
      <c r="D3273" s="8">
        <f ca="1">IFERROR(__xludf.DUMMYFUNCTION("""COMPUTED_VALUE"""),1)</f>
        <v>1</v>
      </c>
      <c r="E3273" s="2">
        <f ca="1">IFERROR(__xludf.DUMMYFUNCTION("""COMPUTED_VALUE"""),1)</f>
        <v>1</v>
      </c>
    </row>
    <row r="3274" spans="1:5" ht="13">
      <c r="A3274" s="2" t="str">
        <f ca="1">IFERROR(__xludf.DUMMYFUNCTION("""COMPUTED_VALUE"""),"Gregson, Edward")</f>
        <v>Gregson, Edward</v>
      </c>
      <c r="B3274" s="3">
        <f ca="1">IFERROR(__xludf.DUMMYFUNCTION("""COMPUTED_VALUE"""),1)</f>
        <v>1</v>
      </c>
      <c r="C3274" s="7">
        <f ca="1">IFERROR(__xludf.DUMMYFUNCTION("""COMPUTED_VALUE"""),1)</f>
        <v>1</v>
      </c>
      <c r="D3274" s="8">
        <f ca="1">IFERROR(__xludf.DUMMYFUNCTION("""COMPUTED_VALUE"""),1)</f>
        <v>1</v>
      </c>
      <c r="E3274" s="2">
        <f ca="1">IFERROR(__xludf.DUMMYFUNCTION("""COMPUTED_VALUE"""),1)</f>
        <v>1</v>
      </c>
    </row>
    <row r="3275" spans="1:5" ht="13">
      <c r="A3275" s="2" t="str">
        <f ca="1">IFERROR(__xludf.DUMMYFUNCTION("""COMPUTED_VALUE"""),"Gregson, Stephen")</f>
        <v>Gregson, Stephen</v>
      </c>
      <c r="B3275" s="3">
        <f ca="1">IFERROR(__xludf.DUMMYFUNCTION("""COMPUTED_VALUE"""),1)</f>
        <v>1</v>
      </c>
      <c r="C3275" s="7">
        <f ca="1">IFERROR(__xludf.DUMMYFUNCTION("""COMPUTED_VALUE"""),1)</f>
        <v>1</v>
      </c>
      <c r="D3275" s="8">
        <f ca="1">IFERROR(__xludf.DUMMYFUNCTION("""COMPUTED_VALUE"""),1)</f>
        <v>1</v>
      </c>
      <c r="E3275" s="2">
        <f ca="1">IFERROR(__xludf.DUMMYFUNCTION("""COMPUTED_VALUE"""),1)</f>
        <v>1</v>
      </c>
    </row>
    <row r="3276" spans="1:5" ht="13">
      <c r="A3276" s="2" t="str">
        <f ca="1">IFERROR(__xludf.DUMMYFUNCTION("""COMPUTED_VALUE"""),"Greissle, Felix")</f>
        <v>Greissle, Felix</v>
      </c>
      <c r="B3276" s="3">
        <f ca="1">IFERROR(__xludf.DUMMYFUNCTION("""COMPUTED_VALUE"""),1)</f>
        <v>1</v>
      </c>
      <c r="C3276" s="7">
        <f ca="1">IFERROR(__xludf.DUMMYFUNCTION("""COMPUTED_VALUE"""),1)</f>
        <v>1</v>
      </c>
      <c r="D3276" s="8">
        <f ca="1">IFERROR(__xludf.DUMMYFUNCTION("""COMPUTED_VALUE"""),5)</f>
        <v>5</v>
      </c>
      <c r="E3276" s="2">
        <f ca="1">IFERROR(__xludf.DUMMYFUNCTION("""COMPUTED_VALUE"""),2)</f>
        <v>2</v>
      </c>
    </row>
    <row r="3277" spans="1:5" ht="13">
      <c r="A3277" s="2" t="str">
        <f ca="1">IFERROR(__xludf.DUMMYFUNCTION("""COMPUTED_VALUE"""),"Grelle, Jordan")</f>
        <v>Grelle, Jordan</v>
      </c>
      <c r="B3277" s="3">
        <f ca="1">IFERROR(__xludf.DUMMYFUNCTION("""COMPUTED_VALUE"""),1)</f>
        <v>1</v>
      </c>
      <c r="C3277" s="7">
        <f ca="1">IFERROR(__xludf.DUMMYFUNCTION("""COMPUTED_VALUE"""),1)</f>
        <v>1</v>
      </c>
      <c r="D3277" s="8">
        <f ca="1">IFERROR(__xludf.DUMMYFUNCTION("""COMPUTED_VALUE"""),1)</f>
        <v>1</v>
      </c>
      <c r="E3277" s="2">
        <f ca="1">IFERROR(__xludf.DUMMYFUNCTION("""COMPUTED_VALUE"""),1)</f>
        <v>1</v>
      </c>
    </row>
    <row r="3278" spans="1:5" ht="13">
      <c r="A3278" s="8" t="str">
        <f ca="1">IFERROR(__xludf.DUMMYFUNCTION("""COMPUTED_VALUE"""),"Grender, Abner")</f>
        <v>Grender, Abner</v>
      </c>
      <c r="B3278" s="3">
        <f ca="1">IFERROR(__xludf.DUMMYFUNCTION("""COMPUTED_VALUE"""),1)</f>
        <v>1</v>
      </c>
      <c r="C3278" s="7">
        <f ca="1">IFERROR(__xludf.DUMMYFUNCTION("""COMPUTED_VALUE"""),1)</f>
        <v>1</v>
      </c>
      <c r="D3278" s="8">
        <f ca="1">IFERROR(__xludf.DUMMYFUNCTION("""COMPUTED_VALUE"""),5)</f>
        <v>5</v>
      </c>
      <c r="E3278" s="2">
        <f ca="1">IFERROR(__xludf.DUMMYFUNCTION("""COMPUTED_VALUE"""),2)</f>
        <v>2</v>
      </c>
    </row>
    <row r="3279" spans="1:5" ht="13">
      <c r="A3279" s="2" t="str">
        <f ca="1">IFERROR(__xludf.DUMMYFUNCTION("""COMPUTED_VALUE"""),"Gretchaninov, Alexander")</f>
        <v>Gretchaninov, Alexander</v>
      </c>
      <c r="B3279" s="3">
        <f ca="1">IFERROR(__xludf.DUMMYFUNCTION("""COMPUTED_VALUE"""),1)</f>
        <v>1</v>
      </c>
      <c r="C3279" s="7">
        <f ca="1">IFERROR(__xludf.DUMMYFUNCTION("""COMPUTED_VALUE"""),1)</f>
        <v>1</v>
      </c>
      <c r="D3279" s="8">
        <f ca="1">IFERROR(__xludf.DUMMYFUNCTION("""COMPUTED_VALUE"""),5)</f>
        <v>5</v>
      </c>
      <c r="E3279" s="2">
        <f ca="1">IFERROR(__xludf.DUMMYFUNCTION("""COMPUTED_VALUE"""),2)</f>
        <v>2</v>
      </c>
    </row>
    <row r="3280" spans="1:5" ht="13">
      <c r="A3280" s="8" t="str">
        <f ca="1">IFERROR(__xludf.DUMMYFUNCTION("""COMPUTED_VALUE"""),"Grétry, André")</f>
        <v>Grétry, André</v>
      </c>
      <c r="B3280" s="3">
        <f ca="1">IFERROR(__xludf.DUMMYFUNCTION("""COMPUTED_VALUE"""),1)</f>
        <v>1</v>
      </c>
      <c r="C3280" s="7">
        <f ca="1">IFERROR(__xludf.DUMMYFUNCTION("""COMPUTED_VALUE"""),1)</f>
        <v>1</v>
      </c>
      <c r="D3280" s="8">
        <f ca="1">IFERROR(__xludf.DUMMYFUNCTION("""COMPUTED_VALUE"""),5)</f>
        <v>5</v>
      </c>
      <c r="E3280" s="2">
        <f ca="1">IFERROR(__xludf.DUMMYFUNCTION("""COMPUTED_VALUE"""),2)</f>
        <v>2</v>
      </c>
    </row>
    <row r="3281" spans="1:5" ht="13">
      <c r="A3281" s="2" t="str">
        <f ca="1">IFERROR(__xludf.DUMMYFUNCTION("""COMPUTED_VALUE"""),"Grey, Mark")</f>
        <v>Grey, Mark</v>
      </c>
      <c r="B3281" s="3">
        <f ca="1">IFERROR(__xludf.DUMMYFUNCTION("""COMPUTED_VALUE"""),1)</f>
        <v>1</v>
      </c>
      <c r="C3281" s="7">
        <f ca="1">IFERROR(__xludf.DUMMYFUNCTION("""COMPUTED_VALUE"""),1)</f>
        <v>1</v>
      </c>
      <c r="D3281" s="8">
        <f ca="1">IFERROR(__xludf.DUMMYFUNCTION("""COMPUTED_VALUE"""),1)</f>
        <v>1</v>
      </c>
      <c r="E3281" s="2">
        <f ca="1">IFERROR(__xludf.DUMMYFUNCTION("""COMPUTED_VALUE"""),1)</f>
        <v>1</v>
      </c>
    </row>
    <row r="3282" spans="1:5" ht="13">
      <c r="A3282" s="8" t="str">
        <f ca="1">IFERROR(__xludf.DUMMYFUNCTION("""COMPUTED_VALUE"""),"Greyson, Norman (aka Ehret, Walter)")</f>
        <v>Greyson, Norman (aka Ehret, Walter)</v>
      </c>
      <c r="B3282" s="3">
        <f ca="1">IFERROR(__xludf.DUMMYFUNCTION("""COMPUTED_VALUE"""),1)</f>
        <v>1</v>
      </c>
      <c r="C3282" s="7">
        <f ca="1">IFERROR(__xludf.DUMMYFUNCTION("""COMPUTED_VALUE"""),1)</f>
        <v>1</v>
      </c>
      <c r="D3282" s="8">
        <f ca="1">IFERROR(__xludf.DUMMYFUNCTION("""COMPUTED_VALUE"""),5)</f>
        <v>5</v>
      </c>
      <c r="E3282" s="2">
        <f ca="1">IFERROR(__xludf.DUMMYFUNCTION("""COMPUTED_VALUE"""),2)</f>
        <v>2</v>
      </c>
    </row>
    <row r="3283" spans="1:5" ht="13">
      <c r="A3283" s="2" t="str">
        <f ca="1">IFERROR(__xludf.DUMMYFUNCTION("""COMPUTED_VALUE"""),"Gribkov, Stanislav")</f>
        <v>Gribkov, Stanislav</v>
      </c>
      <c r="B3283" s="3">
        <f ca="1">IFERROR(__xludf.DUMMYFUNCTION("""COMPUTED_VALUE"""),1)</f>
        <v>1</v>
      </c>
      <c r="C3283" s="7">
        <f ca="1">IFERROR(__xludf.DUMMYFUNCTION("""COMPUTED_VALUE"""),1)</f>
        <v>1</v>
      </c>
      <c r="D3283" s="8">
        <f ca="1">IFERROR(__xludf.DUMMYFUNCTION("""COMPUTED_VALUE"""),1)</f>
        <v>1</v>
      </c>
      <c r="E3283" s="2">
        <f ca="1">IFERROR(__xludf.DUMMYFUNCTION("""COMPUTED_VALUE"""),1)</f>
        <v>1</v>
      </c>
    </row>
    <row r="3284" spans="1:5" ht="13">
      <c r="A3284" s="2" t="str">
        <f ca="1">IFERROR(__xludf.DUMMYFUNCTION("""COMPUTED_VALUE"""),"Grice, Rob")</f>
        <v>Grice, Rob</v>
      </c>
      <c r="B3284" s="3">
        <f ca="1">IFERROR(__xludf.DUMMYFUNCTION("""COMPUTED_VALUE"""),1)</f>
        <v>1</v>
      </c>
      <c r="C3284" s="7">
        <f ca="1">IFERROR(__xludf.DUMMYFUNCTION("""COMPUTED_VALUE"""),1)</f>
        <v>1</v>
      </c>
      <c r="D3284" s="8">
        <f ca="1">IFERROR(__xludf.DUMMYFUNCTION("""COMPUTED_VALUE"""),1)</f>
        <v>1</v>
      </c>
      <c r="E3284" s="2">
        <f ca="1">IFERROR(__xludf.DUMMYFUNCTION("""COMPUTED_VALUE"""),1)</f>
        <v>1</v>
      </c>
    </row>
    <row r="3285" spans="1:5" ht="13">
      <c r="A3285" s="2" t="str">
        <f ca="1">IFERROR(__xludf.DUMMYFUNCTION("""COMPUTED_VALUE"""),"Grieg, Edvard")</f>
        <v>Grieg, Edvard</v>
      </c>
      <c r="B3285" s="3">
        <f ca="1">IFERROR(__xludf.DUMMYFUNCTION("""COMPUTED_VALUE"""),1)</f>
        <v>1</v>
      </c>
      <c r="C3285" s="7">
        <f ca="1">IFERROR(__xludf.DUMMYFUNCTION("""COMPUTED_VALUE"""),1)</f>
        <v>1</v>
      </c>
      <c r="D3285" s="8">
        <f ca="1">IFERROR(__xludf.DUMMYFUNCTION("""COMPUTED_VALUE"""),5)</f>
        <v>5</v>
      </c>
      <c r="E3285" s="2">
        <f ca="1">IFERROR(__xludf.DUMMYFUNCTION("""COMPUTED_VALUE"""),2)</f>
        <v>2</v>
      </c>
    </row>
    <row r="3286" spans="1:5" ht="13">
      <c r="A3286" s="2" t="str">
        <f ca="1">IFERROR(__xludf.DUMMYFUNCTION("""COMPUTED_VALUE"""),"Grier, Gene")</f>
        <v>Grier, Gene</v>
      </c>
      <c r="B3286" s="3">
        <f ca="1">IFERROR(__xludf.DUMMYFUNCTION("""COMPUTED_VALUE"""),1)</f>
        <v>1</v>
      </c>
      <c r="C3286" s="7">
        <f ca="1">IFERROR(__xludf.DUMMYFUNCTION("""COMPUTED_VALUE"""),1)</f>
        <v>1</v>
      </c>
      <c r="D3286" s="8">
        <f ca="1">IFERROR(__xludf.DUMMYFUNCTION("""COMPUTED_VALUE"""),5)</f>
        <v>5</v>
      </c>
      <c r="E3286" s="2">
        <f ca="1">IFERROR(__xludf.DUMMYFUNCTION("""COMPUTED_VALUE"""),2)</f>
        <v>2</v>
      </c>
    </row>
    <row r="3287" spans="1:5" ht="13">
      <c r="A3287" s="8" t="str">
        <f ca="1">IFERROR(__xludf.DUMMYFUNCTION("""COMPUTED_VALUE"""),"Grier, Jon")</f>
        <v>Grier, Jon</v>
      </c>
      <c r="B3287" s="3">
        <f ca="1">IFERROR(__xludf.DUMMYFUNCTION("""COMPUTED_VALUE"""),1)</f>
        <v>1</v>
      </c>
      <c r="C3287" s="7">
        <f ca="1">IFERROR(__xludf.DUMMYFUNCTION("""COMPUTED_VALUE"""),1)</f>
        <v>1</v>
      </c>
      <c r="D3287" s="8">
        <f ca="1">IFERROR(__xludf.DUMMYFUNCTION("""COMPUTED_VALUE"""),1)</f>
        <v>1</v>
      </c>
      <c r="E3287" s="2">
        <f ca="1">IFERROR(__xludf.DUMMYFUNCTION("""COMPUTED_VALUE"""),1)</f>
        <v>1</v>
      </c>
    </row>
    <row r="3288" spans="1:5" ht="13">
      <c r="A3288" s="2" t="str">
        <f ca="1">IFERROR(__xludf.DUMMYFUNCTION("""COMPUTED_VALUE"""),"Griffes, Charles")</f>
        <v>Griffes, Charles</v>
      </c>
      <c r="B3288" s="3">
        <f ca="1">IFERROR(__xludf.DUMMYFUNCTION("""COMPUTED_VALUE"""),1)</f>
        <v>1</v>
      </c>
      <c r="C3288" s="7">
        <f ca="1">IFERROR(__xludf.DUMMYFUNCTION("""COMPUTED_VALUE"""),1)</f>
        <v>1</v>
      </c>
      <c r="D3288" s="8">
        <f ca="1">IFERROR(__xludf.DUMMYFUNCTION("""COMPUTED_VALUE"""),5)</f>
        <v>5</v>
      </c>
      <c r="E3288" s="2">
        <f ca="1">IFERROR(__xludf.DUMMYFUNCTION("""COMPUTED_VALUE"""),2)</f>
        <v>2</v>
      </c>
    </row>
    <row r="3289" spans="1:5" ht="13">
      <c r="A3289" s="2" t="str">
        <f ca="1">IFERROR(__xludf.DUMMYFUNCTION("""COMPUTED_VALUE"""),"Griffin, Charles")</f>
        <v>Griffin, Charles</v>
      </c>
      <c r="B3289" s="3">
        <f ca="1">IFERROR(__xludf.DUMMYFUNCTION("""COMPUTED_VALUE"""),1)</f>
        <v>1</v>
      </c>
      <c r="C3289" s="7">
        <f ca="1">IFERROR(__xludf.DUMMYFUNCTION("""COMPUTED_VALUE"""),1)</f>
        <v>1</v>
      </c>
      <c r="D3289" s="8">
        <f ca="1">IFERROR(__xludf.DUMMYFUNCTION("""COMPUTED_VALUE"""),1)</f>
        <v>1</v>
      </c>
      <c r="E3289" s="2">
        <f ca="1">IFERROR(__xludf.DUMMYFUNCTION("""COMPUTED_VALUE"""),1)</f>
        <v>1</v>
      </c>
    </row>
    <row r="3290" spans="1:5" ht="13">
      <c r="A3290" s="2" t="str">
        <f ca="1">IFERROR(__xludf.DUMMYFUNCTION("""COMPUTED_VALUE"""),"Griffin, E. R.")</f>
        <v>Griffin, E. R.</v>
      </c>
      <c r="B3290" s="3">
        <f ca="1">IFERROR(__xludf.DUMMYFUNCTION("""COMPUTED_VALUE"""),1)</f>
        <v>1</v>
      </c>
      <c r="C3290" s="7">
        <f ca="1">IFERROR(__xludf.DUMMYFUNCTION("""COMPUTED_VALUE"""),1)</f>
        <v>1</v>
      </c>
      <c r="D3290" s="8">
        <f ca="1">IFERROR(__xludf.DUMMYFUNCTION("""COMPUTED_VALUE"""),5)</f>
        <v>5</v>
      </c>
      <c r="E3290" s="2">
        <f ca="1">IFERROR(__xludf.DUMMYFUNCTION("""COMPUTED_VALUE"""),2)</f>
        <v>2</v>
      </c>
    </row>
    <row r="3291" spans="1:5" ht="13">
      <c r="A3291" s="2" t="str">
        <f ca="1">IFERROR(__xludf.DUMMYFUNCTION("""COMPUTED_VALUE"""),"Griffin, John C.")</f>
        <v>Griffin, John C.</v>
      </c>
      <c r="B3291" s="3">
        <f ca="1">IFERROR(__xludf.DUMMYFUNCTION("""COMPUTED_VALUE"""),1)</f>
        <v>1</v>
      </c>
      <c r="C3291" s="7">
        <f ca="1">IFERROR(__xludf.DUMMYFUNCTION("""COMPUTED_VALUE"""),1)</f>
        <v>1</v>
      </c>
      <c r="D3291" s="8">
        <f ca="1">IFERROR(__xludf.DUMMYFUNCTION("""COMPUTED_VALUE"""),1)</f>
        <v>1</v>
      </c>
      <c r="E3291" s="2">
        <f ca="1">IFERROR(__xludf.DUMMYFUNCTION("""COMPUTED_VALUE"""),1)</f>
        <v>1</v>
      </c>
    </row>
    <row r="3292" spans="1:5" ht="13">
      <c r="A3292" s="8" t="str">
        <f ca="1">IFERROR(__xludf.DUMMYFUNCTION("""COMPUTED_VALUE"""),"Griffith, Charles")</f>
        <v>Griffith, Charles</v>
      </c>
      <c r="B3292" s="3">
        <f ca="1">IFERROR(__xludf.DUMMYFUNCTION("""COMPUTED_VALUE"""),1)</f>
        <v>1</v>
      </c>
      <c r="C3292" s="7">
        <f ca="1">IFERROR(__xludf.DUMMYFUNCTION("""COMPUTED_VALUE"""),1)</f>
        <v>1</v>
      </c>
      <c r="D3292" s="8">
        <f ca="1">IFERROR(__xludf.DUMMYFUNCTION("""COMPUTED_VALUE"""),5)</f>
        <v>5</v>
      </c>
      <c r="E3292" s="2">
        <f ca="1">IFERROR(__xludf.DUMMYFUNCTION("""COMPUTED_VALUE"""),2)</f>
        <v>2</v>
      </c>
    </row>
    <row r="3293" spans="1:5" ht="13">
      <c r="A3293" s="2" t="str">
        <f ca="1">IFERROR(__xludf.DUMMYFUNCTION("""COMPUTED_VALUE"""),"Griffith, Robert B.")</f>
        <v>Griffith, Robert B.</v>
      </c>
      <c r="B3293" s="3">
        <f ca="1">IFERROR(__xludf.DUMMYFUNCTION("""COMPUTED_VALUE"""),1)</f>
        <v>1</v>
      </c>
      <c r="C3293" s="7">
        <f ca="1">IFERROR(__xludf.DUMMYFUNCTION("""COMPUTED_VALUE"""),1)</f>
        <v>1</v>
      </c>
      <c r="D3293" s="8">
        <f ca="1">IFERROR(__xludf.DUMMYFUNCTION("""COMPUTED_VALUE"""),5)</f>
        <v>5</v>
      </c>
      <c r="E3293" s="2">
        <f ca="1">IFERROR(__xludf.DUMMYFUNCTION("""COMPUTED_VALUE"""),2)</f>
        <v>2</v>
      </c>
    </row>
    <row r="3294" spans="1:5" ht="13">
      <c r="A3294" s="2" t="str">
        <f ca="1">IFERROR(__xludf.DUMMYFUNCTION("""COMPUTED_VALUE"""),"Griffiths, Matthew")</f>
        <v>Griffiths, Matthew</v>
      </c>
      <c r="B3294" s="3">
        <f ca="1">IFERROR(__xludf.DUMMYFUNCTION("""COMPUTED_VALUE"""),1)</f>
        <v>1</v>
      </c>
      <c r="C3294" s="7">
        <f ca="1">IFERROR(__xludf.DUMMYFUNCTION("""COMPUTED_VALUE"""),1)</f>
        <v>1</v>
      </c>
      <c r="D3294" s="8">
        <f ca="1">IFERROR(__xludf.DUMMYFUNCTION("""COMPUTED_VALUE"""),1)</f>
        <v>1</v>
      </c>
      <c r="E3294" s="2">
        <f ca="1">IFERROR(__xludf.DUMMYFUNCTION("""COMPUTED_VALUE"""),1)</f>
        <v>1</v>
      </c>
    </row>
    <row r="3295" spans="1:5" ht="13">
      <c r="A3295" s="2" t="str">
        <f ca="1">IFERROR(__xludf.DUMMYFUNCTION("""COMPUTED_VALUE"""),"Grimo, Steven")</f>
        <v>Grimo, Steven</v>
      </c>
      <c r="B3295" s="3">
        <f ca="1">IFERROR(__xludf.DUMMYFUNCTION("""COMPUTED_VALUE"""),1)</f>
        <v>1</v>
      </c>
      <c r="C3295" s="7">
        <f ca="1">IFERROR(__xludf.DUMMYFUNCTION("""COMPUTED_VALUE"""),1)</f>
        <v>1</v>
      </c>
      <c r="D3295" s="8">
        <f ca="1">IFERROR(__xludf.DUMMYFUNCTION("""COMPUTED_VALUE"""),1)</f>
        <v>1</v>
      </c>
      <c r="E3295" s="2">
        <f ca="1">IFERROR(__xludf.DUMMYFUNCTION("""COMPUTED_VALUE"""),1)</f>
        <v>1</v>
      </c>
    </row>
    <row r="3296" spans="1:5" ht="13">
      <c r="A3296" s="2" t="str">
        <f ca="1">IFERROR(__xludf.DUMMYFUNCTION("""COMPUTED_VALUE"""),"Gripp, Parry")</f>
        <v>Gripp, Parry</v>
      </c>
      <c r="B3296" s="3">
        <f ca="1">IFERROR(__xludf.DUMMYFUNCTION("""COMPUTED_VALUE"""),1)</f>
        <v>1</v>
      </c>
      <c r="C3296" s="7">
        <f ca="1">IFERROR(__xludf.DUMMYFUNCTION("""COMPUTED_VALUE"""),1)</f>
        <v>1</v>
      </c>
      <c r="D3296" s="8">
        <f ca="1">IFERROR(__xludf.DUMMYFUNCTION("""COMPUTED_VALUE"""),1)</f>
        <v>1</v>
      </c>
      <c r="E3296" s="2">
        <f ca="1">IFERROR(__xludf.DUMMYFUNCTION("""COMPUTED_VALUE"""),1)</f>
        <v>1</v>
      </c>
    </row>
    <row r="3297" spans="1:5" ht="13">
      <c r="A3297" s="2" t="str">
        <f ca="1">IFERROR(__xludf.DUMMYFUNCTION("""COMPUTED_VALUE"""),"Grissom, Franz")</f>
        <v>Grissom, Franz</v>
      </c>
      <c r="B3297" s="3">
        <f ca="1">IFERROR(__xludf.DUMMYFUNCTION("""COMPUTED_VALUE"""),1)</f>
        <v>1</v>
      </c>
      <c r="C3297" s="7">
        <f ca="1">IFERROR(__xludf.DUMMYFUNCTION("""COMPUTED_VALUE"""),1)</f>
        <v>1</v>
      </c>
      <c r="D3297" s="8">
        <f ca="1">IFERROR(__xludf.DUMMYFUNCTION("""COMPUTED_VALUE"""),5)</f>
        <v>5</v>
      </c>
      <c r="E3297" s="2">
        <f ca="1">IFERROR(__xludf.DUMMYFUNCTION("""COMPUTED_VALUE"""),2)</f>
        <v>2</v>
      </c>
    </row>
    <row r="3298" spans="1:5" ht="13">
      <c r="A3298" s="2" t="str">
        <f ca="1">IFERROR(__xludf.DUMMYFUNCTION("""COMPUTED_VALUE"""),"Grofé, Ferde")</f>
        <v>Grofé, Ferde</v>
      </c>
      <c r="B3298" s="3">
        <f ca="1">IFERROR(__xludf.DUMMYFUNCTION("""COMPUTED_VALUE"""),1)</f>
        <v>1</v>
      </c>
      <c r="C3298" s="7">
        <f ca="1">IFERROR(__xludf.DUMMYFUNCTION("""COMPUTED_VALUE"""),1)</f>
        <v>1</v>
      </c>
      <c r="D3298" s="8">
        <f ca="1">IFERROR(__xludf.DUMMYFUNCTION("""COMPUTED_VALUE"""),5)</f>
        <v>5</v>
      </c>
      <c r="E3298" s="2">
        <f ca="1">IFERROR(__xludf.DUMMYFUNCTION("""COMPUTED_VALUE"""),2)</f>
        <v>2</v>
      </c>
    </row>
    <row r="3299" spans="1:5" ht="13">
      <c r="A3299" s="2" t="str">
        <f ca="1">IFERROR(__xludf.DUMMYFUNCTION("""COMPUTED_VALUE"""),"Grofé, Ferdinand")</f>
        <v>Grofé, Ferdinand</v>
      </c>
      <c r="B3299" s="3">
        <f ca="1">IFERROR(__xludf.DUMMYFUNCTION("""COMPUTED_VALUE"""),1)</f>
        <v>1</v>
      </c>
      <c r="C3299" s="7">
        <f ca="1">IFERROR(__xludf.DUMMYFUNCTION("""COMPUTED_VALUE"""),1)</f>
        <v>1</v>
      </c>
      <c r="D3299" s="8">
        <f ca="1">IFERROR(__xludf.DUMMYFUNCTION("""COMPUTED_VALUE"""),5)</f>
        <v>5</v>
      </c>
      <c r="E3299" s="2">
        <f ca="1">IFERROR(__xludf.DUMMYFUNCTION("""COMPUTED_VALUE"""),2)</f>
        <v>2</v>
      </c>
    </row>
    <row r="3300" spans="1:5" ht="13">
      <c r="A3300" s="2" t="str">
        <f ca="1">IFERROR(__xludf.DUMMYFUNCTION("""COMPUTED_VALUE"""),"Groh, Adam")</f>
        <v>Groh, Adam</v>
      </c>
      <c r="B3300" s="3">
        <f ca="1">IFERROR(__xludf.DUMMYFUNCTION("""COMPUTED_VALUE"""),1)</f>
        <v>1</v>
      </c>
      <c r="C3300" s="7">
        <f ca="1">IFERROR(__xludf.DUMMYFUNCTION("""COMPUTED_VALUE"""),1)</f>
        <v>1</v>
      </c>
      <c r="D3300" s="8">
        <f ca="1">IFERROR(__xludf.DUMMYFUNCTION("""COMPUTED_VALUE"""),1)</f>
        <v>1</v>
      </c>
      <c r="E3300" s="2">
        <f ca="1">IFERROR(__xludf.DUMMYFUNCTION("""COMPUTED_VALUE"""),1)</f>
        <v>1</v>
      </c>
    </row>
    <row r="3301" spans="1:5" ht="13">
      <c r="A3301" s="2" t="str">
        <f ca="1">IFERROR(__xludf.DUMMYFUNCTION("""COMPUTED_VALUE"""),"Grøndahl, Launy")</f>
        <v>Grøndahl, Launy</v>
      </c>
      <c r="B3301" s="3">
        <f ca="1">IFERROR(__xludf.DUMMYFUNCTION("""COMPUTED_VALUE"""),1)</f>
        <v>1</v>
      </c>
      <c r="C3301" s="7">
        <f ca="1">IFERROR(__xludf.DUMMYFUNCTION("""COMPUTED_VALUE"""),1)</f>
        <v>1</v>
      </c>
      <c r="D3301" s="8">
        <f ca="1">IFERROR(__xludf.DUMMYFUNCTION("""COMPUTED_VALUE"""),5)</f>
        <v>5</v>
      </c>
      <c r="E3301" s="2">
        <f ca="1">IFERROR(__xludf.DUMMYFUNCTION("""COMPUTED_VALUE"""),2)</f>
        <v>2</v>
      </c>
    </row>
    <row r="3302" spans="1:5" ht="13">
      <c r="A3302" s="2" t="str">
        <f ca="1">IFERROR(__xludf.DUMMYFUNCTION("""COMPUTED_VALUE"""),"Groningen, Egbert van")</f>
        <v>Groningen, Egbert van</v>
      </c>
      <c r="B3302" s="3">
        <f ca="1">IFERROR(__xludf.DUMMYFUNCTION("""COMPUTED_VALUE"""),1)</f>
        <v>1</v>
      </c>
      <c r="C3302" s="7">
        <f ca="1">IFERROR(__xludf.DUMMYFUNCTION("""COMPUTED_VALUE"""),1)</f>
        <v>1</v>
      </c>
      <c r="D3302" s="8">
        <f ca="1">IFERROR(__xludf.DUMMYFUNCTION("""COMPUTED_VALUE"""),1)</f>
        <v>1</v>
      </c>
      <c r="E3302" s="2">
        <f ca="1">IFERROR(__xludf.DUMMYFUNCTION("""COMPUTED_VALUE"""),1)</f>
        <v>1</v>
      </c>
    </row>
    <row r="3303" spans="1:5" ht="13">
      <c r="A3303" s="2" t="str">
        <f ca="1">IFERROR(__xludf.DUMMYFUNCTION("""COMPUTED_VALUE"""),"Gronquist, Robert")</f>
        <v>Gronquist, Robert</v>
      </c>
      <c r="B3303" s="2">
        <f ca="1">IFERROR(__xludf.DUMMYFUNCTION("""COMPUTED_VALUE"""),1)</f>
        <v>1</v>
      </c>
      <c r="C3303" s="2">
        <f ca="1">IFERROR(__xludf.DUMMYFUNCTION("""COMPUTED_VALUE"""),1)</f>
        <v>1</v>
      </c>
      <c r="D3303" s="8">
        <f ca="1">IFERROR(__xludf.DUMMYFUNCTION("""COMPUTED_VALUE"""),5)</f>
        <v>5</v>
      </c>
      <c r="E3303" s="2">
        <f ca="1">IFERROR(__xludf.DUMMYFUNCTION("""COMPUTED_VALUE"""),2)</f>
        <v>2</v>
      </c>
    </row>
    <row r="3304" spans="1:5" ht="13">
      <c r="A3304" s="2" t="str">
        <f ca="1">IFERROR(__xludf.DUMMYFUNCTION("""COMPUTED_VALUE"""),"Gross, Charles")</f>
        <v>Gross, Charles</v>
      </c>
      <c r="B3304" s="3">
        <f ca="1">IFERROR(__xludf.DUMMYFUNCTION("""COMPUTED_VALUE"""),1)</f>
        <v>1</v>
      </c>
      <c r="C3304" s="7">
        <f ca="1">IFERROR(__xludf.DUMMYFUNCTION("""COMPUTED_VALUE"""),1)</f>
        <v>1</v>
      </c>
      <c r="D3304" s="8">
        <f ca="1">IFERROR(__xludf.DUMMYFUNCTION("""COMPUTED_VALUE"""),1)</f>
        <v>1</v>
      </c>
      <c r="E3304" s="2">
        <f ca="1">IFERROR(__xludf.DUMMYFUNCTION("""COMPUTED_VALUE"""),1)</f>
        <v>1</v>
      </c>
    </row>
    <row r="3305" spans="1:5" ht="13">
      <c r="A3305" s="2" t="str">
        <f ca="1">IFERROR(__xludf.DUMMYFUNCTION("""COMPUTED_VALUE"""),"Gross, Chip")</f>
        <v>Gross, Chip</v>
      </c>
      <c r="B3305" s="3">
        <f ca="1">IFERROR(__xludf.DUMMYFUNCTION("""COMPUTED_VALUE"""),1)</f>
        <v>1</v>
      </c>
      <c r="C3305" s="7">
        <f ca="1">IFERROR(__xludf.DUMMYFUNCTION("""COMPUTED_VALUE"""),1)</f>
        <v>1</v>
      </c>
      <c r="D3305" s="8">
        <f ca="1">IFERROR(__xludf.DUMMYFUNCTION("""COMPUTED_VALUE"""),1)</f>
        <v>1</v>
      </c>
      <c r="E3305" s="2">
        <f ca="1">IFERROR(__xludf.DUMMYFUNCTION("""COMPUTED_VALUE"""),1)</f>
        <v>1</v>
      </c>
    </row>
    <row r="3306" spans="1:5" ht="13">
      <c r="A3306" s="2" t="str">
        <f ca="1">IFERROR(__xludf.DUMMYFUNCTION("""COMPUTED_VALUE"""),"Gross, Murray")</f>
        <v>Gross, Murray</v>
      </c>
      <c r="B3306" s="3">
        <f ca="1">IFERROR(__xludf.DUMMYFUNCTION("""COMPUTED_VALUE"""),1)</f>
        <v>1</v>
      </c>
      <c r="C3306" s="7">
        <f ca="1">IFERROR(__xludf.DUMMYFUNCTION("""COMPUTED_VALUE"""),1)</f>
        <v>1</v>
      </c>
      <c r="D3306" s="8">
        <f ca="1">IFERROR(__xludf.DUMMYFUNCTION("""COMPUTED_VALUE"""),1)</f>
        <v>1</v>
      </c>
      <c r="E3306" s="2">
        <f ca="1">IFERROR(__xludf.DUMMYFUNCTION("""COMPUTED_VALUE"""),1)</f>
        <v>1</v>
      </c>
    </row>
    <row r="3307" spans="1:5" ht="13">
      <c r="A3307" s="8" t="str">
        <f ca="1">IFERROR(__xludf.DUMMYFUNCTION("""COMPUTED_VALUE"""),"Grossman, F. Karl")</f>
        <v>Grossman, F. Karl</v>
      </c>
      <c r="B3307" s="3">
        <f ca="1">IFERROR(__xludf.DUMMYFUNCTION("""COMPUTED_VALUE"""),1)</f>
        <v>1</v>
      </c>
      <c r="C3307" s="7">
        <f ca="1">IFERROR(__xludf.DUMMYFUNCTION("""COMPUTED_VALUE"""),1)</f>
        <v>1</v>
      </c>
      <c r="D3307" s="8">
        <f ca="1">IFERROR(__xludf.DUMMYFUNCTION("""COMPUTED_VALUE"""),5)</f>
        <v>5</v>
      </c>
      <c r="E3307" s="2">
        <f ca="1">IFERROR(__xludf.DUMMYFUNCTION("""COMPUTED_VALUE"""),2)</f>
        <v>2</v>
      </c>
    </row>
    <row r="3308" spans="1:5" ht="13">
      <c r="A3308" s="2" t="str">
        <f ca="1">IFERROR(__xludf.DUMMYFUNCTION("""COMPUTED_VALUE"""),"Grossman, Larry / Kohan, Alan")</f>
        <v>Grossman, Larry / Kohan, Alan</v>
      </c>
      <c r="B3308" s="2">
        <f ca="1">IFERROR(__xludf.DUMMYFUNCTION("""COMPUTED_VALUE"""),1)</f>
        <v>1</v>
      </c>
      <c r="C3308" s="7">
        <f ca="1">IFERROR(__xludf.DUMMYFUNCTION("""COMPUTED_VALUE"""),1)</f>
        <v>1</v>
      </c>
      <c r="D3308" s="8">
        <f ca="1">IFERROR(__xludf.DUMMYFUNCTION("""COMPUTED_VALUE"""),1)</f>
        <v>1</v>
      </c>
      <c r="E3308" s="2">
        <f ca="1">IFERROR(__xludf.DUMMYFUNCTION("""COMPUTED_VALUE"""),1)</f>
        <v>1</v>
      </c>
    </row>
    <row r="3309" spans="1:5" ht="13">
      <c r="A3309" s="2" t="str">
        <f ca="1">IFERROR(__xludf.DUMMYFUNCTION("""COMPUTED_VALUE"""),"Grosz, Wilhelm")</f>
        <v>Grosz, Wilhelm</v>
      </c>
      <c r="B3309" s="3">
        <f ca="1">IFERROR(__xludf.DUMMYFUNCTION("""COMPUTED_VALUE"""),1)</f>
        <v>1</v>
      </c>
      <c r="C3309" s="7">
        <f ca="1">IFERROR(__xludf.DUMMYFUNCTION("""COMPUTED_VALUE"""),1)</f>
        <v>1</v>
      </c>
      <c r="D3309" s="8">
        <f ca="1">IFERROR(__xludf.DUMMYFUNCTION("""COMPUTED_VALUE"""),5)</f>
        <v>5</v>
      </c>
      <c r="E3309" s="2">
        <f ca="1">IFERROR(__xludf.DUMMYFUNCTION("""COMPUTED_VALUE"""),2)</f>
        <v>2</v>
      </c>
    </row>
    <row r="3310" spans="1:5" ht="13">
      <c r="A3310" s="2" t="str">
        <f ca="1">IFERROR(__xludf.DUMMYFUNCTION("""COMPUTED_VALUE"""),"Grotenhuis, Dale")</f>
        <v>Grotenhuis, Dale</v>
      </c>
      <c r="B3310" s="2">
        <f ca="1">IFERROR(__xludf.DUMMYFUNCTION("""COMPUTED_VALUE"""),1)</f>
        <v>1</v>
      </c>
      <c r="C3310" s="7">
        <f ca="1">IFERROR(__xludf.DUMMYFUNCTION("""COMPUTED_VALUE"""),1)</f>
        <v>1</v>
      </c>
      <c r="D3310" s="8">
        <f ca="1">IFERROR(__xludf.DUMMYFUNCTION("""COMPUTED_VALUE"""),5)</f>
        <v>5</v>
      </c>
      <c r="E3310" s="2">
        <f ca="1">IFERROR(__xludf.DUMMYFUNCTION("""COMPUTED_VALUE"""),2)</f>
        <v>2</v>
      </c>
    </row>
    <row r="3311" spans="1:5" ht="13">
      <c r="A3311" s="2" t="str">
        <f ca="1">IFERROR(__xludf.DUMMYFUNCTION("""COMPUTED_VALUE"""),"Grove, Dick")</f>
        <v>Grove, Dick</v>
      </c>
      <c r="B3311" s="2">
        <f ca="1">IFERROR(__xludf.DUMMYFUNCTION("""COMPUTED_VALUE"""),1)</f>
        <v>1</v>
      </c>
      <c r="C3311" s="7">
        <f ca="1">IFERROR(__xludf.DUMMYFUNCTION("""COMPUTED_VALUE"""),1)</f>
        <v>1</v>
      </c>
      <c r="D3311" s="8">
        <f ca="1">IFERROR(__xludf.DUMMYFUNCTION("""COMPUTED_VALUE"""),5)</f>
        <v>5</v>
      </c>
      <c r="E3311" s="2">
        <f ca="1">IFERROR(__xludf.DUMMYFUNCTION("""COMPUTED_VALUE"""),2)</f>
        <v>2</v>
      </c>
    </row>
    <row r="3312" spans="1:5" ht="13">
      <c r="A3312" s="2" t="str">
        <f ca="1">IFERROR(__xludf.DUMMYFUNCTION("""COMPUTED_VALUE"""),"Gruber, Edmund L.")</f>
        <v>Gruber, Edmund L.</v>
      </c>
      <c r="B3312" s="3">
        <f ca="1">IFERROR(__xludf.DUMMYFUNCTION("""COMPUTED_VALUE"""),1)</f>
        <v>1</v>
      </c>
      <c r="C3312" s="7">
        <f ca="1">IFERROR(__xludf.DUMMYFUNCTION("""COMPUTED_VALUE"""),1)</f>
        <v>1</v>
      </c>
      <c r="D3312" s="8">
        <f ca="1">IFERROR(__xludf.DUMMYFUNCTION("""COMPUTED_VALUE"""),5)</f>
        <v>5</v>
      </c>
      <c r="E3312" s="2">
        <f ca="1">IFERROR(__xludf.DUMMYFUNCTION("""COMPUTED_VALUE"""),2)</f>
        <v>2</v>
      </c>
    </row>
    <row r="3313" spans="1:5" ht="13">
      <c r="A3313" s="2" t="str">
        <f ca="1">IFERROR(__xludf.DUMMYFUNCTION("""COMPUTED_VALUE"""),"Gruber, Franz")</f>
        <v>Gruber, Franz</v>
      </c>
      <c r="B3313" s="3">
        <f ca="1">IFERROR(__xludf.DUMMYFUNCTION("""COMPUTED_VALUE"""),1)</f>
        <v>1</v>
      </c>
      <c r="C3313" s="7">
        <f ca="1">IFERROR(__xludf.DUMMYFUNCTION("""COMPUTED_VALUE"""),1)</f>
        <v>1</v>
      </c>
      <c r="D3313" s="8">
        <f ca="1">IFERROR(__xludf.DUMMYFUNCTION("""COMPUTED_VALUE"""),5)</f>
        <v>5</v>
      </c>
      <c r="E3313" s="2">
        <f ca="1">IFERROR(__xludf.DUMMYFUNCTION("""COMPUTED_VALUE"""),2)</f>
        <v>2</v>
      </c>
    </row>
    <row r="3314" spans="1:5" ht="13">
      <c r="A3314" s="2" t="str">
        <f ca="1">IFERROR(__xludf.DUMMYFUNCTION("""COMPUTED_VALUE"""),"Grüber, Franz")</f>
        <v>Grüber, Franz</v>
      </c>
      <c r="B3314" s="3">
        <f ca="1">IFERROR(__xludf.DUMMYFUNCTION("""COMPUTED_VALUE"""),1)</f>
        <v>1</v>
      </c>
      <c r="C3314" s="7">
        <f ca="1">IFERROR(__xludf.DUMMYFUNCTION("""COMPUTED_VALUE"""),1)</f>
        <v>1</v>
      </c>
      <c r="D3314" s="8">
        <f ca="1">IFERROR(__xludf.DUMMYFUNCTION("""COMPUTED_VALUE"""),5)</f>
        <v>5</v>
      </c>
      <c r="E3314" s="2">
        <f ca="1">IFERROR(__xludf.DUMMYFUNCTION("""COMPUTED_VALUE"""),2)</f>
        <v>2</v>
      </c>
    </row>
    <row r="3315" spans="1:5" ht="13">
      <c r="A3315" s="8" t="str">
        <f ca="1">IFERROR(__xludf.DUMMYFUNCTION("""COMPUTED_VALUE"""),"Gruber, Franz Xaver")</f>
        <v>Gruber, Franz Xaver</v>
      </c>
      <c r="B3315" s="3">
        <f ca="1">IFERROR(__xludf.DUMMYFUNCTION("""COMPUTED_VALUE"""),1)</f>
        <v>1</v>
      </c>
      <c r="C3315" s="7">
        <f ca="1">IFERROR(__xludf.DUMMYFUNCTION("""COMPUTED_VALUE"""),1)</f>
        <v>1</v>
      </c>
      <c r="D3315" s="8">
        <f ca="1">IFERROR(__xludf.DUMMYFUNCTION("""COMPUTED_VALUE"""),5)</f>
        <v>5</v>
      </c>
      <c r="E3315" s="2">
        <f ca="1">IFERROR(__xludf.DUMMYFUNCTION("""COMPUTED_VALUE"""),2)</f>
        <v>2</v>
      </c>
    </row>
    <row r="3316" spans="1:5" ht="13">
      <c r="A3316" s="2" t="str">
        <f ca="1">IFERROR(__xludf.DUMMYFUNCTION("""COMPUTED_VALUE"""),"Gruber, HK")</f>
        <v>Gruber, HK</v>
      </c>
      <c r="B3316" s="3">
        <f ca="1">IFERROR(__xludf.DUMMYFUNCTION("""COMPUTED_VALUE"""),1)</f>
        <v>1</v>
      </c>
      <c r="C3316" s="7">
        <f ca="1">IFERROR(__xludf.DUMMYFUNCTION("""COMPUTED_VALUE"""),1)</f>
        <v>1</v>
      </c>
      <c r="D3316" s="8">
        <f ca="1">IFERROR(__xludf.DUMMYFUNCTION("""COMPUTED_VALUE"""),1)</f>
        <v>1</v>
      </c>
      <c r="E3316" s="2">
        <f ca="1">IFERROR(__xludf.DUMMYFUNCTION("""COMPUTED_VALUE"""),1)</f>
        <v>1</v>
      </c>
    </row>
    <row r="3317" spans="1:5" ht="13">
      <c r="A3317" s="8" t="str">
        <f ca="1">IFERROR(__xludf.DUMMYFUNCTION("""COMPUTED_VALUE"""),"Gruber, Justin")</f>
        <v>Gruber, Justin</v>
      </c>
      <c r="B3317" s="3">
        <f ca="1">IFERROR(__xludf.DUMMYFUNCTION("""COMPUTED_VALUE"""),1)</f>
        <v>1</v>
      </c>
      <c r="C3317" s="7">
        <f ca="1">IFERROR(__xludf.DUMMYFUNCTION("""COMPUTED_VALUE"""),1)</f>
        <v>1</v>
      </c>
      <c r="D3317" s="8">
        <f ca="1">IFERROR(__xludf.DUMMYFUNCTION("""COMPUTED_VALUE"""),1)</f>
        <v>1</v>
      </c>
      <c r="E3317" s="2">
        <f ca="1">IFERROR(__xludf.DUMMYFUNCTION("""COMPUTED_VALUE"""),1)</f>
        <v>1</v>
      </c>
    </row>
    <row r="3318" spans="1:5" ht="13">
      <c r="A3318" s="2" t="str">
        <f ca="1">IFERROR(__xludf.DUMMYFUNCTION("""COMPUTED_VALUE"""),"Gruenberg, Louis")</f>
        <v>Gruenberg, Louis</v>
      </c>
      <c r="B3318" s="3">
        <f ca="1">IFERROR(__xludf.DUMMYFUNCTION("""COMPUTED_VALUE"""),1)</f>
        <v>1</v>
      </c>
      <c r="C3318" s="7">
        <f ca="1">IFERROR(__xludf.DUMMYFUNCTION("""COMPUTED_VALUE"""),1)</f>
        <v>1</v>
      </c>
      <c r="D3318" s="8">
        <f ca="1">IFERROR(__xludf.DUMMYFUNCTION("""COMPUTED_VALUE"""),5)</f>
        <v>5</v>
      </c>
      <c r="E3318" s="2">
        <f ca="1">IFERROR(__xludf.DUMMYFUNCTION("""COMPUTED_VALUE"""),2)</f>
        <v>2</v>
      </c>
    </row>
    <row r="3319" spans="1:5" ht="13">
      <c r="A3319" s="2" t="str">
        <f ca="1">IFERROR(__xludf.DUMMYFUNCTION("""COMPUTED_VALUE"""),"Gruenfeld, Alfred")</f>
        <v>Gruenfeld, Alfred</v>
      </c>
      <c r="B3319" s="2">
        <f ca="1">IFERROR(__xludf.DUMMYFUNCTION("""COMPUTED_VALUE"""),1)</f>
        <v>1</v>
      </c>
      <c r="C3319" s="7">
        <f ca="1">IFERROR(__xludf.DUMMYFUNCTION("""COMPUTED_VALUE"""),1)</f>
        <v>1</v>
      </c>
      <c r="D3319" s="8">
        <f ca="1">IFERROR(__xludf.DUMMYFUNCTION("""COMPUTED_VALUE"""),5)</f>
        <v>5</v>
      </c>
      <c r="E3319" s="2">
        <f ca="1">IFERROR(__xludf.DUMMYFUNCTION("""COMPUTED_VALUE"""),2)</f>
        <v>2</v>
      </c>
    </row>
    <row r="3320" spans="1:5" ht="13">
      <c r="A3320" s="2" t="str">
        <f ca="1">IFERROR(__xludf.DUMMYFUNCTION("""COMPUTED_VALUE"""),"Gruetzmacher, Friedrich")</f>
        <v>Gruetzmacher, Friedrich</v>
      </c>
      <c r="B3320" s="2">
        <f ca="1">IFERROR(__xludf.DUMMYFUNCTION("""COMPUTED_VALUE"""),1)</f>
        <v>1</v>
      </c>
      <c r="C3320" s="7">
        <f ca="1">IFERROR(__xludf.DUMMYFUNCTION("""COMPUTED_VALUE"""),1)</f>
        <v>1</v>
      </c>
      <c r="D3320" s="8">
        <f ca="1">IFERROR(__xludf.DUMMYFUNCTION("""COMPUTED_VALUE"""),5)</f>
        <v>5</v>
      </c>
      <c r="E3320" s="2">
        <f ca="1">IFERROR(__xludf.DUMMYFUNCTION("""COMPUTED_VALUE"""),2)</f>
        <v>2</v>
      </c>
    </row>
    <row r="3321" spans="1:5" ht="13">
      <c r="A3321" s="2" t="str">
        <f ca="1">IFERROR(__xludf.DUMMYFUNCTION("""COMPUTED_VALUE"""),"Grundman, Clare")</f>
        <v>Grundman, Clare</v>
      </c>
      <c r="B3321" s="3">
        <f ca="1">IFERROR(__xludf.DUMMYFUNCTION("""COMPUTED_VALUE"""),1)</f>
        <v>1</v>
      </c>
      <c r="C3321" s="7">
        <f ca="1">IFERROR(__xludf.DUMMYFUNCTION("""COMPUTED_VALUE"""),1)</f>
        <v>1</v>
      </c>
      <c r="D3321" s="8">
        <f ca="1">IFERROR(__xludf.DUMMYFUNCTION("""COMPUTED_VALUE"""),5)</f>
        <v>5</v>
      </c>
      <c r="E3321" s="2">
        <f ca="1">IFERROR(__xludf.DUMMYFUNCTION("""COMPUTED_VALUE"""),2)</f>
        <v>2</v>
      </c>
    </row>
    <row r="3322" spans="1:5" ht="13">
      <c r="A3322" s="2" t="str">
        <f ca="1">IFERROR(__xludf.DUMMYFUNCTION("""COMPUTED_VALUE"""),"Gruner, Greg")</f>
        <v>Gruner, Greg</v>
      </c>
      <c r="B3322" s="3">
        <f ca="1">IFERROR(__xludf.DUMMYFUNCTION("""COMPUTED_VALUE"""),1)</f>
        <v>1</v>
      </c>
      <c r="C3322" s="7">
        <f ca="1">IFERROR(__xludf.DUMMYFUNCTION("""COMPUTED_VALUE"""),1)</f>
        <v>1</v>
      </c>
      <c r="D3322" s="8">
        <f ca="1">IFERROR(__xludf.DUMMYFUNCTION("""COMPUTED_VALUE"""),1)</f>
        <v>1</v>
      </c>
      <c r="E3322" s="2">
        <f ca="1">IFERROR(__xludf.DUMMYFUNCTION("""COMPUTED_VALUE"""),1)</f>
        <v>1</v>
      </c>
    </row>
    <row r="3323" spans="1:5" ht="13">
      <c r="A3323" s="2" t="str">
        <f ca="1">IFERROR(__xludf.DUMMYFUNCTION("""COMPUTED_VALUE"""),"Grusin, Dave")</f>
        <v>Grusin, Dave</v>
      </c>
      <c r="B3323" s="3">
        <f ca="1">IFERROR(__xludf.DUMMYFUNCTION("""COMPUTED_VALUE"""),1)</f>
        <v>1</v>
      </c>
      <c r="C3323" s="7">
        <f ca="1">IFERROR(__xludf.DUMMYFUNCTION("""COMPUTED_VALUE"""),1)</f>
        <v>1</v>
      </c>
      <c r="D3323" s="8">
        <f ca="1">IFERROR(__xludf.DUMMYFUNCTION("""COMPUTED_VALUE"""),1)</f>
        <v>1</v>
      </c>
      <c r="E3323" s="2">
        <f ca="1">IFERROR(__xludf.DUMMYFUNCTION("""COMPUTED_VALUE"""),1)</f>
        <v>1</v>
      </c>
    </row>
    <row r="3324" spans="1:5" ht="13">
      <c r="A3324" s="8" t="str">
        <f ca="1">IFERROR(__xludf.DUMMYFUNCTION("""COMPUTED_VALUE"""),"Gryc, Stephen")</f>
        <v>Gryc, Stephen</v>
      </c>
      <c r="B3324" s="3">
        <f ca="1">IFERROR(__xludf.DUMMYFUNCTION("""COMPUTED_VALUE"""),1)</f>
        <v>1</v>
      </c>
      <c r="C3324" s="7">
        <f ca="1">IFERROR(__xludf.DUMMYFUNCTION("""COMPUTED_VALUE"""),1)</f>
        <v>1</v>
      </c>
      <c r="D3324" s="8">
        <f ca="1">IFERROR(__xludf.DUMMYFUNCTION("""COMPUTED_VALUE"""),1)</f>
        <v>1</v>
      </c>
      <c r="E3324" s="2">
        <f ca="1">IFERROR(__xludf.DUMMYFUNCTION("""COMPUTED_VALUE"""),1)</f>
        <v>1</v>
      </c>
    </row>
    <row r="3325" spans="1:5" ht="13">
      <c r="A3325" s="2" t="str">
        <f ca="1">IFERROR(__xludf.DUMMYFUNCTION("""COMPUTED_VALUE"""),"Gryc, Stephen Michael")</f>
        <v>Gryc, Stephen Michael</v>
      </c>
      <c r="B3325" s="3">
        <f ca="1">IFERROR(__xludf.DUMMYFUNCTION("""COMPUTED_VALUE"""),1)</f>
        <v>1</v>
      </c>
      <c r="C3325" s="7">
        <f ca="1">IFERROR(__xludf.DUMMYFUNCTION("""COMPUTED_VALUE"""),1)</f>
        <v>1</v>
      </c>
      <c r="D3325" s="8">
        <f ca="1">IFERROR(__xludf.DUMMYFUNCTION("""COMPUTED_VALUE"""),1)</f>
        <v>1</v>
      </c>
      <c r="E3325" s="2">
        <f ca="1">IFERROR(__xludf.DUMMYFUNCTION("""COMPUTED_VALUE"""),1)</f>
        <v>1</v>
      </c>
    </row>
    <row r="3326" spans="1:5" ht="13">
      <c r="A3326" s="2" t="str">
        <f ca="1">IFERROR(__xludf.DUMMYFUNCTION("""COMPUTED_VALUE"""),"Guaraldi, Vince")</f>
        <v>Guaraldi, Vince</v>
      </c>
      <c r="B3326" s="3">
        <f ca="1">IFERROR(__xludf.DUMMYFUNCTION("""COMPUTED_VALUE"""),1)</f>
        <v>1</v>
      </c>
      <c r="C3326" s="7">
        <f ca="1">IFERROR(__xludf.DUMMYFUNCTION("""COMPUTED_VALUE"""),1)</f>
        <v>1</v>
      </c>
      <c r="D3326" s="8">
        <f ca="1">IFERROR(__xludf.DUMMYFUNCTION("""COMPUTED_VALUE"""),5)</f>
        <v>5</v>
      </c>
      <c r="E3326" s="2">
        <f ca="1">IFERROR(__xludf.DUMMYFUNCTION("""COMPUTED_VALUE"""),2)</f>
        <v>2</v>
      </c>
    </row>
    <row r="3327" spans="1:5" ht="13">
      <c r="A3327" s="2" t="str">
        <f ca="1">IFERROR(__xludf.DUMMYFUNCTION("""COMPUTED_VALUE"""),"Guaraldi, Vince and Lee Mendelson")</f>
        <v>Guaraldi, Vince and Lee Mendelson</v>
      </c>
      <c r="B3327" s="3">
        <f ca="1">IFERROR(__xludf.DUMMYFUNCTION("""COMPUTED_VALUE"""),1)</f>
        <v>1</v>
      </c>
      <c r="C3327" s="7">
        <f ca="1">IFERROR(__xludf.DUMMYFUNCTION("""COMPUTED_VALUE"""),1)</f>
        <v>1</v>
      </c>
      <c r="D3327" s="8">
        <f ca="1">IFERROR(__xludf.DUMMYFUNCTION("""COMPUTED_VALUE"""),5)</f>
        <v>5</v>
      </c>
      <c r="E3327" s="2">
        <f ca="1">IFERROR(__xludf.DUMMYFUNCTION("""COMPUTED_VALUE"""),2)</f>
        <v>2</v>
      </c>
    </row>
    <row r="3328" spans="1:5" ht="13">
      <c r="A3328" s="2" t="str">
        <f ca="1">IFERROR(__xludf.DUMMYFUNCTION("""COMPUTED_VALUE"""),"Guarinne, Andrew")</f>
        <v>Guarinne, Andrew</v>
      </c>
      <c r="B3328" s="3">
        <f ca="1">IFERROR(__xludf.DUMMYFUNCTION("""COMPUTED_VALUE"""),1)</f>
        <v>1</v>
      </c>
      <c r="C3328" s="7">
        <f ca="1">IFERROR(__xludf.DUMMYFUNCTION("""COMPUTED_VALUE"""),1)</f>
        <v>1</v>
      </c>
      <c r="D3328" s="8">
        <f ca="1">IFERROR(__xludf.DUMMYFUNCTION("""COMPUTED_VALUE"""),1)</f>
        <v>1</v>
      </c>
      <c r="E3328" s="2">
        <f ca="1">IFERROR(__xludf.DUMMYFUNCTION("""COMPUTED_VALUE"""),1)</f>
        <v>1</v>
      </c>
    </row>
    <row r="3329" spans="1:5" ht="13">
      <c r="A3329" s="2" t="str">
        <f ca="1">IFERROR(__xludf.DUMMYFUNCTION("""COMPUTED_VALUE"""),"Guarrine, Andrew")</f>
        <v>Guarrine, Andrew</v>
      </c>
      <c r="B3329" s="3">
        <f ca="1">IFERROR(__xludf.DUMMYFUNCTION("""COMPUTED_VALUE"""),1)</f>
        <v>1</v>
      </c>
      <c r="C3329" s="7">
        <f ca="1">IFERROR(__xludf.DUMMYFUNCTION("""COMPUTED_VALUE"""),1)</f>
        <v>1</v>
      </c>
      <c r="D3329" s="8">
        <f ca="1">IFERROR(__xludf.DUMMYFUNCTION("""COMPUTED_VALUE"""),1)</f>
        <v>1</v>
      </c>
      <c r="E3329" s="2">
        <f ca="1">IFERROR(__xludf.DUMMYFUNCTION("""COMPUTED_VALUE"""),1)</f>
        <v>1</v>
      </c>
    </row>
    <row r="3330" spans="1:5" ht="13">
      <c r="A3330" s="2" t="str">
        <f ca="1">IFERROR(__xludf.DUMMYFUNCTION("""COMPUTED_VALUE"""),"Gudavicius, Juozas")</f>
        <v>Gudavicius, Juozas</v>
      </c>
      <c r="B3330" s="3">
        <f ca="1">IFERROR(__xludf.DUMMYFUNCTION("""COMPUTED_VALUE"""),1)</f>
        <v>1</v>
      </c>
      <c r="C3330" s="7">
        <f ca="1">IFERROR(__xludf.DUMMYFUNCTION("""COMPUTED_VALUE"""),1)</f>
        <v>1</v>
      </c>
      <c r="D3330" s="8">
        <f ca="1">IFERROR(__xludf.DUMMYFUNCTION("""COMPUTED_VALUE"""),5)</f>
        <v>5</v>
      </c>
      <c r="E3330" s="2">
        <f ca="1">IFERROR(__xludf.DUMMYFUNCTION("""COMPUTED_VALUE"""),2)</f>
        <v>2</v>
      </c>
    </row>
    <row r="3331" spans="1:5" ht="13">
      <c r="A3331" s="2" t="str">
        <f ca="1">IFERROR(__xludf.DUMMYFUNCTION("""COMPUTED_VALUE"""),"Gudim, Lars Erik")</f>
        <v>Gudim, Lars Erik</v>
      </c>
      <c r="B3331" s="3">
        <f ca="1">IFERROR(__xludf.DUMMYFUNCTION("""COMPUTED_VALUE"""),1)</f>
        <v>1</v>
      </c>
      <c r="C3331" s="7">
        <f ca="1">IFERROR(__xludf.DUMMYFUNCTION("""COMPUTED_VALUE"""),1)</f>
        <v>1</v>
      </c>
      <c r="D3331" s="8">
        <f ca="1">IFERROR(__xludf.DUMMYFUNCTION("""COMPUTED_VALUE"""),1)</f>
        <v>1</v>
      </c>
      <c r="E3331" s="2">
        <f ca="1">IFERROR(__xludf.DUMMYFUNCTION("""COMPUTED_VALUE"""),1)</f>
        <v>1</v>
      </c>
    </row>
    <row r="3332" spans="1:5" ht="13">
      <c r="A3332" s="2" t="str">
        <f ca="1">IFERROR(__xludf.DUMMYFUNCTION("""COMPUTED_VALUE"""),"Guebert, Alex")</f>
        <v>Guebert, Alex</v>
      </c>
      <c r="B3332" s="3">
        <f ca="1">IFERROR(__xludf.DUMMYFUNCTION("""COMPUTED_VALUE"""),1)</f>
        <v>1</v>
      </c>
      <c r="C3332" s="7">
        <f ca="1">IFERROR(__xludf.DUMMYFUNCTION("""COMPUTED_VALUE"""),1)</f>
        <v>1</v>
      </c>
      <c r="D3332" s="8">
        <f ca="1">IFERROR(__xludf.DUMMYFUNCTION("""COMPUTED_VALUE"""),1)</f>
        <v>1</v>
      </c>
      <c r="E3332" s="2">
        <f ca="1">IFERROR(__xludf.DUMMYFUNCTION("""COMPUTED_VALUE"""),1)</f>
        <v>1</v>
      </c>
    </row>
    <row r="3333" spans="1:5" ht="13">
      <c r="A3333" s="2" t="str">
        <f ca="1">IFERROR(__xludf.DUMMYFUNCTION("""COMPUTED_VALUE"""),"Guebert, Christian")</f>
        <v>Guebert, Christian</v>
      </c>
      <c r="B3333" s="3">
        <f ca="1">IFERROR(__xludf.DUMMYFUNCTION("""COMPUTED_VALUE"""),1)</f>
        <v>1</v>
      </c>
      <c r="C3333" s="7">
        <f ca="1">IFERROR(__xludf.DUMMYFUNCTION("""COMPUTED_VALUE"""),1)</f>
        <v>1</v>
      </c>
      <c r="D3333" s="8">
        <f ca="1">IFERROR(__xludf.DUMMYFUNCTION("""COMPUTED_VALUE"""),1)</f>
        <v>1</v>
      </c>
      <c r="E3333" s="2">
        <f ca="1">IFERROR(__xludf.DUMMYFUNCTION("""COMPUTED_VALUE"""),1)</f>
        <v>1</v>
      </c>
    </row>
    <row r="3334" spans="1:5" ht="13">
      <c r="A3334" s="2" t="str">
        <f ca="1">IFERROR(__xludf.DUMMYFUNCTION("""COMPUTED_VALUE"""),"Guédron, Pierre")</f>
        <v>Guédron, Pierre</v>
      </c>
      <c r="B3334" s="3">
        <f ca="1">IFERROR(__xludf.DUMMYFUNCTION("""COMPUTED_VALUE"""),1)</f>
        <v>1</v>
      </c>
      <c r="C3334" s="7">
        <f ca="1">IFERROR(__xludf.DUMMYFUNCTION("""COMPUTED_VALUE"""),1)</f>
        <v>1</v>
      </c>
      <c r="D3334" s="8">
        <f ca="1">IFERROR(__xludf.DUMMYFUNCTION("""COMPUTED_VALUE"""),5)</f>
        <v>5</v>
      </c>
      <c r="E3334" s="2">
        <f ca="1">IFERROR(__xludf.DUMMYFUNCTION("""COMPUTED_VALUE"""),2)</f>
        <v>2</v>
      </c>
    </row>
    <row r="3335" spans="1:5" ht="13">
      <c r="A3335" s="2" t="str">
        <f ca="1">IFERROR(__xludf.DUMMYFUNCTION("""COMPUTED_VALUE"""),"Guenther / Boyd")</f>
        <v>Guenther / Boyd</v>
      </c>
      <c r="B3335" s="3">
        <f ca="1">IFERROR(__xludf.DUMMYFUNCTION("""COMPUTED_VALUE"""),1)</f>
        <v>1</v>
      </c>
      <c r="C3335" s="7">
        <f ca="1">IFERROR(__xludf.DUMMYFUNCTION("""COMPUTED_VALUE"""),1)</f>
        <v>1</v>
      </c>
      <c r="D3335" s="8">
        <f ca="1">IFERROR(__xludf.DUMMYFUNCTION("""COMPUTED_VALUE"""),5)</f>
        <v>5</v>
      </c>
      <c r="E3335" s="2">
        <f ca="1">IFERROR(__xludf.DUMMYFUNCTION("""COMPUTED_VALUE"""),2)</f>
        <v>2</v>
      </c>
    </row>
    <row r="3336" spans="1:5" ht="13">
      <c r="A3336" s="2" t="str">
        <f ca="1">IFERROR(__xludf.DUMMYFUNCTION("""COMPUTED_VALUE"""),"Guenther, Ralph")</f>
        <v>Guenther, Ralph</v>
      </c>
      <c r="B3336" s="3">
        <f ca="1">IFERROR(__xludf.DUMMYFUNCTION("""COMPUTED_VALUE"""),1)</f>
        <v>1</v>
      </c>
      <c r="C3336" s="7">
        <f ca="1">IFERROR(__xludf.DUMMYFUNCTION("""COMPUTED_VALUE"""),1)</f>
        <v>1</v>
      </c>
      <c r="D3336" s="8">
        <f ca="1">IFERROR(__xludf.DUMMYFUNCTION("""COMPUTED_VALUE"""),5)</f>
        <v>5</v>
      </c>
      <c r="E3336" s="2">
        <f ca="1">IFERROR(__xludf.DUMMYFUNCTION("""COMPUTED_VALUE"""),2)</f>
        <v>2</v>
      </c>
    </row>
    <row r="3337" spans="1:5" ht="13">
      <c r="A3337" s="8" t="str">
        <f ca="1">IFERROR(__xludf.DUMMYFUNCTION("""COMPUTED_VALUE"""),"Guentner, Francis")</f>
        <v>Guentner, Francis</v>
      </c>
      <c r="B3337" s="3">
        <f ca="1">IFERROR(__xludf.DUMMYFUNCTION("""COMPUTED_VALUE"""),1)</f>
        <v>1</v>
      </c>
      <c r="C3337" s="7">
        <f ca="1">IFERROR(__xludf.DUMMYFUNCTION("""COMPUTED_VALUE"""),1)</f>
        <v>1</v>
      </c>
      <c r="D3337" s="8">
        <f ca="1">IFERROR(__xludf.DUMMYFUNCTION("""COMPUTED_VALUE"""),5)</f>
        <v>5</v>
      </c>
      <c r="E3337" s="2">
        <f ca="1">IFERROR(__xludf.DUMMYFUNCTION("""COMPUTED_VALUE"""),2)</f>
        <v>2</v>
      </c>
    </row>
    <row r="3338" spans="1:5" ht="13">
      <c r="A3338" s="2" t="str">
        <f ca="1">IFERROR(__xludf.DUMMYFUNCTION("""COMPUTED_VALUE"""),"Guentzel, Gus")</f>
        <v>Guentzel, Gus</v>
      </c>
      <c r="B3338" s="3">
        <f ca="1">IFERROR(__xludf.DUMMYFUNCTION("""COMPUTED_VALUE"""),1)</f>
        <v>1</v>
      </c>
      <c r="C3338" s="7">
        <f ca="1">IFERROR(__xludf.DUMMYFUNCTION("""COMPUTED_VALUE"""),1)</f>
        <v>1</v>
      </c>
      <c r="D3338" s="8">
        <f ca="1">IFERROR(__xludf.DUMMYFUNCTION("""COMPUTED_VALUE"""),5)</f>
        <v>5</v>
      </c>
      <c r="E3338" s="2">
        <f ca="1">IFERROR(__xludf.DUMMYFUNCTION("""COMPUTED_VALUE"""),2)</f>
        <v>2</v>
      </c>
    </row>
    <row r="3339" spans="1:5" ht="13">
      <c r="A3339" s="2" t="str">
        <f ca="1">IFERROR(__xludf.DUMMYFUNCTION("""COMPUTED_VALUE"""),"Guerrero, Francisco")</f>
        <v>Guerrero, Francisco</v>
      </c>
      <c r="B3339" s="2">
        <f ca="1">IFERROR(__xludf.DUMMYFUNCTION("""COMPUTED_VALUE"""),1)</f>
        <v>1</v>
      </c>
      <c r="C3339" s="7">
        <f ca="1">IFERROR(__xludf.DUMMYFUNCTION("""COMPUTED_VALUE"""),1)</f>
        <v>1</v>
      </c>
      <c r="D3339" s="8">
        <f ca="1">IFERROR(__xludf.DUMMYFUNCTION("""COMPUTED_VALUE"""),5)</f>
        <v>5</v>
      </c>
      <c r="E3339" s="2">
        <f ca="1">IFERROR(__xludf.DUMMYFUNCTION("""COMPUTED_VALUE"""),2)</f>
        <v>2</v>
      </c>
    </row>
    <row r="3340" spans="1:5" ht="13">
      <c r="A3340" s="2" t="str">
        <f ca="1">IFERROR(__xludf.DUMMYFUNCTION("""COMPUTED_VALUE"""),"Guess, Tray")</f>
        <v>Guess, Tray</v>
      </c>
      <c r="B3340" s="2">
        <f ca="1">IFERROR(__xludf.DUMMYFUNCTION("""COMPUTED_VALUE"""),1)</f>
        <v>1</v>
      </c>
      <c r="C3340" s="7">
        <f ca="1">IFERROR(__xludf.DUMMYFUNCTION("""COMPUTED_VALUE"""),1)</f>
        <v>1</v>
      </c>
      <c r="D3340" s="8">
        <f ca="1">IFERROR(__xludf.DUMMYFUNCTION("""COMPUTED_VALUE"""),1)</f>
        <v>1</v>
      </c>
      <c r="E3340" s="2">
        <f ca="1">IFERROR(__xludf.DUMMYFUNCTION("""COMPUTED_VALUE"""),1)</f>
        <v>1</v>
      </c>
    </row>
    <row r="3341" spans="1:5" ht="13">
      <c r="A3341" s="2" t="str">
        <f ca="1">IFERROR(__xludf.DUMMYFUNCTION("""COMPUTED_VALUE"""),"Guffey, Kyle")</f>
        <v>Guffey, Kyle</v>
      </c>
      <c r="B3341" s="3">
        <f ca="1">IFERROR(__xludf.DUMMYFUNCTION("""COMPUTED_VALUE"""),1)</f>
        <v>1</v>
      </c>
      <c r="C3341" s="7">
        <f ca="1">IFERROR(__xludf.DUMMYFUNCTION("""COMPUTED_VALUE"""),1)</f>
        <v>1</v>
      </c>
      <c r="D3341" s="8">
        <f ca="1">IFERROR(__xludf.DUMMYFUNCTION("""COMPUTED_VALUE"""),1)</f>
        <v>1</v>
      </c>
      <c r="E3341" s="2">
        <f ca="1">IFERROR(__xludf.DUMMYFUNCTION("""COMPUTED_VALUE"""),1)</f>
        <v>1</v>
      </c>
    </row>
    <row r="3342" spans="1:5" ht="13">
      <c r="A3342" s="2" t="str">
        <f ca="1">IFERROR(__xludf.DUMMYFUNCTION("""COMPUTED_VALUE"""),"Guilmant, Alexandre")</f>
        <v>Guilmant, Alexandre</v>
      </c>
      <c r="B3342" s="3">
        <f ca="1">IFERROR(__xludf.DUMMYFUNCTION("""COMPUTED_VALUE"""),1)</f>
        <v>1</v>
      </c>
      <c r="C3342" s="7">
        <f ca="1">IFERROR(__xludf.DUMMYFUNCTION("""COMPUTED_VALUE"""),1)</f>
        <v>1</v>
      </c>
      <c r="D3342" s="8">
        <f ca="1">IFERROR(__xludf.DUMMYFUNCTION("""COMPUTED_VALUE"""),5)</f>
        <v>5</v>
      </c>
      <c r="E3342" s="2">
        <f ca="1">IFERROR(__xludf.DUMMYFUNCTION("""COMPUTED_VALUE"""),2)</f>
        <v>2</v>
      </c>
    </row>
    <row r="3343" spans="1:5" ht="13">
      <c r="A3343" s="2" t="str">
        <f ca="1">IFERROR(__xludf.DUMMYFUNCTION("""COMPUTED_VALUE"""),"Guilmant, Felix Alexandre")</f>
        <v>Guilmant, Felix Alexandre</v>
      </c>
      <c r="B3343" s="3">
        <f ca="1">IFERROR(__xludf.DUMMYFUNCTION("""COMPUTED_VALUE"""),1)</f>
        <v>1</v>
      </c>
      <c r="C3343" s="7">
        <f ca="1">IFERROR(__xludf.DUMMYFUNCTION("""COMPUTED_VALUE"""),1)</f>
        <v>1</v>
      </c>
      <c r="D3343" s="8">
        <f ca="1">IFERROR(__xludf.DUMMYFUNCTION("""COMPUTED_VALUE"""),5)</f>
        <v>5</v>
      </c>
      <c r="E3343" s="2">
        <f ca="1">IFERROR(__xludf.DUMMYFUNCTION("""COMPUTED_VALUE"""),2)</f>
        <v>2</v>
      </c>
    </row>
    <row r="3344" spans="1:5" ht="13">
      <c r="A3344" s="2" t="str">
        <f ca="1">IFERROR(__xludf.DUMMYFUNCTION("""COMPUTED_VALUE"""),"Guilmant, Félix-Alexandre")</f>
        <v>Guilmant, Félix-Alexandre</v>
      </c>
      <c r="B3344" s="3">
        <f ca="1">IFERROR(__xludf.DUMMYFUNCTION("""COMPUTED_VALUE"""),1)</f>
        <v>1</v>
      </c>
      <c r="C3344" s="7">
        <f ca="1">IFERROR(__xludf.DUMMYFUNCTION("""COMPUTED_VALUE"""),1)</f>
        <v>1</v>
      </c>
      <c r="D3344" s="8">
        <f ca="1">IFERROR(__xludf.DUMMYFUNCTION("""COMPUTED_VALUE"""),5)</f>
        <v>5</v>
      </c>
      <c r="E3344" s="2">
        <f ca="1">IFERROR(__xludf.DUMMYFUNCTION("""COMPUTED_VALUE"""),2)</f>
        <v>2</v>
      </c>
    </row>
    <row r="3345" spans="1:5" ht="13">
      <c r="A3345" s="2" t="str">
        <f ca="1">IFERROR(__xludf.DUMMYFUNCTION("""COMPUTED_VALUE"""),"Guinivan, Eric")</f>
        <v>Guinivan, Eric</v>
      </c>
      <c r="B3345" s="3">
        <f ca="1">IFERROR(__xludf.DUMMYFUNCTION("""COMPUTED_VALUE"""),1)</f>
        <v>1</v>
      </c>
      <c r="C3345" s="7">
        <f ca="1">IFERROR(__xludf.DUMMYFUNCTION("""COMPUTED_VALUE"""),1)</f>
        <v>1</v>
      </c>
      <c r="D3345" s="8">
        <f ca="1">IFERROR(__xludf.DUMMYFUNCTION("""COMPUTED_VALUE"""),1)</f>
        <v>1</v>
      </c>
      <c r="E3345" s="2">
        <f ca="1">IFERROR(__xludf.DUMMYFUNCTION("""COMPUTED_VALUE"""),1)</f>
        <v>1</v>
      </c>
    </row>
    <row r="3346" spans="1:5" ht="13">
      <c r="A3346" s="2" t="str">
        <f ca="1">IFERROR(__xludf.DUMMYFUNCTION("""COMPUTED_VALUE"""),"Gulda, Friedrich")</f>
        <v>Gulda, Friedrich</v>
      </c>
      <c r="B3346" s="3">
        <f ca="1">IFERROR(__xludf.DUMMYFUNCTION("""COMPUTED_VALUE"""),1)</f>
        <v>1</v>
      </c>
      <c r="C3346" s="7">
        <f ca="1">IFERROR(__xludf.DUMMYFUNCTION("""COMPUTED_VALUE"""),1)</f>
        <v>1</v>
      </c>
      <c r="D3346" s="8">
        <f ca="1">IFERROR(__xludf.DUMMYFUNCTION("""COMPUTED_VALUE"""),5)</f>
        <v>5</v>
      </c>
      <c r="E3346" s="2">
        <f ca="1">IFERROR(__xludf.DUMMYFUNCTION("""COMPUTED_VALUE"""),2)</f>
        <v>2</v>
      </c>
    </row>
    <row r="3347" spans="1:5" ht="13">
      <c r="A3347" s="2" t="str">
        <f ca="1">IFERROR(__xludf.DUMMYFUNCTION("""COMPUTED_VALUE"""),"Gulino, Frank")</f>
        <v>Gulino, Frank</v>
      </c>
      <c r="B3347" s="2">
        <f ca="1">IFERROR(__xludf.DUMMYFUNCTION("""COMPUTED_VALUE"""),1)</f>
        <v>1</v>
      </c>
      <c r="C3347" s="7">
        <f ca="1">IFERROR(__xludf.DUMMYFUNCTION("""COMPUTED_VALUE"""),1)</f>
        <v>1</v>
      </c>
      <c r="D3347" s="8">
        <f ca="1">IFERROR(__xludf.DUMMYFUNCTION("""COMPUTED_VALUE"""),1)</f>
        <v>1</v>
      </c>
      <c r="E3347" s="2">
        <f ca="1">IFERROR(__xludf.DUMMYFUNCTION("""COMPUTED_VALUE"""),1)</f>
        <v>1</v>
      </c>
    </row>
    <row r="3348" spans="1:5" ht="13">
      <c r="A3348" s="2" t="str">
        <f ca="1">IFERROR(__xludf.DUMMYFUNCTION("""COMPUTED_VALUE"""),"Gumpelzhaimer, Adam")</f>
        <v>Gumpelzhaimer, Adam</v>
      </c>
      <c r="B3348" s="2">
        <f ca="1">IFERROR(__xludf.DUMMYFUNCTION("""COMPUTED_VALUE"""),1)</f>
        <v>1</v>
      </c>
      <c r="C3348" s="7">
        <f ca="1">IFERROR(__xludf.DUMMYFUNCTION("""COMPUTED_VALUE"""),1)</f>
        <v>1</v>
      </c>
      <c r="D3348" s="8">
        <f ca="1">IFERROR(__xludf.DUMMYFUNCTION("""COMPUTED_VALUE"""),5)</f>
        <v>5</v>
      </c>
      <c r="E3348" s="2">
        <f ca="1">IFERROR(__xludf.DUMMYFUNCTION("""COMPUTED_VALUE"""),2)</f>
        <v>2</v>
      </c>
    </row>
    <row r="3349" spans="1:5" ht="13">
      <c r="A3349" s="2" t="str">
        <f ca="1">IFERROR(__xludf.DUMMYFUNCTION("""COMPUTED_VALUE"""),"Gungl, Joseph")</f>
        <v>Gungl, Joseph</v>
      </c>
      <c r="B3349" s="2">
        <f ca="1">IFERROR(__xludf.DUMMYFUNCTION("""COMPUTED_VALUE"""),1)</f>
        <v>1</v>
      </c>
      <c r="C3349" s="7">
        <f ca="1">IFERROR(__xludf.DUMMYFUNCTION("""COMPUTED_VALUE"""),1)</f>
        <v>1</v>
      </c>
      <c r="D3349" s="8">
        <f ca="1">IFERROR(__xludf.DUMMYFUNCTION("""COMPUTED_VALUE"""),5)</f>
        <v>5</v>
      </c>
      <c r="E3349" s="2">
        <f ca="1">IFERROR(__xludf.DUMMYFUNCTION("""COMPUTED_VALUE"""),2)</f>
        <v>2</v>
      </c>
    </row>
    <row r="3350" spans="1:5" ht="13">
      <c r="A3350" s="2" t="str">
        <f ca="1">IFERROR(__xludf.DUMMYFUNCTION("""COMPUTED_VALUE"""),"Gurlitt, Cornelius")</f>
        <v>Gurlitt, Cornelius</v>
      </c>
      <c r="B3350" s="2">
        <f ca="1">IFERROR(__xludf.DUMMYFUNCTION("""COMPUTED_VALUE"""),1)</f>
        <v>1</v>
      </c>
      <c r="C3350" s="7">
        <f ca="1">IFERROR(__xludf.DUMMYFUNCTION("""COMPUTED_VALUE"""),1)</f>
        <v>1</v>
      </c>
      <c r="D3350" s="8">
        <f ca="1">IFERROR(__xludf.DUMMYFUNCTION("""COMPUTED_VALUE"""),5)</f>
        <v>5</v>
      </c>
      <c r="E3350" s="2">
        <f ca="1">IFERROR(__xludf.DUMMYFUNCTION("""COMPUTED_VALUE"""),2)</f>
        <v>2</v>
      </c>
    </row>
    <row r="3351" spans="1:5" ht="13">
      <c r="A3351" s="2" t="str">
        <f ca="1">IFERROR(__xludf.DUMMYFUNCTION("""COMPUTED_VALUE"""),"Gurney, Ivor")</f>
        <v>Gurney, Ivor</v>
      </c>
      <c r="B3351" s="2">
        <f ca="1">IFERROR(__xludf.DUMMYFUNCTION("""COMPUTED_VALUE"""),1)</f>
        <v>1</v>
      </c>
      <c r="C3351" s="7">
        <f ca="1">IFERROR(__xludf.DUMMYFUNCTION("""COMPUTED_VALUE"""),1)</f>
        <v>1</v>
      </c>
      <c r="D3351" s="8">
        <f ca="1">IFERROR(__xludf.DUMMYFUNCTION("""COMPUTED_VALUE"""),5)</f>
        <v>5</v>
      </c>
      <c r="E3351" s="2">
        <f ca="1">IFERROR(__xludf.DUMMYFUNCTION("""COMPUTED_VALUE"""),2)</f>
        <v>2</v>
      </c>
    </row>
    <row r="3352" spans="1:5" ht="13">
      <c r="A3352" s="8" t="str">
        <f ca="1">IFERROR(__xludf.DUMMYFUNCTION("""COMPUTED_VALUE"""),"Gustafson, Dwight")</f>
        <v>Gustafson, Dwight</v>
      </c>
      <c r="B3352" s="3">
        <f ca="1">IFERROR(__xludf.DUMMYFUNCTION("""COMPUTED_VALUE"""),1)</f>
        <v>1</v>
      </c>
      <c r="C3352" s="7">
        <f ca="1">IFERROR(__xludf.DUMMYFUNCTION("""COMPUTED_VALUE"""),1)</f>
        <v>1</v>
      </c>
      <c r="D3352" s="8">
        <f ca="1">IFERROR(__xludf.DUMMYFUNCTION("""COMPUTED_VALUE"""),5)</f>
        <v>5</v>
      </c>
      <c r="E3352" s="2">
        <f ca="1">IFERROR(__xludf.DUMMYFUNCTION("""COMPUTED_VALUE"""),2)</f>
        <v>2</v>
      </c>
    </row>
    <row r="3353" spans="1:5" ht="13">
      <c r="A3353" s="2" t="str">
        <f ca="1">IFERROR(__xludf.DUMMYFUNCTION("""COMPUTED_VALUE"""),"Gustafsson, Kaj-Erik")</f>
        <v>Gustafsson, Kaj-Erik</v>
      </c>
      <c r="B3353" s="3">
        <f ca="1">IFERROR(__xludf.DUMMYFUNCTION("""COMPUTED_VALUE"""),1)</f>
        <v>1</v>
      </c>
      <c r="C3353" s="7">
        <f ca="1">IFERROR(__xludf.DUMMYFUNCTION("""COMPUTED_VALUE"""),1)</f>
        <v>1</v>
      </c>
      <c r="D3353" s="8">
        <f ca="1">IFERROR(__xludf.DUMMYFUNCTION("""COMPUTED_VALUE"""),1)</f>
        <v>1</v>
      </c>
      <c r="E3353" s="2">
        <f ca="1">IFERROR(__xludf.DUMMYFUNCTION("""COMPUTED_VALUE"""),1)</f>
        <v>1</v>
      </c>
    </row>
    <row r="3354" spans="1:5" ht="13">
      <c r="A3354" s="2" t="str">
        <f ca="1">IFERROR(__xludf.DUMMYFUNCTION("""COMPUTED_VALUE"""),"Guter, Gerhard")</f>
        <v>Guter, Gerhard</v>
      </c>
      <c r="B3354" s="3">
        <f ca="1">IFERROR(__xludf.DUMMYFUNCTION("""COMPUTED_VALUE"""),1)</f>
        <v>1</v>
      </c>
      <c r="C3354" s="7">
        <f ca="1">IFERROR(__xludf.DUMMYFUNCTION("""COMPUTED_VALUE"""),1)</f>
        <v>1</v>
      </c>
      <c r="D3354" s="8">
        <f ca="1">IFERROR(__xludf.DUMMYFUNCTION("""COMPUTED_VALUE"""),1)</f>
        <v>1</v>
      </c>
      <c r="E3354" s="2">
        <f ca="1">IFERROR(__xludf.DUMMYFUNCTION("""COMPUTED_VALUE"""),1)</f>
        <v>1</v>
      </c>
    </row>
    <row r="3355" spans="1:5" ht="13">
      <c r="A3355" s="2" t="str">
        <f ca="1">IFERROR(__xludf.DUMMYFUNCTION("""COMPUTED_VALUE"""),"Guthrie, Ian Evans")</f>
        <v>Guthrie, Ian Evans</v>
      </c>
      <c r="B3355" s="3">
        <f ca="1">IFERROR(__xludf.DUMMYFUNCTION("""COMPUTED_VALUE"""),1)</f>
        <v>1</v>
      </c>
      <c r="C3355" s="7">
        <f ca="1">IFERROR(__xludf.DUMMYFUNCTION("""COMPUTED_VALUE"""),1)</f>
        <v>1</v>
      </c>
      <c r="D3355" s="8">
        <f ca="1">IFERROR(__xludf.DUMMYFUNCTION("""COMPUTED_VALUE"""),1)</f>
        <v>1</v>
      </c>
      <c r="E3355" s="2">
        <f ca="1">IFERROR(__xludf.DUMMYFUNCTION("""COMPUTED_VALUE"""),1)</f>
        <v>1</v>
      </c>
    </row>
    <row r="3356" spans="1:5" ht="13">
      <c r="A3356" s="8" t="str">
        <f ca="1">IFERROR(__xludf.DUMMYFUNCTION("""COMPUTED_VALUE"""),"Guthrie, Woody")</f>
        <v>Guthrie, Woody</v>
      </c>
      <c r="B3356" s="3">
        <f ca="1">IFERROR(__xludf.DUMMYFUNCTION("""COMPUTED_VALUE"""),1)</f>
        <v>1</v>
      </c>
      <c r="C3356" s="7">
        <f ca="1">IFERROR(__xludf.DUMMYFUNCTION("""COMPUTED_VALUE"""),1)</f>
        <v>1</v>
      </c>
      <c r="D3356" s="8">
        <f ca="1">IFERROR(__xludf.DUMMYFUNCTION("""COMPUTED_VALUE"""),5)</f>
        <v>5</v>
      </c>
      <c r="E3356" s="2">
        <f ca="1">IFERROR(__xludf.DUMMYFUNCTION("""COMPUTED_VALUE"""),2)</f>
        <v>2</v>
      </c>
    </row>
    <row r="3357" spans="1:5" ht="13">
      <c r="A3357" s="2" t="str">
        <f ca="1">IFERROR(__xludf.DUMMYFUNCTION("""COMPUTED_VALUE"""),"Güven, Cem")</f>
        <v>Güven, Cem</v>
      </c>
      <c r="B3357" s="3">
        <f ca="1">IFERROR(__xludf.DUMMYFUNCTION("""COMPUTED_VALUE"""),1)</f>
        <v>1</v>
      </c>
      <c r="C3357" s="7">
        <f ca="1">IFERROR(__xludf.DUMMYFUNCTION("""COMPUTED_VALUE"""),1)</f>
        <v>1</v>
      </c>
      <c r="D3357" s="8">
        <f ca="1">IFERROR(__xludf.DUMMYFUNCTION("""COMPUTED_VALUE"""),1)</f>
        <v>1</v>
      </c>
      <c r="E3357" s="2">
        <f ca="1">IFERROR(__xludf.DUMMYFUNCTION("""COMPUTED_VALUE"""),1)</f>
        <v>1</v>
      </c>
    </row>
    <row r="3358" spans="1:5" ht="13">
      <c r="A3358" s="2" t="str">
        <f ca="1">IFERROR(__xludf.DUMMYFUNCTION("""COMPUTED_VALUE"""),"Gyongyosi, Levente")</f>
        <v>Gyongyosi, Levente</v>
      </c>
      <c r="B3358" s="2">
        <f ca="1">IFERROR(__xludf.DUMMYFUNCTION("""COMPUTED_VALUE"""),1)</f>
        <v>1</v>
      </c>
      <c r="C3358" s="7">
        <f ca="1">IFERROR(__xludf.DUMMYFUNCTION("""COMPUTED_VALUE"""),1)</f>
        <v>1</v>
      </c>
      <c r="D3358" s="8">
        <f ca="1">IFERROR(__xludf.DUMMYFUNCTION("""COMPUTED_VALUE"""),1)</f>
        <v>1</v>
      </c>
      <c r="E3358" s="2">
        <f ca="1">IFERROR(__xludf.DUMMYFUNCTION("""COMPUTED_VALUE"""),1)</f>
        <v>1</v>
      </c>
    </row>
    <row r="3359" spans="1:5" ht="13">
      <c r="A3359" s="2" t="str">
        <f ca="1">IFERROR(__xludf.DUMMYFUNCTION("""COMPUTED_VALUE"""),"Gyöngyösi, Levente")</f>
        <v>Gyöngyösi, Levente</v>
      </c>
      <c r="B3359" s="3">
        <f ca="1">IFERROR(__xludf.DUMMYFUNCTION("""COMPUTED_VALUE"""),1)</f>
        <v>1</v>
      </c>
      <c r="C3359" s="7">
        <f ca="1">IFERROR(__xludf.DUMMYFUNCTION("""COMPUTED_VALUE"""),1)</f>
        <v>1</v>
      </c>
      <c r="D3359" s="8">
        <f ca="1">IFERROR(__xludf.DUMMYFUNCTION("""COMPUTED_VALUE"""),1)</f>
        <v>1</v>
      </c>
      <c r="E3359" s="2">
        <f ca="1">IFERROR(__xludf.DUMMYFUNCTION("""COMPUTED_VALUE"""),1)</f>
        <v>1</v>
      </c>
    </row>
    <row r="3360" spans="1:5" ht="13">
      <c r="A3360" s="2" t="str">
        <f ca="1">IFERROR(__xludf.DUMMYFUNCTION("""COMPUTED_VALUE"""),"Gyongyoski, Levente")</f>
        <v>Gyongyoski, Levente</v>
      </c>
      <c r="B3360" s="3">
        <f ca="1">IFERROR(__xludf.DUMMYFUNCTION("""COMPUTED_VALUE"""),1)</f>
        <v>1</v>
      </c>
      <c r="C3360" s="7">
        <f ca="1">IFERROR(__xludf.DUMMYFUNCTION("""COMPUTED_VALUE"""),1)</f>
        <v>1</v>
      </c>
      <c r="D3360" s="8">
        <f ca="1">IFERROR(__xludf.DUMMYFUNCTION("""COMPUTED_VALUE"""),1)</f>
        <v>1</v>
      </c>
      <c r="E3360" s="2">
        <f ca="1">IFERROR(__xludf.DUMMYFUNCTION("""COMPUTED_VALUE"""),1)</f>
        <v>1</v>
      </c>
    </row>
    <row r="3361" spans="1:5" ht="13">
      <c r="A3361" s="2" t="str">
        <f ca="1">IFERROR(__xludf.DUMMYFUNCTION("""COMPUTED_VALUE"""),"Gyorgy, Orban")</f>
        <v>Gyorgy, Orban</v>
      </c>
      <c r="B3361" s="3">
        <f ca="1">IFERROR(__xludf.DUMMYFUNCTION("""COMPUTED_VALUE"""),1)</f>
        <v>1</v>
      </c>
      <c r="C3361" s="7">
        <f ca="1">IFERROR(__xludf.DUMMYFUNCTION("""COMPUTED_VALUE"""),1)</f>
        <v>1</v>
      </c>
      <c r="D3361" s="8">
        <f ca="1">IFERROR(__xludf.DUMMYFUNCTION("""COMPUTED_VALUE"""),1)</f>
        <v>1</v>
      </c>
      <c r="E3361" s="2">
        <f ca="1">IFERROR(__xludf.DUMMYFUNCTION("""COMPUTED_VALUE"""),1)</f>
        <v>1</v>
      </c>
    </row>
    <row r="3362" spans="1:5" ht="13">
      <c r="A3362" s="2" t="str">
        <f ca="1">IFERROR(__xludf.DUMMYFUNCTION("""COMPUTED_VALUE"""),"H, Christopher Harris,; Ruckert, Friedrich")</f>
        <v>H, Christopher Harris,; Ruckert, Friedrich</v>
      </c>
      <c r="B3362" s="3">
        <f ca="1">IFERROR(__xludf.DUMMYFUNCTION("""COMPUTED_VALUE"""),1)</f>
        <v>1</v>
      </c>
      <c r="C3362" s="7">
        <f ca="1">IFERROR(__xludf.DUMMYFUNCTION("""COMPUTED_VALUE"""),1)</f>
        <v>1</v>
      </c>
      <c r="D3362" s="8">
        <f ca="1">IFERROR(__xludf.DUMMYFUNCTION("""COMPUTED_VALUE"""),5)</f>
        <v>5</v>
      </c>
      <c r="E3362" s="2">
        <f ca="1">IFERROR(__xludf.DUMMYFUNCTION("""COMPUTED_VALUE"""),2)</f>
        <v>2</v>
      </c>
    </row>
    <row r="3363" spans="1:5" ht="13">
      <c r="A3363" s="8" t="str">
        <f ca="1">IFERROR(__xludf.DUMMYFUNCTION("""COMPUTED_VALUE"""),"Haantjes, Menno")</f>
        <v>Haantjes, Menno</v>
      </c>
      <c r="B3363" s="3">
        <f ca="1">IFERROR(__xludf.DUMMYFUNCTION("""COMPUTED_VALUE"""),1)</f>
        <v>1</v>
      </c>
      <c r="C3363" s="7">
        <f ca="1">IFERROR(__xludf.DUMMYFUNCTION("""COMPUTED_VALUE"""),1)</f>
        <v>1</v>
      </c>
      <c r="D3363" s="8">
        <f ca="1">IFERROR(__xludf.DUMMYFUNCTION("""COMPUTED_VALUE"""),1)</f>
        <v>1</v>
      </c>
      <c r="E3363" s="2">
        <f ca="1">IFERROR(__xludf.DUMMYFUNCTION("""COMPUTED_VALUE"""),1)</f>
        <v>1</v>
      </c>
    </row>
    <row r="3364" spans="1:5" ht="13">
      <c r="A3364" s="2" t="str">
        <f ca="1">IFERROR(__xludf.DUMMYFUNCTION("""COMPUTED_VALUE"""),"Haas, Chris")</f>
        <v>Haas, Chris</v>
      </c>
      <c r="B3364" s="2">
        <f ca="1">IFERROR(__xludf.DUMMYFUNCTION("""COMPUTED_VALUE"""),1)</f>
        <v>1</v>
      </c>
      <c r="C3364" s="7">
        <f ca="1">IFERROR(__xludf.DUMMYFUNCTION("""COMPUTED_VALUE"""),1)</f>
        <v>1</v>
      </c>
      <c r="D3364" s="8">
        <f ca="1">IFERROR(__xludf.DUMMYFUNCTION("""COMPUTED_VALUE"""),1)</f>
        <v>1</v>
      </c>
      <c r="E3364" s="2">
        <f ca="1">IFERROR(__xludf.DUMMYFUNCTION("""COMPUTED_VALUE"""),1)</f>
        <v>1</v>
      </c>
    </row>
    <row r="3365" spans="1:5" ht="13">
      <c r="A3365" s="2" t="str">
        <f ca="1">IFERROR(__xludf.DUMMYFUNCTION("""COMPUTED_VALUE"""),"Haas, David")</f>
        <v>Haas, David</v>
      </c>
      <c r="B3365" s="3">
        <f ca="1">IFERROR(__xludf.DUMMYFUNCTION("""COMPUTED_VALUE"""),1)</f>
        <v>1</v>
      </c>
      <c r="C3365" s="7">
        <f ca="1">IFERROR(__xludf.DUMMYFUNCTION("""COMPUTED_VALUE"""),1)</f>
        <v>1</v>
      </c>
      <c r="D3365" s="8">
        <f ca="1">IFERROR(__xludf.DUMMYFUNCTION("""COMPUTED_VALUE"""),1)</f>
        <v>1</v>
      </c>
      <c r="E3365" s="2">
        <f ca="1">IFERROR(__xludf.DUMMYFUNCTION("""COMPUTED_VALUE"""),1)</f>
        <v>1</v>
      </c>
    </row>
    <row r="3366" spans="1:5" ht="13">
      <c r="A3366" s="2" t="str">
        <f ca="1">IFERROR(__xludf.DUMMYFUNCTION("""COMPUTED_VALUE"""),"Haas, Georg Friedrich")</f>
        <v>Haas, Georg Friedrich</v>
      </c>
      <c r="B3366" s="3">
        <f ca="1">IFERROR(__xludf.DUMMYFUNCTION("""COMPUTED_VALUE"""),1)</f>
        <v>1</v>
      </c>
      <c r="C3366" s="7">
        <f ca="1">IFERROR(__xludf.DUMMYFUNCTION("""COMPUTED_VALUE"""),1)</f>
        <v>1</v>
      </c>
      <c r="D3366" s="8">
        <f ca="1">IFERROR(__xludf.DUMMYFUNCTION("""COMPUTED_VALUE"""),1)</f>
        <v>1</v>
      </c>
      <c r="E3366" s="2">
        <f ca="1">IFERROR(__xludf.DUMMYFUNCTION("""COMPUTED_VALUE"""),1)</f>
        <v>1</v>
      </c>
    </row>
    <row r="3367" spans="1:5" ht="13">
      <c r="A3367" s="2" t="str">
        <f ca="1">IFERROR(__xludf.DUMMYFUNCTION("""COMPUTED_VALUE"""),"Haas, Jeffrey")</f>
        <v>Haas, Jeffrey</v>
      </c>
      <c r="B3367" s="3">
        <f ca="1">IFERROR(__xludf.DUMMYFUNCTION("""COMPUTED_VALUE"""),1)</f>
        <v>1</v>
      </c>
      <c r="C3367" s="7">
        <f ca="1">IFERROR(__xludf.DUMMYFUNCTION("""COMPUTED_VALUE"""),1)</f>
        <v>1</v>
      </c>
      <c r="D3367" s="8">
        <f ca="1">IFERROR(__xludf.DUMMYFUNCTION("""COMPUTED_VALUE"""),1)</f>
        <v>1</v>
      </c>
      <c r="E3367" s="2">
        <f ca="1">IFERROR(__xludf.DUMMYFUNCTION("""COMPUTED_VALUE"""),1)</f>
        <v>1</v>
      </c>
    </row>
    <row r="3368" spans="1:5" ht="13">
      <c r="A3368" s="2" t="str">
        <f ca="1">IFERROR(__xludf.DUMMYFUNCTION("""COMPUTED_VALUE"""),"Haas, Paul")</f>
        <v>Haas, Paul</v>
      </c>
      <c r="B3368" s="3">
        <f ca="1">IFERROR(__xludf.DUMMYFUNCTION("""COMPUTED_VALUE"""),1)</f>
        <v>1</v>
      </c>
      <c r="C3368" s="7">
        <f ca="1">IFERROR(__xludf.DUMMYFUNCTION("""COMPUTED_VALUE"""),1)</f>
        <v>1</v>
      </c>
      <c r="D3368" s="8">
        <f ca="1">IFERROR(__xludf.DUMMYFUNCTION("""COMPUTED_VALUE"""),1)</f>
        <v>1</v>
      </c>
      <c r="E3368" s="2">
        <f ca="1">IFERROR(__xludf.DUMMYFUNCTION("""COMPUTED_VALUE"""),1)</f>
        <v>1</v>
      </c>
    </row>
    <row r="3369" spans="1:5" ht="13">
      <c r="A3369" s="2" t="str">
        <f ca="1">IFERROR(__xludf.DUMMYFUNCTION("""COMPUTED_VALUE"""),"Haas, Pavel")</f>
        <v>Haas, Pavel</v>
      </c>
      <c r="B3369" s="3">
        <f ca="1">IFERROR(__xludf.DUMMYFUNCTION("""COMPUTED_VALUE"""),1)</f>
        <v>1</v>
      </c>
      <c r="C3369" s="7">
        <f ca="1">IFERROR(__xludf.DUMMYFUNCTION("""COMPUTED_VALUE"""),1)</f>
        <v>1</v>
      </c>
      <c r="D3369" s="8">
        <f ca="1">IFERROR(__xludf.DUMMYFUNCTION("""COMPUTED_VALUE"""),5)</f>
        <v>5</v>
      </c>
      <c r="E3369" s="2">
        <f ca="1">IFERROR(__xludf.DUMMYFUNCTION("""COMPUTED_VALUE"""),2)</f>
        <v>2</v>
      </c>
    </row>
    <row r="3370" spans="1:5" ht="13">
      <c r="A3370" s="2" t="str">
        <f ca="1">IFERROR(__xludf.DUMMYFUNCTION("""COMPUTED_VALUE"""),"Haas, Wolfgang G.")</f>
        <v>Haas, Wolfgang G.</v>
      </c>
      <c r="B3370" s="3">
        <f ca="1">IFERROR(__xludf.DUMMYFUNCTION("""COMPUTED_VALUE"""),1)</f>
        <v>1</v>
      </c>
      <c r="C3370" s="7">
        <f ca="1">IFERROR(__xludf.DUMMYFUNCTION("""COMPUTED_VALUE"""),1)</f>
        <v>1</v>
      </c>
      <c r="D3370" s="8">
        <f ca="1">IFERROR(__xludf.DUMMYFUNCTION("""COMPUTED_VALUE"""),1)</f>
        <v>1</v>
      </c>
      <c r="E3370" s="2">
        <f ca="1">IFERROR(__xludf.DUMMYFUNCTION("""COMPUTED_VALUE"""),1)</f>
        <v>1</v>
      </c>
    </row>
    <row r="3371" spans="1:5" ht="13">
      <c r="A3371" s="2" t="str">
        <f ca="1">IFERROR(__xludf.DUMMYFUNCTION("""COMPUTED_VALUE"""),"Habash, John Mitri")</f>
        <v>Habash, John Mitri</v>
      </c>
      <c r="B3371" s="2">
        <f ca="1">IFERROR(__xludf.DUMMYFUNCTION("""COMPUTED_VALUE"""),1)</f>
        <v>1</v>
      </c>
      <c r="C3371" s="7">
        <f ca="1">IFERROR(__xludf.DUMMYFUNCTION("""COMPUTED_VALUE"""),1)</f>
        <v>1</v>
      </c>
      <c r="D3371" s="8">
        <f ca="1">IFERROR(__xludf.DUMMYFUNCTION("""COMPUTED_VALUE"""),5)</f>
        <v>5</v>
      </c>
      <c r="E3371" s="2">
        <f ca="1">IFERROR(__xludf.DUMMYFUNCTION("""COMPUTED_VALUE"""),2)</f>
        <v>2</v>
      </c>
    </row>
    <row r="3372" spans="1:5" ht="13">
      <c r="A3372" s="2" t="str">
        <f ca="1">IFERROR(__xludf.DUMMYFUNCTION("""COMPUTED_VALUE"""),"Haber, Yotam")</f>
        <v>Haber, Yotam</v>
      </c>
      <c r="B3372" s="3">
        <f ca="1">IFERROR(__xludf.DUMMYFUNCTION("""COMPUTED_VALUE"""),1)</f>
        <v>1</v>
      </c>
      <c r="C3372" s="7">
        <f ca="1">IFERROR(__xludf.DUMMYFUNCTION("""COMPUTED_VALUE"""),1)</f>
        <v>1</v>
      </c>
      <c r="D3372" s="8">
        <f ca="1">IFERROR(__xludf.DUMMYFUNCTION("""COMPUTED_VALUE"""),1)</f>
        <v>1</v>
      </c>
      <c r="E3372" s="2">
        <f ca="1">IFERROR(__xludf.DUMMYFUNCTION("""COMPUTED_VALUE"""),1)</f>
        <v>1</v>
      </c>
    </row>
    <row r="3373" spans="1:5" ht="13">
      <c r="A3373" s="8" t="str">
        <f ca="1">IFERROR(__xludf.DUMMYFUNCTION("""COMPUTED_VALUE"""),"Haberlen, John")</f>
        <v>Haberlen, John</v>
      </c>
      <c r="B3373" s="3">
        <f ca="1">IFERROR(__xludf.DUMMYFUNCTION("""COMPUTED_VALUE"""),1)</f>
        <v>1</v>
      </c>
      <c r="C3373" s="7">
        <f ca="1">IFERROR(__xludf.DUMMYFUNCTION("""COMPUTED_VALUE"""),1)</f>
        <v>1</v>
      </c>
      <c r="D3373" s="8">
        <f ca="1">IFERROR(__xludf.DUMMYFUNCTION("""COMPUTED_VALUE"""),1)</f>
        <v>1</v>
      </c>
      <c r="E3373" s="2">
        <f ca="1">IFERROR(__xludf.DUMMYFUNCTION("""COMPUTED_VALUE"""),1)</f>
        <v>1</v>
      </c>
    </row>
    <row r="3374" spans="1:5" ht="13">
      <c r="A3374" s="2" t="str">
        <f ca="1">IFERROR(__xludf.DUMMYFUNCTION("""COMPUTED_VALUE"""),"Hackman, Steve")</f>
        <v>Hackman, Steve</v>
      </c>
      <c r="B3374" s="3">
        <f ca="1">IFERROR(__xludf.DUMMYFUNCTION("""COMPUTED_VALUE"""),1)</f>
        <v>1</v>
      </c>
      <c r="C3374" s="7">
        <f ca="1">IFERROR(__xludf.DUMMYFUNCTION("""COMPUTED_VALUE"""),1)</f>
        <v>1</v>
      </c>
      <c r="D3374" s="8">
        <f ca="1">IFERROR(__xludf.DUMMYFUNCTION("""COMPUTED_VALUE"""),1)</f>
        <v>1</v>
      </c>
      <c r="E3374" s="2">
        <f ca="1">IFERROR(__xludf.DUMMYFUNCTION("""COMPUTED_VALUE"""),1)</f>
        <v>1</v>
      </c>
    </row>
    <row r="3375" spans="1:5" ht="13">
      <c r="A3375" s="2" t="str">
        <f ca="1">IFERROR(__xludf.DUMMYFUNCTION("""COMPUTED_VALUE"""),"Hadar, Yosef")</f>
        <v>Hadar, Yosef</v>
      </c>
      <c r="B3375" s="3">
        <f ca="1">IFERROR(__xludf.DUMMYFUNCTION("""COMPUTED_VALUE"""),1)</f>
        <v>1</v>
      </c>
      <c r="C3375" s="7">
        <f ca="1">IFERROR(__xludf.DUMMYFUNCTION("""COMPUTED_VALUE"""),1)</f>
        <v>1</v>
      </c>
      <c r="D3375" s="8">
        <f ca="1">IFERROR(__xludf.DUMMYFUNCTION("""COMPUTED_VALUE"""),5)</f>
        <v>5</v>
      </c>
      <c r="E3375" s="2">
        <f ca="1">IFERROR(__xludf.DUMMYFUNCTION("""COMPUTED_VALUE"""),2)</f>
        <v>2</v>
      </c>
    </row>
    <row r="3376" spans="1:5" ht="13">
      <c r="A3376" s="2" t="str">
        <f ca="1">IFERROR(__xludf.DUMMYFUNCTION("""COMPUTED_VALUE"""),"Haddad, Donald")</f>
        <v>Haddad, Donald</v>
      </c>
      <c r="B3376" s="2">
        <f ca="1">IFERROR(__xludf.DUMMYFUNCTION("""COMPUTED_VALUE"""),1)</f>
        <v>1</v>
      </c>
      <c r="C3376" s="7">
        <f ca="1">IFERROR(__xludf.DUMMYFUNCTION("""COMPUTED_VALUE"""),1)</f>
        <v>1</v>
      </c>
      <c r="D3376" s="8">
        <f ca="1">IFERROR(__xludf.DUMMYFUNCTION("""COMPUTED_VALUE"""),5)</f>
        <v>5</v>
      </c>
      <c r="E3376" s="2">
        <f ca="1">IFERROR(__xludf.DUMMYFUNCTION("""COMPUTED_VALUE"""),2)</f>
        <v>2</v>
      </c>
    </row>
    <row r="3377" spans="1:5" ht="13">
      <c r="A3377" s="2" t="str">
        <f ca="1">IFERROR(__xludf.DUMMYFUNCTION("""COMPUTED_VALUE"""),"Hadermann, Jan")</f>
        <v>Hadermann, Jan</v>
      </c>
      <c r="B3377" s="3">
        <f ca="1">IFERROR(__xludf.DUMMYFUNCTION("""COMPUTED_VALUE"""),1)</f>
        <v>1</v>
      </c>
      <c r="C3377" s="7">
        <f ca="1">IFERROR(__xludf.DUMMYFUNCTION("""COMPUTED_VALUE"""),1)</f>
        <v>1</v>
      </c>
      <c r="D3377" s="8">
        <f ca="1">IFERROR(__xludf.DUMMYFUNCTION("""COMPUTED_VALUE"""),1)</f>
        <v>1</v>
      </c>
      <c r="E3377" s="2">
        <f ca="1">IFERROR(__xludf.DUMMYFUNCTION("""COMPUTED_VALUE"""),1)</f>
        <v>1</v>
      </c>
    </row>
    <row r="3378" spans="1:5" ht="13">
      <c r="A3378" s="2" t="str">
        <f ca="1">IFERROR(__xludf.DUMMYFUNCTION("""COMPUTED_VALUE"""),"Hadley, Henry")</f>
        <v>Hadley, Henry</v>
      </c>
      <c r="B3378" s="2">
        <f ca="1">IFERROR(__xludf.DUMMYFUNCTION("""COMPUTED_VALUE"""),1)</f>
        <v>1</v>
      </c>
      <c r="C3378" s="7">
        <f ca="1">IFERROR(__xludf.DUMMYFUNCTION("""COMPUTED_VALUE"""),1)</f>
        <v>1</v>
      </c>
      <c r="D3378" s="8">
        <f ca="1">IFERROR(__xludf.DUMMYFUNCTION("""COMPUTED_VALUE"""),5)</f>
        <v>5</v>
      </c>
      <c r="E3378" s="2">
        <f ca="1">IFERROR(__xludf.DUMMYFUNCTION("""COMPUTED_VALUE"""),2)</f>
        <v>2</v>
      </c>
    </row>
    <row r="3379" spans="1:5" ht="13">
      <c r="A3379" s="2" t="str">
        <f ca="1">IFERROR(__xludf.DUMMYFUNCTION("""COMPUTED_VALUE"""),"Hadley, Henry Kimball")</f>
        <v>Hadley, Henry Kimball</v>
      </c>
      <c r="B3379" s="2">
        <f ca="1">IFERROR(__xludf.DUMMYFUNCTION("""COMPUTED_VALUE"""),1)</f>
        <v>1</v>
      </c>
      <c r="C3379" s="7">
        <f ca="1">IFERROR(__xludf.DUMMYFUNCTION("""COMPUTED_VALUE"""),1)</f>
        <v>1</v>
      </c>
      <c r="D3379" s="8">
        <f ca="1">IFERROR(__xludf.DUMMYFUNCTION("""COMPUTED_VALUE"""),5)</f>
        <v>5</v>
      </c>
      <c r="E3379" s="2">
        <f ca="1">IFERROR(__xludf.DUMMYFUNCTION("""COMPUTED_VALUE"""),2)</f>
        <v>2</v>
      </c>
    </row>
    <row r="3380" spans="1:5" ht="13">
      <c r="A3380" s="2" t="str">
        <f ca="1">IFERROR(__xludf.DUMMYFUNCTION("""COMPUTED_VALUE"""),"Haeger, Buzz")</f>
        <v>Haeger, Buzz</v>
      </c>
      <c r="B3380" s="2">
        <f ca="1">IFERROR(__xludf.DUMMYFUNCTION("""COMPUTED_VALUE"""),1)</f>
        <v>1</v>
      </c>
      <c r="C3380" s="7">
        <f ca="1">IFERROR(__xludf.DUMMYFUNCTION("""COMPUTED_VALUE"""),1)</f>
        <v>1</v>
      </c>
      <c r="D3380" s="8">
        <f ca="1">IFERROR(__xludf.DUMMYFUNCTION("""COMPUTED_VALUE"""),5)</f>
        <v>5</v>
      </c>
      <c r="E3380" s="2">
        <f ca="1">IFERROR(__xludf.DUMMYFUNCTION("""COMPUTED_VALUE"""),2)</f>
        <v>2</v>
      </c>
    </row>
    <row r="3381" spans="1:5" ht="13">
      <c r="A3381" s="8" t="str">
        <f ca="1">IFERROR(__xludf.DUMMYFUNCTION("""COMPUTED_VALUE"""),"Haensch, Eduard")</f>
        <v>Haensch, Eduard</v>
      </c>
      <c r="B3381" s="3">
        <f ca="1">IFERROR(__xludf.DUMMYFUNCTION("""COMPUTED_VALUE"""),1)</f>
        <v>1</v>
      </c>
      <c r="C3381" s="7">
        <f ca="1">IFERROR(__xludf.DUMMYFUNCTION("""COMPUTED_VALUE"""),1)</f>
        <v>1</v>
      </c>
      <c r="D3381" s="8">
        <f ca="1">IFERROR(__xludf.DUMMYFUNCTION("""COMPUTED_VALUE"""),5)</f>
        <v>5</v>
      </c>
      <c r="E3381" s="2">
        <f ca="1">IFERROR(__xludf.DUMMYFUNCTION("""COMPUTED_VALUE"""),2)</f>
        <v>2</v>
      </c>
    </row>
    <row r="3382" spans="1:5" ht="13">
      <c r="A3382" s="2" t="str">
        <f ca="1">IFERROR(__xludf.DUMMYFUNCTION("""COMPUTED_VALUE"""),"Haenschen, Gustave")</f>
        <v>Haenschen, Gustave</v>
      </c>
      <c r="B3382" s="2">
        <f ca="1">IFERROR(__xludf.DUMMYFUNCTION("""COMPUTED_VALUE"""),1)</f>
        <v>1</v>
      </c>
      <c r="C3382" s="7">
        <f ca="1">IFERROR(__xludf.DUMMYFUNCTION("""COMPUTED_VALUE"""),1)</f>
        <v>1</v>
      </c>
      <c r="D3382" s="8">
        <f ca="1">IFERROR(__xludf.DUMMYFUNCTION("""COMPUTED_VALUE"""),5)</f>
        <v>5</v>
      </c>
      <c r="E3382" s="2">
        <f ca="1">IFERROR(__xludf.DUMMYFUNCTION("""COMPUTED_VALUE"""),2)</f>
        <v>2</v>
      </c>
    </row>
    <row r="3383" spans="1:5" ht="13">
      <c r="A3383" s="2" t="str">
        <f ca="1">IFERROR(__xludf.DUMMYFUNCTION("""COMPUTED_VALUE"""),"Haes, Tom de")</f>
        <v>Haes, Tom de</v>
      </c>
      <c r="B3383" s="3">
        <f ca="1">IFERROR(__xludf.DUMMYFUNCTION("""COMPUTED_VALUE"""),1)</f>
        <v>1</v>
      </c>
      <c r="C3383" s="7">
        <f ca="1">IFERROR(__xludf.DUMMYFUNCTION("""COMPUTED_VALUE"""),1)</f>
        <v>1</v>
      </c>
      <c r="D3383" s="8">
        <f ca="1">IFERROR(__xludf.DUMMYFUNCTION("""COMPUTED_VALUE"""),1)</f>
        <v>1</v>
      </c>
      <c r="E3383" s="2">
        <f ca="1">IFERROR(__xludf.DUMMYFUNCTION("""COMPUTED_VALUE"""),1)</f>
        <v>1</v>
      </c>
    </row>
    <row r="3384" spans="1:5" ht="13">
      <c r="A3384" s="2" t="str">
        <f ca="1">IFERROR(__xludf.DUMMYFUNCTION("""COMPUTED_VALUE"""),"Hafso, Marc")</f>
        <v>Hafso, Marc</v>
      </c>
      <c r="B3384" s="3">
        <f ca="1">IFERROR(__xludf.DUMMYFUNCTION("""COMPUTED_VALUE"""),1)</f>
        <v>1</v>
      </c>
      <c r="C3384" s="7">
        <f ca="1">IFERROR(__xludf.DUMMYFUNCTION("""COMPUTED_VALUE"""),1)</f>
        <v>1</v>
      </c>
      <c r="D3384" s="8">
        <f ca="1">IFERROR(__xludf.DUMMYFUNCTION("""COMPUTED_VALUE"""),1)</f>
        <v>1</v>
      </c>
      <c r="E3384" s="2">
        <f ca="1">IFERROR(__xludf.DUMMYFUNCTION("""COMPUTED_VALUE"""),1)</f>
        <v>1</v>
      </c>
    </row>
    <row r="3385" spans="1:5" ht="13">
      <c r="A3385" s="2" t="str">
        <f ca="1">IFERROR(__xludf.DUMMYFUNCTION("""COMPUTED_VALUE"""),"Hageman, Philip")</f>
        <v>Hageman, Philip</v>
      </c>
      <c r="B3385" s="3">
        <f ca="1">IFERROR(__xludf.DUMMYFUNCTION("""COMPUTED_VALUE"""),1)</f>
        <v>1</v>
      </c>
      <c r="C3385" s="7">
        <f ca="1">IFERROR(__xludf.DUMMYFUNCTION("""COMPUTED_VALUE"""),1)</f>
        <v>1</v>
      </c>
      <c r="D3385" s="8">
        <f ca="1">IFERROR(__xludf.DUMMYFUNCTION("""COMPUTED_VALUE"""),1)</f>
        <v>1</v>
      </c>
      <c r="E3385" s="2">
        <f ca="1">IFERROR(__xludf.DUMMYFUNCTION("""COMPUTED_VALUE"""),1)</f>
        <v>1</v>
      </c>
    </row>
    <row r="3386" spans="1:5" ht="13">
      <c r="A3386" s="2" t="str">
        <f ca="1">IFERROR(__xludf.DUMMYFUNCTION("""COMPUTED_VALUE"""),"Hagen, Daron")</f>
        <v>Hagen, Daron</v>
      </c>
      <c r="B3386" s="3">
        <f ca="1">IFERROR(__xludf.DUMMYFUNCTION("""COMPUTED_VALUE"""),1)</f>
        <v>1</v>
      </c>
      <c r="C3386" s="7">
        <f ca="1">IFERROR(__xludf.DUMMYFUNCTION("""COMPUTED_VALUE"""),1)</f>
        <v>1</v>
      </c>
      <c r="D3386" s="8">
        <f ca="1">IFERROR(__xludf.DUMMYFUNCTION("""COMPUTED_VALUE"""),1)</f>
        <v>1</v>
      </c>
      <c r="E3386" s="2">
        <f ca="1">IFERROR(__xludf.DUMMYFUNCTION("""COMPUTED_VALUE"""),1)</f>
        <v>1</v>
      </c>
    </row>
    <row r="3387" spans="1:5" ht="13">
      <c r="A3387" s="2" t="str">
        <f ca="1">IFERROR(__xludf.DUMMYFUNCTION("""COMPUTED_VALUE"""),"Hagen, Daron Aric")</f>
        <v>Hagen, Daron Aric</v>
      </c>
      <c r="B3387" s="3">
        <f ca="1">IFERROR(__xludf.DUMMYFUNCTION("""COMPUTED_VALUE"""),1)</f>
        <v>1</v>
      </c>
      <c r="C3387" s="7">
        <f ca="1">IFERROR(__xludf.DUMMYFUNCTION("""COMPUTED_VALUE"""),1)</f>
        <v>1</v>
      </c>
      <c r="D3387" s="8">
        <f ca="1">IFERROR(__xludf.DUMMYFUNCTION("""COMPUTED_VALUE"""),1)</f>
        <v>1</v>
      </c>
      <c r="E3387" s="2">
        <f ca="1">IFERROR(__xludf.DUMMYFUNCTION("""COMPUTED_VALUE"""),1)</f>
        <v>1</v>
      </c>
    </row>
    <row r="3388" spans="1:5" ht="13">
      <c r="A3388" s="2" t="str">
        <f ca="1">IFERROR(__xludf.DUMMYFUNCTION("""COMPUTED_VALUE"""),"Hagen, Earle")</f>
        <v>Hagen, Earle</v>
      </c>
      <c r="B3388" s="2">
        <f ca="1">IFERROR(__xludf.DUMMYFUNCTION("""COMPUTED_VALUE"""),1)</f>
        <v>1</v>
      </c>
      <c r="C3388" s="7">
        <f ca="1">IFERROR(__xludf.DUMMYFUNCTION("""COMPUTED_VALUE"""),1)</f>
        <v>1</v>
      </c>
      <c r="D3388" s="8">
        <f ca="1">IFERROR(__xludf.DUMMYFUNCTION("""COMPUTED_VALUE"""),5)</f>
        <v>5</v>
      </c>
      <c r="E3388" s="2">
        <f ca="1">IFERROR(__xludf.DUMMYFUNCTION("""COMPUTED_VALUE"""),2)</f>
        <v>2</v>
      </c>
    </row>
    <row r="3389" spans="1:5" ht="13">
      <c r="A3389" s="2" t="str">
        <f ca="1">IFERROR(__xludf.DUMMYFUNCTION("""COMPUTED_VALUE"""),"Hagen, Timothy")</f>
        <v>Hagen, Timothy</v>
      </c>
      <c r="B3389" s="2">
        <f ca="1">IFERROR(__xludf.DUMMYFUNCTION("""COMPUTED_VALUE"""),1)</f>
        <v>1</v>
      </c>
      <c r="C3389" s="2">
        <f ca="1">IFERROR(__xludf.DUMMYFUNCTION("""COMPUTED_VALUE"""),1)</f>
        <v>1</v>
      </c>
      <c r="D3389" s="8">
        <f ca="1">IFERROR(__xludf.DUMMYFUNCTION("""COMPUTED_VALUE"""),1)</f>
        <v>1</v>
      </c>
      <c r="E3389" s="2">
        <f ca="1">IFERROR(__xludf.DUMMYFUNCTION("""COMPUTED_VALUE"""),1)</f>
        <v>1</v>
      </c>
    </row>
    <row r="3390" spans="1:5" ht="13">
      <c r="A3390" s="2" t="str">
        <f ca="1">IFERROR(__xludf.DUMMYFUNCTION("""COMPUTED_VALUE"""),"Haggart, Bob")</f>
        <v>Haggart, Bob</v>
      </c>
      <c r="B3390" s="3">
        <f ca="1">IFERROR(__xludf.DUMMYFUNCTION("""COMPUTED_VALUE"""),1)</f>
        <v>1</v>
      </c>
      <c r="C3390" s="7">
        <f ca="1">IFERROR(__xludf.DUMMYFUNCTION("""COMPUTED_VALUE"""),1)</f>
        <v>1</v>
      </c>
      <c r="D3390" s="8">
        <f ca="1">IFERROR(__xludf.DUMMYFUNCTION("""COMPUTED_VALUE"""),5)</f>
        <v>5</v>
      </c>
      <c r="E3390" s="2">
        <f ca="1">IFERROR(__xludf.DUMMYFUNCTION("""COMPUTED_VALUE"""),2)</f>
        <v>2</v>
      </c>
    </row>
    <row r="3391" spans="1:5" ht="13">
      <c r="A3391" s="2" t="str">
        <f ca="1">IFERROR(__xludf.DUMMYFUNCTION("""COMPUTED_VALUE"""),"Haggart, Robert")</f>
        <v>Haggart, Robert</v>
      </c>
      <c r="B3391" s="3">
        <f ca="1">IFERROR(__xludf.DUMMYFUNCTION("""COMPUTED_VALUE"""),1)</f>
        <v>1</v>
      </c>
      <c r="C3391" s="7">
        <f ca="1">IFERROR(__xludf.DUMMYFUNCTION("""COMPUTED_VALUE"""),1)</f>
        <v>1</v>
      </c>
      <c r="D3391" s="8">
        <f ca="1">IFERROR(__xludf.DUMMYFUNCTION("""COMPUTED_VALUE"""),5)</f>
        <v>5</v>
      </c>
      <c r="E3391" s="2">
        <f ca="1">IFERROR(__xludf.DUMMYFUNCTION("""COMPUTED_VALUE"""),2)</f>
        <v>2</v>
      </c>
    </row>
    <row r="3392" spans="1:5" ht="13">
      <c r="A3392" s="2" t="str">
        <f ca="1">IFERROR(__xludf.DUMMYFUNCTION("""COMPUTED_VALUE"""),"Hagius, Conrad")</f>
        <v>Hagius, Conrad</v>
      </c>
      <c r="B3392" s="2">
        <f ca="1">IFERROR(__xludf.DUMMYFUNCTION("""COMPUTED_VALUE"""),1)</f>
        <v>1</v>
      </c>
      <c r="C3392" s="7">
        <f ca="1">IFERROR(__xludf.DUMMYFUNCTION("""COMPUTED_VALUE"""),1)</f>
        <v>1</v>
      </c>
      <c r="D3392" s="8">
        <f ca="1">IFERROR(__xludf.DUMMYFUNCTION("""COMPUTED_VALUE"""),5)</f>
        <v>5</v>
      </c>
      <c r="E3392" s="2">
        <f ca="1">IFERROR(__xludf.DUMMYFUNCTION("""COMPUTED_VALUE"""),2)</f>
        <v>2</v>
      </c>
    </row>
    <row r="3393" spans="1:5" ht="13">
      <c r="A3393" s="2" t="str">
        <f ca="1">IFERROR(__xludf.DUMMYFUNCTION("""COMPUTED_VALUE"""),"Hague, Albert")</f>
        <v>Hague, Albert</v>
      </c>
      <c r="B3393" s="3">
        <f ca="1">IFERROR(__xludf.DUMMYFUNCTION("""COMPUTED_VALUE"""),1)</f>
        <v>1</v>
      </c>
      <c r="C3393" s="7">
        <f ca="1">IFERROR(__xludf.DUMMYFUNCTION("""COMPUTED_VALUE"""),1)</f>
        <v>1</v>
      </c>
      <c r="D3393" s="8">
        <f ca="1">IFERROR(__xludf.DUMMYFUNCTION("""COMPUTED_VALUE"""),5)</f>
        <v>5</v>
      </c>
      <c r="E3393" s="2">
        <f ca="1">IFERROR(__xludf.DUMMYFUNCTION("""COMPUTED_VALUE"""),2)</f>
        <v>2</v>
      </c>
    </row>
    <row r="3394" spans="1:5" ht="13">
      <c r="A3394" s="2" t="str">
        <f ca="1">IFERROR(__xludf.DUMMYFUNCTION("""COMPUTED_VALUE"""),"Hague, Albert / Eugene Poddany")</f>
        <v>Hague, Albert / Eugene Poddany</v>
      </c>
      <c r="B3394" s="3">
        <f ca="1">IFERROR(__xludf.DUMMYFUNCTION("""COMPUTED_VALUE"""),1)</f>
        <v>1</v>
      </c>
      <c r="C3394" s="7">
        <f ca="1">IFERROR(__xludf.DUMMYFUNCTION("""COMPUTED_VALUE"""),1)</f>
        <v>1</v>
      </c>
      <c r="D3394" s="8">
        <f ca="1">IFERROR(__xludf.DUMMYFUNCTION("""COMPUTED_VALUE"""),5)</f>
        <v>5</v>
      </c>
      <c r="E3394" s="2">
        <f ca="1">IFERROR(__xludf.DUMMYFUNCTION("""COMPUTED_VALUE"""),2)</f>
        <v>2</v>
      </c>
    </row>
    <row r="3395" spans="1:5" ht="13">
      <c r="A3395" s="2" t="str">
        <f ca="1">IFERROR(__xludf.DUMMYFUNCTION("""COMPUTED_VALUE"""),"Hague, Albert / Horwitt, Arnold B.")</f>
        <v>Hague, Albert / Horwitt, Arnold B.</v>
      </c>
      <c r="B3395" s="2">
        <f ca="1">IFERROR(__xludf.DUMMYFUNCTION("""COMPUTED_VALUE"""),1)</f>
        <v>1</v>
      </c>
      <c r="C3395" s="7">
        <f ca="1">IFERROR(__xludf.DUMMYFUNCTION("""COMPUTED_VALUE"""),1)</f>
        <v>1</v>
      </c>
      <c r="D3395" s="8">
        <f ca="1">IFERROR(__xludf.DUMMYFUNCTION("""COMPUTED_VALUE"""),5)</f>
        <v>5</v>
      </c>
      <c r="E3395" s="2">
        <f ca="1">IFERROR(__xludf.DUMMYFUNCTION("""COMPUTED_VALUE"""),2)</f>
        <v>2</v>
      </c>
    </row>
    <row r="3396" spans="1:5" ht="13">
      <c r="A3396" s="2" t="str">
        <f ca="1">IFERROR(__xludf.DUMMYFUNCTION("""COMPUTED_VALUE"""),"Hahn, Carl")</f>
        <v>Hahn, Carl</v>
      </c>
      <c r="B3396" s="3">
        <f ca="1">IFERROR(__xludf.DUMMYFUNCTION("""COMPUTED_VALUE"""),1)</f>
        <v>1</v>
      </c>
      <c r="C3396" s="7">
        <f ca="1">IFERROR(__xludf.DUMMYFUNCTION("""COMPUTED_VALUE"""),1)</f>
        <v>1</v>
      </c>
      <c r="D3396" s="8">
        <f ca="1">IFERROR(__xludf.DUMMYFUNCTION("""COMPUTED_VALUE"""),5)</f>
        <v>5</v>
      </c>
      <c r="E3396" s="2">
        <f ca="1">IFERROR(__xludf.DUMMYFUNCTION("""COMPUTED_VALUE"""),2)</f>
        <v>2</v>
      </c>
    </row>
    <row r="3397" spans="1:5" ht="13">
      <c r="A3397" s="2" t="str">
        <f ca="1">IFERROR(__xludf.DUMMYFUNCTION("""COMPUTED_VALUE"""),"Hakenberger, Andreas")</f>
        <v>Hakenberger, Andreas</v>
      </c>
      <c r="B3397" s="3">
        <f ca="1">IFERROR(__xludf.DUMMYFUNCTION("""COMPUTED_VALUE"""),1)</f>
        <v>1</v>
      </c>
      <c r="C3397" s="7">
        <f ca="1">IFERROR(__xludf.DUMMYFUNCTION("""COMPUTED_VALUE"""),1)</f>
        <v>1</v>
      </c>
      <c r="D3397" s="8">
        <f ca="1">IFERROR(__xludf.DUMMYFUNCTION("""COMPUTED_VALUE"""),5)</f>
        <v>5</v>
      </c>
      <c r="E3397" s="2">
        <f ca="1">IFERROR(__xludf.DUMMYFUNCTION("""COMPUTED_VALUE"""),2)</f>
        <v>2</v>
      </c>
    </row>
    <row r="3398" spans="1:5" ht="13">
      <c r="A3398" s="2" t="str">
        <f ca="1">IFERROR(__xludf.DUMMYFUNCTION("""COMPUTED_VALUE"""),"Hakola, Kimmo")</f>
        <v>Hakola, Kimmo</v>
      </c>
      <c r="B3398" s="3">
        <f ca="1">IFERROR(__xludf.DUMMYFUNCTION("""COMPUTED_VALUE"""),1)</f>
        <v>1</v>
      </c>
      <c r="C3398" s="7">
        <f ca="1">IFERROR(__xludf.DUMMYFUNCTION("""COMPUTED_VALUE"""),1)</f>
        <v>1</v>
      </c>
      <c r="D3398" s="8">
        <f ca="1">IFERROR(__xludf.DUMMYFUNCTION("""COMPUTED_VALUE"""),1)</f>
        <v>1</v>
      </c>
      <c r="E3398" s="2">
        <f ca="1">IFERROR(__xludf.DUMMYFUNCTION("""COMPUTED_VALUE"""),1)</f>
        <v>1</v>
      </c>
    </row>
    <row r="3399" spans="1:5" ht="13">
      <c r="A3399" s="8" t="str">
        <f ca="1">IFERROR(__xludf.DUMMYFUNCTION("""COMPUTED_VALUE"""),"Halasz, Kalman")</f>
        <v>Halasz, Kalman</v>
      </c>
      <c r="B3399" s="3">
        <f ca="1">IFERROR(__xludf.DUMMYFUNCTION("""COMPUTED_VALUE"""),1)</f>
        <v>1</v>
      </c>
      <c r="C3399" s="7">
        <f ca="1">IFERROR(__xludf.DUMMYFUNCTION("""COMPUTED_VALUE"""),1)</f>
        <v>1</v>
      </c>
      <c r="D3399" s="8">
        <f ca="1">IFERROR(__xludf.DUMMYFUNCTION("""COMPUTED_VALUE"""),5)</f>
        <v>5</v>
      </c>
      <c r="E3399" s="2">
        <f ca="1">IFERROR(__xludf.DUMMYFUNCTION("""COMPUTED_VALUE"""),2)</f>
        <v>2</v>
      </c>
    </row>
    <row r="3400" spans="1:5" ht="13">
      <c r="A3400" s="8" t="str">
        <f ca="1">IFERROR(__xludf.DUMMYFUNCTION("""COMPUTED_VALUE"""),"Haldeman, Randy")</f>
        <v>Haldeman, Randy</v>
      </c>
      <c r="B3400" s="3">
        <f ca="1">IFERROR(__xludf.DUMMYFUNCTION("""COMPUTED_VALUE"""),1)</f>
        <v>1</v>
      </c>
      <c r="C3400" s="7">
        <f ca="1">IFERROR(__xludf.DUMMYFUNCTION("""COMPUTED_VALUE"""),1)</f>
        <v>1</v>
      </c>
      <c r="D3400" s="8">
        <f ca="1">IFERROR(__xludf.DUMMYFUNCTION("""COMPUTED_VALUE"""),1)</f>
        <v>1</v>
      </c>
      <c r="E3400" s="2">
        <f ca="1">IFERROR(__xludf.DUMMYFUNCTION("""COMPUTED_VALUE"""),1)</f>
        <v>1</v>
      </c>
    </row>
    <row r="3401" spans="1:5" ht="13">
      <c r="A3401" s="2" t="str">
        <f ca="1">IFERROR(__xludf.DUMMYFUNCTION("""COMPUTED_VALUE"""),"Halderman, Randy")</f>
        <v>Halderman, Randy</v>
      </c>
      <c r="B3401" s="3">
        <f ca="1">IFERROR(__xludf.DUMMYFUNCTION("""COMPUTED_VALUE"""),1)</f>
        <v>1</v>
      </c>
      <c r="C3401" s="7">
        <f ca="1">IFERROR(__xludf.DUMMYFUNCTION("""COMPUTED_VALUE"""),1)</f>
        <v>1</v>
      </c>
      <c r="D3401" s="8">
        <f ca="1">IFERROR(__xludf.DUMMYFUNCTION("""COMPUTED_VALUE"""),1)</f>
        <v>1</v>
      </c>
      <c r="E3401" s="2">
        <f ca="1">IFERROR(__xludf.DUMMYFUNCTION("""COMPUTED_VALUE"""),1)</f>
        <v>1</v>
      </c>
    </row>
    <row r="3402" spans="1:5" ht="13">
      <c r="A3402" s="8" t="str">
        <f ca="1">IFERROR(__xludf.DUMMYFUNCTION("""COMPUTED_VALUE"""),"Hale, Mark")</f>
        <v>Hale, Mark</v>
      </c>
      <c r="B3402" s="3">
        <f ca="1">IFERROR(__xludf.DUMMYFUNCTION("""COMPUTED_VALUE"""),1)</f>
        <v>1</v>
      </c>
      <c r="C3402" s="7">
        <f ca="1">IFERROR(__xludf.DUMMYFUNCTION("""COMPUTED_VALUE"""),1)</f>
        <v>1</v>
      </c>
      <c r="D3402" s="8">
        <f ca="1">IFERROR(__xludf.DUMMYFUNCTION("""COMPUTED_VALUE"""),1)</f>
        <v>1</v>
      </c>
      <c r="E3402" s="2">
        <f ca="1">IFERROR(__xludf.DUMMYFUNCTION("""COMPUTED_VALUE"""),1)</f>
        <v>1</v>
      </c>
    </row>
    <row r="3403" spans="1:5" ht="13">
      <c r="A3403" s="8" t="str">
        <f ca="1">IFERROR(__xludf.DUMMYFUNCTION("""COMPUTED_VALUE"""),"Hale, Ralph")</f>
        <v>Hale, Ralph</v>
      </c>
      <c r="B3403" s="3">
        <f ca="1">IFERROR(__xludf.DUMMYFUNCTION("""COMPUTED_VALUE"""),1)</f>
        <v>1</v>
      </c>
      <c r="C3403" s="7">
        <f ca="1">IFERROR(__xludf.DUMMYFUNCTION("""COMPUTED_VALUE"""),1)</f>
        <v>1</v>
      </c>
      <c r="D3403" s="8">
        <f ca="1">IFERROR(__xludf.DUMMYFUNCTION("""COMPUTED_VALUE"""),5)</f>
        <v>5</v>
      </c>
      <c r="E3403" s="2">
        <f ca="1">IFERROR(__xludf.DUMMYFUNCTION("""COMPUTED_VALUE"""),2)</f>
        <v>2</v>
      </c>
    </row>
    <row r="3404" spans="1:5" ht="13">
      <c r="A3404" s="2" t="str">
        <f ca="1">IFERROR(__xludf.DUMMYFUNCTION("""COMPUTED_VALUE"""),"Hale, Ralph / Hale, Jack")</f>
        <v>Hale, Ralph / Hale, Jack</v>
      </c>
      <c r="B3404" s="3">
        <f ca="1">IFERROR(__xludf.DUMMYFUNCTION("""COMPUTED_VALUE"""),1)</f>
        <v>1</v>
      </c>
      <c r="C3404" s="7">
        <f ca="1">IFERROR(__xludf.DUMMYFUNCTION("""COMPUTED_VALUE"""),1)</f>
        <v>1</v>
      </c>
      <c r="D3404" s="8">
        <f ca="1">IFERROR(__xludf.DUMMYFUNCTION("""COMPUTED_VALUE"""),5)</f>
        <v>5</v>
      </c>
      <c r="E3404" s="2">
        <f ca="1">IFERROR(__xludf.DUMMYFUNCTION("""COMPUTED_VALUE"""),2)</f>
        <v>2</v>
      </c>
    </row>
    <row r="3405" spans="1:5" ht="13">
      <c r="A3405" s="2" t="str">
        <f ca="1">IFERROR(__xludf.DUMMYFUNCTION("""COMPUTED_VALUE"""),"Hale, Thomas")</f>
        <v>Hale, Thomas</v>
      </c>
      <c r="B3405" s="3">
        <f ca="1">IFERROR(__xludf.DUMMYFUNCTION("""COMPUTED_VALUE"""),1)</f>
        <v>1</v>
      </c>
      <c r="C3405" s="7">
        <f ca="1">IFERROR(__xludf.DUMMYFUNCTION("""COMPUTED_VALUE"""),1)</f>
        <v>1</v>
      </c>
      <c r="D3405" s="8">
        <f ca="1">IFERROR(__xludf.DUMMYFUNCTION("""COMPUTED_VALUE"""),5)</f>
        <v>5</v>
      </c>
      <c r="E3405" s="2">
        <f ca="1">IFERROR(__xludf.DUMMYFUNCTION("""COMPUTED_VALUE"""),2)</f>
        <v>2</v>
      </c>
    </row>
    <row r="3406" spans="1:5" ht="13">
      <c r="A3406" s="2" t="str">
        <f ca="1">IFERROR(__xludf.DUMMYFUNCTION("""COMPUTED_VALUE"""),"Halen, Walter")</f>
        <v>Halen, Walter</v>
      </c>
      <c r="B3406" s="3">
        <f ca="1">IFERROR(__xludf.DUMMYFUNCTION("""COMPUTED_VALUE"""),1)</f>
        <v>1</v>
      </c>
      <c r="C3406" s="7">
        <f ca="1">IFERROR(__xludf.DUMMYFUNCTION("""COMPUTED_VALUE"""),1)</f>
        <v>1</v>
      </c>
      <c r="D3406" s="8">
        <f ca="1">IFERROR(__xludf.DUMMYFUNCTION("""COMPUTED_VALUE"""),1)</f>
        <v>1</v>
      </c>
      <c r="E3406" s="2">
        <f ca="1">IFERROR(__xludf.DUMMYFUNCTION("""COMPUTED_VALUE"""),1)</f>
        <v>1</v>
      </c>
    </row>
    <row r="3407" spans="1:5" ht="13">
      <c r="A3407" s="2" t="str">
        <f ca="1">IFERROR(__xludf.DUMMYFUNCTION("""COMPUTED_VALUE"""),"Halevy, Jacques F.")</f>
        <v>Halevy, Jacques F.</v>
      </c>
      <c r="B3407" s="3">
        <f ca="1">IFERROR(__xludf.DUMMYFUNCTION("""COMPUTED_VALUE"""),1)</f>
        <v>1</v>
      </c>
      <c r="C3407" s="7">
        <f ca="1">IFERROR(__xludf.DUMMYFUNCTION("""COMPUTED_VALUE"""),1)</f>
        <v>1</v>
      </c>
      <c r="D3407" s="8">
        <f ca="1">IFERROR(__xludf.DUMMYFUNCTION("""COMPUTED_VALUE"""),5)</f>
        <v>5</v>
      </c>
      <c r="E3407" s="2">
        <f ca="1">IFERROR(__xludf.DUMMYFUNCTION("""COMPUTED_VALUE"""),2)</f>
        <v>2</v>
      </c>
    </row>
    <row r="3408" spans="1:5" ht="13">
      <c r="A3408" s="2" t="str">
        <f ca="1">IFERROR(__xludf.DUMMYFUNCTION("""COMPUTED_VALUE"""),"Halferty, Frank")</f>
        <v>Halferty, Frank</v>
      </c>
      <c r="B3408" s="3">
        <f ca="1">IFERROR(__xludf.DUMMYFUNCTION("""COMPUTED_VALUE"""),1)</f>
        <v>1</v>
      </c>
      <c r="C3408" s="7">
        <f ca="1">IFERROR(__xludf.DUMMYFUNCTION("""COMPUTED_VALUE"""),1)</f>
        <v>1</v>
      </c>
      <c r="D3408" s="8">
        <f ca="1">IFERROR(__xludf.DUMMYFUNCTION("""COMPUTED_VALUE"""),1)</f>
        <v>1</v>
      </c>
      <c r="E3408" s="2">
        <f ca="1">IFERROR(__xludf.DUMMYFUNCTION("""COMPUTED_VALUE"""),1)</f>
        <v>1</v>
      </c>
    </row>
    <row r="3409" spans="1:5" ht="13">
      <c r="A3409" s="2" t="str">
        <f ca="1">IFERROR(__xludf.DUMMYFUNCTION("""COMPUTED_VALUE"""),"Halferty, Frank J.")</f>
        <v>Halferty, Frank J.</v>
      </c>
      <c r="B3409" s="3">
        <f ca="1">IFERROR(__xludf.DUMMYFUNCTION("""COMPUTED_VALUE"""),1)</f>
        <v>1</v>
      </c>
      <c r="C3409" s="7">
        <f ca="1">IFERROR(__xludf.DUMMYFUNCTION("""COMPUTED_VALUE"""),1)</f>
        <v>1</v>
      </c>
      <c r="D3409" s="8">
        <f ca="1">IFERROR(__xludf.DUMMYFUNCTION("""COMPUTED_VALUE"""),1)</f>
        <v>1</v>
      </c>
      <c r="E3409" s="2">
        <f ca="1">IFERROR(__xludf.DUMMYFUNCTION("""COMPUTED_VALUE"""),1)</f>
        <v>1</v>
      </c>
    </row>
    <row r="3410" spans="1:5" ht="13">
      <c r="A3410" s="2" t="str">
        <f ca="1">IFERROR(__xludf.DUMMYFUNCTION("""COMPUTED_VALUE"""),"Halffter, Cristóbal")</f>
        <v>Halffter, Cristóbal</v>
      </c>
      <c r="B3410" s="3">
        <f ca="1">IFERROR(__xludf.DUMMYFUNCTION("""COMPUTED_VALUE"""),1)</f>
        <v>1</v>
      </c>
      <c r="C3410" s="7">
        <f ca="1">IFERROR(__xludf.DUMMYFUNCTION("""COMPUTED_VALUE"""),1)</f>
        <v>1</v>
      </c>
      <c r="D3410" s="8">
        <f ca="1">IFERROR(__xludf.DUMMYFUNCTION("""COMPUTED_VALUE"""),5)</f>
        <v>5</v>
      </c>
      <c r="E3410" s="2">
        <f ca="1">IFERROR(__xludf.DUMMYFUNCTION("""COMPUTED_VALUE"""),2)</f>
        <v>2</v>
      </c>
    </row>
    <row r="3411" spans="1:5" ht="13">
      <c r="A3411" s="2" t="str">
        <f ca="1">IFERROR(__xludf.DUMMYFUNCTION("""COMPUTED_VALUE"""),"Halffter, Ernesto")</f>
        <v>Halffter, Ernesto</v>
      </c>
      <c r="B3411" s="3">
        <f ca="1">IFERROR(__xludf.DUMMYFUNCTION("""COMPUTED_VALUE"""),1)</f>
        <v>1</v>
      </c>
      <c r="C3411" s="7">
        <f ca="1">IFERROR(__xludf.DUMMYFUNCTION("""COMPUTED_VALUE"""),1)</f>
        <v>1</v>
      </c>
      <c r="D3411" s="8">
        <f ca="1">IFERROR(__xludf.DUMMYFUNCTION("""COMPUTED_VALUE"""),5)</f>
        <v>5</v>
      </c>
      <c r="E3411" s="2">
        <f ca="1">IFERROR(__xludf.DUMMYFUNCTION("""COMPUTED_VALUE"""),2)</f>
        <v>2</v>
      </c>
    </row>
    <row r="3412" spans="1:5" ht="13">
      <c r="A3412" s="2" t="str">
        <f ca="1">IFERROR(__xludf.DUMMYFUNCTION("""COMPUTED_VALUE"""),"Halffter, Rodolfo")</f>
        <v>Halffter, Rodolfo</v>
      </c>
      <c r="B3412" s="3">
        <f ca="1">IFERROR(__xludf.DUMMYFUNCTION("""COMPUTED_VALUE"""),1)</f>
        <v>1</v>
      </c>
      <c r="C3412" s="7">
        <f ca="1">IFERROR(__xludf.DUMMYFUNCTION("""COMPUTED_VALUE"""),1)</f>
        <v>1</v>
      </c>
      <c r="D3412" s="8">
        <f ca="1">IFERROR(__xludf.DUMMYFUNCTION("""COMPUTED_VALUE"""),1)</f>
        <v>1</v>
      </c>
      <c r="E3412" s="2">
        <f ca="1">IFERROR(__xludf.DUMMYFUNCTION("""COMPUTED_VALUE"""),1)</f>
        <v>1</v>
      </c>
    </row>
    <row r="3413" spans="1:5" ht="13">
      <c r="A3413" s="8" t="str">
        <f ca="1">IFERROR(__xludf.DUMMYFUNCTION("""COMPUTED_VALUE"""),"Hall, Cory")</f>
        <v>Hall, Cory</v>
      </c>
      <c r="B3413" s="3">
        <f ca="1">IFERROR(__xludf.DUMMYFUNCTION("""COMPUTED_VALUE"""),1)</f>
        <v>1</v>
      </c>
      <c r="C3413" s="7">
        <f ca="1">IFERROR(__xludf.DUMMYFUNCTION("""COMPUTED_VALUE"""),1)</f>
        <v>1</v>
      </c>
      <c r="D3413" s="8">
        <f ca="1">IFERROR(__xludf.DUMMYFUNCTION("""COMPUTED_VALUE"""),1)</f>
        <v>1</v>
      </c>
      <c r="E3413" s="2">
        <f ca="1">IFERROR(__xludf.DUMMYFUNCTION("""COMPUTED_VALUE"""),1)</f>
        <v>1</v>
      </c>
    </row>
    <row r="3414" spans="1:5" ht="13">
      <c r="A3414" s="2" t="str">
        <f ca="1">IFERROR(__xludf.DUMMYFUNCTION("""COMPUTED_VALUE"""),"Hall, Dan")</f>
        <v>Hall, Dan</v>
      </c>
      <c r="B3414" s="2">
        <f ca="1">IFERROR(__xludf.DUMMYFUNCTION("""COMPUTED_VALUE"""),1)</f>
        <v>1</v>
      </c>
      <c r="C3414" s="7">
        <f ca="1">IFERROR(__xludf.DUMMYFUNCTION("""COMPUTED_VALUE"""),1)</f>
        <v>1</v>
      </c>
      <c r="D3414" s="8">
        <f ca="1">IFERROR(__xludf.DUMMYFUNCTION("""COMPUTED_VALUE"""),1)</f>
        <v>1</v>
      </c>
      <c r="E3414" s="2">
        <f ca="1">IFERROR(__xludf.DUMMYFUNCTION("""COMPUTED_VALUE"""),1)</f>
        <v>1</v>
      </c>
    </row>
    <row r="3415" spans="1:5" ht="13">
      <c r="A3415" s="2" t="str">
        <f ca="1">IFERROR(__xludf.DUMMYFUNCTION("""COMPUTED_VALUE"""),"Hall, Daniel")</f>
        <v>Hall, Daniel</v>
      </c>
      <c r="B3415" s="2">
        <f ca="1">IFERROR(__xludf.DUMMYFUNCTION("""COMPUTED_VALUE"""),1)</f>
        <v>1</v>
      </c>
      <c r="C3415" s="7">
        <f ca="1">IFERROR(__xludf.DUMMYFUNCTION("""COMPUTED_VALUE"""),1)</f>
        <v>1</v>
      </c>
      <c r="D3415" s="8">
        <f ca="1">IFERROR(__xludf.DUMMYFUNCTION("""COMPUTED_VALUE"""),1)</f>
        <v>1</v>
      </c>
      <c r="E3415" s="2">
        <f ca="1">IFERROR(__xludf.DUMMYFUNCTION("""COMPUTED_VALUE"""),1)</f>
        <v>1</v>
      </c>
    </row>
    <row r="3416" spans="1:5" ht="13">
      <c r="A3416" s="2" t="str">
        <f ca="1">IFERROR(__xludf.DUMMYFUNCTION("""COMPUTED_VALUE"""),"Hall, Dave")</f>
        <v>Hall, Dave</v>
      </c>
      <c r="B3416" s="3">
        <f ca="1">IFERROR(__xludf.DUMMYFUNCTION("""COMPUTED_VALUE"""),1)</f>
        <v>1</v>
      </c>
      <c r="C3416" s="7">
        <f ca="1">IFERROR(__xludf.DUMMYFUNCTION("""COMPUTED_VALUE"""),1)</f>
        <v>1</v>
      </c>
      <c r="D3416" s="8">
        <f ca="1">IFERROR(__xludf.DUMMYFUNCTION("""COMPUTED_VALUE"""),1)</f>
        <v>1</v>
      </c>
      <c r="E3416" s="2">
        <f ca="1">IFERROR(__xludf.DUMMYFUNCTION("""COMPUTED_VALUE"""),1)</f>
        <v>1</v>
      </c>
    </row>
    <row r="3417" spans="1:5" ht="13">
      <c r="A3417" s="2" t="str">
        <f ca="1">IFERROR(__xludf.DUMMYFUNCTION("""COMPUTED_VALUE"""),"Hall, David")</f>
        <v>Hall, David</v>
      </c>
      <c r="B3417" s="3">
        <f ca="1">IFERROR(__xludf.DUMMYFUNCTION("""COMPUTED_VALUE"""),1)</f>
        <v>1</v>
      </c>
      <c r="C3417" s="7">
        <f ca="1">IFERROR(__xludf.DUMMYFUNCTION("""COMPUTED_VALUE"""),1)</f>
        <v>1</v>
      </c>
      <c r="D3417" s="8">
        <f ca="1">IFERROR(__xludf.DUMMYFUNCTION("""COMPUTED_VALUE"""),1)</f>
        <v>1</v>
      </c>
      <c r="E3417" s="2">
        <f ca="1">IFERROR(__xludf.DUMMYFUNCTION("""COMPUTED_VALUE"""),1)</f>
        <v>1</v>
      </c>
    </row>
    <row r="3418" spans="1:5" ht="13">
      <c r="A3418" s="8" t="str">
        <f ca="1">IFERROR(__xludf.DUMMYFUNCTION("""COMPUTED_VALUE"""),"Hall, Percy")</f>
        <v>Hall, Percy</v>
      </c>
      <c r="B3418" s="3">
        <f ca="1">IFERROR(__xludf.DUMMYFUNCTION("""COMPUTED_VALUE"""),1)</f>
        <v>1</v>
      </c>
      <c r="C3418" s="7">
        <f ca="1">IFERROR(__xludf.DUMMYFUNCTION("""COMPUTED_VALUE"""),1)</f>
        <v>1</v>
      </c>
      <c r="D3418" s="8">
        <f ca="1">IFERROR(__xludf.DUMMYFUNCTION("""COMPUTED_VALUE"""),5)</f>
        <v>5</v>
      </c>
      <c r="E3418" s="2">
        <f ca="1">IFERROR(__xludf.DUMMYFUNCTION("""COMPUTED_VALUE"""),2)</f>
        <v>2</v>
      </c>
    </row>
    <row r="3419" spans="1:5" ht="13">
      <c r="A3419" s="2" t="str">
        <f ca="1">IFERROR(__xludf.DUMMYFUNCTION("""COMPUTED_VALUE"""),"Hall, R.B")</f>
        <v>Hall, R.B</v>
      </c>
      <c r="B3419" s="3">
        <f ca="1">IFERROR(__xludf.DUMMYFUNCTION("""COMPUTED_VALUE"""),1)</f>
        <v>1</v>
      </c>
      <c r="C3419" s="7">
        <f ca="1">IFERROR(__xludf.DUMMYFUNCTION("""COMPUTED_VALUE"""),1)</f>
        <v>1</v>
      </c>
      <c r="D3419" s="8">
        <f ca="1">IFERROR(__xludf.DUMMYFUNCTION("""COMPUTED_VALUE"""),5)</f>
        <v>5</v>
      </c>
      <c r="E3419" s="2">
        <f ca="1">IFERROR(__xludf.DUMMYFUNCTION("""COMPUTED_VALUE"""),2)</f>
        <v>2</v>
      </c>
    </row>
    <row r="3420" spans="1:5" ht="13">
      <c r="A3420" s="2" t="str">
        <f ca="1">IFERROR(__xludf.DUMMYFUNCTION("""COMPUTED_VALUE"""),"Hall, Ray (Fillmore, Henry)")</f>
        <v>Hall, Ray (Fillmore, Henry)</v>
      </c>
      <c r="B3420" s="3">
        <f ca="1">IFERROR(__xludf.DUMMYFUNCTION("""COMPUTED_VALUE"""),1)</f>
        <v>1</v>
      </c>
      <c r="C3420" s="7">
        <f ca="1">IFERROR(__xludf.DUMMYFUNCTION("""COMPUTED_VALUE"""),1)</f>
        <v>1</v>
      </c>
      <c r="D3420" s="8">
        <f ca="1">IFERROR(__xludf.DUMMYFUNCTION("""COMPUTED_VALUE"""),5)</f>
        <v>5</v>
      </c>
      <c r="E3420" s="2">
        <f ca="1">IFERROR(__xludf.DUMMYFUNCTION("""COMPUTED_VALUE"""),2)</f>
        <v>2</v>
      </c>
    </row>
    <row r="3421" spans="1:5" ht="13">
      <c r="A3421" s="2" t="str">
        <f ca="1">IFERROR(__xludf.DUMMYFUNCTION("""COMPUTED_VALUE"""),"Hall, Richard D.")</f>
        <v>Hall, Richard D.</v>
      </c>
      <c r="B3421" s="2">
        <f ca="1">IFERROR(__xludf.DUMMYFUNCTION("""COMPUTED_VALUE"""),1)</f>
        <v>1</v>
      </c>
      <c r="C3421" s="7">
        <f ca="1">IFERROR(__xludf.DUMMYFUNCTION("""COMPUTED_VALUE"""),1)</f>
        <v>1</v>
      </c>
      <c r="D3421" s="8">
        <f ca="1">IFERROR(__xludf.DUMMYFUNCTION("""COMPUTED_VALUE"""),1)</f>
        <v>1</v>
      </c>
      <c r="E3421" s="2">
        <f ca="1">IFERROR(__xludf.DUMMYFUNCTION("""COMPUTED_VALUE"""),1)</f>
        <v>1</v>
      </c>
    </row>
    <row r="3422" spans="1:5" ht="13">
      <c r="A3422" s="2" t="str">
        <f ca="1">IFERROR(__xludf.DUMMYFUNCTION("""COMPUTED_VALUE"""),"Hall, Robert Browne")</f>
        <v>Hall, Robert Browne</v>
      </c>
      <c r="B3422" s="3">
        <f ca="1">IFERROR(__xludf.DUMMYFUNCTION("""COMPUTED_VALUE"""),1)</f>
        <v>1</v>
      </c>
      <c r="C3422" s="7">
        <f ca="1">IFERROR(__xludf.DUMMYFUNCTION("""COMPUTED_VALUE"""),1)</f>
        <v>1</v>
      </c>
      <c r="D3422" s="8">
        <f ca="1">IFERROR(__xludf.DUMMYFUNCTION("""COMPUTED_VALUE"""),5)</f>
        <v>5</v>
      </c>
      <c r="E3422" s="2">
        <f ca="1">IFERROR(__xludf.DUMMYFUNCTION("""COMPUTED_VALUE"""),2)</f>
        <v>2</v>
      </c>
    </row>
    <row r="3423" spans="1:5" ht="13">
      <c r="A3423" s="8" t="str">
        <f ca="1">IFERROR(__xludf.DUMMYFUNCTION("""COMPUTED_VALUE"""),"Hall, William")</f>
        <v>Hall, William</v>
      </c>
      <c r="B3423" s="3">
        <f ca="1">IFERROR(__xludf.DUMMYFUNCTION("""COMPUTED_VALUE"""),1)</f>
        <v>1</v>
      </c>
      <c r="C3423" s="7">
        <f ca="1">IFERROR(__xludf.DUMMYFUNCTION("""COMPUTED_VALUE"""),1)</f>
        <v>1</v>
      </c>
      <c r="D3423" s="8">
        <f ca="1">IFERROR(__xludf.DUMMYFUNCTION("""COMPUTED_VALUE"""),1)</f>
        <v>1</v>
      </c>
      <c r="E3423" s="2">
        <f ca="1">IFERROR(__xludf.DUMMYFUNCTION("""COMPUTED_VALUE"""),1)</f>
        <v>1</v>
      </c>
    </row>
    <row r="3424" spans="1:5" ht="13">
      <c r="A3424" s="8" t="str">
        <f ca="1">IFERROR(__xludf.DUMMYFUNCTION("""COMPUTED_VALUE"""),"Hallagan, Robert")</f>
        <v>Hallagan, Robert</v>
      </c>
      <c r="B3424" s="3">
        <f ca="1">IFERROR(__xludf.DUMMYFUNCTION("""COMPUTED_VALUE"""),1)</f>
        <v>1</v>
      </c>
      <c r="C3424" s="7">
        <f ca="1">IFERROR(__xludf.DUMMYFUNCTION("""COMPUTED_VALUE"""),1)</f>
        <v>1</v>
      </c>
      <c r="D3424" s="8">
        <f ca="1">IFERROR(__xludf.DUMMYFUNCTION("""COMPUTED_VALUE"""),1)</f>
        <v>1</v>
      </c>
      <c r="E3424" s="2">
        <f ca="1">IFERROR(__xludf.DUMMYFUNCTION("""COMPUTED_VALUE"""),1)</f>
        <v>1</v>
      </c>
    </row>
    <row r="3425" spans="1:5" ht="13">
      <c r="A3425" s="2" t="str">
        <f ca="1">IFERROR(__xludf.DUMMYFUNCTION("""COMPUTED_VALUE"""),"Hallam, Adrian")</f>
        <v>Hallam, Adrian</v>
      </c>
      <c r="B3425" s="3">
        <f ca="1">IFERROR(__xludf.DUMMYFUNCTION("""COMPUTED_VALUE"""),1)</f>
        <v>1</v>
      </c>
      <c r="C3425" s="7">
        <f ca="1">IFERROR(__xludf.DUMMYFUNCTION("""COMPUTED_VALUE"""),1)</f>
        <v>1</v>
      </c>
      <c r="D3425" s="8">
        <f ca="1">IFERROR(__xludf.DUMMYFUNCTION("""COMPUTED_VALUE"""),1)</f>
        <v>1</v>
      </c>
      <c r="E3425" s="2">
        <f ca="1">IFERROR(__xludf.DUMMYFUNCTION("""COMPUTED_VALUE"""),1)</f>
        <v>1</v>
      </c>
    </row>
    <row r="3426" spans="1:5" ht="13">
      <c r="A3426" s="2" t="str">
        <f ca="1">IFERROR(__xludf.DUMMYFUNCTION("""COMPUTED_VALUE"""),"Hallberg, Bengt")</f>
        <v>Hallberg, Bengt</v>
      </c>
      <c r="B3426" s="3">
        <f ca="1">IFERROR(__xludf.DUMMYFUNCTION("""COMPUTED_VALUE"""),1)</f>
        <v>1</v>
      </c>
      <c r="C3426" s="7">
        <f ca="1">IFERROR(__xludf.DUMMYFUNCTION("""COMPUTED_VALUE"""),1)</f>
        <v>1</v>
      </c>
      <c r="D3426" s="8">
        <f ca="1">IFERROR(__xludf.DUMMYFUNCTION("""COMPUTED_VALUE"""),5)</f>
        <v>5</v>
      </c>
      <c r="E3426" s="2">
        <f ca="1">IFERROR(__xludf.DUMMYFUNCTION("""COMPUTED_VALUE"""),2)</f>
        <v>2</v>
      </c>
    </row>
    <row r="3427" spans="1:5" ht="13">
      <c r="A3427" s="2" t="str">
        <f ca="1">IFERROR(__xludf.DUMMYFUNCTION("""COMPUTED_VALUE"""),"Halle, Lars")</f>
        <v>Halle, Lars</v>
      </c>
      <c r="B3427" s="3">
        <f ca="1">IFERROR(__xludf.DUMMYFUNCTION("""COMPUTED_VALUE"""),1)</f>
        <v>1</v>
      </c>
      <c r="C3427" s="7">
        <f ca="1">IFERROR(__xludf.DUMMYFUNCTION("""COMPUTED_VALUE"""),1)</f>
        <v>1</v>
      </c>
      <c r="D3427" s="8">
        <f ca="1">IFERROR(__xludf.DUMMYFUNCTION("""COMPUTED_VALUE"""),1)</f>
        <v>1</v>
      </c>
      <c r="E3427" s="2">
        <f ca="1">IFERROR(__xludf.DUMMYFUNCTION("""COMPUTED_VALUE"""),1)</f>
        <v>1</v>
      </c>
    </row>
    <row r="3428" spans="1:5" ht="13">
      <c r="A3428" s="2" t="str">
        <f ca="1">IFERROR(__xludf.DUMMYFUNCTION("""COMPUTED_VALUE"""),"Hallén, Andreas")</f>
        <v>Hallén, Andreas</v>
      </c>
      <c r="B3428" s="2">
        <f ca="1">IFERROR(__xludf.DUMMYFUNCTION("""COMPUTED_VALUE"""),1)</f>
        <v>1</v>
      </c>
      <c r="C3428" s="7">
        <f ca="1">IFERROR(__xludf.DUMMYFUNCTION("""COMPUTED_VALUE"""),1)</f>
        <v>1</v>
      </c>
      <c r="D3428" s="8">
        <f ca="1">IFERROR(__xludf.DUMMYFUNCTION("""COMPUTED_VALUE"""),5)</f>
        <v>5</v>
      </c>
      <c r="E3428" s="2">
        <f ca="1">IFERROR(__xludf.DUMMYFUNCTION("""COMPUTED_VALUE"""),2)</f>
        <v>2</v>
      </c>
    </row>
    <row r="3429" spans="1:5" ht="13">
      <c r="A3429" s="8" t="str">
        <f ca="1">IFERROR(__xludf.DUMMYFUNCTION("""COMPUTED_VALUE"""),"Hallett, Jacob ""Yaki""")</f>
        <v>Hallett, Jacob "Yaki"</v>
      </c>
      <c r="B3429" s="3">
        <f ca="1">IFERROR(__xludf.DUMMYFUNCTION("""COMPUTED_VALUE"""),1)</f>
        <v>1</v>
      </c>
      <c r="C3429" s="7">
        <f ca="1">IFERROR(__xludf.DUMMYFUNCTION("""COMPUTED_VALUE"""),1)</f>
        <v>1</v>
      </c>
      <c r="D3429" s="8">
        <f ca="1">IFERROR(__xludf.DUMMYFUNCTION("""COMPUTED_VALUE"""),1)</f>
        <v>1</v>
      </c>
      <c r="E3429" s="2">
        <f ca="1">IFERROR(__xludf.DUMMYFUNCTION("""COMPUTED_VALUE"""),1)</f>
        <v>1</v>
      </c>
    </row>
    <row r="3430" spans="1:5" ht="13">
      <c r="A3430" s="2" t="str">
        <f ca="1">IFERROR(__xludf.DUMMYFUNCTION("""COMPUTED_VALUE"""),"Halley, Paul")</f>
        <v>Halley, Paul</v>
      </c>
      <c r="B3430" s="2">
        <f ca="1">IFERROR(__xludf.DUMMYFUNCTION("""COMPUTED_VALUE"""),1)</f>
        <v>1</v>
      </c>
      <c r="C3430" s="7">
        <f ca="1">IFERROR(__xludf.DUMMYFUNCTION("""COMPUTED_VALUE"""),1)</f>
        <v>1</v>
      </c>
      <c r="D3430" s="8">
        <f ca="1">IFERROR(__xludf.DUMMYFUNCTION("""COMPUTED_VALUE"""),1)</f>
        <v>1</v>
      </c>
      <c r="E3430" s="2">
        <f ca="1">IFERROR(__xludf.DUMMYFUNCTION("""COMPUTED_VALUE"""),1)</f>
        <v>1</v>
      </c>
    </row>
    <row r="3431" spans="1:5" ht="13">
      <c r="A3431" s="2" t="str">
        <f ca="1">IFERROR(__xludf.DUMMYFUNCTION("""COMPUTED_VALUE"""),"Halliday, Paul")</f>
        <v>Halliday, Paul</v>
      </c>
      <c r="B3431" s="2">
        <f ca="1">IFERROR(__xludf.DUMMYFUNCTION("""COMPUTED_VALUE"""),1)</f>
        <v>1</v>
      </c>
      <c r="C3431" s="7">
        <f ca="1">IFERROR(__xludf.DUMMYFUNCTION("""COMPUTED_VALUE"""),1)</f>
        <v>1</v>
      </c>
      <c r="D3431" s="8">
        <f ca="1">IFERROR(__xludf.DUMMYFUNCTION("""COMPUTED_VALUE"""),5)</f>
        <v>5</v>
      </c>
      <c r="E3431" s="2">
        <f ca="1">IFERROR(__xludf.DUMMYFUNCTION("""COMPUTED_VALUE"""),2)</f>
        <v>2</v>
      </c>
    </row>
    <row r="3432" spans="1:5" ht="13">
      <c r="A3432" s="8" t="str">
        <f ca="1">IFERROR(__xludf.DUMMYFUNCTION("""COMPUTED_VALUE"""),"Halloran, Jack")</f>
        <v>Halloran, Jack</v>
      </c>
      <c r="B3432" s="3">
        <f ca="1">IFERROR(__xludf.DUMMYFUNCTION("""COMPUTED_VALUE"""),1)</f>
        <v>1</v>
      </c>
      <c r="C3432" s="7">
        <f ca="1">IFERROR(__xludf.DUMMYFUNCTION("""COMPUTED_VALUE"""),1)</f>
        <v>1</v>
      </c>
      <c r="D3432" s="8">
        <f ca="1">IFERROR(__xludf.DUMMYFUNCTION("""COMPUTED_VALUE"""),5)</f>
        <v>5</v>
      </c>
      <c r="E3432" s="2">
        <f ca="1">IFERROR(__xludf.DUMMYFUNCTION("""COMPUTED_VALUE"""),2)</f>
        <v>2</v>
      </c>
    </row>
    <row r="3433" spans="1:5" ht="13">
      <c r="A3433" s="2" t="str">
        <f ca="1">IFERROR(__xludf.DUMMYFUNCTION("""COMPUTED_VALUE"""),"Halloran, Jack / Bolks, Dick")</f>
        <v>Halloran, Jack / Bolks, Dick</v>
      </c>
      <c r="B3433" s="3">
        <f ca="1">IFERROR(__xludf.DUMMYFUNCTION("""COMPUTED_VALUE"""),1)</f>
        <v>1</v>
      </c>
      <c r="C3433" s="7">
        <f ca="1">IFERROR(__xludf.DUMMYFUNCTION("""COMPUTED_VALUE"""),1)</f>
        <v>1</v>
      </c>
      <c r="D3433" s="8">
        <f ca="1">IFERROR(__xludf.DUMMYFUNCTION("""COMPUTED_VALUE"""),5)</f>
        <v>5</v>
      </c>
      <c r="E3433" s="2">
        <f ca="1">IFERROR(__xludf.DUMMYFUNCTION("""COMPUTED_VALUE"""),2)</f>
        <v>2</v>
      </c>
    </row>
    <row r="3434" spans="1:5" ht="13">
      <c r="A3434" s="2" t="str">
        <f ca="1">IFERROR(__xludf.DUMMYFUNCTION("""COMPUTED_VALUE"""),"Hallstrom, Henry")</f>
        <v>Hallstrom, Henry</v>
      </c>
      <c r="B3434" s="2">
        <f ca="1">IFERROR(__xludf.DUMMYFUNCTION("""COMPUTED_VALUE"""),1)</f>
        <v>1</v>
      </c>
      <c r="C3434" s="7">
        <f ca="1">IFERROR(__xludf.DUMMYFUNCTION("""COMPUTED_VALUE"""),1)</f>
        <v>1</v>
      </c>
      <c r="D3434" s="8">
        <f ca="1">IFERROR(__xludf.DUMMYFUNCTION("""COMPUTED_VALUE"""),5)</f>
        <v>5</v>
      </c>
      <c r="E3434" s="2">
        <f ca="1">IFERROR(__xludf.DUMMYFUNCTION("""COMPUTED_VALUE"""),2)</f>
        <v>2</v>
      </c>
    </row>
    <row r="3435" spans="1:5" ht="13">
      <c r="A3435" s="2" t="str">
        <f ca="1">IFERROR(__xludf.DUMMYFUNCTION("""COMPUTED_VALUE"""),"Hallstrom, Ivar Christian")</f>
        <v>Hallstrom, Ivar Christian</v>
      </c>
      <c r="B3435" s="3">
        <f ca="1">IFERROR(__xludf.DUMMYFUNCTION("""COMPUTED_VALUE"""),1)</f>
        <v>1</v>
      </c>
      <c r="C3435" s="7">
        <f ca="1">IFERROR(__xludf.DUMMYFUNCTION("""COMPUTED_VALUE"""),1)</f>
        <v>1</v>
      </c>
      <c r="D3435" s="8">
        <f ca="1">IFERROR(__xludf.DUMMYFUNCTION("""COMPUTED_VALUE"""),5)</f>
        <v>5</v>
      </c>
      <c r="E3435" s="2">
        <f ca="1">IFERROR(__xludf.DUMMYFUNCTION("""COMPUTED_VALUE"""),2)</f>
        <v>2</v>
      </c>
    </row>
    <row r="3436" spans="1:5" ht="13">
      <c r="A3436" s="2" t="str">
        <f ca="1">IFERROR(__xludf.DUMMYFUNCTION("""COMPUTED_VALUE"""),"Halmos, László")</f>
        <v>Halmos, László</v>
      </c>
      <c r="B3436" s="3">
        <f ca="1">IFERROR(__xludf.DUMMYFUNCTION("""COMPUTED_VALUE"""),1)</f>
        <v>1</v>
      </c>
      <c r="C3436" s="7">
        <f ca="1">IFERROR(__xludf.DUMMYFUNCTION("""COMPUTED_VALUE"""),1)</f>
        <v>1</v>
      </c>
      <c r="D3436" s="8">
        <f ca="1">IFERROR(__xludf.DUMMYFUNCTION("""COMPUTED_VALUE"""),5)</f>
        <v>5</v>
      </c>
      <c r="E3436" s="2">
        <f ca="1">IFERROR(__xludf.DUMMYFUNCTION("""COMPUTED_VALUE"""),2)</f>
        <v>2</v>
      </c>
    </row>
    <row r="3437" spans="1:5" ht="13">
      <c r="A3437" s="2" t="str">
        <f ca="1">IFERROR(__xludf.DUMMYFUNCTION("""COMPUTED_VALUE"""),"Halsey Stevens / Schaefer")</f>
        <v>Halsey Stevens / Schaefer</v>
      </c>
      <c r="B3437" s="3">
        <f ca="1">IFERROR(__xludf.DUMMYFUNCTION("""COMPUTED_VALUE"""),1)</f>
        <v>1</v>
      </c>
      <c r="C3437" s="7">
        <f ca="1">IFERROR(__xludf.DUMMYFUNCTION("""COMPUTED_VALUE"""),1)</f>
        <v>1</v>
      </c>
      <c r="D3437" s="8">
        <f ca="1">IFERROR(__xludf.DUMMYFUNCTION("""COMPUTED_VALUE"""),5)</f>
        <v>5</v>
      </c>
      <c r="E3437" s="2">
        <f ca="1">IFERROR(__xludf.DUMMYFUNCTION("""COMPUTED_VALUE"""),2)</f>
        <v>2</v>
      </c>
    </row>
    <row r="3438" spans="1:5" ht="13">
      <c r="A3438" s="2" t="str">
        <f ca="1">IFERROR(__xludf.DUMMYFUNCTION("""COMPUTED_VALUE"""),"Halsey, Simon")</f>
        <v>Halsey, Simon</v>
      </c>
      <c r="B3438" s="2">
        <f ca="1">IFERROR(__xludf.DUMMYFUNCTION("""COMPUTED_VALUE"""),1)</f>
        <v>1</v>
      </c>
      <c r="C3438" s="2">
        <f ca="1">IFERROR(__xludf.DUMMYFUNCTION("""COMPUTED_VALUE"""),1)</f>
        <v>1</v>
      </c>
      <c r="D3438" s="8">
        <f ca="1">IFERROR(__xludf.DUMMYFUNCTION("""COMPUTED_VALUE"""),1)</f>
        <v>1</v>
      </c>
      <c r="E3438" s="2">
        <f ca="1">IFERROR(__xludf.DUMMYFUNCTION("""COMPUTED_VALUE"""),1)</f>
        <v>1</v>
      </c>
    </row>
    <row r="3439" spans="1:5" ht="13">
      <c r="A3439" s="2" t="str">
        <f ca="1">IFERROR(__xludf.DUMMYFUNCTION("""COMPUTED_VALUE"""),"Halvorsen, Johan")</f>
        <v>Halvorsen, Johan</v>
      </c>
      <c r="B3439" s="3">
        <f ca="1">IFERROR(__xludf.DUMMYFUNCTION("""COMPUTED_VALUE"""),1)</f>
        <v>1</v>
      </c>
      <c r="C3439" s="7">
        <f ca="1">IFERROR(__xludf.DUMMYFUNCTION("""COMPUTED_VALUE"""),1)</f>
        <v>1</v>
      </c>
      <c r="D3439" s="8">
        <f ca="1">IFERROR(__xludf.DUMMYFUNCTION("""COMPUTED_VALUE"""),5)</f>
        <v>5</v>
      </c>
      <c r="E3439" s="2">
        <f ca="1">IFERROR(__xludf.DUMMYFUNCTION("""COMPUTED_VALUE"""),2)</f>
        <v>2</v>
      </c>
    </row>
    <row r="3440" spans="1:5" ht="13">
      <c r="A3440" s="2" t="str">
        <f ca="1">IFERROR(__xludf.DUMMYFUNCTION("""COMPUTED_VALUE"""),"Hamblen, Bernard")</f>
        <v>Hamblen, Bernard</v>
      </c>
      <c r="B3440" s="3">
        <f ca="1">IFERROR(__xludf.DUMMYFUNCTION("""COMPUTED_VALUE"""),1)</f>
        <v>1</v>
      </c>
      <c r="C3440" s="7">
        <f ca="1">IFERROR(__xludf.DUMMYFUNCTION("""COMPUTED_VALUE"""),1)</f>
        <v>1</v>
      </c>
      <c r="D3440" s="8">
        <f ca="1">IFERROR(__xludf.DUMMYFUNCTION("""COMPUTED_VALUE"""),5)</f>
        <v>5</v>
      </c>
      <c r="E3440" s="2">
        <f ca="1">IFERROR(__xludf.DUMMYFUNCTION("""COMPUTED_VALUE"""),2)</f>
        <v>2</v>
      </c>
    </row>
    <row r="3441" spans="1:5" ht="13">
      <c r="A3441" s="8" t="str">
        <f ca="1">IFERROR(__xludf.DUMMYFUNCTION("""COMPUTED_VALUE"""),"Hamerik, Asger")</f>
        <v>Hamerik, Asger</v>
      </c>
      <c r="B3441" s="3">
        <f ca="1">IFERROR(__xludf.DUMMYFUNCTION("""COMPUTED_VALUE"""),1)</f>
        <v>1</v>
      </c>
      <c r="C3441" s="7">
        <f ca="1">IFERROR(__xludf.DUMMYFUNCTION("""COMPUTED_VALUE"""),1)</f>
        <v>1</v>
      </c>
      <c r="D3441" s="8">
        <f ca="1">IFERROR(__xludf.DUMMYFUNCTION("""COMPUTED_VALUE"""),5)</f>
        <v>5</v>
      </c>
      <c r="E3441" s="2">
        <f ca="1">IFERROR(__xludf.DUMMYFUNCTION("""COMPUTED_VALUE"""),2)</f>
        <v>2</v>
      </c>
    </row>
    <row r="3442" spans="1:5" ht="13">
      <c r="A3442" s="8" t="str">
        <f ca="1">IFERROR(__xludf.DUMMYFUNCTION("""COMPUTED_VALUE"""),"Hamilton, Andrew")</f>
        <v>Hamilton, Andrew</v>
      </c>
      <c r="B3442" s="3">
        <f ca="1">IFERROR(__xludf.DUMMYFUNCTION("""COMPUTED_VALUE"""),1)</f>
        <v>1</v>
      </c>
      <c r="C3442" s="7">
        <f ca="1">IFERROR(__xludf.DUMMYFUNCTION("""COMPUTED_VALUE"""),1)</f>
        <v>1</v>
      </c>
      <c r="D3442" s="8">
        <f ca="1">IFERROR(__xludf.DUMMYFUNCTION("""COMPUTED_VALUE"""),1)</f>
        <v>1</v>
      </c>
      <c r="E3442" s="2">
        <f ca="1">IFERROR(__xludf.DUMMYFUNCTION("""COMPUTED_VALUE"""),1)</f>
        <v>1</v>
      </c>
    </row>
    <row r="3443" spans="1:5" ht="13">
      <c r="A3443" s="2" t="str">
        <f ca="1">IFERROR(__xludf.DUMMYFUNCTION("""COMPUTED_VALUE"""),"Hamilton, Arthur")</f>
        <v>Hamilton, Arthur</v>
      </c>
      <c r="B3443" s="3">
        <f ca="1">IFERROR(__xludf.DUMMYFUNCTION("""COMPUTED_VALUE"""),1)</f>
        <v>1</v>
      </c>
      <c r="C3443" s="7">
        <f ca="1">IFERROR(__xludf.DUMMYFUNCTION("""COMPUTED_VALUE"""),1)</f>
        <v>1</v>
      </c>
      <c r="D3443" s="8">
        <f ca="1">IFERROR(__xludf.DUMMYFUNCTION("""COMPUTED_VALUE"""),1)</f>
        <v>1</v>
      </c>
      <c r="E3443" s="2">
        <f ca="1">IFERROR(__xludf.DUMMYFUNCTION("""COMPUTED_VALUE"""),1)</f>
        <v>1</v>
      </c>
    </row>
    <row r="3444" spans="1:5" ht="13">
      <c r="A3444" s="2" t="str">
        <f ca="1">IFERROR(__xludf.DUMMYFUNCTION("""COMPUTED_VALUE"""),"Hamilton, Colin")</f>
        <v>Hamilton, Colin</v>
      </c>
      <c r="B3444" s="3">
        <f ca="1">IFERROR(__xludf.DUMMYFUNCTION("""COMPUTED_VALUE"""),1)</f>
        <v>1</v>
      </c>
      <c r="C3444" s="7">
        <f ca="1">IFERROR(__xludf.DUMMYFUNCTION("""COMPUTED_VALUE"""),1)</f>
        <v>1</v>
      </c>
      <c r="D3444" s="8">
        <f ca="1">IFERROR(__xludf.DUMMYFUNCTION("""COMPUTED_VALUE"""),1)</f>
        <v>1</v>
      </c>
      <c r="E3444" s="2">
        <f ca="1">IFERROR(__xludf.DUMMYFUNCTION("""COMPUTED_VALUE"""),1)</f>
        <v>1</v>
      </c>
    </row>
    <row r="3445" spans="1:5" ht="13">
      <c r="A3445" s="2" t="str">
        <f ca="1">IFERROR(__xludf.DUMMYFUNCTION("""COMPUTED_VALUE"""),"Hamilton, David")</f>
        <v>Hamilton, David</v>
      </c>
      <c r="B3445" s="3">
        <f ca="1">IFERROR(__xludf.DUMMYFUNCTION("""COMPUTED_VALUE"""),1)</f>
        <v>1</v>
      </c>
      <c r="C3445" s="7">
        <f ca="1">IFERROR(__xludf.DUMMYFUNCTION("""COMPUTED_VALUE"""),1)</f>
        <v>1</v>
      </c>
      <c r="D3445" s="8">
        <f ca="1">IFERROR(__xludf.DUMMYFUNCTION("""COMPUTED_VALUE"""),1)</f>
        <v>1</v>
      </c>
      <c r="E3445" s="2">
        <f ca="1">IFERROR(__xludf.DUMMYFUNCTION("""COMPUTED_VALUE"""),1)</f>
        <v>1</v>
      </c>
    </row>
    <row r="3446" spans="1:5" ht="13">
      <c r="A3446" s="2" t="str">
        <f ca="1">IFERROR(__xludf.DUMMYFUNCTION("""COMPUTED_VALUE"""),"Hamlin, Peter")</f>
        <v>Hamlin, Peter</v>
      </c>
      <c r="B3446" s="3">
        <f ca="1">IFERROR(__xludf.DUMMYFUNCTION("""COMPUTED_VALUE"""),1)</f>
        <v>1</v>
      </c>
      <c r="C3446" s="7">
        <f ca="1">IFERROR(__xludf.DUMMYFUNCTION("""COMPUTED_VALUE"""),1)</f>
        <v>1</v>
      </c>
      <c r="D3446" s="8">
        <f ca="1">IFERROR(__xludf.DUMMYFUNCTION("""COMPUTED_VALUE"""),1)</f>
        <v>1</v>
      </c>
      <c r="E3446" s="2">
        <f ca="1">IFERROR(__xludf.DUMMYFUNCTION("""COMPUTED_VALUE"""),1)</f>
        <v>1</v>
      </c>
    </row>
    <row r="3447" spans="1:5" ht="13">
      <c r="A3447" s="2" t="str">
        <f ca="1">IFERROR(__xludf.DUMMYFUNCTION("""COMPUTED_VALUE"""),"Hamm, Fred / Bennett, Dave / Lown, Bert / Gray, Chauncey")</f>
        <v>Hamm, Fred / Bennett, Dave / Lown, Bert / Gray, Chauncey</v>
      </c>
      <c r="B3447" s="2">
        <f ca="1">IFERROR(__xludf.DUMMYFUNCTION("""COMPUTED_VALUE"""),1)</f>
        <v>1</v>
      </c>
      <c r="C3447" s="7">
        <f ca="1">IFERROR(__xludf.DUMMYFUNCTION("""COMPUTED_VALUE"""),1)</f>
        <v>1</v>
      </c>
      <c r="D3447" s="8">
        <f ca="1">IFERROR(__xludf.DUMMYFUNCTION("""COMPUTED_VALUE"""),5)</f>
        <v>5</v>
      </c>
      <c r="E3447" s="2">
        <f ca="1">IFERROR(__xludf.DUMMYFUNCTION("""COMPUTED_VALUE"""),2)</f>
        <v>2</v>
      </c>
    </row>
    <row r="3448" spans="1:5" ht="13">
      <c r="A3448" s="2" t="str">
        <f ca="1">IFERROR(__xludf.DUMMYFUNCTION("""COMPUTED_VALUE"""),"Hamm, Johann Valentin")</f>
        <v>Hamm, Johann Valentin</v>
      </c>
      <c r="B3448" s="3">
        <f ca="1">IFERROR(__xludf.DUMMYFUNCTION("""COMPUTED_VALUE"""),1)</f>
        <v>1</v>
      </c>
      <c r="C3448" s="7">
        <f ca="1">IFERROR(__xludf.DUMMYFUNCTION("""COMPUTED_VALUE"""),1)</f>
        <v>1</v>
      </c>
      <c r="D3448" s="8">
        <f ca="1">IFERROR(__xludf.DUMMYFUNCTION("""COMPUTED_VALUE"""),5)</f>
        <v>5</v>
      </c>
      <c r="E3448" s="2">
        <f ca="1">IFERROR(__xludf.DUMMYFUNCTION("""COMPUTED_VALUE"""),2)</f>
        <v>2</v>
      </c>
    </row>
    <row r="3449" spans="1:5" ht="13">
      <c r="A3449" s="2" t="str">
        <f ca="1">IFERROR(__xludf.DUMMYFUNCTION("""COMPUTED_VALUE"""),"Hammell, E.K.R.")</f>
        <v>Hammell, E.K.R.</v>
      </c>
      <c r="B3449" s="3">
        <f ca="1">IFERROR(__xludf.DUMMYFUNCTION("""COMPUTED_VALUE"""),1)</f>
        <v>1</v>
      </c>
      <c r="C3449" s="7">
        <f ca="1">IFERROR(__xludf.DUMMYFUNCTION("""COMPUTED_VALUE"""),1)</f>
        <v>1</v>
      </c>
      <c r="D3449" s="8">
        <f ca="1">IFERROR(__xludf.DUMMYFUNCTION("""COMPUTED_VALUE"""),1)</f>
        <v>1</v>
      </c>
      <c r="E3449" s="2">
        <f ca="1">IFERROR(__xludf.DUMMYFUNCTION("""COMPUTED_VALUE"""),1)</f>
        <v>1</v>
      </c>
    </row>
    <row r="3450" spans="1:5" ht="13">
      <c r="A3450" s="2" t="str">
        <f ca="1">IFERROR(__xludf.DUMMYFUNCTION("""COMPUTED_VALUE"""),"Hammer, Caleb")</f>
        <v>Hammer, Caleb</v>
      </c>
      <c r="B3450" s="3">
        <f ca="1">IFERROR(__xludf.DUMMYFUNCTION("""COMPUTED_VALUE"""),1)</f>
        <v>1</v>
      </c>
      <c r="C3450" s="7">
        <f ca="1">IFERROR(__xludf.DUMMYFUNCTION("""COMPUTED_VALUE"""),1)</f>
        <v>1</v>
      </c>
      <c r="D3450" s="8">
        <f ca="1">IFERROR(__xludf.DUMMYFUNCTION("""COMPUTED_VALUE"""),1)</f>
        <v>1</v>
      </c>
      <c r="E3450" s="2">
        <f ca="1">IFERROR(__xludf.DUMMYFUNCTION("""COMPUTED_VALUE"""),1)</f>
        <v>1</v>
      </c>
    </row>
    <row r="3451" spans="1:5" ht="13">
      <c r="A3451" s="2" t="str">
        <f ca="1">IFERROR(__xludf.DUMMYFUNCTION("""COMPUTED_VALUE"""),"Hammer, Carl")</f>
        <v>Hammer, Carl</v>
      </c>
      <c r="B3451" s="3">
        <f ca="1">IFERROR(__xludf.DUMMYFUNCTION("""COMPUTED_VALUE"""),1)</f>
        <v>1</v>
      </c>
      <c r="C3451" s="7">
        <f ca="1">IFERROR(__xludf.DUMMYFUNCTION("""COMPUTED_VALUE"""),1)</f>
        <v>1</v>
      </c>
      <c r="D3451" s="8">
        <f ca="1">IFERROR(__xludf.DUMMYFUNCTION("""COMPUTED_VALUE"""),1)</f>
        <v>1</v>
      </c>
      <c r="E3451" s="2">
        <f ca="1">IFERROR(__xludf.DUMMYFUNCTION("""COMPUTED_VALUE"""),1)</f>
        <v>1</v>
      </c>
    </row>
    <row r="3452" spans="1:5" ht="13">
      <c r="A3452" s="2" t="str">
        <f ca="1">IFERROR(__xludf.DUMMYFUNCTION("""COMPUTED_VALUE"""),"Hammerschmidt, Andreas")</f>
        <v>Hammerschmidt, Andreas</v>
      </c>
      <c r="B3452" s="2">
        <f ca="1">IFERROR(__xludf.DUMMYFUNCTION("""COMPUTED_VALUE"""),1)</f>
        <v>1</v>
      </c>
      <c r="C3452" s="7">
        <f ca="1">IFERROR(__xludf.DUMMYFUNCTION("""COMPUTED_VALUE"""),1)</f>
        <v>1</v>
      </c>
      <c r="D3452" s="8">
        <f ca="1">IFERROR(__xludf.DUMMYFUNCTION("""COMPUTED_VALUE"""),5)</f>
        <v>5</v>
      </c>
      <c r="E3452" s="2">
        <f ca="1">IFERROR(__xludf.DUMMYFUNCTION("""COMPUTED_VALUE"""),2)</f>
        <v>2</v>
      </c>
    </row>
    <row r="3453" spans="1:5" ht="13">
      <c r="A3453" s="2" t="str">
        <f ca="1">IFERROR(__xludf.DUMMYFUNCTION("""COMPUTED_VALUE"""),"Hammerstein, Oscar")</f>
        <v>Hammerstein, Oscar</v>
      </c>
      <c r="B3453" s="3">
        <f ca="1">IFERROR(__xludf.DUMMYFUNCTION("""COMPUTED_VALUE"""),1)</f>
        <v>1</v>
      </c>
      <c r="C3453" s="7">
        <f ca="1">IFERROR(__xludf.DUMMYFUNCTION("""COMPUTED_VALUE"""),1)</f>
        <v>1</v>
      </c>
      <c r="D3453" s="8">
        <f ca="1">IFERROR(__xludf.DUMMYFUNCTION("""COMPUTED_VALUE"""),5)</f>
        <v>5</v>
      </c>
      <c r="E3453" s="2">
        <f ca="1">IFERROR(__xludf.DUMMYFUNCTION("""COMPUTED_VALUE"""),2)</f>
        <v>2</v>
      </c>
    </row>
    <row r="3454" spans="1:5" ht="13">
      <c r="A3454" s="8" t="str">
        <f ca="1">IFERROR(__xludf.DUMMYFUNCTION("""COMPUTED_VALUE"""),"Hammond, Albert")</f>
        <v>Hammond, Albert</v>
      </c>
      <c r="B3454" s="3">
        <f ca="1">IFERROR(__xludf.DUMMYFUNCTION("""COMPUTED_VALUE"""),1)</f>
        <v>1</v>
      </c>
      <c r="C3454" s="7">
        <f ca="1">IFERROR(__xludf.DUMMYFUNCTION("""COMPUTED_VALUE"""),1)</f>
        <v>1</v>
      </c>
      <c r="D3454" s="8">
        <f ca="1">IFERROR(__xludf.DUMMYFUNCTION("""COMPUTED_VALUE"""),1)</f>
        <v>1</v>
      </c>
      <c r="E3454" s="2">
        <f ca="1">IFERROR(__xludf.DUMMYFUNCTION("""COMPUTED_VALUE"""),1)</f>
        <v>1</v>
      </c>
    </row>
    <row r="3455" spans="1:5" ht="13">
      <c r="A3455" s="2" t="str">
        <f ca="1">IFERROR(__xludf.DUMMYFUNCTION("""COMPUTED_VALUE"""),"Hammond, Greg")</f>
        <v>Hammond, Greg</v>
      </c>
      <c r="B3455" s="3">
        <f ca="1">IFERROR(__xludf.DUMMYFUNCTION("""COMPUTED_VALUE"""),1)</f>
        <v>1</v>
      </c>
      <c r="C3455" s="7">
        <f ca="1">IFERROR(__xludf.DUMMYFUNCTION("""COMPUTED_VALUE"""),1)</f>
        <v>1</v>
      </c>
      <c r="D3455" s="8">
        <f ca="1">IFERROR(__xludf.DUMMYFUNCTION("""COMPUTED_VALUE"""),1)</f>
        <v>1</v>
      </c>
      <c r="E3455" s="2">
        <f ca="1">IFERROR(__xludf.DUMMYFUNCTION("""COMPUTED_VALUE"""),1)</f>
        <v>1</v>
      </c>
    </row>
    <row r="3456" spans="1:5" ht="13">
      <c r="A3456" s="2" t="str">
        <f ca="1">IFERROR(__xludf.DUMMYFUNCTION("""COMPUTED_VALUE"""),"Hampsch, Jesse")</f>
        <v>Hampsch, Jesse</v>
      </c>
      <c r="B3456" s="2">
        <f ca="1">IFERROR(__xludf.DUMMYFUNCTION("""COMPUTED_VALUE"""),1)</f>
        <v>1</v>
      </c>
      <c r="C3456" s="7">
        <f ca="1">IFERROR(__xludf.DUMMYFUNCTION("""COMPUTED_VALUE"""),1)</f>
        <v>1</v>
      </c>
      <c r="D3456" s="8">
        <f ca="1">IFERROR(__xludf.DUMMYFUNCTION("""COMPUTED_VALUE"""),1)</f>
        <v>1</v>
      </c>
      <c r="E3456" s="2">
        <f ca="1">IFERROR(__xludf.DUMMYFUNCTION("""COMPUTED_VALUE"""),1)</f>
        <v>1</v>
      </c>
    </row>
    <row r="3457" spans="1:5" ht="13">
      <c r="A3457" s="8" t="str">
        <f ca="1">IFERROR(__xludf.DUMMYFUNCTION("""COMPUTED_VALUE"""),"Hanawalt, Michael")</f>
        <v>Hanawalt, Michael</v>
      </c>
      <c r="B3457" s="3">
        <f ca="1">IFERROR(__xludf.DUMMYFUNCTION("""COMPUTED_VALUE"""),1)</f>
        <v>1</v>
      </c>
      <c r="C3457" s="7">
        <f ca="1">IFERROR(__xludf.DUMMYFUNCTION("""COMPUTED_VALUE"""),1)</f>
        <v>1</v>
      </c>
      <c r="D3457" s="8">
        <f ca="1">IFERROR(__xludf.DUMMYFUNCTION("""COMPUTED_VALUE"""),1)</f>
        <v>1</v>
      </c>
      <c r="E3457" s="2">
        <f ca="1">IFERROR(__xludf.DUMMYFUNCTION("""COMPUTED_VALUE"""),1)</f>
        <v>1</v>
      </c>
    </row>
    <row r="3458" spans="1:5" ht="13">
      <c r="A3458" s="2" t="str">
        <f ca="1">IFERROR(__xludf.DUMMYFUNCTION("""COMPUTED_VALUE"""),"Hanby, Benjamin")</f>
        <v>Hanby, Benjamin</v>
      </c>
      <c r="B3458" s="2">
        <f ca="1">IFERROR(__xludf.DUMMYFUNCTION("""COMPUTED_VALUE"""),1)</f>
        <v>1</v>
      </c>
      <c r="C3458" s="7">
        <f ca="1">IFERROR(__xludf.DUMMYFUNCTION("""COMPUTED_VALUE"""),1)</f>
        <v>1</v>
      </c>
      <c r="D3458" s="8">
        <f ca="1">IFERROR(__xludf.DUMMYFUNCTION("""COMPUTED_VALUE"""),5)</f>
        <v>5</v>
      </c>
      <c r="E3458" s="2">
        <f ca="1">IFERROR(__xludf.DUMMYFUNCTION("""COMPUTED_VALUE"""),2)</f>
        <v>2</v>
      </c>
    </row>
    <row r="3459" spans="1:5" ht="13">
      <c r="A3459" s="2" t="str">
        <f ca="1">IFERROR(__xludf.DUMMYFUNCTION("""COMPUTED_VALUE"""),"Handel, George Frideric")</f>
        <v>Handel, George Frideric</v>
      </c>
      <c r="B3459" s="3">
        <f ca="1">IFERROR(__xludf.DUMMYFUNCTION("""COMPUTED_VALUE"""),1)</f>
        <v>1</v>
      </c>
      <c r="C3459" s="7">
        <f ca="1">IFERROR(__xludf.DUMMYFUNCTION("""COMPUTED_VALUE"""),1)</f>
        <v>1</v>
      </c>
      <c r="D3459" s="8">
        <f ca="1">IFERROR(__xludf.DUMMYFUNCTION("""COMPUTED_VALUE"""),5)</f>
        <v>5</v>
      </c>
      <c r="E3459" s="2">
        <f ca="1">IFERROR(__xludf.DUMMYFUNCTION("""COMPUTED_VALUE"""),2)</f>
        <v>2</v>
      </c>
    </row>
    <row r="3460" spans="1:5" ht="13">
      <c r="A3460" s="8" t="str">
        <f ca="1">IFERROR(__xludf.DUMMYFUNCTION("""COMPUTED_VALUE"""),"Handl, Jacob")</f>
        <v>Handl, Jacob</v>
      </c>
      <c r="B3460" s="3">
        <f ca="1">IFERROR(__xludf.DUMMYFUNCTION("""COMPUTED_VALUE"""),1)</f>
        <v>1</v>
      </c>
      <c r="C3460" s="7">
        <f ca="1">IFERROR(__xludf.DUMMYFUNCTION("""COMPUTED_VALUE"""),1)</f>
        <v>1</v>
      </c>
      <c r="D3460" s="8">
        <f ca="1">IFERROR(__xludf.DUMMYFUNCTION("""COMPUTED_VALUE"""),5)</f>
        <v>5</v>
      </c>
      <c r="E3460" s="2">
        <f ca="1">IFERROR(__xludf.DUMMYFUNCTION("""COMPUTED_VALUE"""),2)</f>
        <v>2</v>
      </c>
    </row>
    <row r="3461" spans="1:5" ht="13">
      <c r="A3461" s="2" t="str">
        <f ca="1">IFERROR(__xludf.DUMMYFUNCTION("""COMPUTED_VALUE"""),"Haney, Joe T.")</f>
        <v>Haney, Joe T.</v>
      </c>
      <c r="B3461" s="3">
        <f ca="1">IFERROR(__xludf.DUMMYFUNCTION("""COMPUTED_VALUE"""),1)</f>
        <v>1</v>
      </c>
      <c r="C3461" s="7">
        <f ca="1">IFERROR(__xludf.DUMMYFUNCTION("""COMPUTED_VALUE"""),1)</f>
        <v>1</v>
      </c>
      <c r="D3461" s="8">
        <f ca="1">IFERROR(__xludf.DUMMYFUNCTION("""COMPUTED_VALUE"""),5)</f>
        <v>5</v>
      </c>
      <c r="E3461" s="2">
        <f ca="1">IFERROR(__xludf.DUMMYFUNCTION("""COMPUTED_VALUE"""),2)</f>
        <v>2</v>
      </c>
    </row>
    <row r="3462" spans="1:5" ht="13">
      <c r="A3462" s="2" t="str">
        <f ca="1">IFERROR(__xludf.DUMMYFUNCTION("""COMPUTED_VALUE"""),"Hanff, Johann Nicolaus")</f>
        <v>Hanff, Johann Nicolaus</v>
      </c>
      <c r="B3462" s="3">
        <f ca="1">IFERROR(__xludf.DUMMYFUNCTION("""COMPUTED_VALUE"""),1)</f>
        <v>1</v>
      </c>
      <c r="C3462" s="7">
        <f ca="1">IFERROR(__xludf.DUMMYFUNCTION("""COMPUTED_VALUE"""),1)</f>
        <v>1</v>
      </c>
      <c r="D3462" s="8">
        <f ca="1">IFERROR(__xludf.DUMMYFUNCTION("""COMPUTED_VALUE"""),5)</f>
        <v>5</v>
      </c>
      <c r="E3462" s="2">
        <f ca="1">IFERROR(__xludf.DUMMYFUNCTION("""COMPUTED_VALUE"""),2)</f>
        <v>2</v>
      </c>
    </row>
    <row r="3463" spans="1:5" ht="13">
      <c r="A3463" s="2" t="str">
        <f ca="1">IFERROR(__xludf.DUMMYFUNCTION("""COMPUTED_VALUE"""),"Hanley, James / DeSylva, Buddy")</f>
        <v>Hanley, James / DeSylva, Buddy</v>
      </c>
      <c r="B3463" s="2">
        <f ca="1">IFERROR(__xludf.DUMMYFUNCTION("""COMPUTED_VALUE"""),1)</f>
        <v>1</v>
      </c>
      <c r="C3463" s="7">
        <f ca="1">IFERROR(__xludf.DUMMYFUNCTION("""COMPUTED_VALUE"""),1)</f>
        <v>1</v>
      </c>
      <c r="D3463" s="8">
        <f ca="1">IFERROR(__xludf.DUMMYFUNCTION("""COMPUTED_VALUE"""),5)</f>
        <v>5</v>
      </c>
      <c r="E3463" s="2">
        <f ca="1">IFERROR(__xludf.DUMMYFUNCTION("""COMPUTED_VALUE"""),2)</f>
        <v>2</v>
      </c>
    </row>
    <row r="3464" spans="1:5" ht="13">
      <c r="A3464" s="2" t="str">
        <f ca="1">IFERROR(__xludf.DUMMYFUNCTION("""COMPUTED_VALUE"""),"Hanley, James F. / MacDonald, Ballard")</f>
        <v>Hanley, James F. / MacDonald, Ballard</v>
      </c>
      <c r="B3464" s="2">
        <f ca="1">IFERROR(__xludf.DUMMYFUNCTION("""COMPUTED_VALUE"""),1)</f>
        <v>1</v>
      </c>
      <c r="C3464" s="7">
        <f ca="1">IFERROR(__xludf.DUMMYFUNCTION("""COMPUTED_VALUE"""),1)</f>
        <v>1</v>
      </c>
      <c r="D3464" s="8">
        <f ca="1">IFERROR(__xludf.DUMMYFUNCTION("""COMPUTED_VALUE"""),5)</f>
        <v>5</v>
      </c>
      <c r="E3464" s="2">
        <f ca="1">IFERROR(__xludf.DUMMYFUNCTION("""COMPUTED_VALUE"""),2)</f>
        <v>2</v>
      </c>
    </row>
    <row r="3465" spans="1:5" ht="13">
      <c r="A3465" s="8" t="str">
        <f ca="1">IFERROR(__xludf.DUMMYFUNCTION("""COMPUTED_VALUE"""),"Hanna, Reed")</f>
        <v>Hanna, Reed</v>
      </c>
      <c r="B3465" s="3">
        <f ca="1">IFERROR(__xludf.DUMMYFUNCTION("""COMPUTED_VALUE"""),1)</f>
        <v>1</v>
      </c>
      <c r="C3465" s="7">
        <f ca="1">IFERROR(__xludf.DUMMYFUNCTION("""COMPUTED_VALUE"""),1)</f>
        <v>1</v>
      </c>
      <c r="D3465" s="8">
        <f ca="1">IFERROR(__xludf.DUMMYFUNCTION("""COMPUTED_VALUE"""),1)</f>
        <v>1</v>
      </c>
      <c r="E3465" s="2">
        <f ca="1">IFERROR(__xludf.DUMMYFUNCTION("""COMPUTED_VALUE"""),1)</f>
        <v>1</v>
      </c>
    </row>
    <row r="3466" spans="1:5" ht="13">
      <c r="A3466" s="2" t="str">
        <f ca="1">IFERROR(__xludf.DUMMYFUNCTION("""COMPUTED_VALUE"""),"Hannaford, Kenneth")</f>
        <v>Hannaford, Kenneth</v>
      </c>
      <c r="B3466" s="2">
        <f ca="1">IFERROR(__xludf.DUMMYFUNCTION("""COMPUTED_VALUE"""),1)</f>
        <v>1</v>
      </c>
      <c r="C3466" s="2">
        <f ca="1">IFERROR(__xludf.DUMMYFUNCTION("""COMPUTED_VALUE"""),1)</f>
        <v>1</v>
      </c>
      <c r="D3466" s="8">
        <f ca="1">IFERROR(__xludf.DUMMYFUNCTION("""COMPUTED_VALUE"""),5)</f>
        <v>5</v>
      </c>
      <c r="E3466" s="2">
        <f ca="1">IFERROR(__xludf.DUMMYFUNCTION("""COMPUTED_VALUE"""),2)</f>
        <v>2</v>
      </c>
    </row>
    <row r="3467" spans="1:5" ht="13">
      <c r="A3467" s="2" t="str">
        <f ca="1">IFERROR(__xludf.DUMMYFUNCTION("""COMPUTED_VALUE"""),"Hannickel, Mike")</f>
        <v>Hannickel, Mike</v>
      </c>
      <c r="B3467" s="3">
        <f ca="1">IFERROR(__xludf.DUMMYFUNCTION("""COMPUTED_VALUE"""),1)</f>
        <v>1</v>
      </c>
      <c r="C3467" s="7">
        <f ca="1">IFERROR(__xludf.DUMMYFUNCTION("""COMPUTED_VALUE"""),1)</f>
        <v>1</v>
      </c>
      <c r="D3467" s="8">
        <f ca="1">IFERROR(__xludf.DUMMYFUNCTION("""COMPUTED_VALUE"""),1)</f>
        <v>1</v>
      </c>
      <c r="E3467" s="2">
        <f ca="1">IFERROR(__xludf.DUMMYFUNCTION("""COMPUTED_VALUE"""),1)</f>
        <v>1</v>
      </c>
    </row>
    <row r="3468" spans="1:5" ht="13">
      <c r="A3468" s="2" t="str">
        <f ca="1">IFERROR(__xludf.DUMMYFUNCTION("""COMPUTED_VALUE"""),"Hannum, Olin")</f>
        <v>Hannum, Olin</v>
      </c>
      <c r="B3468" s="3">
        <f ca="1">IFERROR(__xludf.DUMMYFUNCTION("""COMPUTED_VALUE"""),1)</f>
        <v>1</v>
      </c>
      <c r="C3468" s="7">
        <f ca="1">IFERROR(__xludf.DUMMYFUNCTION("""COMPUTED_VALUE"""),1)</f>
        <v>1</v>
      </c>
      <c r="D3468" s="8">
        <f ca="1">IFERROR(__xludf.DUMMYFUNCTION("""COMPUTED_VALUE"""),1)</f>
        <v>1</v>
      </c>
      <c r="E3468" s="2">
        <f ca="1">IFERROR(__xludf.DUMMYFUNCTION("""COMPUTED_VALUE"""),1)</f>
        <v>1</v>
      </c>
    </row>
    <row r="3469" spans="1:5" ht="13">
      <c r="A3469" s="2" t="str">
        <f ca="1">IFERROR(__xludf.DUMMYFUNCTION("""COMPUTED_VALUE"""),"Hansen, Danny")</f>
        <v>Hansen, Danny</v>
      </c>
      <c r="B3469" s="3">
        <f ca="1">IFERROR(__xludf.DUMMYFUNCTION("""COMPUTED_VALUE"""),1)</f>
        <v>1</v>
      </c>
      <c r="C3469" s="7">
        <f ca="1">IFERROR(__xludf.DUMMYFUNCTION("""COMPUTED_VALUE"""),1)</f>
        <v>1</v>
      </c>
      <c r="D3469" s="8">
        <f ca="1">IFERROR(__xludf.DUMMYFUNCTION("""COMPUTED_VALUE"""),1)</f>
        <v>1</v>
      </c>
      <c r="E3469" s="2">
        <f ca="1">IFERROR(__xludf.DUMMYFUNCTION("""COMPUTED_VALUE"""),1)</f>
        <v>1</v>
      </c>
    </row>
    <row r="3470" spans="1:5" ht="13">
      <c r="A3470" s="8" t="str">
        <f ca="1">IFERROR(__xludf.DUMMYFUNCTION("""COMPUTED_VALUE"""),"Hansen, Erik")</f>
        <v>Hansen, Erik</v>
      </c>
      <c r="B3470" s="3">
        <f ca="1">IFERROR(__xludf.DUMMYFUNCTION("""COMPUTED_VALUE"""),1)</f>
        <v>1</v>
      </c>
      <c r="C3470" s="7">
        <f ca="1">IFERROR(__xludf.DUMMYFUNCTION("""COMPUTED_VALUE"""),1)</f>
        <v>1</v>
      </c>
      <c r="D3470" s="8">
        <f ca="1">IFERROR(__xludf.DUMMYFUNCTION("""COMPUTED_VALUE"""),1)</f>
        <v>1</v>
      </c>
      <c r="E3470" s="2">
        <f ca="1">IFERROR(__xludf.DUMMYFUNCTION("""COMPUTED_VALUE"""),1)</f>
        <v>1</v>
      </c>
    </row>
    <row r="3471" spans="1:5" ht="13">
      <c r="A3471" s="2" t="str">
        <f ca="1">IFERROR(__xludf.DUMMYFUNCTION("""COMPUTED_VALUE"""),"Hansen, Richard K.")</f>
        <v>Hansen, Richard K.</v>
      </c>
      <c r="B3471" s="2">
        <f ca="1">IFERROR(__xludf.DUMMYFUNCTION("""COMPUTED_VALUE"""),1)</f>
        <v>1</v>
      </c>
      <c r="C3471" s="2">
        <f ca="1">IFERROR(__xludf.DUMMYFUNCTION("""COMPUTED_VALUE"""),1)</f>
        <v>1</v>
      </c>
      <c r="D3471" s="8">
        <f ca="1">IFERROR(__xludf.DUMMYFUNCTION("""COMPUTED_VALUE"""),5)</f>
        <v>5</v>
      </c>
      <c r="E3471" s="2">
        <f ca="1">IFERROR(__xludf.DUMMYFUNCTION("""COMPUTED_VALUE"""),2)</f>
        <v>2</v>
      </c>
    </row>
    <row r="3472" spans="1:5" ht="13">
      <c r="A3472" s="2" t="str">
        <f ca="1">IFERROR(__xludf.DUMMYFUNCTION("""COMPUTED_VALUE"""),"Hanson, Dave")</f>
        <v>Hanson, Dave</v>
      </c>
      <c r="B3472" s="3">
        <f ca="1">IFERROR(__xludf.DUMMYFUNCTION("""COMPUTED_VALUE"""),1)</f>
        <v>1</v>
      </c>
      <c r="C3472" s="7">
        <f ca="1">IFERROR(__xludf.DUMMYFUNCTION("""COMPUTED_VALUE"""),1)</f>
        <v>1</v>
      </c>
      <c r="D3472" s="8">
        <f ca="1">IFERROR(__xludf.DUMMYFUNCTION("""COMPUTED_VALUE"""),1)</f>
        <v>1</v>
      </c>
      <c r="E3472" s="2">
        <f ca="1">IFERROR(__xludf.DUMMYFUNCTION("""COMPUTED_VALUE"""),1)</f>
        <v>1</v>
      </c>
    </row>
    <row r="3473" spans="1:5" ht="13">
      <c r="A3473" s="2" t="str">
        <f ca="1">IFERROR(__xludf.DUMMYFUNCTION("""COMPUTED_VALUE"""),"Hanson, Eric")</f>
        <v>Hanson, Eric</v>
      </c>
      <c r="B3473" s="3">
        <f ca="1">IFERROR(__xludf.DUMMYFUNCTION("""COMPUTED_VALUE"""),1)</f>
        <v>1</v>
      </c>
      <c r="C3473" s="7">
        <f ca="1">IFERROR(__xludf.DUMMYFUNCTION("""COMPUTED_VALUE"""),1)</f>
        <v>1</v>
      </c>
      <c r="D3473" s="8">
        <f ca="1">IFERROR(__xludf.DUMMYFUNCTION("""COMPUTED_VALUE"""),1)</f>
        <v>1</v>
      </c>
      <c r="E3473" s="2">
        <f ca="1">IFERROR(__xludf.DUMMYFUNCTION("""COMPUTED_VALUE"""),1)</f>
        <v>1</v>
      </c>
    </row>
    <row r="3474" spans="1:5" ht="13">
      <c r="A3474" s="2" t="str">
        <f ca="1">IFERROR(__xludf.DUMMYFUNCTION("""COMPUTED_VALUE"""),"Hanson, Howard")</f>
        <v>Hanson, Howard</v>
      </c>
      <c r="B3474" s="3">
        <f ca="1">IFERROR(__xludf.DUMMYFUNCTION("""COMPUTED_VALUE"""),1)</f>
        <v>1</v>
      </c>
      <c r="C3474" s="7">
        <f ca="1">IFERROR(__xludf.DUMMYFUNCTION("""COMPUTED_VALUE"""),1)</f>
        <v>1</v>
      </c>
      <c r="D3474" s="8">
        <f ca="1">IFERROR(__xludf.DUMMYFUNCTION("""COMPUTED_VALUE"""),5)</f>
        <v>5</v>
      </c>
      <c r="E3474" s="2">
        <f ca="1">IFERROR(__xludf.DUMMYFUNCTION("""COMPUTED_VALUE"""),2)</f>
        <v>2</v>
      </c>
    </row>
    <row r="3475" spans="1:5" ht="13">
      <c r="A3475" s="2" t="str">
        <f ca="1">IFERROR(__xludf.DUMMYFUNCTION("""COMPUTED_VALUE"""),"Hanson, J. Robert")</f>
        <v>Hanson, J. Robert</v>
      </c>
      <c r="B3475" s="3">
        <f ca="1">IFERROR(__xludf.DUMMYFUNCTION("""COMPUTED_VALUE"""),1)</f>
        <v>1</v>
      </c>
      <c r="C3475" s="7">
        <f ca="1">IFERROR(__xludf.DUMMYFUNCTION("""COMPUTED_VALUE"""),1)</f>
        <v>1</v>
      </c>
      <c r="D3475" s="8">
        <f ca="1">IFERROR(__xludf.DUMMYFUNCTION("""COMPUTED_VALUE"""),5)</f>
        <v>5</v>
      </c>
      <c r="E3475" s="2">
        <f ca="1">IFERROR(__xludf.DUMMYFUNCTION("""COMPUTED_VALUE"""),2)</f>
        <v>2</v>
      </c>
    </row>
    <row r="3476" spans="1:5" ht="13">
      <c r="A3476" s="2" t="str">
        <f ca="1">IFERROR(__xludf.DUMMYFUNCTION("""COMPUTED_VALUE"""),"Hanson, Robert")</f>
        <v>Hanson, Robert</v>
      </c>
      <c r="B3476" s="3">
        <f ca="1">IFERROR(__xludf.DUMMYFUNCTION("""COMPUTED_VALUE"""),1)</f>
        <v>1</v>
      </c>
      <c r="C3476" s="7">
        <f ca="1">IFERROR(__xludf.DUMMYFUNCTION("""COMPUTED_VALUE"""),1)</f>
        <v>1</v>
      </c>
      <c r="D3476" s="8">
        <f ca="1">IFERROR(__xludf.DUMMYFUNCTION("""COMPUTED_VALUE"""),1)</f>
        <v>1</v>
      </c>
      <c r="E3476" s="2">
        <f ca="1">IFERROR(__xludf.DUMMYFUNCTION("""COMPUTED_VALUE"""),1)</f>
        <v>1</v>
      </c>
    </row>
    <row r="3477" spans="1:5" ht="13">
      <c r="A3477" s="2" t="str">
        <f ca="1">IFERROR(__xludf.DUMMYFUNCTION("""COMPUTED_VALUE"""),"Hanssen, Johannes")</f>
        <v>Hanssen, Johannes</v>
      </c>
      <c r="B3477" s="3">
        <f ca="1">IFERROR(__xludf.DUMMYFUNCTION("""COMPUTED_VALUE"""),1)</f>
        <v>1</v>
      </c>
      <c r="C3477" s="7">
        <f ca="1">IFERROR(__xludf.DUMMYFUNCTION("""COMPUTED_VALUE"""),1)</f>
        <v>1</v>
      </c>
      <c r="D3477" s="8">
        <f ca="1">IFERROR(__xludf.DUMMYFUNCTION("""COMPUTED_VALUE"""),5)</f>
        <v>5</v>
      </c>
      <c r="E3477" s="2">
        <f ca="1">IFERROR(__xludf.DUMMYFUNCTION("""COMPUTED_VALUE"""),2)</f>
        <v>2</v>
      </c>
    </row>
    <row r="3478" spans="1:5" ht="13">
      <c r="A3478" s="2" t="str">
        <f ca="1">IFERROR(__xludf.DUMMYFUNCTION("""COMPUTED_VALUE"""),"Harbaugh, Lee")</f>
        <v>Harbaugh, Lee</v>
      </c>
      <c r="B3478" s="3">
        <f ca="1">IFERROR(__xludf.DUMMYFUNCTION("""COMPUTED_VALUE"""),1)</f>
        <v>1</v>
      </c>
      <c r="C3478" s="7">
        <f ca="1">IFERROR(__xludf.DUMMYFUNCTION("""COMPUTED_VALUE"""),1)</f>
        <v>1</v>
      </c>
      <c r="D3478" s="8">
        <f ca="1">IFERROR(__xludf.DUMMYFUNCTION("""COMPUTED_VALUE"""),1)</f>
        <v>1</v>
      </c>
      <c r="E3478" s="2">
        <f ca="1">IFERROR(__xludf.DUMMYFUNCTION("""COMPUTED_VALUE"""),1)</f>
        <v>1</v>
      </c>
    </row>
    <row r="3479" spans="1:5" ht="13">
      <c r="A3479" s="2" t="str">
        <f ca="1">IFERROR(__xludf.DUMMYFUNCTION("""COMPUTED_VALUE"""),"Harbinson, William G.")</f>
        <v>Harbinson, William G.</v>
      </c>
      <c r="B3479" s="3">
        <f ca="1">IFERROR(__xludf.DUMMYFUNCTION("""COMPUTED_VALUE"""),1)</f>
        <v>1</v>
      </c>
      <c r="C3479" s="7">
        <f ca="1">IFERROR(__xludf.DUMMYFUNCTION("""COMPUTED_VALUE"""),1)</f>
        <v>1</v>
      </c>
      <c r="D3479" s="8">
        <f ca="1">IFERROR(__xludf.DUMMYFUNCTION("""COMPUTED_VALUE"""),1)</f>
        <v>1</v>
      </c>
      <c r="E3479" s="2">
        <f ca="1">IFERROR(__xludf.DUMMYFUNCTION("""COMPUTED_VALUE"""),1)</f>
        <v>1</v>
      </c>
    </row>
    <row r="3480" spans="1:5" ht="13">
      <c r="A3480" s="2" t="str">
        <f ca="1">IFERROR(__xludf.DUMMYFUNCTION("""COMPUTED_VALUE"""),"Harbison, John")</f>
        <v>Harbison, John</v>
      </c>
      <c r="B3480" s="3">
        <f ca="1">IFERROR(__xludf.DUMMYFUNCTION("""COMPUTED_VALUE"""),1)</f>
        <v>1</v>
      </c>
      <c r="C3480" s="7">
        <f ca="1">IFERROR(__xludf.DUMMYFUNCTION("""COMPUTED_VALUE"""),1)</f>
        <v>1</v>
      </c>
      <c r="D3480" s="8">
        <f ca="1">IFERROR(__xludf.DUMMYFUNCTION("""COMPUTED_VALUE"""),1)</f>
        <v>1</v>
      </c>
      <c r="E3480" s="2">
        <f ca="1">IFERROR(__xludf.DUMMYFUNCTION("""COMPUTED_VALUE"""),1)</f>
        <v>1</v>
      </c>
    </row>
    <row r="3481" spans="1:5" ht="13">
      <c r="A3481" s="8" t="str">
        <f ca="1">IFERROR(__xludf.DUMMYFUNCTION("""COMPUTED_VALUE"""),"Harburg, E.Y.")</f>
        <v>Harburg, E.Y.</v>
      </c>
      <c r="B3481" s="3">
        <f ca="1">IFERROR(__xludf.DUMMYFUNCTION("""COMPUTED_VALUE"""),1)</f>
        <v>1</v>
      </c>
      <c r="C3481" s="7">
        <f ca="1">IFERROR(__xludf.DUMMYFUNCTION("""COMPUTED_VALUE"""),1)</f>
        <v>1</v>
      </c>
      <c r="D3481" s="8">
        <f ca="1">IFERROR(__xludf.DUMMYFUNCTION("""COMPUTED_VALUE"""),5)</f>
        <v>5</v>
      </c>
      <c r="E3481" s="2">
        <f ca="1">IFERROR(__xludf.DUMMYFUNCTION("""COMPUTED_VALUE"""),2)</f>
        <v>2</v>
      </c>
    </row>
    <row r="3482" spans="1:5" ht="13">
      <c r="A3482" s="2" t="str">
        <f ca="1">IFERROR(__xludf.DUMMYFUNCTION("""COMPUTED_VALUE"""),"Harder, Matthew")</f>
        <v>Harder, Matthew</v>
      </c>
      <c r="B3482" s="2">
        <f ca="1">IFERROR(__xludf.DUMMYFUNCTION("""COMPUTED_VALUE"""),1)</f>
        <v>1</v>
      </c>
      <c r="C3482" s="2">
        <f ca="1">IFERROR(__xludf.DUMMYFUNCTION("""COMPUTED_VALUE"""),1)</f>
        <v>1</v>
      </c>
      <c r="D3482" s="8">
        <f ca="1">IFERROR(__xludf.DUMMYFUNCTION("""COMPUTED_VALUE"""),1)</f>
        <v>1</v>
      </c>
      <c r="E3482" s="2">
        <f ca="1">IFERROR(__xludf.DUMMYFUNCTION("""COMPUTED_VALUE"""),1)</f>
        <v>1</v>
      </c>
    </row>
    <row r="3483" spans="1:5" ht="13">
      <c r="A3483" s="8" t="str">
        <f ca="1">IFERROR(__xludf.DUMMYFUNCTION("""COMPUTED_VALUE"""),"Hardiman, Ronan")</f>
        <v>Hardiman, Ronan</v>
      </c>
      <c r="B3483" s="3">
        <f ca="1">IFERROR(__xludf.DUMMYFUNCTION("""COMPUTED_VALUE"""),1)</f>
        <v>1</v>
      </c>
      <c r="C3483" s="7">
        <f ca="1">IFERROR(__xludf.DUMMYFUNCTION("""COMPUTED_VALUE"""),1)</f>
        <v>1</v>
      </c>
      <c r="D3483" s="8">
        <f ca="1">IFERROR(__xludf.DUMMYFUNCTION("""COMPUTED_VALUE"""),1)</f>
        <v>1</v>
      </c>
      <c r="E3483" s="2">
        <f ca="1">IFERROR(__xludf.DUMMYFUNCTION("""COMPUTED_VALUE"""),1)</f>
        <v>1</v>
      </c>
    </row>
    <row r="3484" spans="1:5" ht="13">
      <c r="A3484" s="2" t="str">
        <f ca="1">IFERROR(__xludf.DUMMYFUNCTION("""COMPUTED_VALUE"""),"Harding, A.A.")</f>
        <v>Harding, A.A.</v>
      </c>
      <c r="B3484" s="3">
        <f ca="1">IFERROR(__xludf.DUMMYFUNCTION("""COMPUTED_VALUE"""),1)</f>
        <v>1</v>
      </c>
      <c r="C3484" s="7">
        <f ca="1">IFERROR(__xludf.DUMMYFUNCTION("""COMPUTED_VALUE"""),1)</f>
        <v>1</v>
      </c>
      <c r="D3484" s="8">
        <f ca="1">IFERROR(__xludf.DUMMYFUNCTION("""COMPUTED_VALUE"""),5)</f>
        <v>5</v>
      </c>
      <c r="E3484" s="2">
        <f ca="1">IFERROR(__xludf.DUMMYFUNCTION("""COMPUTED_VALUE"""),2)</f>
        <v>2</v>
      </c>
    </row>
    <row r="3485" spans="1:5" ht="13">
      <c r="A3485" s="2" t="str">
        <f ca="1">IFERROR(__xludf.DUMMYFUNCTION("""COMPUTED_VALUE"""),"Hardt, Victor H.")</f>
        <v>Hardt, Victor H.</v>
      </c>
      <c r="B3485" s="2">
        <f ca="1">IFERROR(__xludf.DUMMYFUNCTION("""COMPUTED_VALUE"""),1)</f>
        <v>1</v>
      </c>
      <c r="C3485" s="2">
        <f ca="1">IFERROR(__xludf.DUMMYFUNCTION("""COMPUTED_VALUE"""),1)</f>
        <v>1</v>
      </c>
      <c r="D3485" s="8">
        <f ca="1">IFERROR(__xludf.DUMMYFUNCTION("""COMPUTED_VALUE"""),5)</f>
        <v>5</v>
      </c>
      <c r="E3485" s="2">
        <f ca="1">IFERROR(__xludf.DUMMYFUNCTION("""COMPUTED_VALUE"""),2)</f>
        <v>2</v>
      </c>
    </row>
    <row r="3486" spans="1:5" ht="13">
      <c r="A3486" s="8" t="str">
        <f ca="1">IFERROR(__xludf.DUMMYFUNCTION("""COMPUTED_VALUE"""),"Hardwicke, Arthur")</f>
        <v>Hardwicke, Arthur</v>
      </c>
      <c r="B3486" s="3">
        <f ca="1">IFERROR(__xludf.DUMMYFUNCTION("""COMPUTED_VALUE"""),1)</f>
        <v>1</v>
      </c>
      <c r="C3486" s="7">
        <f ca="1">IFERROR(__xludf.DUMMYFUNCTION("""COMPUTED_VALUE"""),1)</f>
        <v>1</v>
      </c>
      <c r="D3486" s="8">
        <f ca="1">IFERROR(__xludf.DUMMYFUNCTION("""COMPUTED_VALUE"""),1)</f>
        <v>1</v>
      </c>
      <c r="E3486" s="2">
        <f ca="1">IFERROR(__xludf.DUMMYFUNCTION("""COMPUTED_VALUE"""),1)</f>
        <v>1</v>
      </c>
    </row>
    <row r="3487" spans="1:5" ht="13">
      <c r="A3487" s="2" t="str">
        <f ca="1">IFERROR(__xludf.DUMMYFUNCTION("""COMPUTED_VALUE"""),"Hardyk, Joel M.")</f>
        <v>Hardyk, Joel M.</v>
      </c>
      <c r="B3487" s="3">
        <f ca="1">IFERROR(__xludf.DUMMYFUNCTION("""COMPUTED_VALUE"""),1)</f>
        <v>1</v>
      </c>
      <c r="C3487" s="7">
        <f ca="1">IFERROR(__xludf.DUMMYFUNCTION("""COMPUTED_VALUE"""),1)</f>
        <v>1</v>
      </c>
      <c r="D3487" s="8">
        <f ca="1">IFERROR(__xludf.DUMMYFUNCTION("""COMPUTED_VALUE"""),1)</f>
        <v>1</v>
      </c>
      <c r="E3487" s="2">
        <f ca="1">IFERROR(__xludf.DUMMYFUNCTION("""COMPUTED_VALUE"""),1)</f>
        <v>1</v>
      </c>
    </row>
    <row r="3488" spans="1:5" ht="13">
      <c r="A3488" s="2" t="str">
        <f ca="1">IFERROR(__xludf.DUMMYFUNCTION("""COMPUTED_VALUE"""),"Hare, Dayton")</f>
        <v>Hare, Dayton</v>
      </c>
      <c r="B3488" s="2">
        <f ca="1">IFERROR(__xludf.DUMMYFUNCTION("""COMPUTED_VALUE"""),1)</f>
        <v>1</v>
      </c>
      <c r="C3488" s="2">
        <f ca="1">IFERROR(__xludf.DUMMYFUNCTION("""COMPUTED_VALUE"""),1)</f>
        <v>1</v>
      </c>
      <c r="D3488" s="8">
        <f ca="1">IFERROR(__xludf.DUMMYFUNCTION("""COMPUTED_VALUE"""),1)</f>
        <v>1</v>
      </c>
      <c r="E3488" s="2">
        <f ca="1">IFERROR(__xludf.DUMMYFUNCTION("""COMPUTED_VALUE"""),1)</f>
        <v>1</v>
      </c>
    </row>
    <row r="3489" spans="1:5" ht="13">
      <c r="A3489" s="8" t="str">
        <f ca="1">IFERROR(__xludf.DUMMYFUNCTION("""COMPUTED_VALUE"""),"Hare, Nicholas")</f>
        <v>Hare, Nicholas</v>
      </c>
      <c r="B3489" s="3">
        <f ca="1">IFERROR(__xludf.DUMMYFUNCTION("""COMPUTED_VALUE"""),1)</f>
        <v>1</v>
      </c>
      <c r="C3489" s="7">
        <f ca="1">IFERROR(__xludf.DUMMYFUNCTION("""COMPUTED_VALUE"""),1)</f>
        <v>1</v>
      </c>
      <c r="D3489" s="8">
        <f ca="1">IFERROR(__xludf.DUMMYFUNCTION("""COMPUTED_VALUE"""),1)</f>
        <v>1</v>
      </c>
      <c r="E3489" s="2">
        <f ca="1">IFERROR(__xludf.DUMMYFUNCTION("""COMPUTED_VALUE"""),1)</f>
        <v>1</v>
      </c>
    </row>
    <row r="3490" spans="1:5" ht="13">
      <c r="A3490" s="2" t="str">
        <f ca="1">IFERROR(__xludf.DUMMYFUNCTION("""COMPUTED_VALUE"""),"Hare, Ryan")</f>
        <v>Hare, Ryan</v>
      </c>
      <c r="B3490" s="3">
        <f ca="1">IFERROR(__xludf.DUMMYFUNCTION("""COMPUTED_VALUE"""),1)</f>
        <v>1</v>
      </c>
      <c r="C3490" s="7">
        <f ca="1">IFERROR(__xludf.DUMMYFUNCTION("""COMPUTED_VALUE"""),1)</f>
        <v>1</v>
      </c>
      <c r="D3490" s="8">
        <f ca="1">IFERROR(__xludf.DUMMYFUNCTION("""COMPUTED_VALUE"""),1)</f>
        <v>1</v>
      </c>
      <c r="E3490" s="2">
        <f ca="1">IFERROR(__xludf.DUMMYFUNCTION("""COMPUTED_VALUE"""),1)</f>
        <v>1</v>
      </c>
    </row>
    <row r="3491" spans="1:5" ht="13">
      <c r="A3491" s="2" t="str">
        <f ca="1">IFERROR(__xludf.DUMMYFUNCTION("""COMPUTED_VALUE"""),"Hare, Ryan M.")</f>
        <v>Hare, Ryan M.</v>
      </c>
      <c r="B3491" s="2">
        <f ca="1">IFERROR(__xludf.DUMMYFUNCTION("""COMPUTED_VALUE"""),1)</f>
        <v>1</v>
      </c>
      <c r="C3491" s="2">
        <f ca="1">IFERROR(__xludf.DUMMYFUNCTION("""COMPUTED_VALUE"""),1)</f>
        <v>1</v>
      </c>
      <c r="D3491" s="8">
        <f ca="1">IFERROR(__xludf.DUMMYFUNCTION("""COMPUTED_VALUE"""),1)</f>
        <v>1</v>
      </c>
      <c r="E3491" s="2">
        <f ca="1">IFERROR(__xludf.DUMMYFUNCTION("""COMPUTED_VALUE"""),1)</f>
        <v>1</v>
      </c>
    </row>
    <row r="3492" spans="1:5" ht="13">
      <c r="A3492" s="2" t="str">
        <f ca="1">IFERROR(__xludf.DUMMYFUNCTION("""COMPUTED_VALUE"""),"Harlan, Benjamin")</f>
        <v>Harlan, Benjamin</v>
      </c>
      <c r="B3492" s="3">
        <f ca="1">IFERROR(__xludf.DUMMYFUNCTION("""COMPUTED_VALUE"""),1)</f>
        <v>1</v>
      </c>
      <c r="C3492" s="7">
        <f ca="1">IFERROR(__xludf.DUMMYFUNCTION("""COMPUTED_VALUE"""),1)</f>
        <v>1</v>
      </c>
      <c r="D3492" s="8">
        <f ca="1">IFERROR(__xludf.DUMMYFUNCTION("""COMPUTED_VALUE"""),1)</f>
        <v>1</v>
      </c>
      <c r="E3492" s="2">
        <f ca="1">IFERROR(__xludf.DUMMYFUNCTION("""COMPUTED_VALUE"""),1)</f>
        <v>1</v>
      </c>
    </row>
    <row r="3493" spans="1:5" ht="13">
      <c r="A3493" s="2" t="str">
        <f ca="1">IFERROR(__xludf.DUMMYFUNCTION("""COMPUTED_VALUE"""),"Harlin, Patrick")</f>
        <v>Harlin, Patrick</v>
      </c>
      <c r="B3493" s="3">
        <f ca="1">IFERROR(__xludf.DUMMYFUNCTION("""COMPUTED_VALUE"""),1)</f>
        <v>1</v>
      </c>
      <c r="C3493" s="7">
        <f ca="1">IFERROR(__xludf.DUMMYFUNCTION("""COMPUTED_VALUE"""),1)</f>
        <v>1</v>
      </c>
      <c r="D3493" s="8">
        <f ca="1">IFERROR(__xludf.DUMMYFUNCTION("""COMPUTED_VALUE"""),1)</f>
        <v>1</v>
      </c>
      <c r="E3493" s="2">
        <f ca="1">IFERROR(__xludf.DUMMYFUNCTION("""COMPUTED_VALUE"""),1)</f>
        <v>1</v>
      </c>
    </row>
    <row r="3494" spans="1:5" ht="13">
      <c r="A3494" s="2" t="str">
        <f ca="1">IFERROR(__xludf.DUMMYFUNCTION("""COMPUTED_VALUE"""),"Harline, Leigh")</f>
        <v>Harline, Leigh</v>
      </c>
      <c r="B3494" s="3">
        <f ca="1">IFERROR(__xludf.DUMMYFUNCTION("""COMPUTED_VALUE"""),1)</f>
        <v>1</v>
      </c>
      <c r="C3494" s="7">
        <f ca="1">IFERROR(__xludf.DUMMYFUNCTION("""COMPUTED_VALUE"""),1)</f>
        <v>1</v>
      </c>
      <c r="D3494" s="8">
        <f ca="1">IFERROR(__xludf.DUMMYFUNCTION("""COMPUTED_VALUE"""),5)</f>
        <v>5</v>
      </c>
      <c r="E3494" s="2">
        <f ca="1">IFERROR(__xludf.DUMMYFUNCTION("""COMPUTED_VALUE"""),2)</f>
        <v>2</v>
      </c>
    </row>
    <row r="3495" spans="1:5" ht="13">
      <c r="A3495" s="2" t="str">
        <f ca="1">IFERROR(__xludf.DUMMYFUNCTION("""COMPUTED_VALUE"""),"Harline, Leigh / Washington, New")</f>
        <v>Harline, Leigh / Washington, New</v>
      </c>
      <c r="B3495" s="3">
        <f ca="1">IFERROR(__xludf.DUMMYFUNCTION("""COMPUTED_VALUE"""),1)</f>
        <v>1</v>
      </c>
      <c r="C3495" s="7">
        <f ca="1">IFERROR(__xludf.DUMMYFUNCTION("""COMPUTED_VALUE"""),1)</f>
        <v>1</v>
      </c>
      <c r="D3495" s="8">
        <f ca="1">IFERROR(__xludf.DUMMYFUNCTION("""COMPUTED_VALUE"""),5)</f>
        <v>5</v>
      </c>
      <c r="E3495" s="2">
        <f ca="1">IFERROR(__xludf.DUMMYFUNCTION("""COMPUTED_VALUE"""),2)</f>
        <v>2</v>
      </c>
    </row>
    <row r="3496" spans="1:5" ht="13">
      <c r="A3496" s="2" t="str">
        <f ca="1">IFERROR(__xludf.DUMMYFUNCTION("""COMPUTED_VALUE"""),"Harman, Alec")</f>
        <v>Harman, Alec</v>
      </c>
      <c r="B3496" s="2">
        <f ca="1">IFERROR(__xludf.DUMMYFUNCTION("""COMPUTED_VALUE"""),1)</f>
        <v>1</v>
      </c>
      <c r="C3496" s="2">
        <f ca="1">IFERROR(__xludf.DUMMYFUNCTION("""COMPUTED_VALUE"""),1)</f>
        <v>1</v>
      </c>
      <c r="D3496" s="8">
        <f ca="1">IFERROR(__xludf.DUMMYFUNCTION("""COMPUTED_VALUE"""),5)</f>
        <v>5</v>
      </c>
      <c r="E3496" s="2">
        <f ca="1">IFERROR(__xludf.DUMMYFUNCTION("""COMPUTED_VALUE"""),2)</f>
        <v>2</v>
      </c>
    </row>
    <row r="3497" spans="1:5" ht="13">
      <c r="A3497" s="8" t="str">
        <f ca="1">IFERROR(__xludf.DUMMYFUNCTION("""COMPUTED_VALUE"""),"Harmon, John C.")</f>
        <v>Harmon, John C.</v>
      </c>
      <c r="B3497" s="3">
        <f ca="1">IFERROR(__xludf.DUMMYFUNCTION("""COMPUTED_VALUE"""),1)</f>
        <v>1</v>
      </c>
      <c r="C3497" s="7">
        <f ca="1">IFERROR(__xludf.DUMMYFUNCTION("""COMPUTED_VALUE"""),1)</f>
        <v>1</v>
      </c>
      <c r="D3497" s="8">
        <f ca="1">IFERROR(__xludf.DUMMYFUNCTION("""COMPUTED_VALUE"""),1)</f>
        <v>1</v>
      </c>
      <c r="E3497" s="2">
        <f ca="1">IFERROR(__xludf.DUMMYFUNCTION("""COMPUTED_VALUE"""),1)</f>
        <v>1</v>
      </c>
    </row>
    <row r="3498" spans="1:5" ht="13">
      <c r="A3498" s="8" t="str">
        <f ca="1">IFERROR(__xludf.DUMMYFUNCTION("""COMPUTED_VALUE"""),"Harnoncourt, Nikolaus")</f>
        <v>Harnoncourt, Nikolaus</v>
      </c>
      <c r="B3498" s="3">
        <f ca="1">IFERROR(__xludf.DUMMYFUNCTION("""COMPUTED_VALUE"""),1)</f>
        <v>1</v>
      </c>
      <c r="C3498" s="7">
        <f ca="1">IFERROR(__xludf.DUMMYFUNCTION("""COMPUTED_VALUE"""),1)</f>
        <v>1</v>
      </c>
      <c r="D3498" s="8">
        <f ca="1">IFERROR(__xludf.DUMMYFUNCTION("""COMPUTED_VALUE"""),5)</f>
        <v>5</v>
      </c>
      <c r="E3498" s="2">
        <f ca="1">IFERROR(__xludf.DUMMYFUNCTION("""COMPUTED_VALUE"""),2)</f>
        <v>2</v>
      </c>
    </row>
    <row r="3499" spans="1:5" ht="13">
      <c r="A3499" s="2" t="str">
        <f ca="1">IFERROR(__xludf.DUMMYFUNCTION("""COMPUTED_VALUE"""),"Harnsberger, L.C.")</f>
        <v>Harnsberger, L.C.</v>
      </c>
      <c r="B3499" s="3">
        <f ca="1">IFERROR(__xludf.DUMMYFUNCTION("""COMPUTED_VALUE"""),1)</f>
        <v>1</v>
      </c>
      <c r="C3499" s="7">
        <f ca="1">IFERROR(__xludf.DUMMYFUNCTION("""COMPUTED_VALUE"""),1)</f>
        <v>1</v>
      </c>
      <c r="D3499" s="8">
        <f ca="1">IFERROR(__xludf.DUMMYFUNCTION("""COMPUTED_VALUE"""),1)</f>
        <v>1</v>
      </c>
      <c r="E3499" s="2">
        <f ca="1">IFERROR(__xludf.DUMMYFUNCTION("""COMPUTED_VALUE"""),1)</f>
        <v>1</v>
      </c>
    </row>
    <row r="3500" spans="1:5" ht="13">
      <c r="A3500" s="2" t="str">
        <f ca="1">IFERROR(__xludf.DUMMYFUNCTION("""COMPUTED_VALUE"""),"Harper, John")</f>
        <v>Harper, John</v>
      </c>
      <c r="B3500" s="3">
        <f ca="1">IFERROR(__xludf.DUMMYFUNCTION("""COMPUTED_VALUE"""),1)</f>
        <v>1</v>
      </c>
      <c r="C3500" s="7">
        <f ca="1">IFERROR(__xludf.DUMMYFUNCTION("""COMPUTED_VALUE"""),1)</f>
        <v>1</v>
      </c>
      <c r="D3500" s="8">
        <f ca="1">IFERROR(__xludf.DUMMYFUNCTION("""COMPUTED_VALUE"""),1)</f>
        <v>1</v>
      </c>
      <c r="E3500" s="2">
        <f ca="1">IFERROR(__xludf.DUMMYFUNCTION("""COMPUTED_VALUE"""),1)</f>
        <v>1</v>
      </c>
    </row>
    <row r="3501" spans="1:5" ht="13">
      <c r="A3501" s="2" t="str">
        <f ca="1">IFERROR(__xludf.DUMMYFUNCTION("""COMPUTED_VALUE"""),"Harper, Larry")</f>
        <v>Harper, Larry</v>
      </c>
      <c r="B3501" s="3">
        <f ca="1">IFERROR(__xludf.DUMMYFUNCTION("""COMPUTED_VALUE"""),1)</f>
        <v>1</v>
      </c>
      <c r="C3501" s="7">
        <f ca="1">IFERROR(__xludf.DUMMYFUNCTION("""COMPUTED_VALUE"""),1)</f>
        <v>1</v>
      </c>
      <c r="D3501" s="8">
        <f ca="1">IFERROR(__xludf.DUMMYFUNCTION("""COMPUTED_VALUE"""),1)</f>
        <v>1</v>
      </c>
      <c r="E3501" s="2">
        <f ca="1">IFERROR(__xludf.DUMMYFUNCTION("""COMPUTED_VALUE"""),1)</f>
        <v>1</v>
      </c>
    </row>
    <row r="3502" spans="1:5" ht="13">
      <c r="A3502" s="2" t="str">
        <f ca="1">IFERROR(__xludf.DUMMYFUNCTION("""COMPUTED_VALUE"""),"Harper, Patrick")</f>
        <v>Harper, Patrick</v>
      </c>
      <c r="B3502" s="3">
        <f ca="1">IFERROR(__xludf.DUMMYFUNCTION("""COMPUTED_VALUE"""),1)</f>
        <v>1</v>
      </c>
      <c r="C3502" s="7">
        <f ca="1">IFERROR(__xludf.DUMMYFUNCTION("""COMPUTED_VALUE"""),1)</f>
        <v>1</v>
      </c>
      <c r="D3502" s="8">
        <f ca="1">IFERROR(__xludf.DUMMYFUNCTION("""COMPUTED_VALUE"""),1)</f>
        <v>1</v>
      </c>
      <c r="E3502" s="2">
        <f ca="1">IFERROR(__xludf.DUMMYFUNCTION("""COMPUTED_VALUE"""),1)</f>
        <v>1</v>
      </c>
    </row>
    <row r="3503" spans="1:5" ht="13">
      <c r="A3503" s="2" t="str">
        <f ca="1">IFERROR(__xludf.DUMMYFUNCTION("""COMPUTED_VALUE"""),"Harper, Patrick Glenn")</f>
        <v>Harper, Patrick Glenn</v>
      </c>
      <c r="B3503" s="3">
        <f ca="1">IFERROR(__xludf.DUMMYFUNCTION("""COMPUTED_VALUE"""),1)</f>
        <v>1</v>
      </c>
      <c r="C3503" s="7">
        <f ca="1">IFERROR(__xludf.DUMMYFUNCTION("""COMPUTED_VALUE"""),1)</f>
        <v>1</v>
      </c>
      <c r="D3503" s="8">
        <f ca="1">IFERROR(__xludf.DUMMYFUNCTION("""COMPUTED_VALUE"""),1)</f>
        <v>1</v>
      </c>
      <c r="E3503" s="2">
        <f ca="1">IFERROR(__xludf.DUMMYFUNCTION("""COMPUTED_VALUE"""),1)</f>
        <v>1</v>
      </c>
    </row>
    <row r="3504" spans="1:5" ht="13">
      <c r="A3504" s="2" t="str">
        <f ca="1">IFERROR(__xludf.DUMMYFUNCTION("""COMPUTED_VALUE"""),"Harper, Philip")</f>
        <v>Harper, Philip</v>
      </c>
      <c r="B3504" s="3">
        <f ca="1">IFERROR(__xludf.DUMMYFUNCTION("""COMPUTED_VALUE"""),1)</f>
        <v>1</v>
      </c>
      <c r="C3504" s="7">
        <f ca="1">IFERROR(__xludf.DUMMYFUNCTION("""COMPUTED_VALUE"""),1)</f>
        <v>1</v>
      </c>
      <c r="D3504" s="8">
        <f ca="1">IFERROR(__xludf.DUMMYFUNCTION("""COMPUTED_VALUE"""),1)</f>
        <v>1</v>
      </c>
      <c r="E3504" s="2">
        <f ca="1">IFERROR(__xludf.DUMMYFUNCTION("""COMPUTED_VALUE"""),1)</f>
        <v>1</v>
      </c>
    </row>
    <row r="3505" spans="1:5" ht="13">
      <c r="A3505" s="2" t="str">
        <f ca="1">IFERROR(__xludf.DUMMYFUNCTION("""COMPUTED_VALUE"""),"Harpham, Dale")</f>
        <v>Harpham, Dale</v>
      </c>
      <c r="B3505" s="3">
        <f ca="1">IFERROR(__xludf.DUMMYFUNCTION("""COMPUTED_VALUE"""),1)</f>
        <v>1</v>
      </c>
      <c r="C3505" s="7">
        <f ca="1">IFERROR(__xludf.DUMMYFUNCTION("""COMPUTED_VALUE"""),1)</f>
        <v>1</v>
      </c>
      <c r="D3505" s="8">
        <f ca="1">IFERROR(__xludf.DUMMYFUNCTION("""COMPUTED_VALUE"""),5)</f>
        <v>5</v>
      </c>
      <c r="E3505" s="2">
        <f ca="1">IFERROR(__xludf.DUMMYFUNCTION("""COMPUTED_VALUE"""),2)</f>
        <v>2</v>
      </c>
    </row>
    <row r="3506" spans="1:5" ht="13">
      <c r="A3506" s="2" t="str">
        <f ca="1">IFERROR(__xludf.DUMMYFUNCTION("""COMPUTED_VALUE"""),"Harris, Andrew")</f>
        <v>Harris, Andrew</v>
      </c>
      <c r="B3506" s="3">
        <f ca="1">IFERROR(__xludf.DUMMYFUNCTION("""COMPUTED_VALUE"""),1)</f>
        <v>1</v>
      </c>
      <c r="C3506" s="7">
        <f ca="1">IFERROR(__xludf.DUMMYFUNCTION("""COMPUTED_VALUE"""),1)</f>
        <v>1</v>
      </c>
      <c r="D3506" s="8">
        <f ca="1">IFERROR(__xludf.DUMMYFUNCTION("""COMPUTED_VALUE"""),1)</f>
        <v>1</v>
      </c>
      <c r="E3506" s="2">
        <f ca="1">IFERROR(__xludf.DUMMYFUNCTION("""COMPUTED_VALUE"""),1)</f>
        <v>1</v>
      </c>
    </row>
    <row r="3507" spans="1:5" ht="13">
      <c r="A3507" s="8" t="str">
        <f ca="1">IFERROR(__xludf.DUMMYFUNCTION("""COMPUTED_VALUE"""),"Harris, Arthur")</f>
        <v>Harris, Arthur</v>
      </c>
      <c r="B3507" s="3">
        <f ca="1">IFERROR(__xludf.DUMMYFUNCTION("""COMPUTED_VALUE"""),1)</f>
        <v>1</v>
      </c>
      <c r="C3507" s="7">
        <f ca="1">IFERROR(__xludf.DUMMYFUNCTION("""COMPUTED_VALUE"""),1)</f>
        <v>1</v>
      </c>
      <c r="D3507" s="8">
        <f ca="1">IFERROR(__xludf.DUMMYFUNCTION("""COMPUTED_VALUE"""),1)</f>
        <v>1</v>
      </c>
      <c r="E3507" s="2">
        <f ca="1">IFERROR(__xludf.DUMMYFUNCTION("""COMPUTED_VALUE"""),1)</f>
        <v>1</v>
      </c>
    </row>
    <row r="3508" spans="1:5" ht="13">
      <c r="A3508" s="2" t="str">
        <f ca="1">IFERROR(__xludf.DUMMYFUNCTION("""COMPUTED_VALUE"""),"Harris, Bob and Paul Francis Webster")</f>
        <v>Harris, Bob and Paul Francis Webster</v>
      </c>
      <c r="B3508" s="3">
        <f ca="1">IFERROR(__xludf.DUMMYFUNCTION("""COMPUTED_VALUE"""),1)</f>
        <v>1</v>
      </c>
      <c r="C3508" s="7">
        <f ca="1">IFERROR(__xludf.DUMMYFUNCTION("""COMPUTED_VALUE"""),1)</f>
        <v>1</v>
      </c>
      <c r="D3508" s="8">
        <f ca="1">IFERROR(__xludf.DUMMYFUNCTION("""COMPUTED_VALUE"""),5)</f>
        <v>5</v>
      </c>
      <c r="E3508" s="2">
        <f ca="1">IFERROR(__xludf.DUMMYFUNCTION("""COMPUTED_VALUE"""),2)</f>
        <v>2</v>
      </c>
    </row>
    <row r="3509" spans="1:5" ht="13">
      <c r="A3509" s="2" t="str">
        <f ca="1">IFERROR(__xludf.DUMMYFUNCTION("""COMPUTED_VALUE"""),"Harris, Charles K.")</f>
        <v>Harris, Charles K.</v>
      </c>
      <c r="B3509" s="3">
        <f ca="1">IFERROR(__xludf.DUMMYFUNCTION("""COMPUTED_VALUE"""),1)</f>
        <v>1</v>
      </c>
      <c r="C3509" s="7">
        <f ca="1">IFERROR(__xludf.DUMMYFUNCTION("""COMPUTED_VALUE"""),1)</f>
        <v>1</v>
      </c>
      <c r="D3509" s="8">
        <f ca="1">IFERROR(__xludf.DUMMYFUNCTION("""COMPUTED_VALUE"""),5)</f>
        <v>5</v>
      </c>
      <c r="E3509" s="2">
        <f ca="1">IFERROR(__xludf.DUMMYFUNCTION("""COMPUTED_VALUE"""),2)</f>
        <v>2</v>
      </c>
    </row>
    <row r="3510" spans="1:5" ht="13">
      <c r="A3510" s="2" t="str">
        <f ca="1">IFERROR(__xludf.DUMMYFUNCTION("""COMPUTED_VALUE"""),"Harris, Donald")</f>
        <v>Harris, Donald</v>
      </c>
      <c r="B3510" s="3">
        <f ca="1">IFERROR(__xludf.DUMMYFUNCTION("""COMPUTED_VALUE"""),1)</f>
        <v>1</v>
      </c>
      <c r="C3510" s="7">
        <f ca="1">IFERROR(__xludf.DUMMYFUNCTION("""COMPUTED_VALUE"""),1)</f>
        <v>1</v>
      </c>
      <c r="D3510" s="8">
        <f ca="1">IFERROR(__xludf.DUMMYFUNCTION("""COMPUTED_VALUE"""),5)</f>
        <v>5</v>
      </c>
      <c r="E3510" s="2">
        <f ca="1">IFERROR(__xludf.DUMMYFUNCTION("""COMPUTED_VALUE"""),2)</f>
        <v>2</v>
      </c>
    </row>
    <row r="3511" spans="1:5" ht="13">
      <c r="A3511" s="2" t="str">
        <f ca="1">IFERROR(__xludf.DUMMYFUNCTION("""COMPUTED_VALUE"""),"Harris, Doug")</f>
        <v>Harris, Doug</v>
      </c>
      <c r="B3511" s="3">
        <f ca="1">IFERROR(__xludf.DUMMYFUNCTION("""COMPUTED_VALUE"""),1)</f>
        <v>1</v>
      </c>
      <c r="C3511" s="7">
        <f ca="1">IFERROR(__xludf.DUMMYFUNCTION("""COMPUTED_VALUE"""),1)</f>
        <v>1</v>
      </c>
      <c r="D3511" s="8">
        <f ca="1">IFERROR(__xludf.DUMMYFUNCTION("""COMPUTED_VALUE"""),1)</f>
        <v>1</v>
      </c>
      <c r="E3511" s="2">
        <f ca="1">IFERROR(__xludf.DUMMYFUNCTION("""COMPUTED_VALUE"""),1)</f>
        <v>1</v>
      </c>
    </row>
    <row r="3512" spans="1:5" ht="13">
      <c r="A3512" s="8" t="str">
        <f ca="1">IFERROR(__xludf.DUMMYFUNCTION("""COMPUTED_VALUE"""),"Harris, Ed")</f>
        <v>Harris, Ed</v>
      </c>
      <c r="B3512" s="3">
        <f ca="1">IFERROR(__xludf.DUMMYFUNCTION("""COMPUTED_VALUE"""),1)</f>
        <v>1</v>
      </c>
      <c r="C3512" s="7">
        <f ca="1">IFERROR(__xludf.DUMMYFUNCTION("""COMPUTED_VALUE"""),1)</f>
        <v>1</v>
      </c>
      <c r="D3512" s="8">
        <f ca="1">IFERROR(__xludf.DUMMYFUNCTION("""COMPUTED_VALUE"""),5)</f>
        <v>5</v>
      </c>
      <c r="E3512" s="2">
        <f ca="1">IFERROR(__xludf.DUMMYFUNCTION("""COMPUTED_VALUE"""),2)</f>
        <v>2</v>
      </c>
    </row>
    <row r="3513" spans="1:5" ht="13">
      <c r="A3513" s="8" t="str">
        <f ca="1">IFERROR(__xludf.DUMMYFUNCTION("""COMPUTED_VALUE"""),"Harris, H. Jarolde")</f>
        <v>Harris, H. Jarolde</v>
      </c>
      <c r="B3513" s="3">
        <f ca="1">IFERROR(__xludf.DUMMYFUNCTION("""COMPUTED_VALUE"""),1)</f>
        <v>1</v>
      </c>
      <c r="C3513" s="7">
        <f ca="1">IFERROR(__xludf.DUMMYFUNCTION("""COMPUTED_VALUE"""),1)</f>
        <v>1</v>
      </c>
      <c r="D3513" s="8">
        <f ca="1">IFERROR(__xludf.DUMMYFUNCTION("""COMPUTED_VALUE"""),5)</f>
        <v>5</v>
      </c>
      <c r="E3513" s="2">
        <f ca="1">IFERROR(__xludf.DUMMYFUNCTION("""COMPUTED_VALUE"""),2)</f>
        <v>2</v>
      </c>
    </row>
    <row r="3514" spans="1:5" ht="13">
      <c r="A3514" s="8" t="str">
        <f ca="1">IFERROR(__xludf.DUMMYFUNCTION("""COMPUTED_VALUE"""),"Harris, J. Robert")</f>
        <v>Harris, J. Robert</v>
      </c>
      <c r="B3514" s="3">
        <f ca="1">IFERROR(__xludf.DUMMYFUNCTION("""COMPUTED_VALUE"""),1)</f>
        <v>1</v>
      </c>
      <c r="C3514" s="7">
        <f ca="1">IFERROR(__xludf.DUMMYFUNCTION("""COMPUTED_VALUE"""),1)</f>
        <v>1</v>
      </c>
      <c r="D3514" s="8">
        <f ca="1">IFERROR(__xludf.DUMMYFUNCTION("""COMPUTED_VALUE"""),5)</f>
        <v>5</v>
      </c>
      <c r="E3514" s="2">
        <f ca="1">IFERROR(__xludf.DUMMYFUNCTION("""COMPUTED_VALUE"""),2)</f>
        <v>2</v>
      </c>
    </row>
    <row r="3515" spans="1:5" ht="13">
      <c r="A3515" s="2" t="str">
        <f ca="1">IFERROR(__xludf.DUMMYFUNCTION("""COMPUTED_VALUE"""),"Harris, James")</f>
        <v>Harris, James</v>
      </c>
      <c r="B3515" s="3">
        <f ca="1">IFERROR(__xludf.DUMMYFUNCTION("""COMPUTED_VALUE"""),1)</f>
        <v>1</v>
      </c>
      <c r="C3515" s="7">
        <f ca="1">IFERROR(__xludf.DUMMYFUNCTION("""COMPUTED_VALUE"""),1)</f>
        <v>1</v>
      </c>
      <c r="D3515" s="8">
        <f ca="1">IFERROR(__xludf.DUMMYFUNCTION("""COMPUTED_VALUE"""),5)</f>
        <v>5</v>
      </c>
      <c r="E3515" s="3">
        <f ca="1">IFERROR(__xludf.DUMMYFUNCTION("""COMPUTED_VALUE"""),2)</f>
        <v>2</v>
      </c>
    </row>
    <row r="3516" spans="1:5" ht="13">
      <c r="A3516" s="2" t="str">
        <f ca="1">IFERROR(__xludf.DUMMYFUNCTION("""COMPUTED_VALUE"""),"Harris, Jerry")</f>
        <v>Harris, Jerry</v>
      </c>
      <c r="B3516" s="3">
        <f ca="1">IFERROR(__xludf.DUMMYFUNCTION("""COMPUTED_VALUE"""),1)</f>
        <v>1</v>
      </c>
      <c r="C3516" s="7">
        <f ca="1">IFERROR(__xludf.DUMMYFUNCTION("""COMPUTED_VALUE"""),1)</f>
        <v>1</v>
      </c>
      <c r="D3516" s="8">
        <f ca="1">IFERROR(__xludf.DUMMYFUNCTION("""COMPUTED_VALUE"""),1)</f>
        <v>1</v>
      </c>
      <c r="E3516" s="2">
        <f ca="1">IFERROR(__xludf.DUMMYFUNCTION("""COMPUTED_VALUE"""),1)</f>
        <v>1</v>
      </c>
    </row>
    <row r="3517" spans="1:5" ht="13">
      <c r="A3517" s="8" t="str">
        <f ca="1">IFERROR(__xludf.DUMMYFUNCTION("""COMPUTED_VALUE"""),"Harris, Jerry Weseley")</f>
        <v>Harris, Jerry Weseley</v>
      </c>
      <c r="B3517" s="2">
        <f ca="1">IFERROR(__xludf.DUMMYFUNCTION("""COMPUTED_VALUE"""),1)</f>
        <v>1</v>
      </c>
      <c r="C3517" s="7">
        <f ca="1">IFERROR(__xludf.DUMMYFUNCTION("""COMPUTED_VALUE"""),1)</f>
        <v>1</v>
      </c>
      <c r="D3517" s="8">
        <f ca="1">IFERROR(__xludf.DUMMYFUNCTION("""COMPUTED_VALUE"""),5)</f>
        <v>5</v>
      </c>
      <c r="E3517" s="2">
        <f ca="1">IFERROR(__xludf.DUMMYFUNCTION("""COMPUTED_VALUE"""),2)</f>
        <v>2</v>
      </c>
    </row>
    <row r="3518" spans="1:5" ht="13">
      <c r="A3518" s="2" t="str">
        <f ca="1">IFERROR(__xludf.DUMMYFUNCTION("""COMPUTED_VALUE"""),"Harris, Ken")</f>
        <v>Harris, Ken</v>
      </c>
      <c r="B3518" s="3">
        <f ca="1">IFERROR(__xludf.DUMMYFUNCTION("""COMPUTED_VALUE"""),1)</f>
        <v>1</v>
      </c>
      <c r="C3518" s="7">
        <f ca="1">IFERROR(__xludf.DUMMYFUNCTION("""COMPUTED_VALUE"""),1)</f>
        <v>1</v>
      </c>
      <c r="D3518" s="8">
        <f ca="1">IFERROR(__xludf.DUMMYFUNCTION("""COMPUTED_VALUE"""),1)</f>
        <v>1</v>
      </c>
      <c r="E3518" s="2">
        <f ca="1">IFERROR(__xludf.DUMMYFUNCTION("""COMPUTED_VALUE"""),1)</f>
        <v>1</v>
      </c>
    </row>
    <row r="3519" spans="1:5" ht="13">
      <c r="A3519" s="2" t="str">
        <f ca="1">IFERROR(__xludf.DUMMYFUNCTION("""COMPUTED_VALUE"""),"Harris, Ken")</f>
        <v>Harris, Ken</v>
      </c>
      <c r="B3519" s="3">
        <f ca="1">IFERROR(__xludf.DUMMYFUNCTION("""COMPUTED_VALUE"""),1)</f>
        <v>1</v>
      </c>
      <c r="C3519" s="7">
        <f ca="1">IFERROR(__xludf.DUMMYFUNCTION("""COMPUTED_VALUE"""),1)</f>
        <v>1</v>
      </c>
      <c r="D3519" s="8">
        <f ca="1">IFERROR(__xludf.DUMMYFUNCTION("""COMPUTED_VALUE"""),5)</f>
        <v>5</v>
      </c>
      <c r="E3519" s="2">
        <f ca="1">IFERROR(__xludf.DUMMYFUNCTION("""COMPUTED_VALUE"""),2)</f>
        <v>2</v>
      </c>
    </row>
    <row r="3520" spans="1:5" ht="13">
      <c r="A3520" s="2" t="str">
        <f ca="1">IFERROR(__xludf.DUMMYFUNCTION("""COMPUTED_VALUE"""),"Harris, Larry")</f>
        <v>Harris, Larry</v>
      </c>
      <c r="B3520" s="3">
        <f ca="1">IFERROR(__xludf.DUMMYFUNCTION("""COMPUTED_VALUE"""),1)</f>
        <v>1</v>
      </c>
      <c r="C3520" s="7">
        <f ca="1">IFERROR(__xludf.DUMMYFUNCTION("""COMPUTED_VALUE"""),1)</f>
        <v>1</v>
      </c>
      <c r="D3520" s="8">
        <f ca="1">IFERROR(__xludf.DUMMYFUNCTION("""COMPUTED_VALUE"""),1)</f>
        <v>1</v>
      </c>
      <c r="E3520" s="2">
        <f ca="1">IFERROR(__xludf.DUMMYFUNCTION("""COMPUTED_VALUE"""),1)</f>
        <v>1</v>
      </c>
    </row>
    <row r="3521" spans="1:5" ht="13">
      <c r="A3521" s="2" t="str">
        <f ca="1">IFERROR(__xludf.DUMMYFUNCTION("""COMPUTED_VALUE"""),"Harris, Matt")</f>
        <v>Harris, Matt</v>
      </c>
      <c r="B3521" s="3">
        <f ca="1">IFERROR(__xludf.DUMMYFUNCTION("""COMPUTED_VALUE"""),1)</f>
        <v>1</v>
      </c>
      <c r="C3521" s="7">
        <f ca="1">IFERROR(__xludf.DUMMYFUNCTION("""COMPUTED_VALUE"""),1)</f>
        <v>1</v>
      </c>
      <c r="D3521" s="8">
        <f ca="1">IFERROR(__xludf.DUMMYFUNCTION("""COMPUTED_VALUE"""),1)</f>
        <v>1</v>
      </c>
      <c r="E3521" s="2">
        <f ca="1">IFERROR(__xludf.DUMMYFUNCTION("""COMPUTED_VALUE"""),1)</f>
        <v>1</v>
      </c>
    </row>
    <row r="3522" spans="1:5" ht="13">
      <c r="A3522" s="2" t="str">
        <f ca="1">IFERROR(__xludf.DUMMYFUNCTION("""COMPUTED_VALUE"""),"Harris, Matthew")</f>
        <v>Harris, Matthew</v>
      </c>
      <c r="B3522" s="3">
        <f ca="1">IFERROR(__xludf.DUMMYFUNCTION("""COMPUTED_VALUE"""),1)</f>
        <v>1</v>
      </c>
      <c r="C3522" s="7">
        <f ca="1">IFERROR(__xludf.DUMMYFUNCTION("""COMPUTED_VALUE"""),1)</f>
        <v>1</v>
      </c>
      <c r="D3522" s="8">
        <f ca="1">IFERROR(__xludf.DUMMYFUNCTION("""COMPUTED_VALUE"""),1)</f>
        <v>1</v>
      </c>
      <c r="E3522" s="2">
        <f ca="1">IFERROR(__xludf.DUMMYFUNCTION("""COMPUTED_VALUE"""),1)</f>
        <v>1</v>
      </c>
    </row>
    <row r="3523" spans="1:5" ht="13">
      <c r="A3523" s="2" t="str">
        <f ca="1">IFERROR(__xludf.DUMMYFUNCTION("""COMPUTED_VALUE"""),"Harris, Robert")</f>
        <v>Harris, Robert</v>
      </c>
      <c r="B3523" s="3">
        <f ca="1">IFERROR(__xludf.DUMMYFUNCTION("""COMPUTED_VALUE"""),1)</f>
        <v>1</v>
      </c>
      <c r="C3523" s="7">
        <f ca="1">IFERROR(__xludf.DUMMYFUNCTION("""COMPUTED_VALUE"""),1)</f>
        <v>1</v>
      </c>
      <c r="D3523" s="8">
        <f ca="1">IFERROR(__xludf.DUMMYFUNCTION("""COMPUTED_VALUE"""),1)</f>
        <v>1</v>
      </c>
      <c r="E3523" s="2">
        <f ca="1">IFERROR(__xludf.DUMMYFUNCTION("""COMPUTED_VALUE"""),1)</f>
        <v>1</v>
      </c>
    </row>
    <row r="3524" spans="1:5" ht="13">
      <c r="A3524" s="2" t="str">
        <f ca="1">IFERROR(__xludf.DUMMYFUNCTION("""COMPUTED_VALUE"""),"Harris, Robert A.")</f>
        <v>Harris, Robert A.</v>
      </c>
      <c r="B3524" s="3">
        <f ca="1">IFERROR(__xludf.DUMMYFUNCTION("""COMPUTED_VALUE"""),1)</f>
        <v>1</v>
      </c>
      <c r="C3524" s="7">
        <f ca="1">IFERROR(__xludf.DUMMYFUNCTION("""COMPUTED_VALUE"""),1)</f>
        <v>1</v>
      </c>
      <c r="D3524" s="8">
        <f ca="1">IFERROR(__xludf.DUMMYFUNCTION("""COMPUTED_VALUE"""),1)</f>
        <v>1</v>
      </c>
      <c r="E3524" s="2">
        <f ca="1">IFERROR(__xludf.DUMMYFUNCTION("""COMPUTED_VALUE"""),1)</f>
        <v>1</v>
      </c>
    </row>
    <row r="3525" spans="1:5" ht="13">
      <c r="A3525" s="2" t="str">
        <f ca="1">IFERROR(__xludf.DUMMYFUNCTION("""COMPUTED_VALUE"""),"Harris, Roy")</f>
        <v>Harris, Roy</v>
      </c>
      <c r="B3525" s="3">
        <f ca="1">IFERROR(__xludf.DUMMYFUNCTION("""COMPUTED_VALUE"""),1)</f>
        <v>1</v>
      </c>
      <c r="C3525" s="7">
        <f ca="1">IFERROR(__xludf.DUMMYFUNCTION("""COMPUTED_VALUE"""),1)</f>
        <v>1</v>
      </c>
      <c r="D3525" s="8">
        <f ca="1">IFERROR(__xludf.DUMMYFUNCTION("""COMPUTED_VALUE"""),5)</f>
        <v>5</v>
      </c>
      <c r="E3525" s="2">
        <f ca="1">IFERROR(__xludf.DUMMYFUNCTION("""COMPUTED_VALUE"""),2)</f>
        <v>2</v>
      </c>
    </row>
    <row r="3526" spans="1:5" ht="13">
      <c r="A3526" s="2" t="str">
        <f ca="1">IFERROR(__xludf.DUMMYFUNCTION("""COMPUTED_VALUE"""),"Harris, Scott")</f>
        <v>Harris, Scott</v>
      </c>
      <c r="B3526" s="3">
        <f ca="1">IFERROR(__xludf.DUMMYFUNCTION("""COMPUTED_VALUE"""),1)</f>
        <v>1</v>
      </c>
      <c r="C3526" s="7">
        <f ca="1">IFERROR(__xludf.DUMMYFUNCTION("""COMPUTED_VALUE"""),1)</f>
        <v>1</v>
      </c>
      <c r="D3526" s="8">
        <f ca="1">IFERROR(__xludf.DUMMYFUNCTION("""COMPUTED_VALUE"""),1)</f>
        <v>1</v>
      </c>
      <c r="E3526" s="2">
        <f ca="1">IFERROR(__xludf.DUMMYFUNCTION("""COMPUTED_VALUE"""),1)</f>
        <v>1</v>
      </c>
    </row>
    <row r="3527" spans="1:5" ht="13">
      <c r="A3527" s="2" t="str">
        <f ca="1">IFERROR(__xludf.DUMMYFUNCTION("""COMPUTED_VALUE"""),"Harris, William H.")</f>
        <v>Harris, William H.</v>
      </c>
      <c r="B3527" s="3">
        <f ca="1">IFERROR(__xludf.DUMMYFUNCTION("""COMPUTED_VALUE"""),1)</f>
        <v>1</v>
      </c>
      <c r="C3527" s="7">
        <f ca="1">IFERROR(__xludf.DUMMYFUNCTION("""COMPUTED_VALUE"""),1)</f>
        <v>1</v>
      </c>
      <c r="D3527" s="8">
        <f ca="1">IFERROR(__xludf.DUMMYFUNCTION("""COMPUTED_VALUE"""),5)</f>
        <v>5</v>
      </c>
      <c r="E3527" s="2">
        <f ca="1">IFERROR(__xludf.DUMMYFUNCTION("""COMPUTED_VALUE"""),2)</f>
        <v>2</v>
      </c>
    </row>
    <row r="3528" spans="1:5" ht="13">
      <c r="A3528" s="2" t="str">
        <f ca="1">IFERROR(__xludf.DUMMYFUNCTION("""COMPUTED_VALUE"""),"Harrison, George")</f>
        <v>Harrison, George</v>
      </c>
      <c r="B3528" s="2">
        <f ca="1">IFERROR(__xludf.DUMMYFUNCTION("""COMPUTED_VALUE"""),1)</f>
        <v>1</v>
      </c>
      <c r="C3528" s="7">
        <f ca="1">IFERROR(__xludf.DUMMYFUNCTION("""COMPUTED_VALUE"""),1)</f>
        <v>1</v>
      </c>
      <c r="D3528" s="8">
        <f ca="1">IFERROR(__xludf.DUMMYFUNCTION("""COMPUTED_VALUE"""),5)</f>
        <v>5</v>
      </c>
      <c r="E3528" s="2">
        <f ca="1">IFERROR(__xludf.DUMMYFUNCTION("""COMPUTED_VALUE"""),2)</f>
        <v>2</v>
      </c>
    </row>
    <row r="3529" spans="1:5" ht="13">
      <c r="A3529" s="8" t="str">
        <f ca="1">IFERROR(__xludf.DUMMYFUNCTION("""COMPUTED_VALUE"""),"Harrison, Jacob")</f>
        <v>Harrison, Jacob</v>
      </c>
      <c r="B3529" s="3">
        <f ca="1">IFERROR(__xludf.DUMMYFUNCTION("""COMPUTED_VALUE"""),1)</f>
        <v>1</v>
      </c>
      <c r="C3529" s="7">
        <f ca="1">IFERROR(__xludf.DUMMYFUNCTION("""COMPUTED_VALUE"""),1)</f>
        <v>1</v>
      </c>
      <c r="D3529" s="8">
        <f ca="1">IFERROR(__xludf.DUMMYFUNCTION("""COMPUTED_VALUE"""),1)</f>
        <v>1</v>
      </c>
      <c r="E3529" s="2">
        <f ca="1">IFERROR(__xludf.DUMMYFUNCTION("""COMPUTED_VALUE"""),1)</f>
        <v>1</v>
      </c>
    </row>
    <row r="3530" spans="1:5" ht="13">
      <c r="A3530" s="8" t="str">
        <f ca="1">IFERROR(__xludf.DUMMYFUNCTION("""COMPUTED_VALUE"""),"Harrison, Julius")</f>
        <v>Harrison, Julius</v>
      </c>
      <c r="B3530" s="3">
        <f ca="1">IFERROR(__xludf.DUMMYFUNCTION("""COMPUTED_VALUE"""),1)</f>
        <v>1</v>
      </c>
      <c r="C3530" s="7">
        <f ca="1">IFERROR(__xludf.DUMMYFUNCTION("""COMPUTED_VALUE"""),1)</f>
        <v>1</v>
      </c>
      <c r="D3530" s="8">
        <f ca="1">IFERROR(__xludf.DUMMYFUNCTION("""COMPUTED_VALUE"""),5)</f>
        <v>5</v>
      </c>
      <c r="E3530" s="2">
        <f ca="1">IFERROR(__xludf.DUMMYFUNCTION("""COMPUTED_VALUE"""),2)</f>
        <v>2</v>
      </c>
    </row>
    <row r="3531" spans="1:5" ht="13">
      <c r="A3531" s="2" t="str">
        <f ca="1">IFERROR(__xludf.DUMMYFUNCTION("""COMPUTED_VALUE"""),"Harrison, Lou")</f>
        <v>Harrison, Lou</v>
      </c>
      <c r="B3531" s="3">
        <f ca="1">IFERROR(__xludf.DUMMYFUNCTION("""COMPUTED_VALUE"""),1)</f>
        <v>1</v>
      </c>
      <c r="C3531" s="7">
        <f ca="1">IFERROR(__xludf.DUMMYFUNCTION("""COMPUTED_VALUE"""),1)</f>
        <v>1</v>
      </c>
      <c r="D3531" s="8">
        <f ca="1">IFERROR(__xludf.DUMMYFUNCTION("""COMPUTED_VALUE"""),5)</f>
        <v>5</v>
      </c>
      <c r="E3531" s="2">
        <f ca="1">IFERROR(__xludf.DUMMYFUNCTION("""COMPUTED_VALUE"""),2)</f>
        <v>2</v>
      </c>
    </row>
    <row r="3532" spans="1:5" ht="13">
      <c r="A3532" s="8" t="str">
        <f ca="1">IFERROR(__xludf.DUMMYFUNCTION("""COMPUTED_VALUE"""),"Harrison, Matthew")</f>
        <v>Harrison, Matthew</v>
      </c>
      <c r="B3532" s="3">
        <f ca="1">IFERROR(__xludf.DUMMYFUNCTION("""COMPUTED_VALUE"""),1)</f>
        <v>1</v>
      </c>
      <c r="C3532" s="7">
        <f ca="1">IFERROR(__xludf.DUMMYFUNCTION("""COMPUTED_VALUE"""),1)</f>
        <v>1</v>
      </c>
      <c r="D3532" s="8">
        <f ca="1">IFERROR(__xludf.DUMMYFUNCTION("""COMPUTED_VALUE"""),1)</f>
        <v>1</v>
      </c>
      <c r="E3532" s="2">
        <f ca="1">IFERROR(__xludf.DUMMYFUNCTION("""COMPUTED_VALUE"""),1)</f>
        <v>1</v>
      </c>
    </row>
    <row r="3533" spans="1:5" ht="13">
      <c r="A3533" s="8" t="str">
        <f ca="1">IFERROR(__xludf.DUMMYFUNCTION("""COMPUTED_VALUE"""),"Harrison, Michael")</f>
        <v>Harrison, Michael</v>
      </c>
      <c r="B3533" s="3">
        <f ca="1">IFERROR(__xludf.DUMMYFUNCTION("""COMPUTED_VALUE"""),1)</f>
        <v>1</v>
      </c>
      <c r="C3533" s="7">
        <f ca="1">IFERROR(__xludf.DUMMYFUNCTION("""COMPUTED_VALUE"""),1)</f>
        <v>1</v>
      </c>
      <c r="D3533" s="8">
        <f ca="1">IFERROR(__xludf.DUMMYFUNCTION("""COMPUTED_VALUE"""),1)</f>
        <v>1</v>
      </c>
      <c r="E3533" s="2">
        <f ca="1">IFERROR(__xludf.DUMMYFUNCTION("""COMPUTED_VALUE"""),1)</f>
        <v>1</v>
      </c>
    </row>
    <row r="3534" spans="1:5" ht="13">
      <c r="A3534" s="8" t="str">
        <f ca="1">IFERROR(__xludf.DUMMYFUNCTION("""COMPUTED_VALUE"""),"Harrison, Tyler")</f>
        <v>Harrison, Tyler</v>
      </c>
      <c r="B3534" s="3">
        <f ca="1">IFERROR(__xludf.DUMMYFUNCTION("""COMPUTED_VALUE"""),1)</f>
        <v>1</v>
      </c>
      <c r="C3534" s="7">
        <f ca="1">IFERROR(__xludf.DUMMYFUNCTION("""COMPUTED_VALUE"""),1)</f>
        <v>1</v>
      </c>
      <c r="D3534" s="8">
        <f ca="1">IFERROR(__xludf.DUMMYFUNCTION("""COMPUTED_VALUE"""),1)</f>
        <v>1</v>
      </c>
      <c r="E3534" s="2">
        <f ca="1">IFERROR(__xludf.DUMMYFUNCTION("""COMPUTED_VALUE"""),1)</f>
        <v>1</v>
      </c>
    </row>
    <row r="3535" spans="1:5" ht="13">
      <c r="A3535" s="2" t="str">
        <f ca="1">IFERROR(__xludf.DUMMYFUNCTION("""COMPUTED_VALUE"""),"Hart, Edward")</f>
        <v>Hart, Edward</v>
      </c>
      <c r="B3535" s="3">
        <f ca="1">IFERROR(__xludf.DUMMYFUNCTION("""COMPUTED_VALUE"""),1)</f>
        <v>1</v>
      </c>
      <c r="C3535" s="7">
        <f ca="1">IFERROR(__xludf.DUMMYFUNCTION("""COMPUTED_VALUE"""),1)</f>
        <v>1</v>
      </c>
      <c r="D3535" s="8">
        <f ca="1">IFERROR(__xludf.DUMMYFUNCTION("""COMPUTED_VALUE"""),1)</f>
        <v>1</v>
      </c>
      <c r="E3535" s="2">
        <f ca="1">IFERROR(__xludf.DUMMYFUNCTION("""COMPUTED_VALUE"""),1)</f>
        <v>1</v>
      </c>
    </row>
    <row r="3536" spans="1:5" ht="13">
      <c r="A3536" s="2" t="str">
        <f ca="1">IFERROR(__xludf.DUMMYFUNCTION("""COMPUTED_VALUE"""),"Hart, Jeffrey")</f>
        <v>Hart, Jeffrey</v>
      </c>
      <c r="B3536" s="2">
        <f ca="1">IFERROR(__xludf.DUMMYFUNCTION("""COMPUTED_VALUE"""),1)</f>
        <v>1</v>
      </c>
      <c r="C3536" s="7">
        <f ca="1">IFERROR(__xludf.DUMMYFUNCTION("""COMPUTED_VALUE"""),1)</f>
        <v>1</v>
      </c>
      <c r="D3536" s="8">
        <f ca="1">IFERROR(__xludf.DUMMYFUNCTION("""COMPUTED_VALUE"""),1)</f>
        <v>1</v>
      </c>
      <c r="E3536" s="2">
        <f ca="1">IFERROR(__xludf.DUMMYFUNCTION("""COMPUTED_VALUE"""),1)</f>
        <v>1</v>
      </c>
    </row>
    <row r="3537" spans="1:5" ht="13">
      <c r="A3537" s="2" t="str">
        <f ca="1">IFERROR(__xludf.DUMMYFUNCTION("""COMPUTED_VALUE"""),"Hart, Lorenz")</f>
        <v>Hart, Lorenz</v>
      </c>
      <c r="B3537" s="3">
        <f ca="1">IFERROR(__xludf.DUMMYFUNCTION("""COMPUTED_VALUE"""),1)</f>
        <v>1</v>
      </c>
      <c r="C3537" s="7">
        <f ca="1">IFERROR(__xludf.DUMMYFUNCTION("""COMPUTED_VALUE"""),1)</f>
        <v>1</v>
      </c>
      <c r="D3537" s="8">
        <f ca="1">IFERROR(__xludf.DUMMYFUNCTION("""COMPUTED_VALUE"""),5)</f>
        <v>5</v>
      </c>
      <c r="E3537" s="2">
        <f ca="1">IFERROR(__xludf.DUMMYFUNCTION("""COMPUTED_VALUE"""),2)</f>
        <v>2</v>
      </c>
    </row>
    <row r="3538" spans="1:5" ht="13">
      <c r="A3538" s="2" t="str">
        <f ca="1">IFERROR(__xludf.DUMMYFUNCTION("""COMPUTED_VALUE"""),"Hart, Paul")</f>
        <v>Hart, Paul</v>
      </c>
      <c r="B3538" s="3">
        <f ca="1">IFERROR(__xludf.DUMMYFUNCTION("""COMPUTED_VALUE"""),1)</f>
        <v>1</v>
      </c>
      <c r="C3538" s="7">
        <f ca="1">IFERROR(__xludf.DUMMYFUNCTION("""COMPUTED_VALUE"""),1)</f>
        <v>1</v>
      </c>
      <c r="D3538" s="8">
        <f ca="1">IFERROR(__xludf.DUMMYFUNCTION("""COMPUTED_VALUE"""),1)</f>
        <v>1</v>
      </c>
      <c r="E3538" s="2">
        <f ca="1">IFERROR(__xludf.DUMMYFUNCTION("""COMPUTED_VALUE"""),1)</f>
        <v>1</v>
      </c>
    </row>
    <row r="3539" spans="1:5" ht="13">
      <c r="A3539" s="2" t="str">
        <f ca="1">IFERROR(__xludf.DUMMYFUNCTION("""COMPUTED_VALUE"""),"Hart, Weldon")</f>
        <v>Hart, Weldon</v>
      </c>
      <c r="B3539" s="3">
        <f ca="1">IFERROR(__xludf.DUMMYFUNCTION("""COMPUTED_VALUE"""),1)</f>
        <v>1</v>
      </c>
      <c r="C3539" s="7">
        <f ca="1">IFERROR(__xludf.DUMMYFUNCTION("""COMPUTED_VALUE"""),1)</f>
        <v>1</v>
      </c>
      <c r="D3539" s="8">
        <f ca="1">IFERROR(__xludf.DUMMYFUNCTION("""COMPUTED_VALUE"""),5)</f>
        <v>5</v>
      </c>
      <c r="E3539" s="2">
        <f ca="1">IFERROR(__xludf.DUMMYFUNCTION("""COMPUTED_VALUE"""),2)</f>
        <v>2</v>
      </c>
    </row>
    <row r="3540" spans="1:5" ht="13">
      <c r="A3540" s="2" t="str">
        <f ca="1">IFERROR(__xludf.DUMMYFUNCTION("""COMPUTED_VALUE"""),"Hartke, Stephen")</f>
        <v>Hartke, Stephen</v>
      </c>
      <c r="B3540" s="3">
        <f ca="1">IFERROR(__xludf.DUMMYFUNCTION("""COMPUTED_VALUE"""),1)</f>
        <v>1</v>
      </c>
      <c r="C3540" s="7">
        <f ca="1">IFERROR(__xludf.DUMMYFUNCTION("""COMPUTED_VALUE"""),1)</f>
        <v>1</v>
      </c>
      <c r="D3540" s="8">
        <f ca="1">IFERROR(__xludf.DUMMYFUNCTION("""COMPUTED_VALUE"""),1)</f>
        <v>1</v>
      </c>
      <c r="E3540" s="2">
        <f ca="1">IFERROR(__xludf.DUMMYFUNCTION("""COMPUTED_VALUE"""),1)</f>
        <v>1</v>
      </c>
    </row>
    <row r="3541" spans="1:5" ht="13">
      <c r="A3541" s="2" t="str">
        <f ca="1">IFERROR(__xludf.DUMMYFUNCTION("""COMPUTED_VALUE"""),"Hartl, Bruno")</f>
        <v>Hartl, Bruno</v>
      </c>
      <c r="B3541" s="3">
        <f ca="1">IFERROR(__xludf.DUMMYFUNCTION("""COMPUTED_VALUE"""),1)</f>
        <v>1</v>
      </c>
      <c r="C3541" s="7">
        <f ca="1">IFERROR(__xludf.DUMMYFUNCTION("""COMPUTED_VALUE"""),1)</f>
        <v>1</v>
      </c>
      <c r="D3541" s="8">
        <f ca="1">IFERROR(__xludf.DUMMYFUNCTION("""COMPUTED_VALUE"""),1)</f>
        <v>1</v>
      </c>
      <c r="E3541" s="2">
        <f ca="1">IFERROR(__xludf.DUMMYFUNCTION("""COMPUTED_VALUE"""),1)</f>
        <v>1</v>
      </c>
    </row>
    <row r="3542" spans="1:5" ht="13">
      <c r="A3542" s="2" t="str">
        <f ca="1">IFERROR(__xludf.DUMMYFUNCTION("""COMPUTED_VALUE"""),"Hartley, Gerald")</f>
        <v>Hartley, Gerald</v>
      </c>
      <c r="B3542" s="3">
        <f ca="1">IFERROR(__xludf.DUMMYFUNCTION("""COMPUTED_VALUE"""),1)</f>
        <v>1</v>
      </c>
      <c r="C3542" s="7">
        <f ca="1">IFERROR(__xludf.DUMMYFUNCTION("""COMPUTED_VALUE"""),1)</f>
        <v>1</v>
      </c>
      <c r="D3542" s="8">
        <f ca="1">IFERROR(__xludf.DUMMYFUNCTION("""COMPUTED_VALUE"""),5)</f>
        <v>5</v>
      </c>
      <c r="E3542" s="2">
        <f ca="1">IFERROR(__xludf.DUMMYFUNCTION("""COMPUTED_VALUE"""),2)</f>
        <v>2</v>
      </c>
    </row>
    <row r="3543" spans="1:5" ht="13">
      <c r="A3543" s="2" t="str">
        <f ca="1">IFERROR(__xludf.DUMMYFUNCTION("""COMPUTED_VALUE"""),"Hartley, Harry (aka Fillmore, Henry)")</f>
        <v>Hartley, Harry (aka Fillmore, Henry)</v>
      </c>
      <c r="B3543" s="3">
        <f ca="1">IFERROR(__xludf.DUMMYFUNCTION("""COMPUTED_VALUE"""),1)</f>
        <v>1</v>
      </c>
      <c r="C3543" s="7">
        <f ca="1">IFERROR(__xludf.DUMMYFUNCTION("""COMPUTED_VALUE"""),1)</f>
        <v>1</v>
      </c>
      <c r="D3543" s="8">
        <f ca="1">IFERROR(__xludf.DUMMYFUNCTION("""COMPUTED_VALUE"""),5)</f>
        <v>5</v>
      </c>
      <c r="E3543" s="2">
        <f ca="1">IFERROR(__xludf.DUMMYFUNCTION("""COMPUTED_VALUE"""),2)</f>
        <v>2</v>
      </c>
    </row>
    <row r="3544" spans="1:5" ht="13">
      <c r="A3544" s="2" t="str">
        <f ca="1">IFERROR(__xludf.DUMMYFUNCTION("""COMPUTED_VALUE"""),"Hartley, Walter")</f>
        <v>Hartley, Walter</v>
      </c>
      <c r="B3544" s="3">
        <f ca="1">IFERROR(__xludf.DUMMYFUNCTION("""COMPUTED_VALUE"""),1)</f>
        <v>1</v>
      </c>
      <c r="C3544" s="7">
        <f ca="1">IFERROR(__xludf.DUMMYFUNCTION("""COMPUTED_VALUE"""),1)</f>
        <v>1</v>
      </c>
      <c r="D3544" s="8">
        <f ca="1">IFERROR(__xludf.DUMMYFUNCTION("""COMPUTED_VALUE"""),5)</f>
        <v>5</v>
      </c>
      <c r="E3544" s="2">
        <f ca="1">IFERROR(__xludf.DUMMYFUNCTION("""COMPUTED_VALUE"""),2)</f>
        <v>2</v>
      </c>
    </row>
    <row r="3545" spans="1:5" ht="13">
      <c r="A3545" s="2" t="str">
        <f ca="1">IFERROR(__xludf.DUMMYFUNCTION("""COMPUTED_VALUE"""),"Hartman, Bradley")</f>
        <v>Hartman, Bradley</v>
      </c>
      <c r="B3545" s="3">
        <f ca="1">IFERROR(__xludf.DUMMYFUNCTION("""COMPUTED_VALUE"""),1)</f>
        <v>1</v>
      </c>
      <c r="C3545" s="7">
        <f ca="1">IFERROR(__xludf.DUMMYFUNCTION("""COMPUTED_VALUE"""),1)</f>
        <v>1</v>
      </c>
      <c r="D3545" s="8">
        <f ca="1">IFERROR(__xludf.DUMMYFUNCTION("""COMPUTED_VALUE"""),1)</f>
        <v>1</v>
      </c>
      <c r="E3545" s="2">
        <f ca="1">IFERROR(__xludf.DUMMYFUNCTION("""COMPUTED_VALUE"""),1)</f>
        <v>1</v>
      </c>
    </row>
    <row r="3546" spans="1:5" ht="13">
      <c r="A3546" s="2" t="str">
        <f ca="1">IFERROR(__xludf.DUMMYFUNCTION("""COMPUTED_VALUE"""),"Hartman, Bradley S.")</f>
        <v>Hartman, Bradley S.</v>
      </c>
      <c r="B3546" s="3">
        <f ca="1">IFERROR(__xludf.DUMMYFUNCTION("""COMPUTED_VALUE"""),1)</f>
        <v>1</v>
      </c>
      <c r="C3546" s="7">
        <f ca="1">IFERROR(__xludf.DUMMYFUNCTION("""COMPUTED_VALUE"""),1)</f>
        <v>1</v>
      </c>
      <c r="D3546" s="8">
        <f ca="1">IFERROR(__xludf.DUMMYFUNCTION("""COMPUTED_VALUE"""),1)</f>
        <v>1</v>
      </c>
      <c r="E3546" s="2">
        <f ca="1">IFERROR(__xludf.DUMMYFUNCTION("""COMPUTED_VALUE"""),1)</f>
        <v>1</v>
      </c>
    </row>
    <row r="3547" spans="1:5" ht="13">
      <c r="A3547" s="2" t="str">
        <f ca="1">IFERROR(__xludf.DUMMYFUNCTION("""COMPUTED_VALUE"""),"Hartmann, Emil")</f>
        <v>Hartmann, Emil</v>
      </c>
      <c r="B3547" s="3">
        <f ca="1">IFERROR(__xludf.DUMMYFUNCTION("""COMPUTED_VALUE"""),1)</f>
        <v>1</v>
      </c>
      <c r="C3547" s="7">
        <f ca="1">IFERROR(__xludf.DUMMYFUNCTION("""COMPUTED_VALUE"""),1)</f>
        <v>1</v>
      </c>
      <c r="D3547" s="8">
        <f ca="1">IFERROR(__xludf.DUMMYFUNCTION("""COMPUTED_VALUE"""),5)</f>
        <v>5</v>
      </c>
      <c r="E3547" s="2">
        <f ca="1">IFERROR(__xludf.DUMMYFUNCTION("""COMPUTED_VALUE"""),2)</f>
        <v>2</v>
      </c>
    </row>
    <row r="3548" spans="1:5" ht="13">
      <c r="A3548" s="2" t="str">
        <f ca="1">IFERROR(__xludf.DUMMYFUNCTION("""COMPUTED_VALUE"""),"Hartmann, John")</f>
        <v>Hartmann, John</v>
      </c>
      <c r="B3548" s="2">
        <f ca="1">IFERROR(__xludf.DUMMYFUNCTION("""COMPUTED_VALUE"""),1)</f>
        <v>1</v>
      </c>
      <c r="C3548" s="7">
        <f ca="1">IFERROR(__xludf.DUMMYFUNCTION("""COMPUTED_VALUE"""),1)</f>
        <v>1</v>
      </c>
      <c r="D3548" s="8">
        <f ca="1">IFERROR(__xludf.DUMMYFUNCTION("""COMPUTED_VALUE"""),5)</f>
        <v>5</v>
      </c>
      <c r="E3548" s="2">
        <f ca="1">IFERROR(__xludf.DUMMYFUNCTION("""COMPUTED_VALUE"""),2)</f>
        <v>2</v>
      </c>
    </row>
    <row r="3549" spans="1:5" ht="13">
      <c r="A3549" s="2" t="str">
        <f ca="1">IFERROR(__xludf.DUMMYFUNCTION("""COMPUTED_VALUE"""),"Hartmann, Karl")</f>
        <v>Hartmann, Karl</v>
      </c>
      <c r="B3549" s="3">
        <f ca="1">IFERROR(__xludf.DUMMYFUNCTION("""COMPUTED_VALUE"""),1)</f>
        <v>1</v>
      </c>
      <c r="C3549" s="7">
        <f ca="1">IFERROR(__xludf.DUMMYFUNCTION("""COMPUTED_VALUE"""),1)</f>
        <v>1</v>
      </c>
      <c r="D3549" s="8">
        <f ca="1">IFERROR(__xludf.DUMMYFUNCTION("""COMPUTED_VALUE"""),5)</f>
        <v>5</v>
      </c>
      <c r="E3549" s="2">
        <f ca="1">IFERROR(__xludf.DUMMYFUNCTION("""COMPUTED_VALUE"""),2)</f>
        <v>2</v>
      </c>
    </row>
    <row r="3550" spans="1:5" ht="13">
      <c r="A3550" s="2" t="str">
        <f ca="1">IFERROR(__xludf.DUMMYFUNCTION("""COMPUTED_VALUE"""),"Hartmann, Karl Amadeus")</f>
        <v>Hartmann, Karl Amadeus</v>
      </c>
      <c r="B3550" s="3">
        <f ca="1">IFERROR(__xludf.DUMMYFUNCTION("""COMPUTED_VALUE"""),1)</f>
        <v>1</v>
      </c>
      <c r="C3550" s="7">
        <f ca="1">IFERROR(__xludf.DUMMYFUNCTION("""COMPUTED_VALUE"""),1)</f>
        <v>1</v>
      </c>
      <c r="D3550" s="8">
        <f ca="1">IFERROR(__xludf.DUMMYFUNCTION("""COMPUTED_VALUE"""),5)</f>
        <v>5</v>
      </c>
      <c r="E3550" s="2">
        <f ca="1">IFERROR(__xludf.DUMMYFUNCTION("""COMPUTED_VALUE"""),2)</f>
        <v>2</v>
      </c>
    </row>
    <row r="3551" spans="1:5" ht="13">
      <c r="A3551" s="8" t="str">
        <f ca="1">IFERROR(__xludf.DUMMYFUNCTION("""COMPUTED_VALUE"""),"Hartnett, Kevin")</f>
        <v>Hartnett, Kevin</v>
      </c>
      <c r="B3551" s="3">
        <f ca="1">IFERROR(__xludf.DUMMYFUNCTION("""COMPUTED_VALUE"""),1)</f>
        <v>1</v>
      </c>
      <c r="C3551" s="7">
        <f ca="1">IFERROR(__xludf.DUMMYFUNCTION("""COMPUTED_VALUE"""),1)</f>
        <v>1</v>
      </c>
      <c r="D3551" s="8">
        <f ca="1">IFERROR(__xludf.DUMMYFUNCTION("""COMPUTED_VALUE"""),1)</f>
        <v>1</v>
      </c>
      <c r="E3551" s="2">
        <f ca="1">IFERROR(__xludf.DUMMYFUNCTION("""COMPUTED_VALUE"""),1)</f>
        <v>1</v>
      </c>
    </row>
    <row r="3552" spans="1:5" ht="13">
      <c r="A3552" s="2" t="str">
        <f ca="1">IFERROR(__xludf.DUMMYFUNCTION("""COMPUTED_VALUE"""),"Hartsough, Lewis")</f>
        <v>Hartsough, Lewis</v>
      </c>
      <c r="B3552" s="3">
        <f ca="1">IFERROR(__xludf.DUMMYFUNCTION("""COMPUTED_VALUE"""),1)</f>
        <v>1</v>
      </c>
      <c r="C3552" s="7">
        <f ca="1">IFERROR(__xludf.DUMMYFUNCTION("""COMPUTED_VALUE"""),1)</f>
        <v>1</v>
      </c>
      <c r="D3552" s="8">
        <f ca="1">IFERROR(__xludf.DUMMYFUNCTION("""COMPUTED_VALUE"""),5)</f>
        <v>5</v>
      </c>
      <c r="E3552" s="2">
        <f ca="1">IFERROR(__xludf.DUMMYFUNCTION("""COMPUTED_VALUE"""),2)</f>
        <v>2</v>
      </c>
    </row>
    <row r="3553" spans="1:5" ht="13">
      <c r="A3553" s="2" t="str">
        <f ca="1">IFERROR(__xludf.DUMMYFUNCTION("""COMPUTED_VALUE"""),"Harty, Hamilton")</f>
        <v>Harty, Hamilton</v>
      </c>
      <c r="B3553" s="3">
        <f ca="1">IFERROR(__xludf.DUMMYFUNCTION("""COMPUTED_VALUE"""),1)</f>
        <v>1</v>
      </c>
      <c r="C3553" s="7">
        <f ca="1">IFERROR(__xludf.DUMMYFUNCTION("""COMPUTED_VALUE"""),1)</f>
        <v>1</v>
      </c>
      <c r="D3553" s="8">
        <f ca="1">IFERROR(__xludf.DUMMYFUNCTION("""COMPUTED_VALUE"""),5)</f>
        <v>5</v>
      </c>
      <c r="E3553" s="2">
        <f ca="1">IFERROR(__xludf.DUMMYFUNCTION("""COMPUTED_VALUE"""),2)</f>
        <v>2</v>
      </c>
    </row>
    <row r="3554" spans="1:5" ht="13">
      <c r="A3554" s="2" t="str">
        <f ca="1">IFERROR(__xludf.DUMMYFUNCTION("""COMPUTED_VALUE"""),"Harty, Hamilton / Duthoit, William James")</f>
        <v>Harty, Hamilton / Duthoit, William James</v>
      </c>
      <c r="B3554" s="3">
        <f ca="1">IFERROR(__xludf.DUMMYFUNCTION("""COMPUTED_VALUE"""),1)</f>
        <v>1</v>
      </c>
      <c r="C3554" s="7">
        <f ca="1">IFERROR(__xludf.DUMMYFUNCTION("""COMPUTED_VALUE"""),1)</f>
        <v>1</v>
      </c>
      <c r="D3554" s="8">
        <f ca="1">IFERROR(__xludf.DUMMYFUNCTION("""COMPUTED_VALUE"""),5)</f>
        <v>5</v>
      </c>
      <c r="E3554" s="2">
        <f ca="1">IFERROR(__xludf.DUMMYFUNCTION("""COMPUTED_VALUE"""),2)</f>
        <v>2</v>
      </c>
    </row>
    <row r="3555" spans="1:5" ht="13">
      <c r="A3555" s="2" t="str">
        <f ca="1">IFERROR(__xludf.DUMMYFUNCTION("""COMPUTED_VALUE"""),"Hartzell, Douglas")</f>
        <v>Hartzell, Douglas</v>
      </c>
      <c r="B3555" s="3">
        <f ca="1">IFERROR(__xludf.DUMMYFUNCTION("""COMPUTED_VALUE"""),1)</f>
        <v>1</v>
      </c>
      <c r="C3555" s="7">
        <f ca="1">IFERROR(__xludf.DUMMYFUNCTION("""COMPUTED_VALUE"""),1)</f>
        <v>1</v>
      </c>
      <c r="D3555" s="8">
        <f ca="1">IFERROR(__xludf.DUMMYFUNCTION("""COMPUTED_VALUE"""),1)</f>
        <v>1</v>
      </c>
      <c r="E3555" s="2">
        <f ca="1">IFERROR(__xludf.DUMMYFUNCTION("""COMPUTED_VALUE"""),1)</f>
        <v>1</v>
      </c>
    </row>
    <row r="3556" spans="1:5" ht="13">
      <c r="A3556" s="2" t="str">
        <f ca="1">IFERROR(__xludf.DUMMYFUNCTION("""COMPUTED_VALUE"""),"Harvey, Johnathan")</f>
        <v>Harvey, Johnathan</v>
      </c>
      <c r="B3556" s="3">
        <f ca="1">IFERROR(__xludf.DUMMYFUNCTION("""COMPUTED_VALUE"""),1)</f>
        <v>1</v>
      </c>
      <c r="C3556" s="7">
        <f ca="1">IFERROR(__xludf.DUMMYFUNCTION("""COMPUTED_VALUE"""),1)</f>
        <v>1</v>
      </c>
      <c r="D3556" s="8">
        <f ca="1">IFERROR(__xludf.DUMMYFUNCTION("""COMPUTED_VALUE"""),5)</f>
        <v>5</v>
      </c>
      <c r="E3556" s="2">
        <f ca="1">IFERROR(__xludf.DUMMYFUNCTION("""COMPUTED_VALUE"""),2)</f>
        <v>2</v>
      </c>
    </row>
    <row r="3557" spans="1:5" ht="13">
      <c r="A3557" s="2" t="str">
        <f ca="1">IFERROR(__xludf.DUMMYFUNCTION("""COMPUTED_VALUE"""),"Harvey, Jonathan")</f>
        <v>Harvey, Jonathan</v>
      </c>
      <c r="B3557" s="3">
        <f ca="1">IFERROR(__xludf.DUMMYFUNCTION("""COMPUTED_VALUE"""),1)</f>
        <v>1</v>
      </c>
      <c r="C3557" s="7">
        <f ca="1">IFERROR(__xludf.DUMMYFUNCTION("""COMPUTED_VALUE"""),1)</f>
        <v>1</v>
      </c>
      <c r="D3557" s="8">
        <f ca="1">IFERROR(__xludf.DUMMYFUNCTION("""COMPUTED_VALUE"""),5)</f>
        <v>5</v>
      </c>
      <c r="E3557" s="2">
        <f ca="1">IFERROR(__xludf.DUMMYFUNCTION("""COMPUTED_VALUE"""),2)</f>
        <v>2</v>
      </c>
    </row>
    <row r="3558" spans="1:5" ht="13">
      <c r="A3558" s="8" t="str">
        <f ca="1">IFERROR(__xludf.DUMMYFUNCTION("""COMPUTED_VALUE"""),"Harvey, LeGrande")</f>
        <v>Harvey, LeGrande</v>
      </c>
      <c r="B3558" s="3">
        <f ca="1">IFERROR(__xludf.DUMMYFUNCTION("""COMPUTED_VALUE"""),1)</f>
        <v>1</v>
      </c>
      <c r="C3558" s="7">
        <f ca="1">IFERROR(__xludf.DUMMYFUNCTION("""COMPUTED_VALUE"""),1)</f>
        <v>1</v>
      </c>
      <c r="D3558" s="8">
        <f ca="1">IFERROR(__xludf.DUMMYFUNCTION("""COMPUTED_VALUE"""),1)</f>
        <v>1</v>
      </c>
      <c r="E3558" s="3">
        <f ca="1">IFERROR(__xludf.DUMMYFUNCTION("""COMPUTED_VALUE"""),1)</f>
        <v>1</v>
      </c>
    </row>
    <row r="3559" spans="1:5" ht="13">
      <c r="A3559" s="2" t="str">
        <f ca="1">IFERROR(__xludf.DUMMYFUNCTION("""COMPUTED_VALUE"""),"Harvey, Russell")</f>
        <v>Harvey, Russell</v>
      </c>
      <c r="B3559" s="2">
        <f ca="1">IFERROR(__xludf.DUMMYFUNCTION("""COMPUTED_VALUE"""),1)</f>
        <v>1</v>
      </c>
      <c r="C3559" s="2">
        <f ca="1">IFERROR(__xludf.DUMMYFUNCTION("""COMPUTED_VALUE"""),1)</f>
        <v>1</v>
      </c>
      <c r="D3559" s="8">
        <f ca="1">IFERROR(__xludf.DUMMYFUNCTION("""COMPUTED_VALUE"""),5)</f>
        <v>5</v>
      </c>
      <c r="E3559" s="2">
        <f ca="1">IFERROR(__xludf.DUMMYFUNCTION("""COMPUTED_VALUE"""),2)</f>
        <v>2</v>
      </c>
    </row>
    <row r="3560" spans="1:5" ht="13">
      <c r="A3560" s="2" t="str">
        <f ca="1">IFERROR(__xludf.DUMMYFUNCTION("""COMPUTED_VALUE"""),"Harvey, William")</f>
        <v>Harvey, William</v>
      </c>
      <c r="B3560" s="3">
        <f ca="1">IFERROR(__xludf.DUMMYFUNCTION("""COMPUTED_VALUE"""),1)</f>
        <v>1</v>
      </c>
      <c r="C3560" s="7">
        <f ca="1">IFERROR(__xludf.DUMMYFUNCTION("""COMPUTED_VALUE"""),1)</f>
        <v>1</v>
      </c>
      <c r="D3560" s="8">
        <f ca="1">IFERROR(__xludf.DUMMYFUNCTION("""COMPUTED_VALUE"""),1)</f>
        <v>1</v>
      </c>
      <c r="E3560" s="2">
        <f ca="1">IFERROR(__xludf.DUMMYFUNCTION("""COMPUTED_VALUE"""),1)</f>
        <v>1</v>
      </c>
    </row>
    <row r="3561" spans="1:5" ht="13">
      <c r="A3561" s="2" t="str">
        <f ca="1">IFERROR(__xludf.DUMMYFUNCTION("""COMPUTED_VALUE"""),"Hash, Phillip")</f>
        <v>Hash, Phillip</v>
      </c>
      <c r="B3561" s="3">
        <f ca="1">IFERROR(__xludf.DUMMYFUNCTION("""COMPUTED_VALUE"""),1)</f>
        <v>1</v>
      </c>
      <c r="C3561" s="7">
        <f ca="1">IFERROR(__xludf.DUMMYFUNCTION("""COMPUTED_VALUE"""),1)</f>
        <v>1</v>
      </c>
      <c r="D3561" s="8">
        <f ca="1">IFERROR(__xludf.DUMMYFUNCTION("""COMPUTED_VALUE"""),1)</f>
        <v>1</v>
      </c>
      <c r="E3561" s="2">
        <f ca="1">IFERROR(__xludf.DUMMYFUNCTION("""COMPUTED_VALUE"""),1)</f>
        <v>1</v>
      </c>
    </row>
    <row r="3562" spans="1:5" ht="13">
      <c r="A3562" s="2" t="str">
        <f ca="1">IFERROR(__xludf.DUMMYFUNCTION("""COMPUTED_VALUE"""),"Haspiel, Franklin")</f>
        <v>Haspiel, Franklin</v>
      </c>
      <c r="B3562" s="2">
        <f ca="1">IFERROR(__xludf.DUMMYFUNCTION("""COMPUTED_VALUE"""),1)</f>
        <v>1</v>
      </c>
      <c r="C3562" s="2">
        <f ca="1">IFERROR(__xludf.DUMMYFUNCTION("""COMPUTED_VALUE"""),1)</f>
        <v>1</v>
      </c>
      <c r="D3562" s="8">
        <f ca="1">IFERROR(__xludf.DUMMYFUNCTION("""COMPUTED_VALUE"""),5)</f>
        <v>5</v>
      </c>
      <c r="E3562" s="2">
        <f ca="1">IFERROR(__xludf.DUMMYFUNCTION("""COMPUTED_VALUE"""),2)</f>
        <v>2</v>
      </c>
    </row>
    <row r="3563" spans="1:5" ht="13">
      <c r="A3563" s="2" t="str">
        <f ca="1">IFERROR(__xludf.DUMMYFUNCTION("""COMPUTED_VALUE"""),"Hass, Chris Evan")</f>
        <v>Hass, Chris Evan</v>
      </c>
      <c r="B3563" s="3">
        <f ca="1">IFERROR(__xludf.DUMMYFUNCTION("""COMPUTED_VALUE"""),1)</f>
        <v>1</v>
      </c>
      <c r="C3563" s="7">
        <f ca="1">IFERROR(__xludf.DUMMYFUNCTION("""COMPUTED_VALUE"""),1)</f>
        <v>1</v>
      </c>
      <c r="D3563" s="8">
        <f ca="1">IFERROR(__xludf.DUMMYFUNCTION("""COMPUTED_VALUE"""),1)</f>
        <v>1</v>
      </c>
      <c r="E3563" s="2">
        <f ca="1">IFERROR(__xludf.DUMMYFUNCTION("""COMPUTED_VALUE"""),1)</f>
        <v>1</v>
      </c>
    </row>
    <row r="3564" spans="1:5" ht="13">
      <c r="A3564" s="2" t="str">
        <f ca="1">IFERROR(__xludf.DUMMYFUNCTION("""COMPUTED_VALUE"""),"Hass, Jeffrey")</f>
        <v>Hass, Jeffrey</v>
      </c>
      <c r="B3564" s="3">
        <f ca="1">IFERROR(__xludf.DUMMYFUNCTION("""COMPUTED_VALUE"""),1)</f>
        <v>1</v>
      </c>
      <c r="C3564" s="7">
        <f ca="1">IFERROR(__xludf.DUMMYFUNCTION("""COMPUTED_VALUE"""),1)</f>
        <v>1</v>
      </c>
      <c r="D3564" s="8">
        <f ca="1">IFERROR(__xludf.DUMMYFUNCTION("""COMPUTED_VALUE"""),5)</f>
        <v>5</v>
      </c>
      <c r="E3564" s="2">
        <f ca="1">IFERROR(__xludf.DUMMYFUNCTION("""COMPUTED_VALUE"""),2)</f>
        <v>2</v>
      </c>
    </row>
    <row r="3565" spans="1:5" ht="13">
      <c r="A3565" s="2" t="str">
        <f ca="1">IFERROR(__xludf.DUMMYFUNCTION("""COMPUTED_VALUE"""),"Hasse, Johann")</f>
        <v>Hasse, Johann</v>
      </c>
      <c r="B3565" s="2">
        <f ca="1">IFERROR(__xludf.DUMMYFUNCTION("""COMPUTED_VALUE"""),1)</f>
        <v>1</v>
      </c>
      <c r="C3565" s="7">
        <f ca="1">IFERROR(__xludf.DUMMYFUNCTION("""COMPUTED_VALUE"""),1)</f>
        <v>1</v>
      </c>
      <c r="D3565" s="8">
        <f ca="1">IFERROR(__xludf.DUMMYFUNCTION("""COMPUTED_VALUE"""),5)</f>
        <v>5</v>
      </c>
      <c r="E3565" s="2">
        <f ca="1">IFERROR(__xludf.DUMMYFUNCTION("""COMPUTED_VALUE"""),2)</f>
        <v>2</v>
      </c>
    </row>
    <row r="3566" spans="1:5" ht="13">
      <c r="A3566" s="2" t="str">
        <f ca="1">IFERROR(__xludf.DUMMYFUNCTION("""COMPUTED_VALUE"""),"Hasse, Johann Adolf")</f>
        <v>Hasse, Johann Adolf</v>
      </c>
      <c r="B3566" s="2">
        <f ca="1">IFERROR(__xludf.DUMMYFUNCTION("""COMPUTED_VALUE"""),1)</f>
        <v>1</v>
      </c>
      <c r="C3566" s="7">
        <f ca="1">IFERROR(__xludf.DUMMYFUNCTION("""COMPUTED_VALUE"""),1)</f>
        <v>1</v>
      </c>
      <c r="D3566" s="8">
        <f ca="1">IFERROR(__xludf.DUMMYFUNCTION("""COMPUTED_VALUE"""),5)</f>
        <v>5</v>
      </c>
      <c r="E3566" s="2">
        <f ca="1">IFERROR(__xludf.DUMMYFUNCTION("""COMPUTED_VALUE"""),2)</f>
        <v>2</v>
      </c>
    </row>
    <row r="3567" spans="1:5" ht="13">
      <c r="A3567" s="2" t="str">
        <f ca="1">IFERROR(__xludf.DUMMYFUNCTION("""COMPUTED_VALUE"""),"Hasselmans, Alphonse")</f>
        <v>Hasselmans, Alphonse</v>
      </c>
      <c r="B3567" s="3">
        <f ca="1">IFERROR(__xludf.DUMMYFUNCTION("""COMPUTED_VALUE"""),1)</f>
        <v>1</v>
      </c>
      <c r="C3567" s="7">
        <f ca="1">IFERROR(__xludf.DUMMYFUNCTION("""COMPUTED_VALUE"""),1)</f>
        <v>1</v>
      </c>
      <c r="D3567" s="8">
        <f ca="1">IFERROR(__xludf.DUMMYFUNCTION("""COMPUTED_VALUE"""),5)</f>
        <v>5</v>
      </c>
      <c r="E3567" s="2">
        <f ca="1">IFERROR(__xludf.DUMMYFUNCTION("""COMPUTED_VALUE"""),2)</f>
        <v>2</v>
      </c>
    </row>
    <row r="3568" spans="1:5" ht="13">
      <c r="A3568" s="2" t="str">
        <f ca="1">IFERROR(__xludf.DUMMYFUNCTION("""COMPUTED_VALUE"""),"Hassler, Hans Leo")</f>
        <v>Hassler, Hans Leo</v>
      </c>
      <c r="B3568" s="3">
        <f ca="1">IFERROR(__xludf.DUMMYFUNCTION("""COMPUTED_VALUE"""),1)</f>
        <v>1</v>
      </c>
      <c r="C3568" s="7">
        <f ca="1">IFERROR(__xludf.DUMMYFUNCTION("""COMPUTED_VALUE"""),1)</f>
        <v>1</v>
      </c>
      <c r="D3568" s="8">
        <f ca="1">IFERROR(__xludf.DUMMYFUNCTION("""COMPUTED_VALUE"""),5)</f>
        <v>5</v>
      </c>
      <c r="E3568" s="2">
        <f ca="1">IFERROR(__xludf.DUMMYFUNCTION("""COMPUTED_VALUE"""),2)</f>
        <v>2</v>
      </c>
    </row>
    <row r="3569" spans="1:5" ht="13">
      <c r="A3569" s="2" t="str">
        <f ca="1">IFERROR(__xludf.DUMMYFUNCTION("""COMPUTED_VALUE"""),"Hastings, Ross")</f>
        <v>Hastings, Ross</v>
      </c>
      <c r="B3569" s="3">
        <f ca="1">IFERROR(__xludf.DUMMYFUNCTION("""COMPUTED_VALUE"""),1)</f>
        <v>1</v>
      </c>
      <c r="C3569" s="7">
        <f ca="1">IFERROR(__xludf.DUMMYFUNCTION("""COMPUTED_VALUE"""),1)</f>
        <v>1</v>
      </c>
      <c r="D3569" s="8">
        <f ca="1">IFERROR(__xludf.DUMMYFUNCTION("""COMPUTED_VALUE"""),5)</f>
        <v>5</v>
      </c>
      <c r="E3569" s="2">
        <f ca="1">IFERROR(__xludf.DUMMYFUNCTION("""COMPUTED_VALUE"""),2)</f>
        <v>2</v>
      </c>
    </row>
    <row r="3570" spans="1:5" ht="13">
      <c r="A3570" s="2" t="str">
        <f ca="1">IFERROR(__xludf.DUMMYFUNCTION("""COMPUTED_VALUE"""),"Hasty, Rich")</f>
        <v>Hasty, Rich</v>
      </c>
      <c r="B3570" s="2">
        <f ca="1">IFERROR(__xludf.DUMMYFUNCTION("""COMPUTED_VALUE"""),1)</f>
        <v>1</v>
      </c>
      <c r="C3570" s="7">
        <f ca="1">IFERROR(__xludf.DUMMYFUNCTION("""COMPUTED_VALUE"""),1)</f>
        <v>1</v>
      </c>
      <c r="D3570" s="8">
        <f ca="1">IFERROR(__xludf.DUMMYFUNCTION("""COMPUTED_VALUE"""),5)</f>
        <v>5</v>
      </c>
      <c r="E3570" s="2">
        <f ca="1">IFERROR(__xludf.DUMMYFUNCTION("""COMPUTED_VALUE"""),2)</f>
        <v>2</v>
      </c>
    </row>
    <row r="3571" spans="1:5" ht="13">
      <c r="A3571" s="2" t="str">
        <f ca="1">IFERROR(__xludf.DUMMYFUNCTION("""COMPUTED_VALUE"""),"Hatfield, Marcus")</f>
        <v>Hatfield, Marcus</v>
      </c>
      <c r="B3571" s="3">
        <f ca="1">IFERROR(__xludf.DUMMYFUNCTION("""COMPUTED_VALUE"""),1)</f>
        <v>1</v>
      </c>
      <c r="C3571" s="7">
        <f ca="1">IFERROR(__xludf.DUMMYFUNCTION("""COMPUTED_VALUE"""),1)</f>
        <v>1</v>
      </c>
      <c r="D3571" s="8">
        <f ca="1">IFERROR(__xludf.DUMMYFUNCTION("""COMPUTED_VALUE"""),1)</f>
        <v>1</v>
      </c>
      <c r="E3571" s="2">
        <f ca="1">IFERROR(__xludf.DUMMYFUNCTION("""COMPUTED_VALUE"""),1)</f>
        <v>1</v>
      </c>
    </row>
    <row r="3572" spans="1:5" ht="13">
      <c r="A3572" s="2" t="str">
        <f ca="1">IFERROR(__xludf.DUMMYFUNCTION("""COMPUTED_VALUE"""),"Hatfield, Stephen")</f>
        <v>Hatfield, Stephen</v>
      </c>
      <c r="B3572" s="3">
        <f ca="1">IFERROR(__xludf.DUMMYFUNCTION("""COMPUTED_VALUE"""),1)</f>
        <v>1</v>
      </c>
      <c r="C3572" s="7">
        <f ca="1">IFERROR(__xludf.DUMMYFUNCTION("""COMPUTED_VALUE"""),1)</f>
        <v>1</v>
      </c>
      <c r="D3572" s="8">
        <f ca="1">IFERROR(__xludf.DUMMYFUNCTION("""COMPUTED_VALUE"""),1)</f>
        <v>1</v>
      </c>
      <c r="E3572" s="2">
        <f ca="1">IFERROR(__xludf.DUMMYFUNCTION("""COMPUTED_VALUE"""),1)</f>
        <v>1</v>
      </c>
    </row>
    <row r="3573" spans="1:5" ht="13">
      <c r="A3573" s="2" t="str">
        <f ca="1">IFERROR(__xludf.DUMMYFUNCTION("""COMPUTED_VALUE"""),"Hattendorf, George")</f>
        <v>Hattendorf, George</v>
      </c>
      <c r="B3573" s="2">
        <f ca="1">IFERROR(__xludf.DUMMYFUNCTION("""COMPUTED_VALUE"""),1)</f>
        <v>1</v>
      </c>
      <c r="C3573" s="2">
        <f ca="1">IFERROR(__xludf.DUMMYFUNCTION("""COMPUTED_VALUE"""),1)</f>
        <v>1</v>
      </c>
      <c r="D3573" s="8">
        <f ca="1">IFERROR(__xludf.DUMMYFUNCTION("""COMPUTED_VALUE"""),1)</f>
        <v>1</v>
      </c>
      <c r="E3573" s="2">
        <f ca="1">IFERROR(__xludf.DUMMYFUNCTION("""COMPUTED_VALUE"""),1)</f>
        <v>1</v>
      </c>
    </row>
    <row r="3574" spans="1:5" ht="13">
      <c r="A3574" s="2" t="str">
        <f ca="1">IFERROR(__xludf.DUMMYFUNCTION("""COMPUTED_VALUE"""),"Hatton, John Liptrot")</f>
        <v>Hatton, John Liptrot</v>
      </c>
      <c r="B3574" s="3">
        <f ca="1">IFERROR(__xludf.DUMMYFUNCTION("""COMPUTED_VALUE"""),1)</f>
        <v>1</v>
      </c>
      <c r="C3574" s="7">
        <f ca="1">IFERROR(__xludf.DUMMYFUNCTION("""COMPUTED_VALUE"""),1)</f>
        <v>1</v>
      </c>
      <c r="D3574" s="8">
        <f ca="1">IFERROR(__xludf.DUMMYFUNCTION("""COMPUTED_VALUE"""),5)</f>
        <v>5</v>
      </c>
      <c r="E3574" s="2">
        <f ca="1">IFERROR(__xludf.DUMMYFUNCTION("""COMPUTED_VALUE"""),2)</f>
        <v>2</v>
      </c>
    </row>
    <row r="3575" spans="1:5" ht="13">
      <c r="A3575" s="2" t="str">
        <f ca="1">IFERROR(__xludf.DUMMYFUNCTION("""COMPUTED_VALUE"""),"Hatzis, Christos")</f>
        <v>Hatzis, Christos</v>
      </c>
      <c r="B3575" s="3">
        <f ca="1">IFERROR(__xludf.DUMMYFUNCTION("""COMPUTED_VALUE"""),1)</f>
        <v>1</v>
      </c>
      <c r="C3575" s="7">
        <f ca="1">IFERROR(__xludf.DUMMYFUNCTION("""COMPUTED_VALUE"""),1)</f>
        <v>1</v>
      </c>
      <c r="D3575" s="8">
        <f ca="1">IFERROR(__xludf.DUMMYFUNCTION("""COMPUTED_VALUE"""),1)</f>
        <v>1</v>
      </c>
      <c r="E3575" s="2">
        <f ca="1">IFERROR(__xludf.DUMMYFUNCTION("""COMPUTED_VALUE"""),1)</f>
        <v>1</v>
      </c>
    </row>
    <row r="3576" spans="1:5" ht="13">
      <c r="A3576" s="2" t="str">
        <f ca="1">IFERROR(__xludf.DUMMYFUNCTION("""COMPUTED_VALUE"""),"Hauge, Albert")</f>
        <v>Hauge, Albert</v>
      </c>
      <c r="B3576" s="3">
        <f ca="1">IFERROR(__xludf.DUMMYFUNCTION("""COMPUTED_VALUE"""),1)</f>
        <v>1</v>
      </c>
      <c r="C3576" s="7">
        <f ca="1">IFERROR(__xludf.DUMMYFUNCTION("""COMPUTED_VALUE"""),1)</f>
        <v>1</v>
      </c>
      <c r="D3576" s="8">
        <f ca="1">IFERROR(__xludf.DUMMYFUNCTION("""COMPUTED_VALUE"""),5)</f>
        <v>5</v>
      </c>
      <c r="E3576" s="2">
        <f ca="1">IFERROR(__xludf.DUMMYFUNCTION("""COMPUTED_VALUE"""),2)</f>
        <v>2</v>
      </c>
    </row>
    <row r="3577" spans="1:5" ht="13">
      <c r="A3577" s="2" t="str">
        <f ca="1">IFERROR(__xludf.DUMMYFUNCTION("""COMPUTED_VALUE"""),"Haugen, Kyle")</f>
        <v>Haugen, Kyle</v>
      </c>
      <c r="B3577" s="2">
        <f ca="1">IFERROR(__xludf.DUMMYFUNCTION("""COMPUTED_VALUE"""),1)</f>
        <v>1</v>
      </c>
      <c r="C3577" s="2">
        <f ca="1">IFERROR(__xludf.DUMMYFUNCTION("""COMPUTED_VALUE"""),1)</f>
        <v>1</v>
      </c>
      <c r="D3577" s="8">
        <f ca="1">IFERROR(__xludf.DUMMYFUNCTION("""COMPUTED_VALUE"""),1)</f>
        <v>1</v>
      </c>
      <c r="E3577" s="2">
        <f ca="1">IFERROR(__xludf.DUMMYFUNCTION("""COMPUTED_VALUE"""),1)</f>
        <v>1</v>
      </c>
    </row>
    <row r="3578" spans="1:5" ht="13">
      <c r="A3578" s="2" t="str">
        <f ca="1">IFERROR(__xludf.DUMMYFUNCTION("""COMPUTED_VALUE"""),"Hause, Evan")</f>
        <v>Hause, Evan</v>
      </c>
      <c r="B3578" s="3">
        <f ca="1">IFERROR(__xludf.DUMMYFUNCTION("""COMPUTED_VALUE"""),1)</f>
        <v>1</v>
      </c>
      <c r="C3578" s="7">
        <f ca="1">IFERROR(__xludf.DUMMYFUNCTION("""COMPUTED_VALUE"""),1)</f>
        <v>1</v>
      </c>
      <c r="D3578" s="8">
        <f ca="1">IFERROR(__xludf.DUMMYFUNCTION("""COMPUTED_VALUE"""),1)</f>
        <v>1</v>
      </c>
      <c r="E3578" s="2">
        <f ca="1">IFERROR(__xludf.DUMMYFUNCTION("""COMPUTED_VALUE"""),1)</f>
        <v>1</v>
      </c>
    </row>
    <row r="3579" spans="1:5" ht="13">
      <c r="A3579" s="8" t="str">
        <f ca="1">IFERROR(__xludf.DUMMYFUNCTION("""COMPUTED_VALUE"""),"Hause, Robert")</f>
        <v>Hause, Robert</v>
      </c>
      <c r="B3579" s="3">
        <f ca="1">IFERROR(__xludf.DUMMYFUNCTION("""COMPUTED_VALUE"""),1)</f>
        <v>1</v>
      </c>
      <c r="C3579" s="7">
        <f ca="1">IFERROR(__xludf.DUMMYFUNCTION("""COMPUTED_VALUE"""),1)</f>
        <v>1</v>
      </c>
      <c r="D3579" s="8">
        <f ca="1">IFERROR(__xludf.DUMMYFUNCTION("""COMPUTED_VALUE"""),5)</f>
        <v>5</v>
      </c>
      <c r="E3579" s="2">
        <f ca="1">IFERROR(__xludf.DUMMYFUNCTION("""COMPUTED_VALUE"""),2)</f>
        <v>2</v>
      </c>
    </row>
    <row r="3580" spans="1:5" ht="13">
      <c r="A3580" s="2" t="str">
        <f ca="1">IFERROR(__xludf.DUMMYFUNCTION("""COMPUTED_VALUE"""),"Hauser, Joshua")</f>
        <v>Hauser, Joshua</v>
      </c>
      <c r="B3580" s="3">
        <f ca="1">IFERROR(__xludf.DUMMYFUNCTION("""COMPUTED_VALUE"""),1)</f>
        <v>1</v>
      </c>
      <c r="C3580" s="7">
        <f ca="1">IFERROR(__xludf.DUMMYFUNCTION("""COMPUTED_VALUE"""),1)</f>
        <v>1</v>
      </c>
      <c r="D3580" s="8">
        <f ca="1">IFERROR(__xludf.DUMMYFUNCTION("""COMPUTED_VALUE"""),1)</f>
        <v>1</v>
      </c>
      <c r="E3580" s="2">
        <f ca="1">IFERROR(__xludf.DUMMYFUNCTION("""COMPUTED_VALUE"""),1)</f>
        <v>1</v>
      </c>
    </row>
    <row r="3581" spans="1:5" ht="13">
      <c r="A3581" s="2" t="str">
        <f ca="1">IFERROR(__xludf.DUMMYFUNCTION("""COMPUTED_VALUE"""),"Hauser, Miska")</f>
        <v>Hauser, Miska</v>
      </c>
      <c r="B3581" s="3">
        <f ca="1">IFERROR(__xludf.DUMMYFUNCTION("""COMPUTED_VALUE"""),1)</f>
        <v>1</v>
      </c>
      <c r="C3581" s="7">
        <f ca="1">IFERROR(__xludf.DUMMYFUNCTION("""COMPUTED_VALUE"""),1)</f>
        <v>1</v>
      </c>
      <c r="D3581" s="8">
        <f ca="1">IFERROR(__xludf.DUMMYFUNCTION("""COMPUTED_VALUE"""),5)</f>
        <v>5</v>
      </c>
      <c r="E3581" s="2">
        <f ca="1">IFERROR(__xludf.DUMMYFUNCTION("""COMPUTED_VALUE"""),2)</f>
        <v>2</v>
      </c>
    </row>
    <row r="3582" spans="1:5" ht="13">
      <c r="A3582" s="2" t="str">
        <f ca="1">IFERROR(__xludf.DUMMYFUNCTION("""COMPUTED_VALUE"""),"Haussmann, Valentin")</f>
        <v>Haussmann, Valentin</v>
      </c>
      <c r="B3582" s="3">
        <f ca="1">IFERROR(__xludf.DUMMYFUNCTION("""COMPUTED_VALUE"""),1)</f>
        <v>1</v>
      </c>
      <c r="C3582" s="7">
        <f ca="1">IFERROR(__xludf.DUMMYFUNCTION("""COMPUTED_VALUE"""),1)</f>
        <v>1</v>
      </c>
      <c r="D3582" s="8">
        <f ca="1">IFERROR(__xludf.DUMMYFUNCTION("""COMPUTED_VALUE"""),5)</f>
        <v>5</v>
      </c>
      <c r="E3582" s="2">
        <f ca="1">IFERROR(__xludf.DUMMYFUNCTION("""COMPUTED_VALUE"""),2)</f>
        <v>2</v>
      </c>
    </row>
    <row r="3583" spans="1:5" ht="13">
      <c r="A3583" s="2" t="str">
        <f ca="1">IFERROR(__xludf.DUMMYFUNCTION("""COMPUTED_VALUE"""),"Hauswirth, Felix")</f>
        <v>Hauswirth, Felix</v>
      </c>
      <c r="B3583" s="3">
        <f ca="1">IFERROR(__xludf.DUMMYFUNCTION("""COMPUTED_VALUE"""),1)</f>
        <v>1</v>
      </c>
      <c r="C3583" s="7">
        <f ca="1">IFERROR(__xludf.DUMMYFUNCTION("""COMPUTED_VALUE"""),1)</f>
        <v>1</v>
      </c>
      <c r="D3583" s="8">
        <f ca="1">IFERROR(__xludf.DUMMYFUNCTION("""COMPUTED_VALUE"""),1)</f>
        <v>1</v>
      </c>
      <c r="E3583" s="2">
        <f ca="1">IFERROR(__xludf.DUMMYFUNCTION("""COMPUTED_VALUE"""),1)</f>
        <v>1</v>
      </c>
    </row>
    <row r="3584" spans="1:5" ht="13">
      <c r="A3584" s="2" t="str">
        <f ca="1">IFERROR(__xludf.DUMMYFUNCTION("""COMPUTED_VALUE"""),"Hauta-aho, Teppo")</f>
        <v>Hauta-aho, Teppo</v>
      </c>
      <c r="B3584" s="2">
        <f ca="1">IFERROR(__xludf.DUMMYFUNCTION("""COMPUTED_VALUE"""),1)</f>
        <v>1</v>
      </c>
      <c r="C3584" s="2">
        <f ca="1">IFERROR(__xludf.DUMMYFUNCTION("""COMPUTED_VALUE"""),1)</f>
        <v>1</v>
      </c>
      <c r="D3584" s="8">
        <f ca="1">IFERROR(__xludf.DUMMYFUNCTION("""COMPUTED_VALUE"""),5)</f>
        <v>5</v>
      </c>
      <c r="E3584" s="2">
        <f ca="1">IFERROR(__xludf.DUMMYFUNCTION("""COMPUTED_VALUE"""),2)</f>
        <v>2</v>
      </c>
    </row>
    <row r="3585" spans="1:5" ht="13">
      <c r="A3585" s="2" t="str">
        <f ca="1">IFERROR(__xludf.DUMMYFUNCTION("""COMPUTED_VALUE"""),"Hautvast, Willy")</f>
        <v>Hautvast, Willy</v>
      </c>
      <c r="B3585" s="3">
        <f ca="1">IFERROR(__xludf.DUMMYFUNCTION("""COMPUTED_VALUE"""),1)</f>
        <v>1</v>
      </c>
      <c r="C3585" s="7">
        <f ca="1">IFERROR(__xludf.DUMMYFUNCTION("""COMPUTED_VALUE"""),1)</f>
        <v>1</v>
      </c>
      <c r="D3585" s="8">
        <f ca="1">IFERROR(__xludf.DUMMYFUNCTION("""COMPUTED_VALUE"""),1)</f>
        <v>1</v>
      </c>
      <c r="E3585" s="2">
        <f ca="1">IFERROR(__xludf.DUMMYFUNCTION("""COMPUTED_VALUE"""),1)</f>
        <v>1</v>
      </c>
    </row>
    <row r="3586" spans="1:5" ht="13">
      <c r="A3586" s="2" t="str">
        <f ca="1">IFERROR(__xludf.DUMMYFUNCTION("""COMPUTED_VALUE"""),"Havely, Pete")</f>
        <v>Havely, Pete</v>
      </c>
      <c r="B3586" s="3">
        <f ca="1">IFERROR(__xludf.DUMMYFUNCTION("""COMPUTED_VALUE"""),1)</f>
        <v>1</v>
      </c>
      <c r="C3586" s="7">
        <f ca="1">IFERROR(__xludf.DUMMYFUNCTION("""COMPUTED_VALUE"""),1)</f>
        <v>1</v>
      </c>
      <c r="D3586" s="8">
        <f ca="1">IFERROR(__xludf.DUMMYFUNCTION("""COMPUTED_VALUE"""),1)</f>
        <v>1</v>
      </c>
      <c r="E3586" s="2">
        <f ca="1">IFERROR(__xludf.DUMMYFUNCTION("""COMPUTED_VALUE"""),1)</f>
        <v>1</v>
      </c>
    </row>
    <row r="3587" spans="1:5" ht="13">
      <c r="A3587" s="2" t="str">
        <f ca="1">IFERROR(__xludf.DUMMYFUNCTION("""COMPUTED_VALUE"""),"Hawes, Patrick")</f>
        <v>Hawes, Patrick</v>
      </c>
      <c r="B3587" s="3">
        <f ca="1">IFERROR(__xludf.DUMMYFUNCTION("""COMPUTED_VALUE"""),1)</f>
        <v>1</v>
      </c>
      <c r="C3587" s="7">
        <f ca="1">IFERROR(__xludf.DUMMYFUNCTION("""COMPUTED_VALUE"""),1)</f>
        <v>1</v>
      </c>
      <c r="D3587" s="8">
        <f ca="1">IFERROR(__xludf.DUMMYFUNCTION("""COMPUTED_VALUE"""),1)</f>
        <v>1</v>
      </c>
      <c r="E3587" s="2">
        <f ca="1">IFERROR(__xludf.DUMMYFUNCTION("""COMPUTED_VALUE"""),1)</f>
        <v>1</v>
      </c>
    </row>
    <row r="3588" spans="1:5" ht="13">
      <c r="A3588" s="2" t="str">
        <f ca="1">IFERROR(__xludf.DUMMYFUNCTION("""COMPUTED_VALUE"""),"Hawkins, Ben")</f>
        <v>Hawkins, Ben</v>
      </c>
      <c r="B3588" s="3">
        <f ca="1">IFERROR(__xludf.DUMMYFUNCTION("""COMPUTED_VALUE"""),1)</f>
        <v>1</v>
      </c>
      <c r="C3588" s="7">
        <f ca="1">IFERROR(__xludf.DUMMYFUNCTION("""COMPUTED_VALUE"""),1)</f>
        <v>1</v>
      </c>
      <c r="D3588" s="8">
        <f ca="1">IFERROR(__xludf.DUMMYFUNCTION("""COMPUTED_VALUE"""),1)</f>
        <v>1</v>
      </c>
      <c r="E3588" s="2">
        <f ca="1">IFERROR(__xludf.DUMMYFUNCTION("""COMPUTED_VALUE"""),1)</f>
        <v>1</v>
      </c>
    </row>
    <row r="3589" spans="1:5" ht="13">
      <c r="A3589" s="2" t="str">
        <f ca="1">IFERROR(__xludf.DUMMYFUNCTION("""COMPUTED_VALUE"""),"Hawkins, John")</f>
        <v>Hawkins, John</v>
      </c>
      <c r="B3589" s="3">
        <f ca="1">IFERROR(__xludf.DUMMYFUNCTION("""COMPUTED_VALUE"""),1)</f>
        <v>1</v>
      </c>
      <c r="C3589" s="7">
        <f ca="1">IFERROR(__xludf.DUMMYFUNCTION("""COMPUTED_VALUE"""),1)</f>
        <v>1</v>
      </c>
      <c r="D3589" s="8">
        <f ca="1">IFERROR(__xludf.DUMMYFUNCTION("""COMPUTED_VALUE"""),5)</f>
        <v>5</v>
      </c>
      <c r="E3589" s="2">
        <f ca="1">IFERROR(__xludf.DUMMYFUNCTION("""COMPUTED_VALUE"""),2)</f>
        <v>2</v>
      </c>
    </row>
    <row r="3590" spans="1:5" ht="13">
      <c r="A3590" s="2" t="str">
        <f ca="1">IFERROR(__xludf.DUMMYFUNCTION("""COMPUTED_VALUE"""),"Hawley, William")</f>
        <v>Hawley, William</v>
      </c>
      <c r="B3590" s="3">
        <f ca="1">IFERROR(__xludf.DUMMYFUNCTION("""COMPUTED_VALUE"""),1)</f>
        <v>1</v>
      </c>
      <c r="C3590" s="7">
        <f ca="1">IFERROR(__xludf.DUMMYFUNCTION("""COMPUTED_VALUE"""),1)</f>
        <v>1</v>
      </c>
      <c r="D3590" s="8">
        <f ca="1">IFERROR(__xludf.DUMMYFUNCTION("""COMPUTED_VALUE"""),1)</f>
        <v>1</v>
      </c>
      <c r="E3590" s="2">
        <f ca="1">IFERROR(__xludf.DUMMYFUNCTION("""COMPUTED_VALUE"""),1)</f>
        <v>1</v>
      </c>
    </row>
    <row r="3591" spans="1:5" ht="13">
      <c r="A3591" s="2" t="str">
        <f ca="1">IFERROR(__xludf.DUMMYFUNCTION("""COMPUTED_VALUE"""),"Haydn, Franz Joseph")</f>
        <v>Haydn, Franz Joseph</v>
      </c>
      <c r="B3591" s="3">
        <f ca="1">IFERROR(__xludf.DUMMYFUNCTION("""COMPUTED_VALUE"""),1)</f>
        <v>1</v>
      </c>
      <c r="C3591" s="7">
        <f ca="1">IFERROR(__xludf.DUMMYFUNCTION("""COMPUTED_VALUE"""),1)</f>
        <v>1</v>
      </c>
      <c r="D3591" s="8">
        <f ca="1">IFERROR(__xludf.DUMMYFUNCTION("""COMPUTED_VALUE"""),5)</f>
        <v>5</v>
      </c>
      <c r="E3591" s="2">
        <f ca="1">IFERROR(__xludf.DUMMYFUNCTION("""COMPUTED_VALUE"""),2)</f>
        <v>2</v>
      </c>
    </row>
    <row r="3592" spans="1:5" ht="13">
      <c r="A3592" s="2" t="str">
        <f ca="1">IFERROR(__xludf.DUMMYFUNCTION("""COMPUTED_VALUE"""),"Haydn, Johann Michael")</f>
        <v>Haydn, Johann Michael</v>
      </c>
      <c r="B3592" s="3">
        <f ca="1">IFERROR(__xludf.DUMMYFUNCTION("""COMPUTED_VALUE"""),1)</f>
        <v>1</v>
      </c>
      <c r="C3592" s="7">
        <f ca="1">IFERROR(__xludf.DUMMYFUNCTION("""COMPUTED_VALUE"""),1)</f>
        <v>1</v>
      </c>
      <c r="D3592" s="8">
        <f ca="1">IFERROR(__xludf.DUMMYFUNCTION("""COMPUTED_VALUE"""),5)</f>
        <v>5</v>
      </c>
      <c r="E3592" s="2">
        <f ca="1">IFERROR(__xludf.DUMMYFUNCTION("""COMPUTED_VALUE"""),2)</f>
        <v>2</v>
      </c>
    </row>
    <row r="3593" spans="1:5" ht="13">
      <c r="A3593" s="2" t="str">
        <f ca="1">IFERROR(__xludf.DUMMYFUNCTION("""COMPUTED_VALUE"""),"Haydn, Michael")</f>
        <v>Haydn, Michael</v>
      </c>
      <c r="B3593" s="3">
        <f ca="1">IFERROR(__xludf.DUMMYFUNCTION("""COMPUTED_VALUE"""),1)</f>
        <v>1</v>
      </c>
      <c r="C3593" s="7">
        <f ca="1">IFERROR(__xludf.DUMMYFUNCTION("""COMPUTED_VALUE"""),1)</f>
        <v>1</v>
      </c>
      <c r="D3593" s="8">
        <f ca="1">IFERROR(__xludf.DUMMYFUNCTION("""COMPUTED_VALUE"""),5)</f>
        <v>5</v>
      </c>
      <c r="E3593" s="2">
        <f ca="1">IFERROR(__xludf.DUMMYFUNCTION("""COMPUTED_VALUE"""),2)</f>
        <v>2</v>
      </c>
    </row>
    <row r="3594" spans="1:5" ht="13">
      <c r="A3594" s="2" t="str">
        <f ca="1">IFERROR(__xludf.DUMMYFUNCTION("""COMPUTED_VALUE"""),"Hayes, Al (aka Fillmore, Henry)")</f>
        <v>Hayes, Al (aka Fillmore, Henry)</v>
      </c>
      <c r="B3594" s="3">
        <f ca="1">IFERROR(__xludf.DUMMYFUNCTION("""COMPUTED_VALUE"""),1)</f>
        <v>1</v>
      </c>
      <c r="C3594" s="7">
        <f ca="1">IFERROR(__xludf.DUMMYFUNCTION("""COMPUTED_VALUE"""),1)</f>
        <v>1</v>
      </c>
      <c r="D3594" s="8">
        <f ca="1">IFERROR(__xludf.DUMMYFUNCTION("""COMPUTED_VALUE"""),5)</f>
        <v>5</v>
      </c>
      <c r="E3594" s="2">
        <f ca="1">IFERROR(__xludf.DUMMYFUNCTION("""COMPUTED_VALUE"""),2)</f>
        <v>2</v>
      </c>
    </row>
    <row r="3595" spans="1:5" ht="13">
      <c r="A3595" s="8" t="str">
        <f ca="1">IFERROR(__xludf.DUMMYFUNCTION("""COMPUTED_VALUE"""),"Hayes, Mark")</f>
        <v>Hayes, Mark</v>
      </c>
      <c r="B3595" s="3">
        <f ca="1">IFERROR(__xludf.DUMMYFUNCTION("""COMPUTED_VALUE"""),1)</f>
        <v>1</v>
      </c>
      <c r="C3595" s="7">
        <f ca="1">IFERROR(__xludf.DUMMYFUNCTION("""COMPUTED_VALUE"""),1)</f>
        <v>1</v>
      </c>
      <c r="D3595" s="8">
        <f ca="1">IFERROR(__xludf.DUMMYFUNCTION("""COMPUTED_VALUE"""),1)</f>
        <v>1</v>
      </c>
      <c r="E3595" s="2">
        <f ca="1">IFERROR(__xludf.DUMMYFUNCTION("""COMPUTED_VALUE"""),1)</f>
        <v>1</v>
      </c>
    </row>
    <row r="3596" spans="1:5" ht="13">
      <c r="A3596" s="2" t="str">
        <f ca="1">IFERROR(__xludf.DUMMYFUNCTION("""COMPUTED_VALUE"""),"Hayes, Micah")</f>
        <v>Hayes, Micah</v>
      </c>
      <c r="B3596" s="3">
        <f ca="1">IFERROR(__xludf.DUMMYFUNCTION("""COMPUTED_VALUE"""),1)</f>
        <v>1</v>
      </c>
      <c r="C3596" s="7">
        <f ca="1">IFERROR(__xludf.DUMMYFUNCTION("""COMPUTED_VALUE"""),1)</f>
        <v>1</v>
      </c>
      <c r="D3596" s="8">
        <f ca="1">IFERROR(__xludf.DUMMYFUNCTION("""COMPUTED_VALUE"""),1)</f>
        <v>1</v>
      </c>
      <c r="E3596" s="2">
        <f ca="1">IFERROR(__xludf.DUMMYFUNCTION("""COMPUTED_VALUE"""),1)</f>
        <v>1</v>
      </c>
    </row>
    <row r="3597" spans="1:5" ht="13">
      <c r="A3597" s="2" t="str">
        <f ca="1">IFERROR(__xludf.DUMMYFUNCTION("""COMPUTED_VALUE"""),"Hayes, Phillip")</f>
        <v>Hayes, Phillip</v>
      </c>
      <c r="B3597" s="3">
        <f ca="1">IFERROR(__xludf.DUMMYFUNCTION("""COMPUTED_VALUE"""),1)</f>
        <v>1</v>
      </c>
      <c r="C3597" s="7">
        <f ca="1">IFERROR(__xludf.DUMMYFUNCTION("""COMPUTED_VALUE"""),1)</f>
        <v>1</v>
      </c>
      <c r="D3597" s="8">
        <f ca="1">IFERROR(__xludf.DUMMYFUNCTION("""COMPUTED_VALUE"""),5)</f>
        <v>5</v>
      </c>
      <c r="E3597" s="2">
        <f ca="1">IFERROR(__xludf.DUMMYFUNCTION("""COMPUTED_VALUE"""),2)</f>
        <v>2</v>
      </c>
    </row>
    <row r="3598" spans="1:5" ht="13">
      <c r="A3598" s="2" t="str">
        <f ca="1">IFERROR(__xludf.DUMMYFUNCTION("""COMPUTED_VALUE"""),"Hayman, Richard")</f>
        <v>Hayman, Richard</v>
      </c>
      <c r="B3598" s="2">
        <f ca="1">IFERROR(__xludf.DUMMYFUNCTION("""COMPUTED_VALUE"""),1)</f>
        <v>1</v>
      </c>
      <c r="C3598" s="7">
        <f ca="1">IFERROR(__xludf.DUMMYFUNCTION("""COMPUTED_VALUE"""),1)</f>
        <v>1</v>
      </c>
      <c r="D3598" s="8">
        <f ca="1">IFERROR(__xludf.DUMMYFUNCTION("""COMPUTED_VALUE"""),5)</f>
        <v>5</v>
      </c>
      <c r="E3598" s="2">
        <f ca="1">IFERROR(__xludf.DUMMYFUNCTION("""COMPUTED_VALUE"""),2)</f>
        <v>2</v>
      </c>
    </row>
    <row r="3599" spans="1:5" ht="13">
      <c r="A3599" s="2" t="str">
        <f ca="1">IFERROR(__xludf.DUMMYFUNCTION("""COMPUTED_VALUE"""),"Hayman, Richard and Buchanan, Christopher")</f>
        <v>Hayman, Richard and Buchanan, Christopher</v>
      </c>
      <c r="B3599" s="3">
        <f ca="1">IFERROR(__xludf.DUMMYFUNCTION("""COMPUTED_VALUE"""),1)</f>
        <v>1</v>
      </c>
      <c r="C3599" s="7">
        <f ca="1">IFERROR(__xludf.DUMMYFUNCTION("""COMPUTED_VALUE"""),1)</f>
        <v>1</v>
      </c>
      <c r="D3599" s="8">
        <f ca="1">IFERROR(__xludf.DUMMYFUNCTION("""COMPUTED_VALUE"""),1)</f>
        <v>1</v>
      </c>
      <c r="E3599" s="2">
        <f ca="1">IFERROR(__xludf.DUMMYFUNCTION("""COMPUTED_VALUE"""),1)</f>
        <v>1</v>
      </c>
    </row>
    <row r="3600" spans="1:5" ht="13">
      <c r="A3600" s="2" t="str">
        <f ca="1">IFERROR(__xludf.DUMMYFUNCTION("""COMPUTED_VALUE"""),"Haynes Bayly, Thomas")</f>
        <v>Haynes Bayly, Thomas</v>
      </c>
      <c r="B3600" s="3">
        <f ca="1">IFERROR(__xludf.DUMMYFUNCTION("""COMPUTED_VALUE"""),1)</f>
        <v>1</v>
      </c>
      <c r="C3600" s="7">
        <f ca="1">IFERROR(__xludf.DUMMYFUNCTION("""COMPUTED_VALUE"""),1)</f>
        <v>1</v>
      </c>
      <c r="D3600" s="8">
        <f ca="1">IFERROR(__xludf.DUMMYFUNCTION("""COMPUTED_VALUE"""),5)</f>
        <v>5</v>
      </c>
      <c r="E3600" s="2">
        <f ca="1">IFERROR(__xludf.DUMMYFUNCTION("""COMPUTED_VALUE"""),2)</f>
        <v>2</v>
      </c>
    </row>
    <row r="3601" spans="1:5" ht="13">
      <c r="A3601" s="8" t="str">
        <f ca="1">IFERROR(__xludf.DUMMYFUNCTION("""COMPUTED_VALUE"""),"Hayward, Lou (aka Luigi Zaninelli)")</f>
        <v>Hayward, Lou (aka Luigi Zaninelli)</v>
      </c>
      <c r="B3601" s="3">
        <f ca="1">IFERROR(__xludf.DUMMYFUNCTION("""COMPUTED_VALUE"""),1)</f>
        <v>1</v>
      </c>
      <c r="C3601" s="7">
        <f ca="1">IFERROR(__xludf.DUMMYFUNCTION("""COMPUTED_VALUE"""),1)</f>
        <v>1</v>
      </c>
      <c r="D3601" s="8">
        <f ca="1">IFERROR(__xludf.DUMMYFUNCTION("""COMPUTED_VALUE"""),5)</f>
        <v>5</v>
      </c>
      <c r="E3601" s="2">
        <f ca="1">IFERROR(__xludf.DUMMYFUNCTION("""COMPUTED_VALUE"""),2)</f>
        <v>2</v>
      </c>
    </row>
    <row r="3602" spans="1:5" ht="13">
      <c r="A3602" s="2" t="str">
        <f ca="1">IFERROR(__xludf.DUMMYFUNCTION("""COMPUTED_VALUE"""),"Hazell, Chris")</f>
        <v>Hazell, Chris</v>
      </c>
      <c r="B3602" s="3">
        <f ca="1">IFERROR(__xludf.DUMMYFUNCTION("""COMPUTED_VALUE"""),1)</f>
        <v>1</v>
      </c>
      <c r="C3602" s="7">
        <f ca="1">IFERROR(__xludf.DUMMYFUNCTION("""COMPUTED_VALUE"""),1)</f>
        <v>1</v>
      </c>
      <c r="D3602" s="8">
        <f ca="1">IFERROR(__xludf.DUMMYFUNCTION("""COMPUTED_VALUE"""),1)</f>
        <v>1</v>
      </c>
      <c r="E3602" s="2">
        <f ca="1">IFERROR(__xludf.DUMMYFUNCTION("""COMPUTED_VALUE"""),1)</f>
        <v>1</v>
      </c>
    </row>
    <row r="3603" spans="1:5" ht="13">
      <c r="A3603" s="2" t="str">
        <f ca="1">IFERROR(__xludf.DUMMYFUNCTION("""COMPUTED_VALUE"""),"Hazelman, Herbert")</f>
        <v>Hazelman, Herbert</v>
      </c>
      <c r="B3603" s="2">
        <f ca="1">IFERROR(__xludf.DUMMYFUNCTION("""COMPUTED_VALUE"""),1)</f>
        <v>1</v>
      </c>
      <c r="C3603" s="7">
        <f ca="1">IFERROR(__xludf.DUMMYFUNCTION("""COMPUTED_VALUE"""),1)</f>
        <v>1</v>
      </c>
      <c r="D3603" s="8">
        <f ca="1">IFERROR(__xludf.DUMMYFUNCTION("""COMPUTED_VALUE"""),5)</f>
        <v>5</v>
      </c>
      <c r="E3603" s="2">
        <f ca="1">IFERROR(__xludf.DUMMYFUNCTION("""COMPUTED_VALUE"""),2)</f>
        <v>2</v>
      </c>
    </row>
    <row r="3604" spans="1:5" ht="13">
      <c r="A3604" s="2" t="str">
        <f ca="1">IFERROR(__xludf.DUMMYFUNCTION("""COMPUTED_VALUE"""),"Hazo, Samuel")</f>
        <v>Hazo, Samuel</v>
      </c>
      <c r="B3604" s="3">
        <f ca="1">IFERROR(__xludf.DUMMYFUNCTION("""COMPUTED_VALUE"""),1)</f>
        <v>1</v>
      </c>
      <c r="C3604" s="7">
        <f ca="1">IFERROR(__xludf.DUMMYFUNCTION("""COMPUTED_VALUE"""),1)</f>
        <v>1</v>
      </c>
      <c r="D3604" s="8">
        <f ca="1">IFERROR(__xludf.DUMMYFUNCTION("""COMPUTED_VALUE"""),1)</f>
        <v>1</v>
      </c>
      <c r="E3604" s="2">
        <f ca="1">IFERROR(__xludf.DUMMYFUNCTION("""COMPUTED_VALUE"""),1)</f>
        <v>1</v>
      </c>
    </row>
    <row r="3605" spans="1:5" ht="13">
      <c r="A3605" s="2" t="str">
        <f ca="1">IFERROR(__xludf.DUMMYFUNCTION("""COMPUTED_VALUE"""),"Hazzard, Peter")</f>
        <v>Hazzard, Peter</v>
      </c>
      <c r="B3605" s="3">
        <f ca="1">IFERROR(__xludf.DUMMYFUNCTION("""COMPUTED_VALUE"""),1)</f>
        <v>1</v>
      </c>
      <c r="C3605" s="7">
        <f ca="1">IFERROR(__xludf.DUMMYFUNCTION("""COMPUTED_VALUE"""),1)</f>
        <v>1</v>
      </c>
      <c r="D3605" s="8">
        <f ca="1">IFERROR(__xludf.DUMMYFUNCTION("""COMPUTED_VALUE"""),1)</f>
        <v>1</v>
      </c>
      <c r="E3605" s="2">
        <f ca="1">IFERROR(__xludf.DUMMYFUNCTION("""COMPUTED_VALUE"""),1)</f>
        <v>1</v>
      </c>
    </row>
    <row r="3606" spans="1:5" ht="13">
      <c r="A3606" s="2" t="str">
        <f ca="1">IFERROR(__xludf.DUMMYFUNCTION("""COMPUTED_VALUE"""),"Hazzard, Preston")</f>
        <v>Hazzard, Preston</v>
      </c>
      <c r="B3606" s="3">
        <f ca="1">IFERROR(__xludf.DUMMYFUNCTION("""COMPUTED_VALUE"""),1)</f>
        <v>1</v>
      </c>
      <c r="C3606" s="7">
        <f ca="1">IFERROR(__xludf.DUMMYFUNCTION("""COMPUTED_VALUE"""),1)</f>
        <v>1</v>
      </c>
      <c r="D3606" s="8">
        <f ca="1">IFERROR(__xludf.DUMMYFUNCTION("""COMPUTED_VALUE"""),1)</f>
        <v>1</v>
      </c>
      <c r="E3606" s="2">
        <f ca="1">IFERROR(__xludf.DUMMYFUNCTION("""COMPUTED_VALUE"""),1)</f>
        <v>1</v>
      </c>
    </row>
    <row r="3607" spans="1:5" ht="13">
      <c r="A3607" s="2" t="str">
        <f ca="1">IFERROR(__xludf.DUMMYFUNCTION("""COMPUTED_VALUE"""),"Head, Michael")</f>
        <v>Head, Michael</v>
      </c>
      <c r="B3607" s="3">
        <f ca="1">IFERROR(__xludf.DUMMYFUNCTION("""COMPUTED_VALUE"""),1)</f>
        <v>1</v>
      </c>
      <c r="C3607" s="7">
        <f ca="1">IFERROR(__xludf.DUMMYFUNCTION("""COMPUTED_VALUE"""),1)</f>
        <v>1</v>
      </c>
      <c r="D3607" s="8">
        <f ca="1">IFERROR(__xludf.DUMMYFUNCTION("""COMPUTED_VALUE"""),5)</f>
        <v>5</v>
      </c>
      <c r="E3607" s="2">
        <f ca="1">IFERROR(__xludf.DUMMYFUNCTION("""COMPUTED_VALUE"""),2)</f>
        <v>2</v>
      </c>
    </row>
    <row r="3608" spans="1:5" ht="13">
      <c r="A3608" s="2" t="str">
        <f ca="1">IFERROR(__xludf.DUMMYFUNCTION("""COMPUTED_VALUE"""),"Healey, Bruce")</f>
        <v>Healey, Bruce</v>
      </c>
      <c r="B3608" s="3">
        <f ca="1">IFERROR(__xludf.DUMMYFUNCTION("""COMPUTED_VALUE"""),1)</f>
        <v>1</v>
      </c>
      <c r="C3608" s="7">
        <f ca="1">IFERROR(__xludf.DUMMYFUNCTION("""COMPUTED_VALUE"""),1)</f>
        <v>1</v>
      </c>
      <c r="D3608" s="8">
        <f ca="1">IFERROR(__xludf.DUMMYFUNCTION("""COMPUTED_VALUE"""),1)</f>
        <v>1</v>
      </c>
      <c r="E3608" s="2">
        <f ca="1">IFERROR(__xludf.DUMMYFUNCTION("""COMPUTED_VALUE"""),1)</f>
        <v>1</v>
      </c>
    </row>
    <row r="3609" spans="1:5" ht="13">
      <c r="A3609" s="2" t="str">
        <f ca="1">IFERROR(__xludf.DUMMYFUNCTION("""COMPUTED_VALUE"""),"Healey, Derek")</f>
        <v>Healey, Derek</v>
      </c>
      <c r="B3609" s="3">
        <f ca="1">IFERROR(__xludf.DUMMYFUNCTION("""COMPUTED_VALUE"""),1)</f>
        <v>1</v>
      </c>
      <c r="C3609" s="7">
        <f ca="1">IFERROR(__xludf.DUMMYFUNCTION("""COMPUTED_VALUE"""),1)</f>
        <v>1</v>
      </c>
      <c r="D3609" s="8">
        <f ca="1">IFERROR(__xludf.DUMMYFUNCTION("""COMPUTED_VALUE"""),1)</f>
        <v>1</v>
      </c>
      <c r="E3609" s="2">
        <f ca="1">IFERROR(__xludf.DUMMYFUNCTION("""COMPUTED_VALUE"""),1)</f>
        <v>1</v>
      </c>
    </row>
    <row r="3610" spans="1:5" ht="13">
      <c r="A3610" s="2" t="str">
        <f ca="1">IFERROR(__xludf.DUMMYFUNCTION("""COMPUTED_VALUE"""),"Healy, Will")</f>
        <v>Healy, Will</v>
      </c>
      <c r="B3610" s="3">
        <f ca="1">IFERROR(__xludf.DUMMYFUNCTION("""COMPUTED_VALUE"""),1)</f>
        <v>1</v>
      </c>
      <c r="C3610" s="7">
        <f ca="1">IFERROR(__xludf.DUMMYFUNCTION("""COMPUTED_VALUE"""),1)</f>
        <v>1</v>
      </c>
      <c r="D3610" s="8">
        <f ca="1">IFERROR(__xludf.DUMMYFUNCTION("""COMPUTED_VALUE"""),1)</f>
        <v>1</v>
      </c>
      <c r="E3610" s="2">
        <f ca="1">IFERROR(__xludf.DUMMYFUNCTION("""COMPUTED_VALUE"""),1)</f>
        <v>1</v>
      </c>
    </row>
    <row r="3611" spans="1:5" ht="13">
      <c r="A3611" s="2" t="str">
        <f ca="1">IFERROR(__xludf.DUMMYFUNCTION("""COMPUTED_VALUE"""),"Hearne, Ted")</f>
        <v>Hearne, Ted</v>
      </c>
      <c r="B3611" s="3">
        <f ca="1">IFERROR(__xludf.DUMMYFUNCTION("""COMPUTED_VALUE"""),1)</f>
        <v>1</v>
      </c>
      <c r="C3611" s="7">
        <f ca="1">IFERROR(__xludf.DUMMYFUNCTION("""COMPUTED_VALUE"""),1)</f>
        <v>1</v>
      </c>
      <c r="D3611" s="8">
        <f ca="1">IFERROR(__xludf.DUMMYFUNCTION("""COMPUTED_VALUE"""),1)</f>
        <v>1</v>
      </c>
      <c r="E3611" s="2">
        <f ca="1">IFERROR(__xludf.DUMMYFUNCTION("""COMPUTED_VALUE"""),1)</f>
        <v>1</v>
      </c>
    </row>
    <row r="3612" spans="1:5" ht="13">
      <c r="A3612" s="2" t="str">
        <f ca="1">IFERROR(__xludf.DUMMYFUNCTION("""COMPUTED_VALUE"""),"Hearshen, Ira")</f>
        <v>Hearshen, Ira</v>
      </c>
      <c r="B3612" s="3">
        <f ca="1">IFERROR(__xludf.DUMMYFUNCTION("""COMPUTED_VALUE"""),1)</f>
        <v>1</v>
      </c>
      <c r="C3612" s="7">
        <f ca="1">IFERROR(__xludf.DUMMYFUNCTION("""COMPUTED_VALUE"""),1)</f>
        <v>1</v>
      </c>
      <c r="D3612" s="8">
        <f ca="1">IFERROR(__xludf.DUMMYFUNCTION("""COMPUTED_VALUE"""),1)</f>
        <v>1</v>
      </c>
      <c r="E3612" s="2">
        <f ca="1">IFERROR(__xludf.DUMMYFUNCTION("""COMPUTED_VALUE"""),1)</f>
        <v>1</v>
      </c>
    </row>
    <row r="3613" spans="1:5" ht="13">
      <c r="A3613" s="8" t="str">
        <f ca="1">IFERROR(__xludf.DUMMYFUNCTION("""COMPUTED_VALUE"""),"Heath, Fenno")</f>
        <v>Heath, Fenno</v>
      </c>
      <c r="B3613" s="3">
        <f ca="1">IFERROR(__xludf.DUMMYFUNCTION("""COMPUTED_VALUE"""),1)</f>
        <v>1</v>
      </c>
      <c r="C3613" s="7">
        <f ca="1">IFERROR(__xludf.DUMMYFUNCTION("""COMPUTED_VALUE"""),1)</f>
        <v>1</v>
      </c>
      <c r="D3613" s="8">
        <f ca="1">IFERROR(__xludf.DUMMYFUNCTION("""COMPUTED_VALUE"""),5)</f>
        <v>5</v>
      </c>
      <c r="E3613" s="2">
        <f ca="1">IFERROR(__xludf.DUMMYFUNCTION("""COMPUTED_VALUE"""),2)</f>
        <v>2</v>
      </c>
    </row>
    <row r="3614" spans="1:5" ht="13">
      <c r="A3614" s="2" t="str">
        <f ca="1">IFERROR(__xludf.DUMMYFUNCTION("""COMPUTED_VALUE"""),"Heath, Freddie")</f>
        <v>Heath, Freddie</v>
      </c>
      <c r="B3614" s="3">
        <f ca="1">IFERROR(__xludf.DUMMYFUNCTION("""COMPUTED_VALUE"""),1)</f>
        <v>1</v>
      </c>
      <c r="C3614" s="7">
        <f ca="1">IFERROR(__xludf.DUMMYFUNCTION("""COMPUTED_VALUE"""),1)</f>
        <v>1</v>
      </c>
      <c r="D3614" s="8">
        <f ca="1">IFERROR(__xludf.DUMMYFUNCTION("""COMPUTED_VALUE"""),1)</f>
        <v>1</v>
      </c>
      <c r="E3614" s="2">
        <f ca="1">IFERROR(__xludf.DUMMYFUNCTION("""COMPUTED_VALUE"""),1)</f>
        <v>1</v>
      </c>
    </row>
    <row r="3615" spans="1:5" ht="13">
      <c r="A3615" s="2" t="str">
        <f ca="1">IFERROR(__xludf.DUMMYFUNCTION("""COMPUTED_VALUE"""),"Heath, Reginald")</f>
        <v>Heath, Reginald</v>
      </c>
      <c r="B3615" s="3">
        <f ca="1">IFERROR(__xludf.DUMMYFUNCTION("""COMPUTED_VALUE"""),1)</f>
        <v>1</v>
      </c>
      <c r="C3615" s="7">
        <f ca="1">IFERROR(__xludf.DUMMYFUNCTION("""COMPUTED_VALUE"""),1)</f>
        <v>1</v>
      </c>
      <c r="D3615" s="8">
        <f ca="1">IFERROR(__xludf.DUMMYFUNCTION("""COMPUTED_VALUE"""),5)</f>
        <v>5</v>
      </c>
      <c r="E3615" s="2">
        <f ca="1">IFERROR(__xludf.DUMMYFUNCTION("""COMPUTED_VALUE"""),2)</f>
        <v>2</v>
      </c>
    </row>
    <row r="3616" spans="1:5" ht="13">
      <c r="A3616" s="8" t="str">
        <f ca="1">IFERROR(__xludf.DUMMYFUNCTION("""COMPUTED_VALUE"""),"Hebel, Martin")</f>
        <v>Hebel, Martin</v>
      </c>
      <c r="B3616" s="3">
        <f ca="1">IFERROR(__xludf.DUMMYFUNCTION("""COMPUTED_VALUE"""),1)</f>
        <v>1</v>
      </c>
      <c r="C3616" s="7">
        <f ca="1">IFERROR(__xludf.DUMMYFUNCTION("""COMPUTED_VALUE"""),1)</f>
        <v>1</v>
      </c>
      <c r="D3616" s="8">
        <f ca="1">IFERROR(__xludf.DUMMYFUNCTION("""COMPUTED_VALUE"""),1)</f>
        <v>1</v>
      </c>
      <c r="E3616" s="2">
        <f ca="1">IFERROR(__xludf.DUMMYFUNCTION("""COMPUTED_VALUE"""),1)</f>
        <v>1</v>
      </c>
    </row>
    <row r="3617" spans="1:5" ht="13">
      <c r="A3617" s="2" t="str">
        <f ca="1">IFERROR(__xludf.DUMMYFUNCTION("""COMPUTED_VALUE"""),"Heck, Jonathan")</f>
        <v>Heck, Jonathan</v>
      </c>
      <c r="B3617" s="2">
        <f ca="1">IFERROR(__xludf.DUMMYFUNCTION("""COMPUTED_VALUE"""),1)</f>
        <v>1</v>
      </c>
      <c r="C3617" s="2">
        <f ca="1">IFERROR(__xludf.DUMMYFUNCTION("""COMPUTED_VALUE"""),1)</f>
        <v>1</v>
      </c>
      <c r="D3617" s="8">
        <f ca="1">IFERROR(__xludf.DUMMYFUNCTION("""COMPUTED_VALUE"""),1)</f>
        <v>1</v>
      </c>
      <c r="E3617" s="2">
        <f ca="1">IFERROR(__xludf.DUMMYFUNCTION("""COMPUTED_VALUE"""),1)</f>
        <v>1</v>
      </c>
    </row>
    <row r="3618" spans="1:5" ht="13">
      <c r="A3618" s="2" t="str">
        <f ca="1">IFERROR(__xludf.DUMMYFUNCTION("""COMPUTED_VALUE"""),"Heckendorn, David")</f>
        <v>Heckendorn, David</v>
      </c>
      <c r="B3618" s="2">
        <f ca="1">IFERROR(__xludf.DUMMYFUNCTION("""COMPUTED_VALUE"""),1)</f>
        <v>1</v>
      </c>
      <c r="C3618" s="7">
        <f ca="1">IFERROR(__xludf.DUMMYFUNCTION("""COMPUTED_VALUE"""),1)</f>
        <v>1</v>
      </c>
      <c r="D3618" s="8">
        <f ca="1">IFERROR(__xludf.DUMMYFUNCTION("""COMPUTED_VALUE"""),1)</f>
        <v>1</v>
      </c>
      <c r="E3618" s="2">
        <f ca="1">IFERROR(__xludf.DUMMYFUNCTION("""COMPUTED_VALUE"""),1)</f>
        <v>1</v>
      </c>
    </row>
    <row r="3619" spans="1:5" ht="13">
      <c r="A3619" s="2" t="str">
        <f ca="1">IFERROR(__xludf.DUMMYFUNCTION("""COMPUTED_VALUE"""),"Hedenstrom, Aaron")</f>
        <v>Hedenstrom, Aaron</v>
      </c>
      <c r="B3619" s="3">
        <f ca="1">IFERROR(__xludf.DUMMYFUNCTION("""COMPUTED_VALUE"""),1)</f>
        <v>1</v>
      </c>
      <c r="C3619" s="7">
        <f ca="1">IFERROR(__xludf.DUMMYFUNCTION("""COMPUTED_VALUE"""),1)</f>
        <v>1</v>
      </c>
      <c r="D3619" s="8">
        <f ca="1">IFERROR(__xludf.DUMMYFUNCTION("""COMPUTED_VALUE"""),1)</f>
        <v>1</v>
      </c>
      <c r="E3619" s="2">
        <f ca="1">IFERROR(__xludf.DUMMYFUNCTION("""COMPUTED_VALUE"""),1)</f>
        <v>1</v>
      </c>
    </row>
    <row r="3620" spans="1:5" ht="13">
      <c r="A3620" s="2" t="str">
        <f ca="1">IFERROR(__xludf.DUMMYFUNCTION("""COMPUTED_VALUE"""),"Hedges, Anthony")</f>
        <v>Hedges, Anthony</v>
      </c>
      <c r="B3620" s="2">
        <f ca="1">IFERROR(__xludf.DUMMYFUNCTION("""COMPUTED_VALUE"""),1)</f>
        <v>1</v>
      </c>
      <c r="C3620" s="2">
        <f ca="1">IFERROR(__xludf.DUMMYFUNCTION("""COMPUTED_VALUE"""),1)</f>
        <v>1</v>
      </c>
      <c r="D3620" s="8">
        <f ca="1">IFERROR(__xludf.DUMMYFUNCTION("""COMPUTED_VALUE"""),5)</f>
        <v>5</v>
      </c>
      <c r="E3620" s="2">
        <f ca="1">IFERROR(__xludf.DUMMYFUNCTION("""COMPUTED_VALUE"""),2)</f>
        <v>2</v>
      </c>
    </row>
    <row r="3621" spans="1:5" ht="13">
      <c r="A3621" s="2" t="str">
        <f ca="1">IFERROR(__xludf.DUMMYFUNCTION("""COMPUTED_VALUE"""),"Hedwig, Douglas")</f>
        <v>Hedwig, Douglas</v>
      </c>
      <c r="B3621" s="3">
        <f ca="1">IFERROR(__xludf.DUMMYFUNCTION("""COMPUTED_VALUE"""),1)</f>
        <v>1</v>
      </c>
      <c r="C3621" s="7">
        <f ca="1">IFERROR(__xludf.DUMMYFUNCTION("""COMPUTED_VALUE"""),1)</f>
        <v>1</v>
      </c>
      <c r="D3621" s="8">
        <f ca="1">IFERROR(__xludf.DUMMYFUNCTION("""COMPUTED_VALUE"""),1)</f>
        <v>1</v>
      </c>
      <c r="E3621" s="2">
        <f ca="1">IFERROR(__xludf.DUMMYFUNCTION("""COMPUTED_VALUE"""),1)</f>
        <v>1</v>
      </c>
    </row>
    <row r="3622" spans="1:5" ht="13">
      <c r="A3622" s="2" t="str">
        <f ca="1">IFERROR(__xludf.DUMMYFUNCTION("""COMPUTED_VALUE"""),"Heed, John Clifford")</f>
        <v>Heed, John Clifford</v>
      </c>
      <c r="B3622" s="3">
        <f ca="1">IFERROR(__xludf.DUMMYFUNCTION("""COMPUTED_VALUE"""),1)</f>
        <v>1</v>
      </c>
      <c r="C3622" s="7">
        <f ca="1">IFERROR(__xludf.DUMMYFUNCTION("""COMPUTED_VALUE"""),1)</f>
        <v>1</v>
      </c>
      <c r="D3622" s="8">
        <f ca="1">IFERROR(__xludf.DUMMYFUNCTION("""COMPUTED_VALUE"""),5)</f>
        <v>5</v>
      </c>
      <c r="E3622" s="2">
        <f ca="1">IFERROR(__xludf.DUMMYFUNCTION("""COMPUTED_VALUE"""),2)</f>
        <v>2</v>
      </c>
    </row>
    <row r="3623" spans="1:5" ht="13">
      <c r="A3623" s="2" t="str">
        <f ca="1">IFERROR(__xludf.DUMMYFUNCTION("""COMPUTED_VALUE"""),"Hefti, Neal")</f>
        <v>Hefti, Neal</v>
      </c>
      <c r="B3623" s="2">
        <f ca="1">IFERROR(__xludf.DUMMYFUNCTION("""COMPUTED_VALUE"""),1)</f>
        <v>1</v>
      </c>
      <c r="C3623" s="7">
        <f ca="1">IFERROR(__xludf.DUMMYFUNCTION("""COMPUTED_VALUE"""),1)</f>
        <v>1</v>
      </c>
      <c r="D3623" s="8">
        <f ca="1">IFERROR(__xludf.DUMMYFUNCTION("""COMPUTED_VALUE"""),5)</f>
        <v>5</v>
      </c>
      <c r="E3623" s="2">
        <f ca="1">IFERROR(__xludf.DUMMYFUNCTION("""COMPUTED_VALUE"""),2)</f>
        <v>2</v>
      </c>
    </row>
    <row r="3624" spans="1:5" ht="13">
      <c r="A3624" s="2" t="str">
        <f ca="1">IFERROR(__xludf.DUMMYFUNCTION("""COMPUTED_VALUE"""),"Hegeman, Derrick")</f>
        <v>Hegeman, Derrick</v>
      </c>
      <c r="B3624" s="3">
        <f ca="1">IFERROR(__xludf.DUMMYFUNCTION("""COMPUTED_VALUE"""),1)</f>
        <v>1</v>
      </c>
      <c r="C3624" s="7">
        <f ca="1">IFERROR(__xludf.DUMMYFUNCTION("""COMPUTED_VALUE"""),1)</f>
        <v>1</v>
      </c>
      <c r="D3624" s="8">
        <f ca="1">IFERROR(__xludf.DUMMYFUNCTION("""COMPUTED_VALUE"""),1)</f>
        <v>1</v>
      </c>
      <c r="E3624" s="2">
        <f ca="1">IFERROR(__xludf.DUMMYFUNCTION("""COMPUTED_VALUE"""),1)</f>
        <v>1</v>
      </c>
    </row>
    <row r="3625" spans="1:5" ht="13">
      <c r="A3625" s="2" t="str">
        <f ca="1">IFERROR(__xludf.DUMMYFUNCTION("""COMPUTED_VALUE"""),"Hegenbart, Alex")</f>
        <v>Hegenbart, Alex</v>
      </c>
      <c r="B3625" s="3">
        <f ca="1">IFERROR(__xludf.DUMMYFUNCTION("""COMPUTED_VALUE"""),1)</f>
        <v>1</v>
      </c>
      <c r="C3625" s="7">
        <f ca="1">IFERROR(__xludf.DUMMYFUNCTION("""COMPUTED_VALUE"""),1)</f>
        <v>1</v>
      </c>
      <c r="D3625" s="8">
        <f ca="1">IFERROR(__xludf.DUMMYFUNCTION("""COMPUTED_VALUE"""),5)</f>
        <v>5</v>
      </c>
      <c r="E3625" s="2">
        <f ca="1">IFERROR(__xludf.DUMMYFUNCTION("""COMPUTED_VALUE"""),2)</f>
        <v>2</v>
      </c>
    </row>
    <row r="3626" spans="1:5" ht="13">
      <c r="A3626" s="2" t="str">
        <f ca="1">IFERROR(__xludf.DUMMYFUNCTION("""COMPUTED_VALUE"""),"Heggie, Jake")</f>
        <v>Heggie, Jake</v>
      </c>
      <c r="B3626" s="3">
        <f ca="1">IFERROR(__xludf.DUMMYFUNCTION("""COMPUTED_VALUE"""),1)</f>
        <v>1</v>
      </c>
      <c r="C3626" s="7">
        <f ca="1">IFERROR(__xludf.DUMMYFUNCTION("""COMPUTED_VALUE"""),1)</f>
        <v>1</v>
      </c>
      <c r="D3626" s="8">
        <f ca="1">IFERROR(__xludf.DUMMYFUNCTION("""COMPUTED_VALUE"""),1)</f>
        <v>1</v>
      </c>
      <c r="E3626" s="2">
        <f ca="1">IFERROR(__xludf.DUMMYFUNCTION("""COMPUTED_VALUE"""),1)</f>
        <v>1</v>
      </c>
    </row>
    <row r="3627" spans="1:5" ht="13">
      <c r="A3627" s="2" t="str">
        <f ca="1">IFERROR(__xludf.DUMMYFUNCTION("""COMPUTED_VALUE"""),"Heiden, Bernhard")</f>
        <v>Heiden, Bernhard</v>
      </c>
      <c r="B3627" s="3">
        <f ca="1">IFERROR(__xludf.DUMMYFUNCTION("""COMPUTED_VALUE"""),1)</f>
        <v>1</v>
      </c>
      <c r="C3627" s="7">
        <f ca="1">IFERROR(__xludf.DUMMYFUNCTION("""COMPUTED_VALUE"""),1)</f>
        <v>1</v>
      </c>
      <c r="D3627" s="8">
        <f ca="1">IFERROR(__xludf.DUMMYFUNCTION("""COMPUTED_VALUE"""),5)</f>
        <v>5</v>
      </c>
      <c r="E3627" s="2">
        <f ca="1">IFERROR(__xludf.DUMMYFUNCTION("""COMPUTED_VALUE"""),2)</f>
        <v>2</v>
      </c>
    </row>
    <row r="3628" spans="1:5" ht="13">
      <c r="A3628" s="2" t="str">
        <f ca="1">IFERROR(__xludf.DUMMYFUNCTION("""COMPUTED_VALUE"""),"Heidenreich, Christopher P.")</f>
        <v>Heidenreich, Christopher P.</v>
      </c>
      <c r="B3628" s="2">
        <f ca="1">IFERROR(__xludf.DUMMYFUNCTION("""COMPUTED_VALUE"""),1)</f>
        <v>1</v>
      </c>
      <c r="C3628" s="2">
        <f ca="1">IFERROR(__xludf.DUMMYFUNCTION("""COMPUTED_VALUE"""),1)</f>
        <v>1</v>
      </c>
      <c r="D3628" s="8">
        <f ca="1">IFERROR(__xludf.DUMMYFUNCTION("""COMPUTED_VALUE"""),1)</f>
        <v>1</v>
      </c>
      <c r="E3628" s="2">
        <f ca="1">IFERROR(__xludf.DUMMYFUNCTION("""COMPUTED_VALUE"""),1)</f>
        <v>1</v>
      </c>
    </row>
    <row r="3629" spans="1:5" ht="13">
      <c r="A3629" s="2" t="str">
        <f ca="1">IFERROR(__xludf.DUMMYFUNCTION("""COMPUTED_VALUE"""),"Heifetz, Jascha")</f>
        <v>Heifetz, Jascha</v>
      </c>
      <c r="B3629" s="2">
        <f ca="1">IFERROR(__xludf.DUMMYFUNCTION("""COMPUTED_VALUE"""),1)</f>
        <v>1</v>
      </c>
      <c r="C3629" s="2">
        <f ca="1">IFERROR(__xludf.DUMMYFUNCTION("""COMPUTED_VALUE"""),1)</f>
        <v>1</v>
      </c>
      <c r="D3629" s="8">
        <f ca="1">IFERROR(__xludf.DUMMYFUNCTION("""COMPUTED_VALUE"""),5)</f>
        <v>5</v>
      </c>
      <c r="E3629" s="2">
        <f ca="1">IFERROR(__xludf.DUMMYFUNCTION("""COMPUTED_VALUE"""),2)</f>
        <v>2</v>
      </c>
    </row>
    <row r="3630" spans="1:5" ht="13">
      <c r="A3630" s="2" t="str">
        <f ca="1">IFERROR(__xludf.DUMMYFUNCTION("""COMPUTED_VALUE"""),"Heinichen, Johann")</f>
        <v>Heinichen, Johann</v>
      </c>
      <c r="B3630" s="3">
        <f ca="1">IFERROR(__xludf.DUMMYFUNCTION("""COMPUTED_VALUE"""),1)</f>
        <v>1</v>
      </c>
      <c r="C3630" s="7">
        <f ca="1">IFERROR(__xludf.DUMMYFUNCTION("""COMPUTED_VALUE"""),1)</f>
        <v>1</v>
      </c>
      <c r="D3630" s="8">
        <f ca="1">IFERROR(__xludf.DUMMYFUNCTION("""COMPUTED_VALUE"""),5)</f>
        <v>5</v>
      </c>
      <c r="E3630" s="2">
        <f ca="1">IFERROR(__xludf.DUMMYFUNCTION("""COMPUTED_VALUE"""),2)</f>
        <v>2</v>
      </c>
    </row>
    <row r="3631" spans="1:5" ht="13">
      <c r="A3631" s="2" t="str">
        <f ca="1">IFERROR(__xludf.DUMMYFUNCTION("""COMPUTED_VALUE"""),"Heinichen, Johann David")</f>
        <v>Heinichen, Johann David</v>
      </c>
      <c r="B3631" s="2">
        <f ca="1">IFERROR(__xludf.DUMMYFUNCTION("""COMPUTED_VALUE"""),1)</f>
        <v>1</v>
      </c>
      <c r="C3631" s="2">
        <f ca="1">IFERROR(__xludf.DUMMYFUNCTION("""COMPUTED_VALUE"""),1)</f>
        <v>1</v>
      </c>
      <c r="D3631" s="8">
        <f ca="1">IFERROR(__xludf.DUMMYFUNCTION("""COMPUTED_VALUE"""),5)</f>
        <v>5</v>
      </c>
      <c r="E3631" s="2">
        <f ca="1">IFERROR(__xludf.DUMMYFUNCTION("""COMPUTED_VALUE"""),2)</f>
        <v>2</v>
      </c>
    </row>
    <row r="3632" spans="1:5" ht="13">
      <c r="A3632" s="2" t="str">
        <f ca="1">IFERROR(__xludf.DUMMYFUNCTION("""COMPUTED_VALUE"""),"Heins, John")</f>
        <v>Heins, John</v>
      </c>
      <c r="B3632" s="3">
        <f ca="1">IFERROR(__xludf.DUMMYFUNCTION("""COMPUTED_VALUE"""),1)</f>
        <v>1</v>
      </c>
      <c r="C3632" s="7">
        <f ca="1">IFERROR(__xludf.DUMMYFUNCTION("""COMPUTED_VALUE"""),1)</f>
        <v>1</v>
      </c>
      <c r="D3632" s="8">
        <f ca="1">IFERROR(__xludf.DUMMYFUNCTION("""COMPUTED_VALUE"""),1)</f>
        <v>1</v>
      </c>
      <c r="E3632" s="2">
        <f ca="1">IFERROR(__xludf.DUMMYFUNCTION("""COMPUTED_VALUE"""),1)</f>
        <v>1</v>
      </c>
    </row>
    <row r="3633" spans="1:5" ht="13">
      <c r="A3633" s="2" t="str">
        <f ca="1">IFERROR(__xludf.DUMMYFUNCTION("""COMPUTED_VALUE"""),"Heiny, Chad")</f>
        <v>Heiny, Chad</v>
      </c>
      <c r="B3633" s="3">
        <f ca="1">IFERROR(__xludf.DUMMYFUNCTION("""COMPUTED_VALUE"""),1)</f>
        <v>1</v>
      </c>
      <c r="C3633" s="7">
        <f ca="1">IFERROR(__xludf.DUMMYFUNCTION("""COMPUTED_VALUE"""),1)</f>
        <v>1</v>
      </c>
      <c r="D3633" s="8">
        <f ca="1">IFERROR(__xludf.DUMMYFUNCTION("""COMPUTED_VALUE"""),1)</f>
        <v>1</v>
      </c>
      <c r="E3633" s="2">
        <f ca="1">IFERROR(__xludf.DUMMYFUNCTION("""COMPUTED_VALUE"""),1)</f>
        <v>1</v>
      </c>
    </row>
    <row r="3634" spans="1:5" ht="13">
      <c r="A3634" s="2" t="str">
        <f ca="1">IFERROR(__xludf.DUMMYFUNCTION("""COMPUTED_VALUE"""),"Heisinger, Brent")</f>
        <v>Heisinger, Brent</v>
      </c>
      <c r="B3634" s="3">
        <f ca="1">IFERROR(__xludf.DUMMYFUNCTION("""COMPUTED_VALUE"""),1)</f>
        <v>1</v>
      </c>
      <c r="C3634" s="7">
        <f ca="1">IFERROR(__xludf.DUMMYFUNCTION("""COMPUTED_VALUE"""),1)</f>
        <v>1</v>
      </c>
      <c r="D3634" s="8">
        <f ca="1">IFERROR(__xludf.DUMMYFUNCTION("""COMPUTED_VALUE"""),1)</f>
        <v>1</v>
      </c>
      <c r="E3634" s="2">
        <f ca="1">IFERROR(__xludf.DUMMYFUNCTION("""COMPUTED_VALUE"""),1)</f>
        <v>1</v>
      </c>
    </row>
    <row r="3635" spans="1:5" ht="13">
      <c r="A3635" s="2" t="str">
        <f ca="1">IFERROR(__xludf.DUMMYFUNCTION("""COMPUTED_VALUE"""),"Heitzeg, Steve")</f>
        <v>Heitzeg, Steve</v>
      </c>
      <c r="B3635" s="3">
        <f ca="1">IFERROR(__xludf.DUMMYFUNCTION("""COMPUTED_VALUE"""),1)</f>
        <v>1</v>
      </c>
      <c r="C3635" s="7">
        <f ca="1">IFERROR(__xludf.DUMMYFUNCTION("""COMPUTED_VALUE"""),1)</f>
        <v>1</v>
      </c>
      <c r="D3635" s="8">
        <f ca="1">IFERROR(__xludf.DUMMYFUNCTION("""COMPUTED_VALUE"""),1)</f>
        <v>1</v>
      </c>
      <c r="E3635" s="2">
        <f ca="1">IFERROR(__xludf.DUMMYFUNCTION("""COMPUTED_VALUE"""),1)</f>
        <v>1</v>
      </c>
    </row>
    <row r="3636" spans="1:5" ht="13">
      <c r="A3636" s="2" t="str">
        <f ca="1">IFERROR(__xludf.DUMMYFUNCTION("""COMPUTED_VALUE"""),"Helbig, O.H.")</f>
        <v>Helbig, O.H.</v>
      </c>
      <c r="B3636" s="3">
        <f ca="1">IFERROR(__xludf.DUMMYFUNCTION("""COMPUTED_VALUE"""),1)</f>
        <v>1</v>
      </c>
      <c r="C3636" s="7">
        <f ca="1">IFERROR(__xludf.DUMMYFUNCTION("""COMPUTED_VALUE"""),1)</f>
        <v>1</v>
      </c>
      <c r="D3636" s="8">
        <f ca="1">IFERROR(__xludf.DUMMYFUNCTION("""COMPUTED_VALUE"""),5)</f>
        <v>5</v>
      </c>
      <c r="E3636" s="2">
        <f ca="1">IFERROR(__xludf.DUMMYFUNCTION("""COMPUTED_VALUE"""),2)</f>
        <v>2</v>
      </c>
    </row>
    <row r="3637" spans="1:5" ht="13">
      <c r="A3637" s="2" t="str">
        <f ca="1">IFERROR(__xludf.DUMMYFUNCTION("""COMPUTED_VALUE"""),"Helbig, Sven")</f>
        <v>Helbig, Sven</v>
      </c>
      <c r="B3637" s="3">
        <f ca="1">IFERROR(__xludf.DUMMYFUNCTION("""COMPUTED_VALUE"""),1)</f>
        <v>1</v>
      </c>
      <c r="C3637" s="7">
        <f ca="1">IFERROR(__xludf.DUMMYFUNCTION("""COMPUTED_VALUE"""),1)</f>
        <v>1</v>
      </c>
      <c r="D3637" s="8">
        <f ca="1">IFERROR(__xludf.DUMMYFUNCTION("""COMPUTED_VALUE"""),1)</f>
        <v>1</v>
      </c>
      <c r="E3637" s="2">
        <f ca="1">IFERROR(__xludf.DUMMYFUNCTION("""COMPUTED_VALUE"""),1)</f>
        <v>1</v>
      </c>
    </row>
    <row r="3638" spans="1:5" ht="13">
      <c r="A3638" s="2" t="str">
        <f ca="1">IFERROR(__xludf.DUMMYFUNCTION("""COMPUTED_VALUE"""),"Helgen, John")</f>
        <v>Helgen, John</v>
      </c>
      <c r="B3638" s="2">
        <f ca="1">IFERROR(__xludf.DUMMYFUNCTION("""COMPUTED_VALUE"""),1)</f>
        <v>1</v>
      </c>
      <c r="C3638" s="7">
        <f ca="1">IFERROR(__xludf.DUMMYFUNCTION("""COMPUTED_VALUE"""),1)</f>
        <v>1</v>
      </c>
      <c r="D3638" s="8">
        <f ca="1">IFERROR(__xludf.DUMMYFUNCTION("""COMPUTED_VALUE"""),1)</f>
        <v>1</v>
      </c>
      <c r="E3638" s="2">
        <f ca="1">IFERROR(__xludf.DUMMYFUNCTION("""COMPUTED_VALUE"""),1)</f>
        <v>1</v>
      </c>
    </row>
    <row r="3639" spans="1:5" ht="13">
      <c r="A3639" s="2" t="str">
        <f ca="1">IFERROR(__xludf.DUMMYFUNCTION("""COMPUTED_VALUE"""),"Hella Johnson, Craig")</f>
        <v>Hella Johnson, Craig</v>
      </c>
      <c r="B3639" s="3">
        <f ca="1">IFERROR(__xludf.DUMMYFUNCTION("""COMPUTED_VALUE"""),1)</f>
        <v>1</v>
      </c>
      <c r="C3639" s="7">
        <f ca="1">IFERROR(__xludf.DUMMYFUNCTION("""COMPUTED_VALUE"""),1)</f>
        <v>1</v>
      </c>
      <c r="D3639" s="8">
        <f ca="1">IFERROR(__xludf.DUMMYFUNCTION("""COMPUTED_VALUE"""),1)</f>
        <v>1</v>
      </c>
      <c r="E3639" s="2">
        <f ca="1">IFERROR(__xludf.DUMMYFUNCTION("""COMPUTED_VALUE"""),1)</f>
        <v>1</v>
      </c>
    </row>
    <row r="3640" spans="1:5" ht="13">
      <c r="A3640" s="2" t="str">
        <f ca="1">IFERROR(__xludf.DUMMYFUNCTION("""COMPUTED_VALUE"""),"Hellem, Mark")</f>
        <v>Hellem, Mark</v>
      </c>
      <c r="B3640" s="3">
        <f ca="1">IFERROR(__xludf.DUMMYFUNCTION("""COMPUTED_VALUE"""),1)</f>
        <v>1</v>
      </c>
      <c r="C3640" s="7">
        <f ca="1">IFERROR(__xludf.DUMMYFUNCTION("""COMPUTED_VALUE"""),1)</f>
        <v>1</v>
      </c>
      <c r="D3640" s="8">
        <f ca="1">IFERROR(__xludf.DUMMYFUNCTION("""COMPUTED_VALUE"""),1)</f>
        <v>1</v>
      </c>
      <c r="E3640" s="2">
        <f ca="1">IFERROR(__xludf.DUMMYFUNCTION("""COMPUTED_VALUE"""),1)</f>
        <v>1</v>
      </c>
    </row>
    <row r="3641" spans="1:5" ht="13">
      <c r="A3641" s="8" t="str">
        <f ca="1">IFERROR(__xludf.DUMMYFUNCTION("""COMPUTED_VALUE"""),"Hellendaal, Pieter")</f>
        <v>Hellendaal, Pieter</v>
      </c>
      <c r="B3641" s="3">
        <f ca="1">IFERROR(__xludf.DUMMYFUNCTION("""COMPUTED_VALUE"""),1)</f>
        <v>1</v>
      </c>
      <c r="C3641" s="7">
        <f ca="1">IFERROR(__xludf.DUMMYFUNCTION("""COMPUTED_VALUE"""),1)</f>
        <v>1</v>
      </c>
      <c r="D3641" s="8">
        <f ca="1">IFERROR(__xludf.DUMMYFUNCTION("""COMPUTED_VALUE"""),5)</f>
        <v>5</v>
      </c>
      <c r="E3641" s="2">
        <f ca="1">IFERROR(__xludf.DUMMYFUNCTION("""COMPUTED_VALUE"""),2)</f>
        <v>2</v>
      </c>
    </row>
    <row r="3642" spans="1:5" ht="13">
      <c r="A3642" s="8" t="str">
        <f ca="1">IFERROR(__xludf.DUMMYFUNCTION("""COMPUTED_VALUE"""),"Heller, Alfred")</f>
        <v>Heller, Alfred</v>
      </c>
      <c r="B3642" s="3">
        <f ca="1">IFERROR(__xludf.DUMMYFUNCTION("""COMPUTED_VALUE"""),1)</f>
        <v>1</v>
      </c>
      <c r="C3642" s="7">
        <f ca="1">IFERROR(__xludf.DUMMYFUNCTION("""COMPUTED_VALUE"""),1)</f>
        <v>1</v>
      </c>
      <c r="D3642" s="8">
        <f ca="1">IFERROR(__xludf.DUMMYFUNCTION("""COMPUTED_VALUE"""),1)</f>
        <v>1</v>
      </c>
      <c r="E3642" s="2">
        <f ca="1">IFERROR(__xludf.DUMMYFUNCTION("""COMPUTED_VALUE"""),1)</f>
        <v>1</v>
      </c>
    </row>
    <row r="3643" spans="1:5" ht="13">
      <c r="A3643" s="2" t="str">
        <f ca="1">IFERROR(__xludf.DUMMYFUNCTION("""COMPUTED_VALUE"""),"Hellmesberger, Joseph")</f>
        <v>Hellmesberger, Joseph</v>
      </c>
      <c r="B3643" s="3">
        <f ca="1">IFERROR(__xludf.DUMMYFUNCTION("""COMPUTED_VALUE"""),1)</f>
        <v>1</v>
      </c>
      <c r="C3643" s="7">
        <f ca="1">IFERROR(__xludf.DUMMYFUNCTION("""COMPUTED_VALUE"""),1)</f>
        <v>1</v>
      </c>
      <c r="D3643" s="8">
        <f ca="1">IFERROR(__xludf.DUMMYFUNCTION("""COMPUTED_VALUE"""),5)</f>
        <v>5</v>
      </c>
      <c r="E3643" s="2">
        <f ca="1">IFERROR(__xludf.DUMMYFUNCTION("""COMPUTED_VALUE"""),2)</f>
        <v>2</v>
      </c>
    </row>
    <row r="3644" spans="1:5" ht="13">
      <c r="A3644" s="2" t="str">
        <f ca="1">IFERROR(__xludf.DUMMYFUNCTION("""COMPUTED_VALUE"""),"Helsted, Edvard")</f>
        <v>Helsted, Edvard</v>
      </c>
      <c r="B3644" s="3">
        <f ca="1">IFERROR(__xludf.DUMMYFUNCTION("""COMPUTED_VALUE"""),1)</f>
        <v>1</v>
      </c>
      <c r="C3644" s="7">
        <f ca="1">IFERROR(__xludf.DUMMYFUNCTION("""COMPUTED_VALUE"""),1)</f>
        <v>1</v>
      </c>
      <c r="D3644" s="8">
        <f ca="1">IFERROR(__xludf.DUMMYFUNCTION("""COMPUTED_VALUE"""),5)</f>
        <v>5</v>
      </c>
      <c r="E3644" s="2">
        <f ca="1">IFERROR(__xludf.DUMMYFUNCTION("""COMPUTED_VALUE"""),2)</f>
        <v>2</v>
      </c>
    </row>
    <row r="3645" spans="1:5" ht="13">
      <c r="A3645" s="2" t="str">
        <f ca="1">IFERROR(__xludf.DUMMYFUNCTION("""COMPUTED_VALUE"""),"Helton, John")</f>
        <v>Helton, John</v>
      </c>
      <c r="B3645" s="3">
        <f ca="1">IFERROR(__xludf.DUMMYFUNCTION("""COMPUTED_VALUE"""),1)</f>
        <v>1</v>
      </c>
      <c r="C3645" s="7">
        <f ca="1">IFERROR(__xludf.DUMMYFUNCTION("""COMPUTED_VALUE"""),1)</f>
        <v>1</v>
      </c>
      <c r="D3645" s="8">
        <f ca="1">IFERROR(__xludf.DUMMYFUNCTION("""COMPUTED_VALUE"""),1)</f>
        <v>1</v>
      </c>
      <c r="E3645" s="2">
        <f ca="1">IFERROR(__xludf.DUMMYFUNCTION("""COMPUTED_VALUE"""),1)</f>
        <v>1</v>
      </c>
    </row>
    <row r="3646" spans="1:5" ht="13">
      <c r="A3646" s="2" t="str">
        <f ca="1">IFERROR(__xludf.DUMMYFUNCTION("""COMPUTED_VALUE"""),"Helvering, R. Douglas")</f>
        <v>Helvering, R. Douglas</v>
      </c>
      <c r="B3646" s="3">
        <f ca="1">IFERROR(__xludf.DUMMYFUNCTION("""COMPUTED_VALUE"""),1)</f>
        <v>1</v>
      </c>
      <c r="C3646" s="7">
        <f ca="1">IFERROR(__xludf.DUMMYFUNCTION("""COMPUTED_VALUE"""),1)</f>
        <v>1</v>
      </c>
      <c r="D3646" s="8">
        <f ca="1">IFERROR(__xludf.DUMMYFUNCTION("""COMPUTED_VALUE"""),1)</f>
        <v>1</v>
      </c>
      <c r="E3646" s="2">
        <f ca="1">IFERROR(__xludf.DUMMYFUNCTION("""COMPUTED_VALUE"""),1)</f>
        <v>1</v>
      </c>
    </row>
    <row r="3647" spans="1:5" ht="13">
      <c r="A3647" s="8" t="str">
        <f ca="1">IFERROR(__xludf.DUMMYFUNCTION("""COMPUTED_VALUE"""),"Helvey, Howard")</f>
        <v>Helvey, Howard</v>
      </c>
      <c r="B3647" s="3">
        <f ca="1">IFERROR(__xludf.DUMMYFUNCTION("""COMPUTED_VALUE"""),1)</f>
        <v>1</v>
      </c>
      <c r="C3647" s="7">
        <f ca="1">IFERROR(__xludf.DUMMYFUNCTION("""COMPUTED_VALUE"""),1)</f>
        <v>1</v>
      </c>
      <c r="D3647" s="8">
        <f ca="1">IFERROR(__xludf.DUMMYFUNCTION("""COMPUTED_VALUE"""),1)</f>
        <v>1</v>
      </c>
      <c r="E3647" s="2">
        <f ca="1">IFERROR(__xludf.DUMMYFUNCTION("""COMPUTED_VALUE"""),1)</f>
        <v>1</v>
      </c>
    </row>
    <row r="3648" spans="1:5" ht="13">
      <c r="A3648" s="8" t="str">
        <f ca="1">IFERROR(__xludf.DUMMYFUNCTION("""COMPUTED_VALUE"""),"Hely-Hutchinson, Victor")</f>
        <v>Hely-Hutchinson, Victor</v>
      </c>
      <c r="B3648" s="3">
        <f ca="1">IFERROR(__xludf.DUMMYFUNCTION("""COMPUTED_VALUE"""),1)</f>
        <v>1</v>
      </c>
      <c r="C3648" s="7">
        <f ca="1">IFERROR(__xludf.DUMMYFUNCTION("""COMPUTED_VALUE"""),1)</f>
        <v>1</v>
      </c>
      <c r="D3648" s="8">
        <f ca="1">IFERROR(__xludf.DUMMYFUNCTION("""COMPUTED_VALUE"""),5)</f>
        <v>5</v>
      </c>
      <c r="E3648" s="2">
        <f ca="1">IFERROR(__xludf.DUMMYFUNCTION("""COMPUTED_VALUE"""),2)</f>
        <v>2</v>
      </c>
    </row>
    <row r="3649" spans="1:5" ht="13">
      <c r="A3649" s="2" t="str">
        <f ca="1">IFERROR(__xludf.DUMMYFUNCTION("""COMPUTED_VALUE"""),"Hembree, Richard")</f>
        <v>Hembree, Richard</v>
      </c>
      <c r="B3649" s="3">
        <f ca="1">IFERROR(__xludf.DUMMYFUNCTION("""COMPUTED_VALUE"""),1)</f>
        <v>1</v>
      </c>
      <c r="C3649" s="7">
        <f ca="1">IFERROR(__xludf.DUMMYFUNCTION("""COMPUTED_VALUE"""),1)</f>
        <v>1</v>
      </c>
      <c r="D3649" s="8">
        <f ca="1">IFERROR(__xludf.DUMMYFUNCTION("""COMPUTED_VALUE"""),1)</f>
        <v>1</v>
      </c>
      <c r="E3649" s="2">
        <f ca="1">IFERROR(__xludf.DUMMYFUNCTION("""COMPUTED_VALUE"""),1)</f>
        <v>1</v>
      </c>
    </row>
    <row r="3650" spans="1:5" ht="13">
      <c r="A3650" s="2" t="str">
        <f ca="1">IFERROR(__xludf.DUMMYFUNCTION("""COMPUTED_VALUE"""),"Hemenger, Drew")</f>
        <v>Hemenger, Drew</v>
      </c>
      <c r="B3650" s="3">
        <f ca="1">IFERROR(__xludf.DUMMYFUNCTION("""COMPUTED_VALUE"""),1)</f>
        <v>1</v>
      </c>
      <c r="C3650" s="7">
        <f ca="1">IFERROR(__xludf.DUMMYFUNCTION("""COMPUTED_VALUE"""),1)</f>
        <v>1</v>
      </c>
      <c r="D3650" s="8">
        <f ca="1">IFERROR(__xludf.DUMMYFUNCTION("""COMPUTED_VALUE"""),1)</f>
        <v>1</v>
      </c>
      <c r="E3650" s="2">
        <f ca="1">IFERROR(__xludf.DUMMYFUNCTION("""COMPUTED_VALUE"""),1)</f>
        <v>1</v>
      </c>
    </row>
    <row r="3651" spans="1:5" ht="13">
      <c r="A3651" s="2" t="str">
        <f ca="1">IFERROR(__xludf.DUMMYFUNCTION("""COMPUTED_VALUE"""),"Hemsworth, Wade")</f>
        <v>Hemsworth, Wade</v>
      </c>
      <c r="B3651" s="3">
        <f ca="1">IFERROR(__xludf.DUMMYFUNCTION("""COMPUTED_VALUE"""),1)</f>
        <v>1</v>
      </c>
      <c r="C3651" s="7">
        <f ca="1">IFERROR(__xludf.DUMMYFUNCTION("""COMPUTED_VALUE"""),1)</f>
        <v>1</v>
      </c>
      <c r="D3651" s="8">
        <f ca="1">IFERROR(__xludf.DUMMYFUNCTION("""COMPUTED_VALUE"""),5)</f>
        <v>5</v>
      </c>
      <c r="E3651" s="2">
        <f ca="1">IFERROR(__xludf.DUMMYFUNCTION("""COMPUTED_VALUE"""),2)</f>
        <v>2</v>
      </c>
    </row>
    <row r="3652" spans="1:5" ht="13">
      <c r="A3652" s="2" t="str">
        <f ca="1">IFERROR(__xludf.DUMMYFUNCTION("""COMPUTED_VALUE"""),"Henderson, Ed")</f>
        <v>Henderson, Ed</v>
      </c>
      <c r="B3652" s="3">
        <f ca="1">IFERROR(__xludf.DUMMYFUNCTION("""COMPUTED_VALUE"""),1)</f>
        <v>1</v>
      </c>
      <c r="C3652" s="7">
        <f ca="1">IFERROR(__xludf.DUMMYFUNCTION("""COMPUTED_VALUE"""),1)</f>
        <v>1</v>
      </c>
      <c r="D3652" s="8">
        <f ca="1">IFERROR(__xludf.DUMMYFUNCTION("""COMPUTED_VALUE"""),1)</f>
        <v>1</v>
      </c>
      <c r="E3652" s="2">
        <f ca="1">IFERROR(__xludf.DUMMYFUNCTION("""COMPUTED_VALUE"""),1)</f>
        <v>1</v>
      </c>
    </row>
    <row r="3653" spans="1:5" ht="13">
      <c r="A3653" s="8" t="str">
        <f ca="1">IFERROR(__xludf.DUMMYFUNCTION("""COMPUTED_VALUE"""),"Henderson, Edward")</f>
        <v>Henderson, Edward</v>
      </c>
      <c r="B3653" s="3">
        <f ca="1">IFERROR(__xludf.DUMMYFUNCTION("""COMPUTED_VALUE"""),1)</f>
        <v>1</v>
      </c>
      <c r="C3653" s="7">
        <f ca="1">IFERROR(__xludf.DUMMYFUNCTION("""COMPUTED_VALUE"""),1)</f>
        <v>1</v>
      </c>
      <c r="D3653" s="8">
        <f ca="1">IFERROR(__xludf.DUMMYFUNCTION("""COMPUTED_VALUE"""),1)</f>
        <v>1</v>
      </c>
      <c r="E3653" s="2">
        <f ca="1">IFERROR(__xludf.DUMMYFUNCTION("""COMPUTED_VALUE"""),1)</f>
        <v>1</v>
      </c>
    </row>
    <row r="3654" spans="1:5" ht="13">
      <c r="A3654" s="2" t="str">
        <f ca="1">IFERROR(__xludf.DUMMYFUNCTION("""COMPUTED_VALUE"""),"Henderson, Gary")</f>
        <v>Henderson, Gary</v>
      </c>
      <c r="B3654" s="3">
        <f ca="1">IFERROR(__xludf.DUMMYFUNCTION("""COMPUTED_VALUE"""),1)</f>
        <v>1</v>
      </c>
      <c r="C3654" s="7">
        <f ca="1">IFERROR(__xludf.DUMMYFUNCTION("""COMPUTED_VALUE"""),1)</f>
        <v>1</v>
      </c>
      <c r="D3654" s="8">
        <f ca="1">IFERROR(__xludf.DUMMYFUNCTION("""COMPUTED_VALUE"""),1)</f>
        <v>1</v>
      </c>
      <c r="E3654" s="2">
        <f ca="1">IFERROR(__xludf.DUMMYFUNCTION("""COMPUTED_VALUE"""),1)</f>
        <v>1</v>
      </c>
    </row>
    <row r="3655" spans="1:5" ht="13">
      <c r="A3655" s="2" t="str">
        <f ca="1">IFERROR(__xludf.DUMMYFUNCTION("""COMPUTED_VALUE"""),"Henderson, Kenneth")</f>
        <v>Henderson, Kenneth</v>
      </c>
      <c r="B3655" s="2">
        <f ca="1">IFERROR(__xludf.DUMMYFUNCTION("""COMPUTED_VALUE"""),1)</f>
        <v>1</v>
      </c>
      <c r="C3655" s="7">
        <f ca="1">IFERROR(__xludf.DUMMYFUNCTION("""COMPUTED_VALUE"""),1)</f>
        <v>1</v>
      </c>
      <c r="D3655" s="8">
        <f ca="1">IFERROR(__xludf.DUMMYFUNCTION("""COMPUTED_VALUE"""),1)</f>
        <v>1</v>
      </c>
      <c r="E3655" s="2">
        <f ca="1">IFERROR(__xludf.DUMMYFUNCTION("""COMPUTED_VALUE"""),1)</f>
        <v>1</v>
      </c>
    </row>
    <row r="3656" spans="1:5" ht="13">
      <c r="A3656" s="2" t="str">
        <f ca="1">IFERROR(__xludf.DUMMYFUNCTION("""COMPUTED_VALUE"""),"Henderson, Mark")</f>
        <v>Henderson, Mark</v>
      </c>
      <c r="B3656" s="2">
        <f ca="1">IFERROR(__xludf.DUMMYFUNCTION("""COMPUTED_VALUE"""),1)</f>
        <v>1</v>
      </c>
      <c r="C3656" s="7">
        <f ca="1">IFERROR(__xludf.DUMMYFUNCTION("""COMPUTED_VALUE"""),1)</f>
        <v>1</v>
      </c>
      <c r="D3656" s="8">
        <f ca="1">IFERROR(__xludf.DUMMYFUNCTION("""COMPUTED_VALUE"""),5)</f>
        <v>5</v>
      </c>
      <c r="E3656" s="2">
        <f ca="1">IFERROR(__xludf.DUMMYFUNCTION("""COMPUTED_VALUE"""),2)</f>
        <v>2</v>
      </c>
    </row>
    <row r="3657" spans="1:5" ht="13">
      <c r="A3657" s="2" t="str">
        <f ca="1">IFERROR(__xludf.DUMMYFUNCTION("""COMPUTED_VALUE"""),"Henderson, Ray")</f>
        <v>Henderson, Ray</v>
      </c>
      <c r="B3657" s="2">
        <f ca="1">IFERROR(__xludf.DUMMYFUNCTION("""COMPUTED_VALUE"""),1)</f>
        <v>1</v>
      </c>
      <c r="C3657" s="7">
        <f ca="1">IFERROR(__xludf.DUMMYFUNCTION("""COMPUTED_VALUE"""),1)</f>
        <v>1</v>
      </c>
      <c r="D3657" s="8">
        <f ca="1">IFERROR(__xludf.DUMMYFUNCTION("""COMPUTED_VALUE"""),5)</f>
        <v>5</v>
      </c>
      <c r="E3657" s="2">
        <f ca="1">IFERROR(__xludf.DUMMYFUNCTION("""COMPUTED_VALUE"""),2)</f>
        <v>2</v>
      </c>
    </row>
    <row r="3658" spans="1:5" ht="13">
      <c r="A3658" s="2" t="str">
        <f ca="1">IFERROR(__xludf.DUMMYFUNCTION("""COMPUTED_VALUE"""),"Henderson, Ray / DeSylvia, Buddy / Brown, Lew")</f>
        <v>Henderson, Ray / DeSylvia, Buddy / Brown, Lew</v>
      </c>
      <c r="B3658" s="2">
        <f ca="1">IFERROR(__xludf.DUMMYFUNCTION("""COMPUTED_VALUE"""),1)</f>
        <v>1</v>
      </c>
      <c r="C3658" s="7">
        <f ca="1">IFERROR(__xludf.DUMMYFUNCTION("""COMPUTED_VALUE"""),1)</f>
        <v>1</v>
      </c>
      <c r="D3658" s="8">
        <f ca="1">IFERROR(__xludf.DUMMYFUNCTION("""COMPUTED_VALUE"""),5)</f>
        <v>5</v>
      </c>
      <c r="E3658" s="2">
        <f ca="1">IFERROR(__xludf.DUMMYFUNCTION("""COMPUTED_VALUE"""),2)</f>
        <v>2</v>
      </c>
    </row>
    <row r="3659" spans="1:5" ht="13">
      <c r="A3659" s="2" t="str">
        <f ca="1">IFERROR(__xludf.DUMMYFUNCTION("""COMPUTED_VALUE"""),"Henderson, Ray / Dixon, Mort")</f>
        <v>Henderson, Ray / Dixon, Mort</v>
      </c>
      <c r="B3659" s="3">
        <f ca="1">IFERROR(__xludf.DUMMYFUNCTION("""COMPUTED_VALUE"""),1)</f>
        <v>1</v>
      </c>
      <c r="C3659" s="7">
        <f ca="1">IFERROR(__xludf.DUMMYFUNCTION("""COMPUTED_VALUE"""),1)</f>
        <v>1</v>
      </c>
      <c r="D3659" s="8">
        <f ca="1">IFERROR(__xludf.DUMMYFUNCTION("""COMPUTED_VALUE"""),5)</f>
        <v>5</v>
      </c>
      <c r="E3659" s="2">
        <f ca="1">IFERROR(__xludf.DUMMYFUNCTION("""COMPUTED_VALUE"""),2)</f>
        <v>2</v>
      </c>
    </row>
    <row r="3660" spans="1:5" ht="13">
      <c r="A3660" s="2" t="str">
        <f ca="1">IFERROR(__xludf.DUMMYFUNCTION("""COMPUTED_VALUE"""),"Henderson, Ray / Lewis, Sam / Young, Joe")</f>
        <v>Henderson, Ray / Lewis, Sam / Young, Joe</v>
      </c>
      <c r="B3660" s="2">
        <f ca="1">IFERROR(__xludf.DUMMYFUNCTION("""COMPUTED_VALUE"""),1)</f>
        <v>1</v>
      </c>
      <c r="C3660" s="7">
        <f ca="1">IFERROR(__xludf.DUMMYFUNCTION("""COMPUTED_VALUE"""),1)</f>
        <v>1</v>
      </c>
      <c r="D3660" s="8">
        <f ca="1">IFERROR(__xludf.DUMMYFUNCTION("""COMPUTED_VALUE"""),5)</f>
        <v>5</v>
      </c>
      <c r="E3660" s="2">
        <f ca="1">IFERROR(__xludf.DUMMYFUNCTION("""COMPUTED_VALUE"""),2)</f>
        <v>2</v>
      </c>
    </row>
    <row r="3661" spans="1:5" ht="13">
      <c r="A3661" s="2" t="str">
        <f ca="1">IFERROR(__xludf.DUMMYFUNCTION("""COMPUTED_VALUE"""),"Henderson, Ray / Rose, Billy / Dixon, Mort")</f>
        <v>Henderson, Ray / Rose, Billy / Dixon, Mort</v>
      </c>
      <c r="B3661" s="2">
        <f ca="1">IFERROR(__xludf.DUMMYFUNCTION("""COMPUTED_VALUE"""),1)</f>
        <v>1</v>
      </c>
      <c r="C3661" s="7">
        <f ca="1">IFERROR(__xludf.DUMMYFUNCTION("""COMPUTED_VALUE"""),1)</f>
        <v>1</v>
      </c>
      <c r="D3661" s="8">
        <f ca="1">IFERROR(__xludf.DUMMYFUNCTION("""COMPUTED_VALUE"""),5)</f>
        <v>5</v>
      </c>
      <c r="E3661" s="2">
        <f ca="1">IFERROR(__xludf.DUMMYFUNCTION("""COMPUTED_VALUE"""),2)</f>
        <v>2</v>
      </c>
    </row>
    <row r="3662" spans="1:5" ht="13">
      <c r="A3662" s="2" t="str">
        <f ca="1">IFERROR(__xludf.DUMMYFUNCTION("""COMPUTED_VALUE"""),"Hendrickson, Paul")</f>
        <v>Hendrickson, Paul</v>
      </c>
      <c r="B3662" s="3">
        <f ca="1">IFERROR(__xludf.DUMMYFUNCTION("""COMPUTED_VALUE"""),1)</f>
        <v>1</v>
      </c>
      <c r="C3662" s="7">
        <f ca="1">IFERROR(__xludf.DUMMYFUNCTION("""COMPUTED_VALUE"""),1)</f>
        <v>1</v>
      </c>
      <c r="D3662" s="8">
        <f ca="1">IFERROR(__xludf.DUMMYFUNCTION("""COMPUTED_VALUE"""),1)</f>
        <v>1</v>
      </c>
      <c r="E3662" s="2">
        <f ca="1">IFERROR(__xludf.DUMMYFUNCTION("""COMPUTED_VALUE"""),1)</f>
        <v>1</v>
      </c>
    </row>
    <row r="3663" spans="1:5" ht="13">
      <c r="A3663" s="8" t="str">
        <f ca="1">IFERROR(__xludf.DUMMYFUNCTION("""COMPUTED_VALUE"""),"Hendrickson, Robert")</f>
        <v>Hendrickson, Robert</v>
      </c>
      <c r="B3663" s="3">
        <f ca="1">IFERROR(__xludf.DUMMYFUNCTION("""COMPUTED_VALUE"""),1)</f>
        <v>1</v>
      </c>
      <c r="C3663" s="7">
        <f ca="1">IFERROR(__xludf.DUMMYFUNCTION("""COMPUTED_VALUE"""),1)</f>
        <v>1</v>
      </c>
      <c r="D3663" s="8">
        <f ca="1">IFERROR(__xludf.DUMMYFUNCTION("""COMPUTED_VALUE"""),1)</f>
        <v>1</v>
      </c>
      <c r="E3663" s="2">
        <f ca="1">IFERROR(__xludf.DUMMYFUNCTION("""COMPUTED_VALUE"""),1)</f>
        <v>1</v>
      </c>
    </row>
    <row r="3664" spans="1:5" ht="13">
      <c r="A3664" s="2" t="str">
        <f ca="1">IFERROR(__xludf.DUMMYFUNCTION("""COMPUTED_VALUE"""),"Hendrie, Gerald")</f>
        <v>Hendrie, Gerald</v>
      </c>
      <c r="B3664" s="3">
        <f ca="1">IFERROR(__xludf.DUMMYFUNCTION("""COMPUTED_VALUE"""),1)</f>
        <v>1</v>
      </c>
      <c r="C3664" s="7">
        <f ca="1">IFERROR(__xludf.DUMMYFUNCTION("""COMPUTED_VALUE"""),1)</f>
        <v>1</v>
      </c>
      <c r="D3664" s="8">
        <f ca="1">IFERROR(__xludf.DUMMYFUNCTION("""COMPUTED_VALUE"""),1)</f>
        <v>1</v>
      </c>
      <c r="E3664" s="2">
        <f ca="1">IFERROR(__xludf.DUMMYFUNCTION("""COMPUTED_VALUE"""),1)</f>
        <v>1</v>
      </c>
    </row>
    <row r="3665" spans="1:5" ht="13">
      <c r="A3665" s="2" t="str">
        <f ca="1">IFERROR(__xludf.DUMMYFUNCTION("""COMPUTED_VALUE"""),"Hennagin, Michael")</f>
        <v>Hennagin, Michael</v>
      </c>
      <c r="B3665" s="3">
        <f ca="1">IFERROR(__xludf.DUMMYFUNCTION("""COMPUTED_VALUE"""),1)</f>
        <v>1</v>
      </c>
      <c r="C3665" s="7">
        <f ca="1">IFERROR(__xludf.DUMMYFUNCTION("""COMPUTED_VALUE"""),1)</f>
        <v>1</v>
      </c>
      <c r="D3665" s="8">
        <f ca="1">IFERROR(__xludf.DUMMYFUNCTION("""COMPUTED_VALUE"""),5)</f>
        <v>5</v>
      </c>
      <c r="E3665" s="2">
        <f ca="1">IFERROR(__xludf.DUMMYFUNCTION("""COMPUTED_VALUE"""),2)</f>
        <v>2</v>
      </c>
    </row>
    <row r="3666" spans="1:5" ht="13">
      <c r="A3666" s="2" t="str">
        <f ca="1">IFERROR(__xludf.DUMMYFUNCTION("""COMPUTED_VALUE"""),"Hennecken, John")</f>
        <v>Hennecken, John</v>
      </c>
      <c r="B3666" s="3">
        <f ca="1">IFERROR(__xludf.DUMMYFUNCTION("""COMPUTED_VALUE"""),1)</f>
        <v>1</v>
      </c>
      <c r="C3666" s="7">
        <f ca="1">IFERROR(__xludf.DUMMYFUNCTION("""COMPUTED_VALUE"""),1)</f>
        <v>1</v>
      </c>
      <c r="D3666" s="8">
        <f ca="1">IFERROR(__xludf.DUMMYFUNCTION("""COMPUTED_VALUE"""),1)</f>
        <v>1</v>
      </c>
      <c r="E3666" s="2">
        <f ca="1">IFERROR(__xludf.DUMMYFUNCTION("""COMPUTED_VALUE"""),1)</f>
        <v>1</v>
      </c>
    </row>
    <row r="3667" spans="1:5" ht="13">
      <c r="A3667" s="2" t="str">
        <f ca="1">IFERROR(__xludf.DUMMYFUNCTION("""COMPUTED_VALUE"""),"Henning, Paul")</f>
        <v>Henning, Paul</v>
      </c>
      <c r="B3667" s="3">
        <f ca="1">IFERROR(__xludf.DUMMYFUNCTION("""COMPUTED_VALUE"""),1)</f>
        <v>1</v>
      </c>
      <c r="C3667" s="7">
        <f ca="1">IFERROR(__xludf.DUMMYFUNCTION("""COMPUTED_VALUE"""),1)</f>
        <v>1</v>
      </c>
      <c r="D3667" s="8">
        <f ca="1">IFERROR(__xludf.DUMMYFUNCTION("""COMPUTED_VALUE"""),1)</f>
        <v>1</v>
      </c>
      <c r="E3667" s="2">
        <f ca="1">IFERROR(__xludf.DUMMYFUNCTION("""COMPUTED_VALUE"""),1)</f>
        <v>1</v>
      </c>
    </row>
    <row r="3668" spans="1:5" ht="13">
      <c r="A3668" s="2" t="str">
        <f ca="1">IFERROR(__xludf.DUMMYFUNCTION("""COMPUTED_VALUE"""),"Henry V")</f>
        <v>Henry V</v>
      </c>
      <c r="B3668" s="3">
        <f ca="1">IFERROR(__xludf.DUMMYFUNCTION("""COMPUTED_VALUE"""),1)</f>
        <v>1</v>
      </c>
      <c r="C3668" s="7">
        <f ca="1">IFERROR(__xludf.DUMMYFUNCTION("""COMPUTED_VALUE"""),1)</f>
        <v>1</v>
      </c>
      <c r="D3668" s="8">
        <f ca="1">IFERROR(__xludf.DUMMYFUNCTION("""COMPUTED_VALUE"""),5)</f>
        <v>5</v>
      </c>
      <c r="E3668" s="2">
        <f ca="1">IFERROR(__xludf.DUMMYFUNCTION("""COMPUTED_VALUE"""),2)</f>
        <v>2</v>
      </c>
    </row>
    <row r="3669" spans="1:5" ht="13">
      <c r="A3669" s="2" t="str">
        <f ca="1">IFERROR(__xludf.DUMMYFUNCTION("""COMPUTED_VALUE"""),"Henry VIII")</f>
        <v>Henry VIII</v>
      </c>
      <c r="B3669" s="3">
        <f ca="1">IFERROR(__xludf.DUMMYFUNCTION("""COMPUTED_VALUE"""),1)</f>
        <v>1</v>
      </c>
      <c r="C3669" s="7">
        <f ca="1">IFERROR(__xludf.DUMMYFUNCTION("""COMPUTED_VALUE"""),1)</f>
        <v>1</v>
      </c>
      <c r="D3669" s="8">
        <f ca="1">IFERROR(__xludf.DUMMYFUNCTION("""COMPUTED_VALUE"""),5)</f>
        <v>5</v>
      </c>
      <c r="E3669" s="2">
        <f ca="1">IFERROR(__xludf.DUMMYFUNCTION("""COMPUTED_VALUE"""),2)</f>
        <v>2</v>
      </c>
    </row>
    <row r="3670" spans="1:5" ht="13">
      <c r="A3670" s="2" t="str">
        <f ca="1">IFERROR(__xludf.DUMMYFUNCTION("""COMPUTED_VALUE"""),"Henry, David Paul")</f>
        <v>Henry, David Paul</v>
      </c>
      <c r="B3670" s="3">
        <f ca="1">IFERROR(__xludf.DUMMYFUNCTION("""COMPUTED_VALUE"""),1)</f>
        <v>1</v>
      </c>
      <c r="C3670" s="7">
        <f ca="1">IFERROR(__xludf.DUMMYFUNCTION("""COMPUTED_VALUE"""),1)</f>
        <v>1</v>
      </c>
      <c r="D3670" s="8">
        <f ca="1">IFERROR(__xludf.DUMMYFUNCTION("""COMPUTED_VALUE"""),1)</f>
        <v>1</v>
      </c>
      <c r="E3670" s="2">
        <f ca="1">IFERROR(__xludf.DUMMYFUNCTION("""COMPUTED_VALUE"""),1)</f>
        <v>1</v>
      </c>
    </row>
    <row r="3671" spans="1:5" ht="13">
      <c r="A3671" s="2" t="str">
        <f ca="1">IFERROR(__xludf.DUMMYFUNCTION("""COMPUTED_VALUE"""),"Henry, Michael")</f>
        <v>Henry, Michael</v>
      </c>
      <c r="B3671" s="3">
        <f ca="1">IFERROR(__xludf.DUMMYFUNCTION("""COMPUTED_VALUE"""),1)</f>
        <v>1</v>
      </c>
      <c r="C3671" s="7">
        <f ca="1">IFERROR(__xludf.DUMMYFUNCTION("""COMPUTED_VALUE"""),1)</f>
        <v>1</v>
      </c>
      <c r="D3671" s="8">
        <f ca="1">IFERROR(__xludf.DUMMYFUNCTION("""COMPUTED_VALUE"""),1)</f>
        <v>1</v>
      </c>
      <c r="E3671" s="2">
        <f ca="1">IFERROR(__xludf.DUMMYFUNCTION("""COMPUTED_VALUE"""),1)</f>
        <v>1</v>
      </c>
    </row>
    <row r="3672" spans="1:5" ht="13">
      <c r="A3672" s="2" t="str">
        <f ca="1">IFERROR(__xludf.DUMMYFUNCTION("""COMPUTED_VALUE"""),"Henry, Sam")</f>
        <v>Henry, Sam</v>
      </c>
      <c r="B3672" s="3">
        <f ca="1">IFERROR(__xludf.DUMMYFUNCTION("""COMPUTED_VALUE"""),1)</f>
        <v>1</v>
      </c>
      <c r="C3672" s="7">
        <f ca="1">IFERROR(__xludf.DUMMYFUNCTION("""COMPUTED_VALUE"""),1)</f>
        <v>1</v>
      </c>
      <c r="D3672" s="8">
        <f ca="1">IFERROR(__xludf.DUMMYFUNCTION("""COMPUTED_VALUE"""),5)</f>
        <v>5</v>
      </c>
      <c r="E3672" s="2">
        <f ca="1">IFERROR(__xludf.DUMMYFUNCTION("""COMPUTED_VALUE"""),2)</f>
        <v>2</v>
      </c>
    </row>
    <row r="3673" spans="1:5" ht="13">
      <c r="A3673" s="2" t="str">
        <f ca="1">IFERROR(__xludf.DUMMYFUNCTION("""COMPUTED_VALUE"""),"Henselt, Adolph von")</f>
        <v>Henselt, Adolph von</v>
      </c>
      <c r="B3673" s="3">
        <f ca="1">IFERROR(__xludf.DUMMYFUNCTION("""COMPUTED_VALUE"""),1)</f>
        <v>1</v>
      </c>
      <c r="C3673" s="7">
        <f ca="1">IFERROR(__xludf.DUMMYFUNCTION("""COMPUTED_VALUE"""),1)</f>
        <v>1</v>
      </c>
      <c r="D3673" s="8">
        <f ca="1">IFERROR(__xludf.DUMMYFUNCTION("""COMPUTED_VALUE"""),5)</f>
        <v>5</v>
      </c>
      <c r="E3673" s="2">
        <f ca="1">IFERROR(__xludf.DUMMYFUNCTION("""COMPUTED_VALUE"""),2)</f>
        <v>2</v>
      </c>
    </row>
    <row r="3674" spans="1:5" ht="13">
      <c r="A3674" s="2" t="str">
        <f ca="1">IFERROR(__xludf.DUMMYFUNCTION("""COMPUTED_VALUE"""),"Hensher, Raymond")</f>
        <v>Hensher, Raymond</v>
      </c>
      <c r="B3674" s="3">
        <f ca="1">IFERROR(__xludf.DUMMYFUNCTION("""COMPUTED_VALUE"""),1)</f>
        <v>1</v>
      </c>
      <c r="C3674" s="7">
        <f ca="1">IFERROR(__xludf.DUMMYFUNCTION("""COMPUTED_VALUE"""),1)</f>
        <v>1</v>
      </c>
      <c r="D3674" s="8">
        <f ca="1">IFERROR(__xludf.DUMMYFUNCTION("""COMPUTED_VALUE"""),1)</f>
        <v>1</v>
      </c>
      <c r="E3674" s="2">
        <f ca="1">IFERROR(__xludf.DUMMYFUNCTION("""COMPUTED_VALUE"""),1)</f>
        <v>1</v>
      </c>
    </row>
    <row r="3675" spans="1:5" ht="13">
      <c r="A3675" s="2" t="str">
        <f ca="1">IFERROR(__xludf.DUMMYFUNCTION("""COMPUTED_VALUE"""),"Henson, Blake")</f>
        <v>Henson, Blake</v>
      </c>
      <c r="B3675" s="3">
        <f ca="1">IFERROR(__xludf.DUMMYFUNCTION("""COMPUTED_VALUE"""),1)</f>
        <v>1</v>
      </c>
      <c r="C3675" s="7">
        <f ca="1">IFERROR(__xludf.DUMMYFUNCTION("""COMPUTED_VALUE"""),1)</f>
        <v>1</v>
      </c>
      <c r="D3675" s="8">
        <f ca="1">IFERROR(__xludf.DUMMYFUNCTION("""COMPUTED_VALUE"""),1)</f>
        <v>1</v>
      </c>
      <c r="E3675" s="2">
        <f ca="1">IFERROR(__xludf.DUMMYFUNCTION("""COMPUTED_VALUE"""),1)</f>
        <v>1</v>
      </c>
    </row>
    <row r="3676" spans="1:5" ht="13">
      <c r="A3676" s="2" t="str">
        <f ca="1">IFERROR(__xludf.DUMMYFUNCTION("""COMPUTED_VALUE"""),"Henze, Hans Werner")</f>
        <v>Henze, Hans Werner</v>
      </c>
      <c r="B3676" s="3">
        <f ca="1">IFERROR(__xludf.DUMMYFUNCTION("""COMPUTED_VALUE"""),1)</f>
        <v>1</v>
      </c>
      <c r="C3676" s="7">
        <f ca="1">IFERROR(__xludf.DUMMYFUNCTION("""COMPUTED_VALUE"""),1)</f>
        <v>1</v>
      </c>
      <c r="D3676" s="8">
        <f ca="1">IFERROR(__xludf.DUMMYFUNCTION("""COMPUTED_VALUE"""),1)</f>
        <v>1</v>
      </c>
      <c r="E3676" s="2">
        <f ca="1">IFERROR(__xludf.DUMMYFUNCTION("""COMPUTED_VALUE"""),1)</f>
        <v>1</v>
      </c>
    </row>
    <row r="3677" spans="1:5" ht="13">
      <c r="A3677" s="2" t="str">
        <f ca="1">IFERROR(__xludf.DUMMYFUNCTION("""COMPUTED_VALUE"""),"Herberman, John")</f>
        <v>Herberman, John</v>
      </c>
      <c r="B3677" s="3">
        <f ca="1">IFERROR(__xludf.DUMMYFUNCTION("""COMPUTED_VALUE"""),1)</f>
        <v>1</v>
      </c>
      <c r="C3677" s="7">
        <f ca="1">IFERROR(__xludf.DUMMYFUNCTION("""COMPUTED_VALUE"""),1)</f>
        <v>1</v>
      </c>
      <c r="D3677" s="8">
        <f ca="1">IFERROR(__xludf.DUMMYFUNCTION("""COMPUTED_VALUE"""),1)</f>
        <v>1</v>
      </c>
      <c r="E3677" s="2">
        <f ca="1">IFERROR(__xludf.DUMMYFUNCTION("""COMPUTED_VALUE"""),1)</f>
        <v>1</v>
      </c>
    </row>
    <row r="3678" spans="1:5" ht="13">
      <c r="A3678" s="2" t="str">
        <f ca="1">IFERROR(__xludf.DUMMYFUNCTION("""COMPUTED_VALUE"""),"Herbert, Nigel")</f>
        <v>Herbert, Nigel</v>
      </c>
      <c r="B3678" s="2">
        <f ca="1">IFERROR(__xludf.DUMMYFUNCTION("""COMPUTED_VALUE"""),1)</f>
        <v>1</v>
      </c>
      <c r="C3678" s="7">
        <f ca="1">IFERROR(__xludf.DUMMYFUNCTION("""COMPUTED_VALUE"""),1)</f>
        <v>1</v>
      </c>
      <c r="D3678" s="8">
        <f ca="1">IFERROR(__xludf.DUMMYFUNCTION("""COMPUTED_VALUE"""),1)</f>
        <v>1</v>
      </c>
      <c r="E3678" s="2">
        <f ca="1">IFERROR(__xludf.DUMMYFUNCTION("""COMPUTED_VALUE"""),1)</f>
        <v>1</v>
      </c>
    </row>
    <row r="3679" spans="1:5" ht="13">
      <c r="A3679" s="2" t="str">
        <f ca="1">IFERROR(__xludf.DUMMYFUNCTION("""COMPUTED_VALUE"""),"Herbert, Victor")</f>
        <v>Herbert, Victor</v>
      </c>
      <c r="B3679" s="3">
        <f ca="1">IFERROR(__xludf.DUMMYFUNCTION("""COMPUTED_VALUE"""),1)</f>
        <v>1</v>
      </c>
      <c r="C3679" s="7">
        <f ca="1">IFERROR(__xludf.DUMMYFUNCTION("""COMPUTED_VALUE"""),1)</f>
        <v>1</v>
      </c>
      <c r="D3679" s="8">
        <f ca="1">IFERROR(__xludf.DUMMYFUNCTION("""COMPUTED_VALUE"""),5)</f>
        <v>5</v>
      </c>
      <c r="E3679" s="2">
        <f ca="1">IFERROR(__xludf.DUMMYFUNCTION("""COMPUTED_VALUE"""),2)</f>
        <v>2</v>
      </c>
    </row>
    <row r="3680" spans="1:5" ht="13">
      <c r="A3680" s="2" t="str">
        <f ca="1">IFERROR(__xludf.DUMMYFUNCTION("""COMPUTED_VALUE"""),"Herbert, William")</f>
        <v>Herbert, William</v>
      </c>
      <c r="B3680" s="2">
        <f ca="1">IFERROR(__xludf.DUMMYFUNCTION("""COMPUTED_VALUE"""),1)</f>
        <v>1</v>
      </c>
      <c r="C3680" s="2">
        <f ca="1">IFERROR(__xludf.DUMMYFUNCTION("""COMPUTED_VALUE"""),1)</f>
        <v>1</v>
      </c>
      <c r="D3680" s="8">
        <f ca="1">IFERROR(__xludf.DUMMYFUNCTION("""COMPUTED_VALUE"""),5)</f>
        <v>5</v>
      </c>
      <c r="E3680" s="2">
        <f ca="1">IFERROR(__xludf.DUMMYFUNCTION("""COMPUTED_VALUE"""),2)</f>
        <v>2</v>
      </c>
    </row>
    <row r="3681" spans="1:5" ht="13">
      <c r="A3681" s="8" t="str">
        <f ca="1">IFERROR(__xludf.DUMMYFUNCTION("""COMPUTED_VALUE"""),"Herbst, Johann")</f>
        <v>Herbst, Johann</v>
      </c>
      <c r="B3681" s="3">
        <f ca="1">IFERROR(__xludf.DUMMYFUNCTION("""COMPUTED_VALUE"""),1)</f>
        <v>1</v>
      </c>
      <c r="C3681" s="7">
        <f ca="1">IFERROR(__xludf.DUMMYFUNCTION("""COMPUTED_VALUE"""),1)</f>
        <v>1</v>
      </c>
      <c r="D3681" s="8">
        <f ca="1">IFERROR(__xludf.DUMMYFUNCTION("""COMPUTED_VALUE"""),5)</f>
        <v>5</v>
      </c>
      <c r="E3681" s="2">
        <f ca="1">IFERROR(__xludf.DUMMYFUNCTION("""COMPUTED_VALUE"""),2)</f>
        <v>2</v>
      </c>
    </row>
    <row r="3682" spans="1:5" ht="13">
      <c r="A3682" s="2" t="str">
        <f ca="1">IFERROR(__xludf.DUMMYFUNCTION("""COMPUTED_VALUE"""),"Herder, Ronald")</f>
        <v>Herder, Ronald</v>
      </c>
      <c r="B3682" s="2">
        <f ca="1">IFERROR(__xludf.DUMMYFUNCTION("""COMPUTED_VALUE"""),1)</f>
        <v>1</v>
      </c>
      <c r="C3682" s="2">
        <f ca="1">IFERROR(__xludf.DUMMYFUNCTION("""COMPUTED_VALUE"""),1)</f>
        <v>1</v>
      </c>
      <c r="D3682" s="8">
        <f ca="1">IFERROR(__xludf.DUMMYFUNCTION("""COMPUTED_VALUE"""),5)</f>
        <v>5</v>
      </c>
      <c r="E3682" s="2">
        <f ca="1">IFERROR(__xludf.DUMMYFUNCTION("""COMPUTED_VALUE"""),2)</f>
        <v>2</v>
      </c>
    </row>
    <row r="3683" spans="1:5" ht="13">
      <c r="A3683" s="2" t="str">
        <f ca="1">IFERROR(__xludf.DUMMYFUNCTION("""COMPUTED_VALUE"""),"Herfurth, Clarence")</f>
        <v>Herfurth, Clarence</v>
      </c>
      <c r="B3683" s="3">
        <f ca="1">IFERROR(__xludf.DUMMYFUNCTION("""COMPUTED_VALUE"""),1)</f>
        <v>1</v>
      </c>
      <c r="C3683" s="7">
        <f ca="1">IFERROR(__xludf.DUMMYFUNCTION("""COMPUTED_VALUE"""),1)</f>
        <v>1</v>
      </c>
      <c r="D3683" s="8">
        <f ca="1">IFERROR(__xludf.DUMMYFUNCTION("""COMPUTED_VALUE"""),5)</f>
        <v>5</v>
      </c>
      <c r="E3683" s="2">
        <f ca="1">IFERROR(__xludf.DUMMYFUNCTION("""COMPUTED_VALUE"""),2)</f>
        <v>2</v>
      </c>
    </row>
    <row r="3684" spans="1:5" ht="13">
      <c r="A3684" s="2" t="str">
        <f ca="1">IFERROR(__xludf.DUMMYFUNCTION("""COMPUTED_VALUE"""),"Herman, Jerry")</f>
        <v>Herman, Jerry</v>
      </c>
      <c r="B3684" s="3">
        <f ca="1">IFERROR(__xludf.DUMMYFUNCTION("""COMPUTED_VALUE"""),1)</f>
        <v>1</v>
      </c>
      <c r="C3684" s="7">
        <f ca="1">IFERROR(__xludf.DUMMYFUNCTION("""COMPUTED_VALUE"""),1)</f>
        <v>1</v>
      </c>
      <c r="D3684" s="8">
        <f ca="1">IFERROR(__xludf.DUMMYFUNCTION("""COMPUTED_VALUE"""),5)</f>
        <v>5</v>
      </c>
      <c r="E3684" s="2">
        <f ca="1">IFERROR(__xludf.DUMMYFUNCTION("""COMPUTED_VALUE"""),2)</f>
        <v>2</v>
      </c>
    </row>
    <row r="3685" spans="1:5" ht="13">
      <c r="A3685" s="2" t="str">
        <f ca="1">IFERROR(__xludf.DUMMYFUNCTION("""COMPUTED_VALUE"""),"Herman, Ralph")</f>
        <v>Herman, Ralph</v>
      </c>
      <c r="B3685" s="2">
        <f ca="1">IFERROR(__xludf.DUMMYFUNCTION("""COMPUTED_VALUE"""),1)</f>
        <v>1</v>
      </c>
      <c r="C3685" s="7">
        <f ca="1">IFERROR(__xludf.DUMMYFUNCTION("""COMPUTED_VALUE"""),1)</f>
        <v>1</v>
      </c>
      <c r="D3685" s="8">
        <f ca="1">IFERROR(__xludf.DUMMYFUNCTION("""COMPUTED_VALUE"""),5)</f>
        <v>5</v>
      </c>
      <c r="E3685" s="2">
        <f ca="1">IFERROR(__xludf.DUMMYFUNCTION("""COMPUTED_VALUE"""),2)</f>
        <v>2</v>
      </c>
    </row>
    <row r="3686" spans="1:5" ht="13">
      <c r="A3686" s="2" t="str">
        <f ca="1">IFERROR(__xludf.DUMMYFUNCTION("""COMPUTED_VALUE"""),"Hermann, Bernard")</f>
        <v>Hermann, Bernard</v>
      </c>
      <c r="B3686" s="2">
        <f ca="1">IFERROR(__xludf.DUMMYFUNCTION("""COMPUTED_VALUE"""),1)</f>
        <v>1</v>
      </c>
      <c r="C3686" s="7">
        <f ca="1">IFERROR(__xludf.DUMMYFUNCTION("""COMPUTED_VALUE"""),1)</f>
        <v>1</v>
      </c>
      <c r="D3686" s="8">
        <f ca="1">IFERROR(__xludf.DUMMYFUNCTION("""COMPUTED_VALUE"""),5)</f>
        <v>5</v>
      </c>
      <c r="E3686" s="2">
        <f ca="1">IFERROR(__xludf.DUMMYFUNCTION("""COMPUTED_VALUE"""),2)</f>
        <v>2</v>
      </c>
    </row>
    <row r="3687" spans="1:5" ht="13">
      <c r="A3687" s="2" t="str">
        <f ca="1">IFERROR(__xludf.DUMMYFUNCTION("""COMPUTED_VALUE"""),"Hermann, Bernard / Palmer")</f>
        <v>Hermann, Bernard / Palmer</v>
      </c>
      <c r="B3687" s="3">
        <f ca="1">IFERROR(__xludf.DUMMYFUNCTION("""COMPUTED_VALUE"""),1)</f>
        <v>1</v>
      </c>
      <c r="C3687" s="7">
        <f ca="1">IFERROR(__xludf.DUMMYFUNCTION("""COMPUTED_VALUE"""),1)</f>
        <v>1</v>
      </c>
      <c r="D3687" s="8">
        <f ca="1">IFERROR(__xludf.DUMMYFUNCTION("""COMPUTED_VALUE"""),5)</f>
        <v>5</v>
      </c>
      <c r="E3687" s="2">
        <f ca="1">IFERROR(__xludf.DUMMYFUNCTION("""COMPUTED_VALUE"""),2)</f>
        <v>2</v>
      </c>
    </row>
    <row r="3688" spans="1:5" ht="13">
      <c r="A3688" s="2" t="str">
        <f ca="1">IFERROR(__xludf.DUMMYFUNCTION("""COMPUTED_VALUE"""),"Hermann, Ralph")</f>
        <v>Hermann, Ralph</v>
      </c>
      <c r="B3688" s="3">
        <f ca="1">IFERROR(__xludf.DUMMYFUNCTION("""COMPUTED_VALUE"""),1)</f>
        <v>1</v>
      </c>
      <c r="C3688" s="7">
        <f ca="1">IFERROR(__xludf.DUMMYFUNCTION("""COMPUTED_VALUE"""),1)</f>
        <v>1</v>
      </c>
      <c r="D3688" s="8">
        <f ca="1">IFERROR(__xludf.DUMMYFUNCTION("""COMPUTED_VALUE"""),5)</f>
        <v>5</v>
      </c>
      <c r="E3688" s="2">
        <f ca="1">IFERROR(__xludf.DUMMYFUNCTION("""COMPUTED_VALUE"""),2)</f>
        <v>2</v>
      </c>
    </row>
    <row r="3689" spans="1:5" ht="13">
      <c r="A3689" s="2" t="str">
        <f ca="1">IFERROR(__xludf.DUMMYFUNCTION("""COMPUTED_VALUE"""),"Herndon, John")</f>
        <v>Herndon, John</v>
      </c>
      <c r="B3689" s="3">
        <f ca="1">IFERROR(__xludf.DUMMYFUNCTION("""COMPUTED_VALUE"""),1)</f>
        <v>1</v>
      </c>
      <c r="C3689" s="7">
        <f ca="1">IFERROR(__xludf.DUMMYFUNCTION("""COMPUTED_VALUE"""),1)</f>
        <v>1</v>
      </c>
      <c r="D3689" s="8">
        <f ca="1">IFERROR(__xludf.DUMMYFUNCTION("""COMPUTED_VALUE"""),1)</f>
        <v>1</v>
      </c>
      <c r="E3689" s="2">
        <f ca="1">IFERROR(__xludf.DUMMYFUNCTION("""COMPUTED_VALUE"""),1)</f>
        <v>1</v>
      </c>
    </row>
    <row r="3690" spans="1:5" ht="13">
      <c r="A3690" s="2" t="str">
        <f ca="1">IFERROR(__xludf.DUMMYFUNCTION("""COMPUTED_VALUE"""),"Hérold, Ferdinand")</f>
        <v>Hérold, Ferdinand</v>
      </c>
      <c r="B3690" s="3">
        <f ca="1">IFERROR(__xludf.DUMMYFUNCTION("""COMPUTED_VALUE"""),1)</f>
        <v>1</v>
      </c>
      <c r="C3690" s="7">
        <f ca="1">IFERROR(__xludf.DUMMYFUNCTION("""COMPUTED_VALUE"""),1)</f>
        <v>1</v>
      </c>
      <c r="D3690" s="8">
        <f ca="1">IFERROR(__xludf.DUMMYFUNCTION("""COMPUTED_VALUE"""),5)</f>
        <v>5</v>
      </c>
      <c r="E3690" s="2">
        <f ca="1">IFERROR(__xludf.DUMMYFUNCTION("""COMPUTED_VALUE"""),2)</f>
        <v>2</v>
      </c>
    </row>
    <row r="3691" spans="1:5" ht="13">
      <c r="A3691" s="8" t="str">
        <f ca="1">IFERROR(__xludf.DUMMYFUNCTION("""COMPUTED_VALUE"""),"Herring, David")</f>
        <v>Herring, David</v>
      </c>
      <c r="B3691" s="3">
        <f ca="1">IFERROR(__xludf.DUMMYFUNCTION("""COMPUTED_VALUE"""),1)</f>
        <v>1</v>
      </c>
      <c r="C3691" s="7">
        <f ca="1">IFERROR(__xludf.DUMMYFUNCTION("""COMPUTED_VALUE"""),1)</f>
        <v>1</v>
      </c>
      <c r="D3691" s="8">
        <f ca="1">IFERROR(__xludf.DUMMYFUNCTION("""COMPUTED_VALUE"""),1)</f>
        <v>1</v>
      </c>
      <c r="E3691" s="2">
        <f ca="1">IFERROR(__xludf.DUMMYFUNCTION("""COMPUTED_VALUE"""),1)</f>
        <v>1</v>
      </c>
    </row>
    <row r="3692" spans="1:5" ht="13">
      <c r="A3692" s="2" t="str">
        <f ca="1">IFERROR(__xludf.DUMMYFUNCTION("""COMPUTED_VALUE"""),"Herrmann, Bernard")</f>
        <v>Herrmann, Bernard</v>
      </c>
      <c r="B3692" s="3">
        <f ca="1">IFERROR(__xludf.DUMMYFUNCTION("""COMPUTED_VALUE"""),1)</f>
        <v>1</v>
      </c>
      <c r="C3692" s="7">
        <f ca="1">IFERROR(__xludf.DUMMYFUNCTION("""COMPUTED_VALUE"""),1)</f>
        <v>1</v>
      </c>
      <c r="D3692" s="8">
        <f ca="1">IFERROR(__xludf.DUMMYFUNCTION("""COMPUTED_VALUE"""),5)</f>
        <v>5</v>
      </c>
      <c r="E3692" s="2">
        <f ca="1">IFERROR(__xludf.DUMMYFUNCTION("""COMPUTED_VALUE"""),2)</f>
        <v>2</v>
      </c>
    </row>
    <row r="3693" spans="1:5" ht="13">
      <c r="A3693" s="2" t="str">
        <f ca="1">IFERROR(__xludf.DUMMYFUNCTION("""COMPUTED_VALUE"""),"Herrmann, Jacob")</f>
        <v>Herrmann, Jacob</v>
      </c>
      <c r="B3693" s="3">
        <f ca="1">IFERROR(__xludf.DUMMYFUNCTION("""COMPUTED_VALUE"""),1)</f>
        <v>1</v>
      </c>
      <c r="C3693" s="7">
        <f ca="1">IFERROR(__xludf.DUMMYFUNCTION("""COMPUTED_VALUE"""),1)</f>
        <v>1</v>
      </c>
      <c r="D3693" s="8">
        <f ca="1">IFERROR(__xludf.DUMMYFUNCTION("""COMPUTED_VALUE"""),1)</f>
        <v>1</v>
      </c>
      <c r="E3693" s="2">
        <f ca="1">IFERROR(__xludf.DUMMYFUNCTION("""COMPUTED_VALUE"""),1)</f>
        <v>1</v>
      </c>
    </row>
    <row r="3694" spans="1:5" ht="13">
      <c r="A3694" s="2" t="str">
        <f ca="1">IFERROR(__xludf.DUMMYFUNCTION("""COMPUTED_VALUE"""),"Herrmann, Ralph")</f>
        <v>Herrmann, Ralph</v>
      </c>
      <c r="B3694" s="3">
        <f ca="1">IFERROR(__xludf.DUMMYFUNCTION("""COMPUTED_VALUE"""),1)</f>
        <v>1</v>
      </c>
      <c r="C3694" s="7">
        <f ca="1">IFERROR(__xludf.DUMMYFUNCTION("""COMPUTED_VALUE"""),1)</f>
        <v>1</v>
      </c>
      <c r="D3694" s="8">
        <f ca="1">IFERROR(__xludf.DUMMYFUNCTION("""COMPUTED_VALUE"""),5)</f>
        <v>5</v>
      </c>
      <c r="E3694" s="2">
        <f ca="1">IFERROR(__xludf.DUMMYFUNCTION("""COMPUTED_VALUE"""),2)</f>
        <v>2</v>
      </c>
    </row>
    <row r="3695" spans="1:5" ht="13">
      <c r="A3695" s="2" t="str">
        <f ca="1">IFERROR(__xludf.DUMMYFUNCTION("""COMPUTED_VALUE"""),"Herrmann, William")</f>
        <v>Herrmann, William</v>
      </c>
      <c r="B3695" s="2">
        <f ca="1">IFERROR(__xludf.DUMMYFUNCTION("""COMPUTED_VALUE"""),1)</f>
        <v>1</v>
      </c>
      <c r="C3695" s="2">
        <f ca="1">IFERROR(__xludf.DUMMYFUNCTION("""COMPUTED_VALUE"""),1)</f>
        <v>1</v>
      </c>
      <c r="D3695" s="8">
        <f ca="1">IFERROR(__xludf.DUMMYFUNCTION("""COMPUTED_VALUE"""),5)</f>
        <v>5</v>
      </c>
      <c r="E3695" s="2">
        <f ca="1">IFERROR(__xludf.DUMMYFUNCTION("""COMPUTED_VALUE"""),2)</f>
        <v>2</v>
      </c>
    </row>
    <row r="3696" spans="1:5" ht="13">
      <c r="A3696" s="2" t="str">
        <f ca="1">IFERROR(__xludf.DUMMYFUNCTION("""COMPUTED_VALUE"""),"Hersch, Fred / Winstone, Norma")</f>
        <v>Hersch, Fred / Winstone, Norma</v>
      </c>
      <c r="B3696" s="2">
        <f ca="1">IFERROR(__xludf.DUMMYFUNCTION("""COMPUTED_VALUE"""),1)</f>
        <v>1</v>
      </c>
      <c r="C3696" s="7">
        <f ca="1">IFERROR(__xludf.DUMMYFUNCTION("""COMPUTED_VALUE"""),1)</f>
        <v>1</v>
      </c>
      <c r="D3696" s="8">
        <f ca="1">IFERROR(__xludf.DUMMYFUNCTION("""COMPUTED_VALUE"""),1)</f>
        <v>1</v>
      </c>
      <c r="E3696" s="2">
        <f ca="1">IFERROR(__xludf.DUMMYFUNCTION("""COMPUTED_VALUE"""),1)</f>
        <v>1</v>
      </c>
    </row>
    <row r="3697" spans="1:5" ht="13">
      <c r="A3697" s="8" t="str">
        <f ca="1">IFERROR(__xludf.DUMMYFUNCTION("""COMPUTED_VALUE"""),"Herschel, William")</f>
        <v>Herschel, William</v>
      </c>
      <c r="B3697" s="3">
        <f ca="1">IFERROR(__xludf.DUMMYFUNCTION("""COMPUTED_VALUE"""),1)</f>
        <v>1</v>
      </c>
      <c r="C3697" s="7">
        <f ca="1">IFERROR(__xludf.DUMMYFUNCTION("""COMPUTED_VALUE"""),1)</f>
        <v>1</v>
      </c>
      <c r="D3697" s="8">
        <f ca="1">IFERROR(__xludf.DUMMYFUNCTION("""COMPUTED_VALUE"""),5)</f>
        <v>5</v>
      </c>
      <c r="E3697" s="2">
        <f ca="1">IFERROR(__xludf.DUMMYFUNCTION("""COMPUTED_VALUE"""),2)</f>
        <v>2</v>
      </c>
    </row>
    <row r="3698" spans="1:5" ht="13">
      <c r="A3698" s="2" t="str">
        <f ca="1">IFERROR(__xludf.DUMMYFUNCTION("""COMPUTED_VALUE"""),"Hershey, June / Swander, Don")</f>
        <v>Hershey, June / Swander, Don</v>
      </c>
      <c r="B3698" s="3">
        <f ca="1">IFERROR(__xludf.DUMMYFUNCTION("""COMPUTED_VALUE"""),1)</f>
        <v>1</v>
      </c>
      <c r="C3698" s="7">
        <f ca="1">IFERROR(__xludf.DUMMYFUNCTION("""COMPUTED_VALUE"""),1)</f>
        <v>1</v>
      </c>
      <c r="D3698" s="8">
        <f ca="1">IFERROR(__xludf.DUMMYFUNCTION("""COMPUTED_VALUE"""),5)</f>
        <v>5</v>
      </c>
      <c r="E3698" s="2">
        <f ca="1">IFERROR(__xludf.DUMMYFUNCTION("""COMPUTED_VALUE"""),2)</f>
        <v>2</v>
      </c>
    </row>
    <row r="3699" spans="1:5" ht="13">
      <c r="A3699" s="2" t="str">
        <f ca="1">IFERROR(__xludf.DUMMYFUNCTION("""COMPUTED_VALUE"""),"Hertel, Johann")</f>
        <v>Hertel, Johann</v>
      </c>
      <c r="B3699" s="3">
        <f ca="1">IFERROR(__xludf.DUMMYFUNCTION("""COMPUTED_VALUE"""),1)</f>
        <v>1</v>
      </c>
      <c r="C3699" s="7">
        <f ca="1">IFERROR(__xludf.DUMMYFUNCTION("""COMPUTED_VALUE"""),1)</f>
        <v>1</v>
      </c>
      <c r="D3699" s="8">
        <f ca="1">IFERROR(__xludf.DUMMYFUNCTION("""COMPUTED_VALUE"""),5)</f>
        <v>5</v>
      </c>
      <c r="E3699" s="2">
        <f ca="1">IFERROR(__xludf.DUMMYFUNCTION("""COMPUTED_VALUE"""),2)</f>
        <v>2</v>
      </c>
    </row>
    <row r="3700" spans="1:5" ht="13">
      <c r="A3700" s="2" t="str">
        <f ca="1">IFERROR(__xludf.DUMMYFUNCTION("""COMPUTED_VALUE"""),"Hertzberg, David")</f>
        <v>Hertzberg, David</v>
      </c>
      <c r="B3700" s="3">
        <f ca="1">IFERROR(__xludf.DUMMYFUNCTION("""COMPUTED_VALUE"""),1)</f>
        <v>1</v>
      </c>
      <c r="C3700" s="7">
        <f ca="1">IFERROR(__xludf.DUMMYFUNCTION("""COMPUTED_VALUE"""),1)</f>
        <v>1</v>
      </c>
      <c r="D3700" s="8">
        <f ca="1">IFERROR(__xludf.DUMMYFUNCTION("""COMPUTED_VALUE"""),1)</f>
        <v>1</v>
      </c>
      <c r="E3700" s="2">
        <f ca="1">IFERROR(__xludf.DUMMYFUNCTION("""COMPUTED_VALUE"""),1)</f>
        <v>1</v>
      </c>
    </row>
    <row r="3701" spans="1:5" ht="13">
      <c r="A3701" s="2" t="str">
        <f ca="1">IFERROR(__xludf.DUMMYFUNCTION("""COMPUTED_VALUE"""),"Heruth, Hans")</f>
        <v>Heruth, Hans</v>
      </c>
      <c r="B3701" s="2">
        <f ca="1">IFERROR(__xludf.DUMMYFUNCTION("""COMPUTED_VALUE"""),1)</f>
        <v>1</v>
      </c>
      <c r="C3701" s="7">
        <f ca="1">IFERROR(__xludf.DUMMYFUNCTION("""COMPUTED_VALUE"""),1)</f>
        <v>1</v>
      </c>
      <c r="D3701" s="8">
        <f ca="1">IFERROR(__xludf.DUMMYFUNCTION("""COMPUTED_VALUE"""),1)</f>
        <v>1</v>
      </c>
      <c r="E3701" s="2">
        <f ca="1">IFERROR(__xludf.DUMMYFUNCTION("""COMPUTED_VALUE"""),1)</f>
        <v>1</v>
      </c>
    </row>
    <row r="3702" spans="1:5" ht="13">
      <c r="A3702" s="2" t="str">
        <f ca="1">IFERROR(__xludf.DUMMYFUNCTION("""COMPUTED_VALUE"""),"Heruth, Hans Bridger")</f>
        <v>Heruth, Hans Bridger</v>
      </c>
      <c r="B3702" s="3">
        <f ca="1">IFERROR(__xludf.DUMMYFUNCTION("""COMPUTED_VALUE"""),1)</f>
        <v>1</v>
      </c>
      <c r="C3702" s="7">
        <f ca="1">IFERROR(__xludf.DUMMYFUNCTION("""COMPUTED_VALUE"""),1)</f>
        <v>1</v>
      </c>
      <c r="D3702" s="8">
        <f ca="1">IFERROR(__xludf.DUMMYFUNCTION("""COMPUTED_VALUE"""),1)</f>
        <v>1</v>
      </c>
      <c r="E3702" s="2">
        <f ca="1">IFERROR(__xludf.DUMMYFUNCTION("""COMPUTED_VALUE"""),1)</f>
        <v>1</v>
      </c>
    </row>
    <row r="3703" spans="1:5" ht="13">
      <c r="A3703" s="2" t="str">
        <f ca="1">IFERROR(__xludf.DUMMYFUNCTION("""COMPUTED_VALUE"""),"Herwig, Jeff")</f>
        <v>Herwig, Jeff</v>
      </c>
      <c r="B3703" s="3">
        <f ca="1">IFERROR(__xludf.DUMMYFUNCTION("""COMPUTED_VALUE"""),1)</f>
        <v>1</v>
      </c>
      <c r="C3703" s="7">
        <f ca="1">IFERROR(__xludf.DUMMYFUNCTION("""COMPUTED_VALUE"""),1)</f>
        <v>1</v>
      </c>
      <c r="D3703" s="8">
        <f ca="1">IFERROR(__xludf.DUMMYFUNCTION("""COMPUTED_VALUE"""),1)</f>
        <v>1</v>
      </c>
      <c r="E3703" s="2">
        <f ca="1">IFERROR(__xludf.DUMMYFUNCTION("""COMPUTED_VALUE"""),1)</f>
        <v>1</v>
      </c>
    </row>
    <row r="3704" spans="1:5" ht="13">
      <c r="A3704" s="2" t="str">
        <f ca="1">IFERROR(__xludf.DUMMYFUNCTION("""COMPUTED_VALUE"""),"Herzogenberg, Heinrich von")</f>
        <v>Herzogenberg, Heinrich von</v>
      </c>
      <c r="B3704" s="2">
        <f ca="1">IFERROR(__xludf.DUMMYFUNCTION("""COMPUTED_VALUE"""),1)</f>
        <v>1</v>
      </c>
      <c r="C3704" s="7">
        <f ca="1">IFERROR(__xludf.DUMMYFUNCTION("""COMPUTED_VALUE"""),1)</f>
        <v>1</v>
      </c>
      <c r="D3704" s="8">
        <f ca="1">IFERROR(__xludf.DUMMYFUNCTION("""COMPUTED_VALUE"""),5)</f>
        <v>5</v>
      </c>
      <c r="E3704" s="2">
        <f ca="1">IFERROR(__xludf.DUMMYFUNCTION("""COMPUTED_VALUE"""),2)</f>
        <v>2</v>
      </c>
    </row>
    <row r="3705" spans="1:5" ht="13">
      <c r="A3705" s="2" t="str">
        <f ca="1">IFERROR(__xludf.DUMMYFUNCTION("""COMPUTED_VALUE"""),"Hesketh, Kenneth")</f>
        <v>Hesketh, Kenneth</v>
      </c>
      <c r="B3705" s="3">
        <f ca="1">IFERROR(__xludf.DUMMYFUNCTION("""COMPUTED_VALUE"""),1)</f>
        <v>1</v>
      </c>
      <c r="C3705" s="7">
        <f ca="1">IFERROR(__xludf.DUMMYFUNCTION("""COMPUTED_VALUE"""),1)</f>
        <v>1</v>
      </c>
      <c r="D3705" s="8">
        <f ca="1">IFERROR(__xludf.DUMMYFUNCTION("""COMPUTED_VALUE"""),1)</f>
        <v>1</v>
      </c>
      <c r="E3705" s="2">
        <f ca="1">IFERROR(__xludf.DUMMYFUNCTION("""COMPUTED_VALUE"""),1)</f>
        <v>1</v>
      </c>
    </row>
    <row r="3706" spans="1:5" ht="13">
      <c r="A3706" s="2" t="str">
        <f ca="1">IFERROR(__xludf.DUMMYFUNCTION("""COMPUTED_VALUE"""),"Hess, Johnny / Misraki, Paul")</f>
        <v>Hess, Johnny / Misraki, Paul</v>
      </c>
      <c r="B3706" s="2">
        <f ca="1">IFERROR(__xludf.DUMMYFUNCTION("""COMPUTED_VALUE"""),1)</f>
        <v>1</v>
      </c>
      <c r="C3706" s="7">
        <f ca="1">IFERROR(__xludf.DUMMYFUNCTION("""COMPUTED_VALUE"""),1)</f>
        <v>1</v>
      </c>
      <c r="D3706" s="8">
        <f ca="1">IFERROR(__xludf.DUMMYFUNCTION("""COMPUTED_VALUE"""),5)</f>
        <v>5</v>
      </c>
      <c r="E3706" s="2">
        <f ca="1">IFERROR(__xludf.DUMMYFUNCTION("""COMPUTED_VALUE"""),2)</f>
        <v>2</v>
      </c>
    </row>
    <row r="3707" spans="1:5" ht="13">
      <c r="A3707" s="2" t="str">
        <f ca="1">IFERROR(__xludf.DUMMYFUNCTION("""COMPUTED_VALUE"""),"Hess, Nigel")</f>
        <v>Hess, Nigel</v>
      </c>
      <c r="B3707" s="3">
        <f ca="1">IFERROR(__xludf.DUMMYFUNCTION("""COMPUTED_VALUE"""),1)</f>
        <v>1</v>
      </c>
      <c r="C3707" s="7">
        <f ca="1">IFERROR(__xludf.DUMMYFUNCTION("""COMPUTED_VALUE"""),1)</f>
        <v>1</v>
      </c>
      <c r="D3707" s="8">
        <f ca="1">IFERROR(__xludf.DUMMYFUNCTION("""COMPUTED_VALUE"""),1)</f>
        <v>1</v>
      </c>
      <c r="E3707" s="2">
        <f ca="1">IFERROR(__xludf.DUMMYFUNCTION("""COMPUTED_VALUE"""),1)</f>
        <v>1</v>
      </c>
    </row>
    <row r="3708" spans="1:5" ht="13">
      <c r="A3708" s="2" t="str">
        <f ca="1">IFERROR(__xludf.DUMMYFUNCTION("""COMPUTED_VALUE"""),"Hest, Jeff")</f>
        <v>Hest, Jeff</v>
      </c>
      <c r="B3708" s="3">
        <f ca="1">IFERROR(__xludf.DUMMYFUNCTION("""COMPUTED_VALUE"""),1)</f>
        <v>1</v>
      </c>
      <c r="C3708" s="7">
        <f ca="1">IFERROR(__xludf.DUMMYFUNCTION("""COMPUTED_VALUE"""),1)</f>
        <v>1</v>
      </c>
      <c r="D3708" s="8">
        <f ca="1">IFERROR(__xludf.DUMMYFUNCTION("""COMPUTED_VALUE"""),1)</f>
        <v>1</v>
      </c>
      <c r="E3708" s="2">
        <f ca="1">IFERROR(__xludf.DUMMYFUNCTION("""COMPUTED_VALUE"""),1)</f>
        <v>1</v>
      </c>
    </row>
    <row r="3709" spans="1:5" ht="13">
      <c r="A3709" s="2" t="str">
        <f ca="1">IFERROR(__xludf.DUMMYFUNCTION("""COMPUTED_VALUE"""),"Hettinga, Aaron")</f>
        <v>Hettinga, Aaron</v>
      </c>
      <c r="B3709" s="3">
        <f ca="1">IFERROR(__xludf.DUMMYFUNCTION("""COMPUTED_VALUE"""),1)</f>
        <v>1</v>
      </c>
      <c r="C3709" s="7">
        <f ca="1">IFERROR(__xludf.DUMMYFUNCTION("""COMPUTED_VALUE"""),1)</f>
        <v>1</v>
      </c>
      <c r="D3709" s="8">
        <f ca="1">IFERROR(__xludf.DUMMYFUNCTION("""COMPUTED_VALUE"""),1)</f>
        <v>1</v>
      </c>
      <c r="E3709" s="2">
        <f ca="1">IFERROR(__xludf.DUMMYFUNCTION("""COMPUTED_VALUE"""),1)</f>
        <v>1</v>
      </c>
    </row>
    <row r="3710" spans="1:5" ht="13">
      <c r="A3710" s="8" t="str">
        <f ca="1">IFERROR(__xludf.DUMMYFUNCTION("""COMPUTED_VALUE"""),"Hetz, Matthew")</f>
        <v>Hetz, Matthew</v>
      </c>
      <c r="B3710" s="3">
        <f ca="1">IFERROR(__xludf.DUMMYFUNCTION("""COMPUTED_VALUE"""),1)</f>
        <v>1</v>
      </c>
      <c r="C3710" s="7">
        <f ca="1">IFERROR(__xludf.DUMMYFUNCTION("""COMPUTED_VALUE"""),1)</f>
        <v>1</v>
      </c>
      <c r="D3710" s="8">
        <f ca="1">IFERROR(__xludf.DUMMYFUNCTION("""COMPUTED_VALUE"""),1)</f>
        <v>1</v>
      </c>
      <c r="E3710" s="2">
        <f ca="1">IFERROR(__xludf.DUMMYFUNCTION("""COMPUTED_VALUE"""),1)</f>
        <v>1</v>
      </c>
    </row>
    <row r="3711" spans="1:5" ht="13">
      <c r="A3711" s="2" t="str">
        <f ca="1">IFERROR(__xludf.DUMMYFUNCTION("""COMPUTED_VALUE"""),"Heuberger, Richard")</f>
        <v>Heuberger, Richard</v>
      </c>
      <c r="B3711" s="3">
        <f ca="1">IFERROR(__xludf.DUMMYFUNCTION("""COMPUTED_VALUE"""),1)</f>
        <v>1</v>
      </c>
      <c r="C3711" s="7">
        <f ca="1">IFERROR(__xludf.DUMMYFUNCTION("""COMPUTED_VALUE"""),1)</f>
        <v>1</v>
      </c>
      <c r="D3711" s="8">
        <f ca="1">IFERROR(__xludf.DUMMYFUNCTION("""COMPUTED_VALUE"""),5)</f>
        <v>5</v>
      </c>
      <c r="E3711" s="2">
        <f ca="1">IFERROR(__xludf.DUMMYFUNCTION("""COMPUTED_VALUE"""),2)</f>
        <v>2</v>
      </c>
    </row>
    <row r="3712" spans="1:5" ht="13">
      <c r="A3712" s="2" t="str">
        <f ca="1">IFERROR(__xludf.DUMMYFUNCTION("""COMPUTED_VALUE"""),"Heukeshover, A. Eric")</f>
        <v>Heukeshover, A. Eric</v>
      </c>
      <c r="B3712" s="2">
        <f ca="1">IFERROR(__xludf.DUMMYFUNCTION("""COMPUTED_VALUE"""),1)</f>
        <v>1</v>
      </c>
      <c r="C3712" s="7">
        <f ca="1">IFERROR(__xludf.DUMMYFUNCTION("""COMPUTED_VALUE"""),1)</f>
        <v>1</v>
      </c>
      <c r="D3712" s="8">
        <f ca="1">IFERROR(__xludf.DUMMYFUNCTION("""COMPUTED_VALUE"""),1)</f>
        <v>1</v>
      </c>
      <c r="E3712" s="2">
        <f ca="1">IFERROR(__xludf.DUMMYFUNCTION("""COMPUTED_VALUE"""),1)</f>
        <v>1</v>
      </c>
    </row>
    <row r="3713" spans="1:5" ht="13">
      <c r="A3713" s="2" t="str">
        <f ca="1">IFERROR(__xludf.DUMMYFUNCTION("""COMPUTED_VALUE"""),"Heumann, Hans-Gunter")</f>
        <v>Heumann, Hans-Gunter</v>
      </c>
      <c r="B3713" s="3">
        <f ca="1">IFERROR(__xludf.DUMMYFUNCTION("""COMPUTED_VALUE"""),1)</f>
        <v>1</v>
      </c>
      <c r="C3713" s="7">
        <f ca="1">IFERROR(__xludf.DUMMYFUNCTION("""COMPUTED_VALUE"""),1)</f>
        <v>1</v>
      </c>
      <c r="D3713" s="8">
        <f ca="1">IFERROR(__xludf.DUMMYFUNCTION("""COMPUTED_VALUE"""),1)</f>
        <v>1</v>
      </c>
      <c r="E3713" s="2">
        <f ca="1">IFERROR(__xludf.DUMMYFUNCTION("""COMPUTED_VALUE"""),1)</f>
        <v>1</v>
      </c>
    </row>
    <row r="3714" spans="1:5" ht="13">
      <c r="A3714" s="2" t="str">
        <f ca="1">IFERROR(__xludf.DUMMYFUNCTION("""COMPUTED_VALUE"""),"Heuser, David")</f>
        <v>Heuser, David</v>
      </c>
      <c r="B3714" s="2">
        <f ca="1">IFERROR(__xludf.DUMMYFUNCTION("""COMPUTED_VALUE"""),1)</f>
        <v>1</v>
      </c>
      <c r="C3714" s="7">
        <f ca="1">IFERROR(__xludf.DUMMYFUNCTION("""COMPUTED_VALUE"""),1)</f>
        <v>1</v>
      </c>
      <c r="D3714" s="8">
        <f ca="1">IFERROR(__xludf.DUMMYFUNCTION("""COMPUTED_VALUE"""),1)</f>
        <v>1</v>
      </c>
      <c r="E3714" s="2">
        <f ca="1">IFERROR(__xludf.DUMMYFUNCTION("""COMPUTED_VALUE"""),1)</f>
        <v>1</v>
      </c>
    </row>
    <row r="3715" spans="1:5" ht="13">
      <c r="A3715" s="2" t="str">
        <f ca="1">IFERROR(__xludf.DUMMYFUNCTION("""COMPUTED_VALUE"""),"Heussenstamm, George")</f>
        <v>Heussenstamm, George</v>
      </c>
      <c r="B3715" s="3">
        <f ca="1">IFERROR(__xludf.DUMMYFUNCTION("""COMPUTED_VALUE"""),1)</f>
        <v>1</v>
      </c>
      <c r="C3715" s="7">
        <f ca="1">IFERROR(__xludf.DUMMYFUNCTION("""COMPUTED_VALUE"""),1)</f>
        <v>1</v>
      </c>
      <c r="D3715" s="8">
        <f ca="1">IFERROR(__xludf.DUMMYFUNCTION("""COMPUTED_VALUE"""),1)</f>
        <v>1</v>
      </c>
      <c r="E3715" s="2">
        <f ca="1">IFERROR(__xludf.DUMMYFUNCTION("""COMPUTED_VALUE"""),1)</f>
        <v>1</v>
      </c>
    </row>
    <row r="3716" spans="1:5" ht="13">
      <c r="A3716" s="2" t="str">
        <f ca="1">IFERROR(__xludf.DUMMYFUNCTION("""COMPUTED_VALUE"""),"Hewitt, James")</f>
        <v>Hewitt, James</v>
      </c>
      <c r="B3716" s="2">
        <f ca="1">IFERROR(__xludf.DUMMYFUNCTION("""COMPUTED_VALUE"""),1)</f>
        <v>1</v>
      </c>
      <c r="C3716" s="2">
        <f ca="1">IFERROR(__xludf.DUMMYFUNCTION("""COMPUTED_VALUE"""),1)</f>
        <v>1</v>
      </c>
      <c r="D3716" s="8">
        <f ca="1">IFERROR(__xludf.DUMMYFUNCTION("""COMPUTED_VALUE"""),5)</f>
        <v>5</v>
      </c>
      <c r="E3716" s="2">
        <f ca="1">IFERROR(__xludf.DUMMYFUNCTION("""COMPUTED_VALUE"""),2)</f>
        <v>2</v>
      </c>
    </row>
    <row r="3717" spans="1:5" ht="13">
      <c r="A3717" s="2" t="str">
        <f ca="1">IFERROR(__xludf.DUMMYFUNCTION("""COMPUTED_VALUE"""),"Hewitt, Jason")</f>
        <v>Hewitt, Jason</v>
      </c>
      <c r="B3717" s="3">
        <f ca="1">IFERROR(__xludf.DUMMYFUNCTION("""COMPUTED_VALUE"""),1)</f>
        <v>1</v>
      </c>
      <c r="C3717" s="7">
        <f ca="1">IFERROR(__xludf.DUMMYFUNCTION("""COMPUTED_VALUE"""),1)</f>
        <v>1</v>
      </c>
      <c r="D3717" s="8">
        <f ca="1">IFERROR(__xludf.DUMMYFUNCTION("""COMPUTED_VALUE"""),1)</f>
        <v>1</v>
      </c>
      <c r="E3717" s="2">
        <f ca="1">IFERROR(__xludf.DUMMYFUNCTION("""COMPUTED_VALUE"""),1)</f>
        <v>1</v>
      </c>
    </row>
    <row r="3718" spans="1:5" ht="13">
      <c r="A3718" s="2" t="str">
        <f ca="1">IFERROR(__xludf.DUMMYFUNCTION("""COMPUTED_VALUE"""),"Hicken, David")</f>
        <v>Hicken, David</v>
      </c>
      <c r="B3718" s="3">
        <f ca="1">IFERROR(__xludf.DUMMYFUNCTION("""COMPUTED_VALUE"""),1)</f>
        <v>1</v>
      </c>
      <c r="C3718" s="7">
        <f ca="1">IFERROR(__xludf.DUMMYFUNCTION("""COMPUTED_VALUE"""),1)</f>
        <v>1</v>
      </c>
      <c r="D3718" s="8">
        <f ca="1">IFERROR(__xludf.DUMMYFUNCTION("""COMPUTED_VALUE"""),1)</f>
        <v>1</v>
      </c>
      <c r="E3718" s="2">
        <f ca="1">IFERROR(__xludf.DUMMYFUNCTION("""COMPUTED_VALUE"""),1)</f>
        <v>1</v>
      </c>
    </row>
    <row r="3719" spans="1:5" ht="13">
      <c r="A3719" s="2" t="str">
        <f ca="1">IFERROR(__xludf.DUMMYFUNCTION("""COMPUTED_VALUE"""),"Hicken, Leslie")</f>
        <v>Hicken, Leslie</v>
      </c>
      <c r="B3719" s="3">
        <f ca="1">IFERROR(__xludf.DUMMYFUNCTION("""COMPUTED_VALUE"""),1)</f>
        <v>1</v>
      </c>
      <c r="C3719" s="7">
        <f ca="1">IFERROR(__xludf.DUMMYFUNCTION("""COMPUTED_VALUE"""),1)</f>
        <v>1</v>
      </c>
      <c r="D3719" s="8">
        <f ca="1">IFERROR(__xludf.DUMMYFUNCTION("""COMPUTED_VALUE"""),1)</f>
        <v>1</v>
      </c>
      <c r="E3719" s="2">
        <f ca="1">IFERROR(__xludf.DUMMYFUNCTION("""COMPUTED_VALUE"""),1)</f>
        <v>1</v>
      </c>
    </row>
    <row r="3720" spans="1:5" ht="13">
      <c r="A3720" s="2" t="str">
        <f ca="1">IFERROR(__xludf.DUMMYFUNCTION("""COMPUTED_VALUE"""),"Hickman, David")</f>
        <v>Hickman, David</v>
      </c>
      <c r="B3720" s="3">
        <f ca="1">IFERROR(__xludf.DUMMYFUNCTION("""COMPUTED_VALUE"""),1)</f>
        <v>1</v>
      </c>
      <c r="C3720" s="7">
        <f ca="1">IFERROR(__xludf.DUMMYFUNCTION("""COMPUTED_VALUE"""),1)</f>
        <v>1</v>
      </c>
      <c r="D3720" s="8">
        <f ca="1">IFERROR(__xludf.DUMMYFUNCTION("""COMPUTED_VALUE"""),1)</f>
        <v>1</v>
      </c>
      <c r="E3720" s="2">
        <f ca="1">IFERROR(__xludf.DUMMYFUNCTION("""COMPUTED_VALUE"""),1)</f>
        <v>1</v>
      </c>
    </row>
    <row r="3721" spans="1:5" ht="13">
      <c r="A3721" s="2" t="str">
        <f ca="1">IFERROR(__xludf.DUMMYFUNCTION("""COMPUTED_VALUE"""),"Hicks, Ralph")</f>
        <v>Hicks, Ralph</v>
      </c>
      <c r="B3721" s="3">
        <f ca="1">IFERROR(__xludf.DUMMYFUNCTION("""COMPUTED_VALUE"""),1)</f>
        <v>1</v>
      </c>
      <c r="C3721" s="7">
        <f ca="1">IFERROR(__xludf.DUMMYFUNCTION("""COMPUTED_VALUE"""),1)</f>
        <v>1</v>
      </c>
      <c r="D3721" s="8">
        <f ca="1">IFERROR(__xludf.DUMMYFUNCTION("""COMPUTED_VALUE"""),1)</f>
        <v>1</v>
      </c>
      <c r="E3721" s="2">
        <f ca="1">IFERROR(__xludf.DUMMYFUNCTION("""COMPUTED_VALUE"""),1)</f>
        <v>1</v>
      </c>
    </row>
    <row r="3722" spans="1:5" ht="13">
      <c r="A3722" s="2" t="str">
        <f ca="1">IFERROR(__xludf.DUMMYFUNCTION("""COMPUTED_VALUE"""),"Hicks, Val")</f>
        <v>Hicks, Val</v>
      </c>
      <c r="B3722" s="2">
        <f ca="1">IFERROR(__xludf.DUMMYFUNCTION("""COMPUTED_VALUE"""),1)</f>
        <v>1</v>
      </c>
      <c r="C3722" s="7">
        <f ca="1">IFERROR(__xludf.DUMMYFUNCTION("""COMPUTED_VALUE"""),1)</f>
        <v>1</v>
      </c>
      <c r="D3722" s="8">
        <f ca="1">IFERROR(__xludf.DUMMYFUNCTION("""COMPUTED_VALUE"""),5)</f>
        <v>5</v>
      </c>
      <c r="E3722" s="2">
        <f ca="1">IFERROR(__xludf.DUMMYFUNCTION("""COMPUTED_VALUE"""),2)</f>
        <v>2</v>
      </c>
    </row>
    <row r="3723" spans="1:5" ht="13">
      <c r="A3723" s="2" t="str">
        <f ca="1">IFERROR(__xludf.DUMMYFUNCTION("""COMPUTED_VALUE"""),"Hidas, Frigyes")</f>
        <v>Hidas, Frigyes</v>
      </c>
      <c r="B3723" s="3">
        <f ca="1">IFERROR(__xludf.DUMMYFUNCTION("""COMPUTED_VALUE"""),1)</f>
        <v>1</v>
      </c>
      <c r="C3723" s="7">
        <f ca="1">IFERROR(__xludf.DUMMYFUNCTION("""COMPUTED_VALUE"""),1)</f>
        <v>1</v>
      </c>
      <c r="D3723" s="8">
        <f ca="1">IFERROR(__xludf.DUMMYFUNCTION("""COMPUTED_VALUE"""),5)</f>
        <v>5</v>
      </c>
      <c r="E3723" s="2">
        <f ca="1">IFERROR(__xludf.DUMMYFUNCTION("""COMPUTED_VALUE"""),2)</f>
        <v>2</v>
      </c>
    </row>
    <row r="3724" spans="1:5" ht="13">
      <c r="A3724" s="2" t="str">
        <f ca="1">IFERROR(__xludf.DUMMYFUNCTION("""COMPUTED_VALUE"""),"Hiel, Tom")</f>
        <v>Hiel, Tom</v>
      </c>
      <c r="B3724" s="3">
        <f ca="1">IFERROR(__xludf.DUMMYFUNCTION("""COMPUTED_VALUE"""),1)</f>
        <v>1</v>
      </c>
      <c r="C3724" s="7">
        <f ca="1">IFERROR(__xludf.DUMMYFUNCTION("""COMPUTED_VALUE"""),1)</f>
        <v>1</v>
      </c>
      <c r="D3724" s="8">
        <f ca="1">IFERROR(__xludf.DUMMYFUNCTION("""COMPUTED_VALUE"""),1)</f>
        <v>1</v>
      </c>
      <c r="E3724" s="2">
        <f ca="1">IFERROR(__xludf.DUMMYFUNCTION("""COMPUTED_VALUE"""),1)</f>
        <v>1</v>
      </c>
    </row>
    <row r="3725" spans="1:5" ht="13">
      <c r="A3725" s="2" t="str">
        <f ca="1">IFERROR(__xludf.DUMMYFUNCTION("""COMPUTED_VALUE"""),"Hierholzer, Mark")</f>
        <v>Hierholzer, Mark</v>
      </c>
      <c r="B3725" s="3">
        <f ca="1">IFERROR(__xludf.DUMMYFUNCTION("""COMPUTED_VALUE"""),1)</f>
        <v>1</v>
      </c>
      <c r="C3725" s="7">
        <f ca="1">IFERROR(__xludf.DUMMYFUNCTION("""COMPUTED_VALUE"""),1)</f>
        <v>1</v>
      </c>
      <c r="D3725" s="8">
        <f ca="1">IFERROR(__xludf.DUMMYFUNCTION("""COMPUTED_VALUE"""),1)</f>
        <v>1</v>
      </c>
      <c r="E3725" s="2">
        <f ca="1">IFERROR(__xludf.DUMMYFUNCTION("""COMPUTED_VALUE"""),1)</f>
        <v>1</v>
      </c>
    </row>
    <row r="3726" spans="1:5" ht="13">
      <c r="A3726" s="2" t="str">
        <f ca="1">IFERROR(__xludf.DUMMYFUNCTION("""COMPUTED_VALUE"""),"Hiestand, Daniel S.")</f>
        <v>Hiestand, Daniel S.</v>
      </c>
      <c r="B3726" s="2">
        <f ca="1">IFERROR(__xludf.DUMMYFUNCTION("""COMPUTED_VALUE"""),1)</f>
        <v>1</v>
      </c>
      <c r="C3726" s="2">
        <f ca="1">IFERROR(__xludf.DUMMYFUNCTION("""COMPUTED_VALUE"""),1)</f>
        <v>1</v>
      </c>
      <c r="D3726" s="8">
        <f ca="1">IFERROR(__xludf.DUMMYFUNCTION("""COMPUTED_VALUE"""),5)</f>
        <v>5</v>
      </c>
      <c r="E3726" s="2">
        <f ca="1">IFERROR(__xludf.DUMMYFUNCTION("""COMPUTED_VALUE"""),2)</f>
        <v>2</v>
      </c>
    </row>
    <row r="3727" spans="1:5" ht="13">
      <c r="A3727" s="2" t="str">
        <f ca="1">IFERROR(__xludf.DUMMYFUNCTION("""COMPUTED_VALUE"""),"Higginbottom, Edward")</f>
        <v>Higginbottom, Edward</v>
      </c>
      <c r="B3727" s="3">
        <f ca="1">IFERROR(__xludf.DUMMYFUNCTION("""COMPUTED_VALUE"""),1)</f>
        <v>1</v>
      </c>
      <c r="C3727" s="7">
        <f ca="1">IFERROR(__xludf.DUMMYFUNCTION("""COMPUTED_VALUE"""),1)</f>
        <v>1</v>
      </c>
      <c r="D3727" s="8">
        <f ca="1">IFERROR(__xludf.DUMMYFUNCTION("""COMPUTED_VALUE"""),1)</f>
        <v>1</v>
      </c>
      <c r="E3727" s="2">
        <f ca="1">IFERROR(__xludf.DUMMYFUNCTION("""COMPUTED_VALUE"""),1)</f>
        <v>1</v>
      </c>
    </row>
    <row r="3728" spans="1:5" ht="13">
      <c r="A3728" s="2" t="str">
        <f ca="1">IFERROR(__xludf.DUMMYFUNCTION("""COMPUTED_VALUE"""),"Higgins, Dan")</f>
        <v>Higgins, Dan</v>
      </c>
      <c r="B3728" s="3">
        <f ca="1">IFERROR(__xludf.DUMMYFUNCTION("""COMPUTED_VALUE"""),1)</f>
        <v>1</v>
      </c>
      <c r="C3728" s="7">
        <f ca="1">IFERROR(__xludf.DUMMYFUNCTION("""COMPUTED_VALUE"""),1)</f>
        <v>1</v>
      </c>
      <c r="D3728" s="8">
        <f ca="1">IFERROR(__xludf.DUMMYFUNCTION("""COMPUTED_VALUE"""),1)</f>
        <v>1</v>
      </c>
      <c r="E3728" s="2">
        <f ca="1">IFERROR(__xludf.DUMMYFUNCTION("""COMPUTED_VALUE"""),1)</f>
        <v>1</v>
      </c>
    </row>
    <row r="3729" spans="1:5" ht="13">
      <c r="A3729" s="2" t="str">
        <f ca="1">IFERROR(__xludf.DUMMYFUNCTION("""COMPUTED_VALUE"""),"Higgins, Jim")</f>
        <v>Higgins, Jim</v>
      </c>
      <c r="B3729" s="3">
        <f ca="1">IFERROR(__xludf.DUMMYFUNCTION("""COMPUTED_VALUE"""),1)</f>
        <v>1</v>
      </c>
      <c r="C3729" s="7">
        <f ca="1">IFERROR(__xludf.DUMMYFUNCTION("""COMPUTED_VALUE"""),1)</f>
        <v>1</v>
      </c>
      <c r="D3729" s="8">
        <f ca="1">IFERROR(__xludf.DUMMYFUNCTION("""COMPUTED_VALUE"""),1)</f>
        <v>1</v>
      </c>
      <c r="E3729" s="2">
        <f ca="1">IFERROR(__xludf.DUMMYFUNCTION("""COMPUTED_VALUE"""),1)</f>
        <v>1</v>
      </c>
    </row>
    <row r="3730" spans="1:5" ht="13">
      <c r="A3730" s="2" t="str">
        <f ca="1">IFERROR(__xludf.DUMMYFUNCTION("""COMPUTED_VALUE"""),"Higgins, John")</f>
        <v>Higgins, John</v>
      </c>
      <c r="B3730" s="3">
        <f ca="1">IFERROR(__xludf.DUMMYFUNCTION("""COMPUTED_VALUE"""),1)</f>
        <v>1</v>
      </c>
      <c r="C3730" s="7">
        <f ca="1">IFERROR(__xludf.DUMMYFUNCTION("""COMPUTED_VALUE"""),1)</f>
        <v>1</v>
      </c>
      <c r="D3730" s="8">
        <f ca="1">IFERROR(__xludf.DUMMYFUNCTION("""COMPUTED_VALUE"""),1)</f>
        <v>1</v>
      </c>
      <c r="E3730" s="2">
        <f ca="1">IFERROR(__xludf.DUMMYFUNCTION("""COMPUTED_VALUE"""),1)</f>
        <v>1</v>
      </c>
    </row>
    <row r="3731" spans="1:5" ht="13">
      <c r="A3731" s="2" t="str">
        <f ca="1">IFERROR(__xludf.DUMMYFUNCTION("""COMPUTED_VALUE"""),"Higgins, John / Crocker, Dean")</f>
        <v>Higgins, John / Crocker, Dean</v>
      </c>
      <c r="B3731" s="2">
        <f ca="1">IFERROR(__xludf.DUMMYFUNCTION("""COMPUTED_VALUE"""),1)</f>
        <v>1</v>
      </c>
      <c r="C3731" s="2">
        <f ca="1">IFERROR(__xludf.DUMMYFUNCTION("""COMPUTED_VALUE"""),1)</f>
        <v>1</v>
      </c>
      <c r="D3731" s="8">
        <f ca="1">IFERROR(__xludf.DUMMYFUNCTION("""COMPUTED_VALUE"""),1)</f>
        <v>1</v>
      </c>
      <c r="E3731" s="2">
        <f ca="1">IFERROR(__xludf.DUMMYFUNCTION("""COMPUTED_VALUE"""),1)</f>
        <v>1</v>
      </c>
    </row>
    <row r="3732" spans="1:5" ht="13">
      <c r="A3732" s="2" t="str">
        <f ca="1">IFERROR(__xludf.DUMMYFUNCTION("""COMPUTED_VALUE"""),"Higgins, Michael")</f>
        <v>Higgins, Michael</v>
      </c>
      <c r="B3732" s="3">
        <f ca="1">IFERROR(__xludf.DUMMYFUNCTION("""COMPUTED_VALUE"""),1)</f>
        <v>1</v>
      </c>
      <c r="C3732" s="7">
        <f ca="1">IFERROR(__xludf.DUMMYFUNCTION("""COMPUTED_VALUE"""),1)</f>
        <v>1</v>
      </c>
      <c r="D3732" s="8">
        <f ca="1">IFERROR(__xludf.DUMMYFUNCTION("""COMPUTED_VALUE"""),1)</f>
        <v>1</v>
      </c>
      <c r="E3732" s="2">
        <f ca="1">IFERROR(__xludf.DUMMYFUNCTION("""COMPUTED_VALUE"""),1)</f>
        <v>1</v>
      </c>
    </row>
    <row r="3733" spans="1:5" ht="13">
      <c r="A3733" s="2" t="str">
        <f ca="1">IFERROR(__xludf.DUMMYFUNCTION("""COMPUTED_VALUE"""),"Higgins, Timothy")</f>
        <v>Higgins, Timothy</v>
      </c>
      <c r="B3733" s="3">
        <f ca="1">IFERROR(__xludf.DUMMYFUNCTION("""COMPUTED_VALUE"""),1)</f>
        <v>1</v>
      </c>
      <c r="C3733" s="7">
        <f ca="1">IFERROR(__xludf.DUMMYFUNCTION("""COMPUTED_VALUE"""),1)</f>
        <v>1</v>
      </c>
      <c r="D3733" s="8">
        <f ca="1">IFERROR(__xludf.DUMMYFUNCTION("""COMPUTED_VALUE"""),1)</f>
        <v>1</v>
      </c>
      <c r="E3733" s="2">
        <f ca="1">IFERROR(__xludf.DUMMYFUNCTION("""COMPUTED_VALUE"""),1)</f>
        <v>1</v>
      </c>
    </row>
    <row r="3734" spans="1:5" ht="13">
      <c r="A3734" s="2" t="str">
        <f ca="1">IFERROR(__xludf.DUMMYFUNCTION("""COMPUTED_VALUE"""),"Highben, Zebulon")</f>
        <v>Highben, Zebulon</v>
      </c>
      <c r="B3734" s="3">
        <f ca="1">IFERROR(__xludf.DUMMYFUNCTION("""COMPUTED_VALUE"""),1)</f>
        <v>1</v>
      </c>
      <c r="C3734" s="7">
        <f ca="1">IFERROR(__xludf.DUMMYFUNCTION("""COMPUTED_VALUE"""),1)</f>
        <v>1</v>
      </c>
      <c r="D3734" s="8">
        <f ca="1">IFERROR(__xludf.DUMMYFUNCTION("""COMPUTED_VALUE"""),1)</f>
        <v>1</v>
      </c>
      <c r="E3734" s="2">
        <f ca="1">IFERROR(__xludf.DUMMYFUNCTION("""COMPUTED_VALUE"""),1)</f>
        <v>1</v>
      </c>
    </row>
    <row r="3735" spans="1:5" ht="13">
      <c r="A3735" s="2" t="str">
        <f ca="1">IFERROR(__xludf.DUMMYFUNCTION("""COMPUTED_VALUE"""),"Hight, Ethan")</f>
        <v>Hight, Ethan</v>
      </c>
      <c r="B3735" s="3">
        <f ca="1">IFERROR(__xludf.DUMMYFUNCTION("""COMPUTED_VALUE"""),1)</f>
        <v>1</v>
      </c>
      <c r="C3735" s="7">
        <f ca="1">IFERROR(__xludf.DUMMYFUNCTION("""COMPUTED_VALUE"""),1)</f>
        <v>1</v>
      </c>
      <c r="D3735" s="8">
        <f ca="1">IFERROR(__xludf.DUMMYFUNCTION("""COMPUTED_VALUE"""),1)</f>
        <v>1</v>
      </c>
      <c r="E3735" s="2">
        <f ca="1">IFERROR(__xludf.DUMMYFUNCTION("""COMPUTED_VALUE"""),1)</f>
        <v>1</v>
      </c>
    </row>
    <row r="3736" spans="1:5" ht="13">
      <c r="A3736" s="2" t="str">
        <f ca="1">IFERROR(__xludf.DUMMYFUNCTION("""COMPUTED_VALUE"""),"Hilbert, Barry")</f>
        <v>Hilbert, Barry</v>
      </c>
      <c r="B3736" s="2">
        <f ca="1">IFERROR(__xludf.DUMMYFUNCTION("""COMPUTED_VALUE"""),1)</f>
        <v>1</v>
      </c>
      <c r="C3736" s="7">
        <f ca="1">IFERROR(__xludf.DUMMYFUNCTION("""COMPUTED_VALUE"""),1)</f>
        <v>1</v>
      </c>
      <c r="D3736" s="8">
        <f ca="1">IFERROR(__xludf.DUMMYFUNCTION("""COMPUTED_VALUE"""),5)</f>
        <v>5</v>
      </c>
      <c r="E3736" s="2">
        <f ca="1">IFERROR(__xludf.DUMMYFUNCTION("""COMPUTED_VALUE"""),2)</f>
        <v>2</v>
      </c>
    </row>
    <row r="3737" spans="1:5" ht="13">
      <c r="A3737" s="2" t="str">
        <f ca="1">IFERROR(__xludf.DUMMYFUNCTION("""COMPUTED_VALUE"""),"Hilbun, Kevin")</f>
        <v>Hilbun, Kevin</v>
      </c>
      <c r="B3737" s="3">
        <f ca="1">IFERROR(__xludf.DUMMYFUNCTION("""COMPUTED_VALUE"""),1)</f>
        <v>1</v>
      </c>
      <c r="C3737" s="7">
        <f ca="1">IFERROR(__xludf.DUMMYFUNCTION("""COMPUTED_VALUE"""),1)</f>
        <v>1</v>
      </c>
      <c r="D3737" s="8">
        <f ca="1">IFERROR(__xludf.DUMMYFUNCTION("""COMPUTED_VALUE"""),1)</f>
        <v>1</v>
      </c>
      <c r="E3737" s="2">
        <f ca="1">IFERROR(__xludf.DUMMYFUNCTION("""COMPUTED_VALUE"""),1)</f>
        <v>1</v>
      </c>
    </row>
    <row r="3738" spans="1:5" ht="13">
      <c r="A3738" s="2" t="str">
        <f ca="1">IFERROR(__xludf.DUMMYFUNCTION("""COMPUTED_VALUE"""),"Hildreth, Richard")</f>
        <v>Hildreth, Richard</v>
      </c>
      <c r="B3738" s="2">
        <f ca="1">IFERROR(__xludf.DUMMYFUNCTION("""COMPUTED_VALUE"""),1)</f>
        <v>1</v>
      </c>
      <c r="C3738" s="7">
        <f ca="1">IFERROR(__xludf.DUMMYFUNCTION("""COMPUTED_VALUE"""),1)</f>
        <v>1</v>
      </c>
      <c r="D3738" s="8">
        <f ca="1">IFERROR(__xludf.DUMMYFUNCTION("""COMPUTED_VALUE"""),5)</f>
        <v>5</v>
      </c>
      <c r="E3738" s="2">
        <f ca="1">IFERROR(__xludf.DUMMYFUNCTION("""COMPUTED_VALUE"""),2)</f>
        <v>2</v>
      </c>
    </row>
    <row r="3739" spans="1:5" ht="13">
      <c r="A3739" s="2" t="str">
        <f ca="1">IFERROR(__xludf.DUMMYFUNCTION("""COMPUTED_VALUE"""),"Hildreth, Richard E.")</f>
        <v>Hildreth, Richard E.</v>
      </c>
      <c r="B3739" s="2">
        <f ca="1">IFERROR(__xludf.DUMMYFUNCTION("""COMPUTED_VALUE"""),1)</f>
        <v>1</v>
      </c>
      <c r="C3739" s="7">
        <f ca="1">IFERROR(__xludf.DUMMYFUNCTION("""COMPUTED_VALUE"""),1)</f>
        <v>1</v>
      </c>
      <c r="D3739" s="8">
        <f ca="1">IFERROR(__xludf.DUMMYFUNCTION("""COMPUTED_VALUE"""),5)</f>
        <v>5</v>
      </c>
      <c r="E3739" s="2">
        <f ca="1">IFERROR(__xludf.DUMMYFUNCTION("""COMPUTED_VALUE"""),2)</f>
        <v>2</v>
      </c>
    </row>
    <row r="3740" spans="1:5" ht="13">
      <c r="A3740" s="2" t="str">
        <f ca="1">IFERROR(__xludf.DUMMYFUNCTION("""COMPUTED_VALUE"""),"Hile, James")</f>
        <v>Hile, James</v>
      </c>
      <c r="B3740" s="3">
        <f ca="1">IFERROR(__xludf.DUMMYFUNCTION("""COMPUTED_VALUE"""),1)</f>
        <v>1</v>
      </c>
      <c r="C3740" s="7">
        <f ca="1">IFERROR(__xludf.DUMMYFUNCTION("""COMPUTED_VALUE"""),1)</f>
        <v>1</v>
      </c>
      <c r="D3740" s="8">
        <f ca="1">IFERROR(__xludf.DUMMYFUNCTION("""COMPUTED_VALUE"""),1)</f>
        <v>1</v>
      </c>
      <c r="E3740" s="2">
        <f ca="1">IFERROR(__xludf.DUMMYFUNCTION("""COMPUTED_VALUE"""),1)</f>
        <v>1</v>
      </c>
    </row>
    <row r="3741" spans="1:5" ht="13">
      <c r="A3741" s="2" t="str">
        <f ca="1">IFERROR(__xludf.DUMMYFUNCTION("""COMPUTED_VALUE"""),"Hill, Billy")</f>
        <v>Hill, Billy</v>
      </c>
      <c r="B3741" s="2">
        <f ca="1">IFERROR(__xludf.DUMMYFUNCTION("""COMPUTED_VALUE"""),1)</f>
        <v>1</v>
      </c>
      <c r="C3741" s="7">
        <f ca="1">IFERROR(__xludf.DUMMYFUNCTION("""COMPUTED_VALUE"""),1)</f>
        <v>1</v>
      </c>
      <c r="D3741" s="8">
        <f ca="1">IFERROR(__xludf.DUMMYFUNCTION("""COMPUTED_VALUE"""),5)</f>
        <v>5</v>
      </c>
      <c r="E3741" s="2">
        <f ca="1">IFERROR(__xludf.DUMMYFUNCTION("""COMPUTED_VALUE"""),2)</f>
        <v>2</v>
      </c>
    </row>
    <row r="3742" spans="1:5" ht="13">
      <c r="A3742" s="2" t="str">
        <f ca="1">IFERROR(__xludf.DUMMYFUNCTION("""COMPUTED_VALUE"""),"Hill, Charlie")</f>
        <v>Hill, Charlie</v>
      </c>
      <c r="B3742" s="3">
        <f ca="1">IFERROR(__xludf.DUMMYFUNCTION("""COMPUTED_VALUE"""),1)</f>
        <v>1</v>
      </c>
      <c r="C3742" s="7">
        <f ca="1">IFERROR(__xludf.DUMMYFUNCTION("""COMPUTED_VALUE"""),1)</f>
        <v>1</v>
      </c>
      <c r="D3742" s="8">
        <f ca="1">IFERROR(__xludf.DUMMYFUNCTION("""COMPUTED_VALUE"""),1)</f>
        <v>1</v>
      </c>
      <c r="E3742" s="2">
        <f ca="1">IFERROR(__xludf.DUMMYFUNCTION("""COMPUTED_VALUE"""),1)</f>
        <v>1</v>
      </c>
    </row>
    <row r="3743" spans="1:5" ht="13">
      <c r="A3743" s="2" t="str">
        <f ca="1">IFERROR(__xludf.DUMMYFUNCTION("""COMPUTED_VALUE"""),"Hill, Charlie")</f>
        <v>Hill, Charlie</v>
      </c>
      <c r="B3743" s="3">
        <f ca="1">IFERROR(__xludf.DUMMYFUNCTION("""COMPUTED_VALUE"""),1)</f>
        <v>1</v>
      </c>
      <c r="C3743" s="7">
        <f ca="1">IFERROR(__xludf.DUMMYFUNCTION("""COMPUTED_VALUE"""),1)</f>
        <v>1</v>
      </c>
      <c r="D3743" s="8">
        <f ca="1">IFERROR(__xludf.DUMMYFUNCTION("""COMPUTED_VALUE"""),5)</f>
        <v>5</v>
      </c>
      <c r="E3743" s="2">
        <f ca="1">IFERROR(__xludf.DUMMYFUNCTION("""COMPUTED_VALUE"""),2)</f>
        <v>2</v>
      </c>
    </row>
    <row r="3744" spans="1:5" ht="13">
      <c r="A3744" s="2" t="str">
        <f ca="1">IFERROR(__xludf.DUMMYFUNCTION("""COMPUTED_VALUE"""),"Hill, David")</f>
        <v>Hill, David</v>
      </c>
      <c r="B3744" s="3">
        <f ca="1">IFERROR(__xludf.DUMMYFUNCTION("""COMPUTED_VALUE"""),1)</f>
        <v>1</v>
      </c>
      <c r="C3744" s="7">
        <f ca="1">IFERROR(__xludf.DUMMYFUNCTION("""COMPUTED_VALUE"""),1)</f>
        <v>1</v>
      </c>
      <c r="D3744" s="8">
        <f ca="1">IFERROR(__xludf.DUMMYFUNCTION("""COMPUTED_VALUE"""),1)</f>
        <v>1</v>
      </c>
      <c r="E3744" s="2">
        <f ca="1">IFERROR(__xludf.DUMMYFUNCTION("""COMPUTED_VALUE"""),1)</f>
        <v>1</v>
      </c>
    </row>
    <row r="3745" spans="1:5" ht="13">
      <c r="A3745" s="2" t="str">
        <f ca="1">IFERROR(__xludf.DUMMYFUNCTION("""COMPUTED_VALUE"""),"Hill, Donald")</f>
        <v>Hill, Donald</v>
      </c>
      <c r="B3745" s="3">
        <f ca="1">IFERROR(__xludf.DUMMYFUNCTION("""COMPUTED_VALUE"""),1)</f>
        <v>1</v>
      </c>
      <c r="C3745" s="7">
        <f ca="1">IFERROR(__xludf.DUMMYFUNCTION("""COMPUTED_VALUE"""),1)</f>
        <v>1</v>
      </c>
      <c r="D3745" s="8">
        <f ca="1">IFERROR(__xludf.DUMMYFUNCTION("""COMPUTED_VALUE"""),1)</f>
        <v>1</v>
      </c>
      <c r="E3745" s="2">
        <f ca="1">IFERROR(__xludf.DUMMYFUNCTION("""COMPUTED_VALUE"""),1)</f>
        <v>1</v>
      </c>
    </row>
    <row r="3746" spans="1:5" ht="13">
      <c r="A3746" s="2" t="str">
        <f ca="1">IFERROR(__xludf.DUMMYFUNCTION("""COMPUTED_VALUE"""),"Hill, Stephen")</f>
        <v>Hill, Stephen</v>
      </c>
      <c r="B3746" s="3">
        <f ca="1">IFERROR(__xludf.DUMMYFUNCTION("""COMPUTED_VALUE"""),1)</f>
        <v>1</v>
      </c>
      <c r="C3746" s="7">
        <f ca="1">IFERROR(__xludf.DUMMYFUNCTION("""COMPUTED_VALUE"""),1)</f>
        <v>1</v>
      </c>
      <c r="D3746" s="8">
        <f ca="1">IFERROR(__xludf.DUMMYFUNCTION("""COMPUTED_VALUE"""),1)</f>
        <v>1</v>
      </c>
      <c r="E3746" s="2">
        <f ca="1">IFERROR(__xludf.DUMMYFUNCTION("""COMPUTED_VALUE"""),1)</f>
        <v>1</v>
      </c>
    </row>
    <row r="3747" spans="1:5" ht="13">
      <c r="A3747" s="2" t="str">
        <f ca="1">IFERROR(__xludf.DUMMYFUNCTION("""COMPUTED_VALUE"""),"Hill, Stuart Chapman")</f>
        <v>Hill, Stuart Chapman</v>
      </c>
      <c r="B3747" s="3">
        <f ca="1">IFERROR(__xludf.DUMMYFUNCTION("""COMPUTED_VALUE"""),1)</f>
        <v>1</v>
      </c>
      <c r="C3747" s="7">
        <f ca="1">IFERROR(__xludf.DUMMYFUNCTION("""COMPUTED_VALUE"""),1)</f>
        <v>1</v>
      </c>
      <c r="D3747" s="8">
        <f ca="1">IFERROR(__xludf.DUMMYFUNCTION("""COMPUTED_VALUE"""),1)</f>
        <v>1</v>
      </c>
      <c r="E3747" s="2">
        <f ca="1">IFERROR(__xludf.DUMMYFUNCTION("""COMPUTED_VALUE"""),1)</f>
        <v>1</v>
      </c>
    </row>
    <row r="3748" spans="1:5" ht="13">
      <c r="A3748" s="2" t="str">
        <f ca="1">IFERROR(__xludf.DUMMYFUNCTION("""COMPUTED_VALUE"""),"Hill, Tim")</f>
        <v>Hill, Tim</v>
      </c>
      <c r="B3748" s="3">
        <f ca="1">IFERROR(__xludf.DUMMYFUNCTION("""COMPUTED_VALUE"""),1)</f>
        <v>1</v>
      </c>
      <c r="C3748" s="7">
        <f ca="1">IFERROR(__xludf.DUMMYFUNCTION("""COMPUTED_VALUE"""),1)</f>
        <v>1</v>
      </c>
      <c r="D3748" s="8">
        <f ca="1">IFERROR(__xludf.DUMMYFUNCTION("""COMPUTED_VALUE"""),1)</f>
        <v>1</v>
      </c>
      <c r="E3748" s="2">
        <f ca="1">IFERROR(__xludf.DUMMYFUNCTION("""COMPUTED_VALUE"""),1)</f>
        <v>1</v>
      </c>
    </row>
    <row r="3749" spans="1:5" ht="13">
      <c r="A3749" s="2" t="str">
        <f ca="1">IFERROR(__xludf.DUMMYFUNCTION("""COMPUTED_VALUE"""),"Hill, William")</f>
        <v>Hill, William</v>
      </c>
      <c r="B3749" s="2">
        <f ca="1">IFERROR(__xludf.DUMMYFUNCTION("""COMPUTED_VALUE"""),1)</f>
        <v>1</v>
      </c>
      <c r="C3749" s="7">
        <f ca="1">IFERROR(__xludf.DUMMYFUNCTION("""COMPUTED_VALUE"""),1)</f>
        <v>1</v>
      </c>
      <c r="D3749" s="8">
        <f ca="1">IFERROR(__xludf.DUMMYFUNCTION("""COMPUTED_VALUE"""),5)</f>
        <v>5</v>
      </c>
      <c r="E3749" s="2">
        <f ca="1">IFERROR(__xludf.DUMMYFUNCTION("""COMPUTED_VALUE"""),2)</f>
        <v>2</v>
      </c>
    </row>
    <row r="3750" spans="1:5" ht="13">
      <c r="A3750" s="2" t="str">
        <f ca="1">IFERROR(__xludf.DUMMYFUNCTION("""COMPUTED_VALUE"""),"Hillborg, Anders")</f>
        <v>Hillborg, Anders</v>
      </c>
      <c r="B3750" s="3">
        <f ca="1">IFERROR(__xludf.DUMMYFUNCTION("""COMPUTED_VALUE"""),1)</f>
        <v>1</v>
      </c>
      <c r="C3750" s="7">
        <f ca="1">IFERROR(__xludf.DUMMYFUNCTION("""COMPUTED_VALUE"""),1)</f>
        <v>1</v>
      </c>
      <c r="D3750" s="8">
        <f ca="1">IFERROR(__xludf.DUMMYFUNCTION("""COMPUTED_VALUE"""),1)</f>
        <v>1</v>
      </c>
      <c r="E3750" s="2">
        <f ca="1">IFERROR(__xludf.DUMMYFUNCTION("""COMPUTED_VALUE"""),1)</f>
        <v>1</v>
      </c>
    </row>
    <row r="3751" spans="1:5" ht="13">
      <c r="A3751" s="2" t="str">
        <f ca="1">IFERROR(__xludf.DUMMYFUNCTION("""COMPUTED_VALUE"""),"Hillebrandt, John")</f>
        <v>Hillebrandt, John</v>
      </c>
      <c r="B3751" s="3">
        <f ca="1">IFERROR(__xludf.DUMMYFUNCTION("""COMPUTED_VALUE"""),1)</f>
        <v>1</v>
      </c>
      <c r="C3751" s="7">
        <f ca="1">IFERROR(__xludf.DUMMYFUNCTION("""COMPUTED_VALUE"""),1)</f>
        <v>1</v>
      </c>
      <c r="D3751" s="8">
        <f ca="1">IFERROR(__xludf.DUMMYFUNCTION("""COMPUTED_VALUE"""),1)</f>
        <v>1</v>
      </c>
      <c r="E3751" s="2">
        <f ca="1">IFERROR(__xludf.DUMMYFUNCTION("""COMPUTED_VALUE"""),1)</f>
        <v>1</v>
      </c>
    </row>
    <row r="3752" spans="1:5" ht="13">
      <c r="A3752" s="2" t="str">
        <f ca="1">IFERROR(__xludf.DUMMYFUNCTION("""COMPUTED_VALUE"""),"Hillegass, Mark")</f>
        <v>Hillegass, Mark</v>
      </c>
      <c r="B3752" s="3">
        <f ca="1">IFERROR(__xludf.DUMMYFUNCTION("""COMPUTED_VALUE"""),1)</f>
        <v>1</v>
      </c>
      <c r="C3752" s="7">
        <f ca="1">IFERROR(__xludf.DUMMYFUNCTION("""COMPUTED_VALUE"""),1)</f>
        <v>1</v>
      </c>
      <c r="D3752" s="8">
        <f ca="1">IFERROR(__xludf.DUMMYFUNCTION("""COMPUTED_VALUE"""),1)</f>
        <v>1</v>
      </c>
      <c r="E3752" s="2">
        <f ca="1">IFERROR(__xludf.DUMMYFUNCTION("""COMPUTED_VALUE"""),1)</f>
        <v>1</v>
      </c>
    </row>
    <row r="3753" spans="1:5" ht="13">
      <c r="A3753" s="2" t="str">
        <f ca="1">IFERROR(__xludf.DUMMYFUNCTION("""COMPUTED_VALUE"""),"Hiller, Ferdinand")</f>
        <v>Hiller, Ferdinand</v>
      </c>
      <c r="B3753" s="3">
        <f ca="1">IFERROR(__xludf.DUMMYFUNCTION("""COMPUTED_VALUE"""),1)</f>
        <v>1</v>
      </c>
      <c r="C3753" s="7">
        <f ca="1">IFERROR(__xludf.DUMMYFUNCTION("""COMPUTED_VALUE"""),1)</f>
        <v>1</v>
      </c>
      <c r="D3753" s="8">
        <f ca="1">IFERROR(__xludf.DUMMYFUNCTION("""COMPUTED_VALUE"""),5)</f>
        <v>5</v>
      </c>
      <c r="E3753" s="2">
        <f ca="1">IFERROR(__xludf.DUMMYFUNCTION("""COMPUTED_VALUE"""),2)</f>
        <v>2</v>
      </c>
    </row>
    <row r="3754" spans="1:5" ht="13">
      <c r="A3754" s="2" t="str">
        <f ca="1">IFERROR(__xludf.DUMMYFUNCTION("""COMPUTED_VALUE"""),"Hillerud, Jan Ake")</f>
        <v>Hillerud, Jan Ake</v>
      </c>
      <c r="B3754" s="3">
        <f ca="1">IFERROR(__xludf.DUMMYFUNCTION("""COMPUTED_VALUE"""),1)</f>
        <v>1</v>
      </c>
      <c r="C3754" s="7">
        <f ca="1">IFERROR(__xludf.DUMMYFUNCTION("""COMPUTED_VALUE"""),1)</f>
        <v>1</v>
      </c>
      <c r="D3754" s="8">
        <f ca="1">IFERROR(__xludf.DUMMYFUNCTION("""COMPUTED_VALUE"""),1)</f>
        <v>1</v>
      </c>
      <c r="E3754" s="2">
        <f ca="1">IFERROR(__xludf.DUMMYFUNCTION("""COMPUTED_VALUE"""),1)</f>
        <v>1</v>
      </c>
    </row>
    <row r="3755" spans="1:5" ht="13">
      <c r="A3755" s="2" t="str">
        <f ca="1">IFERROR(__xludf.DUMMYFUNCTION("""COMPUTED_VALUE"""),"Hillerud, Jan-Ake")</f>
        <v>Hillerud, Jan-Ake</v>
      </c>
      <c r="B3755" s="3">
        <f ca="1">IFERROR(__xludf.DUMMYFUNCTION("""COMPUTED_VALUE"""),1)</f>
        <v>1</v>
      </c>
      <c r="C3755" s="7">
        <f ca="1">IFERROR(__xludf.DUMMYFUNCTION("""COMPUTED_VALUE"""),1)</f>
        <v>1</v>
      </c>
      <c r="D3755" s="8">
        <f ca="1">IFERROR(__xludf.DUMMYFUNCTION("""COMPUTED_VALUE"""),1)</f>
        <v>1</v>
      </c>
      <c r="E3755" s="2">
        <f ca="1">IFERROR(__xludf.DUMMYFUNCTION("""COMPUTED_VALUE"""),1)</f>
        <v>1</v>
      </c>
    </row>
    <row r="3756" spans="1:5" ht="13">
      <c r="A3756" s="8" t="str">
        <f ca="1">IFERROR(__xludf.DUMMYFUNCTION("""COMPUTED_VALUE"""),"Hilliard, Bob")</f>
        <v>Hilliard, Bob</v>
      </c>
      <c r="B3756" s="3">
        <f ca="1">IFERROR(__xludf.DUMMYFUNCTION("""COMPUTED_VALUE"""),1)</f>
        <v>1</v>
      </c>
      <c r="C3756" s="7">
        <f ca="1">IFERROR(__xludf.DUMMYFUNCTION("""COMPUTED_VALUE"""),1)</f>
        <v>1</v>
      </c>
      <c r="D3756" s="8">
        <f ca="1">IFERROR(__xludf.DUMMYFUNCTION("""COMPUTED_VALUE"""),5)</f>
        <v>5</v>
      </c>
      <c r="E3756" s="2">
        <f ca="1">IFERROR(__xludf.DUMMYFUNCTION("""COMPUTED_VALUE"""),2)</f>
        <v>2</v>
      </c>
    </row>
    <row r="3757" spans="1:5" ht="13">
      <c r="A3757" s="2" t="str">
        <f ca="1">IFERROR(__xludf.DUMMYFUNCTION("""COMPUTED_VALUE"""),"Hillis, Greg")</f>
        <v>Hillis, Greg</v>
      </c>
      <c r="B3757" s="3">
        <f ca="1">IFERROR(__xludf.DUMMYFUNCTION("""COMPUTED_VALUE"""),1)</f>
        <v>1</v>
      </c>
      <c r="C3757" s="7">
        <f ca="1">IFERROR(__xludf.DUMMYFUNCTION("""COMPUTED_VALUE"""),1)</f>
        <v>1</v>
      </c>
      <c r="D3757" s="8">
        <f ca="1">IFERROR(__xludf.DUMMYFUNCTION("""COMPUTED_VALUE"""),1)</f>
        <v>1</v>
      </c>
      <c r="E3757" s="2">
        <f ca="1">IFERROR(__xludf.DUMMYFUNCTION("""COMPUTED_VALUE"""),1)</f>
        <v>1</v>
      </c>
    </row>
    <row r="3758" spans="1:5" ht="13">
      <c r="A3758" s="2" t="str">
        <f ca="1">IFERROR(__xludf.DUMMYFUNCTION("""COMPUTED_VALUE"""),"Hillman, Jamie")</f>
        <v>Hillman, Jamie</v>
      </c>
      <c r="B3758" s="3">
        <f ca="1">IFERROR(__xludf.DUMMYFUNCTION("""COMPUTED_VALUE"""),1)</f>
        <v>1</v>
      </c>
      <c r="C3758" s="7">
        <f ca="1">IFERROR(__xludf.DUMMYFUNCTION("""COMPUTED_VALUE"""),1)</f>
        <v>1</v>
      </c>
      <c r="D3758" s="8">
        <f ca="1">IFERROR(__xludf.DUMMYFUNCTION("""COMPUTED_VALUE"""),1)</f>
        <v>1</v>
      </c>
      <c r="E3758" s="2">
        <f ca="1">IFERROR(__xludf.DUMMYFUNCTION("""COMPUTED_VALUE"""),1)</f>
        <v>1</v>
      </c>
    </row>
    <row r="3759" spans="1:5" ht="13">
      <c r="A3759" s="2" t="str">
        <f ca="1">IFERROR(__xludf.DUMMYFUNCTION("""COMPUTED_VALUE"""),"Hills, Cory")</f>
        <v>Hills, Cory</v>
      </c>
      <c r="B3759" s="2">
        <f ca="1">IFERROR(__xludf.DUMMYFUNCTION("""COMPUTED_VALUE"""),1)</f>
        <v>1</v>
      </c>
      <c r="C3759" s="7">
        <f ca="1">IFERROR(__xludf.DUMMYFUNCTION("""COMPUTED_VALUE"""),1)</f>
        <v>1</v>
      </c>
      <c r="D3759" s="8">
        <f ca="1">IFERROR(__xludf.DUMMYFUNCTION("""COMPUTED_VALUE"""),1)</f>
        <v>1</v>
      </c>
      <c r="E3759" s="2">
        <f ca="1">IFERROR(__xludf.DUMMYFUNCTION("""COMPUTED_VALUE"""),1)</f>
        <v>1</v>
      </c>
    </row>
    <row r="3760" spans="1:5" ht="13">
      <c r="A3760" s="8" t="str">
        <f ca="1">IFERROR(__xludf.DUMMYFUNCTION("""COMPUTED_VALUE"""),"Hilton, Arthur")</f>
        <v>Hilton, Arthur</v>
      </c>
      <c r="B3760" s="3">
        <f ca="1">IFERROR(__xludf.DUMMYFUNCTION("""COMPUTED_VALUE"""),1)</f>
        <v>1</v>
      </c>
      <c r="C3760" s="7">
        <f ca="1">IFERROR(__xludf.DUMMYFUNCTION("""COMPUTED_VALUE"""),1)</f>
        <v>1</v>
      </c>
      <c r="D3760" s="8">
        <f ca="1">IFERROR(__xludf.DUMMYFUNCTION("""COMPUTED_VALUE"""),5)</f>
        <v>5</v>
      </c>
      <c r="E3760" s="2">
        <f ca="1">IFERROR(__xludf.DUMMYFUNCTION("""COMPUTED_VALUE"""),2)</f>
        <v>2</v>
      </c>
    </row>
    <row r="3761" spans="1:5" ht="13">
      <c r="A3761" s="2" t="str">
        <f ca="1">IFERROR(__xludf.DUMMYFUNCTION("""COMPUTED_VALUE"""),"Hilton, John")</f>
        <v>Hilton, John</v>
      </c>
      <c r="B3761" s="3">
        <f ca="1">IFERROR(__xludf.DUMMYFUNCTION("""COMPUTED_VALUE"""),1)</f>
        <v>1</v>
      </c>
      <c r="C3761" s="7">
        <f ca="1">IFERROR(__xludf.DUMMYFUNCTION("""COMPUTED_VALUE"""),1)</f>
        <v>1</v>
      </c>
      <c r="D3761" s="8">
        <f ca="1">IFERROR(__xludf.DUMMYFUNCTION("""COMPUTED_VALUE"""),5)</f>
        <v>5</v>
      </c>
      <c r="E3761" s="2">
        <f ca="1">IFERROR(__xludf.DUMMYFUNCTION("""COMPUTED_VALUE"""),2)</f>
        <v>2</v>
      </c>
    </row>
    <row r="3762" spans="1:5" ht="13">
      <c r="A3762" s="2" t="str">
        <f ca="1">IFERROR(__xludf.DUMMYFUNCTION("""COMPUTED_VALUE"""),"Himes, Joshua")</f>
        <v>Himes, Joshua</v>
      </c>
      <c r="B3762" s="3">
        <f ca="1">IFERROR(__xludf.DUMMYFUNCTION("""COMPUTED_VALUE"""),1)</f>
        <v>1</v>
      </c>
      <c r="C3762" s="7">
        <f ca="1">IFERROR(__xludf.DUMMYFUNCTION("""COMPUTED_VALUE"""),1)</f>
        <v>1</v>
      </c>
      <c r="D3762" s="8">
        <f ca="1">IFERROR(__xludf.DUMMYFUNCTION("""COMPUTED_VALUE"""),5)</f>
        <v>5</v>
      </c>
      <c r="E3762" s="3">
        <f ca="1">IFERROR(__xludf.DUMMYFUNCTION("""COMPUTED_VALUE"""),2)</f>
        <v>2</v>
      </c>
    </row>
    <row r="3763" spans="1:5" ht="13">
      <c r="A3763" s="2" t="str">
        <f ca="1">IFERROR(__xludf.DUMMYFUNCTION("""COMPUTED_VALUE"""),"Himes, William")</f>
        <v>Himes, William</v>
      </c>
      <c r="B3763" s="3">
        <f ca="1">IFERROR(__xludf.DUMMYFUNCTION("""COMPUTED_VALUE"""),1)</f>
        <v>1</v>
      </c>
      <c r="C3763" s="7">
        <f ca="1">IFERROR(__xludf.DUMMYFUNCTION("""COMPUTED_VALUE"""),1)</f>
        <v>1</v>
      </c>
      <c r="D3763" s="8">
        <f ca="1">IFERROR(__xludf.DUMMYFUNCTION("""COMPUTED_VALUE"""),1)</f>
        <v>1</v>
      </c>
      <c r="E3763" s="2">
        <f ca="1">IFERROR(__xludf.DUMMYFUNCTION("""COMPUTED_VALUE"""),1)</f>
        <v>1</v>
      </c>
    </row>
    <row r="3764" spans="1:5" ht="13">
      <c r="A3764" s="2" t="str">
        <f ca="1">IFERROR(__xludf.DUMMYFUNCTION("""COMPUTED_VALUE"""),"Hinck, Tim")</f>
        <v>Hinck, Tim</v>
      </c>
      <c r="B3764" s="3">
        <f ca="1">IFERROR(__xludf.DUMMYFUNCTION("""COMPUTED_VALUE"""),1)</f>
        <v>1</v>
      </c>
      <c r="C3764" s="7">
        <f ca="1">IFERROR(__xludf.DUMMYFUNCTION("""COMPUTED_VALUE"""),1)</f>
        <v>1</v>
      </c>
      <c r="D3764" s="8">
        <f ca="1">IFERROR(__xludf.DUMMYFUNCTION("""COMPUTED_VALUE"""),1)</f>
        <v>1</v>
      </c>
      <c r="E3764" s="2">
        <f ca="1">IFERROR(__xludf.DUMMYFUNCTION("""COMPUTED_VALUE"""),1)</f>
        <v>1</v>
      </c>
    </row>
    <row r="3765" spans="1:5" ht="13">
      <c r="A3765" s="2" t="str">
        <f ca="1">IFERROR(__xludf.DUMMYFUNCTION("""COMPUTED_VALUE"""),"Hindemith, Paul")</f>
        <v>Hindemith, Paul</v>
      </c>
      <c r="B3765" s="3">
        <f ca="1">IFERROR(__xludf.DUMMYFUNCTION("""COMPUTED_VALUE"""),1)</f>
        <v>1</v>
      </c>
      <c r="C3765" s="7">
        <f ca="1">IFERROR(__xludf.DUMMYFUNCTION("""COMPUTED_VALUE"""),1)</f>
        <v>1</v>
      </c>
      <c r="D3765" s="8">
        <f ca="1">IFERROR(__xludf.DUMMYFUNCTION("""COMPUTED_VALUE"""),5)</f>
        <v>5</v>
      </c>
      <c r="E3765" s="2">
        <f ca="1">IFERROR(__xludf.DUMMYFUNCTION("""COMPUTED_VALUE"""),2)</f>
        <v>2</v>
      </c>
    </row>
    <row r="3766" spans="1:5" ht="13">
      <c r="A3766" s="2" t="str">
        <f ca="1">IFERROR(__xludf.DUMMYFUNCTION("""COMPUTED_VALUE"""),"Hinds, David")</f>
        <v>Hinds, David</v>
      </c>
      <c r="B3766" s="3">
        <f ca="1">IFERROR(__xludf.DUMMYFUNCTION("""COMPUTED_VALUE"""),1)</f>
        <v>1</v>
      </c>
      <c r="C3766" s="7">
        <f ca="1">IFERROR(__xludf.DUMMYFUNCTION("""COMPUTED_VALUE"""),1)</f>
        <v>1</v>
      </c>
      <c r="D3766" s="8">
        <f ca="1">IFERROR(__xludf.DUMMYFUNCTION("""COMPUTED_VALUE"""),1)</f>
        <v>1</v>
      </c>
      <c r="E3766" s="2">
        <f ca="1">IFERROR(__xludf.DUMMYFUNCTION("""COMPUTED_VALUE"""),1)</f>
        <v>1</v>
      </c>
    </row>
    <row r="3767" spans="1:5" ht="13">
      <c r="A3767" s="2" t="str">
        <f ca="1">IFERROR(__xludf.DUMMYFUNCTION("""COMPUTED_VALUE"""),"Hinds, David L.")</f>
        <v>Hinds, David L.</v>
      </c>
      <c r="B3767" s="2">
        <f ca="1">IFERROR(__xludf.DUMMYFUNCTION("""COMPUTED_VALUE"""),1)</f>
        <v>1</v>
      </c>
      <c r="C3767" s="7">
        <f ca="1">IFERROR(__xludf.DUMMYFUNCTION("""COMPUTED_VALUE"""),1)</f>
        <v>1</v>
      </c>
      <c r="D3767" s="8">
        <f ca="1">IFERROR(__xludf.DUMMYFUNCTION("""COMPUTED_VALUE"""),1)</f>
        <v>1</v>
      </c>
      <c r="E3767" s="2">
        <f ca="1">IFERROR(__xludf.DUMMYFUNCTION("""COMPUTED_VALUE"""),1)</f>
        <v>1</v>
      </c>
    </row>
    <row r="3768" spans="1:5" ht="13">
      <c r="A3768" s="2" t="str">
        <f ca="1">IFERROR(__xludf.DUMMYFUNCTION("""COMPUTED_VALUE"""),"Hindsley, Mark")</f>
        <v>Hindsley, Mark</v>
      </c>
      <c r="B3768" s="3">
        <f ca="1">IFERROR(__xludf.DUMMYFUNCTION("""COMPUTED_VALUE"""),1)</f>
        <v>1</v>
      </c>
      <c r="C3768" s="7">
        <f ca="1">IFERROR(__xludf.DUMMYFUNCTION("""COMPUTED_VALUE"""),1)</f>
        <v>1</v>
      </c>
      <c r="D3768" s="8">
        <f ca="1">IFERROR(__xludf.DUMMYFUNCTION("""COMPUTED_VALUE"""),5)</f>
        <v>5</v>
      </c>
      <c r="E3768" s="2">
        <f ca="1">IFERROR(__xludf.DUMMYFUNCTION("""COMPUTED_VALUE"""),2)</f>
        <v>2</v>
      </c>
    </row>
    <row r="3769" spans="1:5" ht="13">
      <c r="A3769" s="2" t="str">
        <f ca="1">IFERROR(__xludf.DUMMYFUNCTION("""COMPUTED_VALUE"""),"Hindson, Matthew")</f>
        <v>Hindson, Matthew</v>
      </c>
      <c r="B3769" s="2">
        <f ca="1">IFERROR(__xludf.DUMMYFUNCTION("""COMPUTED_VALUE"""),1)</f>
        <v>1</v>
      </c>
      <c r="C3769" s="2">
        <f ca="1">IFERROR(__xludf.DUMMYFUNCTION("""COMPUTED_VALUE"""),1)</f>
        <v>1</v>
      </c>
      <c r="D3769" s="8">
        <f ca="1">IFERROR(__xludf.DUMMYFUNCTION("""COMPUTED_VALUE"""),1)</f>
        <v>1</v>
      </c>
      <c r="E3769" s="2">
        <f ca="1">IFERROR(__xludf.DUMMYFUNCTION("""COMPUTED_VALUE"""),1)</f>
        <v>1</v>
      </c>
    </row>
    <row r="3770" spans="1:5" ht="13">
      <c r="A3770" s="2" t="str">
        <f ca="1">IFERROR(__xludf.DUMMYFUNCTION("""COMPUTED_VALUE"""),"Hine, Stewart K.")</f>
        <v>Hine, Stewart K.</v>
      </c>
      <c r="B3770" s="3">
        <f ca="1">IFERROR(__xludf.DUMMYFUNCTION("""COMPUTED_VALUE"""),1)</f>
        <v>1</v>
      </c>
      <c r="C3770" s="7">
        <f ca="1">IFERROR(__xludf.DUMMYFUNCTION("""COMPUTED_VALUE"""),1)</f>
        <v>1</v>
      </c>
      <c r="D3770" s="8">
        <f ca="1">IFERROR(__xludf.DUMMYFUNCTION("""COMPUTED_VALUE"""),1)</f>
        <v>1</v>
      </c>
      <c r="E3770" s="2">
        <f ca="1">IFERROR(__xludf.DUMMYFUNCTION("""COMPUTED_VALUE"""),1)</f>
        <v>1</v>
      </c>
    </row>
    <row r="3771" spans="1:5" ht="13">
      <c r="A3771" s="8" t="str">
        <f ca="1">IFERROR(__xludf.DUMMYFUNCTION("""COMPUTED_VALUE"""),"Hines, Robert")</f>
        <v>Hines, Robert</v>
      </c>
      <c r="B3771" s="3">
        <f ca="1">IFERROR(__xludf.DUMMYFUNCTION("""COMPUTED_VALUE"""),1)</f>
        <v>1</v>
      </c>
      <c r="C3771" s="7">
        <f ca="1">IFERROR(__xludf.DUMMYFUNCTION("""COMPUTED_VALUE"""),1)</f>
        <v>1</v>
      </c>
      <c r="D3771" s="8">
        <f ca="1">IFERROR(__xludf.DUMMYFUNCTION("""COMPUTED_VALUE"""),5)</f>
        <v>5</v>
      </c>
      <c r="E3771" s="2">
        <f ca="1">IFERROR(__xludf.DUMMYFUNCTION("""COMPUTED_VALUE"""),2)</f>
        <v>2</v>
      </c>
    </row>
    <row r="3772" spans="1:5" ht="13">
      <c r="A3772" s="2" t="str">
        <f ca="1">IFERROR(__xludf.DUMMYFUNCTION("""COMPUTED_VALUE"""),"Hines, Robert S.")</f>
        <v>Hines, Robert S.</v>
      </c>
      <c r="B3772" s="2">
        <f ca="1">IFERROR(__xludf.DUMMYFUNCTION("""COMPUTED_VALUE"""),1)</f>
        <v>1</v>
      </c>
      <c r="C3772" s="7">
        <f ca="1">IFERROR(__xludf.DUMMYFUNCTION("""COMPUTED_VALUE"""),1)</f>
        <v>1</v>
      </c>
      <c r="D3772" s="8">
        <f ca="1">IFERROR(__xludf.DUMMYFUNCTION("""COMPUTED_VALUE"""),5)</f>
        <v>5</v>
      </c>
      <c r="E3772" s="2">
        <f ca="1">IFERROR(__xludf.DUMMYFUNCTION("""COMPUTED_VALUE"""),2)</f>
        <v>2</v>
      </c>
    </row>
    <row r="3773" spans="1:5" ht="13">
      <c r="A3773" s="8" t="str">
        <f ca="1">IFERROR(__xludf.DUMMYFUNCTION("""COMPUTED_VALUE"""),"Hingley, Barrie")</f>
        <v>Hingley, Barrie</v>
      </c>
      <c r="B3773" s="3">
        <f ca="1">IFERROR(__xludf.DUMMYFUNCTION("""COMPUTED_VALUE"""),1)</f>
        <v>1</v>
      </c>
      <c r="C3773" s="7">
        <f ca="1">IFERROR(__xludf.DUMMYFUNCTION("""COMPUTED_VALUE"""),1)</f>
        <v>1</v>
      </c>
      <c r="D3773" s="8">
        <f ca="1">IFERROR(__xludf.DUMMYFUNCTION("""COMPUTED_VALUE"""),5)</f>
        <v>5</v>
      </c>
      <c r="E3773" s="2">
        <f ca="1">IFERROR(__xludf.DUMMYFUNCTION("""COMPUTED_VALUE"""),2)</f>
        <v>2</v>
      </c>
    </row>
    <row r="3774" spans="1:5" ht="13">
      <c r="A3774" s="2" t="str">
        <f ca="1">IFERROR(__xludf.DUMMYFUNCTION("""COMPUTED_VALUE"""),"Hinkel, Joshua")</f>
        <v>Hinkel, Joshua</v>
      </c>
      <c r="B3774" s="3">
        <f ca="1">IFERROR(__xludf.DUMMYFUNCTION("""COMPUTED_VALUE"""),1)</f>
        <v>1</v>
      </c>
      <c r="C3774" s="7">
        <f ca="1">IFERROR(__xludf.DUMMYFUNCTION("""COMPUTED_VALUE"""),1)</f>
        <v>1</v>
      </c>
      <c r="D3774" s="8">
        <f ca="1">IFERROR(__xludf.DUMMYFUNCTION("""COMPUTED_VALUE"""),1)</f>
        <v>1</v>
      </c>
      <c r="E3774" s="2">
        <f ca="1">IFERROR(__xludf.DUMMYFUNCTION("""COMPUTED_VALUE"""),1)</f>
        <v>1</v>
      </c>
    </row>
    <row r="3775" spans="1:5" ht="13">
      <c r="A3775" s="2" t="str">
        <f ca="1">IFERROR(__xludf.DUMMYFUNCTION("""COMPUTED_VALUE"""),"Hinkel, Joshua V.")</f>
        <v>Hinkel, Joshua V.</v>
      </c>
      <c r="B3775" s="3">
        <f ca="1">IFERROR(__xludf.DUMMYFUNCTION("""COMPUTED_VALUE"""),1)</f>
        <v>1</v>
      </c>
      <c r="C3775" s="7">
        <f ca="1">IFERROR(__xludf.DUMMYFUNCTION("""COMPUTED_VALUE"""),1)</f>
        <v>1</v>
      </c>
      <c r="D3775" s="8">
        <f ca="1">IFERROR(__xludf.DUMMYFUNCTION("""COMPUTED_VALUE"""),1)</f>
        <v>1</v>
      </c>
      <c r="E3775" s="2">
        <f ca="1">IFERROR(__xludf.DUMMYFUNCTION("""COMPUTED_VALUE"""),1)</f>
        <v>1</v>
      </c>
    </row>
    <row r="3776" spans="1:5" ht="13">
      <c r="A3776" s="8" t="str">
        <f ca="1">IFERROR(__xludf.DUMMYFUNCTION("""COMPUTED_VALUE"""),"Hinkle, Roy")</f>
        <v>Hinkle, Roy</v>
      </c>
      <c r="B3776" s="3">
        <f ca="1">IFERROR(__xludf.DUMMYFUNCTION("""COMPUTED_VALUE"""),1)</f>
        <v>1</v>
      </c>
      <c r="C3776" s="7">
        <f ca="1">IFERROR(__xludf.DUMMYFUNCTION("""COMPUTED_VALUE"""),1)</f>
        <v>1</v>
      </c>
      <c r="D3776" s="8">
        <f ca="1">IFERROR(__xludf.DUMMYFUNCTION("""COMPUTED_VALUE"""),5)</f>
        <v>5</v>
      </c>
      <c r="E3776" s="2">
        <f ca="1">IFERROR(__xludf.DUMMYFUNCTION("""COMPUTED_VALUE"""),2)</f>
        <v>2</v>
      </c>
    </row>
    <row r="3777" spans="1:5" ht="13">
      <c r="A3777" s="2" t="str">
        <f ca="1">IFERROR(__xludf.DUMMYFUNCTION("""COMPUTED_VALUE"""),"Hinnant, Henry")</f>
        <v>Hinnant, Henry</v>
      </c>
      <c r="B3777" s="3">
        <f ca="1">IFERROR(__xludf.DUMMYFUNCTION("""COMPUTED_VALUE"""),1)</f>
        <v>1</v>
      </c>
      <c r="C3777" s="7">
        <f ca="1">IFERROR(__xludf.DUMMYFUNCTION("""COMPUTED_VALUE"""),1)</f>
        <v>1</v>
      </c>
      <c r="D3777" s="8">
        <f ca="1">IFERROR(__xludf.DUMMYFUNCTION("""COMPUTED_VALUE"""),1)</f>
        <v>1</v>
      </c>
      <c r="E3777" s="2">
        <f ca="1">IFERROR(__xludf.DUMMYFUNCTION("""COMPUTED_VALUE"""),1)</f>
        <v>1</v>
      </c>
    </row>
    <row r="3778" spans="1:5" ht="13">
      <c r="A3778" s="2" t="str">
        <f ca="1">IFERROR(__xludf.DUMMYFUNCTION("""COMPUTED_VALUE"""),"Hinshaw, Don")</f>
        <v>Hinshaw, Don</v>
      </c>
      <c r="B3778" s="3">
        <f ca="1">IFERROR(__xludf.DUMMYFUNCTION("""COMPUTED_VALUE"""),1)</f>
        <v>1</v>
      </c>
      <c r="C3778" s="7">
        <f ca="1">IFERROR(__xludf.DUMMYFUNCTION("""COMPUTED_VALUE"""),1)</f>
        <v>1</v>
      </c>
      <c r="D3778" s="8">
        <f ca="1">IFERROR(__xludf.DUMMYFUNCTION("""COMPUTED_VALUE"""),1)</f>
        <v>1</v>
      </c>
      <c r="E3778" s="2">
        <f ca="1">IFERROR(__xludf.DUMMYFUNCTION("""COMPUTED_VALUE"""),1)</f>
        <v>1</v>
      </c>
    </row>
    <row r="3779" spans="1:5" ht="13">
      <c r="A3779" s="2" t="str">
        <f ca="1">IFERROR(__xludf.DUMMYFUNCTION("""COMPUTED_VALUE"""),"Hinshaw, Don / Lee, Scott K.")</f>
        <v>Hinshaw, Don / Lee, Scott K.</v>
      </c>
      <c r="B3779" s="2">
        <f ca="1">IFERROR(__xludf.DUMMYFUNCTION("""COMPUTED_VALUE"""),1)</f>
        <v>1</v>
      </c>
      <c r="C3779" s="2">
        <f ca="1">IFERROR(__xludf.DUMMYFUNCTION("""COMPUTED_VALUE"""),1)</f>
        <v>1</v>
      </c>
      <c r="D3779" s="8">
        <f ca="1">IFERROR(__xludf.DUMMYFUNCTION("""COMPUTED_VALUE"""),1)</f>
        <v>1</v>
      </c>
      <c r="E3779" s="2">
        <f ca="1">IFERROR(__xludf.DUMMYFUNCTION("""COMPUTED_VALUE"""),1)</f>
        <v>1</v>
      </c>
    </row>
    <row r="3780" spans="1:5" ht="13">
      <c r="A3780" s="2" t="str">
        <f ca="1">IFERROR(__xludf.DUMMYFUNCTION("""COMPUTED_VALUE"""),"Hirsch, Rick")</f>
        <v>Hirsch, Rick</v>
      </c>
      <c r="B3780" s="3">
        <f ca="1">IFERROR(__xludf.DUMMYFUNCTION("""COMPUTED_VALUE"""),1)</f>
        <v>1</v>
      </c>
      <c r="C3780" s="7">
        <f ca="1">IFERROR(__xludf.DUMMYFUNCTION("""COMPUTED_VALUE"""),1)</f>
        <v>1</v>
      </c>
      <c r="D3780" s="8">
        <f ca="1">IFERROR(__xludf.DUMMYFUNCTION("""COMPUTED_VALUE"""),1)</f>
        <v>1</v>
      </c>
      <c r="E3780" s="2">
        <f ca="1">IFERROR(__xludf.DUMMYFUNCTION("""COMPUTED_VALUE"""),1)</f>
        <v>1</v>
      </c>
    </row>
    <row r="3781" spans="1:5" ht="13">
      <c r="A3781" s="2" t="str">
        <f ca="1">IFERROR(__xludf.DUMMYFUNCTION("""COMPUTED_VALUE"""),"Hirsch, Scott")</f>
        <v>Hirsch, Scott</v>
      </c>
      <c r="B3781" s="3">
        <f ca="1">IFERROR(__xludf.DUMMYFUNCTION("""COMPUTED_VALUE"""),1)</f>
        <v>1</v>
      </c>
      <c r="C3781" s="7">
        <f ca="1">IFERROR(__xludf.DUMMYFUNCTION("""COMPUTED_VALUE"""),1)</f>
        <v>1</v>
      </c>
      <c r="D3781" s="8">
        <f ca="1">IFERROR(__xludf.DUMMYFUNCTION("""COMPUTED_VALUE"""),1)</f>
        <v>1</v>
      </c>
      <c r="E3781" s="2">
        <f ca="1">IFERROR(__xludf.DUMMYFUNCTION("""COMPUTED_VALUE"""),1)</f>
        <v>1</v>
      </c>
    </row>
    <row r="3782" spans="1:5" ht="13">
      <c r="A3782" s="2" t="str">
        <f ca="1">IFERROR(__xludf.DUMMYFUNCTION("""COMPUTED_VALUE"""),"Hirschberger, Albericus")</f>
        <v>Hirschberger, Albericus</v>
      </c>
      <c r="B3782" s="3">
        <f ca="1">IFERROR(__xludf.DUMMYFUNCTION("""COMPUTED_VALUE"""),1)</f>
        <v>1</v>
      </c>
      <c r="C3782" s="7">
        <f ca="1">IFERROR(__xludf.DUMMYFUNCTION("""COMPUTED_VALUE"""),1)</f>
        <v>1</v>
      </c>
      <c r="D3782" s="8">
        <f ca="1">IFERROR(__xludf.DUMMYFUNCTION("""COMPUTED_VALUE"""),5)</f>
        <v>5</v>
      </c>
      <c r="E3782" s="2">
        <f ca="1">IFERROR(__xludf.DUMMYFUNCTION("""COMPUTED_VALUE"""),2)</f>
        <v>2</v>
      </c>
    </row>
    <row r="3783" spans="1:5" ht="13">
      <c r="A3783" s="8" t="str">
        <f ca="1">IFERROR(__xludf.DUMMYFUNCTION("""COMPUTED_VALUE"""),"Hirt, Charles")</f>
        <v>Hirt, Charles</v>
      </c>
      <c r="B3783" s="3">
        <f ca="1">IFERROR(__xludf.DUMMYFUNCTION("""COMPUTED_VALUE"""),1)</f>
        <v>1</v>
      </c>
      <c r="C3783" s="7">
        <f ca="1">IFERROR(__xludf.DUMMYFUNCTION("""COMPUTED_VALUE"""),1)</f>
        <v>1</v>
      </c>
      <c r="D3783" s="8">
        <f ca="1">IFERROR(__xludf.DUMMYFUNCTION("""COMPUTED_VALUE"""),5)</f>
        <v>5</v>
      </c>
      <c r="E3783" s="2">
        <f ca="1">IFERROR(__xludf.DUMMYFUNCTION("""COMPUTED_VALUE"""),2)</f>
        <v>2</v>
      </c>
    </row>
    <row r="3784" spans="1:5" ht="13">
      <c r="A3784" s="2" t="str">
        <f ca="1">IFERROR(__xludf.DUMMYFUNCTION("""COMPUTED_VALUE"""),"Hirten, John Karl")</f>
        <v>Hirten, John Karl</v>
      </c>
      <c r="B3784" s="3">
        <f ca="1">IFERROR(__xludf.DUMMYFUNCTION("""COMPUTED_VALUE"""),1)</f>
        <v>1</v>
      </c>
      <c r="C3784" s="7">
        <f ca="1">IFERROR(__xludf.DUMMYFUNCTION("""COMPUTED_VALUE"""),1)</f>
        <v>1</v>
      </c>
      <c r="D3784" s="8">
        <f ca="1">IFERROR(__xludf.DUMMYFUNCTION("""COMPUTED_VALUE"""),1)</f>
        <v>1</v>
      </c>
      <c r="E3784" s="2">
        <f ca="1">IFERROR(__xludf.DUMMYFUNCTION("""COMPUTED_VALUE"""),1)</f>
        <v>1</v>
      </c>
    </row>
    <row r="3785" spans="1:5" ht="13">
      <c r="A3785" s="2" t="str">
        <f ca="1">IFERROR(__xludf.DUMMYFUNCTION("""COMPUTED_VALUE"""),"Hiser, David")</f>
        <v>Hiser, David</v>
      </c>
      <c r="B3785" s="3">
        <f ca="1">IFERROR(__xludf.DUMMYFUNCTION("""COMPUTED_VALUE"""),1)</f>
        <v>1</v>
      </c>
      <c r="C3785" s="7">
        <f ca="1">IFERROR(__xludf.DUMMYFUNCTION("""COMPUTED_VALUE"""),1)</f>
        <v>1</v>
      </c>
      <c r="D3785" s="8">
        <f ca="1">IFERROR(__xludf.DUMMYFUNCTION("""COMPUTED_VALUE"""),1)</f>
        <v>1</v>
      </c>
      <c r="E3785" s="2">
        <f ca="1">IFERROR(__xludf.DUMMYFUNCTION("""COMPUTED_VALUE"""),1)</f>
        <v>1</v>
      </c>
    </row>
    <row r="3786" spans="1:5" ht="13">
      <c r="A3786" s="2" t="str">
        <f ca="1">IFERROR(__xludf.DUMMYFUNCTION("""COMPUTED_VALUE"""),"Hitchcock, H. Wiley")</f>
        <v>Hitchcock, H. Wiley</v>
      </c>
      <c r="B3786" s="2">
        <f ca="1">IFERROR(__xludf.DUMMYFUNCTION("""COMPUTED_VALUE"""),1)</f>
        <v>1</v>
      </c>
      <c r="C3786" s="2">
        <f ca="1">IFERROR(__xludf.DUMMYFUNCTION("""COMPUTED_VALUE"""),1)</f>
        <v>1</v>
      </c>
      <c r="D3786" s="8">
        <f ca="1">IFERROR(__xludf.DUMMYFUNCTION("""COMPUTED_VALUE"""),5)</f>
        <v>5</v>
      </c>
      <c r="E3786" s="2">
        <f ca="1">IFERROR(__xludf.DUMMYFUNCTION("""COMPUTED_VALUE"""),2)</f>
        <v>2</v>
      </c>
    </row>
    <row r="3787" spans="1:5" ht="13">
      <c r="A3787" s="8" t="str">
        <f ca="1">IFERROR(__xludf.DUMMYFUNCTION("""COMPUTED_VALUE"""),"Hite, David")</f>
        <v>Hite, David</v>
      </c>
      <c r="B3787" s="3">
        <f ca="1">IFERROR(__xludf.DUMMYFUNCTION("""COMPUTED_VALUE"""),1)</f>
        <v>1</v>
      </c>
      <c r="C3787" s="7">
        <f ca="1">IFERROR(__xludf.DUMMYFUNCTION("""COMPUTED_VALUE"""),1)</f>
        <v>1</v>
      </c>
      <c r="D3787" s="8">
        <f ca="1">IFERROR(__xludf.DUMMYFUNCTION("""COMPUTED_VALUE"""),5)</f>
        <v>5</v>
      </c>
      <c r="E3787" s="2">
        <f ca="1">IFERROR(__xludf.DUMMYFUNCTION("""COMPUTED_VALUE"""),2)</f>
        <v>2</v>
      </c>
    </row>
    <row r="3788" spans="1:5" ht="13">
      <c r="A3788" s="2" t="str">
        <f ca="1">IFERROR(__xludf.DUMMYFUNCTION("""COMPUTED_VALUE"""),"Hitzemann, Karl")</f>
        <v>Hitzemann, Karl</v>
      </c>
      <c r="B3788" s="3">
        <f ca="1">IFERROR(__xludf.DUMMYFUNCTION("""COMPUTED_VALUE"""),1)</f>
        <v>1</v>
      </c>
      <c r="C3788" s="7">
        <f ca="1">IFERROR(__xludf.DUMMYFUNCTION("""COMPUTED_VALUE"""),1)</f>
        <v>1</v>
      </c>
      <c r="D3788" s="8">
        <f ca="1">IFERROR(__xludf.DUMMYFUNCTION("""COMPUTED_VALUE"""),1)</f>
        <v>1</v>
      </c>
      <c r="E3788" s="2">
        <f ca="1">IFERROR(__xludf.DUMMYFUNCTION("""COMPUTED_VALUE"""),1)</f>
        <v>1</v>
      </c>
    </row>
    <row r="3789" spans="1:5" ht="13">
      <c r="A3789" s="2" t="str">
        <f ca="1">IFERROR(__xludf.DUMMYFUNCTION("""COMPUTED_VALUE"""),"Hoag, Charles")</f>
        <v>Hoag, Charles</v>
      </c>
      <c r="B3789" s="3">
        <f ca="1">IFERROR(__xludf.DUMMYFUNCTION("""COMPUTED_VALUE"""),1)</f>
        <v>1</v>
      </c>
      <c r="C3789" s="7">
        <f ca="1">IFERROR(__xludf.DUMMYFUNCTION("""COMPUTED_VALUE"""),1)</f>
        <v>1</v>
      </c>
      <c r="D3789" s="8">
        <f ca="1">IFERROR(__xludf.DUMMYFUNCTION("""COMPUTED_VALUE"""),5)</f>
        <v>5</v>
      </c>
      <c r="E3789" s="2">
        <f ca="1">IFERROR(__xludf.DUMMYFUNCTION("""COMPUTED_VALUE"""),2)</f>
        <v>2</v>
      </c>
    </row>
    <row r="3790" spans="1:5" ht="13">
      <c r="A3790" s="8" t="str">
        <f ca="1">IFERROR(__xludf.DUMMYFUNCTION("""COMPUTED_VALUE"""),"Hobbs, Joe")</f>
        <v>Hobbs, Joe</v>
      </c>
      <c r="B3790" s="3">
        <f ca="1">IFERROR(__xludf.DUMMYFUNCTION("""COMPUTED_VALUE"""),1)</f>
        <v>1</v>
      </c>
      <c r="C3790" s="7">
        <f ca="1">IFERROR(__xludf.DUMMYFUNCTION("""COMPUTED_VALUE"""),1)</f>
        <v>1</v>
      </c>
      <c r="D3790" s="8">
        <f ca="1">IFERROR(__xludf.DUMMYFUNCTION("""COMPUTED_VALUE"""),1)</f>
        <v>1</v>
      </c>
      <c r="E3790" s="2">
        <f ca="1">IFERROR(__xludf.DUMMYFUNCTION("""COMPUTED_VALUE"""),1)</f>
        <v>1</v>
      </c>
    </row>
    <row r="3791" spans="1:5" ht="13">
      <c r="A3791" s="2" t="str">
        <f ca="1">IFERROR(__xludf.DUMMYFUNCTION("""COMPUTED_VALUE"""),"Hobbs, Josh")</f>
        <v>Hobbs, Josh</v>
      </c>
      <c r="B3791" s="2">
        <f ca="1">IFERROR(__xludf.DUMMYFUNCTION("""COMPUTED_VALUE"""),1)</f>
        <v>1</v>
      </c>
      <c r="C3791" s="7">
        <f ca="1">IFERROR(__xludf.DUMMYFUNCTION("""COMPUTED_VALUE"""),1)</f>
        <v>1</v>
      </c>
      <c r="D3791" s="8">
        <f ca="1">IFERROR(__xludf.DUMMYFUNCTION("""COMPUTED_VALUE"""),1)</f>
        <v>1</v>
      </c>
      <c r="E3791" s="2">
        <f ca="1">IFERROR(__xludf.DUMMYFUNCTION("""COMPUTED_VALUE"""),1)</f>
        <v>1</v>
      </c>
    </row>
    <row r="3792" spans="1:5" ht="13">
      <c r="A3792" s="2" t="str">
        <f ca="1">IFERROR(__xludf.DUMMYFUNCTION("""COMPUTED_VALUE"""),"Hobbs, Joshua")</f>
        <v>Hobbs, Joshua</v>
      </c>
      <c r="B3792" s="3">
        <f ca="1">IFERROR(__xludf.DUMMYFUNCTION("""COMPUTED_VALUE"""),1)</f>
        <v>1</v>
      </c>
      <c r="C3792" s="7">
        <f ca="1">IFERROR(__xludf.DUMMYFUNCTION("""COMPUTED_VALUE"""),1)</f>
        <v>1</v>
      </c>
      <c r="D3792" s="8">
        <f ca="1">IFERROR(__xludf.DUMMYFUNCTION("""COMPUTED_VALUE"""),1)</f>
        <v>1</v>
      </c>
      <c r="E3792" s="2">
        <f ca="1">IFERROR(__xludf.DUMMYFUNCTION("""COMPUTED_VALUE"""),1)</f>
        <v>1</v>
      </c>
    </row>
    <row r="3793" spans="1:5" ht="13">
      <c r="A3793" s="2" t="str">
        <f ca="1">IFERROR(__xludf.DUMMYFUNCTION("""COMPUTED_VALUE"""),"Höckner, Hilmar")</f>
        <v>Höckner, Hilmar</v>
      </c>
      <c r="B3793" s="2">
        <f ca="1">IFERROR(__xludf.DUMMYFUNCTION("""COMPUTED_VALUE"""),1)</f>
        <v>1</v>
      </c>
      <c r="C3793" s="7">
        <f ca="1">IFERROR(__xludf.DUMMYFUNCTION("""COMPUTED_VALUE"""),1)</f>
        <v>1</v>
      </c>
      <c r="D3793" s="8">
        <f ca="1">IFERROR(__xludf.DUMMYFUNCTION("""COMPUTED_VALUE"""),5)</f>
        <v>5</v>
      </c>
      <c r="E3793" s="2">
        <f ca="1">IFERROR(__xludf.DUMMYFUNCTION("""COMPUTED_VALUE"""),2)</f>
        <v>2</v>
      </c>
    </row>
    <row r="3794" spans="1:5" ht="13">
      <c r="A3794" s="8" t="str">
        <f ca="1">IFERROR(__xludf.DUMMYFUNCTION("""COMPUTED_VALUE"""),"Hoddinott, Alun")</f>
        <v>Hoddinott, Alun</v>
      </c>
      <c r="B3794" s="2">
        <f ca="1">IFERROR(__xludf.DUMMYFUNCTION("""COMPUTED_VALUE"""),1)</f>
        <v>1</v>
      </c>
      <c r="C3794" s="7">
        <f ca="1">IFERROR(__xludf.DUMMYFUNCTION("""COMPUTED_VALUE"""),1)</f>
        <v>1</v>
      </c>
      <c r="D3794" s="8">
        <f ca="1">IFERROR(__xludf.DUMMYFUNCTION("""COMPUTED_VALUE"""),5)</f>
        <v>5</v>
      </c>
      <c r="E3794" s="2">
        <f ca="1">IFERROR(__xludf.DUMMYFUNCTION("""COMPUTED_VALUE"""),2)</f>
        <v>2</v>
      </c>
    </row>
    <row r="3795" spans="1:5" ht="13">
      <c r="A3795" s="2" t="str">
        <f ca="1">IFERROR(__xludf.DUMMYFUNCTION("""COMPUTED_VALUE"""),"Hodge, Huck")</f>
        <v>Hodge, Huck</v>
      </c>
      <c r="B3795" s="3">
        <f ca="1">IFERROR(__xludf.DUMMYFUNCTION("""COMPUTED_VALUE"""),1)</f>
        <v>1</v>
      </c>
      <c r="C3795" s="7">
        <f ca="1">IFERROR(__xludf.DUMMYFUNCTION("""COMPUTED_VALUE"""),1)</f>
        <v>1</v>
      </c>
      <c r="D3795" s="8">
        <f ca="1">IFERROR(__xludf.DUMMYFUNCTION("""COMPUTED_VALUE"""),1)</f>
        <v>1</v>
      </c>
      <c r="E3795" s="2">
        <f ca="1">IFERROR(__xludf.DUMMYFUNCTION("""COMPUTED_VALUE"""),1)</f>
        <v>1</v>
      </c>
    </row>
    <row r="3796" spans="1:5" ht="13">
      <c r="A3796" s="2" t="str">
        <f ca="1">IFERROR(__xludf.DUMMYFUNCTION("""COMPUTED_VALUE"""),"Hodge, Stephen")</f>
        <v>Hodge, Stephen</v>
      </c>
      <c r="B3796" s="3">
        <f ca="1">IFERROR(__xludf.DUMMYFUNCTION("""COMPUTED_VALUE"""),1)</f>
        <v>1</v>
      </c>
      <c r="C3796" s="7">
        <f ca="1">IFERROR(__xludf.DUMMYFUNCTION("""COMPUTED_VALUE"""),1)</f>
        <v>1</v>
      </c>
      <c r="D3796" s="8">
        <f ca="1">IFERROR(__xludf.DUMMYFUNCTION("""COMPUTED_VALUE"""),1)</f>
        <v>1</v>
      </c>
      <c r="E3796" s="2">
        <f ca="1">IFERROR(__xludf.DUMMYFUNCTION("""COMPUTED_VALUE"""),1)</f>
        <v>1</v>
      </c>
    </row>
    <row r="3797" spans="1:5" ht="13">
      <c r="A3797" s="2" t="str">
        <f ca="1">IFERROR(__xludf.DUMMYFUNCTION("""COMPUTED_VALUE"""),"Hodges, Steve")</f>
        <v>Hodges, Steve</v>
      </c>
      <c r="B3797" s="3">
        <f ca="1">IFERROR(__xludf.DUMMYFUNCTION("""COMPUTED_VALUE"""),1)</f>
        <v>1</v>
      </c>
      <c r="C3797" s="7">
        <f ca="1">IFERROR(__xludf.DUMMYFUNCTION("""COMPUTED_VALUE"""),1)</f>
        <v>1</v>
      </c>
      <c r="D3797" s="8">
        <f ca="1">IFERROR(__xludf.DUMMYFUNCTION("""COMPUTED_VALUE"""),1)</f>
        <v>1</v>
      </c>
      <c r="E3797" s="2">
        <f ca="1">IFERROR(__xludf.DUMMYFUNCTION("""COMPUTED_VALUE"""),1)</f>
        <v>1</v>
      </c>
    </row>
    <row r="3798" spans="1:5" ht="13">
      <c r="A3798" s="2" t="str">
        <f ca="1">IFERROR(__xludf.DUMMYFUNCTION("""COMPUTED_VALUE"""),"Hodkinson, Sydney")</f>
        <v>Hodkinson, Sydney</v>
      </c>
      <c r="B3798" s="3">
        <f ca="1">IFERROR(__xludf.DUMMYFUNCTION("""COMPUTED_VALUE"""),1)</f>
        <v>1</v>
      </c>
      <c r="C3798" s="7">
        <f ca="1">IFERROR(__xludf.DUMMYFUNCTION("""COMPUTED_VALUE"""),1)</f>
        <v>1</v>
      </c>
      <c r="D3798" s="8">
        <f ca="1">IFERROR(__xludf.DUMMYFUNCTION("""COMPUTED_VALUE"""),5)</f>
        <v>5</v>
      </c>
      <c r="E3798" s="2">
        <f ca="1">IFERROR(__xludf.DUMMYFUNCTION("""COMPUTED_VALUE"""),2)</f>
        <v>2</v>
      </c>
    </row>
    <row r="3799" spans="1:5" ht="13">
      <c r="A3799" s="2" t="str">
        <f ca="1">IFERROR(__xludf.DUMMYFUNCTION("""COMPUTED_VALUE"""),"Hoelty-Nickel, Theodore")</f>
        <v>Hoelty-Nickel, Theodore</v>
      </c>
      <c r="B3799" s="3">
        <f ca="1">IFERROR(__xludf.DUMMYFUNCTION("""COMPUTED_VALUE"""),1)</f>
        <v>1</v>
      </c>
      <c r="C3799" s="7">
        <f ca="1">IFERROR(__xludf.DUMMYFUNCTION("""COMPUTED_VALUE"""),1)</f>
        <v>1</v>
      </c>
      <c r="D3799" s="8">
        <f ca="1">IFERROR(__xludf.DUMMYFUNCTION("""COMPUTED_VALUE"""),5)</f>
        <v>5</v>
      </c>
      <c r="E3799" s="2">
        <f ca="1">IFERROR(__xludf.DUMMYFUNCTION("""COMPUTED_VALUE"""),2)</f>
        <v>2</v>
      </c>
    </row>
    <row r="3800" spans="1:5" ht="13">
      <c r="A3800" s="2" t="str">
        <f ca="1">IFERROR(__xludf.DUMMYFUNCTION("""COMPUTED_VALUE"""),"Hoeltzel, Greg")</f>
        <v>Hoeltzel, Greg</v>
      </c>
      <c r="B3800" s="3">
        <f ca="1">IFERROR(__xludf.DUMMYFUNCTION("""COMPUTED_VALUE"""),1)</f>
        <v>1</v>
      </c>
      <c r="C3800" s="7">
        <f ca="1">IFERROR(__xludf.DUMMYFUNCTION("""COMPUTED_VALUE"""),1)</f>
        <v>1</v>
      </c>
      <c r="D3800" s="8">
        <f ca="1">IFERROR(__xludf.DUMMYFUNCTION("""COMPUTED_VALUE"""),1)</f>
        <v>1</v>
      </c>
      <c r="E3800" s="2">
        <f ca="1">IFERROR(__xludf.DUMMYFUNCTION("""COMPUTED_VALUE"""),1)</f>
        <v>1</v>
      </c>
    </row>
    <row r="3801" spans="1:5" ht="13">
      <c r="A3801" s="2" t="str">
        <f ca="1">IFERROR(__xludf.DUMMYFUNCTION("""COMPUTED_VALUE"""),"Hofeldt, William")</f>
        <v>Hofeldt, William</v>
      </c>
      <c r="B3801" s="3">
        <f ca="1">IFERROR(__xludf.DUMMYFUNCTION("""COMPUTED_VALUE"""),1)</f>
        <v>1</v>
      </c>
      <c r="C3801" s="7">
        <f ca="1">IFERROR(__xludf.DUMMYFUNCTION("""COMPUTED_VALUE"""),1)</f>
        <v>1</v>
      </c>
      <c r="D3801" s="8">
        <f ca="1">IFERROR(__xludf.DUMMYFUNCTION("""COMPUTED_VALUE"""),1)</f>
        <v>1</v>
      </c>
      <c r="E3801" s="2">
        <f ca="1">IFERROR(__xludf.DUMMYFUNCTION("""COMPUTED_VALUE"""),1)</f>
        <v>1</v>
      </c>
    </row>
    <row r="3802" spans="1:5" ht="13">
      <c r="A3802" s="2" t="str">
        <f ca="1">IFERROR(__xludf.DUMMYFUNCTION("""COMPUTED_VALUE"""),"Hoffman, Adolf")</f>
        <v>Hoffman, Adolf</v>
      </c>
      <c r="B3802" s="3">
        <f ca="1">IFERROR(__xludf.DUMMYFUNCTION("""COMPUTED_VALUE"""),1)</f>
        <v>1</v>
      </c>
      <c r="C3802" s="7">
        <f ca="1">IFERROR(__xludf.DUMMYFUNCTION("""COMPUTED_VALUE"""),1)</f>
        <v>1</v>
      </c>
      <c r="D3802" s="8">
        <f ca="1">IFERROR(__xludf.DUMMYFUNCTION("""COMPUTED_VALUE"""),5)</f>
        <v>5</v>
      </c>
      <c r="E3802" s="2">
        <f ca="1">IFERROR(__xludf.DUMMYFUNCTION("""COMPUTED_VALUE"""),2)</f>
        <v>2</v>
      </c>
    </row>
    <row r="3803" spans="1:5" ht="13">
      <c r="A3803" s="8" t="str">
        <f ca="1">IFERROR(__xludf.DUMMYFUNCTION("""COMPUTED_VALUE"""),"Hoffman, Garret")</f>
        <v>Hoffman, Garret</v>
      </c>
      <c r="B3803" s="3">
        <f ca="1">IFERROR(__xludf.DUMMYFUNCTION("""COMPUTED_VALUE"""),1)</f>
        <v>1</v>
      </c>
      <c r="C3803" s="7">
        <f ca="1">IFERROR(__xludf.DUMMYFUNCTION("""COMPUTED_VALUE"""),1)</f>
        <v>1</v>
      </c>
      <c r="D3803" s="8">
        <f ca="1">IFERROR(__xludf.DUMMYFUNCTION("""COMPUTED_VALUE"""),1)</f>
        <v>1</v>
      </c>
      <c r="E3803" s="2">
        <f ca="1">IFERROR(__xludf.DUMMYFUNCTION("""COMPUTED_VALUE"""),1)</f>
        <v>1</v>
      </c>
    </row>
    <row r="3804" spans="1:5" ht="13">
      <c r="A3804" s="2" t="str">
        <f ca="1">IFERROR(__xludf.DUMMYFUNCTION("""COMPUTED_VALUE"""),"Hoffman, Jamin")</f>
        <v>Hoffman, Jamin</v>
      </c>
      <c r="B3804" s="2">
        <f ca="1">IFERROR(__xludf.DUMMYFUNCTION("""COMPUTED_VALUE"""),1)</f>
        <v>1</v>
      </c>
      <c r="C3804" s="7">
        <f ca="1">IFERROR(__xludf.DUMMYFUNCTION("""COMPUTED_VALUE"""),1)</f>
        <v>1</v>
      </c>
      <c r="D3804" s="8">
        <f ca="1">IFERROR(__xludf.DUMMYFUNCTION("""COMPUTED_VALUE"""),1)</f>
        <v>1</v>
      </c>
      <c r="E3804" s="2">
        <f ca="1">IFERROR(__xludf.DUMMYFUNCTION("""COMPUTED_VALUE"""),1)</f>
        <v>1</v>
      </c>
    </row>
    <row r="3805" spans="1:5" ht="13">
      <c r="A3805" s="2" t="str">
        <f ca="1">IFERROR(__xludf.DUMMYFUNCTION("""COMPUTED_VALUE"""),"Hoffman, Joel")</f>
        <v>Hoffman, Joel</v>
      </c>
      <c r="B3805" s="2">
        <f ca="1">IFERROR(__xludf.DUMMYFUNCTION("""COMPUTED_VALUE"""),1)</f>
        <v>1</v>
      </c>
      <c r="C3805" s="2">
        <f ca="1">IFERROR(__xludf.DUMMYFUNCTION("""COMPUTED_VALUE"""),1)</f>
        <v>1</v>
      </c>
      <c r="D3805" s="8">
        <f ca="1">IFERROR(__xludf.DUMMYFUNCTION("""COMPUTED_VALUE"""),1)</f>
        <v>1</v>
      </c>
      <c r="E3805" s="2">
        <f ca="1">IFERROR(__xludf.DUMMYFUNCTION("""COMPUTED_VALUE"""),1)</f>
        <v>1</v>
      </c>
    </row>
    <row r="3806" spans="1:5" ht="13">
      <c r="A3806" s="2" t="str">
        <f ca="1">IFERROR(__xludf.DUMMYFUNCTION("""COMPUTED_VALUE"""),"Hoffman, Stanley M.")</f>
        <v>Hoffman, Stanley M.</v>
      </c>
      <c r="B3806" s="3">
        <f ca="1">IFERROR(__xludf.DUMMYFUNCTION("""COMPUTED_VALUE"""),1)</f>
        <v>1</v>
      </c>
      <c r="C3806" s="7">
        <f ca="1">IFERROR(__xludf.DUMMYFUNCTION("""COMPUTED_VALUE"""),1)</f>
        <v>1</v>
      </c>
      <c r="D3806" s="8">
        <f ca="1">IFERROR(__xludf.DUMMYFUNCTION("""COMPUTED_VALUE"""),1)</f>
        <v>1</v>
      </c>
      <c r="E3806" s="2">
        <f ca="1">IFERROR(__xludf.DUMMYFUNCTION("""COMPUTED_VALUE"""),1)</f>
        <v>1</v>
      </c>
    </row>
    <row r="3807" spans="1:5" ht="13">
      <c r="A3807" s="2" t="str">
        <f ca="1">IFERROR(__xludf.DUMMYFUNCTION("""COMPUTED_VALUE"""),"Hoffmann, Jason")</f>
        <v>Hoffmann, Jason</v>
      </c>
      <c r="B3807" s="3">
        <f ca="1">IFERROR(__xludf.DUMMYFUNCTION("""COMPUTED_VALUE"""),1)</f>
        <v>1</v>
      </c>
      <c r="C3807" s="7">
        <f ca="1">IFERROR(__xludf.DUMMYFUNCTION("""COMPUTED_VALUE"""),1)</f>
        <v>1</v>
      </c>
      <c r="D3807" s="8">
        <f ca="1">IFERROR(__xludf.DUMMYFUNCTION("""COMPUTED_VALUE"""),1)</f>
        <v>1</v>
      </c>
      <c r="E3807" s="2">
        <f ca="1">IFERROR(__xludf.DUMMYFUNCTION("""COMPUTED_VALUE"""),1)</f>
        <v>1</v>
      </c>
    </row>
    <row r="3808" spans="1:5" ht="13">
      <c r="A3808" s="2" t="str">
        <f ca="1">IFERROR(__xludf.DUMMYFUNCTION("""COMPUTED_VALUE"""),"Hoffmeister, Franz Anton")</f>
        <v>Hoffmeister, Franz Anton</v>
      </c>
      <c r="B3808" s="3">
        <f ca="1">IFERROR(__xludf.DUMMYFUNCTION("""COMPUTED_VALUE"""),1)</f>
        <v>1</v>
      </c>
      <c r="C3808" s="7">
        <f ca="1">IFERROR(__xludf.DUMMYFUNCTION("""COMPUTED_VALUE"""),1)</f>
        <v>1</v>
      </c>
      <c r="D3808" s="8">
        <f ca="1">IFERROR(__xludf.DUMMYFUNCTION("""COMPUTED_VALUE"""),5)</f>
        <v>5</v>
      </c>
      <c r="E3808" s="2">
        <f ca="1">IFERROR(__xludf.DUMMYFUNCTION("""COMPUTED_VALUE"""),2)</f>
        <v>2</v>
      </c>
    </row>
    <row r="3809" spans="1:5" ht="13">
      <c r="A3809" s="8" t="str">
        <f ca="1">IFERROR(__xludf.DUMMYFUNCTION("""COMPUTED_VALUE"""),"Hofmeyr, Hendrik")</f>
        <v>Hofmeyr, Hendrik</v>
      </c>
      <c r="B3809" s="3">
        <f ca="1">IFERROR(__xludf.DUMMYFUNCTION("""COMPUTED_VALUE"""),1)</f>
        <v>1</v>
      </c>
      <c r="C3809" s="7">
        <f ca="1">IFERROR(__xludf.DUMMYFUNCTION("""COMPUTED_VALUE"""),1)</f>
        <v>1</v>
      </c>
      <c r="D3809" s="8">
        <f ca="1">IFERROR(__xludf.DUMMYFUNCTION("""COMPUTED_VALUE"""),1)</f>
        <v>1</v>
      </c>
      <c r="E3809" s="2">
        <f ca="1">IFERROR(__xludf.DUMMYFUNCTION("""COMPUTED_VALUE"""),1)</f>
        <v>1</v>
      </c>
    </row>
    <row r="3810" spans="1:5" ht="13">
      <c r="A3810" s="2" t="str">
        <f ca="1">IFERROR(__xludf.DUMMYFUNCTION("""COMPUTED_VALUE"""),"Hogarth, Ted")</f>
        <v>Hogarth, Ted</v>
      </c>
      <c r="B3810" s="3">
        <f ca="1">IFERROR(__xludf.DUMMYFUNCTION("""COMPUTED_VALUE"""),1)</f>
        <v>1</v>
      </c>
      <c r="C3810" s="7">
        <f ca="1">IFERROR(__xludf.DUMMYFUNCTION("""COMPUTED_VALUE"""),1)</f>
        <v>1</v>
      </c>
      <c r="D3810" s="8">
        <f ca="1">IFERROR(__xludf.DUMMYFUNCTION("""COMPUTED_VALUE"""),1)</f>
        <v>1</v>
      </c>
      <c r="E3810" s="2">
        <f ca="1">IFERROR(__xludf.DUMMYFUNCTION("""COMPUTED_VALUE"""),1)</f>
        <v>1</v>
      </c>
    </row>
    <row r="3811" spans="1:5" ht="13">
      <c r="A3811" s="2" t="str">
        <f ca="1">IFERROR(__xludf.DUMMYFUNCTION("""COMPUTED_VALUE"""),"Hogg, Brian")</f>
        <v>Hogg, Brian</v>
      </c>
      <c r="B3811" s="3">
        <f ca="1">IFERROR(__xludf.DUMMYFUNCTION("""COMPUTED_VALUE"""),1)</f>
        <v>1</v>
      </c>
      <c r="C3811" s="7">
        <f ca="1">IFERROR(__xludf.DUMMYFUNCTION("""COMPUTED_VALUE"""),1)</f>
        <v>1</v>
      </c>
      <c r="D3811" s="8">
        <f ca="1">IFERROR(__xludf.DUMMYFUNCTION("""COMPUTED_VALUE"""),1)</f>
        <v>1</v>
      </c>
      <c r="E3811" s="2">
        <f ca="1">IFERROR(__xludf.DUMMYFUNCTION("""COMPUTED_VALUE"""),1)</f>
        <v>1</v>
      </c>
    </row>
    <row r="3812" spans="1:5" ht="13">
      <c r="A3812" s="2" t="str">
        <f ca="1">IFERROR(__xludf.DUMMYFUNCTION("""COMPUTED_VALUE"""),"Hogg, Merle")</f>
        <v>Hogg, Merle</v>
      </c>
      <c r="B3812" s="2">
        <f ca="1">IFERROR(__xludf.DUMMYFUNCTION("""COMPUTED_VALUE"""),1)</f>
        <v>1</v>
      </c>
      <c r="C3812" s="7">
        <f ca="1">IFERROR(__xludf.DUMMYFUNCTION("""COMPUTED_VALUE"""),1)</f>
        <v>1</v>
      </c>
      <c r="D3812" s="8">
        <f ca="1">IFERROR(__xludf.DUMMYFUNCTION("""COMPUTED_VALUE"""),5)</f>
        <v>5</v>
      </c>
      <c r="E3812" s="2">
        <f ca="1">IFERROR(__xludf.DUMMYFUNCTION("""COMPUTED_VALUE"""),2)</f>
        <v>2</v>
      </c>
    </row>
    <row r="3813" spans="1:5" ht="13">
      <c r="A3813" s="2" t="str">
        <f ca="1">IFERROR(__xludf.DUMMYFUNCTION("""COMPUTED_VALUE"""),"Hoggard, Lara")</f>
        <v>Hoggard, Lara</v>
      </c>
      <c r="B3813" s="2">
        <f ca="1">IFERROR(__xludf.DUMMYFUNCTION("""COMPUTED_VALUE"""),1)</f>
        <v>1</v>
      </c>
      <c r="C3813" s="2">
        <f ca="1">IFERROR(__xludf.DUMMYFUNCTION("""COMPUTED_VALUE"""),1)</f>
        <v>1</v>
      </c>
      <c r="D3813" s="8">
        <f ca="1">IFERROR(__xludf.DUMMYFUNCTION("""COMPUTED_VALUE"""),5)</f>
        <v>5</v>
      </c>
      <c r="E3813" s="2">
        <f ca="1">IFERROR(__xludf.DUMMYFUNCTION("""COMPUTED_VALUE"""),2)</f>
        <v>2</v>
      </c>
    </row>
    <row r="3814" spans="1:5" ht="13">
      <c r="A3814" s="8" t="str">
        <f ca="1">IFERROR(__xludf.DUMMYFUNCTION("""COMPUTED_VALUE"""),"Hogwood, Christopher")</f>
        <v>Hogwood, Christopher</v>
      </c>
      <c r="B3814" s="2">
        <f ca="1">IFERROR(__xludf.DUMMYFUNCTION("""COMPUTED_VALUE"""),1)</f>
        <v>1</v>
      </c>
      <c r="C3814" s="7">
        <f ca="1">IFERROR(__xludf.DUMMYFUNCTION("""COMPUTED_VALUE"""),1)</f>
        <v>1</v>
      </c>
      <c r="D3814" s="8">
        <f ca="1">IFERROR(__xludf.DUMMYFUNCTION("""COMPUTED_VALUE"""),5)</f>
        <v>5</v>
      </c>
      <c r="E3814" s="2">
        <f ca="1">IFERROR(__xludf.DUMMYFUNCTION("""COMPUTED_VALUE"""),2)</f>
        <v>2</v>
      </c>
    </row>
    <row r="3815" spans="1:5" ht="13">
      <c r="A3815" s="2" t="str">
        <f ca="1">IFERROR(__xludf.DUMMYFUNCTION("""COMPUTED_VALUE"""),"Hohl, John")</f>
        <v>Hohl, John</v>
      </c>
      <c r="B3815" s="3">
        <f ca="1">IFERROR(__xludf.DUMMYFUNCTION("""COMPUTED_VALUE"""),1)</f>
        <v>1</v>
      </c>
      <c r="C3815" s="7">
        <f ca="1">IFERROR(__xludf.DUMMYFUNCTION("""COMPUTED_VALUE"""),1)</f>
        <v>1</v>
      </c>
      <c r="D3815" s="8">
        <f ca="1">IFERROR(__xludf.DUMMYFUNCTION("""COMPUTED_VALUE"""),1)</f>
        <v>1</v>
      </c>
      <c r="E3815" s="2">
        <f ca="1">IFERROR(__xludf.DUMMYFUNCTION("""COMPUTED_VALUE"""),1)</f>
        <v>1</v>
      </c>
    </row>
    <row r="3816" spans="1:5" ht="13">
      <c r="A3816" s="2" t="str">
        <f ca="1">IFERROR(__xludf.DUMMYFUNCTION("""COMPUTED_VALUE"""),"Hohl, John / Stevens, Dave")</f>
        <v>Hohl, John / Stevens, Dave</v>
      </c>
      <c r="B3816" s="2">
        <f ca="1">IFERROR(__xludf.DUMMYFUNCTION("""COMPUTED_VALUE"""),1)</f>
        <v>1</v>
      </c>
      <c r="C3816" s="2">
        <f ca="1">IFERROR(__xludf.DUMMYFUNCTION("""COMPUTED_VALUE"""),1)</f>
        <v>1</v>
      </c>
      <c r="D3816" s="8">
        <f ca="1">IFERROR(__xludf.DUMMYFUNCTION("""COMPUTED_VALUE"""),1)</f>
        <v>1</v>
      </c>
      <c r="E3816" s="2">
        <f ca="1">IFERROR(__xludf.DUMMYFUNCTION("""COMPUTED_VALUE"""),1)</f>
        <v>1</v>
      </c>
    </row>
    <row r="3817" spans="1:5" ht="13">
      <c r="A3817" s="8" t="str">
        <f ca="1">IFERROR(__xludf.DUMMYFUNCTION("""COMPUTED_VALUE"""),"Hohmann, Christian Heinrich")</f>
        <v>Hohmann, Christian Heinrich</v>
      </c>
      <c r="B3817" s="3">
        <f ca="1">IFERROR(__xludf.DUMMYFUNCTION("""COMPUTED_VALUE"""),1)</f>
        <v>1</v>
      </c>
      <c r="C3817" s="7">
        <f ca="1">IFERROR(__xludf.DUMMYFUNCTION("""COMPUTED_VALUE"""),1)</f>
        <v>1</v>
      </c>
      <c r="D3817" s="8">
        <f ca="1">IFERROR(__xludf.DUMMYFUNCTION("""COMPUTED_VALUE"""),5)</f>
        <v>5</v>
      </c>
      <c r="E3817" s="2">
        <f ca="1">IFERROR(__xludf.DUMMYFUNCTION("""COMPUTED_VALUE"""),2)</f>
        <v>2</v>
      </c>
    </row>
    <row r="3818" spans="1:5" ht="13">
      <c r="A3818" s="2" t="str">
        <f ca="1">IFERROR(__xludf.DUMMYFUNCTION("""COMPUTED_VALUE"""),"Höhne, Carl")</f>
        <v>Höhne, Carl</v>
      </c>
      <c r="B3818" s="2">
        <f ca="1">IFERROR(__xludf.DUMMYFUNCTION("""COMPUTED_VALUE"""),1)</f>
        <v>1</v>
      </c>
      <c r="C3818" s="7">
        <f ca="1">IFERROR(__xludf.DUMMYFUNCTION("""COMPUTED_VALUE"""),1)</f>
        <v>1</v>
      </c>
      <c r="D3818" s="8">
        <f ca="1">IFERROR(__xludf.DUMMYFUNCTION("""COMPUTED_VALUE"""),5)</f>
        <v>5</v>
      </c>
      <c r="E3818" s="2">
        <f ca="1">IFERROR(__xludf.DUMMYFUNCTION("""COMPUTED_VALUE"""),2)</f>
        <v>2</v>
      </c>
    </row>
    <row r="3819" spans="1:5" ht="13">
      <c r="A3819" s="2" t="str">
        <f ca="1">IFERROR(__xludf.DUMMYFUNCTION("""COMPUTED_VALUE"""),"Hoiby, Lee")</f>
        <v>Hoiby, Lee</v>
      </c>
      <c r="B3819" s="2">
        <f ca="1">IFERROR(__xludf.DUMMYFUNCTION("""COMPUTED_VALUE"""),1)</f>
        <v>1</v>
      </c>
      <c r="C3819" s="7">
        <f ca="1">IFERROR(__xludf.DUMMYFUNCTION("""COMPUTED_VALUE"""),1)</f>
        <v>1</v>
      </c>
      <c r="D3819" s="8">
        <f ca="1">IFERROR(__xludf.DUMMYFUNCTION("""COMPUTED_VALUE"""),5)</f>
        <v>5</v>
      </c>
      <c r="E3819" s="2">
        <f ca="1">IFERROR(__xludf.DUMMYFUNCTION("""COMPUTED_VALUE"""),2)</f>
        <v>2</v>
      </c>
    </row>
    <row r="3820" spans="1:5" ht="13">
      <c r="A3820" s="2" t="str">
        <f ca="1">IFERROR(__xludf.DUMMYFUNCTION("""COMPUTED_VALUE"""),"Hoier, Henner")</f>
        <v>Hoier, Henner</v>
      </c>
      <c r="B3820" s="2">
        <f ca="1">IFERROR(__xludf.DUMMYFUNCTION("""COMPUTED_VALUE"""),1)</f>
        <v>1</v>
      </c>
      <c r="C3820" s="7">
        <f ca="1">IFERROR(__xludf.DUMMYFUNCTION("""COMPUTED_VALUE"""),1)</f>
        <v>1</v>
      </c>
      <c r="D3820" s="8">
        <f ca="1">IFERROR(__xludf.DUMMYFUNCTION("""COMPUTED_VALUE"""),1)</f>
        <v>1</v>
      </c>
      <c r="E3820" s="2">
        <f ca="1">IFERROR(__xludf.DUMMYFUNCTION("""COMPUTED_VALUE"""),1)</f>
        <v>1</v>
      </c>
    </row>
    <row r="3821" spans="1:5" ht="13">
      <c r="A3821" s="2" t="str">
        <f ca="1">IFERROR(__xludf.DUMMYFUNCTION("""COMPUTED_VALUE"""),"Holborne, Anthony")</f>
        <v>Holborne, Anthony</v>
      </c>
      <c r="B3821" s="3">
        <f ca="1">IFERROR(__xludf.DUMMYFUNCTION("""COMPUTED_VALUE"""),1)</f>
        <v>1</v>
      </c>
      <c r="C3821" s="7">
        <f ca="1">IFERROR(__xludf.DUMMYFUNCTION("""COMPUTED_VALUE"""),1)</f>
        <v>1</v>
      </c>
      <c r="D3821" s="8">
        <f ca="1">IFERROR(__xludf.DUMMYFUNCTION("""COMPUTED_VALUE"""),5)</f>
        <v>5</v>
      </c>
      <c r="E3821" s="2">
        <f ca="1">IFERROR(__xludf.DUMMYFUNCTION("""COMPUTED_VALUE"""),2)</f>
        <v>2</v>
      </c>
    </row>
    <row r="3822" spans="1:5" ht="13">
      <c r="A3822" s="2" t="str">
        <f ca="1">IFERROR(__xludf.DUMMYFUNCTION("""COMPUTED_VALUE"""),"Holborne, Antony")</f>
        <v>Holborne, Antony</v>
      </c>
      <c r="B3822" s="2">
        <f ca="1">IFERROR(__xludf.DUMMYFUNCTION("""COMPUTED_VALUE"""),1)</f>
        <v>1</v>
      </c>
      <c r="C3822" s="7">
        <f ca="1">IFERROR(__xludf.DUMMYFUNCTION("""COMPUTED_VALUE"""),1)</f>
        <v>1</v>
      </c>
      <c r="D3822" s="8">
        <f ca="1">IFERROR(__xludf.DUMMYFUNCTION("""COMPUTED_VALUE"""),5)</f>
        <v>5</v>
      </c>
      <c r="E3822" s="2">
        <f ca="1">IFERROR(__xludf.DUMMYFUNCTION("""COMPUTED_VALUE"""),2)</f>
        <v>2</v>
      </c>
    </row>
    <row r="3823" spans="1:5" ht="13">
      <c r="A3823" s="2" t="str">
        <f ca="1">IFERROR(__xludf.DUMMYFUNCTION("""COMPUTED_VALUE"""),"Holborne, William")</f>
        <v>Holborne, William</v>
      </c>
      <c r="B3823" s="3">
        <f ca="1">IFERROR(__xludf.DUMMYFUNCTION("""COMPUTED_VALUE"""),1)</f>
        <v>1</v>
      </c>
      <c r="C3823" s="7">
        <f ca="1">IFERROR(__xludf.DUMMYFUNCTION("""COMPUTED_VALUE"""),1)</f>
        <v>1</v>
      </c>
      <c r="D3823" s="8">
        <f ca="1">IFERROR(__xludf.DUMMYFUNCTION("""COMPUTED_VALUE"""),5)</f>
        <v>5</v>
      </c>
      <c r="E3823" s="2">
        <f ca="1">IFERROR(__xludf.DUMMYFUNCTION("""COMPUTED_VALUE"""),2)</f>
        <v>2</v>
      </c>
    </row>
    <row r="3824" spans="1:5" ht="13">
      <c r="A3824" s="2" t="str">
        <f ca="1">IFERROR(__xludf.DUMMYFUNCTION("""COMPUTED_VALUE"""),"Holbrook, Perry")</f>
        <v>Holbrook, Perry</v>
      </c>
      <c r="B3824" s="2">
        <f ca="1">IFERROR(__xludf.DUMMYFUNCTION("""COMPUTED_VALUE"""),1)</f>
        <v>1</v>
      </c>
      <c r="C3824" s="7">
        <f ca="1">IFERROR(__xludf.DUMMYFUNCTION("""COMPUTED_VALUE"""),1)</f>
        <v>1</v>
      </c>
      <c r="D3824" s="8">
        <f ca="1">IFERROR(__xludf.DUMMYFUNCTION("""COMPUTED_VALUE"""),5)</f>
        <v>5</v>
      </c>
      <c r="E3824" s="2">
        <f ca="1">IFERROR(__xludf.DUMMYFUNCTION("""COMPUTED_VALUE"""),2)</f>
        <v>2</v>
      </c>
    </row>
    <row r="3825" spans="1:5" ht="13">
      <c r="A3825" s="2" t="str">
        <f ca="1">IFERROR(__xludf.DUMMYFUNCTION("""COMPUTED_VALUE"""),"Holbrooke, Josef")</f>
        <v>Holbrooke, Josef</v>
      </c>
      <c r="B3825" s="3">
        <f ca="1">IFERROR(__xludf.DUMMYFUNCTION("""COMPUTED_VALUE"""),1)</f>
        <v>1</v>
      </c>
      <c r="C3825" s="7">
        <f ca="1">IFERROR(__xludf.DUMMYFUNCTION("""COMPUTED_VALUE"""),1)</f>
        <v>1</v>
      </c>
      <c r="D3825" s="8">
        <f ca="1">IFERROR(__xludf.DUMMYFUNCTION("""COMPUTED_VALUE"""),5)</f>
        <v>5</v>
      </c>
      <c r="E3825" s="2">
        <f ca="1">IFERROR(__xludf.DUMMYFUNCTION("""COMPUTED_VALUE"""),2)</f>
        <v>2</v>
      </c>
    </row>
    <row r="3826" spans="1:5" ht="13">
      <c r="A3826" s="2" t="str">
        <f ca="1">IFERROR(__xludf.DUMMYFUNCTION("""COMPUTED_VALUE"""),"Holcombe, Bill")</f>
        <v>Holcombe, Bill</v>
      </c>
      <c r="B3826" s="3">
        <f ca="1">IFERROR(__xludf.DUMMYFUNCTION("""COMPUTED_VALUE"""),1)</f>
        <v>1</v>
      </c>
      <c r="C3826" s="7">
        <f ca="1">IFERROR(__xludf.DUMMYFUNCTION("""COMPUTED_VALUE"""),1)</f>
        <v>1</v>
      </c>
      <c r="D3826" s="8">
        <f ca="1">IFERROR(__xludf.DUMMYFUNCTION("""COMPUTED_VALUE"""),5)</f>
        <v>5</v>
      </c>
      <c r="E3826" s="2">
        <f ca="1">IFERROR(__xludf.DUMMYFUNCTION("""COMPUTED_VALUE"""),2)</f>
        <v>2</v>
      </c>
    </row>
    <row r="3827" spans="1:5" ht="13">
      <c r="A3827" s="8" t="str">
        <f ca="1">IFERROR(__xludf.DUMMYFUNCTION("""COMPUTED_VALUE"""),"Holcombe, Bill / Nowak, Jerry")</f>
        <v>Holcombe, Bill / Nowak, Jerry</v>
      </c>
      <c r="B3827" s="3">
        <f ca="1">IFERROR(__xludf.DUMMYFUNCTION("""COMPUTED_VALUE"""),1)</f>
        <v>1</v>
      </c>
      <c r="C3827" s="7">
        <f ca="1">IFERROR(__xludf.DUMMYFUNCTION("""COMPUTED_VALUE"""),1)</f>
        <v>1</v>
      </c>
      <c r="D3827" s="8">
        <f ca="1">IFERROR(__xludf.DUMMYFUNCTION("""COMPUTED_VALUE"""),5)</f>
        <v>5</v>
      </c>
      <c r="E3827" s="2">
        <f ca="1">IFERROR(__xludf.DUMMYFUNCTION("""COMPUTED_VALUE"""),2)</f>
        <v>2</v>
      </c>
    </row>
    <row r="3828" spans="1:5" ht="13">
      <c r="A3828" s="2" t="str">
        <f ca="1">IFERROR(__xludf.DUMMYFUNCTION("""COMPUTED_VALUE"""),"Holden, Oliver")</f>
        <v>Holden, Oliver</v>
      </c>
      <c r="B3828" s="3">
        <f ca="1">IFERROR(__xludf.DUMMYFUNCTION("""COMPUTED_VALUE"""),1)</f>
        <v>1</v>
      </c>
      <c r="C3828" s="7">
        <f ca="1">IFERROR(__xludf.DUMMYFUNCTION("""COMPUTED_VALUE"""),1)</f>
        <v>1</v>
      </c>
      <c r="D3828" s="8">
        <f ca="1">IFERROR(__xludf.DUMMYFUNCTION("""COMPUTED_VALUE"""),5)</f>
        <v>5</v>
      </c>
      <c r="E3828" s="2">
        <f ca="1">IFERROR(__xludf.DUMMYFUNCTION("""COMPUTED_VALUE"""),2)</f>
        <v>2</v>
      </c>
    </row>
    <row r="3829" spans="1:5" ht="13">
      <c r="A3829" s="2" t="str">
        <f ca="1">IFERROR(__xludf.DUMMYFUNCTION("""COMPUTED_VALUE"""),"Holdridge, Lee")</f>
        <v>Holdridge, Lee</v>
      </c>
      <c r="B3829" s="3">
        <f ca="1">IFERROR(__xludf.DUMMYFUNCTION("""COMPUTED_VALUE"""),1)</f>
        <v>1</v>
      </c>
      <c r="C3829" s="7">
        <f ca="1">IFERROR(__xludf.DUMMYFUNCTION("""COMPUTED_VALUE"""),1)</f>
        <v>1</v>
      </c>
      <c r="D3829" s="8">
        <f ca="1">IFERROR(__xludf.DUMMYFUNCTION("""COMPUTED_VALUE"""),1)</f>
        <v>1</v>
      </c>
      <c r="E3829" s="2">
        <f ca="1">IFERROR(__xludf.DUMMYFUNCTION("""COMPUTED_VALUE"""),1)</f>
        <v>1</v>
      </c>
    </row>
    <row r="3830" spans="1:5" ht="13">
      <c r="A3830" s="2" t="str">
        <f ca="1">IFERROR(__xludf.DUMMYFUNCTION("""COMPUTED_VALUE"""),"Holesovsky, Jaroslav")</f>
        <v>Holesovsky, Jaroslav</v>
      </c>
      <c r="B3830" s="3">
        <f ca="1">IFERROR(__xludf.DUMMYFUNCTION("""COMPUTED_VALUE"""),1)</f>
        <v>1</v>
      </c>
      <c r="C3830" s="7">
        <f ca="1">IFERROR(__xludf.DUMMYFUNCTION("""COMPUTED_VALUE"""),1)</f>
        <v>1</v>
      </c>
      <c r="D3830" s="8">
        <f ca="1">IFERROR(__xludf.DUMMYFUNCTION("""COMPUTED_VALUE"""),5)</f>
        <v>5</v>
      </c>
      <c r="E3830" s="2">
        <f ca="1">IFERROR(__xludf.DUMMYFUNCTION("""COMPUTED_VALUE"""),2)</f>
        <v>2</v>
      </c>
    </row>
    <row r="3831" spans="1:5" ht="13">
      <c r="A3831" s="8" t="str">
        <f ca="1">IFERROR(__xludf.DUMMYFUNCTION("""COMPUTED_VALUE"""),"Holkenborg, Tom")</f>
        <v>Holkenborg, Tom</v>
      </c>
      <c r="B3831" s="3">
        <f ca="1">IFERROR(__xludf.DUMMYFUNCTION("""COMPUTED_VALUE"""),1)</f>
        <v>1</v>
      </c>
      <c r="C3831" s="7">
        <f ca="1">IFERROR(__xludf.DUMMYFUNCTION("""COMPUTED_VALUE"""),1)</f>
        <v>1</v>
      </c>
      <c r="D3831" s="8">
        <f ca="1">IFERROR(__xludf.DUMMYFUNCTION("""COMPUTED_VALUE"""),1)</f>
        <v>1</v>
      </c>
      <c r="E3831" s="2">
        <f ca="1">IFERROR(__xludf.DUMMYFUNCTION("""COMPUTED_VALUE"""),1)</f>
        <v>1</v>
      </c>
    </row>
    <row r="3832" spans="1:5" ht="13">
      <c r="A3832" s="2" t="str">
        <f ca="1">IFERROR(__xludf.DUMMYFUNCTION("""COMPUTED_VALUE"""),"Holland-Smith, Jeremy")</f>
        <v>Holland-Smith, Jeremy</v>
      </c>
      <c r="B3832" s="3">
        <f ca="1">IFERROR(__xludf.DUMMYFUNCTION("""COMPUTED_VALUE"""),1)</f>
        <v>1</v>
      </c>
      <c r="C3832" s="7">
        <f ca="1">IFERROR(__xludf.DUMMYFUNCTION("""COMPUTED_VALUE"""),1)</f>
        <v>1</v>
      </c>
      <c r="D3832" s="8">
        <f ca="1">IFERROR(__xludf.DUMMYFUNCTION("""COMPUTED_VALUE"""),1)</f>
        <v>1</v>
      </c>
      <c r="E3832" s="2">
        <f ca="1">IFERROR(__xludf.DUMMYFUNCTION("""COMPUTED_VALUE"""),1)</f>
        <v>1</v>
      </c>
    </row>
    <row r="3833" spans="1:5" ht="13">
      <c r="A3833" s="2" t="str">
        <f ca="1">IFERROR(__xludf.DUMMYFUNCTION("""COMPUTED_VALUE"""),"Holland, Jeremy")</f>
        <v>Holland, Jeremy</v>
      </c>
      <c r="B3833" s="3">
        <f ca="1">IFERROR(__xludf.DUMMYFUNCTION("""COMPUTED_VALUE"""),1)</f>
        <v>1</v>
      </c>
      <c r="C3833" s="7">
        <f ca="1">IFERROR(__xludf.DUMMYFUNCTION("""COMPUTED_VALUE"""),1)</f>
        <v>1</v>
      </c>
      <c r="D3833" s="8">
        <f ca="1">IFERROR(__xludf.DUMMYFUNCTION("""COMPUTED_VALUE"""),1)</f>
        <v>1</v>
      </c>
      <c r="E3833" s="2">
        <f ca="1">IFERROR(__xludf.DUMMYFUNCTION("""COMPUTED_VALUE"""),1)</f>
        <v>1</v>
      </c>
    </row>
    <row r="3834" spans="1:5" ht="13">
      <c r="A3834" s="2" t="str">
        <f ca="1">IFERROR(__xludf.DUMMYFUNCTION("""COMPUTED_VALUE"""),"Hollande, Jean de")</f>
        <v>Hollande, Jean de</v>
      </c>
      <c r="B3834" s="3">
        <f ca="1">IFERROR(__xludf.DUMMYFUNCTION("""COMPUTED_VALUE"""),1)</f>
        <v>1</v>
      </c>
      <c r="C3834" s="7">
        <f ca="1">IFERROR(__xludf.DUMMYFUNCTION("""COMPUTED_VALUE"""),1)</f>
        <v>1</v>
      </c>
      <c r="D3834" s="8">
        <f ca="1">IFERROR(__xludf.DUMMYFUNCTION("""COMPUTED_VALUE"""),5)</f>
        <v>5</v>
      </c>
      <c r="E3834" s="2">
        <f ca="1">IFERROR(__xludf.DUMMYFUNCTION("""COMPUTED_VALUE"""),2)</f>
        <v>2</v>
      </c>
    </row>
    <row r="3835" spans="1:5" ht="13">
      <c r="A3835" s="2" t="str">
        <f ca="1">IFERROR(__xludf.DUMMYFUNCTION("""COMPUTED_VALUE"""),"Hollanders, Herman")</f>
        <v>Hollanders, Herman</v>
      </c>
      <c r="B3835" s="2">
        <f ca="1">IFERROR(__xludf.DUMMYFUNCTION("""COMPUTED_VALUE"""),1)</f>
        <v>1</v>
      </c>
      <c r="C3835" s="7">
        <f ca="1">IFERROR(__xludf.DUMMYFUNCTION("""COMPUTED_VALUE"""),1)</f>
        <v>1</v>
      </c>
      <c r="D3835" s="8">
        <f ca="1">IFERROR(__xludf.DUMMYFUNCTION("""COMPUTED_VALUE"""),5)</f>
        <v>5</v>
      </c>
      <c r="E3835" s="2">
        <f ca="1">IFERROR(__xludf.DUMMYFUNCTION("""COMPUTED_VALUE"""),2)</f>
        <v>2</v>
      </c>
    </row>
    <row r="3836" spans="1:5" ht="13">
      <c r="A3836" s="2" t="str">
        <f ca="1">IFERROR(__xludf.DUMMYFUNCTION("""COMPUTED_VALUE"""),"Hollinden, Dave")</f>
        <v>Hollinden, Dave</v>
      </c>
      <c r="B3836" s="3">
        <f ca="1">IFERROR(__xludf.DUMMYFUNCTION("""COMPUTED_VALUE"""),1)</f>
        <v>1</v>
      </c>
      <c r="C3836" s="7">
        <f ca="1">IFERROR(__xludf.DUMMYFUNCTION("""COMPUTED_VALUE"""),1)</f>
        <v>1</v>
      </c>
      <c r="D3836" s="8">
        <f ca="1">IFERROR(__xludf.DUMMYFUNCTION("""COMPUTED_VALUE"""),1)</f>
        <v>1</v>
      </c>
      <c r="E3836" s="2">
        <f ca="1">IFERROR(__xludf.DUMMYFUNCTION("""COMPUTED_VALUE"""),1)</f>
        <v>1</v>
      </c>
    </row>
    <row r="3837" spans="1:5" ht="13">
      <c r="A3837" s="2" t="str">
        <f ca="1">IFERROR(__xludf.DUMMYFUNCTION("""COMPUTED_VALUE"""),"Hollmann, Mark Ray")</f>
        <v>Hollmann, Mark Ray</v>
      </c>
      <c r="B3837" s="3">
        <f ca="1">IFERROR(__xludf.DUMMYFUNCTION("""COMPUTED_VALUE"""),1)</f>
        <v>1</v>
      </c>
      <c r="C3837" s="7">
        <f ca="1">IFERROR(__xludf.DUMMYFUNCTION("""COMPUTED_VALUE"""),1)</f>
        <v>1</v>
      </c>
      <c r="D3837" s="8">
        <f ca="1">IFERROR(__xludf.DUMMYFUNCTION("""COMPUTED_VALUE"""),1)</f>
        <v>1</v>
      </c>
      <c r="E3837" s="2">
        <f ca="1">IFERROR(__xludf.DUMMYFUNCTION("""COMPUTED_VALUE"""),1)</f>
        <v>1</v>
      </c>
    </row>
    <row r="3838" spans="1:5" ht="13">
      <c r="A3838" s="2" t="str">
        <f ca="1">IFERROR(__xludf.DUMMYFUNCTION("""COMPUTED_VALUE"""),"Hollo, Aurel")</f>
        <v>Hollo, Aurel</v>
      </c>
      <c r="B3838" s="3">
        <f ca="1">IFERROR(__xludf.DUMMYFUNCTION("""COMPUTED_VALUE"""),1)</f>
        <v>1</v>
      </c>
      <c r="C3838" s="7">
        <f ca="1">IFERROR(__xludf.DUMMYFUNCTION("""COMPUTED_VALUE"""),1)</f>
        <v>1</v>
      </c>
      <c r="D3838" s="8">
        <f ca="1">IFERROR(__xludf.DUMMYFUNCTION("""COMPUTED_VALUE"""),1)</f>
        <v>1</v>
      </c>
      <c r="E3838" s="2">
        <f ca="1">IFERROR(__xludf.DUMMYFUNCTION("""COMPUTED_VALUE"""),1)</f>
        <v>1</v>
      </c>
    </row>
    <row r="3839" spans="1:5" ht="13">
      <c r="A3839" s="2" t="str">
        <f ca="1">IFERROR(__xludf.DUMMYFUNCTION("""COMPUTED_VALUE"""),"Holloman, Samuel")</f>
        <v>Holloman, Samuel</v>
      </c>
      <c r="B3839" s="2">
        <f ca="1">IFERROR(__xludf.DUMMYFUNCTION("""COMPUTED_VALUE"""),1)</f>
        <v>1</v>
      </c>
      <c r="C3839" s="7">
        <f ca="1">IFERROR(__xludf.DUMMYFUNCTION("""COMPUTED_VALUE"""),1)</f>
        <v>1</v>
      </c>
      <c r="D3839" s="8">
        <f ca="1">IFERROR(__xludf.DUMMYFUNCTION("""COMPUTED_VALUE"""),1)</f>
        <v>1</v>
      </c>
      <c r="E3839" s="2">
        <f ca="1">IFERROR(__xludf.DUMMYFUNCTION("""COMPUTED_VALUE"""),1)</f>
        <v>1</v>
      </c>
    </row>
    <row r="3840" spans="1:5" ht="13">
      <c r="A3840" s="2" t="str">
        <f ca="1">IFERROR(__xludf.DUMMYFUNCTION("""COMPUTED_VALUE"""),"Holloway, James")</f>
        <v>Holloway, James</v>
      </c>
      <c r="B3840" s="3">
        <f ca="1">IFERROR(__xludf.DUMMYFUNCTION("""COMPUTED_VALUE"""),1)</f>
        <v>1</v>
      </c>
      <c r="C3840" s="7">
        <f ca="1">IFERROR(__xludf.DUMMYFUNCTION("""COMPUTED_VALUE"""),1)</f>
        <v>1</v>
      </c>
      <c r="D3840" s="8">
        <f ca="1">IFERROR(__xludf.DUMMYFUNCTION("""COMPUTED_VALUE"""),1)</f>
        <v>1</v>
      </c>
      <c r="E3840" s="2">
        <f ca="1">IFERROR(__xludf.DUMMYFUNCTION("""COMPUTED_VALUE"""),1)</f>
        <v>1</v>
      </c>
    </row>
    <row r="3841" spans="1:5" ht="13">
      <c r="A3841" s="2" t="str">
        <f ca="1">IFERROR(__xludf.DUMMYFUNCTION("""COMPUTED_VALUE"""),"Holloway, Robin")</f>
        <v>Holloway, Robin</v>
      </c>
      <c r="B3841" s="3">
        <f ca="1">IFERROR(__xludf.DUMMYFUNCTION("""COMPUTED_VALUE"""),1)</f>
        <v>1</v>
      </c>
      <c r="C3841" s="7">
        <f ca="1">IFERROR(__xludf.DUMMYFUNCTION("""COMPUTED_VALUE"""),1)</f>
        <v>1</v>
      </c>
      <c r="D3841" s="8">
        <f ca="1">IFERROR(__xludf.DUMMYFUNCTION("""COMPUTED_VALUE"""),1)</f>
        <v>1</v>
      </c>
      <c r="E3841" s="2">
        <f ca="1">IFERROR(__xludf.DUMMYFUNCTION("""COMPUTED_VALUE"""),1)</f>
        <v>1</v>
      </c>
    </row>
    <row r="3842" spans="1:5" ht="13">
      <c r="A3842" s="2" t="str">
        <f ca="1">IFERROR(__xludf.DUMMYFUNCTION("""COMPUTED_VALUE"""),"Holman, Bill")</f>
        <v>Holman, Bill</v>
      </c>
      <c r="B3842" s="3">
        <f ca="1">IFERROR(__xludf.DUMMYFUNCTION("""COMPUTED_VALUE"""),1)</f>
        <v>1</v>
      </c>
      <c r="C3842" s="7">
        <f ca="1">IFERROR(__xludf.DUMMYFUNCTION("""COMPUTED_VALUE"""),1)</f>
        <v>1</v>
      </c>
      <c r="D3842" s="8">
        <f ca="1">IFERROR(__xludf.DUMMYFUNCTION("""COMPUTED_VALUE"""),5)</f>
        <v>5</v>
      </c>
      <c r="E3842" s="2">
        <f ca="1">IFERROR(__xludf.DUMMYFUNCTION("""COMPUTED_VALUE"""),2)</f>
        <v>2</v>
      </c>
    </row>
    <row r="3843" spans="1:5" ht="13">
      <c r="A3843" s="2" t="str">
        <f ca="1">IFERROR(__xludf.DUMMYFUNCTION("""COMPUTED_VALUE"""),"Holman, Derek")</f>
        <v>Holman, Derek</v>
      </c>
      <c r="B3843" s="3">
        <f ca="1">IFERROR(__xludf.DUMMYFUNCTION("""COMPUTED_VALUE"""),1)</f>
        <v>1</v>
      </c>
      <c r="C3843" s="7">
        <f ca="1">IFERROR(__xludf.DUMMYFUNCTION("""COMPUTED_VALUE"""),1)</f>
        <v>1</v>
      </c>
      <c r="D3843" s="8">
        <f ca="1">IFERROR(__xludf.DUMMYFUNCTION("""COMPUTED_VALUE"""),5)</f>
        <v>5</v>
      </c>
      <c r="E3843" s="2">
        <f ca="1">IFERROR(__xludf.DUMMYFUNCTION("""COMPUTED_VALUE"""),2)</f>
        <v>2</v>
      </c>
    </row>
    <row r="3844" spans="1:5" ht="13">
      <c r="A3844" s="8" t="str">
        <f ca="1">IFERROR(__xludf.DUMMYFUNCTION("""COMPUTED_VALUE"""),"Holmes, Brad")</f>
        <v>Holmes, Brad</v>
      </c>
      <c r="B3844" s="3">
        <f ca="1">IFERROR(__xludf.DUMMYFUNCTION("""COMPUTED_VALUE"""),1)</f>
        <v>1</v>
      </c>
      <c r="C3844" s="7">
        <f ca="1">IFERROR(__xludf.DUMMYFUNCTION("""COMPUTED_VALUE"""),1)</f>
        <v>1</v>
      </c>
      <c r="D3844" s="8">
        <f ca="1">IFERROR(__xludf.DUMMYFUNCTION("""COMPUTED_VALUE"""),1)</f>
        <v>1</v>
      </c>
      <c r="E3844" s="2">
        <f ca="1">IFERROR(__xludf.DUMMYFUNCTION("""COMPUTED_VALUE"""),1)</f>
        <v>1</v>
      </c>
    </row>
    <row r="3845" spans="1:5" ht="13">
      <c r="A3845" s="2" t="str">
        <f ca="1">IFERROR(__xludf.DUMMYFUNCTION("""COMPUTED_VALUE"""),"Holmes, Brian")</f>
        <v>Holmes, Brian</v>
      </c>
      <c r="B3845" s="3">
        <f ca="1">IFERROR(__xludf.DUMMYFUNCTION("""COMPUTED_VALUE"""),1)</f>
        <v>1</v>
      </c>
      <c r="C3845" s="7">
        <f ca="1">IFERROR(__xludf.DUMMYFUNCTION("""COMPUTED_VALUE"""),1)</f>
        <v>1</v>
      </c>
      <c r="D3845" s="8">
        <f ca="1">IFERROR(__xludf.DUMMYFUNCTION("""COMPUTED_VALUE"""),1)</f>
        <v>1</v>
      </c>
      <c r="E3845" s="2">
        <f ca="1">IFERROR(__xludf.DUMMYFUNCTION("""COMPUTED_VALUE"""),1)</f>
        <v>1</v>
      </c>
    </row>
    <row r="3846" spans="1:5" ht="13">
      <c r="A3846" s="2" t="str">
        <f ca="1">IFERROR(__xludf.DUMMYFUNCTION("""COMPUTED_VALUE"""),"Holmes, Guy Earl")</f>
        <v>Holmes, Guy Earl</v>
      </c>
      <c r="B3846" s="3">
        <f ca="1">IFERROR(__xludf.DUMMYFUNCTION("""COMPUTED_VALUE"""),1)</f>
        <v>1</v>
      </c>
      <c r="C3846" s="7">
        <f ca="1">IFERROR(__xludf.DUMMYFUNCTION("""COMPUTED_VALUE"""),1)</f>
        <v>1</v>
      </c>
      <c r="D3846" s="8">
        <f ca="1">IFERROR(__xludf.DUMMYFUNCTION("""COMPUTED_VALUE"""),5)</f>
        <v>5</v>
      </c>
      <c r="E3846" s="2">
        <f ca="1">IFERROR(__xludf.DUMMYFUNCTION("""COMPUTED_VALUE"""),2)</f>
        <v>2</v>
      </c>
    </row>
    <row r="3847" spans="1:5" ht="13">
      <c r="A3847" s="2" t="str">
        <f ca="1">IFERROR(__xludf.DUMMYFUNCTION("""COMPUTED_VALUE"""),"Holmes, Paul")</f>
        <v>Holmes, Paul</v>
      </c>
      <c r="B3847" s="3">
        <f ca="1">IFERROR(__xludf.DUMMYFUNCTION("""COMPUTED_VALUE"""),1)</f>
        <v>1</v>
      </c>
      <c r="C3847" s="7">
        <f ca="1">IFERROR(__xludf.DUMMYFUNCTION("""COMPUTED_VALUE"""),1)</f>
        <v>1</v>
      </c>
      <c r="D3847" s="8">
        <f ca="1">IFERROR(__xludf.DUMMYFUNCTION("""COMPUTED_VALUE"""),1)</f>
        <v>1</v>
      </c>
      <c r="E3847" s="2">
        <f ca="1">IFERROR(__xludf.DUMMYFUNCTION("""COMPUTED_VALUE"""),1)</f>
        <v>1</v>
      </c>
    </row>
    <row r="3848" spans="1:5" ht="13">
      <c r="A3848" s="2" t="str">
        <f ca="1">IFERROR(__xludf.DUMMYFUNCTION("""COMPUTED_VALUE"""),"Holmes, Robert")</f>
        <v>Holmes, Robert</v>
      </c>
      <c r="B3848" s="3">
        <f ca="1">IFERROR(__xludf.DUMMYFUNCTION("""COMPUTED_VALUE"""),1)</f>
        <v>1</v>
      </c>
      <c r="C3848" s="7">
        <f ca="1">IFERROR(__xludf.DUMMYFUNCTION("""COMPUTED_VALUE"""),1)</f>
        <v>1</v>
      </c>
      <c r="D3848" s="8">
        <f ca="1">IFERROR(__xludf.DUMMYFUNCTION("""COMPUTED_VALUE"""),1)</f>
        <v>1</v>
      </c>
      <c r="E3848" s="2">
        <f ca="1">IFERROR(__xludf.DUMMYFUNCTION("""COMPUTED_VALUE"""),1)</f>
        <v>1</v>
      </c>
    </row>
    <row r="3849" spans="1:5" ht="13">
      <c r="A3849" s="2" t="str">
        <f ca="1">IFERROR(__xludf.DUMMYFUNCTION("""COMPUTED_VALUE"""),"Holmes, Roger")</f>
        <v>Holmes, Roger</v>
      </c>
      <c r="B3849" s="3">
        <f ca="1">IFERROR(__xludf.DUMMYFUNCTION("""COMPUTED_VALUE"""),1)</f>
        <v>1</v>
      </c>
      <c r="C3849" s="7">
        <f ca="1">IFERROR(__xludf.DUMMYFUNCTION("""COMPUTED_VALUE"""),1)</f>
        <v>1</v>
      </c>
      <c r="D3849" s="8">
        <f ca="1">IFERROR(__xludf.DUMMYFUNCTION("""COMPUTED_VALUE"""),1)</f>
        <v>1</v>
      </c>
      <c r="E3849" s="2">
        <f ca="1">IFERROR(__xludf.DUMMYFUNCTION("""COMPUTED_VALUE"""),1)</f>
        <v>1</v>
      </c>
    </row>
    <row r="3850" spans="1:5" ht="13">
      <c r="A3850" s="8" t="str">
        <f ca="1">IFERROR(__xludf.DUMMYFUNCTION("""COMPUTED_VALUE"""),"Holmes, Rupert")</f>
        <v>Holmes, Rupert</v>
      </c>
      <c r="B3850" s="3">
        <f ca="1">IFERROR(__xludf.DUMMYFUNCTION("""COMPUTED_VALUE"""),1)</f>
        <v>1</v>
      </c>
      <c r="C3850" s="7">
        <f ca="1">IFERROR(__xludf.DUMMYFUNCTION("""COMPUTED_VALUE"""),1)</f>
        <v>1</v>
      </c>
      <c r="D3850" s="8">
        <f ca="1">IFERROR(__xludf.DUMMYFUNCTION("""COMPUTED_VALUE"""),1)</f>
        <v>1</v>
      </c>
      <c r="E3850" s="2">
        <f ca="1">IFERROR(__xludf.DUMMYFUNCTION("""COMPUTED_VALUE"""),1)</f>
        <v>1</v>
      </c>
    </row>
    <row r="3851" spans="1:5" ht="13">
      <c r="A3851" s="2" t="str">
        <f ca="1">IFERROR(__xludf.DUMMYFUNCTION("""COMPUTED_VALUE"""),"Holmquist, Carl")</f>
        <v>Holmquist, Carl</v>
      </c>
      <c r="B3851" s="3">
        <f ca="1">IFERROR(__xludf.DUMMYFUNCTION("""COMPUTED_VALUE"""),1)</f>
        <v>1</v>
      </c>
      <c r="C3851" s="7">
        <f ca="1">IFERROR(__xludf.DUMMYFUNCTION("""COMPUTED_VALUE"""),1)</f>
        <v>1</v>
      </c>
      <c r="D3851" s="8">
        <f ca="1">IFERROR(__xludf.DUMMYFUNCTION("""COMPUTED_VALUE"""),1)</f>
        <v>1</v>
      </c>
      <c r="E3851" s="2">
        <f ca="1">IFERROR(__xludf.DUMMYFUNCTION("""COMPUTED_VALUE"""),1)</f>
        <v>1</v>
      </c>
    </row>
    <row r="3852" spans="1:5" ht="13">
      <c r="A3852" s="2" t="str">
        <f ca="1">IFERROR(__xludf.DUMMYFUNCTION("""COMPUTED_VALUE"""),"Holsinger, David")</f>
        <v>Holsinger, David</v>
      </c>
      <c r="B3852" s="3">
        <f ca="1">IFERROR(__xludf.DUMMYFUNCTION("""COMPUTED_VALUE"""),1)</f>
        <v>1</v>
      </c>
      <c r="C3852" s="7">
        <f ca="1">IFERROR(__xludf.DUMMYFUNCTION("""COMPUTED_VALUE"""),1)</f>
        <v>1</v>
      </c>
      <c r="D3852" s="8">
        <f ca="1">IFERROR(__xludf.DUMMYFUNCTION("""COMPUTED_VALUE"""),1)</f>
        <v>1</v>
      </c>
      <c r="E3852" s="2">
        <f ca="1">IFERROR(__xludf.DUMMYFUNCTION("""COMPUTED_VALUE"""),1)</f>
        <v>1</v>
      </c>
    </row>
    <row r="3853" spans="1:5" ht="13">
      <c r="A3853" s="2" t="str">
        <f ca="1">IFERROR(__xludf.DUMMYFUNCTION("""COMPUTED_VALUE"""),"Holst, Eduard")</f>
        <v>Holst, Eduard</v>
      </c>
      <c r="B3853" s="2">
        <f ca="1">IFERROR(__xludf.DUMMYFUNCTION("""COMPUTED_VALUE"""),1)</f>
        <v>1</v>
      </c>
      <c r="C3853" s="2">
        <f ca="1">IFERROR(__xludf.DUMMYFUNCTION("""COMPUTED_VALUE"""),1)</f>
        <v>1</v>
      </c>
      <c r="D3853" s="8">
        <f ca="1">IFERROR(__xludf.DUMMYFUNCTION("""COMPUTED_VALUE"""),5)</f>
        <v>5</v>
      </c>
      <c r="E3853" s="2">
        <f ca="1">IFERROR(__xludf.DUMMYFUNCTION("""COMPUTED_VALUE"""),2)</f>
        <v>2</v>
      </c>
    </row>
    <row r="3854" spans="1:5" ht="13">
      <c r="A3854" s="2" t="str">
        <f ca="1">IFERROR(__xludf.DUMMYFUNCTION("""COMPUTED_VALUE"""),"Holst, Gustav")</f>
        <v>Holst, Gustav</v>
      </c>
      <c r="B3854" s="3">
        <f ca="1">IFERROR(__xludf.DUMMYFUNCTION("""COMPUTED_VALUE"""),1)</f>
        <v>1</v>
      </c>
      <c r="C3854" s="7">
        <f ca="1">IFERROR(__xludf.DUMMYFUNCTION("""COMPUTED_VALUE"""),1)</f>
        <v>1</v>
      </c>
      <c r="D3854" s="8">
        <f ca="1">IFERROR(__xludf.DUMMYFUNCTION("""COMPUTED_VALUE"""),5)</f>
        <v>5</v>
      </c>
      <c r="E3854" s="2">
        <f ca="1">IFERROR(__xludf.DUMMYFUNCTION("""COMPUTED_VALUE"""),2)</f>
        <v>2</v>
      </c>
    </row>
    <row r="3855" spans="1:5" ht="13">
      <c r="A3855" s="2" t="str">
        <f ca="1">IFERROR(__xludf.DUMMYFUNCTION("""COMPUTED_VALUE"""),"Holzbauer, Ignaz")</f>
        <v>Holzbauer, Ignaz</v>
      </c>
      <c r="B3855" s="3">
        <f ca="1">IFERROR(__xludf.DUMMYFUNCTION("""COMPUTED_VALUE"""),1)</f>
        <v>1</v>
      </c>
      <c r="C3855" s="7">
        <f ca="1">IFERROR(__xludf.DUMMYFUNCTION("""COMPUTED_VALUE"""),1)</f>
        <v>1</v>
      </c>
      <c r="D3855" s="8">
        <f ca="1">IFERROR(__xludf.DUMMYFUNCTION("""COMPUTED_VALUE"""),5)</f>
        <v>5</v>
      </c>
      <c r="E3855" s="2">
        <f ca="1">IFERROR(__xludf.DUMMYFUNCTION("""COMPUTED_VALUE"""),2)</f>
        <v>2</v>
      </c>
    </row>
    <row r="3856" spans="1:5" ht="13">
      <c r="A3856" s="2" t="str">
        <f ca="1">IFERROR(__xludf.DUMMYFUNCTION("""COMPUTED_VALUE"""),"Holzmann, Abe")</f>
        <v>Holzmann, Abe</v>
      </c>
      <c r="B3856" s="2">
        <f ca="1">IFERROR(__xludf.DUMMYFUNCTION("""COMPUTED_VALUE"""),1)</f>
        <v>1</v>
      </c>
      <c r="C3856" s="7">
        <f ca="1">IFERROR(__xludf.DUMMYFUNCTION("""COMPUTED_VALUE"""),1)</f>
        <v>1</v>
      </c>
      <c r="D3856" s="8">
        <f ca="1">IFERROR(__xludf.DUMMYFUNCTION("""COMPUTED_VALUE"""),5)</f>
        <v>5</v>
      </c>
      <c r="E3856" s="2">
        <f ca="1">IFERROR(__xludf.DUMMYFUNCTION("""COMPUTED_VALUE"""),2)</f>
        <v>2</v>
      </c>
    </row>
    <row r="3857" spans="1:5" ht="13">
      <c r="A3857" s="2" t="str">
        <f ca="1">IFERROR(__xludf.DUMMYFUNCTION("""COMPUTED_VALUE"""),"Homilius, Gottfried August")</f>
        <v>Homilius, Gottfried August</v>
      </c>
      <c r="B3857" s="3">
        <f ca="1">IFERROR(__xludf.DUMMYFUNCTION("""COMPUTED_VALUE"""),1)</f>
        <v>1</v>
      </c>
      <c r="C3857" s="7">
        <f ca="1">IFERROR(__xludf.DUMMYFUNCTION("""COMPUTED_VALUE"""),1)</f>
        <v>1</v>
      </c>
      <c r="D3857" s="8">
        <f ca="1">IFERROR(__xludf.DUMMYFUNCTION("""COMPUTED_VALUE"""),5)</f>
        <v>5</v>
      </c>
      <c r="E3857" s="2">
        <f ca="1">IFERROR(__xludf.DUMMYFUNCTION("""COMPUTED_VALUE"""),2)</f>
        <v>2</v>
      </c>
    </row>
    <row r="3858" spans="1:5" ht="13">
      <c r="A3858" s="2" t="str">
        <f ca="1">IFERROR(__xludf.DUMMYFUNCTION("""COMPUTED_VALUE"""),"Hommann, Charles")</f>
        <v>Hommann, Charles</v>
      </c>
      <c r="B3858" s="3">
        <f ca="1">IFERROR(__xludf.DUMMYFUNCTION("""COMPUTED_VALUE"""),1)</f>
        <v>1</v>
      </c>
      <c r="C3858" s="7">
        <f ca="1">IFERROR(__xludf.DUMMYFUNCTION("""COMPUTED_VALUE"""),1)</f>
        <v>1</v>
      </c>
      <c r="D3858" s="8">
        <f ca="1">IFERROR(__xludf.DUMMYFUNCTION("""COMPUTED_VALUE"""),5)</f>
        <v>5</v>
      </c>
      <c r="E3858" s="2">
        <f ca="1">IFERROR(__xludf.DUMMYFUNCTION("""COMPUTED_VALUE"""),2)</f>
        <v>2</v>
      </c>
    </row>
    <row r="3859" spans="1:5" ht="13">
      <c r="A3859" s="2" t="str">
        <f ca="1">IFERROR(__xludf.DUMMYFUNCTION("""COMPUTED_VALUE"""),"Homzy, Andrew")</f>
        <v>Homzy, Andrew</v>
      </c>
      <c r="B3859" s="3">
        <f ca="1">IFERROR(__xludf.DUMMYFUNCTION("""COMPUTED_VALUE"""),1)</f>
        <v>1</v>
      </c>
      <c r="C3859" s="7">
        <f ca="1">IFERROR(__xludf.DUMMYFUNCTION("""COMPUTED_VALUE"""),1)</f>
        <v>1</v>
      </c>
      <c r="D3859" s="8">
        <f ca="1">IFERROR(__xludf.DUMMYFUNCTION("""COMPUTED_VALUE"""),1)</f>
        <v>1</v>
      </c>
      <c r="E3859" s="2">
        <f ca="1">IFERROR(__xludf.DUMMYFUNCTION("""COMPUTED_VALUE"""),1)</f>
        <v>1</v>
      </c>
    </row>
    <row r="3860" spans="1:5" ht="13">
      <c r="A3860" s="2" t="str">
        <f ca="1">IFERROR(__xludf.DUMMYFUNCTION("""COMPUTED_VALUE"""),"Honegger, Arthur")</f>
        <v>Honegger, Arthur</v>
      </c>
      <c r="B3860" s="3">
        <f ca="1">IFERROR(__xludf.DUMMYFUNCTION("""COMPUTED_VALUE"""),1)</f>
        <v>1</v>
      </c>
      <c r="C3860" s="7">
        <f ca="1">IFERROR(__xludf.DUMMYFUNCTION("""COMPUTED_VALUE"""),1)</f>
        <v>1</v>
      </c>
      <c r="D3860" s="8">
        <f ca="1">IFERROR(__xludf.DUMMYFUNCTION("""COMPUTED_VALUE"""),5)</f>
        <v>5</v>
      </c>
      <c r="E3860" s="2">
        <f ca="1">IFERROR(__xludf.DUMMYFUNCTION("""COMPUTED_VALUE"""),2)</f>
        <v>2</v>
      </c>
    </row>
    <row r="3861" spans="1:5" ht="13">
      <c r="A3861" s="2" t="str">
        <f ca="1">IFERROR(__xludf.DUMMYFUNCTION("""COMPUTED_VALUE"""),"Honstein, Robert")</f>
        <v>Honstein, Robert</v>
      </c>
      <c r="B3861" s="3">
        <f ca="1">IFERROR(__xludf.DUMMYFUNCTION("""COMPUTED_VALUE"""),1)</f>
        <v>1</v>
      </c>
      <c r="C3861" s="7">
        <f ca="1">IFERROR(__xludf.DUMMYFUNCTION("""COMPUTED_VALUE"""),1)</f>
        <v>1</v>
      </c>
      <c r="D3861" s="8">
        <f ca="1">IFERROR(__xludf.DUMMYFUNCTION("""COMPUTED_VALUE"""),1)</f>
        <v>1</v>
      </c>
      <c r="E3861" s="2">
        <f ca="1">IFERROR(__xludf.DUMMYFUNCTION("""COMPUTED_VALUE"""),1)</f>
        <v>1</v>
      </c>
    </row>
    <row r="3862" spans="1:5" ht="13">
      <c r="A3862" s="2" t="str">
        <f ca="1">IFERROR(__xludf.DUMMYFUNCTION("""COMPUTED_VALUE"""),"Hontz, Jack")</f>
        <v>Hontz, Jack</v>
      </c>
      <c r="B3862" s="2">
        <f ca="1">IFERROR(__xludf.DUMMYFUNCTION("""COMPUTED_VALUE"""),1)</f>
        <v>1</v>
      </c>
      <c r="C3862" s="7">
        <f ca="1">IFERROR(__xludf.DUMMYFUNCTION("""COMPUTED_VALUE"""),1)</f>
        <v>1</v>
      </c>
      <c r="D3862" s="8">
        <f ca="1">IFERROR(__xludf.DUMMYFUNCTION("""COMPUTED_VALUE"""),5)</f>
        <v>5</v>
      </c>
      <c r="E3862" s="2">
        <f ca="1">IFERROR(__xludf.DUMMYFUNCTION("""COMPUTED_VALUE"""),2)</f>
        <v>2</v>
      </c>
    </row>
    <row r="3863" spans="1:5" ht="13">
      <c r="A3863" s="8" t="str">
        <f ca="1">IFERROR(__xludf.DUMMYFUNCTION("""COMPUTED_VALUE"""),"Hood, Mantle")</f>
        <v>Hood, Mantle</v>
      </c>
      <c r="B3863" s="3">
        <f ca="1">IFERROR(__xludf.DUMMYFUNCTION("""COMPUTED_VALUE"""),1)</f>
        <v>1</v>
      </c>
      <c r="C3863" s="7">
        <f ca="1">IFERROR(__xludf.DUMMYFUNCTION("""COMPUTED_VALUE"""),1)</f>
        <v>1</v>
      </c>
      <c r="D3863" s="8">
        <f ca="1">IFERROR(__xludf.DUMMYFUNCTION("""COMPUTED_VALUE"""),5)</f>
        <v>5</v>
      </c>
      <c r="E3863" s="2">
        <f ca="1">IFERROR(__xludf.DUMMYFUNCTION("""COMPUTED_VALUE"""),2)</f>
        <v>2</v>
      </c>
    </row>
    <row r="3864" spans="1:5" ht="13">
      <c r="A3864" s="2" t="str">
        <f ca="1">IFERROR(__xludf.DUMMYFUNCTION("""COMPUTED_VALUE"""),"Hook, James")</f>
        <v>Hook, James</v>
      </c>
      <c r="B3864" s="3">
        <f ca="1">IFERROR(__xludf.DUMMYFUNCTION("""COMPUTED_VALUE"""),1)</f>
        <v>1</v>
      </c>
      <c r="C3864" s="7">
        <f ca="1">IFERROR(__xludf.DUMMYFUNCTION("""COMPUTED_VALUE"""),1)</f>
        <v>1</v>
      </c>
      <c r="D3864" s="8">
        <f ca="1">IFERROR(__xludf.DUMMYFUNCTION("""COMPUTED_VALUE"""),5)</f>
        <v>5</v>
      </c>
      <c r="E3864" s="2">
        <f ca="1">IFERROR(__xludf.DUMMYFUNCTION("""COMPUTED_VALUE"""),2)</f>
        <v>2</v>
      </c>
    </row>
    <row r="3865" spans="1:5" ht="13">
      <c r="A3865" s="2" t="str">
        <f ca="1">IFERROR(__xludf.DUMMYFUNCTION("""COMPUTED_VALUE"""),"Hooper, John")</f>
        <v>Hooper, John</v>
      </c>
      <c r="B3865" s="2">
        <f ca="1">IFERROR(__xludf.DUMMYFUNCTION("""COMPUTED_VALUE"""),1)</f>
        <v>1</v>
      </c>
      <c r="C3865" s="2">
        <f ca="1">IFERROR(__xludf.DUMMYFUNCTION("""COMPUTED_VALUE"""),1)</f>
        <v>1</v>
      </c>
      <c r="D3865" s="8">
        <f ca="1">IFERROR(__xludf.DUMMYFUNCTION("""COMPUTED_VALUE"""),1)</f>
        <v>1</v>
      </c>
      <c r="E3865" s="2">
        <f ca="1">IFERROR(__xludf.DUMMYFUNCTION("""COMPUTED_VALUE"""),1)</f>
        <v>1</v>
      </c>
    </row>
    <row r="3866" spans="1:5" ht="13">
      <c r="A3866" s="8" t="str">
        <f ca="1">IFERROR(__xludf.DUMMYFUNCTION("""COMPUTED_VALUE"""),"Hooper, Les")</f>
        <v>Hooper, Les</v>
      </c>
      <c r="B3866" s="2">
        <f ca="1">IFERROR(__xludf.DUMMYFUNCTION("""COMPUTED_VALUE"""),1)</f>
        <v>1</v>
      </c>
      <c r="C3866" s="7">
        <f ca="1">IFERROR(__xludf.DUMMYFUNCTION("""COMPUTED_VALUE"""),1)</f>
        <v>1</v>
      </c>
      <c r="D3866" s="8">
        <f ca="1">IFERROR(__xludf.DUMMYFUNCTION("""COMPUTED_VALUE"""),1)</f>
        <v>1</v>
      </c>
      <c r="E3866" s="2">
        <f ca="1">IFERROR(__xludf.DUMMYFUNCTION("""COMPUTED_VALUE"""),1)</f>
        <v>1</v>
      </c>
    </row>
    <row r="3867" spans="1:5" ht="13">
      <c r="A3867" s="8" t="str">
        <f ca="1">IFERROR(__xludf.DUMMYFUNCTION("""COMPUTED_VALUE"""),"Hooper, Nicholas")</f>
        <v>Hooper, Nicholas</v>
      </c>
      <c r="B3867" s="3">
        <f ca="1">IFERROR(__xludf.DUMMYFUNCTION("""COMPUTED_VALUE"""),1)</f>
        <v>1</v>
      </c>
      <c r="C3867" s="7">
        <f ca="1">IFERROR(__xludf.DUMMYFUNCTION("""COMPUTED_VALUE"""),1)</f>
        <v>1</v>
      </c>
      <c r="D3867" s="8">
        <f ca="1">IFERROR(__xludf.DUMMYFUNCTION("""COMPUTED_VALUE"""),1)</f>
        <v>1</v>
      </c>
      <c r="E3867" s="2">
        <f ca="1">IFERROR(__xludf.DUMMYFUNCTION("""COMPUTED_VALUE"""),1)</f>
        <v>1</v>
      </c>
    </row>
    <row r="3868" spans="1:5" ht="13">
      <c r="A3868" s="2" t="str">
        <f ca="1">IFERROR(__xludf.DUMMYFUNCTION("""COMPUTED_VALUE"""),"Hoover, Tyler")</f>
        <v>Hoover, Tyler</v>
      </c>
      <c r="B3868" s="3">
        <f ca="1">IFERROR(__xludf.DUMMYFUNCTION("""COMPUTED_VALUE"""),1)</f>
        <v>1</v>
      </c>
      <c r="C3868" s="7">
        <f ca="1">IFERROR(__xludf.DUMMYFUNCTION("""COMPUTED_VALUE"""),1)</f>
        <v>1</v>
      </c>
      <c r="D3868" s="8">
        <f ca="1">IFERROR(__xludf.DUMMYFUNCTION("""COMPUTED_VALUE"""),1)</f>
        <v>1</v>
      </c>
      <c r="E3868" s="2">
        <f ca="1">IFERROR(__xludf.DUMMYFUNCTION("""COMPUTED_VALUE"""),1)</f>
        <v>1</v>
      </c>
    </row>
    <row r="3869" spans="1:5" ht="13">
      <c r="A3869" s="2" t="str">
        <f ca="1">IFERROR(__xludf.DUMMYFUNCTION("""COMPUTED_VALUE"""),"Hope, Garrett")</f>
        <v>Hope, Garrett</v>
      </c>
      <c r="B3869" s="3">
        <f ca="1">IFERROR(__xludf.DUMMYFUNCTION("""COMPUTED_VALUE"""),1)</f>
        <v>1</v>
      </c>
      <c r="C3869" s="7">
        <f ca="1">IFERROR(__xludf.DUMMYFUNCTION("""COMPUTED_VALUE"""),1)</f>
        <v>1</v>
      </c>
      <c r="D3869" s="8">
        <f ca="1">IFERROR(__xludf.DUMMYFUNCTION("""COMPUTED_VALUE"""),1)</f>
        <v>1</v>
      </c>
      <c r="E3869" s="2">
        <f ca="1">IFERROR(__xludf.DUMMYFUNCTION("""COMPUTED_VALUE"""),1)</f>
        <v>1</v>
      </c>
    </row>
    <row r="3870" spans="1:5" ht="13">
      <c r="A3870" s="2" t="str">
        <f ca="1">IFERROR(__xludf.DUMMYFUNCTION("""COMPUTED_VALUE"""),"Hope, Peter")</f>
        <v>Hope, Peter</v>
      </c>
      <c r="B3870" s="3">
        <f ca="1">IFERROR(__xludf.DUMMYFUNCTION("""COMPUTED_VALUE"""),1)</f>
        <v>1</v>
      </c>
      <c r="C3870" s="7">
        <f ca="1">IFERROR(__xludf.DUMMYFUNCTION("""COMPUTED_VALUE"""),1)</f>
        <v>1</v>
      </c>
      <c r="D3870" s="8">
        <f ca="1">IFERROR(__xludf.DUMMYFUNCTION("""COMPUTED_VALUE"""),1)</f>
        <v>1</v>
      </c>
      <c r="E3870" s="2">
        <f ca="1">IFERROR(__xludf.DUMMYFUNCTION("""COMPUTED_VALUE"""),1)</f>
        <v>1</v>
      </c>
    </row>
    <row r="3871" spans="1:5" ht="13">
      <c r="A3871" s="8" t="str">
        <f ca="1">IFERROR(__xludf.DUMMYFUNCTION("""COMPUTED_VALUE"""),"Hopkins, Greg")</f>
        <v>Hopkins, Greg</v>
      </c>
      <c r="B3871" s="3">
        <f ca="1">IFERROR(__xludf.DUMMYFUNCTION("""COMPUTED_VALUE"""),1)</f>
        <v>1</v>
      </c>
      <c r="C3871" s="7">
        <f ca="1">IFERROR(__xludf.DUMMYFUNCTION("""COMPUTED_VALUE"""),1)</f>
        <v>1</v>
      </c>
      <c r="D3871" s="8">
        <f ca="1">IFERROR(__xludf.DUMMYFUNCTION("""COMPUTED_VALUE"""),1)</f>
        <v>1</v>
      </c>
      <c r="E3871" s="2">
        <f ca="1">IFERROR(__xludf.DUMMYFUNCTION("""COMPUTED_VALUE"""),1)</f>
        <v>1</v>
      </c>
    </row>
    <row r="3872" spans="1:5" ht="13">
      <c r="A3872" s="2" t="str">
        <f ca="1">IFERROR(__xludf.DUMMYFUNCTION("""COMPUTED_VALUE"""),"Hopkins, James F.")</f>
        <v>Hopkins, James F.</v>
      </c>
      <c r="B3872" s="3">
        <f ca="1">IFERROR(__xludf.DUMMYFUNCTION("""COMPUTED_VALUE"""),1)</f>
        <v>1</v>
      </c>
      <c r="C3872" s="7">
        <f ca="1">IFERROR(__xludf.DUMMYFUNCTION("""COMPUTED_VALUE"""),1)</f>
        <v>1</v>
      </c>
      <c r="D3872" s="8">
        <f ca="1">IFERROR(__xludf.DUMMYFUNCTION("""COMPUTED_VALUE"""),1)</f>
        <v>1</v>
      </c>
      <c r="E3872" s="2">
        <f ca="1">IFERROR(__xludf.DUMMYFUNCTION("""COMPUTED_VALUE"""),1)</f>
        <v>1</v>
      </c>
    </row>
    <row r="3873" spans="1:5" ht="13">
      <c r="A3873" s="2" t="str">
        <f ca="1">IFERROR(__xludf.DUMMYFUNCTION("""COMPUTED_VALUE"""),"Hopkins, John Henry")</f>
        <v>Hopkins, John Henry</v>
      </c>
      <c r="B3873" s="2">
        <f ca="1">IFERROR(__xludf.DUMMYFUNCTION("""COMPUTED_VALUE"""),1)</f>
        <v>1</v>
      </c>
      <c r="C3873" s="7">
        <f ca="1">IFERROR(__xludf.DUMMYFUNCTION("""COMPUTED_VALUE"""),1)</f>
        <v>1</v>
      </c>
      <c r="D3873" s="8">
        <f ca="1">IFERROR(__xludf.DUMMYFUNCTION("""COMPUTED_VALUE"""),5)</f>
        <v>5</v>
      </c>
      <c r="E3873" s="2">
        <f ca="1">IFERROR(__xludf.DUMMYFUNCTION("""COMPUTED_VALUE"""),2)</f>
        <v>2</v>
      </c>
    </row>
    <row r="3874" spans="1:5" ht="13">
      <c r="A3874" s="2" t="str">
        <f ca="1">IFERROR(__xludf.DUMMYFUNCTION("""COMPUTED_VALUE"""),"Hopkins, Jr., John")</f>
        <v>Hopkins, Jr., John</v>
      </c>
      <c r="B3874" s="2">
        <f ca="1">IFERROR(__xludf.DUMMYFUNCTION("""COMPUTED_VALUE"""),1)</f>
        <v>1</v>
      </c>
      <c r="C3874" s="7">
        <f ca="1">IFERROR(__xludf.DUMMYFUNCTION("""COMPUTED_VALUE"""),1)</f>
        <v>1</v>
      </c>
      <c r="D3874" s="8">
        <f ca="1">IFERROR(__xludf.DUMMYFUNCTION("""COMPUTED_VALUE"""),5)</f>
        <v>5</v>
      </c>
      <c r="E3874" s="2">
        <f ca="1">IFERROR(__xludf.DUMMYFUNCTION("""COMPUTED_VALUE"""),2)</f>
        <v>2</v>
      </c>
    </row>
    <row r="3875" spans="1:5" ht="13">
      <c r="A3875" s="2" t="str">
        <f ca="1">IFERROR(__xludf.DUMMYFUNCTION("""COMPUTED_VALUE"""),"Hopkins, Jr., John Henry")</f>
        <v>Hopkins, Jr., John Henry</v>
      </c>
      <c r="B3875" s="2">
        <f ca="1">IFERROR(__xludf.DUMMYFUNCTION("""COMPUTED_VALUE"""),1)</f>
        <v>1</v>
      </c>
      <c r="C3875" s="7">
        <f ca="1">IFERROR(__xludf.DUMMYFUNCTION("""COMPUTED_VALUE"""),1)</f>
        <v>1</v>
      </c>
      <c r="D3875" s="8">
        <f ca="1">IFERROR(__xludf.DUMMYFUNCTION("""COMPUTED_VALUE"""),5)</f>
        <v>5</v>
      </c>
      <c r="E3875" s="2">
        <f ca="1">IFERROR(__xludf.DUMMYFUNCTION("""COMPUTED_VALUE"""),2)</f>
        <v>2</v>
      </c>
    </row>
    <row r="3876" spans="1:5" ht="13">
      <c r="A3876" s="2" t="str">
        <f ca="1">IFERROR(__xludf.DUMMYFUNCTION("""COMPUTED_VALUE"""),"Hopkins, Michael")</f>
        <v>Hopkins, Michael</v>
      </c>
      <c r="B3876" s="3">
        <f ca="1">IFERROR(__xludf.DUMMYFUNCTION("""COMPUTED_VALUE"""),1)</f>
        <v>1</v>
      </c>
      <c r="C3876" s="7">
        <f ca="1">IFERROR(__xludf.DUMMYFUNCTION("""COMPUTED_VALUE"""),1)</f>
        <v>1</v>
      </c>
      <c r="D3876" s="8">
        <f ca="1">IFERROR(__xludf.DUMMYFUNCTION("""COMPUTED_VALUE"""),1)</f>
        <v>1</v>
      </c>
      <c r="E3876" s="2">
        <f ca="1">IFERROR(__xludf.DUMMYFUNCTION("""COMPUTED_VALUE"""),1)</f>
        <v>1</v>
      </c>
    </row>
    <row r="3877" spans="1:5" ht="13">
      <c r="A3877" s="2" t="str">
        <f ca="1">IFERROR(__xludf.DUMMYFUNCTION("""COMPUTED_VALUE"""),"Hopkins, Rob")</f>
        <v>Hopkins, Rob</v>
      </c>
      <c r="B3877" s="3">
        <f ca="1">IFERROR(__xludf.DUMMYFUNCTION("""COMPUTED_VALUE"""),1)</f>
        <v>1</v>
      </c>
      <c r="C3877" s="7">
        <f ca="1">IFERROR(__xludf.DUMMYFUNCTION("""COMPUTED_VALUE"""),1)</f>
        <v>1</v>
      </c>
      <c r="D3877" s="8">
        <f ca="1">IFERROR(__xludf.DUMMYFUNCTION("""COMPUTED_VALUE"""),1)</f>
        <v>1</v>
      </c>
      <c r="E3877" s="2">
        <f ca="1">IFERROR(__xludf.DUMMYFUNCTION("""COMPUTED_VALUE"""),1)</f>
        <v>1</v>
      </c>
    </row>
    <row r="3878" spans="1:5" ht="13">
      <c r="A3878" s="2" t="str">
        <f ca="1">IFERROR(__xludf.DUMMYFUNCTION("""COMPUTED_VALUE"""),"Hopkins, Stephen")</f>
        <v>Hopkins, Stephen</v>
      </c>
      <c r="B3878" s="3">
        <f ca="1">IFERROR(__xludf.DUMMYFUNCTION("""COMPUTED_VALUE"""),1)</f>
        <v>1</v>
      </c>
      <c r="C3878" s="7">
        <f ca="1">IFERROR(__xludf.DUMMYFUNCTION("""COMPUTED_VALUE"""),1)</f>
        <v>1</v>
      </c>
      <c r="D3878" s="8">
        <f ca="1">IFERROR(__xludf.DUMMYFUNCTION("""COMPUTED_VALUE"""),1)</f>
        <v>1</v>
      </c>
      <c r="E3878" s="2">
        <f ca="1">IFERROR(__xludf.DUMMYFUNCTION("""COMPUTED_VALUE"""),1)</f>
        <v>1</v>
      </c>
    </row>
    <row r="3879" spans="1:5" ht="13">
      <c r="A3879" s="8" t="str">
        <f ca="1">IFERROR(__xludf.DUMMYFUNCTION("""COMPUTED_VALUE"""),"Hopkinson, Francis")</f>
        <v>Hopkinson, Francis</v>
      </c>
      <c r="B3879" s="3">
        <f ca="1">IFERROR(__xludf.DUMMYFUNCTION("""COMPUTED_VALUE"""),1)</f>
        <v>1</v>
      </c>
      <c r="C3879" s="7">
        <f ca="1">IFERROR(__xludf.DUMMYFUNCTION("""COMPUTED_VALUE"""),1)</f>
        <v>1</v>
      </c>
      <c r="D3879" s="8">
        <f ca="1">IFERROR(__xludf.DUMMYFUNCTION("""COMPUTED_VALUE"""),5)</f>
        <v>5</v>
      </c>
      <c r="E3879" s="2">
        <f ca="1">IFERROR(__xludf.DUMMYFUNCTION("""COMPUTED_VALUE"""),2)</f>
        <v>2</v>
      </c>
    </row>
    <row r="3880" spans="1:5" ht="13">
      <c r="A3880" s="8" t="str">
        <f ca="1">IFERROR(__xludf.DUMMYFUNCTION("""COMPUTED_VALUE"""),"Hopson, Hal")</f>
        <v>Hopson, Hal</v>
      </c>
      <c r="B3880" s="3">
        <f ca="1">IFERROR(__xludf.DUMMYFUNCTION("""COMPUTED_VALUE"""),1)</f>
        <v>1</v>
      </c>
      <c r="C3880" s="7">
        <f ca="1">IFERROR(__xludf.DUMMYFUNCTION("""COMPUTED_VALUE"""),1)</f>
        <v>1</v>
      </c>
      <c r="D3880" s="8">
        <f ca="1">IFERROR(__xludf.DUMMYFUNCTION("""COMPUTED_VALUE"""),1)</f>
        <v>1</v>
      </c>
      <c r="E3880" s="2">
        <f ca="1">IFERROR(__xludf.DUMMYFUNCTION("""COMPUTED_VALUE"""),1)</f>
        <v>1</v>
      </c>
    </row>
    <row r="3881" spans="1:5" ht="13">
      <c r="A3881" s="2" t="str">
        <f ca="1">IFERROR(__xludf.DUMMYFUNCTION("""COMPUTED_VALUE"""),"Horlick, Harry")</f>
        <v>Horlick, Harry</v>
      </c>
      <c r="B3881" s="3">
        <f ca="1">IFERROR(__xludf.DUMMYFUNCTION("""COMPUTED_VALUE"""),1)</f>
        <v>1</v>
      </c>
      <c r="C3881" s="7">
        <f ca="1">IFERROR(__xludf.DUMMYFUNCTION("""COMPUTED_VALUE"""),1)</f>
        <v>1</v>
      </c>
      <c r="D3881" s="8">
        <f ca="1">IFERROR(__xludf.DUMMYFUNCTION("""COMPUTED_VALUE"""),5)</f>
        <v>5</v>
      </c>
      <c r="E3881" s="2">
        <f ca="1">IFERROR(__xludf.DUMMYFUNCTION("""COMPUTED_VALUE"""),2)</f>
        <v>2</v>
      </c>
    </row>
    <row r="3882" spans="1:5" ht="13">
      <c r="A3882" s="2" t="str">
        <f ca="1">IFERROR(__xludf.DUMMYFUNCTION("""COMPUTED_VALUE"""),"Horman, John")</f>
        <v>Horman, John</v>
      </c>
      <c r="B3882" s="3">
        <f ca="1">IFERROR(__xludf.DUMMYFUNCTION("""COMPUTED_VALUE"""),1)</f>
        <v>1</v>
      </c>
      <c r="C3882" s="7">
        <f ca="1">IFERROR(__xludf.DUMMYFUNCTION("""COMPUTED_VALUE"""),1)</f>
        <v>1</v>
      </c>
      <c r="D3882" s="8">
        <f ca="1">IFERROR(__xludf.DUMMYFUNCTION("""COMPUTED_VALUE"""),1)</f>
        <v>1</v>
      </c>
      <c r="E3882" s="2">
        <f ca="1">IFERROR(__xludf.DUMMYFUNCTION("""COMPUTED_VALUE"""),1)</f>
        <v>1</v>
      </c>
    </row>
    <row r="3883" spans="1:5" ht="13">
      <c r="A3883" s="2" t="str">
        <f ca="1">IFERROR(__xludf.DUMMYFUNCTION("""COMPUTED_VALUE"""),"Horn, Richard")</f>
        <v>Horn, Richard</v>
      </c>
      <c r="B3883" s="3">
        <f ca="1">IFERROR(__xludf.DUMMYFUNCTION("""COMPUTED_VALUE"""),1)</f>
        <v>1</v>
      </c>
      <c r="C3883" s="7">
        <f ca="1">IFERROR(__xludf.DUMMYFUNCTION("""COMPUTED_VALUE"""),1)</f>
        <v>1</v>
      </c>
      <c r="D3883" s="8">
        <f ca="1">IFERROR(__xludf.DUMMYFUNCTION("""COMPUTED_VALUE"""),1)</f>
        <v>1</v>
      </c>
      <c r="E3883" s="2">
        <f ca="1">IFERROR(__xludf.DUMMYFUNCTION("""COMPUTED_VALUE"""),1)</f>
        <v>1</v>
      </c>
    </row>
    <row r="3884" spans="1:5" ht="13">
      <c r="A3884" s="2" t="str">
        <f ca="1">IFERROR(__xludf.DUMMYFUNCTION("""COMPUTED_VALUE"""),"Hornady, Wallace")</f>
        <v>Hornady, Wallace</v>
      </c>
      <c r="B3884" s="3">
        <f ca="1">IFERROR(__xludf.DUMMYFUNCTION("""COMPUTED_VALUE"""),1)</f>
        <v>1</v>
      </c>
      <c r="C3884" s="7">
        <f ca="1">IFERROR(__xludf.DUMMYFUNCTION("""COMPUTED_VALUE"""),1)</f>
        <v>1</v>
      </c>
      <c r="D3884" s="8">
        <f ca="1">IFERROR(__xludf.DUMMYFUNCTION("""COMPUTED_VALUE"""),1)</f>
        <v>1</v>
      </c>
      <c r="E3884" s="2">
        <f ca="1">IFERROR(__xludf.DUMMYFUNCTION("""COMPUTED_VALUE"""),1)</f>
        <v>1</v>
      </c>
    </row>
    <row r="3885" spans="1:5" ht="13">
      <c r="A3885" s="2" t="str">
        <f ca="1">IFERROR(__xludf.DUMMYFUNCTION("""COMPUTED_VALUE"""),"Horner, James")</f>
        <v>Horner, James</v>
      </c>
      <c r="B3885" s="3">
        <f ca="1">IFERROR(__xludf.DUMMYFUNCTION("""COMPUTED_VALUE"""),1)</f>
        <v>1</v>
      </c>
      <c r="C3885" s="7">
        <f ca="1">IFERROR(__xludf.DUMMYFUNCTION("""COMPUTED_VALUE"""),1)</f>
        <v>1</v>
      </c>
      <c r="D3885" s="8">
        <f ca="1">IFERROR(__xludf.DUMMYFUNCTION("""COMPUTED_VALUE"""),5)</f>
        <v>5</v>
      </c>
      <c r="E3885" s="2">
        <f ca="1">IFERROR(__xludf.DUMMYFUNCTION("""COMPUTED_VALUE"""),2)</f>
        <v>2</v>
      </c>
    </row>
    <row r="3886" spans="1:5" ht="13">
      <c r="A3886" s="2" t="str">
        <f ca="1">IFERROR(__xludf.DUMMYFUNCTION("""COMPUTED_VALUE"""),"Horner, James / Zimmer, Hans")</f>
        <v>Horner, James / Zimmer, Hans</v>
      </c>
      <c r="B3886" s="3">
        <f ca="1">IFERROR(__xludf.DUMMYFUNCTION("""COMPUTED_VALUE"""),1)</f>
        <v>1</v>
      </c>
      <c r="C3886" s="7">
        <f ca="1">IFERROR(__xludf.DUMMYFUNCTION("""COMPUTED_VALUE"""),1)</f>
        <v>1</v>
      </c>
      <c r="D3886" s="8" t="str">
        <f ca="1">IFERROR(__xludf.DUMMYFUNCTION("""COMPUTED_VALUE"""),"")</f>
        <v/>
      </c>
      <c r="E3886" s="2" t="str">
        <f ca="1">IFERROR(__xludf.DUMMYFUNCTION("""COMPUTED_VALUE"""),"1&amp;2")</f>
        <v>1&amp;2</v>
      </c>
    </row>
    <row r="3887" spans="1:5" ht="13">
      <c r="A3887" s="2" t="str">
        <f ca="1">IFERROR(__xludf.DUMMYFUNCTION("""COMPUTED_VALUE"""),"Horovitz, Joseph")</f>
        <v>Horovitz, Joseph</v>
      </c>
      <c r="B3887" s="3">
        <f ca="1">IFERROR(__xludf.DUMMYFUNCTION("""COMPUTED_VALUE"""),1)</f>
        <v>1</v>
      </c>
      <c r="C3887" s="7">
        <f ca="1">IFERROR(__xludf.DUMMYFUNCTION("""COMPUTED_VALUE"""),1)</f>
        <v>1</v>
      </c>
      <c r="D3887" s="8">
        <f ca="1">IFERROR(__xludf.DUMMYFUNCTION("""COMPUTED_VALUE"""),1)</f>
        <v>1</v>
      </c>
      <c r="E3887" s="2">
        <f ca="1">IFERROR(__xludf.DUMMYFUNCTION("""COMPUTED_VALUE"""),1)</f>
        <v>1</v>
      </c>
    </row>
    <row r="3888" spans="1:5" ht="13">
      <c r="A3888" s="2" t="str">
        <f ca="1">IFERROR(__xludf.DUMMYFUNCTION("""COMPUTED_VALUE"""),"Horvath, Jeffrey")</f>
        <v>Horvath, Jeffrey</v>
      </c>
      <c r="B3888" s="3">
        <f ca="1">IFERROR(__xludf.DUMMYFUNCTION("""COMPUTED_VALUE"""),1)</f>
        <v>1</v>
      </c>
      <c r="C3888" s="7">
        <f ca="1">IFERROR(__xludf.DUMMYFUNCTION("""COMPUTED_VALUE"""),1)</f>
        <v>1</v>
      </c>
      <c r="D3888" s="8">
        <f ca="1">IFERROR(__xludf.DUMMYFUNCTION("""COMPUTED_VALUE"""),1)</f>
        <v>1</v>
      </c>
      <c r="E3888" s="2">
        <f ca="1">IFERROR(__xludf.DUMMYFUNCTION("""COMPUTED_VALUE"""),1)</f>
        <v>1</v>
      </c>
    </row>
    <row r="3889" spans="1:5" ht="13">
      <c r="A3889" s="2" t="str">
        <f ca="1">IFERROR(__xludf.DUMMYFUNCTION("""COMPUTED_VALUE"""),"Horvit, Michael")</f>
        <v>Horvit, Michael</v>
      </c>
      <c r="B3889" s="3">
        <f ca="1">IFERROR(__xludf.DUMMYFUNCTION("""COMPUTED_VALUE"""),1)</f>
        <v>1</v>
      </c>
      <c r="C3889" s="7">
        <f ca="1">IFERROR(__xludf.DUMMYFUNCTION("""COMPUTED_VALUE"""),1)</f>
        <v>1</v>
      </c>
      <c r="D3889" s="8">
        <f ca="1">IFERROR(__xludf.DUMMYFUNCTION("""COMPUTED_VALUE"""),5)</f>
        <v>5</v>
      </c>
      <c r="E3889" s="2">
        <f ca="1">IFERROR(__xludf.DUMMYFUNCTION("""COMPUTED_VALUE"""),2)</f>
        <v>2</v>
      </c>
    </row>
    <row r="3890" spans="1:5" ht="13">
      <c r="A3890" s="2" t="str">
        <f ca="1">IFERROR(__xludf.DUMMYFUNCTION("""COMPUTED_VALUE"""),"Hosay, James L.")</f>
        <v>Hosay, James L.</v>
      </c>
      <c r="B3890" s="3">
        <f ca="1">IFERROR(__xludf.DUMMYFUNCTION("""COMPUTED_VALUE"""),1)</f>
        <v>1</v>
      </c>
      <c r="C3890" s="7">
        <f ca="1">IFERROR(__xludf.DUMMYFUNCTION("""COMPUTED_VALUE"""),1)</f>
        <v>1</v>
      </c>
      <c r="D3890" s="8">
        <f ca="1">IFERROR(__xludf.DUMMYFUNCTION("""COMPUTED_VALUE"""),1)</f>
        <v>1</v>
      </c>
      <c r="E3890" s="2">
        <f ca="1">IFERROR(__xludf.DUMMYFUNCTION("""COMPUTED_VALUE"""),1)</f>
        <v>1</v>
      </c>
    </row>
    <row r="3891" spans="1:5" ht="13">
      <c r="A3891" s="2" t="str">
        <f ca="1">IFERROR(__xludf.DUMMYFUNCTION("""COMPUTED_VALUE"""),"Houben, Kevin")</f>
        <v>Houben, Kevin</v>
      </c>
      <c r="B3891" s="3">
        <f ca="1">IFERROR(__xludf.DUMMYFUNCTION("""COMPUTED_VALUE"""),1)</f>
        <v>1</v>
      </c>
      <c r="C3891" s="7">
        <f ca="1">IFERROR(__xludf.DUMMYFUNCTION("""COMPUTED_VALUE"""),1)</f>
        <v>1</v>
      </c>
      <c r="D3891" s="8">
        <f ca="1">IFERROR(__xludf.DUMMYFUNCTION("""COMPUTED_VALUE"""),1)</f>
        <v>1</v>
      </c>
      <c r="E3891" s="2">
        <f ca="1">IFERROR(__xludf.DUMMYFUNCTION("""COMPUTED_VALUE"""),1)</f>
        <v>1</v>
      </c>
    </row>
    <row r="3892" spans="1:5" ht="13">
      <c r="A3892" s="8" t="str">
        <f ca="1">IFERROR(__xludf.DUMMYFUNCTION("""COMPUTED_VALUE"""),"Hough, Steven")</f>
        <v>Hough, Steven</v>
      </c>
      <c r="B3892" s="3">
        <f ca="1">IFERROR(__xludf.DUMMYFUNCTION("""COMPUTED_VALUE"""),1)</f>
        <v>1</v>
      </c>
      <c r="C3892" s="7">
        <f ca="1">IFERROR(__xludf.DUMMYFUNCTION("""COMPUTED_VALUE"""),1)</f>
        <v>1</v>
      </c>
      <c r="D3892" s="8">
        <f ca="1">IFERROR(__xludf.DUMMYFUNCTION("""COMPUTED_VALUE"""),1)</f>
        <v>1</v>
      </c>
      <c r="E3892" s="2">
        <f ca="1">IFERROR(__xludf.DUMMYFUNCTION("""COMPUTED_VALUE"""),1)</f>
        <v>1</v>
      </c>
    </row>
    <row r="3893" spans="1:5" ht="13">
      <c r="A3893" s="2" t="str">
        <f ca="1">IFERROR(__xludf.DUMMYFUNCTION("""COMPUTED_VALUE"""),"Houghtalen, Brandon")</f>
        <v>Houghtalen, Brandon</v>
      </c>
      <c r="B3893" s="3">
        <f ca="1">IFERROR(__xludf.DUMMYFUNCTION("""COMPUTED_VALUE"""),1)</f>
        <v>1</v>
      </c>
      <c r="C3893" s="7">
        <f ca="1">IFERROR(__xludf.DUMMYFUNCTION("""COMPUTED_VALUE"""),1)</f>
        <v>1</v>
      </c>
      <c r="D3893" s="8">
        <f ca="1">IFERROR(__xludf.DUMMYFUNCTION("""COMPUTED_VALUE"""),1)</f>
        <v>1</v>
      </c>
      <c r="E3893" s="2">
        <f ca="1">IFERROR(__xludf.DUMMYFUNCTION("""COMPUTED_VALUE"""),1)</f>
        <v>1</v>
      </c>
    </row>
    <row r="3894" spans="1:5" ht="13">
      <c r="A3894" s="2" t="str">
        <f ca="1">IFERROR(__xludf.DUMMYFUNCTION("""COMPUTED_VALUE"""),"Houkom, Alf")</f>
        <v>Houkom, Alf</v>
      </c>
      <c r="B3894" s="3">
        <f ca="1">IFERROR(__xludf.DUMMYFUNCTION("""COMPUTED_VALUE"""),1)</f>
        <v>1</v>
      </c>
      <c r="C3894" s="7">
        <f ca="1">IFERROR(__xludf.DUMMYFUNCTION("""COMPUTED_VALUE"""),1)</f>
        <v>1</v>
      </c>
      <c r="D3894" s="8">
        <f ca="1">IFERROR(__xludf.DUMMYFUNCTION("""COMPUTED_VALUE"""),1)</f>
        <v>1</v>
      </c>
      <c r="E3894" s="2">
        <f ca="1">IFERROR(__xludf.DUMMYFUNCTION("""COMPUTED_VALUE"""),1)</f>
        <v>1</v>
      </c>
    </row>
    <row r="3895" spans="1:5" ht="13">
      <c r="A3895" s="2" t="str">
        <f ca="1">IFERROR(__xludf.DUMMYFUNCTION("""COMPUTED_VALUE"""),"Houllif, Murray")</f>
        <v>Houllif, Murray</v>
      </c>
      <c r="B3895" s="3">
        <f ca="1">IFERROR(__xludf.DUMMYFUNCTION("""COMPUTED_VALUE"""),1)</f>
        <v>1</v>
      </c>
      <c r="C3895" s="7">
        <f ca="1">IFERROR(__xludf.DUMMYFUNCTION("""COMPUTED_VALUE"""),1)</f>
        <v>1</v>
      </c>
      <c r="D3895" s="8">
        <f ca="1">IFERROR(__xludf.DUMMYFUNCTION("""COMPUTED_VALUE"""),1)</f>
        <v>1</v>
      </c>
      <c r="E3895" s="2">
        <f ca="1">IFERROR(__xludf.DUMMYFUNCTION("""COMPUTED_VALUE"""),1)</f>
        <v>1</v>
      </c>
    </row>
    <row r="3896" spans="1:5" ht="13">
      <c r="A3896" s="2" t="str">
        <f ca="1">IFERROR(__xludf.DUMMYFUNCTION("""COMPUTED_VALUE"""),"Houseknecht, Bruce")</f>
        <v>Houseknecht, Bruce</v>
      </c>
      <c r="B3896" s="3">
        <f ca="1">IFERROR(__xludf.DUMMYFUNCTION("""COMPUTED_VALUE"""),1)</f>
        <v>1</v>
      </c>
      <c r="C3896" s="7">
        <f ca="1">IFERROR(__xludf.DUMMYFUNCTION("""COMPUTED_VALUE"""),1)</f>
        <v>1</v>
      </c>
      <c r="D3896" s="8">
        <f ca="1">IFERROR(__xludf.DUMMYFUNCTION("""COMPUTED_VALUE"""),5)</f>
        <v>5</v>
      </c>
      <c r="E3896" s="2">
        <f ca="1">IFERROR(__xludf.DUMMYFUNCTION("""COMPUTED_VALUE"""),2)</f>
        <v>2</v>
      </c>
    </row>
    <row r="3897" spans="1:5" ht="13">
      <c r="A3897" s="2" t="str">
        <f ca="1">IFERROR(__xludf.DUMMYFUNCTION("""COMPUTED_VALUE"""),"Houston, Aaron")</f>
        <v>Houston, Aaron</v>
      </c>
      <c r="B3897" s="3">
        <f ca="1">IFERROR(__xludf.DUMMYFUNCTION("""COMPUTED_VALUE"""),1)</f>
        <v>1</v>
      </c>
      <c r="C3897" s="7">
        <f ca="1">IFERROR(__xludf.DUMMYFUNCTION("""COMPUTED_VALUE"""),1)</f>
        <v>1</v>
      </c>
      <c r="D3897" s="8">
        <f ca="1">IFERROR(__xludf.DUMMYFUNCTION("""COMPUTED_VALUE"""),1)</f>
        <v>1</v>
      </c>
      <c r="E3897" s="2">
        <f ca="1">IFERROR(__xludf.DUMMYFUNCTION("""COMPUTED_VALUE"""),1)</f>
        <v>1</v>
      </c>
    </row>
    <row r="3898" spans="1:5" ht="13">
      <c r="A3898" s="2" t="str">
        <f ca="1">IFERROR(__xludf.DUMMYFUNCTION("""COMPUTED_VALUE"""),"Houston, Seth")</f>
        <v>Houston, Seth</v>
      </c>
      <c r="B3898" s="3">
        <f ca="1">IFERROR(__xludf.DUMMYFUNCTION("""COMPUTED_VALUE"""),1)</f>
        <v>1</v>
      </c>
      <c r="C3898" s="7">
        <f ca="1">IFERROR(__xludf.DUMMYFUNCTION("""COMPUTED_VALUE"""),1)</f>
        <v>1</v>
      </c>
      <c r="D3898" s="8">
        <f ca="1">IFERROR(__xludf.DUMMYFUNCTION("""COMPUTED_VALUE"""),1)</f>
        <v>1</v>
      </c>
      <c r="E3898" s="2">
        <f ca="1">IFERROR(__xludf.DUMMYFUNCTION("""COMPUTED_VALUE"""),1)</f>
        <v>1</v>
      </c>
    </row>
    <row r="3899" spans="1:5" ht="13">
      <c r="A3899" s="2" t="str">
        <f ca="1">IFERROR(__xludf.DUMMYFUNCTION("""COMPUTED_VALUE"""),"Houten, Robert Van")</f>
        <v>Houten, Robert Van</v>
      </c>
      <c r="B3899" s="2">
        <f ca="1">IFERROR(__xludf.DUMMYFUNCTION("""COMPUTED_VALUE"""),1)</f>
        <v>1</v>
      </c>
      <c r="C3899" s="2">
        <f ca="1">IFERROR(__xludf.DUMMYFUNCTION("""COMPUTED_VALUE"""),1)</f>
        <v>1</v>
      </c>
      <c r="D3899" s="8">
        <f ca="1">IFERROR(__xludf.DUMMYFUNCTION("""COMPUTED_VALUE"""),5)</f>
        <v>5</v>
      </c>
      <c r="E3899" s="2">
        <f ca="1">IFERROR(__xludf.DUMMYFUNCTION("""COMPUTED_VALUE"""),2)</f>
        <v>2</v>
      </c>
    </row>
    <row r="3900" spans="1:5" ht="13">
      <c r="A3900" s="2" t="str">
        <f ca="1">IFERROR(__xludf.DUMMYFUNCTION("""COMPUTED_VALUE"""),"Hovhaness, Alan")</f>
        <v>Hovhaness, Alan</v>
      </c>
      <c r="B3900" s="3">
        <f ca="1">IFERROR(__xludf.DUMMYFUNCTION("""COMPUTED_VALUE"""),1)</f>
        <v>1</v>
      </c>
      <c r="C3900" s="7">
        <f ca="1">IFERROR(__xludf.DUMMYFUNCTION("""COMPUTED_VALUE"""),1)</f>
        <v>1</v>
      </c>
      <c r="D3900" s="8">
        <f ca="1">IFERROR(__xludf.DUMMYFUNCTION("""COMPUTED_VALUE"""),5)</f>
        <v>5</v>
      </c>
      <c r="E3900" s="2">
        <f ca="1">IFERROR(__xludf.DUMMYFUNCTION("""COMPUTED_VALUE"""),2)</f>
        <v>2</v>
      </c>
    </row>
    <row r="3901" spans="1:5" ht="13">
      <c r="A3901" s="8" t="str">
        <f ca="1">IFERROR(__xludf.DUMMYFUNCTION("""COMPUTED_VALUE"""),"Hovland, Egil")</f>
        <v>Hovland, Egil</v>
      </c>
      <c r="B3901" s="3">
        <f ca="1">IFERROR(__xludf.DUMMYFUNCTION("""COMPUTED_VALUE"""),1)</f>
        <v>1</v>
      </c>
      <c r="C3901" s="7">
        <f ca="1">IFERROR(__xludf.DUMMYFUNCTION("""COMPUTED_VALUE"""),1)</f>
        <v>1</v>
      </c>
      <c r="D3901" s="8">
        <f ca="1">IFERROR(__xludf.DUMMYFUNCTION("""COMPUTED_VALUE"""),5)</f>
        <v>5</v>
      </c>
      <c r="E3901" s="2">
        <f ca="1">IFERROR(__xludf.DUMMYFUNCTION("""COMPUTED_VALUE"""),2)</f>
        <v>2</v>
      </c>
    </row>
    <row r="3902" spans="1:5" ht="13">
      <c r="A3902" s="2" t="str">
        <f ca="1">IFERROR(__xludf.DUMMYFUNCTION("""COMPUTED_VALUE"""),"How, Martin")</f>
        <v>How, Martin</v>
      </c>
      <c r="B3902" s="3">
        <f ca="1">IFERROR(__xludf.DUMMYFUNCTION("""COMPUTED_VALUE"""),1)</f>
        <v>1</v>
      </c>
      <c r="C3902" s="7">
        <f ca="1">IFERROR(__xludf.DUMMYFUNCTION("""COMPUTED_VALUE"""),1)</f>
        <v>1</v>
      </c>
      <c r="D3902" s="8">
        <f ca="1">IFERROR(__xludf.DUMMYFUNCTION("""COMPUTED_VALUE"""),5)</f>
        <v>5</v>
      </c>
      <c r="E3902" s="2">
        <f ca="1">IFERROR(__xludf.DUMMYFUNCTION("""COMPUTED_VALUE"""),2)</f>
        <v>2</v>
      </c>
    </row>
    <row r="3903" spans="1:5" ht="13">
      <c r="A3903" s="2" t="str">
        <f ca="1">IFERROR(__xludf.DUMMYFUNCTION("""COMPUTED_VALUE"""),"Howard, Bart")</f>
        <v>Howard, Bart</v>
      </c>
      <c r="B3903" s="3">
        <f ca="1">IFERROR(__xludf.DUMMYFUNCTION("""COMPUTED_VALUE"""),1)</f>
        <v>1</v>
      </c>
      <c r="C3903" s="7">
        <f ca="1">IFERROR(__xludf.DUMMYFUNCTION("""COMPUTED_VALUE"""),1)</f>
        <v>1</v>
      </c>
      <c r="D3903" s="8">
        <f ca="1">IFERROR(__xludf.DUMMYFUNCTION("""COMPUTED_VALUE"""),5)</f>
        <v>5</v>
      </c>
      <c r="E3903" s="2">
        <f ca="1">IFERROR(__xludf.DUMMYFUNCTION("""COMPUTED_VALUE"""),2)</f>
        <v>2</v>
      </c>
    </row>
    <row r="3904" spans="1:5" ht="13">
      <c r="A3904" s="2" t="str">
        <f ca="1">IFERROR(__xludf.DUMMYFUNCTION("""COMPUTED_VALUE"""),"Howard, David")</f>
        <v>Howard, David</v>
      </c>
      <c r="B3904" s="3">
        <f ca="1">IFERROR(__xludf.DUMMYFUNCTION("""COMPUTED_VALUE"""),1)</f>
        <v>1</v>
      </c>
      <c r="C3904" s="7">
        <f ca="1">IFERROR(__xludf.DUMMYFUNCTION("""COMPUTED_VALUE"""),1)</f>
        <v>1</v>
      </c>
      <c r="D3904" s="8">
        <f ca="1">IFERROR(__xludf.DUMMYFUNCTION("""COMPUTED_VALUE"""),1)</f>
        <v>1</v>
      </c>
      <c r="E3904" s="2">
        <f ca="1">IFERROR(__xludf.DUMMYFUNCTION("""COMPUTED_VALUE"""),1)</f>
        <v>1</v>
      </c>
    </row>
    <row r="3905" spans="1:5" ht="13">
      <c r="A3905" s="2" t="str">
        <f ca="1">IFERROR(__xludf.DUMMYFUNCTION("""COMPUTED_VALUE"""),"Howard, Dean")</f>
        <v>Howard, Dean</v>
      </c>
      <c r="B3905" s="2">
        <f ca="1">IFERROR(__xludf.DUMMYFUNCTION("""COMPUTED_VALUE"""),1)</f>
        <v>1</v>
      </c>
      <c r="C3905" s="7">
        <f ca="1">IFERROR(__xludf.DUMMYFUNCTION("""COMPUTED_VALUE"""),1)</f>
        <v>1</v>
      </c>
      <c r="D3905" s="8">
        <f ca="1">IFERROR(__xludf.DUMMYFUNCTION("""COMPUTED_VALUE"""),5)</f>
        <v>5</v>
      </c>
      <c r="E3905" s="2">
        <f ca="1">IFERROR(__xludf.DUMMYFUNCTION("""COMPUTED_VALUE"""),2)</f>
        <v>2</v>
      </c>
    </row>
    <row r="3906" spans="1:5" ht="13">
      <c r="A3906" s="2" t="str">
        <f ca="1">IFERROR(__xludf.DUMMYFUNCTION("""COMPUTED_VALUE"""),"Howard, James Newton")</f>
        <v>Howard, James Newton</v>
      </c>
      <c r="B3906" s="3">
        <f ca="1">IFERROR(__xludf.DUMMYFUNCTION("""COMPUTED_VALUE"""),1)</f>
        <v>1</v>
      </c>
      <c r="C3906" s="7">
        <f ca="1">IFERROR(__xludf.DUMMYFUNCTION("""COMPUTED_VALUE"""),1)</f>
        <v>1</v>
      </c>
      <c r="D3906" s="8">
        <f ca="1">IFERROR(__xludf.DUMMYFUNCTION("""COMPUTED_VALUE"""),1)</f>
        <v>1</v>
      </c>
      <c r="E3906" s="2">
        <f ca="1">IFERROR(__xludf.DUMMYFUNCTION("""COMPUTED_VALUE"""),1)</f>
        <v>1</v>
      </c>
    </row>
    <row r="3907" spans="1:5" ht="13">
      <c r="A3907" s="2" t="str">
        <f ca="1">IFERROR(__xludf.DUMMYFUNCTION("""COMPUTED_VALUE"""),"Howard, Joseph E. / Emerson, Ida")</f>
        <v>Howard, Joseph E. / Emerson, Ida</v>
      </c>
      <c r="B3907" s="2">
        <f ca="1">IFERROR(__xludf.DUMMYFUNCTION("""COMPUTED_VALUE"""),1)</f>
        <v>1</v>
      </c>
      <c r="C3907" s="7">
        <f ca="1">IFERROR(__xludf.DUMMYFUNCTION("""COMPUTED_VALUE"""),1)</f>
        <v>1</v>
      </c>
      <c r="D3907" s="8">
        <f ca="1">IFERROR(__xludf.DUMMYFUNCTION("""COMPUTED_VALUE"""),5)</f>
        <v>5</v>
      </c>
      <c r="E3907" s="2">
        <f ca="1">IFERROR(__xludf.DUMMYFUNCTION("""COMPUTED_VALUE"""),2)</f>
        <v>2</v>
      </c>
    </row>
    <row r="3908" spans="1:5" ht="13">
      <c r="A3908" s="8" t="str">
        <f ca="1">IFERROR(__xludf.DUMMYFUNCTION("""COMPUTED_VALUE"""),"Howard, Timothy")</f>
        <v>Howard, Timothy</v>
      </c>
      <c r="B3908" s="3">
        <f ca="1">IFERROR(__xludf.DUMMYFUNCTION("""COMPUTED_VALUE"""),1)</f>
        <v>1</v>
      </c>
      <c r="C3908" s="7">
        <f ca="1">IFERROR(__xludf.DUMMYFUNCTION("""COMPUTED_VALUE"""),1)</f>
        <v>1</v>
      </c>
      <c r="D3908" s="8">
        <f ca="1">IFERROR(__xludf.DUMMYFUNCTION("""COMPUTED_VALUE"""),1)</f>
        <v>1</v>
      </c>
      <c r="E3908" s="2">
        <f ca="1">IFERROR(__xludf.DUMMYFUNCTION("""COMPUTED_VALUE"""),1)</f>
        <v>1</v>
      </c>
    </row>
    <row r="3909" spans="1:5" ht="13">
      <c r="A3909" s="2" t="str">
        <f ca="1">IFERROR(__xludf.DUMMYFUNCTION("""COMPUTED_VALUE"""),"Howarth, Elgar")</f>
        <v>Howarth, Elgar</v>
      </c>
      <c r="B3909" s="3">
        <f ca="1">IFERROR(__xludf.DUMMYFUNCTION("""COMPUTED_VALUE"""),1)</f>
        <v>1</v>
      </c>
      <c r="C3909" s="7">
        <f ca="1">IFERROR(__xludf.DUMMYFUNCTION("""COMPUTED_VALUE"""),1)</f>
        <v>1</v>
      </c>
      <c r="D3909" s="8">
        <f ca="1">IFERROR(__xludf.DUMMYFUNCTION("""COMPUTED_VALUE"""),1)</f>
        <v>1</v>
      </c>
      <c r="E3909" s="2">
        <f ca="1">IFERROR(__xludf.DUMMYFUNCTION("""COMPUTED_VALUE"""),1)</f>
        <v>1</v>
      </c>
    </row>
    <row r="3910" spans="1:5" ht="13">
      <c r="A3910" s="8" t="str">
        <f ca="1">IFERROR(__xludf.DUMMYFUNCTION("""COMPUTED_VALUE"""),"Howden, Bruce")</f>
        <v>Howden, Bruce</v>
      </c>
      <c r="B3910" s="3">
        <f ca="1">IFERROR(__xludf.DUMMYFUNCTION("""COMPUTED_VALUE"""),1)</f>
        <v>1</v>
      </c>
      <c r="C3910" s="7">
        <f ca="1">IFERROR(__xludf.DUMMYFUNCTION("""COMPUTED_VALUE"""),1)</f>
        <v>1</v>
      </c>
      <c r="D3910" s="8">
        <f ca="1">IFERROR(__xludf.DUMMYFUNCTION("""COMPUTED_VALUE"""),5)</f>
        <v>5</v>
      </c>
      <c r="E3910" s="2">
        <f ca="1">IFERROR(__xludf.DUMMYFUNCTION("""COMPUTED_VALUE"""),2)</f>
        <v>2</v>
      </c>
    </row>
    <row r="3911" spans="1:5" ht="13">
      <c r="A3911" s="2" t="str">
        <f ca="1">IFERROR(__xludf.DUMMYFUNCTION("""COMPUTED_VALUE"""),"Howe, James")</f>
        <v>Howe, James</v>
      </c>
      <c r="B3911" s="3">
        <f ca="1">IFERROR(__xludf.DUMMYFUNCTION("""COMPUTED_VALUE"""),1)</f>
        <v>1</v>
      </c>
      <c r="C3911" s="7">
        <f ca="1">IFERROR(__xludf.DUMMYFUNCTION("""COMPUTED_VALUE"""),1)</f>
        <v>1</v>
      </c>
      <c r="D3911" s="8">
        <f ca="1">IFERROR(__xludf.DUMMYFUNCTION("""COMPUTED_VALUE"""),5)</f>
        <v>5</v>
      </c>
      <c r="E3911" s="2">
        <f ca="1">IFERROR(__xludf.DUMMYFUNCTION("""COMPUTED_VALUE"""),2)</f>
        <v>2</v>
      </c>
    </row>
    <row r="3912" spans="1:5" ht="13">
      <c r="A3912" s="2" t="str">
        <f ca="1">IFERROR(__xludf.DUMMYFUNCTION("""COMPUTED_VALUE"""),"Howe, Major J.W.")</f>
        <v>Howe, Major J.W.</v>
      </c>
      <c r="B3912" s="3">
        <f ca="1">IFERROR(__xludf.DUMMYFUNCTION("""COMPUTED_VALUE"""),1)</f>
        <v>1</v>
      </c>
      <c r="C3912" s="7">
        <f ca="1">IFERROR(__xludf.DUMMYFUNCTION("""COMPUTED_VALUE"""),1)</f>
        <v>1</v>
      </c>
      <c r="D3912" s="8">
        <f ca="1">IFERROR(__xludf.DUMMYFUNCTION("""COMPUTED_VALUE"""),1)</f>
        <v>1</v>
      </c>
      <c r="E3912" s="2">
        <f ca="1">IFERROR(__xludf.DUMMYFUNCTION("""COMPUTED_VALUE"""),1)</f>
        <v>1</v>
      </c>
    </row>
    <row r="3913" spans="1:5" ht="13">
      <c r="A3913" s="2" t="str">
        <f ca="1">IFERROR(__xludf.DUMMYFUNCTION("""COMPUTED_VALUE"""),"Howe, Nathan")</f>
        <v>Howe, Nathan</v>
      </c>
      <c r="B3913" s="2">
        <f ca="1">IFERROR(__xludf.DUMMYFUNCTION("""COMPUTED_VALUE"""),1)</f>
        <v>1</v>
      </c>
      <c r="C3913" s="7">
        <f ca="1">IFERROR(__xludf.DUMMYFUNCTION("""COMPUTED_VALUE"""),1)</f>
        <v>1</v>
      </c>
      <c r="D3913" s="8">
        <f ca="1">IFERROR(__xludf.DUMMYFUNCTION("""COMPUTED_VALUE"""),1)</f>
        <v>1</v>
      </c>
      <c r="E3913" s="2">
        <f ca="1">IFERROR(__xludf.DUMMYFUNCTION("""COMPUTED_VALUE"""),1)</f>
        <v>1</v>
      </c>
    </row>
    <row r="3914" spans="1:5" ht="13">
      <c r="A3914" s="2" t="str">
        <f ca="1">IFERROR(__xludf.DUMMYFUNCTION("""COMPUTED_VALUE"""),"Howe, Tom")</f>
        <v>Howe, Tom</v>
      </c>
      <c r="B3914" s="2">
        <f ca="1">IFERROR(__xludf.DUMMYFUNCTION("""COMPUTED_VALUE"""),1)</f>
        <v>1</v>
      </c>
      <c r="C3914" s="2">
        <f ca="1">IFERROR(__xludf.DUMMYFUNCTION("""COMPUTED_VALUE"""),1)</f>
        <v>1</v>
      </c>
      <c r="D3914" s="8">
        <f ca="1">IFERROR(__xludf.DUMMYFUNCTION("""COMPUTED_VALUE"""),1)</f>
        <v>1</v>
      </c>
      <c r="E3914" s="2">
        <f ca="1">IFERROR(__xludf.DUMMYFUNCTION("""COMPUTED_VALUE"""),1)</f>
        <v>1</v>
      </c>
    </row>
    <row r="3915" spans="1:5" ht="13">
      <c r="A3915" s="2" t="str">
        <f ca="1">IFERROR(__xludf.DUMMYFUNCTION("""COMPUTED_VALUE"""),"Howell, John Raymond")</f>
        <v>Howell, John Raymond</v>
      </c>
      <c r="B3915" s="3">
        <f ca="1">IFERROR(__xludf.DUMMYFUNCTION("""COMPUTED_VALUE"""),1)</f>
        <v>1</v>
      </c>
      <c r="C3915" s="7">
        <f ca="1">IFERROR(__xludf.DUMMYFUNCTION("""COMPUTED_VALUE"""),1)</f>
        <v>1</v>
      </c>
      <c r="D3915" s="8">
        <f ca="1">IFERROR(__xludf.DUMMYFUNCTION("""COMPUTED_VALUE"""),5)</f>
        <v>5</v>
      </c>
      <c r="E3915" s="2">
        <f ca="1">IFERROR(__xludf.DUMMYFUNCTION("""COMPUTED_VALUE"""),2)</f>
        <v>2</v>
      </c>
    </row>
    <row r="3916" spans="1:5" ht="13">
      <c r="A3916" s="8" t="str">
        <f ca="1">IFERROR(__xludf.DUMMYFUNCTION("""COMPUTED_VALUE"""),"Howells, Herbert")</f>
        <v>Howells, Herbert</v>
      </c>
      <c r="B3916" s="3">
        <f ca="1">IFERROR(__xludf.DUMMYFUNCTION("""COMPUTED_VALUE"""),1)</f>
        <v>1</v>
      </c>
      <c r="C3916" s="7">
        <f ca="1">IFERROR(__xludf.DUMMYFUNCTION("""COMPUTED_VALUE"""),1)</f>
        <v>1</v>
      </c>
      <c r="D3916" s="8">
        <f ca="1">IFERROR(__xludf.DUMMYFUNCTION("""COMPUTED_VALUE"""),5)</f>
        <v>5</v>
      </c>
      <c r="E3916" s="2">
        <f ca="1">IFERROR(__xludf.DUMMYFUNCTION("""COMPUTED_VALUE"""),2)</f>
        <v>2</v>
      </c>
    </row>
    <row r="3917" spans="1:5" ht="13">
      <c r="A3917" s="2" t="str">
        <f ca="1">IFERROR(__xludf.DUMMYFUNCTION("""COMPUTED_VALUE"""),"Howeth, Larry")</f>
        <v>Howeth, Larry</v>
      </c>
      <c r="B3917" s="2">
        <f ca="1">IFERROR(__xludf.DUMMYFUNCTION("""COMPUTED_VALUE"""),1)</f>
        <v>1</v>
      </c>
      <c r="C3917" s="7">
        <f ca="1">IFERROR(__xludf.DUMMYFUNCTION("""COMPUTED_VALUE"""),1)</f>
        <v>1</v>
      </c>
      <c r="D3917" s="8">
        <f ca="1">IFERROR(__xludf.DUMMYFUNCTION("""COMPUTED_VALUE"""),5)</f>
        <v>5</v>
      </c>
      <c r="E3917" s="2">
        <f ca="1">IFERROR(__xludf.DUMMYFUNCTION("""COMPUTED_VALUE"""),2)</f>
        <v>2</v>
      </c>
    </row>
    <row r="3918" spans="1:5" ht="13">
      <c r="A3918" s="2" t="str">
        <f ca="1">IFERROR(__xludf.DUMMYFUNCTION("""COMPUTED_VALUE"""),"Howey, Henry")</f>
        <v>Howey, Henry</v>
      </c>
      <c r="B3918" s="3">
        <f ca="1">IFERROR(__xludf.DUMMYFUNCTION("""COMPUTED_VALUE"""),1)</f>
        <v>1</v>
      </c>
      <c r="C3918" s="7">
        <f ca="1">IFERROR(__xludf.DUMMYFUNCTION("""COMPUTED_VALUE"""),1)</f>
        <v>1</v>
      </c>
      <c r="D3918" s="8">
        <f ca="1">IFERROR(__xludf.DUMMYFUNCTION("""COMPUTED_VALUE"""),1)</f>
        <v>1</v>
      </c>
      <c r="E3918" s="2">
        <f ca="1">IFERROR(__xludf.DUMMYFUNCTION("""COMPUTED_VALUE"""),1)</f>
        <v>1</v>
      </c>
    </row>
    <row r="3919" spans="1:5" ht="13">
      <c r="A3919" s="2" t="str">
        <f ca="1">IFERROR(__xludf.DUMMYFUNCTION("""COMPUTED_VALUE"""),"Howland, Russell")</f>
        <v>Howland, Russell</v>
      </c>
      <c r="B3919" s="3">
        <f ca="1">IFERROR(__xludf.DUMMYFUNCTION("""COMPUTED_VALUE"""),1)</f>
        <v>1</v>
      </c>
      <c r="C3919" s="7">
        <f ca="1">IFERROR(__xludf.DUMMYFUNCTION("""COMPUTED_VALUE"""),1)</f>
        <v>1</v>
      </c>
      <c r="D3919" s="8">
        <f ca="1">IFERROR(__xludf.DUMMYFUNCTION("""COMPUTED_VALUE"""),5)</f>
        <v>5</v>
      </c>
      <c r="E3919" s="2">
        <f ca="1">IFERROR(__xludf.DUMMYFUNCTION("""COMPUTED_VALUE"""),2)</f>
        <v>2</v>
      </c>
    </row>
    <row r="3920" spans="1:5" ht="13">
      <c r="A3920" s="2" t="str">
        <f ca="1">IFERROR(__xludf.DUMMYFUNCTION("""COMPUTED_VALUE"""),"Howland, Russell S.")</f>
        <v>Howland, Russell S.</v>
      </c>
      <c r="B3920" s="3">
        <f ca="1">IFERROR(__xludf.DUMMYFUNCTION("""COMPUTED_VALUE"""),1)</f>
        <v>1</v>
      </c>
      <c r="C3920" s="7">
        <f ca="1">IFERROR(__xludf.DUMMYFUNCTION("""COMPUTED_VALUE"""),1)</f>
        <v>1</v>
      </c>
      <c r="D3920" s="8">
        <f ca="1">IFERROR(__xludf.DUMMYFUNCTION("""COMPUTED_VALUE"""),5)</f>
        <v>5</v>
      </c>
      <c r="E3920" s="2">
        <f ca="1">IFERROR(__xludf.DUMMYFUNCTION("""COMPUTED_VALUE"""),2)</f>
        <v>2</v>
      </c>
    </row>
    <row r="3921" spans="1:5" ht="13">
      <c r="A3921" s="8" t="str">
        <f ca="1">IFERROR(__xludf.DUMMYFUNCTION("""COMPUTED_VALUE"""),"Hoyt, George")</f>
        <v>Hoyt, George</v>
      </c>
      <c r="B3921" s="3">
        <f ca="1">IFERROR(__xludf.DUMMYFUNCTION("""COMPUTED_VALUE"""),1)</f>
        <v>1</v>
      </c>
      <c r="C3921" s="7">
        <f ca="1">IFERROR(__xludf.DUMMYFUNCTION("""COMPUTED_VALUE"""),1)</f>
        <v>1</v>
      </c>
      <c r="D3921" s="8">
        <f ca="1">IFERROR(__xludf.DUMMYFUNCTION("""COMPUTED_VALUE"""),5)</f>
        <v>5</v>
      </c>
      <c r="E3921" s="2">
        <f ca="1">IFERROR(__xludf.DUMMYFUNCTION("""COMPUTED_VALUE"""),2)</f>
        <v>2</v>
      </c>
    </row>
    <row r="3922" spans="1:5" ht="13">
      <c r="A3922" s="2" t="str">
        <f ca="1">IFERROR(__xludf.DUMMYFUNCTION("""COMPUTED_VALUE"""),"Hristov, Dobri")</f>
        <v>Hristov, Dobri</v>
      </c>
      <c r="B3922" s="3">
        <f ca="1">IFERROR(__xludf.DUMMYFUNCTION("""COMPUTED_VALUE"""),1)</f>
        <v>1</v>
      </c>
      <c r="C3922" s="7">
        <f ca="1">IFERROR(__xludf.DUMMYFUNCTION("""COMPUTED_VALUE"""),1)</f>
        <v>1</v>
      </c>
      <c r="D3922" s="8">
        <f ca="1">IFERROR(__xludf.DUMMYFUNCTION("""COMPUTED_VALUE"""),5)</f>
        <v>5</v>
      </c>
      <c r="E3922" s="2">
        <f ca="1">IFERROR(__xludf.DUMMYFUNCTION("""COMPUTED_VALUE"""),2)</f>
        <v>2</v>
      </c>
    </row>
    <row r="3923" spans="1:5" ht="13">
      <c r="A3923" s="2" t="str">
        <f ca="1">IFERROR(__xludf.DUMMYFUNCTION("""COMPUTED_VALUE"""),"Hruby, Frank")</f>
        <v>Hruby, Frank</v>
      </c>
      <c r="B3923" s="3">
        <f ca="1">IFERROR(__xludf.DUMMYFUNCTION("""COMPUTED_VALUE"""),1)</f>
        <v>1</v>
      </c>
      <c r="C3923" s="7">
        <f ca="1">IFERROR(__xludf.DUMMYFUNCTION("""COMPUTED_VALUE"""),1)</f>
        <v>1</v>
      </c>
      <c r="D3923" s="8">
        <f ca="1">IFERROR(__xludf.DUMMYFUNCTION("""COMPUTED_VALUE"""),5)</f>
        <v>5</v>
      </c>
      <c r="E3923" s="2">
        <f ca="1">IFERROR(__xludf.DUMMYFUNCTION("""COMPUTED_VALUE"""),2)</f>
        <v>2</v>
      </c>
    </row>
    <row r="3924" spans="1:5" ht="13">
      <c r="A3924" s="2" t="str">
        <f ca="1">IFERROR(__xludf.DUMMYFUNCTION("""COMPUTED_VALUE"""),"Hrusovsky, Ivan")</f>
        <v>Hrusovsky, Ivan</v>
      </c>
      <c r="B3924" s="3">
        <f ca="1">IFERROR(__xludf.DUMMYFUNCTION("""COMPUTED_VALUE"""),1)</f>
        <v>1</v>
      </c>
      <c r="C3924" s="7">
        <f ca="1">IFERROR(__xludf.DUMMYFUNCTION("""COMPUTED_VALUE"""),1)</f>
        <v>1</v>
      </c>
      <c r="D3924" s="8">
        <f ca="1">IFERROR(__xludf.DUMMYFUNCTION("""COMPUTED_VALUE"""),1)</f>
        <v>1</v>
      </c>
      <c r="E3924" s="2">
        <f ca="1">IFERROR(__xludf.DUMMYFUNCTION("""COMPUTED_VALUE"""),1)</f>
        <v>1</v>
      </c>
    </row>
    <row r="3925" spans="1:5" ht="13">
      <c r="A3925" s="8" t="str">
        <f ca="1">IFERROR(__xludf.DUMMYFUNCTION("""COMPUTED_VALUE"""),"Hrušovský, Ivan")</f>
        <v>Hrušovský, Ivan</v>
      </c>
      <c r="B3925" s="3">
        <f ca="1">IFERROR(__xludf.DUMMYFUNCTION("""COMPUTED_VALUE"""),1)</f>
        <v>1</v>
      </c>
      <c r="C3925" s="7">
        <f ca="1">IFERROR(__xludf.DUMMYFUNCTION("""COMPUTED_VALUE"""),1)</f>
        <v>1</v>
      </c>
      <c r="D3925" s="8">
        <f ca="1">IFERROR(__xludf.DUMMYFUNCTION("""COMPUTED_VALUE"""),5)</f>
        <v>5</v>
      </c>
      <c r="E3925" s="2">
        <f ca="1">IFERROR(__xludf.DUMMYFUNCTION("""COMPUTED_VALUE"""),2)</f>
        <v>2</v>
      </c>
    </row>
    <row r="3926" spans="1:5" ht="13">
      <c r="A3926" s="2" t="str">
        <f ca="1">IFERROR(__xludf.DUMMYFUNCTION("""COMPUTED_VALUE"""),"Hubay, Jeno")</f>
        <v>Hubay, Jeno</v>
      </c>
      <c r="B3926" s="3">
        <f ca="1">IFERROR(__xludf.DUMMYFUNCTION("""COMPUTED_VALUE"""),1)</f>
        <v>1</v>
      </c>
      <c r="C3926" s="7">
        <f ca="1">IFERROR(__xludf.DUMMYFUNCTION("""COMPUTED_VALUE"""),1)</f>
        <v>1</v>
      </c>
      <c r="D3926" s="8">
        <f ca="1">IFERROR(__xludf.DUMMYFUNCTION("""COMPUTED_VALUE"""),5)</f>
        <v>5</v>
      </c>
      <c r="E3926" s="2">
        <f ca="1">IFERROR(__xludf.DUMMYFUNCTION("""COMPUTED_VALUE"""),2)</f>
        <v>2</v>
      </c>
    </row>
    <row r="3927" spans="1:5" ht="13">
      <c r="A3927" s="2" t="str">
        <f ca="1">IFERROR(__xludf.DUMMYFUNCTION("""COMPUTED_VALUE"""),"Hubay, Jenő")</f>
        <v>Hubay, Jenő</v>
      </c>
      <c r="B3927" s="2">
        <f ca="1">IFERROR(__xludf.DUMMYFUNCTION("""COMPUTED_VALUE"""),1)</f>
        <v>1</v>
      </c>
      <c r="C3927" s="2">
        <f ca="1">IFERROR(__xludf.DUMMYFUNCTION("""COMPUTED_VALUE"""),1)</f>
        <v>1</v>
      </c>
      <c r="D3927" s="8">
        <f ca="1">IFERROR(__xludf.DUMMYFUNCTION("""COMPUTED_VALUE"""),5)</f>
        <v>5</v>
      </c>
      <c r="E3927" s="2">
        <f ca="1">IFERROR(__xludf.DUMMYFUNCTION("""COMPUTED_VALUE"""),2)</f>
        <v>2</v>
      </c>
    </row>
    <row r="3928" spans="1:5" ht="13">
      <c r="A3928" s="2" t="str">
        <f ca="1">IFERROR(__xludf.DUMMYFUNCTION("""COMPUTED_VALUE"""),"Hubbell, Fred")</f>
        <v>Hubbell, Fred</v>
      </c>
      <c r="B3928" s="3">
        <f ca="1">IFERROR(__xludf.DUMMYFUNCTION("""COMPUTED_VALUE"""),1)</f>
        <v>1</v>
      </c>
      <c r="C3928" s="7">
        <f ca="1">IFERROR(__xludf.DUMMYFUNCTION("""COMPUTED_VALUE"""),1)</f>
        <v>1</v>
      </c>
      <c r="D3928" s="8">
        <f ca="1">IFERROR(__xludf.DUMMYFUNCTION("""COMPUTED_VALUE"""),5)</f>
        <v>5</v>
      </c>
      <c r="E3928" s="2">
        <f ca="1">IFERROR(__xludf.DUMMYFUNCTION("""COMPUTED_VALUE"""),2)</f>
        <v>2</v>
      </c>
    </row>
    <row r="3929" spans="1:5" ht="13">
      <c r="A3929" s="2" t="str">
        <f ca="1">IFERROR(__xludf.DUMMYFUNCTION("""COMPUTED_VALUE"""),"Hubbell, Nicholas")</f>
        <v>Hubbell, Nicholas</v>
      </c>
      <c r="B3929" s="3">
        <f ca="1">IFERROR(__xludf.DUMMYFUNCTION("""COMPUTED_VALUE"""),1)</f>
        <v>1</v>
      </c>
      <c r="C3929" s="7">
        <f ca="1">IFERROR(__xludf.DUMMYFUNCTION("""COMPUTED_VALUE"""),1)</f>
        <v>1</v>
      </c>
      <c r="D3929" s="8">
        <f ca="1">IFERROR(__xludf.DUMMYFUNCTION("""COMPUTED_VALUE"""),1)</f>
        <v>1</v>
      </c>
      <c r="E3929" s="2">
        <f ca="1">IFERROR(__xludf.DUMMYFUNCTION("""COMPUTED_VALUE"""),1)</f>
        <v>1</v>
      </c>
    </row>
    <row r="3930" spans="1:5" ht="13">
      <c r="A3930" s="2" t="str">
        <f ca="1">IFERROR(__xludf.DUMMYFUNCTION("""COMPUTED_VALUE"""),"Hubert,, Charles; Perry, Hastings")</f>
        <v>Hubert,, Charles; Perry, Hastings</v>
      </c>
      <c r="B3930" s="3">
        <f ca="1">IFERROR(__xludf.DUMMYFUNCTION("""COMPUTED_VALUE"""),1)</f>
        <v>1</v>
      </c>
      <c r="C3930" s="7">
        <f ca="1">IFERROR(__xludf.DUMMYFUNCTION("""COMPUTED_VALUE"""),1)</f>
        <v>1</v>
      </c>
      <c r="D3930" s="8">
        <f ca="1">IFERROR(__xludf.DUMMYFUNCTION("""COMPUTED_VALUE"""),5)</f>
        <v>5</v>
      </c>
      <c r="E3930" s="2">
        <f ca="1">IFERROR(__xludf.DUMMYFUNCTION("""COMPUTED_VALUE"""),2)</f>
        <v>2</v>
      </c>
    </row>
    <row r="3931" spans="1:5" ht="13">
      <c r="A3931" s="2" t="str">
        <f ca="1">IFERROR(__xludf.DUMMYFUNCTION("""COMPUTED_VALUE"""),"Huckeby, Ed")</f>
        <v>Huckeby, Ed</v>
      </c>
      <c r="B3931" s="3">
        <f ca="1">IFERROR(__xludf.DUMMYFUNCTION("""COMPUTED_VALUE"""),1)</f>
        <v>1</v>
      </c>
      <c r="C3931" s="7">
        <f ca="1">IFERROR(__xludf.DUMMYFUNCTION("""COMPUTED_VALUE"""),1)</f>
        <v>1</v>
      </c>
      <c r="D3931" s="8">
        <f ca="1">IFERROR(__xludf.DUMMYFUNCTION("""COMPUTED_VALUE"""),1)</f>
        <v>1</v>
      </c>
      <c r="E3931" s="2">
        <f ca="1">IFERROR(__xludf.DUMMYFUNCTION("""COMPUTED_VALUE"""),1)</f>
        <v>1</v>
      </c>
    </row>
    <row r="3932" spans="1:5" ht="13">
      <c r="A3932" s="2" t="str">
        <f ca="1">IFERROR(__xludf.DUMMYFUNCTION("""COMPUTED_VALUE"""),"Huckeby, Edward")</f>
        <v>Huckeby, Edward</v>
      </c>
      <c r="B3932" s="3">
        <f ca="1">IFERROR(__xludf.DUMMYFUNCTION("""COMPUTED_VALUE"""),1)</f>
        <v>1</v>
      </c>
      <c r="C3932" s="7">
        <f ca="1">IFERROR(__xludf.DUMMYFUNCTION("""COMPUTED_VALUE"""),1)</f>
        <v>1</v>
      </c>
      <c r="D3932" s="8">
        <f ca="1">IFERROR(__xludf.DUMMYFUNCTION("""COMPUTED_VALUE"""),1)</f>
        <v>1</v>
      </c>
      <c r="E3932" s="2">
        <f ca="1">IFERROR(__xludf.DUMMYFUNCTION("""COMPUTED_VALUE"""),1)</f>
        <v>1</v>
      </c>
    </row>
    <row r="3933" spans="1:5" ht="13">
      <c r="A3933" s="2" t="str">
        <f ca="1">IFERROR(__xludf.DUMMYFUNCTION("""COMPUTED_VALUE"""),"Hudadoff, Igor")</f>
        <v>Hudadoff, Igor</v>
      </c>
      <c r="B3933" s="3">
        <f ca="1">IFERROR(__xludf.DUMMYFUNCTION("""COMPUTED_VALUE"""),1)</f>
        <v>1</v>
      </c>
      <c r="C3933" s="7">
        <f ca="1">IFERROR(__xludf.DUMMYFUNCTION("""COMPUTED_VALUE"""),1)</f>
        <v>1</v>
      </c>
      <c r="D3933" s="8">
        <f ca="1">IFERROR(__xludf.DUMMYFUNCTION("""COMPUTED_VALUE"""),1)</f>
        <v>1</v>
      </c>
      <c r="E3933" s="2">
        <f ca="1">IFERROR(__xludf.DUMMYFUNCTION("""COMPUTED_VALUE"""),1)</f>
        <v>1</v>
      </c>
    </row>
    <row r="3934" spans="1:5" ht="13">
      <c r="A3934" s="2" t="str">
        <f ca="1">IFERROR(__xludf.DUMMYFUNCTION("""COMPUTED_VALUE"""),"Hudson, Frank M.")</f>
        <v>Hudson, Frank M.</v>
      </c>
      <c r="B3934" s="3">
        <f ca="1">IFERROR(__xludf.DUMMYFUNCTION("""COMPUTED_VALUE"""),1)</f>
        <v>1</v>
      </c>
      <c r="C3934" s="7">
        <f ca="1">IFERROR(__xludf.DUMMYFUNCTION("""COMPUTED_VALUE"""),1)</f>
        <v>1</v>
      </c>
      <c r="D3934" s="8">
        <f ca="1">IFERROR(__xludf.DUMMYFUNCTION("""COMPUTED_VALUE"""),1)</f>
        <v>1</v>
      </c>
      <c r="E3934" s="2">
        <f ca="1">IFERROR(__xludf.DUMMYFUNCTION("""COMPUTED_VALUE"""),1)</f>
        <v>1</v>
      </c>
    </row>
    <row r="3935" spans="1:5" ht="13">
      <c r="A3935" s="2" t="str">
        <f ca="1">IFERROR(__xludf.DUMMYFUNCTION("""COMPUTED_VALUE"""),"Hudson, Ian")</f>
        <v>Hudson, Ian</v>
      </c>
      <c r="B3935" s="3">
        <f ca="1">IFERROR(__xludf.DUMMYFUNCTION("""COMPUTED_VALUE"""),1)</f>
        <v>1</v>
      </c>
      <c r="C3935" s="7">
        <f ca="1">IFERROR(__xludf.DUMMYFUNCTION("""COMPUTED_VALUE"""),1)</f>
        <v>1</v>
      </c>
      <c r="D3935" s="8">
        <f ca="1">IFERROR(__xludf.DUMMYFUNCTION("""COMPUTED_VALUE"""),1)</f>
        <v>1</v>
      </c>
      <c r="E3935" s="2">
        <f ca="1">IFERROR(__xludf.DUMMYFUNCTION("""COMPUTED_VALUE"""),1)</f>
        <v>1</v>
      </c>
    </row>
    <row r="3936" spans="1:5" ht="13">
      <c r="A3936" s="2" t="str">
        <f ca="1">IFERROR(__xludf.DUMMYFUNCTION("""COMPUTED_VALUE"""),"Hudson, Nathan")</f>
        <v>Hudson, Nathan</v>
      </c>
      <c r="B3936" s="3">
        <f ca="1">IFERROR(__xludf.DUMMYFUNCTION("""COMPUTED_VALUE"""),1)</f>
        <v>1</v>
      </c>
      <c r="C3936" s="7">
        <f ca="1">IFERROR(__xludf.DUMMYFUNCTION("""COMPUTED_VALUE"""),1)</f>
        <v>1</v>
      </c>
      <c r="D3936" s="8">
        <f ca="1">IFERROR(__xludf.DUMMYFUNCTION("""COMPUTED_VALUE"""),1)</f>
        <v>1</v>
      </c>
      <c r="E3936" s="2">
        <f ca="1">IFERROR(__xludf.DUMMYFUNCTION("""COMPUTED_VALUE"""),1)</f>
        <v>1</v>
      </c>
    </row>
    <row r="3937" spans="1:5" ht="13">
      <c r="A3937" s="2" t="str">
        <f ca="1">IFERROR(__xludf.DUMMYFUNCTION("""COMPUTED_VALUE"""),"Hudson, Will / DeLange, Eddie / Mills, Irving")</f>
        <v>Hudson, Will / DeLange, Eddie / Mills, Irving</v>
      </c>
      <c r="B3937" s="3">
        <f ca="1">IFERROR(__xludf.DUMMYFUNCTION("""COMPUTED_VALUE"""),1)</f>
        <v>1</v>
      </c>
      <c r="C3937" s="7">
        <f ca="1">IFERROR(__xludf.DUMMYFUNCTION("""COMPUTED_VALUE"""),1)</f>
        <v>1</v>
      </c>
      <c r="D3937" s="8">
        <f ca="1">IFERROR(__xludf.DUMMYFUNCTION("""COMPUTED_VALUE"""),5)</f>
        <v>5</v>
      </c>
      <c r="E3937" s="2">
        <f ca="1">IFERROR(__xludf.DUMMYFUNCTION("""COMPUTED_VALUE"""),2)</f>
        <v>2</v>
      </c>
    </row>
    <row r="3938" spans="1:5" ht="13">
      <c r="A3938" s="2" t="str">
        <f ca="1">IFERROR(__xludf.DUMMYFUNCTION("""COMPUTED_VALUE"""),"Hue, Georges")</f>
        <v>Hue, Georges</v>
      </c>
      <c r="B3938" s="3">
        <f ca="1">IFERROR(__xludf.DUMMYFUNCTION("""COMPUTED_VALUE"""),1)</f>
        <v>1</v>
      </c>
      <c r="C3938" s="7">
        <f ca="1">IFERROR(__xludf.DUMMYFUNCTION("""COMPUTED_VALUE"""),1)</f>
        <v>1</v>
      </c>
      <c r="D3938" s="8">
        <f ca="1">IFERROR(__xludf.DUMMYFUNCTION("""COMPUTED_VALUE"""),5)</f>
        <v>5</v>
      </c>
      <c r="E3938" s="2">
        <f ca="1">IFERROR(__xludf.DUMMYFUNCTION("""COMPUTED_VALUE"""),2)</f>
        <v>2</v>
      </c>
    </row>
    <row r="3939" spans="1:5" ht="13">
      <c r="A3939" s="2" t="str">
        <f ca="1">IFERROR(__xludf.DUMMYFUNCTION("""COMPUTED_VALUE"""),"Huestis, Michael")</f>
        <v>Huestis, Michael</v>
      </c>
      <c r="B3939" s="3">
        <f ca="1">IFERROR(__xludf.DUMMYFUNCTION("""COMPUTED_VALUE"""),1)</f>
        <v>1</v>
      </c>
      <c r="C3939" s="7">
        <f ca="1">IFERROR(__xludf.DUMMYFUNCTION("""COMPUTED_VALUE"""),1)</f>
        <v>1</v>
      </c>
      <c r="D3939" s="8">
        <f ca="1">IFERROR(__xludf.DUMMYFUNCTION("""COMPUTED_VALUE"""),1)</f>
        <v>1</v>
      </c>
      <c r="E3939" s="2">
        <f ca="1">IFERROR(__xludf.DUMMYFUNCTION("""COMPUTED_VALUE"""),1)</f>
        <v>1</v>
      </c>
    </row>
    <row r="3940" spans="1:5" ht="13">
      <c r="A3940" s="8" t="str">
        <f ca="1">IFERROR(__xludf.DUMMYFUNCTION("""COMPUTED_VALUE"""),"Huff, Arthur E.")</f>
        <v>Huff, Arthur E.</v>
      </c>
      <c r="B3940" s="3">
        <f ca="1">IFERROR(__xludf.DUMMYFUNCTION("""COMPUTED_VALUE"""),1)</f>
        <v>1</v>
      </c>
      <c r="C3940" s="7">
        <f ca="1">IFERROR(__xludf.DUMMYFUNCTION("""COMPUTED_VALUE"""),1)</f>
        <v>1</v>
      </c>
      <c r="D3940" s="8">
        <f ca="1">IFERROR(__xludf.DUMMYFUNCTION("""COMPUTED_VALUE"""),5)</f>
        <v>5</v>
      </c>
      <c r="E3940" s="2">
        <f ca="1">IFERROR(__xludf.DUMMYFUNCTION("""COMPUTED_VALUE"""),2)</f>
        <v>2</v>
      </c>
    </row>
    <row r="3941" spans="1:5" ht="13">
      <c r="A3941" s="8" t="str">
        <f ca="1">IFERROR(__xludf.DUMMYFUNCTION("""COMPUTED_VALUE"""),"Huff, Mac")</f>
        <v>Huff, Mac</v>
      </c>
      <c r="B3941" s="3">
        <f ca="1">IFERROR(__xludf.DUMMYFUNCTION("""COMPUTED_VALUE"""),1)</f>
        <v>1</v>
      </c>
      <c r="C3941" s="7">
        <f ca="1">IFERROR(__xludf.DUMMYFUNCTION("""COMPUTED_VALUE"""),1)</f>
        <v>1</v>
      </c>
      <c r="D3941" s="8">
        <f ca="1">IFERROR(__xludf.DUMMYFUNCTION("""COMPUTED_VALUE"""),1)</f>
        <v>1</v>
      </c>
      <c r="E3941" s="2">
        <f ca="1">IFERROR(__xludf.DUMMYFUNCTION("""COMPUTED_VALUE"""),1)</f>
        <v>1</v>
      </c>
    </row>
    <row r="3942" spans="1:5" ht="13">
      <c r="A3942" s="2" t="str">
        <f ca="1">IFERROR(__xludf.DUMMYFUNCTION("""COMPUTED_VALUE"""),"Huff, Michael")</f>
        <v>Huff, Michael</v>
      </c>
      <c r="B3942" s="3">
        <f ca="1">IFERROR(__xludf.DUMMYFUNCTION("""COMPUTED_VALUE"""),1)</f>
        <v>1</v>
      </c>
      <c r="C3942" s="7">
        <f ca="1">IFERROR(__xludf.DUMMYFUNCTION("""COMPUTED_VALUE"""),1)</f>
        <v>1</v>
      </c>
      <c r="D3942" s="8">
        <f ca="1">IFERROR(__xludf.DUMMYFUNCTION("""COMPUTED_VALUE"""),1)</f>
        <v>1</v>
      </c>
      <c r="E3942" s="2">
        <f ca="1">IFERROR(__xludf.DUMMYFUNCTION("""COMPUTED_VALUE"""),1)</f>
        <v>1</v>
      </c>
    </row>
    <row r="3943" spans="1:5" ht="13">
      <c r="A3943" s="2" t="str">
        <f ca="1">IFERROR(__xludf.DUMMYFUNCTION("""COMPUTED_VALUE"""),"Huff, Will")</f>
        <v>Huff, Will</v>
      </c>
      <c r="B3943" s="3">
        <f ca="1">IFERROR(__xludf.DUMMYFUNCTION("""COMPUTED_VALUE"""),1)</f>
        <v>1</v>
      </c>
      <c r="C3943" s="7">
        <f ca="1">IFERROR(__xludf.DUMMYFUNCTION("""COMPUTED_VALUE"""),1)</f>
        <v>1</v>
      </c>
      <c r="D3943" s="8">
        <f ca="1">IFERROR(__xludf.DUMMYFUNCTION("""COMPUTED_VALUE"""),5)</f>
        <v>5</v>
      </c>
      <c r="E3943" s="2">
        <f ca="1">IFERROR(__xludf.DUMMYFUNCTION("""COMPUTED_VALUE"""),2)</f>
        <v>2</v>
      </c>
    </row>
    <row r="3944" spans="1:5" ht="13">
      <c r="A3944" s="2" t="str">
        <f ca="1">IFERROR(__xludf.DUMMYFUNCTION("""COMPUTED_VALUE"""),"Huff, Will (Fillmore, Henry)")</f>
        <v>Huff, Will (Fillmore, Henry)</v>
      </c>
      <c r="B3944" s="3">
        <f ca="1">IFERROR(__xludf.DUMMYFUNCTION("""COMPUTED_VALUE"""),1)</f>
        <v>1</v>
      </c>
      <c r="C3944" s="7">
        <f ca="1">IFERROR(__xludf.DUMMYFUNCTION("""COMPUTED_VALUE"""),1)</f>
        <v>1</v>
      </c>
      <c r="D3944" s="8">
        <f ca="1">IFERROR(__xludf.DUMMYFUNCTION("""COMPUTED_VALUE"""),5)</f>
        <v>5</v>
      </c>
      <c r="E3944" s="2">
        <f ca="1">IFERROR(__xludf.DUMMYFUNCTION("""COMPUTED_VALUE"""),2)</f>
        <v>2</v>
      </c>
    </row>
    <row r="3945" spans="1:5" ht="13">
      <c r="A3945" s="2" t="str">
        <f ca="1">IFERROR(__xludf.DUMMYFUNCTION("""COMPUTED_VALUE"""),"Huff, Will (non-alias)")</f>
        <v>Huff, Will (non-alias)</v>
      </c>
      <c r="B3945" s="3">
        <f ca="1">IFERROR(__xludf.DUMMYFUNCTION("""COMPUTED_VALUE"""),1)</f>
        <v>1</v>
      </c>
      <c r="C3945" s="7">
        <f ca="1">IFERROR(__xludf.DUMMYFUNCTION("""COMPUTED_VALUE"""),1)</f>
        <v>1</v>
      </c>
      <c r="D3945" s="8">
        <f ca="1">IFERROR(__xludf.DUMMYFUNCTION("""COMPUTED_VALUE"""),5)</f>
        <v>5</v>
      </c>
      <c r="E3945" s="2">
        <f ca="1">IFERROR(__xludf.DUMMYFUNCTION("""COMPUTED_VALUE"""),2)</f>
        <v>2</v>
      </c>
    </row>
    <row r="3946" spans="1:5" ht="13">
      <c r="A3946" s="2" t="str">
        <f ca="1">IFERROR(__xludf.DUMMYFUNCTION("""COMPUTED_VALUE"""),"Huffer, Fred K.")</f>
        <v>Huffer, Fred K.</v>
      </c>
      <c r="B3946" s="3">
        <f ca="1">IFERROR(__xludf.DUMMYFUNCTION("""COMPUTED_VALUE"""),1)</f>
        <v>1</v>
      </c>
      <c r="C3946" s="7">
        <f ca="1">IFERROR(__xludf.DUMMYFUNCTION("""COMPUTED_VALUE"""),1)</f>
        <v>1</v>
      </c>
      <c r="D3946" s="8">
        <f ca="1">IFERROR(__xludf.DUMMYFUNCTION("""COMPUTED_VALUE"""),5)</f>
        <v>5</v>
      </c>
      <c r="E3946" s="2">
        <f ca="1">IFERROR(__xludf.DUMMYFUNCTION("""COMPUTED_VALUE"""),2)</f>
        <v>2</v>
      </c>
    </row>
    <row r="3947" spans="1:5" ht="13">
      <c r="A3947" s="2" t="str">
        <f ca="1">IFERROR(__xludf.DUMMYFUNCTION("""COMPUTED_VALUE"""),"Huffine, Getty Herschel")</f>
        <v>Huffine, Getty Herschel</v>
      </c>
      <c r="B3947" s="3">
        <f ca="1">IFERROR(__xludf.DUMMYFUNCTION("""COMPUTED_VALUE"""),1)</f>
        <v>1</v>
      </c>
      <c r="C3947" s="7">
        <f ca="1">IFERROR(__xludf.DUMMYFUNCTION("""COMPUTED_VALUE"""),1)</f>
        <v>1</v>
      </c>
      <c r="D3947" s="8">
        <f ca="1">IFERROR(__xludf.DUMMYFUNCTION("""COMPUTED_VALUE"""),5)</f>
        <v>5</v>
      </c>
      <c r="E3947" s="2">
        <f ca="1">IFERROR(__xludf.DUMMYFUNCTION("""COMPUTED_VALUE"""),2)</f>
        <v>2</v>
      </c>
    </row>
    <row r="3948" spans="1:5" ht="13">
      <c r="A3948" s="2" t="str">
        <f ca="1">IFERROR(__xludf.DUMMYFUNCTION("""COMPUTED_VALUE"""),"Huffnagle, Harry")</f>
        <v>Huffnagle, Harry</v>
      </c>
      <c r="B3948" s="2">
        <f ca="1">IFERROR(__xludf.DUMMYFUNCTION("""COMPUTED_VALUE"""),1)</f>
        <v>1</v>
      </c>
      <c r="C3948" s="2">
        <f ca="1">IFERROR(__xludf.DUMMYFUNCTION("""COMPUTED_VALUE"""),1)</f>
        <v>1</v>
      </c>
      <c r="D3948" s="8">
        <f ca="1">IFERROR(__xludf.DUMMYFUNCTION("""COMPUTED_VALUE"""),5)</f>
        <v>5</v>
      </c>
      <c r="E3948" s="2">
        <f ca="1">IFERROR(__xludf.DUMMYFUNCTION("""COMPUTED_VALUE"""),2)</f>
        <v>2</v>
      </c>
    </row>
    <row r="3949" spans="1:5" ht="13">
      <c r="A3949" s="2" t="str">
        <f ca="1">IFERROR(__xludf.DUMMYFUNCTION("""COMPUTED_VALUE"""),"Hufstader, Robert")</f>
        <v>Hufstader, Robert</v>
      </c>
      <c r="B3949" s="2">
        <f ca="1">IFERROR(__xludf.DUMMYFUNCTION("""COMPUTED_VALUE"""),1)</f>
        <v>1</v>
      </c>
      <c r="C3949" s="2">
        <f ca="1">IFERROR(__xludf.DUMMYFUNCTION("""COMPUTED_VALUE"""),1)</f>
        <v>1</v>
      </c>
      <c r="D3949" s="8">
        <f ca="1">IFERROR(__xludf.DUMMYFUNCTION("""COMPUTED_VALUE"""),5)</f>
        <v>5</v>
      </c>
      <c r="E3949" s="2">
        <f ca="1">IFERROR(__xludf.DUMMYFUNCTION("""COMPUTED_VALUE"""),2)</f>
        <v>2</v>
      </c>
    </row>
    <row r="3950" spans="1:5" ht="13">
      <c r="A3950" s="2" t="str">
        <f ca="1">IFERROR(__xludf.DUMMYFUNCTION("""COMPUTED_VALUE"""),"Hugh, Robert")</f>
        <v>Hugh, Robert</v>
      </c>
      <c r="B3950" s="3">
        <f ca="1">IFERROR(__xludf.DUMMYFUNCTION("""COMPUTED_VALUE"""),1)</f>
        <v>1</v>
      </c>
      <c r="C3950" s="7">
        <f ca="1">IFERROR(__xludf.DUMMYFUNCTION("""COMPUTED_VALUE"""),1)</f>
        <v>1</v>
      </c>
      <c r="D3950" s="8">
        <f ca="1">IFERROR(__xludf.DUMMYFUNCTION("""COMPUTED_VALUE"""),1)</f>
        <v>1</v>
      </c>
      <c r="E3950" s="2">
        <f ca="1">IFERROR(__xludf.DUMMYFUNCTION("""COMPUTED_VALUE"""),1)</f>
        <v>1</v>
      </c>
    </row>
    <row r="3951" spans="1:5" ht="13">
      <c r="A3951" s="2" t="str">
        <f ca="1">IFERROR(__xludf.DUMMYFUNCTION("""COMPUTED_VALUE"""),"Hughes-Jones, Llifon")</f>
        <v>Hughes-Jones, Llifon</v>
      </c>
      <c r="B3951" s="3">
        <f ca="1">IFERROR(__xludf.DUMMYFUNCTION("""COMPUTED_VALUE"""),1)</f>
        <v>1</v>
      </c>
      <c r="C3951" s="7">
        <f ca="1">IFERROR(__xludf.DUMMYFUNCTION("""COMPUTED_VALUE"""),1)</f>
        <v>1</v>
      </c>
      <c r="D3951" s="8">
        <f ca="1">IFERROR(__xludf.DUMMYFUNCTION("""COMPUTED_VALUE"""),5)</f>
        <v>5</v>
      </c>
      <c r="E3951" s="2">
        <f ca="1">IFERROR(__xludf.DUMMYFUNCTION("""COMPUTED_VALUE"""),2)</f>
        <v>2</v>
      </c>
    </row>
    <row r="3952" spans="1:5" ht="13">
      <c r="A3952" s="2" t="str">
        <f ca="1">IFERROR(__xludf.DUMMYFUNCTION("""COMPUTED_VALUE"""),"Hughes, A. W")</f>
        <v>Hughes, A. W</v>
      </c>
      <c r="B3952" s="2">
        <f ca="1">IFERROR(__xludf.DUMMYFUNCTION("""COMPUTED_VALUE"""),1)</f>
        <v>1</v>
      </c>
      <c r="C3952" s="7">
        <f ca="1">IFERROR(__xludf.DUMMYFUNCTION("""COMPUTED_VALUE"""),1)</f>
        <v>1</v>
      </c>
      <c r="D3952" s="8">
        <f ca="1">IFERROR(__xludf.DUMMYFUNCTION("""COMPUTED_VALUE"""),5)</f>
        <v>5</v>
      </c>
      <c r="E3952" s="2">
        <f ca="1">IFERROR(__xludf.DUMMYFUNCTION("""COMPUTED_VALUE"""),2)</f>
        <v>2</v>
      </c>
    </row>
    <row r="3953" spans="1:5" ht="13">
      <c r="A3953" s="2" t="str">
        <f ca="1">IFERROR(__xludf.DUMMYFUNCTION("""COMPUTED_VALUE"""),"Hughes, Arthur")</f>
        <v>Hughes, Arthur</v>
      </c>
      <c r="B3953" s="2">
        <f ca="1">IFERROR(__xludf.DUMMYFUNCTION("""COMPUTED_VALUE"""),1)</f>
        <v>1</v>
      </c>
      <c r="C3953" s="7">
        <f ca="1">IFERROR(__xludf.DUMMYFUNCTION("""COMPUTED_VALUE"""),1)</f>
        <v>1</v>
      </c>
      <c r="D3953" s="8">
        <f ca="1">IFERROR(__xludf.DUMMYFUNCTION("""COMPUTED_VALUE"""),5)</f>
        <v>5</v>
      </c>
      <c r="E3953" s="2">
        <f ca="1">IFERROR(__xludf.DUMMYFUNCTION("""COMPUTED_VALUE"""),2)</f>
        <v>2</v>
      </c>
    </row>
    <row r="3954" spans="1:5" ht="13">
      <c r="A3954" s="2" t="str">
        <f ca="1">IFERROR(__xludf.DUMMYFUNCTION("""COMPUTED_VALUE"""),"Hughes, Arthur W.")</f>
        <v>Hughes, Arthur W.</v>
      </c>
      <c r="B3954" s="3">
        <f ca="1">IFERROR(__xludf.DUMMYFUNCTION("""COMPUTED_VALUE"""),1)</f>
        <v>1</v>
      </c>
      <c r="C3954" s="7">
        <f ca="1">IFERROR(__xludf.DUMMYFUNCTION("""COMPUTED_VALUE"""),1)</f>
        <v>1</v>
      </c>
      <c r="D3954" s="8">
        <f ca="1">IFERROR(__xludf.DUMMYFUNCTION("""COMPUTED_VALUE"""),5)</f>
        <v>5</v>
      </c>
      <c r="E3954" s="2">
        <f ca="1">IFERROR(__xludf.DUMMYFUNCTION("""COMPUTED_VALUE"""),2)</f>
        <v>2</v>
      </c>
    </row>
    <row r="3955" spans="1:5" ht="13">
      <c r="A3955" s="8" t="str">
        <f ca="1">IFERROR(__xludf.DUMMYFUNCTION("""COMPUTED_VALUE"""),"Hughes, Arthur Wellesley")</f>
        <v>Hughes, Arthur Wellesley</v>
      </c>
      <c r="B3955" s="3">
        <f ca="1">IFERROR(__xludf.DUMMYFUNCTION("""COMPUTED_VALUE"""),1)</f>
        <v>1</v>
      </c>
      <c r="C3955" s="7">
        <f ca="1">IFERROR(__xludf.DUMMYFUNCTION("""COMPUTED_VALUE"""),1)</f>
        <v>1</v>
      </c>
      <c r="D3955" s="8">
        <f ca="1">IFERROR(__xludf.DUMMYFUNCTION("""COMPUTED_VALUE"""),5)</f>
        <v>5</v>
      </c>
      <c r="E3955" s="2">
        <f ca="1">IFERROR(__xludf.DUMMYFUNCTION("""COMPUTED_VALUE"""),2)</f>
        <v>2</v>
      </c>
    </row>
    <row r="3956" spans="1:5" ht="13">
      <c r="A3956" s="8" t="str">
        <f ca="1">IFERROR(__xludf.DUMMYFUNCTION("""COMPUTED_VALUE"""),"Hughes, Daniel")</f>
        <v>Hughes, Daniel</v>
      </c>
      <c r="B3956" s="3">
        <f ca="1">IFERROR(__xludf.DUMMYFUNCTION("""COMPUTED_VALUE"""),1)</f>
        <v>1</v>
      </c>
      <c r="C3956" s="7">
        <f ca="1">IFERROR(__xludf.DUMMYFUNCTION("""COMPUTED_VALUE"""),1)</f>
        <v>1</v>
      </c>
      <c r="D3956" s="8">
        <f ca="1">IFERROR(__xludf.DUMMYFUNCTION("""COMPUTED_VALUE"""),1)</f>
        <v>1</v>
      </c>
      <c r="E3956" s="2">
        <f ca="1">IFERROR(__xludf.DUMMYFUNCTION("""COMPUTED_VALUE"""),1)</f>
        <v>1</v>
      </c>
    </row>
    <row r="3957" spans="1:5" ht="13">
      <c r="A3957" s="2" t="str">
        <f ca="1">IFERROR(__xludf.DUMMYFUNCTION("""COMPUTED_VALUE"""),"Hughes, Edmund")</f>
        <v>Hughes, Edmund</v>
      </c>
      <c r="B3957" s="3">
        <f ca="1">IFERROR(__xludf.DUMMYFUNCTION("""COMPUTED_VALUE"""),1)</f>
        <v>1</v>
      </c>
      <c r="C3957" s="7">
        <f ca="1">IFERROR(__xludf.DUMMYFUNCTION("""COMPUTED_VALUE"""),1)</f>
        <v>1</v>
      </c>
      <c r="D3957" s="8">
        <f ca="1">IFERROR(__xludf.DUMMYFUNCTION("""COMPUTED_VALUE"""),1)</f>
        <v>1</v>
      </c>
      <c r="E3957" s="3">
        <f ca="1">IFERROR(__xludf.DUMMYFUNCTION("""COMPUTED_VALUE"""),1)</f>
        <v>1</v>
      </c>
    </row>
    <row r="3958" spans="1:5" ht="13">
      <c r="A3958" s="2" t="str">
        <f ca="1">IFERROR(__xludf.DUMMYFUNCTION("""COMPUTED_VALUE"""),"Hughes, Harry")</f>
        <v>Hughes, Harry</v>
      </c>
      <c r="B3958" s="3">
        <f ca="1">IFERROR(__xludf.DUMMYFUNCTION("""COMPUTED_VALUE"""),1)</f>
        <v>1</v>
      </c>
      <c r="C3958" s="7">
        <f ca="1">IFERROR(__xludf.DUMMYFUNCTION("""COMPUTED_VALUE"""),1)</f>
        <v>1</v>
      </c>
      <c r="D3958" s="8">
        <f ca="1">IFERROR(__xludf.DUMMYFUNCTION("""COMPUTED_VALUE"""),5)</f>
        <v>5</v>
      </c>
      <c r="E3958" s="2">
        <f ca="1">IFERROR(__xludf.DUMMYFUNCTION("""COMPUTED_VALUE"""),2)</f>
        <v>2</v>
      </c>
    </row>
    <row r="3959" spans="1:5" ht="13">
      <c r="A3959" s="2" t="str">
        <f ca="1">IFERROR(__xludf.DUMMYFUNCTION("""COMPUTED_VALUE"""),"Hughes, Harry R.")</f>
        <v>Hughes, Harry R.</v>
      </c>
      <c r="B3959" s="2">
        <f ca="1">IFERROR(__xludf.DUMMYFUNCTION("""COMPUTED_VALUE"""),1)</f>
        <v>1</v>
      </c>
      <c r="C3959" s="7">
        <f ca="1">IFERROR(__xludf.DUMMYFUNCTION("""COMPUTED_VALUE"""),1)</f>
        <v>1</v>
      </c>
      <c r="D3959" s="8">
        <f ca="1">IFERROR(__xludf.DUMMYFUNCTION("""COMPUTED_VALUE"""),5)</f>
        <v>5</v>
      </c>
      <c r="E3959" s="2">
        <f ca="1">IFERROR(__xludf.DUMMYFUNCTION("""COMPUTED_VALUE"""),2)</f>
        <v>2</v>
      </c>
    </row>
    <row r="3960" spans="1:5" ht="13">
      <c r="A3960" s="8" t="str">
        <f ca="1">IFERROR(__xludf.DUMMYFUNCTION("""COMPUTED_VALUE"""),"Hughes, Jack")</f>
        <v>Hughes, Jack</v>
      </c>
      <c r="B3960" s="3">
        <f ca="1">IFERROR(__xludf.DUMMYFUNCTION("""COMPUTED_VALUE"""),1)</f>
        <v>1</v>
      </c>
      <c r="C3960" s="7">
        <f ca="1">IFERROR(__xludf.DUMMYFUNCTION("""COMPUTED_VALUE"""),1)</f>
        <v>1</v>
      </c>
      <c r="D3960" s="8">
        <f ca="1">IFERROR(__xludf.DUMMYFUNCTION("""COMPUTED_VALUE"""),1)</f>
        <v>1</v>
      </c>
      <c r="E3960" s="2">
        <f ca="1">IFERROR(__xludf.DUMMYFUNCTION("""COMPUTED_VALUE"""),1)</f>
        <v>1</v>
      </c>
    </row>
    <row r="3961" spans="1:5" ht="13">
      <c r="A3961" s="8" t="str">
        <f ca="1">IFERROR(__xludf.DUMMYFUNCTION("""COMPUTED_VALUE"""),"Hughes, Larry")</f>
        <v>Hughes, Larry</v>
      </c>
      <c r="B3961" s="3">
        <f ca="1">IFERROR(__xludf.DUMMYFUNCTION("""COMPUTED_VALUE"""),1)</f>
        <v>1</v>
      </c>
      <c r="C3961" s="7">
        <f ca="1">IFERROR(__xludf.DUMMYFUNCTION("""COMPUTED_VALUE"""),1)</f>
        <v>1</v>
      </c>
      <c r="D3961" s="8">
        <f ca="1">IFERROR(__xludf.DUMMYFUNCTION("""COMPUTED_VALUE"""),1)</f>
        <v>1</v>
      </c>
      <c r="E3961" s="2">
        <f ca="1">IFERROR(__xludf.DUMMYFUNCTION("""COMPUTED_VALUE"""),1)</f>
        <v>1</v>
      </c>
    </row>
    <row r="3962" spans="1:5" ht="13">
      <c r="A3962" s="2" t="str">
        <f ca="1">IFERROR(__xludf.DUMMYFUNCTION("""COMPUTED_VALUE"""),"Hughes, Patrick")</f>
        <v>Hughes, Patrick</v>
      </c>
      <c r="B3962" s="3">
        <f ca="1">IFERROR(__xludf.DUMMYFUNCTION("""COMPUTED_VALUE"""),1)</f>
        <v>1</v>
      </c>
      <c r="C3962" s="7">
        <f ca="1">IFERROR(__xludf.DUMMYFUNCTION("""COMPUTED_VALUE"""),1)</f>
        <v>1</v>
      </c>
      <c r="D3962" s="8">
        <f ca="1">IFERROR(__xludf.DUMMYFUNCTION("""COMPUTED_VALUE"""),1)</f>
        <v>1</v>
      </c>
      <c r="E3962" s="2">
        <f ca="1">IFERROR(__xludf.DUMMYFUNCTION("""COMPUTED_VALUE"""),1)</f>
        <v>1</v>
      </c>
    </row>
    <row r="3963" spans="1:5" ht="13">
      <c r="A3963" s="2" t="str">
        <f ca="1">IFERROR(__xludf.DUMMYFUNCTION("""COMPUTED_VALUE"""),"Huhn, Bruno")</f>
        <v>Huhn, Bruno</v>
      </c>
      <c r="B3963" s="3">
        <f ca="1">IFERROR(__xludf.DUMMYFUNCTION("""COMPUTED_VALUE"""),1)</f>
        <v>1</v>
      </c>
      <c r="C3963" s="7">
        <f ca="1">IFERROR(__xludf.DUMMYFUNCTION("""COMPUTED_VALUE"""),1)</f>
        <v>1</v>
      </c>
      <c r="D3963" s="8">
        <f ca="1">IFERROR(__xludf.DUMMYFUNCTION("""COMPUTED_VALUE"""),5)</f>
        <v>5</v>
      </c>
      <c r="E3963" s="2">
        <f ca="1">IFERROR(__xludf.DUMMYFUNCTION("""COMPUTED_VALUE"""),2)</f>
        <v>2</v>
      </c>
    </row>
    <row r="3964" spans="1:5" ht="13">
      <c r="A3964" s="8" t="str">
        <f ca="1">IFERROR(__xludf.DUMMYFUNCTION("""COMPUTED_VALUE"""),"Hulett, Samson")</f>
        <v>Hulett, Samson</v>
      </c>
      <c r="B3964" s="3">
        <f ca="1">IFERROR(__xludf.DUMMYFUNCTION("""COMPUTED_VALUE"""),1)</f>
        <v>1</v>
      </c>
      <c r="C3964" s="7">
        <f ca="1">IFERROR(__xludf.DUMMYFUNCTION("""COMPUTED_VALUE"""),1)</f>
        <v>1</v>
      </c>
      <c r="D3964" s="8">
        <f ca="1">IFERROR(__xludf.DUMMYFUNCTION("""COMPUTED_VALUE"""),1)</f>
        <v>1</v>
      </c>
      <c r="E3964" s="2">
        <f ca="1">IFERROR(__xludf.DUMMYFUNCTION("""COMPUTED_VALUE"""),1)</f>
        <v>1</v>
      </c>
    </row>
    <row r="3965" spans="1:5" ht="13">
      <c r="A3965" s="2" t="str">
        <f ca="1">IFERROR(__xludf.DUMMYFUNCTION("""COMPUTED_VALUE"""),"Hull, Grant")</f>
        <v>Hull, Grant</v>
      </c>
      <c r="B3965" s="3">
        <f ca="1">IFERROR(__xludf.DUMMYFUNCTION("""COMPUTED_VALUE"""),1)</f>
        <v>1</v>
      </c>
      <c r="C3965" s="7">
        <f ca="1">IFERROR(__xludf.DUMMYFUNCTION("""COMPUTED_VALUE"""),1)</f>
        <v>1</v>
      </c>
      <c r="D3965" s="8">
        <f ca="1">IFERROR(__xludf.DUMMYFUNCTION("""COMPUTED_VALUE"""),5)</f>
        <v>5</v>
      </c>
      <c r="E3965" s="2">
        <f ca="1">IFERROR(__xludf.DUMMYFUNCTION("""COMPUTED_VALUE"""),2)</f>
        <v>2</v>
      </c>
    </row>
    <row r="3966" spans="1:5" ht="13">
      <c r="A3966" s="8" t="str">
        <f ca="1">IFERROR(__xludf.DUMMYFUNCTION("""COMPUTED_VALUE"""),"Hulme, Lance")</f>
        <v>Hulme, Lance</v>
      </c>
      <c r="B3966" s="3">
        <f ca="1">IFERROR(__xludf.DUMMYFUNCTION("""COMPUTED_VALUE"""),1)</f>
        <v>1</v>
      </c>
      <c r="C3966" s="7">
        <f ca="1">IFERROR(__xludf.DUMMYFUNCTION("""COMPUTED_VALUE"""),1)</f>
        <v>1</v>
      </c>
      <c r="D3966" s="8">
        <f ca="1">IFERROR(__xludf.DUMMYFUNCTION("""COMPUTED_VALUE"""),1)</f>
        <v>1</v>
      </c>
      <c r="E3966" s="2">
        <f ca="1">IFERROR(__xludf.DUMMYFUNCTION("""COMPUTED_VALUE"""),1)</f>
        <v>1</v>
      </c>
    </row>
    <row r="3967" spans="1:5" ht="13">
      <c r="A3967" s="2" t="str">
        <f ca="1">IFERROR(__xludf.DUMMYFUNCTION("""COMPUTED_VALUE"""),"Hultgren, Ralph")</f>
        <v>Hultgren, Ralph</v>
      </c>
      <c r="B3967" s="3">
        <f ca="1">IFERROR(__xludf.DUMMYFUNCTION("""COMPUTED_VALUE"""),1)</f>
        <v>1</v>
      </c>
      <c r="C3967" s="7">
        <f ca="1">IFERROR(__xludf.DUMMYFUNCTION("""COMPUTED_VALUE"""),1)</f>
        <v>1</v>
      </c>
      <c r="D3967" s="8">
        <f ca="1">IFERROR(__xludf.DUMMYFUNCTION("""COMPUTED_VALUE"""),1)</f>
        <v>1</v>
      </c>
      <c r="E3967" s="2">
        <f ca="1">IFERROR(__xludf.DUMMYFUNCTION("""COMPUTED_VALUE"""),1)</f>
        <v>1</v>
      </c>
    </row>
    <row r="3968" spans="1:5" ht="13">
      <c r="A3968" s="2" t="str">
        <f ca="1">IFERROR(__xludf.DUMMYFUNCTION("""COMPUTED_VALUE"""),"Humble, Aaron")</f>
        <v>Humble, Aaron</v>
      </c>
      <c r="B3968" s="2">
        <f ca="1">IFERROR(__xludf.DUMMYFUNCTION("""COMPUTED_VALUE"""),1)</f>
        <v>1</v>
      </c>
      <c r="C3968" s="7">
        <f ca="1">IFERROR(__xludf.DUMMYFUNCTION("""COMPUTED_VALUE"""),1)</f>
        <v>1</v>
      </c>
      <c r="D3968" s="8">
        <f ca="1">IFERROR(__xludf.DUMMYFUNCTION("""COMPUTED_VALUE"""),1)</f>
        <v>1</v>
      </c>
      <c r="E3968" s="2">
        <f ca="1">IFERROR(__xludf.DUMMYFUNCTION("""COMPUTED_VALUE"""),1)</f>
        <v>1</v>
      </c>
    </row>
    <row r="3969" spans="1:5" ht="13">
      <c r="A3969" s="2" t="str">
        <f ca="1">IFERROR(__xludf.DUMMYFUNCTION("""COMPUTED_VALUE"""),"Hume, Alexander")</f>
        <v>Hume, Alexander</v>
      </c>
      <c r="B3969" s="3">
        <f ca="1">IFERROR(__xludf.DUMMYFUNCTION("""COMPUTED_VALUE"""),1)</f>
        <v>1</v>
      </c>
      <c r="C3969" s="7">
        <f ca="1">IFERROR(__xludf.DUMMYFUNCTION("""COMPUTED_VALUE"""),1)</f>
        <v>1</v>
      </c>
      <c r="D3969" s="8">
        <f ca="1">IFERROR(__xludf.DUMMYFUNCTION("""COMPUTED_VALUE"""),5)</f>
        <v>5</v>
      </c>
      <c r="E3969" s="2">
        <f ca="1">IFERROR(__xludf.DUMMYFUNCTION("""COMPUTED_VALUE"""),2)</f>
        <v>2</v>
      </c>
    </row>
    <row r="3970" spans="1:5" ht="13">
      <c r="A3970" s="2" t="str">
        <f ca="1">IFERROR(__xludf.DUMMYFUNCTION("""COMPUTED_VALUE"""),"Hume, J. Ord")</f>
        <v>Hume, J. Ord</v>
      </c>
      <c r="B3970" s="3">
        <f ca="1">IFERROR(__xludf.DUMMYFUNCTION("""COMPUTED_VALUE"""),1)</f>
        <v>1</v>
      </c>
      <c r="C3970" s="7">
        <f ca="1">IFERROR(__xludf.DUMMYFUNCTION("""COMPUTED_VALUE"""),1)</f>
        <v>1</v>
      </c>
      <c r="D3970" s="8">
        <f ca="1">IFERROR(__xludf.DUMMYFUNCTION("""COMPUTED_VALUE"""),5)</f>
        <v>5</v>
      </c>
      <c r="E3970" s="2">
        <f ca="1">IFERROR(__xludf.DUMMYFUNCTION("""COMPUTED_VALUE"""),2)</f>
        <v>2</v>
      </c>
    </row>
    <row r="3971" spans="1:5" ht="13">
      <c r="A3971" s="8" t="str">
        <f ca="1">IFERROR(__xludf.DUMMYFUNCTION("""COMPUTED_VALUE"""),"Hume, James Ord")</f>
        <v>Hume, James Ord</v>
      </c>
      <c r="B3971" s="3">
        <f ca="1">IFERROR(__xludf.DUMMYFUNCTION("""COMPUTED_VALUE"""),1)</f>
        <v>1</v>
      </c>
      <c r="C3971" s="7">
        <f ca="1">IFERROR(__xludf.DUMMYFUNCTION("""COMPUTED_VALUE"""),1)</f>
        <v>1</v>
      </c>
      <c r="D3971" s="8">
        <f ca="1">IFERROR(__xludf.DUMMYFUNCTION("""COMPUTED_VALUE"""),5)</f>
        <v>5</v>
      </c>
      <c r="E3971" s="2">
        <f ca="1">IFERROR(__xludf.DUMMYFUNCTION("""COMPUTED_VALUE"""),2)</f>
        <v>2</v>
      </c>
    </row>
    <row r="3972" spans="1:5" ht="13">
      <c r="A3972" s="2" t="str">
        <f ca="1">IFERROR(__xludf.DUMMYFUNCTION("""COMPUTED_VALUE"""),"Hume, R.J.")</f>
        <v>Hume, R.J.</v>
      </c>
      <c r="B3972" s="3">
        <f ca="1">IFERROR(__xludf.DUMMYFUNCTION("""COMPUTED_VALUE"""),1)</f>
        <v>1</v>
      </c>
      <c r="C3972" s="7">
        <f ca="1">IFERROR(__xludf.DUMMYFUNCTION("""COMPUTED_VALUE"""),1)</f>
        <v>1</v>
      </c>
      <c r="D3972" s="8">
        <f ca="1">IFERROR(__xludf.DUMMYFUNCTION("""COMPUTED_VALUE"""),1)</f>
        <v>1</v>
      </c>
      <c r="E3972" s="2">
        <f ca="1">IFERROR(__xludf.DUMMYFUNCTION("""COMPUTED_VALUE"""),1)</f>
        <v>1</v>
      </c>
    </row>
    <row r="3973" spans="1:5" ht="13">
      <c r="A3973" s="2" t="str">
        <f ca="1">IFERROR(__xludf.DUMMYFUNCTION("""COMPUTED_VALUE"""),"Humel, Gerald")</f>
        <v>Humel, Gerald</v>
      </c>
      <c r="B3973" s="3">
        <f ca="1">IFERROR(__xludf.DUMMYFUNCTION("""COMPUTED_VALUE"""),1)</f>
        <v>1</v>
      </c>
      <c r="C3973" s="7">
        <f ca="1">IFERROR(__xludf.DUMMYFUNCTION("""COMPUTED_VALUE"""),1)</f>
        <v>1</v>
      </c>
      <c r="D3973" s="8">
        <f ca="1">IFERROR(__xludf.DUMMYFUNCTION("""COMPUTED_VALUE"""),5)</f>
        <v>5</v>
      </c>
      <c r="E3973" s="2">
        <f ca="1">IFERROR(__xludf.DUMMYFUNCTION("""COMPUTED_VALUE"""),2)</f>
        <v>2</v>
      </c>
    </row>
    <row r="3974" spans="1:5" ht="13">
      <c r="A3974" s="2" t="str">
        <f ca="1">IFERROR(__xludf.DUMMYFUNCTION("""COMPUTED_VALUE"""),"Humet, Ramón")</f>
        <v>Humet, Ramón</v>
      </c>
      <c r="B3974" s="3">
        <f ca="1">IFERROR(__xludf.DUMMYFUNCTION("""COMPUTED_VALUE"""),1)</f>
        <v>1</v>
      </c>
      <c r="C3974" s="7">
        <f ca="1">IFERROR(__xludf.DUMMYFUNCTION("""COMPUTED_VALUE"""),1)</f>
        <v>1</v>
      </c>
      <c r="D3974" s="8">
        <f ca="1">IFERROR(__xludf.DUMMYFUNCTION("""COMPUTED_VALUE"""),1)</f>
        <v>1</v>
      </c>
      <c r="E3974" s="2">
        <f ca="1">IFERROR(__xludf.DUMMYFUNCTION("""COMPUTED_VALUE"""),1)</f>
        <v>1</v>
      </c>
    </row>
    <row r="3975" spans="1:5" ht="13">
      <c r="A3975" s="2" t="str">
        <f ca="1">IFERROR(__xludf.DUMMYFUNCTION("""COMPUTED_VALUE"""),"Humiston, William Henry")</f>
        <v>Humiston, William Henry</v>
      </c>
      <c r="B3975" s="3">
        <f ca="1">IFERROR(__xludf.DUMMYFUNCTION("""COMPUTED_VALUE"""),1)</f>
        <v>1</v>
      </c>
      <c r="C3975" s="7">
        <f ca="1">IFERROR(__xludf.DUMMYFUNCTION("""COMPUTED_VALUE"""),1)</f>
        <v>1</v>
      </c>
      <c r="D3975" s="8">
        <f ca="1">IFERROR(__xludf.DUMMYFUNCTION("""COMPUTED_VALUE"""),5)</f>
        <v>5</v>
      </c>
      <c r="E3975" s="2">
        <f ca="1">IFERROR(__xludf.DUMMYFUNCTION("""COMPUTED_VALUE"""),2)</f>
        <v>2</v>
      </c>
    </row>
    <row r="3976" spans="1:5" ht="13">
      <c r="A3976" s="2" t="str">
        <f ca="1">IFERROR(__xludf.DUMMYFUNCTION("""COMPUTED_VALUE"""),"Hummel, Herman A.")</f>
        <v>Hummel, Herman A.</v>
      </c>
      <c r="B3976" s="2">
        <f ca="1">IFERROR(__xludf.DUMMYFUNCTION("""COMPUTED_VALUE"""),1)</f>
        <v>1</v>
      </c>
      <c r="C3976" s="2">
        <f ca="1">IFERROR(__xludf.DUMMYFUNCTION("""COMPUTED_VALUE"""),1)</f>
        <v>1</v>
      </c>
      <c r="D3976" s="8">
        <f ca="1">IFERROR(__xludf.DUMMYFUNCTION("""COMPUTED_VALUE"""),5)</f>
        <v>5</v>
      </c>
      <c r="E3976" s="2">
        <f ca="1">IFERROR(__xludf.DUMMYFUNCTION("""COMPUTED_VALUE"""),2)</f>
        <v>2</v>
      </c>
    </row>
    <row r="3977" spans="1:5" ht="13">
      <c r="A3977" s="2" t="str">
        <f ca="1">IFERROR(__xludf.DUMMYFUNCTION("""COMPUTED_VALUE"""),"Hummel, Johann")</f>
        <v>Hummel, Johann</v>
      </c>
      <c r="B3977" s="3">
        <f ca="1">IFERROR(__xludf.DUMMYFUNCTION("""COMPUTED_VALUE"""),1)</f>
        <v>1</v>
      </c>
      <c r="C3977" s="7">
        <f ca="1">IFERROR(__xludf.DUMMYFUNCTION("""COMPUTED_VALUE"""),1)</f>
        <v>1</v>
      </c>
      <c r="D3977" s="8">
        <f ca="1">IFERROR(__xludf.DUMMYFUNCTION("""COMPUTED_VALUE"""),5)</f>
        <v>5</v>
      </c>
      <c r="E3977" s="2">
        <f ca="1">IFERROR(__xludf.DUMMYFUNCTION("""COMPUTED_VALUE"""),2)</f>
        <v>2</v>
      </c>
    </row>
    <row r="3978" spans="1:5" ht="13">
      <c r="A3978" s="2" t="str">
        <f ca="1">IFERROR(__xludf.DUMMYFUNCTION("""COMPUTED_VALUE"""),"Hummel, Johann Nepomuk")</f>
        <v>Hummel, Johann Nepomuk</v>
      </c>
      <c r="B3978" s="3">
        <f ca="1">IFERROR(__xludf.DUMMYFUNCTION("""COMPUTED_VALUE"""),1)</f>
        <v>1</v>
      </c>
      <c r="C3978" s="7">
        <f ca="1">IFERROR(__xludf.DUMMYFUNCTION("""COMPUTED_VALUE"""),1)</f>
        <v>1</v>
      </c>
      <c r="D3978" s="8">
        <f ca="1">IFERROR(__xludf.DUMMYFUNCTION("""COMPUTED_VALUE"""),5)</f>
        <v>5</v>
      </c>
      <c r="E3978" s="2">
        <f ca="1">IFERROR(__xludf.DUMMYFUNCTION("""COMPUTED_VALUE"""),2)</f>
        <v>2</v>
      </c>
    </row>
    <row r="3979" spans="1:5" ht="13">
      <c r="A3979" s="2" t="str">
        <f ca="1">IFERROR(__xludf.DUMMYFUNCTION("""COMPUTED_VALUE"""),"Hummel, Joshua")</f>
        <v>Hummel, Joshua</v>
      </c>
      <c r="B3979" s="3">
        <f ca="1">IFERROR(__xludf.DUMMYFUNCTION("""COMPUTED_VALUE"""),1)</f>
        <v>1</v>
      </c>
      <c r="C3979" s="7">
        <f ca="1">IFERROR(__xludf.DUMMYFUNCTION("""COMPUTED_VALUE"""),1)</f>
        <v>1</v>
      </c>
      <c r="D3979" s="8">
        <f ca="1">IFERROR(__xludf.DUMMYFUNCTION("""COMPUTED_VALUE"""),1)</f>
        <v>1</v>
      </c>
      <c r="E3979" s="2">
        <f ca="1">IFERROR(__xludf.DUMMYFUNCTION("""COMPUTED_VALUE"""),1)</f>
        <v>1</v>
      </c>
    </row>
    <row r="3980" spans="1:5" ht="13">
      <c r="A3980" s="8" t="str">
        <f ca="1">IFERROR(__xludf.DUMMYFUNCTION("""COMPUTED_VALUE"""),"Hummel, Silas")</f>
        <v>Hummel, Silas</v>
      </c>
      <c r="B3980" s="3">
        <f ca="1">IFERROR(__xludf.DUMMYFUNCTION("""COMPUTED_VALUE"""),1)</f>
        <v>1</v>
      </c>
      <c r="C3980" s="7">
        <f ca="1">IFERROR(__xludf.DUMMYFUNCTION("""COMPUTED_VALUE"""),1)</f>
        <v>1</v>
      </c>
      <c r="D3980" s="8">
        <f ca="1">IFERROR(__xludf.DUMMYFUNCTION("""COMPUTED_VALUE"""),5)</f>
        <v>5</v>
      </c>
      <c r="E3980" s="2">
        <f ca="1">IFERROR(__xludf.DUMMYFUNCTION("""COMPUTED_VALUE"""),2)</f>
        <v>2</v>
      </c>
    </row>
    <row r="3981" spans="1:5" ht="13">
      <c r="A3981" s="2" t="str">
        <f ca="1">IFERROR(__xludf.DUMMYFUNCTION("""COMPUTED_VALUE"""),"Humperdinck, Engelbert")</f>
        <v>Humperdinck, Engelbert</v>
      </c>
      <c r="B3981" s="3">
        <f ca="1">IFERROR(__xludf.DUMMYFUNCTION("""COMPUTED_VALUE"""),1)</f>
        <v>1</v>
      </c>
      <c r="C3981" s="7">
        <f ca="1">IFERROR(__xludf.DUMMYFUNCTION("""COMPUTED_VALUE"""),1)</f>
        <v>1</v>
      </c>
      <c r="D3981" s="8">
        <f ca="1">IFERROR(__xludf.DUMMYFUNCTION("""COMPUTED_VALUE"""),5)</f>
        <v>5</v>
      </c>
      <c r="E3981" s="2">
        <f ca="1">IFERROR(__xludf.DUMMYFUNCTION("""COMPUTED_VALUE"""),2)</f>
        <v>2</v>
      </c>
    </row>
    <row r="3982" spans="1:5" ht="13">
      <c r="A3982" s="2" t="str">
        <f ca="1">IFERROR(__xludf.DUMMYFUNCTION("""COMPUTED_VALUE"""),"Humphries, John")</f>
        <v>Humphries, John</v>
      </c>
      <c r="B3982" s="3">
        <f ca="1">IFERROR(__xludf.DUMMYFUNCTION("""COMPUTED_VALUE"""),1)</f>
        <v>1</v>
      </c>
      <c r="C3982" s="7">
        <f ca="1">IFERROR(__xludf.DUMMYFUNCTION("""COMPUTED_VALUE"""),1)</f>
        <v>1</v>
      </c>
      <c r="D3982" s="8">
        <f ca="1">IFERROR(__xludf.DUMMYFUNCTION("""COMPUTED_VALUE"""),5)</f>
        <v>5</v>
      </c>
      <c r="E3982" s="2">
        <f ca="1">IFERROR(__xludf.DUMMYFUNCTION("""COMPUTED_VALUE"""),2)</f>
        <v>2</v>
      </c>
    </row>
    <row r="3983" spans="1:5" ht="13">
      <c r="A3983" s="2" t="str">
        <f ca="1">IFERROR(__xludf.DUMMYFUNCTION("""COMPUTED_VALUE"""),"Hundley, Richard")</f>
        <v>Hundley, Richard</v>
      </c>
      <c r="B3983" s="3">
        <f ca="1">IFERROR(__xludf.DUMMYFUNCTION("""COMPUTED_VALUE"""),1)</f>
        <v>1</v>
      </c>
      <c r="C3983" s="7">
        <f ca="1">IFERROR(__xludf.DUMMYFUNCTION("""COMPUTED_VALUE"""),1)</f>
        <v>1</v>
      </c>
      <c r="D3983" s="8">
        <f ca="1">IFERROR(__xludf.DUMMYFUNCTION("""COMPUTED_VALUE"""),5)</f>
        <v>5</v>
      </c>
      <c r="E3983" s="2">
        <f ca="1">IFERROR(__xludf.DUMMYFUNCTION("""COMPUTED_VALUE"""),2)</f>
        <v>2</v>
      </c>
    </row>
    <row r="3984" spans="1:5" ht="13">
      <c r="A3984" s="2" t="str">
        <f ca="1">IFERROR(__xludf.DUMMYFUNCTION("""COMPUTED_VALUE"""),"Hunsberger, Donald")</f>
        <v>Hunsberger, Donald</v>
      </c>
      <c r="B3984" s="3">
        <f ca="1">IFERROR(__xludf.DUMMYFUNCTION("""COMPUTED_VALUE"""),1)</f>
        <v>1</v>
      </c>
      <c r="C3984" s="7">
        <f ca="1">IFERROR(__xludf.DUMMYFUNCTION("""COMPUTED_VALUE"""),1)</f>
        <v>1</v>
      </c>
      <c r="D3984" s="8">
        <f ca="1">IFERROR(__xludf.DUMMYFUNCTION("""COMPUTED_VALUE"""),1)</f>
        <v>1</v>
      </c>
      <c r="E3984" s="2">
        <f ca="1">IFERROR(__xludf.DUMMYFUNCTION("""COMPUTED_VALUE"""),1)</f>
        <v>1</v>
      </c>
    </row>
    <row r="3985" spans="1:5" ht="13">
      <c r="A3985" s="2" t="str">
        <f ca="1">IFERROR(__xludf.DUMMYFUNCTION("""COMPUTED_VALUE"""),"Hunt, Frederick")</f>
        <v>Hunt, Frederick</v>
      </c>
      <c r="B3985" s="3">
        <f ca="1">IFERROR(__xludf.DUMMYFUNCTION("""COMPUTED_VALUE"""),1)</f>
        <v>1</v>
      </c>
      <c r="C3985" s="7">
        <f ca="1">IFERROR(__xludf.DUMMYFUNCTION("""COMPUTED_VALUE"""),1)</f>
        <v>1</v>
      </c>
      <c r="D3985" s="8">
        <f ca="1">IFERROR(__xludf.DUMMYFUNCTION("""COMPUTED_VALUE"""),5)</f>
        <v>5</v>
      </c>
      <c r="E3985" s="2">
        <f ca="1">IFERROR(__xludf.DUMMYFUNCTION("""COMPUTED_VALUE"""),2)</f>
        <v>2</v>
      </c>
    </row>
    <row r="3986" spans="1:5" ht="13">
      <c r="A3986" s="8" t="str">
        <f ca="1">IFERROR(__xludf.DUMMYFUNCTION("""COMPUTED_VALUE"""),"Hunt, William")</f>
        <v>Hunt, William</v>
      </c>
      <c r="B3986" s="3">
        <f ca="1">IFERROR(__xludf.DUMMYFUNCTION("""COMPUTED_VALUE"""),1)</f>
        <v>1</v>
      </c>
      <c r="C3986" s="7">
        <f ca="1">IFERROR(__xludf.DUMMYFUNCTION("""COMPUTED_VALUE"""),1)</f>
        <v>1</v>
      </c>
      <c r="D3986" s="8">
        <f ca="1">IFERROR(__xludf.DUMMYFUNCTION("""COMPUTED_VALUE"""),5)</f>
        <v>5</v>
      </c>
      <c r="E3986" s="2">
        <f ca="1">IFERROR(__xludf.DUMMYFUNCTION("""COMPUTED_VALUE"""),2)</f>
        <v>2</v>
      </c>
    </row>
    <row r="3987" spans="1:5" ht="13">
      <c r="A3987" s="2" t="str">
        <f ca="1">IFERROR(__xludf.DUMMYFUNCTION("""COMPUTED_VALUE"""),"Hunter, Neil")</f>
        <v>Hunter, Neil</v>
      </c>
      <c r="B3987" s="3">
        <f ca="1">IFERROR(__xludf.DUMMYFUNCTION("""COMPUTED_VALUE"""),1)</f>
        <v>1</v>
      </c>
      <c r="C3987" s="7">
        <f ca="1">IFERROR(__xludf.DUMMYFUNCTION("""COMPUTED_VALUE"""),1)</f>
        <v>1</v>
      </c>
      <c r="D3987" s="8">
        <f ca="1">IFERROR(__xludf.DUMMYFUNCTION("""COMPUTED_VALUE"""),1)</f>
        <v>1</v>
      </c>
      <c r="E3987" s="2">
        <f ca="1">IFERROR(__xludf.DUMMYFUNCTION("""COMPUTED_VALUE"""),1)</f>
        <v>1</v>
      </c>
    </row>
    <row r="3988" spans="1:5" ht="13">
      <c r="A3988" s="8" t="str">
        <f ca="1">IFERROR(__xludf.DUMMYFUNCTION("""COMPUTED_VALUE"""),"Hunter, Ralph")</f>
        <v>Hunter, Ralph</v>
      </c>
      <c r="B3988" s="3">
        <f ca="1">IFERROR(__xludf.DUMMYFUNCTION("""COMPUTED_VALUE"""),1)</f>
        <v>1</v>
      </c>
      <c r="C3988" s="7">
        <f ca="1">IFERROR(__xludf.DUMMYFUNCTION("""COMPUTED_VALUE"""),1)</f>
        <v>1</v>
      </c>
      <c r="D3988" s="8">
        <f ca="1">IFERROR(__xludf.DUMMYFUNCTION("""COMPUTED_VALUE"""),5)</f>
        <v>5</v>
      </c>
      <c r="E3988" s="2">
        <f ca="1">IFERROR(__xludf.DUMMYFUNCTION("""COMPUTED_VALUE"""),2)</f>
        <v>2</v>
      </c>
    </row>
    <row r="3989" spans="1:5" ht="13">
      <c r="A3989" s="8" t="str">
        <f ca="1">IFERROR(__xludf.DUMMYFUNCTION("""COMPUTED_VALUE"""),"Hunter, Robert")</f>
        <v>Hunter, Robert</v>
      </c>
      <c r="B3989" s="3">
        <f ca="1">IFERROR(__xludf.DUMMYFUNCTION("""COMPUTED_VALUE"""),1)</f>
        <v>1</v>
      </c>
      <c r="C3989" s="7">
        <f ca="1">IFERROR(__xludf.DUMMYFUNCTION("""COMPUTED_VALUE"""),1)</f>
        <v>1</v>
      </c>
      <c r="D3989" s="8">
        <f ca="1">IFERROR(__xludf.DUMMYFUNCTION("""COMPUTED_VALUE"""),5)</f>
        <v>5</v>
      </c>
      <c r="E3989" s="2">
        <f ca="1">IFERROR(__xludf.DUMMYFUNCTION("""COMPUTED_VALUE"""),2)</f>
        <v>2</v>
      </c>
    </row>
    <row r="3990" spans="1:5" ht="13">
      <c r="A3990" s="2" t="str">
        <f ca="1">IFERROR(__xludf.DUMMYFUNCTION("""COMPUTED_VALUE"""),"Hupfeld, Herman")</f>
        <v>Hupfeld, Herman</v>
      </c>
      <c r="B3990" s="2">
        <f ca="1">IFERROR(__xludf.DUMMYFUNCTION("""COMPUTED_VALUE"""),1)</f>
        <v>1</v>
      </c>
      <c r="C3990" s="2">
        <f ca="1">IFERROR(__xludf.DUMMYFUNCTION("""COMPUTED_VALUE"""),1)</f>
        <v>1</v>
      </c>
      <c r="D3990" s="8">
        <f ca="1">IFERROR(__xludf.DUMMYFUNCTION("""COMPUTED_VALUE"""),5)</f>
        <v>5</v>
      </c>
      <c r="E3990" s="2">
        <f ca="1">IFERROR(__xludf.DUMMYFUNCTION("""COMPUTED_VALUE"""),2)</f>
        <v>2</v>
      </c>
    </row>
    <row r="3991" spans="1:5" ht="13">
      <c r="A3991" s="2" t="str">
        <f ca="1">IFERROR(__xludf.DUMMYFUNCTION("""COMPUTED_VALUE"""),"Hurd, Michael")</f>
        <v>Hurd, Michael</v>
      </c>
      <c r="B3991" s="3">
        <f ca="1">IFERROR(__xludf.DUMMYFUNCTION("""COMPUTED_VALUE"""),1)</f>
        <v>1</v>
      </c>
      <c r="C3991" s="7">
        <f ca="1">IFERROR(__xludf.DUMMYFUNCTION("""COMPUTED_VALUE"""),1)</f>
        <v>1</v>
      </c>
      <c r="D3991" s="8">
        <f ca="1">IFERROR(__xludf.DUMMYFUNCTION("""COMPUTED_VALUE"""),5)</f>
        <v>5</v>
      </c>
      <c r="E3991" s="2">
        <f ca="1">IFERROR(__xludf.DUMMYFUNCTION("""COMPUTED_VALUE"""),2)</f>
        <v>2</v>
      </c>
    </row>
    <row r="3992" spans="1:5" ht="13">
      <c r="A3992" s="2" t="str">
        <f ca="1">IFERROR(__xludf.DUMMYFUNCTION("""COMPUTED_VALUE"""),"Hurford, Peter")</f>
        <v>Hurford, Peter</v>
      </c>
      <c r="B3992" s="3">
        <f ca="1">IFERROR(__xludf.DUMMYFUNCTION("""COMPUTED_VALUE"""),1)</f>
        <v>1</v>
      </c>
      <c r="C3992" s="7">
        <f ca="1">IFERROR(__xludf.DUMMYFUNCTION("""COMPUTED_VALUE"""),1)</f>
        <v>1</v>
      </c>
      <c r="D3992" s="8">
        <f ca="1">IFERROR(__xludf.DUMMYFUNCTION("""COMPUTED_VALUE"""),5)</f>
        <v>5</v>
      </c>
      <c r="E3992" s="2">
        <f ca="1">IFERROR(__xludf.DUMMYFUNCTION("""COMPUTED_VALUE"""),2)</f>
        <v>2</v>
      </c>
    </row>
    <row r="3993" spans="1:5" ht="13">
      <c r="A3993" s="8" t="str">
        <f ca="1">IFERROR(__xludf.DUMMYFUNCTION("""COMPUTED_VALUE"""),"Hurlstone, William Yeates")</f>
        <v>Hurlstone, William Yeates</v>
      </c>
      <c r="B3993" s="3">
        <f ca="1">IFERROR(__xludf.DUMMYFUNCTION("""COMPUTED_VALUE"""),1)</f>
        <v>1</v>
      </c>
      <c r="C3993" s="7">
        <f ca="1">IFERROR(__xludf.DUMMYFUNCTION("""COMPUTED_VALUE"""),1)</f>
        <v>1</v>
      </c>
      <c r="D3993" s="8">
        <f ca="1">IFERROR(__xludf.DUMMYFUNCTION("""COMPUTED_VALUE"""),5)</f>
        <v>5</v>
      </c>
      <c r="E3993" s="2">
        <f ca="1">IFERROR(__xludf.DUMMYFUNCTION("""COMPUTED_VALUE"""),2)</f>
        <v>2</v>
      </c>
    </row>
    <row r="3994" spans="1:5" ht="13">
      <c r="A3994" s="2" t="str">
        <f ca="1">IFERROR(__xludf.DUMMYFUNCTION("""COMPUTED_VALUE"""),"Hurwitz, Justin")</f>
        <v>Hurwitz, Justin</v>
      </c>
      <c r="B3994" s="3">
        <f ca="1">IFERROR(__xludf.DUMMYFUNCTION("""COMPUTED_VALUE"""),1)</f>
        <v>1</v>
      </c>
      <c r="C3994" s="7">
        <f ca="1">IFERROR(__xludf.DUMMYFUNCTION("""COMPUTED_VALUE"""),1)</f>
        <v>1</v>
      </c>
      <c r="D3994" s="8">
        <f ca="1">IFERROR(__xludf.DUMMYFUNCTION("""COMPUTED_VALUE"""),1)</f>
        <v>1</v>
      </c>
      <c r="E3994" s="2">
        <f ca="1">IFERROR(__xludf.DUMMYFUNCTION("""COMPUTED_VALUE"""),1)</f>
        <v>1</v>
      </c>
    </row>
    <row r="3995" spans="1:5" ht="13">
      <c r="A3995" s="2" t="str">
        <f ca="1">IFERROR(__xludf.DUMMYFUNCTION("""COMPUTED_VALUE"""),"Hurwitz, Justin Paul, Benj Pasek, Justin")</f>
        <v>Hurwitz, Justin Paul, Benj Pasek, Justin</v>
      </c>
      <c r="B3995" s="3">
        <f ca="1">IFERROR(__xludf.DUMMYFUNCTION("""COMPUTED_VALUE"""),1)</f>
        <v>1</v>
      </c>
      <c r="C3995" s="7">
        <f ca="1">IFERROR(__xludf.DUMMYFUNCTION("""COMPUTED_VALUE"""),1)</f>
        <v>1</v>
      </c>
      <c r="D3995" s="8">
        <f ca="1">IFERROR(__xludf.DUMMYFUNCTION("""COMPUTED_VALUE"""),1)</f>
        <v>1</v>
      </c>
      <c r="E3995" s="2">
        <f ca="1">IFERROR(__xludf.DUMMYFUNCTION("""COMPUTED_VALUE"""),1)</f>
        <v>1</v>
      </c>
    </row>
    <row r="3996" spans="1:5" ht="13">
      <c r="A3996" s="2" t="str">
        <f ca="1">IFERROR(__xludf.DUMMYFUNCTION("""COMPUTED_VALUE"""),"Husa, Karel")</f>
        <v>Husa, Karel</v>
      </c>
      <c r="B3996" s="3">
        <f ca="1">IFERROR(__xludf.DUMMYFUNCTION("""COMPUTED_VALUE"""),1)</f>
        <v>1</v>
      </c>
      <c r="C3996" s="7">
        <f ca="1">IFERROR(__xludf.DUMMYFUNCTION("""COMPUTED_VALUE"""),1)</f>
        <v>1</v>
      </c>
      <c r="D3996" s="8">
        <f ca="1">IFERROR(__xludf.DUMMYFUNCTION("""COMPUTED_VALUE"""),5)</f>
        <v>5</v>
      </c>
      <c r="E3996" s="2">
        <f ca="1">IFERROR(__xludf.DUMMYFUNCTION("""COMPUTED_VALUE"""),2)</f>
        <v>2</v>
      </c>
    </row>
    <row r="3997" spans="1:5" ht="13">
      <c r="A3997" s="2" t="str">
        <f ca="1">IFERROR(__xludf.DUMMYFUNCTION("""COMPUTED_VALUE"""),"Husted, Benjamin")</f>
        <v>Husted, Benjamin</v>
      </c>
      <c r="B3997" s="3">
        <f ca="1">IFERROR(__xludf.DUMMYFUNCTION("""COMPUTED_VALUE"""),1)</f>
        <v>1</v>
      </c>
      <c r="C3997" s="7">
        <f ca="1">IFERROR(__xludf.DUMMYFUNCTION("""COMPUTED_VALUE"""),1)</f>
        <v>1</v>
      </c>
      <c r="D3997" s="8">
        <f ca="1">IFERROR(__xludf.DUMMYFUNCTION("""COMPUTED_VALUE"""),5)</f>
        <v>5</v>
      </c>
      <c r="E3997" s="2">
        <f ca="1">IFERROR(__xludf.DUMMYFUNCTION("""COMPUTED_VALUE"""),2)</f>
        <v>2</v>
      </c>
    </row>
    <row r="3998" spans="1:5" ht="13">
      <c r="A3998" s="2" t="str">
        <f ca="1">IFERROR(__xludf.DUMMYFUNCTION("""COMPUTED_VALUE"""),"Hutcheson, Jere")</f>
        <v>Hutcheson, Jere</v>
      </c>
      <c r="B3998" s="3">
        <f ca="1">IFERROR(__xludf.DUMMYFUNCTION("""COMPUTED_VALUE"""),1)</f>
        <v>1</v>
      </c>
      <c r="C3998" s="7">
        <f ca="1">IFERROR(__xludf.DUMMYFUNCTION("""COMPUTED_VALUE"""),1)</f>
        <v>1</v>
      </c>
      <c r="D3998" s="8">
        <f ca="1">IFERROR(__xludf.DUMMYFUNCTION("""COMPUTED_VALUE"""),5)</f>
        <v>5</v>
      </c>
      <c r="E3998" s="2">
        <f ca="1">IFERROR(__xludf.DUMMYFUNCTION("""COMPUTED_VALUE"""),2)</f>
        <v>2</v>
      </c>
    </row>
    <row r="3999" spans="1:5" ht="13">
      <c r="A3999" s="2" t="str">
        <f ca="1">IFERROR(__xludf.DUMMYFUNCTION("""COMPUTED_VALUE"""),"Hutchinson, Warner")</f>
        <v>Hutchinson, Warner</v>
      </c>
      <c r="B3999" s="3">
        <f ca="1">IFERROR(__xludf.DUMMYFUNCTION("""COMPUTED_VALUE"""),1)</f>
        <v>1</v>
      </c>
      <c r="C3999" s="7">
        <f ca="1">IFERROR(__xludf.DUMMYFUNCTION("""COMPUTED_VALUE"""),1)</f>
        <v>1</v>
      </c>
      <c r="D3999" s="8">
        <f ca="1">IFERROR(__xludf.DUMMYFUNCTION("""COMPUTED_VALUE"""),1)</f>
        <v>1</v>
      </c>
      <c r="E3999" s="2">
        <f ca="1">IFERROR(__xludf.DUMMYFUNCTION("""COMPUTED_VALUE"""),1)</f>
        <v>1</v>
      </c>
    </row>
    <row r="4000" spans="1:5" ht="13">
      <c r="A4000" s="2" t="str">
        <f ca="1">IFERROR(__xludf.DUMMYFUNCTION("""COMPUTED_VALUE"""),"Hutchison, Simon")</f>
        <v>Hutchison, Simon</v>
      </c>
      <c r="B4000" s="3">
        <f ca="1">IFERROR(__xludf.DUMMYFUNCTION("""COMPUTED_VALUE"""),1)</f>
        <v>1</v>
      </c>
      <c r="C4000" s="7">
        <f ca="1">IFERROR(__xludf.DUMMYFUNCTION("""COMPUTED_VALUE"""),1)</f>
        <v>1</v>
      </c>
      <c r="D4000" s="8">
        <f ca="1">IFERROR(__xludf.DUMMYFUNCTION("""COMPUTED_VALUE"""),1)</f>
        <v>1</v>
      </c>
      <c r="E4000" s="2">
        <f ca="1">IFERROR(__xludf.DUMMYFUNCTION("""COMPUTED_VALUE"""),1)</f>
        <v>1</v>
      </c>
    </row>
    <row r="4001" spans="1:5" ht="13">
      <c r="A4001" s="2" t="str">
        <f ca="1">IFERROR(__xludf.DUMMYFUNCTION("""COMPUTED_VALUE"""),"Hyde, Peter")</f>
        <v>Hyde, Peter</v>
      </c>
      <c r="B4001" s="3">
        <f ca="1">IFERROR(__xludf.DUMMYFUNCTION("""COMPUTED_VALUE"""),1)</f>
        <v>1</v>
      </c>
      <c r="C4001" s="7">
        <f ca="1">IFERROR(__xludf.DUMMYFUNCTION("""COMPUTED_VALUE"""),1)</f>
        <v>1</v>
      </c>
      <c r="D4001" s="8">
        <f ca="1">IFERROR(__xludf.DUMMYFUNCTION("""COMPUTED_VALUE"""),1)</f>
        <v>1</v>
      </c>
      <c r="E4001" s="2">
        <f ca="1">IFERROR(__xludf.DUMMYFUNCTION("""COMPUTED_VALUE"""),1)</f>
        <v>1</v>
      </c>
    </row>
    <row r="4002" spans="1:5" ht="13">
      <c r="A4002" s="2" t="str">
        <f ca="1">IFERROR(__xludf.DUMMYFUNCTION("""COMPUTED_VALUE"""),"Hyken, Sam")</f>
        <v>Hyken, Sam</v>
      </c>
      <c r="B4002" s="2">
        <f ca="1">IFERROR(__xludf.DUMMYFUNCTION("""COMPUTED_VALUE"""),1)</f>
        <v>1</v>
      </c>
      <c r="C4002" s="2">
        <f ca="1">IFERROR(__xludf.DUMMYFUNCTION("""COMPUTED_VALUE"""),1)</f>
        <v>1</v>
      </c>
      <c r="D4002" s="8">
        <f ca="1">IFERROR(__xludf.DUMMYFUNCTION("""COMPUTED_VALUE"""),1)</f>
        <v>1</v>
      </c>
      <c r="E4002" s="2">
        <f ca="1">IFERROR(__xludf.DUMMYFUNCTION("""COMPUTED_VALUE"""),1)</f>
        <v>1</v>
      </c>
    </row>
    <row r="4003" spans="1:5" ht="13">
      <c r="A4003" s="2" t="str">
        <f ca="1">IFERROR(__xludf.DUMMYFUNCTION("""COMPUTED_VALUE"""),"Hyla, Lee")</f>
        <v>Hyla, Lee</v>
      </c>
      <c r="B4003" s="2">
        <f ca="1">IFERROR(__xludf.DUMMYFUNCTION("""COMPUTED_VALUE"""),1)</f>
        <v>1</v>
      </c>
      <c r="C4003" s="2">
        <f ca="1">IFERROR(__xludf.DUMMYFUNCTION("""COMPUTED_VALUE"""),1)</f>
        <v>1</v>
      </c>
      <c r="D4003" s="8">
        <f ca="1">IFERROR(__xludf.DUMMYFUNCTION("""COMPUTED_VALUE"""),5)</f>
        <v>5</v>
      </c>
      <c r="E4003" s="2">
        <f ca="1">IFERROR(__xludf.DUMMYFUNCTION("""COMPUTED_VALUE"""),2)</f>
        <v>2</v>
      </c>
    </row>
    <row r="4004" spans="1:5" ht="13">
      <c r="A4004" s="8" t="str">
        <f ca="1">IFERROR(__xludf.DUMMYFUNCTION("""COMPUTED_VALUE"""),"Hylander, Magnus")</f>
        <v>Hylander, Magnus</v>
      </c>
      <c r="B4004" s="3">
        <f ca="1">IFERROR(__xludf.DUMMYFUNCTION("""COMPUTED_VALUE"""),1)</f>
        <v>1</v>
      </c>
      <c r="C4004" s="7">
        <f ca="1">IFERROR(__xludf.DUMMYFUNCTION("""COMPUTED_VALUE"""),1)</f>
        <v>1</v>
      </c>
      <c r="D4004" s="8">
        <f ca="1">IFERROR(__xludf.DUMMYFUNCTION("""COMPUTED_VALUE"""),1)</f>
        <v>1</v>
      </c>
      <c r="E4004" s="2">
        <f ca="1">IFERROR(__xludf.DUMMYFUNCTION("""COMPUTED_VALUE"""),1)</f>
        <v>1</v>
      </c>
    </row>
    <row r="4005" spans="1:5" ht="13">
      <c r="A4005" s="2" t="str">
        <f ca="1">IFERROR(__xludf.DUMMYFUNCTION("""COMPUTED_VALUE"""),"Hyldgaard, Søren")</f>
        <v>Hyldgaard, Søren</v>
      </c>
      <c r="B4005" s="3">
        <f ca="1">IFERROR(__xludf.DUMMYFUNCTION("""COMPUTED_VALUE"""),1)</f>
        <v>1</v>
      </c>
      <c r="C4005" s="7">
        <f ca="1">IFERROR(__xludf.DUMMYFUNCTION("""COMPUTED_VALUE"""),1)</f>
        <v>1</v>
      </c>
      <c r="D4005" s="8">
        <f ca="1">IFERROR(__xludf.DUMMYFUNCTION("""COMPUTED_VALUE"""),1)</f>
        <v>1</v>
      </c>
      <c r="E4005" s="2">
        <f ca="1">IFERROR(__xludf.DUMMYFUNCTION("""COMPUTED_VALUE"""),1)</f>
        <v>1</v>
      </c>
    </row>
    <row r="4006" spans="1:5" ht="13">
      <c r="A4006" s="2" t="str">
        <f ca="1">IFERROR(__xludf.DUMMYFUNCTION("""COMPUTED_VALUE"""),"Hylkila, Ilari")</f>
        <v>Hylkila, Ilari</v>
      </c>
      <c r="B4006" s="2">
        <f ca="1">IFERROR(__xludf.DUMMYFUNCTION("""COMPUTED_VALUE"""),1)</f>
        <v>1</v>
      </c>
      <c r="C4006" s="2">
        <f ca="1">IFERROR(__xludf.DUMMYFUNCTION("""COMPUTED_VALUE"""),1)</f>
        <v>1</v>
      </c>
      <c r="D4006" s="8">
        <f ca="1">IFERROR(__xludf.DUMMYFUNCTION("""COMPUTED_VALUE"""),1)</f>
        <v>1</v>
      </c>
      <c r="E4006" s="2">
        <f ca="1">IFERROR(__xludf.DUMMYFUNCTION("""COMPUTED_VALUE"""),1)</f>
        <v>1</v>
      </c>
    </row>
    <row r="4007" spans="1:5" ht="13">
      <c r="A4007" s="2" t="str">
        <f ca="1">IFERROR(__xludf.DUMMYFUNCTION("""COMPUTED_VALUE"""),"Hylkilä, Ilari")</f>
        <v>Hylkilä, Ilari</v>
      </c>
      <c r="B4007" s="3">
        <f ca="1">IFERROR(__xludf.DUMMYFUNCTION("""COMPUTED_VALUE"""),1)</f>
        <v>1</v>
      </c>
      <c r="C4007" s="7">
        <f ca="1">IFERROR(__xludf.DUMMYFUNCTION("""COMPUTED_VALUE"""),1)</f>
        <v>1</v>
      </c>
      <c r="D4007" s="8">
        <f ca="1">IFERROR(__xludf.DUMMYFUNCTION("""COMPUTED_VALUE"""),1)</f>
        <v>1</v>
      </c>
      <c r="E4007" s="2">
        <f ca="1">IFERROR(__xludf.DUMMYFUNCTION("""COMPUTED_VALUE"""),1)</f>
        <v>1</v>
      </c>
    </row>
    <row r="4008" spans="1:5" ht="13">
      <c r="A4008" s="2" t="str">
        <f ca="1">IFERROR(__xludf.DUMMYFUNCTION("""COMPUTED_VALUE"""),"Hylton, Ben")</f>
        <v>Hylton, Ben</v>
      </c>
      <c r="B4008" s="2">
        <f ca="1">IFERROR(__xludf.DUMMYFUNCTION("""COMPUTED_VALUE"""),1)</f>
        <v>1</v>
      </c>
      <c r="C4008" s="7">
        <f ca="1">IFERROR(__xludf.DUMMYFUNCTION("""COMPUTED_VALUE"""),1)</f>
        <v>1</v>
      </c>
      <c r="D4008" s="8">
        <f ca="1">IFERROR(__xludf.DUMMYFUNCTION("""COMPUTED_VALUE"""),1)</f>
        <v>1</v>
      </c>
      <c r="E4008" s="2">
        <f ca="1">IFERROR(__xludf.DUMMYFUNCTION("""COMPUTED_VALUE"""),1)</f>
        <v>1</v>
      </c>
    </row>
    <row r="4009" spans="1:5" ht="13">
      <c r="A4009" s="2" t="str">
        <f ca="1">IFERROR(__xludf.DUMMYFUNCTION("""COMPUTED_VALUE"""),"Hyman, Dick")</f>
        <v>Hyman, Dick</v>
      </c>
      <c r="B4009" s="3">
        <f ca="1">IFERROR(__xludf.DUMMYFUNCTION("""COMPUTED_VALUE"""),1)</f>
        <v>1</v>
      </c>
      <c r="C4009" s="7">
        <f ca="1">IFERROR(__xludf.DUMMYFUNCTION("""COMPUTED_VALUE"""),1)</f>
        <v>1</v>
      </c>
      <c r="D4009" s="8">
        <f ca="1">IFERROR(__xludf.DUMMYFUNCTION("""COMPUTED_VALUE"""),1)</f>
        <v>1</v>
      </c>
      <c r="E4009" s="2">
        <f ca="1">IFERROR(__xludf.DUMMYFUNCTION("""COMPUTED_VALUE"""),1)</f>
        <v>1</v>
      </c>
    </row>
    <row r="4010" spans="1:5" ht="13">
      <c r="A4010" s="2" t="str">
        <f ca="1">IFERROR(__xludf.DUMMYFUNCTION("""COMPUTED_VALUE"""),"Hynson, Richard")</f>
        <v>Hynson, Richard</v>
      </c>
      <c r="B4010" s="2">
        <f ca="1">IFERROR(__xludf.DUMMYFUNCTION("""COMPUTED_VALUE"""),1)</f>
        <v>1</v>
      </c>
      <c r="C4010" s="2">
        <f ca="1">IFERROR(__xludf.DUMMYFUNCTION("""COMPUTED_VALUE"""),1)</f>
        <v>1</v>
      </c>
      <c r="D4010" s="8">
        <f ca="1">IFERROR(__xludf.DUMMYFUNCTION("""COMPUTED_VALUE"""),1)</f>
        <v>1</v>
      </c>
      <c r="E4010" s="2">
        <f ca="1">IFERROR(__xludf.DUMMYFUNCTION("""COMPUTED_VALUE"""),1)</f>
        <v>1</v>
      </c>
    </row>
    <row r="4011" spans="1:5" ht="13">
      <c r="A4011" s="2" t="str">
        <f ca="1">IFERROR(__xludf.DUMMYFUNCTION("""COMPUTED_VALUE"""),"Iacona, Richard")</f>
        <v>Iacona, Richard</v>
      </c>
      <c r="B4011" s="3">
        <f ca="1">IFERROR(__xludf.DUMMYFUNCTION("""COMPUTED_VALUE"""),1)</f>
        <v>1</v>
      </c>
      <c r="C4011" s="7">
        <f ca="1">IFERROR(__xludf.DUMMYFUNCTION("""COMPUTED_VALUE"""),1)</f>
        <v>1</v>
      </c>
      <c r="D4011" s="8">
        <f ca="1">IFERROR(__xludf.DUMMYFUNCTION("""COMPUTED_VALUE"""),1)</f>
        <v>1</v>
      </c>
      <c r="E4011" s="2">
        <f ca="1">IFERROR(__xludf.DUMMYFUNCTION("""COMPUTED_VALUE"""),1)</f>
        <v>1</v>
      </c>
    </row>
    <row r="4012" spans="1:5" ht="13">
      <c r="A4012" s="2" t="str">
        <f ca="1">IFERROR(__xludf.DUMMYFUNCTION("""COMPUTED_VALUE"""),"Iannaccone, Anthony")</f>
        <v>Iannaccone, Anthony</v>
      </c>
      <c r="B4012" s="3">
        <f ca="1">IFERROR(__xludf.DUMMYFUNCTION("""COMPUTED_VALUE"""),1)</f>
        <v>1</v>
      </c>
      <c r="C4012" s="7">
        <f ca="1">IFERROR(__xludf.DUMMYFUNCTION("""COMPUTED_VALUE"""),1)</f>
        <v>1</v>
      </c>
      <c r="D4012" s="8">
        <f ca="1">IFERROR(__xludf.DUMMYFUNCTION("""COMPUTED_VALUE"""),1)</f>
        <v>1</v>
      </c>
      <c r="E4012" s="2">
        <f ca="1">IFERROR(__xludf.DUMMYFUNCTION("""COMPUTED_VALUE"""),1)</f>
        <v>1</v>
      </c>
    </row>
    <row r="4013" spans="1:5" ht="13">
      <c r="A4013" s="2" t="str">
        <f ca="1">IFERROR(__xludf.DUMMYFUNCTION("""COMPUTED_VALUE"""),"Iannaconne, Anthony")</f>
        <v>Iannaconne, Anthony</v>
      </c>
      <c r="B4013" s="2">
        <f ca="1">IFERROR(__xludf.DUMMYFUNCTION("""COMPUTED_VALUE"""),1)</f>
        <v>1</v>
      </c>
      <c r="C4013" s="2">
        <f ca="1">IFERROR(__xludf.DUMMYFUNCTION("""COMPUTED_VALUE"""),1)</f>
        <v>1</v>
      </c>
      <c r="D4013" s="8">
        <f ca="1">IFERROR(__xludf.DUMMYFUNCTION("""COMPUTED_VALUE"""),1)</f>
        <v>1</v>
      </c>
      <c r="E4013" s="2">
        <f ca="1">IFERROR(__xludf.DUMMYFUNCTION("""COMPUTED_VALUE"""),1)</f>
        <v>1</v>
      </c>
    </row>
    <row r="4014" spans="1:5" ht="13">
      <c r="A4014" s="2" t="str">
        <f ca="1">IFERROR(__xludf.DUMMYFUNCTION("""COMPUTED_VALUE"""),"Iatauro, Michael")</f>
        <v>Iatauro, Michael</v>
      </c>
      <c r="B4014" s="3">
        <f ca="1">IFERROR(__xludf.DUMMYFUNCTION("""COMPUTED_VALUE"""),1)</f>
        <v>1</v>
      </c>
      <c r="C4014" s="7">
        <f ca="1">IFERROR(__xludf.DUMMYFUNCTION("""COMPUTED_VALUE"""),1)</f>
        <v>1</v>
      </c>
      <c r="D4014" s="8">
        <f ca="1">IFERROR(__xludf.DUMMYFUNCTION("""COMPUTED_VALUE"""),1)</f>
        <v>1</v>
      </c>
      <c r="E4014" s="2">
        <f ca="1">IFERROR(__xludf.DUMMYFUNCTION("""COMPUTED_VALUE"""),1)</f>
        <v>1</v>
      </c>
    </row>
    <row r="4015" spans="1:5" ht="13">
      <c r="A4015" s="2" t="str">
        <f ca="1">IFERROR(__xludf.DUMMYFUNCTION("""COMPUTED_VALUE"""),"Ibert, Jacques")</f>
        <v>Ibert, Jacques</v>
      </c>
      <c r="B4015" s="3">
        <f ca="1">IFERROR(__xludf.DUMMYFUNCTION("""COMPUTED_VALUE"""),1)</f>
        <v>1</v>
      </c>
      <c r="C4015" s="7">
        <f ca="1">IFERROR(__xludf.DUMMYFUNCTION("""COMPUTED_VALUE"""),1)</f>
        <v>1</v>
      </c>
      <c r="D4015" s="8">
        <f ca="1">IFERROR(__xludf.DUMMYFUNCTION("""COMPUTED_VALUE"""),5)</f>
        <v>5</v>
      </c>
      <c r="E4015" s="2">
        <f ca="1">IFERROR(__xludf.DUMMYFUNCTION("""COMPUTED_VALUE"""),2)</f>
        <v>2</v>
      </c>
    </row>
    <row r="4016" spans="1:5" ht="13">
      <c r="A4016" s="2" t="str">
        <f ca="1">IFERROR(__xludf.DUMMYFUNCTION("""COMPUTED_VALUE"""),"Ikonen, Janne")</f>
        <v>Ikonen, Janne</v>
      </c>
      <c r="B4016" s="3">
        <f ca="1">IFERROR(__xludf.DUMMYFUNCTION("""COMPUTED_VALUE"""),1)</f>
        <v>1</v>
      </c>
      <c r="C4016" s="7">
        <f ca="1">IFERROR(__xludf.DUMMYFUNCTION("""COMPUTED_VALUE"""),1)</f>
        <v>1</v>
      </c>
      <c r="D4016" s="8">
        <f ca="1">IFERROR(__xludf.DUMMYFUNCTION("""COMPUTED_VALUE"""),1)</f>
        <v>1</v>
      </c>
      <c r="E4016" s="2">
        <f ca="1">IFERROR(__xludf.DUMMYFUNCTION("""COMPUTED_VALUE"""),1)</f>
        <v>1</v>
      </c>
    </row>
    <row r="4017" spans="1:5" ht="13">
      <c r="A4017" s="2" t="str">
        <f ca="1">IFERROR(__xludf.DUMMYFUNCTION("""COMPUTED_VALUE"""),"Ilyinsky, Alexander")</f>
        <v>Ilyinsky, Alexander</v>
      </c>
      <c r="B4017" s="2">
        <f ca="1">IFERROR(__xludf.DUMMYFUNCTION("""COMPUTED_VALUE"""),1)</f>
        <v>1</v>
      </c>
      <c r="C4017" s="7">
        <f ca="1">IFERROR(__xludf.DUMMYFUNCTION("""COMPUTED_VALUE"""),1)</f>
        <v>1</v>
      </c>
      <c r="D4017" s="8">
        <f ca="1">IFERROR(__xludf.DUMMYFUNCTION("""COMPUTED_VALUE"""),5)</f>
        <v>5</v>
      </c>
      <c r="E4017" s="2">
        <f ca="1">IFERROR(__xludf.DUMMYFUNCTION("""COMPUTED_VALUE"""),2)</f>
        <v>2</v>
      </c>
    </row>
    <row r="4018" spans="1:5" ht="13">
      <c r="A4018" s="8" t="str">
        <f ca="1">IFERROR(__xludf.DUMMYFUNCTION("""COMPUTED_VALUE"""),"Imbrie, Andrew")</f>
        <v>Imbrie, Andrew</v>
      </c>
      <c r="B4018" s="3">
        <f ca="1">IFERROR(__xludf.DUMMYFUNCTION("""COMPUTED_VALUE"""),1)</f>
        <v>1</v>
      </c>
      <c r="C4018" s="7">
        <f ca="1">IFERROR(__xludf.DUMMYFUNCTION("""COMPUTED_VALUE"""),1)</f>
        <v>1</v>
      </c>
      <c r="D4018" s="8">
        <f ca="1">IFERROR(__xludf.DUMMYFUNCTION("""COMPUTED_VALUE"""),5)</f>
        <v>5</v>
      </c>
      <c r="E4018" s="2">
        <f ca="1">IFERROR(__xludf.DUMMYFUNCTION("""COMPUTED_VALUE"""),2)</f>
        <v>2</v>
      </c>
    </row>
    <row r="4019" spans="1:5" ht="13">
      <c r="A4019" s="2" t="str">
        <f ca="1">IFERROR(__xludf.DUMMYFUNCTION("""COMPUTED_VALUE"""),"Ingalls, Albert")</f>
        <v>Ingalls, Albert</v>
      </c>
      <c r="B4019" s="3">
        <f ca="1">IFERROR(__xludf.DUMMYFUNCTION("""COMPUTED_VALUE"""),1)</f>
        <v>1</v>
      </c>
      <c r="C4019" s="7">
        <f ca="1">IFERROR(__xludf.DUMMYFUNCTION("""COMPUTED_VALUE"""),1)</f>
        <v>1</v>
      </c>
      <c r="D4019" s="8">
        <f ca="1">IFERROR(__xludf.DUMMYFUNCTION("""COMPUTED_VALUE"""),5)</f>
        <v>5</v>
      </c>
      <c r="E4019" s="2">
        <f ca="1">IFERROR(__xludf.DUMMYFUNCTION("""COMPUTED_VALUE"""),2)</f>
        <v>2</v>
      </c>
    </row>
    <row r="4020" spans="1:5" ht="13">
      <c r="A4020" s="8" t="str">
        <f ca="1">IFERROR(__xludf.DUMMYFUNCTION("""COMPUTED_VALUE"""),"Ingalls, Jeremiah")</f>
        <v>Ingalls, Jeremiah</v>
      </c>
      <c r="B4020" s="3">
        <f ca="1">IFERROR(__xludf.DUMMYFUNCTION("""COMPUTED_VALUE"""),1)</f>
        <v>1</v>
      </c>
      <c r="C4020" s="7">
        <f ca="1">IFERROR(__xludf.DUMMYFUNCTION("""COMPUTED_VALUE"""),1)</f>
        <v>1</v>
      </c>
      <c r="D4020" s="8">
        <f ca="1">IFERROR(__xludf.DUMMYFUNCTION("""COMPUTED_VALUE"""),5)</f>
        <v>5</v>
      </c>
      <c r="E4020" s="2">
        <f ca="1">IFERROR(__xludf.DUMMYFUNCTION("""COMPUTED_VALUE"""),2)</f>
        <v>2</v>
      </c>
    </row>
    <row r="4021" spans="1:5" ht="13">
      <c r="A4021" s="2" t="str">
        <f ca="1">IFERROR(__xludf.DUMMYFUNCTION("""COMPUTED_VALUE"""),"Ingalls, Matt")</f>
        <v>Ingalls, Matt</v>
      </c>
      <c r="B4021" s="3">
        <f ca="1">IFERROR(__xludf.DUMMYFUNCTION("""COMPUTED_VALUE"""),1)</f>
        <v>1</v>
      </c>
      <c r="C4021" s="7">
        <f ca="1">IFERROR(__xludf.DUMMYFUNCTION("""COMPUTED_VALUE"""),1)</f>
        <v>1</v>
      </c>
      <c r="D4021" s="8">
        <f ca="1">IFERROR(__xludf.DUMMYFUNCTION("""COMPUTED_VALUE"""),1)</f>
        <v>1</v>
      </c>
      <c r="E4021" s="2">
        <f ca="1">IFERROR(__xludf.DUMMYFUNCTION("""COMPUTED_VALUE"""),1)</f>
        <v>1</v>
      </c>
    </row>
    <row r="4022" spans="1:5" ht="13">
      <c r="A4022" s="2" t="str">
        <f ca="1">IFERROR(__xludf.DUMMYFUNCTION("""COMPUTED_VALUE"""),"Ingegneri, Marc Antonio")</f>
        <v>Ingegneri, Marc Antonio</v>
      </c>
      <c r="B4022" s="3">
        <f ca="1">IFERROR(__xludf.DUMMYFUNCTION("""COMPUTED_VALUE"""),1)</f>
        <v>1</v>
      </c>
      <c r="C4022" s="7">
        <f ca="1">IFERROR(__xludf.DUMMYFUNCTION("""COMPUTED_VALUE"""),1)</f>
        <v>1</v>
      </c>
      <c r="D4022" s="8">
        <f ca="1">IFERROR(__xludf.DUMMYFUNCTION("""COMPUTED_VALUE"""),1)</f>
        <v>1</v>
      </c>
      <c r="E4022" s="2">
        <f ca="1">IFERROR(__xludf.DUMMYFUNCTION("""COMPUTED_VALUE"""),1)</f>
        <v>1</v>
      </c>
    </row>
    <row r="4023" spans="1:5" ht="13">
      <c r="A4023" s="2" t="str">
        <f ca="1">IFERROR(__xludf.DUMMYFUNCTION("""COMPUTED_VALUE"""),"Ingólfsson, Atli")</f>
        <v>Ingólfsson, Atli</v>
      </c>
      <c r="B4023" s="3">
        <f ca="1">IFERROR(__xludf.DUMMYFUNCTION("""COMPUTED_VALUE"""),1)</f>
        <v>1</v>
      </c>
      <c r="C4023" s="7">
        <f ca="1">IFERROR(__xludf.DUMMYFUNCTION("""COMPUTED_VALUE"""),1)</f>
        <v>1</v>
      </c>
      <c r="D4023" s="8">
        <f ca="1">IFERROR(__xludf.DUMMYFUNCTION("""COMPUTED_VALUE"""),1)</f>
        <v>1</v>
      </c>
      <c r="E4023" s="2">
        <f ca="1">IFERROR(__xludf.DUMMYFUNCTION("""COMPUTED_VALUE"""),1)</f>
        <v>1</v>
      </c>
    </row>
    <row r="4024" spans="1:5" ht="13">
      <c r="A4024" s="2" t="str">
        <f ca="1">IFERROR(__xludf.DUMMYFUNCTION("""COMPUTED_VALUE"""),"Ingrande, Leonard")</f>
        <v>Ingrande, Leonard</v>
      </c>
      <c r="B4024" s="3">
        <f ca="1">IFERROR(__xludf.DUMMYFUNCTION("""COMPUTED_VALUE"""),1)</f>
        <v>1</v>
      </c>
      <c r="C4024" s="7">
        <f ca="1">IFERROR(__xludf.DUMMYFUNCTION("""COMPUTED_VALUE"""),1)</f>
        <v>1</v>
      </c>
      <c r="D4024" s="8">
        <f ca="1">IFERROR(__xludf.DUMMYFUNCTION("""COMPUTED_VALUE"""),1)</f>
        <v>1</v>
      </c>
      <c r="E4024" s="2">
        <f ca="1">IFERROR(__xludf.DUMMYFUNCTION("""COMPUTED_VALUE"""),1)</f>
        <v>1</v>
      </c>
    </row>
    <row r="4025" spans="1:5" ht="13">
      <c r="A4025" s="2" t="str">
        <f ca="1">IFERROR(__xludf.DUMMYFUNCTION("""COMPUTED_VALUE"""),"Innes, Frederick N.")</f>
        <v>Innes, Frederick N.</v>
      </c>
      <c r="B4025" s="3">
        <f ca="1">IFERROR(__xludf.DUMMYFUNCTION("""COMPUTED_VALUE"""),1)</f>
        <v>1</v>
      </c>
      <c r="C4025" s="7">
        <f ca="1">IFERROR(__xludf.DUMMYFUNCTION("""COMPUTED_VALUE"""),1)</f>
        <v>1</v>
      </c>
      <c r="D4025" s="8">
        <f ca="1">IFERROR(__xludf.DUMMYFUNCTION("""COMPUTED_VALUE"""),5)</f>
        <v>5</v>
      </c>
      <c r="E4025" s="2">
        <f ca="1">IFERROR(__xludf.DUMMYFUNCTION("""COMPUTED_VALUE"""),2)</f>
        <v>2</v>
      </c>
    </row>
    <row r="4026" spans="1:5" ht="13">
      <c r="A4026" s="2" t="str">
        <f ca="1">IFERROR(__xludf.DUMMYFUNCTION("""COMPUTED_VALUE"""),"Inniger, Benji")</f>
        <v>Inniger, Benji</v>
      </c>
      <c r="B4026" s="2">
        <f ca="1">IFERROR(__xludf.DUMMYFUNCTION("""COMPUTED_VALUE"""),1)</f>
        <v>1</v>
      </c>
      <c r="C4026" s="2">
        <f ca="1">IFERROR(__xludf.DUMMYFUNCTION("""COMPUTED_VALUE"""),1)</f>
        <v>1</v>
      </c>
      <c r="D4026" s="8">
        <f ca="1">IFERROR(__xludf.DUMMYFUNCTION("""COMPUTED_VALUE"""),1)</f>
        <v>1</v>
      </c>
      <c r="E4026" s="2">
        <f ca="1">IFERROR(__xludf.DUMMYFUNCTION("""COMPUTED_VALUE"""),1)</f>
        <v>1</v>
      </c>
    </row>
    <row r="4027" spans="1:5" ht="13">
      <c r="A4027" s="2" t="str">
        <f ca="1">IFERROR(__xludf.DUMMYFUNCTION("""COMPUTED_VALUE"""),"Inwood, Paul")</f>
        <v>Inwood, Paul</v>
      </c>
      <c r="B4027" s="3">
        <f ca="1">IFERROR(__xludf.DUMMYFUNCTION("""COMPUTED_VALUE"""),1)</f>
        <v>1</v>
      </c>
      <c r="C4027" s="7">
        <f ca="1">IFERROR(__xludf.DUMMYFUNCTION("""COMPUTED_VALUE"""),1)</f>
        <v>1</v>
      </c>
      <c r="D4027" s="8">
        <f ca="1">IFERROR(__xludf.DUMMYFUNCTION("""COMPUTED_VALUE"""),1)</f>
        <v>1</v>
      </c>
      <c r="E4027" s="2">
        <f ca="1">IFERROR(__xludf.DUMMYFUNCTION("""COMPUTED_VALUE"""),1)</f>
        <v>1</v>
      </c>
    </row>
    <row r="4028" spans="1:5" ht="13">
      <c r="A4028" s="2" t="str">
        <f ca="1">IFERROR(__xludf.DUMMYFUNCTION("""COMPUTED_VALUE"""),"Ippolito, Michael")</f>
        <v>Ippolito, Michael</v>
      </c>
      <c r="B4028" s="3">
        <f ca="1">IFERROR(__xludf.DUMMYFUNCTION("""COMPUTED_VALUE"""),1)</f>
        <v>1</v>
      </c>
      <c r="C4028" s="7">
        <f ca="1">IFERROR(__xludf.DUMMYFUNCTION("""COMPUTED_VALUE"""),1)</f>
        <v>1</v>
      </c>
      <c r="D4028" s="8">
        <f ca="1">IFERROR(__xludf.DUMMYFUNCTION("""COMPUTED_VALUE"""),1)</f>
        <v>1</v>
      </c>
      <c r="E4028" s="2">
        <f ca="1">IFERROR(__xludf.DUMMYFUNCTION("""COMPUTED_VALUE"""),1)</f>
        <v>1</v>
      </c>
    </row>
    <row r="4029" spans="1:5" ht="13">
      <c r="A4029" s="2" t="str">
        <f ca="1">IFERROR(__xludf.DUMMYFUNCTION("""COMPUTED_VALUE"""),"Ippolitov-Ivanov, Mikhail")</f>
        <v>Ippolitov-Ivanov, Mikhail</v>
      </c>
      <c r="B4029" s="2">
        <f ca="1">IFERROR(__xludf.DUMMYFUNCTION("""COMPUTED_VALUE"""),1)</f>
        <v>1</v>
      </c>
      <c r="C4029" s="7">
        <f ca="1">IFERROR(__xludf.DUMMYFUNCTION("""COMPUTED_VALUE"""),1)</f>
        <v>1</v>
      </c>
      <c r="D4029" s="8">
        <f ca="1">IFERROR(__xludf.DUMMYFUNCTION("""COMPUTED_VALUE"""),5)</f>
        <v>5</v>
      </c>
      <c r="E4029" s="2">
        <f ca="1">IFERROR(__xludf.DUMMYFUNCTION("""COMPUTED_VALUE"""),2)</f>
        <v>2</v>
      </c>
    </row>
    <row r="4030" spans="1:5" ht="13">
      <c r="A4030" s="2" t="str">
        <f ca="1">IFERROR(__xludf.DUMMYFUNCTION("""COMPUTED_VALUE"""),"Ippolitov-Ivanov, Nicolai")</f>
        <v>Ippolitov-Ivanov, Nicolai</v>
      </c>
      <c r="B4030" s="3">
        <f ca="1">IFERROR(__xludf.DUMMYFUNCTION("""COMPUTED_VALUE"""),1)</f>
        <v>1</v>
      </c>
      <c r="C4030" s="7">
        <f ca="1">IFERROR(__xludf.DUMMYFUNCTION("""COMPUTED_VALUE"""),1)</f>
        <v>1</v>
      </c>
      <c r="D4030" s="8">
        <f ca="1">IFERROR(__xludf.DUMMYFUNCTION("""COMPUTED_VALUE"""),5)</f>
        <v>5</v>
      </c>
      <c r="E4030" s="2">
        <f ca="1">IFERROR(__xludf.DUMMYFUNCTION("""COMPUTED_VALUE"""),2)</f>
        <v>2</v>
      </c>
    </row>
    <row r="4031" spans="1:5" ht="13">
      <c r="A4031" s="2" t="str">
        <f ca="1">IFERROR(__xludf.DUMMYFUNCTION("""COMPUTED_VALUE"""),"Ipson, Douglas L.")</f>
        <v>Ipson, Douglas L.</v>
      </c>
      <c r="B4031" s="3">
        <f ca="1">IFERROR(__xludf.DUMMYFUNCTION("""COMPUTED_VALUE"""),1)</f>
        <v>1</v>
      </c>
      <c r="C4031" s="7">
        <f ca="1">IFERROR(__xludf.DUMMYFUNCTION("""COMPUTED_VALUE"""),1)</f>
        <v>1</v>
      </c>
      <c r="D4031" s="8">
        <f ca="1">IFERROR(__xludf.DUMMYFUNCTION("""COMPUTED_VALUE"""),1)</f>
        <v>1</v>
      </c>
      <c r="E4031" s="2">
        <f ca="1">IFERROR(__xludf.DUMMYFUNCTION("""COMPUTED_VALUE"""),1)</f>
        <v>1</v>
      </c>
    </row>
    <row r="4032" spans="1:5" ht="13">
      <c r="A4032" s="2" t="str">
        <f ca="1">IFERROR(__xludf.DUMMYFUNCTION("""COMPUTED_VALUE"""),"Ireland, John")</f>
        <v>Ireland, John</v>
      </c>
      <c r="B4032" s="3">
        <f ca="1">IFERROR(__xludf.DUMMYFUNCTION("""COMPUTED_VALUE"""),1)</f>
        <v>1</v>
      </c>
      <c r="C4032" s="7">
        <f ca="1">IFERROR(__xludf.DUMMYFUNCTION("""COMPUTED_VALUE"""),1)</f>
        <v>1</v>
      </c>
      <c r="D4032" s="8">
        <f ca="1">IFERROR(__xludf.DUMMYFUNCTION("""COMPUTED_VALUE"""),5)</f>
        <v>5</v>
      </c>
      <c r="E4032" s="2">
        <f ca="1">IFERROR(__xludf.DUMMYFUNCTION("""COMPUTED_VALUE"""),2)</f>
        <v>2</v>
      </c>
    </row>
    <row r="4033" spans="1:5" ht="13">
      <c r="A4033" s="2" t="str">
        <f ca="1">IFERROR(__xludf.DUMMYFUNCTION("""COMPUTED_VALUE"""),"Irish, David")</f>
        <v>Irish, David</v>
      </c>
      <c r="B4033" s="3">
        <f ca="1">IFERROR(__xludf.DUMMYFUNCTION("""COMPUTED_VALUE"""),1)</f>
        <v>1</v>
      </c>
      <c r="C4033" s="7">
        <f ca="1">IFERROR(__xludf.DUMMYFUNCTION("""COMPUTED_VALUE"""),1)</f>
        <v>1</v>
      </c>
      <c r="D4033" s="8">
        <f ca="1">IFERROR(__xludf.DUMMYFUNCTION("""COMPUTED_VALUE"""),1)</f>
        <v>1</v>
      </c>
      <c r="E4033" s="2">
        <f ca="1">IFERROR(__xludf.DUMMYFUNCTION("""COMPUTED_VALUE"""),1)</f>
        <v>1</v>
      </c>
    </row>
    <row r="4034" spans="1:5" ht="13">
      <c r="A4034" s="2" t="str">
        <f ca="1">IFERROR(__xludf.DUMMYFUNCTION("""COMPUTED_VALUE"""),"Irons, Mark")</f>
        <v>Irons, Mark</v>
      </c>
      <c r="B4034" s="3">
        <f ca="1">IFERROR(__xludf.DUMMYFUNCTION("""COMPUTED_VALUE"""),1)</f>
        <v>1</v>
      </c>
      <c r="C4034" s="7">
        <f ca="1">IFERROR(__xludf.DUMMYFUNCTION("""COMPUTED_VALUE"""),1)</f>
        <v>1</v>
      </c>
      <c r="D4034" s="8">
        <f ca="1">IFERROR(__xludf.DUMMYFUNCTION("""COMPUTED_VALUE"""),1)</f>
        <v>1</v>
      </c>
      <c r="E4034" s="2">
        <f ca="1">IFERROR(__xludf.DUMMYFUNCTION("""COMPUTED_VALUE"""),1)</f>
        <v>1</v>
      </c>
    </row>
    <row r="4035" spans="1:5" ht="13">
      <c r="A4035" s="8" t="str">
        <f ca="1">IFERROR(__xludf.DUMMYFUNCTION("""COMPUTED_VALUE"""),"Irwin, Brent")</f>
        <v>Irwin, Brent</v>
      </c>
      <c r="B4035" s="3">
        <f ca="1">IFERROR(__xludf.DUMMYFUNCTION("""COMPUTED_VALUE"""),1)</f>
        <v>1</v>
      </c>
      <c r="C4035" s="7">
        <f ca="1">IFERROR(__xludf.DUMMYFUNCTION("""COMPUTED_VALUE"""),1)</f>
        <v>1</v>
      </c>
      <c r="D4035" s="8">
        <f ca="1">IFERROR(__xludf.DUMMYFUNCTION("""COMPUTED_VALUE"""),1)</f>
        <v>1</v>
      </c>
      <c r="E4035" s="2">
        <f ca="1">IFERROR(__xludf.DUMMYFUNCTION("""COMPUTED_VALUE"""),1)</f>
        <v>1</v>
      </c>
    </row>
    <row r="4036" spans="1:5" ht="13">
      <c r="A4036" s="8" t="str">
        <f ca="1">IFERROR(__xludf.DUMMYFUNCTION("""COMPUTED_VALUE"""),"Isaac, Austin")</f>
        <v>Isaac, Austin</v>
      </c>
      <c r="B4036" s="3">
        <f ca="1">IFERROR(__xludf.DUMMYFUNCTION("""COMPUTED_VALUE"""),1)</f>
        <v>1</v>
      </c>
      <c r="C4036" s="7">
        <f ca="1">IFERROR(__xludf.DUMMYFUNCTION("""COMPUTED_VALUE"""),1)</f>
        <v>1</v>
      </c>
      <c r="D4036" s="8">
        <f ca="1">IFERROR(__xludf.DUMMYFUNCTION("""COMPUTED_VALUE"""),1)</f>
        <v>1</v>
      </c>
      <c r="E4036" s="2">
        <f ca="1">IFERROR(__xludf.DUMMYFUNCTION("""COMPUTED_VALUE"""),1)</f>
        <v>1</v>
      </c>
    </row>
    <row r="4037" spans="1:5" ht="13">
      <c r="A4037" s="2" t="str">
        <f ca="1">IFERROR(__xludf.DUMMYFUNCTION("""COMPUTED_VALUE"""),"Isaac, Heinrich")</f>
        <v>Isaac, Heinrich</v>
      </c>
      <c r="B4037" s="3">
        <f ca="1">IFERROR(__xludf.DUMMYFUNCTION("""COMPUTED_VALUE"""),1)</f>
        <v>1</v>
      </c>
      <c r="C4037" s="7">
        <f ca="1">IFERROR(__xludf.DUMMYFUNCTION("""COMPUTED_VALUE"""),1)</f>
        <v>1</v>
      </c>
      <c r="D4037" s="8">
        <f ca="1">IFERROR(__xludf.DUMMYFUNCTION("""COMPUTED_VALUE"""),5)</f>
        <v>5</v>
      </c>
      <c r="E4037" s="2">
        <f ca="1">IFERROR(__xludf.DUMMYFUNCTION("""COMPUTED_VALUE"""),2)</f>
        <v>2</v>
      </c>
    </row>
    <row r="4038" spans="1:5" ht="13">
      <c r="A4038" s="2" t="str">
        <f ca="1">IFERROR(__xludf.DUMMYFUNCTION("""COMPUTED_VALUE"""),"Isaac, Merle")</f>
        <v>Isaac, Merle</v>
      </c>
      <c r="B4038" s="3">
        <f ca="1">IFERROR(__xludf.DUMMYFUNCTION("""COMPUTED_VALUE"""),1)</f>
        <v>1</v>
      </c>
      <c r="C4038" s="7">
        <f ca="1">IFERROR(__xludf.DUMMYFUNCTION("""COMPUTED_VALUE"""),1)</f>
        <v>1</v>
      </c>
      <c r="D4038" s="8">
        <f ca="1">IFERROR(__xludf.DUMMYFUNCTION("""COMPUTED_VALUE"""),5)</f>
        <v>5</v>
      </c>
      <c r="E4038" s="2">
        <f ca="1">IFERROR(__xludf.DUMMYFUNCTION("""COMPUTED_VALUE"""),2)</f>
        <v>2</v>
      </c>
    </row>
    <row r="4039" spans="1:5" ht="13">
      <c r="A4039" s="2" t="str">
        <f ca="1">IFERROR(__xludf.DUMMYFUNCTION("""COMPUTED_VALUE"""),"Isaacson, Michael")</f>
        <v>Isaacson, Michael</v>
      </c>
      <c r="B4039" s="3">
        <f ca="1">IFERROR(__xludf.DUMMYFUNCTION("""COMPUTED_VALUE"""),1)</f>
        <v>1</v>
      </c>
      <c r="C4039" s="7">
        <f ca="1">IFERROR(__xludf.DUMMYFUNCTION("""COMPUTED_VALUE"""),1)</f>
        <v>1</v>
      </c>
      <c r="D4039" s="8">
        <f ca="1">IFERROR(__xludf.DUMMYFUNCTION("""COMPUTED_VALUE"""),1)</f>
        <v>1</v>
      </c>
      <c r="E4039" s="2">
        <f ca="1">IFERROR(__xludf.DUMMYFUNCTION("""COMPUTED_VALUE"""),1)</f>
        <v>1</v>
      </c>
    </row>
    <row r="4040" spans="1:5" ht="13">
      <c r="A4040" s="2" t="str">
        <f ca="1">IFERROR(__xludf.DUMMYFUNCTION("""COMPUTED_VALUE"""),"Isackson, Alex")</f>
        <v>Isackson, Alex</v>
      </c>
      <c r="B4040" s="2">
        <f ca="1">IFERROR(__xludf.DUMMYFUNCTION("""COMPUTED_VALUE"""),1)</f>
        <v>1</v>
      </c>
      <c r="C4040" s="7">
        <f ca="1">IFERROR(__xludf.DUMMYFUNCTION("""COMPUTED_VALUE"""),1)</f>
        <v>1</v>
      </c>
      <c r="D4040" s="8">
        <f ca="1">IFERROR(__xludf.DUMMYFUNCTION("""COMPUTED_VALUE"""),1)</f>
        <v>1</v>
      </c>
      <c r="E4040" s="2">
        <f ca="1">IFERROR(__xludf.DUMMYFUNCTION("""COMPUTED_VALUE"""),1)</f>
        <v>1</v>
      </c>
    </row>
    <row r="4041" spans="1:5" ht="13">
      <c r="A4041" s="2" t="str">
        <f ca="1">IFERROR(__xludf.DUMMYFUNCTION("""COMPUTED_VALUE"""),"Iseler, Elmer")</f>
        <v>Iseler, Elmer</v>
      </c>
      <c r="B4041" s="2">
        <f ca="1">IFERROR(__xludf.DUMMYFUNCTION("""COMPUTED_VALUE"""),1)</f>
        <v>1</v>
      </c>
      <c r="C4041" s="2">
        <f ca="1">IFERROR(__xludf.DUMMYFUNCTION("""COMPUTED_VALUE"""),1)</f>
        <v>1</v>
      </c>
      <c r="D4041" s="8">
        <f ca="1">IFERROR(__xludf.DUMMYFUNCTION("""COMPUTED_VALUE"""),5)</f>
        <v>5</v>
      </c>
      <c r="E4041" s="2">
        <f ca="1">IFERROR(__xludf.DUMMYFUNCTION("""COMPUTED_VALUE"""),2)</f>
        <v>2</v>
      </c>
    </row>
    <row r="4042" spans="1:5" ht="13">
      <c r="A4042" s="2" t="str">
        <f ca="1">IFERROR(__xludf.DUMMYFUNCTION("""COMPUTED_VALUE"""),"Iseler, Elmer / Peek")</f>
        <v>Iseler, Elmer / Peek</v>
      </c>
      <c r="B4042" s="2">
        <f ca="1">IFERROR(__xludf.DUMMYFUNCTION("""COMPUTED_VALUE"""),1)</f>
        <v>1</v>
      </c>
      <c r="C4042" s="2">
        <f ca="1">IFERROR(__xludf.DUMMYFUNCTION("""COMPUTED_VALUE"""),1)</f>
        <v>1</v>
      </c>
      <c r="D4042" s="8">
        <f ca="1">IFERROR(__xludf.DUMMYFUNCTION("""COMPUTED_VALUE"""),5)</f>
        <v>5</v>
      </c>
      <c r="E4042" s="2">
        <f ca="1">IFERROR(__xludf.DUMMYFUNCTION("""COMPUTED_VALUE"""),2)</f>
        <v>2</v>
      </c>
    </row>
    <row r="4043" spans="1:5" ht="13">
      <c r="A4043" s="2" t="str">
        <f ca="1">IFERROR(__xludf.DUMMYFUNCTION("""COMPUTED_VALUE"""),"Isham, Timothy J.")</f>
        <v>Isham, Timothy J.</v>
      </c>
      <c r="B4043" s="3">
        <f ca="1">IFERROR(__xludf.DUMMYFUNCTION("""COMPUTED_VALUE"""),1)</f>
        <v>1</v>
      </c>
      <c r="C4043" s="7">
        <f ca="1">IFERROR(__xludf.DUMMYFUNCTION("""COMPUTED_VALUE"""),1)</f>
        <v>1</v>
      </c>
      <c r="D4043" s="8">
        <f ca="1">IFERROR(__xludf.DUMMYFUNCTION("""COMPUTED_VALUE"""),1)</f>
        <v>1</v>
      </c>
      <c r="E4043" s="2">
        <f ca="1">IFERROR(__xludf.DUMMYFUNCTION("""COMPUTED_VALUE"""),1)</f>
        <v>1</v>
      </c>
    </row>
    <row r="4044" spans="1:5" ht="13">
      <c r="A4044" s="2" t="str">
        <f ca="1">IFERROR(__xludf.DUMMYFUNCTION("""COMPUTED_VALUE"""),"Israel, Brian")</f>
        <v>Israel, Brian</v>
      </c>
      <c r="B4044" s="3">
        <f ca="1">IFERROR(__xludf.DUMMYFUNCTION("""COMPUTED_VALUE"""),1)</f>
        <v>1</v>
      </c>
      <c r="C4044" s="7">
        <f ca="1">IFERROR(__xludf.DUMMYFUNCTION("""COMPUTED_VALUE"""),1)</f>
        <v>1</v>
      </c>
      <c r="D4044" s="8">
        <f ca="1">IFERROR(__xludf.DUMMYFUNCTION("""COMPUTED_VALUE"""),5)</f>
        <v>5</v>
      </c>
      <c r="E4044" s="2">
        <f ca="1">IFERROR(__xludf.DUMMYFUNCTION("""COMPUTED_VALUE"""),2)</f>
        <v>2</v>
      </c>
    </row>
    <row r="4045" spans="1:5" ht="13">
      <c r="A4045" s="2" t="str">
        <f ca="1">IFERROR(__xludf.DUMMYFUNCTION("""COMPUTED_VALUE"""),"Iturralde, Pedro")</f>
        <v>Iturralde, Pedro</v>
      </c>
      <c r="B4045" s="3">
        <f ca="1">IFERROR(__xludf.DUMMYFUNCTION("""COMPUTED_VALUE"""),1)</f>
        <v>1</v>
      </c>
      <c r="C4045" s="7">
        <f ca="1">IFERROR(__xludf.DUMMYFUNCTION("""COMPUTED_VALUE"""),1)</f>
        <v>1</v>
      </c>
      <c r="D4045" s="8">
        <f ca="1">IFERROR(__xludf.DUMMYFUNCTION("""COMPUTED_VALUE"""),1)</f>
        <v>1</v>
      </c>
      <c r="E4045" s="2">
        <f ca="1">IFERROR(__xludf.DUMMYFUNCTION("""COMPUTED_VALUE"""),1)</f>
        <v>1</v>
      </c>
    </row>
    <row r="4046" spans="1:5" ht="13">
      <c r="A4046" s="2" t="str">
        <f ca="1">IFERROR(__xludf.DUMMYFUNCTION("""COMPUTED_VALUE"""),"Ivanovici, Iosif")</f>
        <v>Ivanovici, Iosif</v>
      </c>
      <c r="B4046" s="2">
        <f ca="1">IFERROR(__xludf.DUMMYFUNCTION("""COMPUTED_VALUE"""),1)</f>
        <v>1</v>
      </c>
      <c r="C4046" s="7">
        <f ca="1">IFERROR(__xludf.DUMMYFUNCTION("""COMPUTED_VALUE"""),1)</f>
        <v>1</v>
      </c>
      <c r="D4046" s="8">
        <f ca="1">IFERROR(__xludf.DUMMYFUNCTION("""COMPUTED_VALUE"""),5)</f>
        <v>5</v>
      </c>
      <c r="E4046" s="2">
        <f ca="1">IFERROR(__xludf.DUMMYFUNCTION("""COMPUTED_VALUE"""),2)</f>
        <v>2</v>
      </c>
    </row>
    <row r="4047" spans="1:5" ht="13">
      <c r="A4047" s="2" t="str">
        <f ca="1">IFERROR(__xludf.DUMMYFUNCTION("""COMPUTED_VALUE"""),"Ives, Charles")</f>
        <v>Ives, Charles</v>
      </c>
      <c r="B4047" s="3">
        <f ca="1">IFERROR(__xludf.DUMMYFUNCTION("""COMPUTED_VALUE"""),1)</f>
        <v>1</v>
      </c>
      <c r="C4047" s="7">
        <f ca="1">IFERROR(__xludf.DUMMYFUNCTION("""COMPUTED_VALUE"""),1)</f>
        <v>1</v>
      </c>
      <c r="D4047" s="8">
        <f ca="1">IFERROR(__xludf.DUMMYFUNCTION("""COMPUTED_VALUE"""),5)</f>
        <v>5</v>
      </c>
      <c r="E4047" s="2">
        <f ca="1">IFERROR(__xludf.DUMMYFUNCTION("""COMPUTED_VALUE"""),2)</f>
        <v>2</v>
      </c>
    </row>
    <row r="4048" spans="1:5" ht="13">
      <c r="A4048" s="2" t="str">
        <f ca="1">IFERROR(__xludf.DUMMYFUNCTION("""COMPUTED_VALUE"""),"Ives, Charles / Schuman, William")</f>
        <v>Ives, Charles / Schuman, William</v>
      </c>
      <c r="B4048" s="3">
        <f ca="1">IFERROR(__xludf.DUMMYFUNCTION("""COMPUTED_VALUE"""),1)</f>
        <v>1</v>
      </c>
      <c r="C4048" s="7">
        <f ca="1">IFERROR(__xludf.DUMMYFUNCTION("""COMPUTED_VALUE"""),1)</f>
        <v>1</v>
      </c>
      <c r="D4048" s="8">
        <f ca="1">IFERROR(__xludf.DUMMYFUNCTION("""COMPUTED_VALUE"""),5)</f>
        <v>5</v>
      </c>
      <c r="E4048" s="2">
        <f ca="1">IFERROR(__xludf.DUMMYFUNCTION("""COMPUTED_VALUE"""),2)</f>
        <v>2</v>
      </c>
    </row>
    <row r="4049" spans="1:5" ht="13">
      <c r="A4049" s="2" t="str">
        <f ca="1">IFERROR(__xludf.DUMMYFUNCTION("""COMPUTED_VALUE"""),"Iveson, John")</f>
        <v>Iveson, John</v>
      </c>
      <c r="B4049" s="3">
        <f ca="1">IFERROR(__xludf.DUMMYFUNCTION("""COMPUTED_VALUE"""),1)</f>
        <v>1</v>
      </c>
      <c r="C4049" s="7">
        <f ca="1">IFERROR(__xludf.DUMMYFUNCTION("""COMPUTED_VALUE"""),1)</f>
        <v>1</v>
      </c>
      <c r="D4049" s="8">
        <f ca="1">IFERROR(__xludf.DUMMYFUNCTION("""COMPUTED_VALUE"""),1)</f>
        <v>1</v>
      </c>
      <c r="E4049" s="2">
        <f ca="1">IFERROR(__xludf.DUMMYFUNCTION("""COMPUTED_VALUE"""),1)</f>
        <v>1</v>
      </c>
    </row>
    <row r="4050" spans="1:5" ht="13">
      <c r="A4050" s="2" t="str">
        <f ca="1">IFERROR(__xludf.DUMMYFUNCTION("""COMPUTED_VALUE"""),"Ivory, Sean")</f>
        <v>Ivory, Sean</v>
      </c>
      <c r="B4050" s="3">
        <f ca="1">IFERROR(__xludf.DUMMYFUNCTION("""COMPUTED_VALUE"""),1)</f>
        <v>1</v>
      </c>
      <c r="C4050" s="7">
        <f ca="1">IFERROR(__xludf.DUMMYFUNCTION("""COMPUTED_VALUE"""),1)</f>
        <v>1</v>
      </c>
      <c r="D4050" s="8">
        <f ca="1">IFERROR(__xludf.DUMMYFUNCTION("""COMPUTED_VALUE"""),1)</f>
        <v>1</v>
      </c>
      <c r="E4050" s="2">
        <f ca="1">IFERROR(__xludf.DUMMYFUNCTION("""COMPUTED_VALUE"""),1)</f>
        <v>1</v>
      </c>
    </row>
    <row r="4051" spans="1:5" ht="13">
      <c r="A4051" s="2" t="str">
        <f ca="1">IFERROR(__xludf.DUMMYFUNCTION("""COMPUTED_VALUE"""),"J. Michael Thompson")</f>
        <v>J. Michael Thompson</v>
      </c>
      <c r="B4051" s="3">
        <f ca="1">IFERROR(__xludf.DUMMYFUNCTION("""COMPUTED_VALUE"""),1)</f>
        <v>1</v>
      </c>
      <c r="C4051" s="7">
        <f ca="1">IFERROR(__xludf.DUMMYFUNCTION("""COMPUTED_VALUE"""),1)</f>
        <v>1</v>
      </c>
      <c r="D4051" s="8">
        <f ca="1">IFERROR(__xludf.DUMMYFUNCTION("""COMPUTED_VALUE"""),1)</f>
        <v>1</v>
      </c>
      <c r="E4051" s="2">
        <f ca="1">IFERROR(__xludf.DUMMYFUNCTION("""COMPUTED_VALUE"""),1)</f>
        <v>1</v>
      </c>
    </row>
    <row r="4052" spans="1:5" ht="13">
      <c r="A4052" s="2" t="str">
        <f ca="1">IFERROR(__xludf.DUMMYFUNCTION("""COMPUTED_VALUE"""),"Jackfert, Matthew")</f>
        <v>Jackfert, Matthew</v>
      </c>
      <c r="B4052" s="3">
        <f ca="1">IFERROR(__xludf.DUMMYFUNCTION("""COMPUTED_VALUE"""),1)</f>
        <v>1</v>
      </c>
      <c r="C4052" s="7">
        <f ca="1">IFERROR(__xludf.DUMMYFUNCTION("""COMPUTED_VALUE"""),1)</f>
        <v>1</v>
      </c>
      <c r="D4052" s="8">
        <f ca="1">IFERROR(__xludf.DUMMYFUNCTION("""COMPUTED_VALUE"""),1)</f>
        <v>1</v>
      </c>
      <c r="E4052" s="2">
        <f ca="1">IFERROR(__xludf.DUMMYFUNCTION("""COMPUTED_VALUE"""),1)</f>
        <v>1</v>
      </c>
    </row>
    <row r="4053" spans="1:5" ht="13">
      <c r="A4053" s="2" t="str">
        <f ca="1">IFERROR(__xludf.DUMMYFUNCTION("""COMPUTED_VALUE"""),"Jackson, Daniel")</f>
        <v>Jackson, Daniel</v>
      </c>
      <c r="B4053" s="2">
        <f ca="1">IFERROR(__xludf.DUMMYFUNCTION("""COMPUTED_VALUE"""),1)</f>
        <v>1</v>
      </c>
      <c r="C4053" s="7">
        <f ca="1">IFERROR(__xludf.DUMMYFUNCTION("""COMPUTED_VALUE"""),1)</f>
        <v>1</v>
      </c>
      <c r="D4053" s="8">
        <f ca="1">IFERROR(__xludf.DUMMYFUNCTION("""COMPUTED_VALUE"""),1)</f>
        <v>1</v>
      </c>
      <c r="E4053" s="2">
        <f ca="1">IFERROR(__xludf.DUMMYFUNCTION("""COMPUTED_VALUE"""),1)</f>
        <v>1</v>
      </c>
    </row>
    <row r="4054" spans="1:5" ht="13">
      <c r="A4054" s="2" t="str">
        <f ca="1">IFERROR(__xludf.DUMMYFUNCTION("""COMPUTED_VALUE"""),"Jackson, Fraser")</f>
        <v>Jackson, Fraser</v>
      </c>
      <c r="B4054" s="3">
        <f ca="1">IFERROR(__xludf.DUMMYFUNCTION("""COMPUTED_VALUE"""),1)</f>
        <v>1</v>
      </c>
      <c r="C4054" s="7">
        <f ca="1">IFERROR(__xludf.DUMMYFUNCTION("""COMPUTED_VALUE"""),1)</f>
        <v>1</v>
      </c>
      <c r="D4054" s="8">
        <f ca="1">IFERROR(__xludf.DUMMYFUNCTION("""COMPUTED_VALUE"""),1)</f>
        <v>1</v>
      </c>
      <c r="E4054" s="2">
        <f ca="1">IFERROR(__xludf.DUMMYFUNCTION("""COMPUTED_VALUE"""),1)</f>
        <v>1</v>
      </c>
    </row>
    <row r="4055" spans="1:5" ht="13">
      <c r="A4055" s="2" t="str">
        <f ca="1">IFERROR(__xludf.DUMMYFUNCTION("""COMPUTED_VALUE"""),"Jackson, Hanley")</f>
        <v>Jackson, Hanley</v>
      </c>
      <c r="B4055" s="3">
        <f ca="1">IFERROR(__xludf.DUMMYFUNCTION("""COMPUTED_VALUE"""),1)</f>
        <v>1</v>
      </c>
      <c r="C4055" s="7">
        <f ca="1">IFERROR(__xludf.DUMMYFUNCTION("""COMPUTED_VALUE"""),1)</f>
        <v>1</v>
      </c>
      <c r="D4055" s="8">
        <f ca="1">IFERROR(__xludf.DUMMYFUNCTION("""COMPUTED_VALUE"""),5)</f>
        <v>5</v>
      </c>
      <c r="E4055" s="2">
        <f ca="1">IFERROR(__xludf.DUMMYFUNCTION("""COMPUTED_VALUE"""),2)</f>
        <v>2</v>
      </c>
    </row>
    <row r="4056" spans="1:5" ht="13">
      <c r="A4056" s="2" t="str">
        <f ca="1">IFERROR(__xludf.DUMMYFUNCTION("""COMPUTED_VALUE"""),"Jackson, Leroy (aka John Kinyon)")</f>
        <v>Jackson, Leroy (aka John Kinyon)</v>
      </c>
      <c r="B4056" s="3">
        <f ca="1">IFERROR(__xludf.DUMMYFUNCTION("""COMPUTED_VALUE"""),1)</f>
        <v>1</v>
      </c>
      <c r="C4056" s="7">
        <f ca="1">IFERROR(__xludf.DUMMYFUNCTION("""COMPUTED_VALUE"""),1)</f>
        <v>1</v>
      </c>
      <c r="D4056" s="8">
        <f ca="1">IFERROR(__xludf.DUMMYFUNCTION("""COMPUTED_VALUE"""),5)</f>
        <v>5</v>
      </c>
      <c r="E4056" s="2">
        <f ca="1">IFERROR(__xludf.DUMMYFUNCTION("""COMPUTED_VALUE"""),2)</f>
        <v>2</v>
      </c>
    </row>
    <row r="4057" spans="1:5" ht="13">
      <c r="A4057" s="2" t="str">
        <f ca="1">IFERROR(__xludf.DUMMYFUNCTION("""COMPUTED_VALUE"""),"Jackson, Richard")</f>
        <v>Jackson, Richard</v>
      </c>
      <c r="B4057" s="3">
        <f ca="1">IFERROR(__xludf.DUMMYFUNCTION("""COMPUTED_VALUE"""),1)</f>
        <v>1</v>
      </c>
      <c r="C4057" s="7">
        <f ca="1">IFERROR(__xludf.DUMMYFUNCTION("""COMPUTED_VALUE"""),1)</f>
        <v>1</v>
      </c>
      <c r="D4057" s="8">
        <f ca="1">IFERROR(__xludf.DUMMYFUNCTION("""COMPUTED_VALUE"""),5)</f>
        <v>5</v>
      </c>
      <c r="E4057" s="2">
        <f ca="1">IFERROR(__xludf.DUMMYFUNCTION("""COMPUTED_VALUE"""),2)</f>
        <v>2</v>
      </c>
    </row>
    <row r="4058" spans="1:5" ht="13">
      <c r="A4058" s="2" t="str">
        <f ca="1">IFERROR(__xludf.DUMMYFUNCTION("""COMPUTED_VALUE"""),"Jackson, Stephen")</f>
        <v>Jackson, Stephen</v>
      </c>
      <c r="B4058" s="3">
        <f ca="1">IFERROR(__xludf.DUMMYFUNCTION("""COMPUTED_VALUE"""),1)</f>
        <v>1</v>
      </c>
      <c r="C4058" s="7">
        <f ca="1">IFERROR(__xludf.DUMMYFUNCTION("""COMPUTED_VALUE"""),1)</f>
        <v>1</v>
      </c>
      <c r="D4058" s="8">
        <f ca="1">IFERROR(__xludf.DUMMYFUNCTION("""COMPUTED_VALUE"""),1)</f>
        <v>1</v>
      </c>
      <c r="E4058" s="2">
        <f ca="1">IFERROR(__xludf.DUMMYFUNCTION("""COMPUTED_VALUE"""),1)</f>
        <v>1</v>
      </c>
    </row>
    <row r="4059" spans="1:5" ht="13">
      <c r="A4059" s="2" t="str">
        <f ca="1">IFERROR(__xludf.DUMMYFUNCTION("""COMPUTED_VALUE"""),"Jackson, Tim")</f>
        <v>Jackson, Tim</v>
      </c>
      <c r="B4059" s="3">
        <f ca="1">IFERROR(__xludf.DUMMYFUNCTION("""COMPUTED_VALUE"""),1)</f>
        <v>1</v>
      </c>
      <c r="C4059" s="7">
        <f ca="1">IFERROR(__xludf.DUMMYFUNCTION("""COMPUTED_VALUE"""),1)</f>
        <v>1</v>
      </c>
      <c r="D4059" s="8">
        <f ca="1">IFERROR(__xludf.DUMMYFUNCTION("""COMPUTED_VALUE"""),1)</f>
        <v>1</v>
      </c>
      <c r="E4059" s="2">
        <f ca="1">IFERROR(__xludf.DUMMYFUNCTION("""COMPUTED_VALUE"""),1)</f>
        <v>1</v>
      </c>
    </row>
    <row r="4060" spans="1:5" ht="13">
      <c r="A4060" s="2" t="str">
        <f ca="1">IFERROR(__xludf.DUMMYFUNCTION("""COMPUTED_VALUE"""),"Jacob, Gordon")</f>
        <v>Jacob, Gordon</v>
      </c>
      <c r="B4060" s="3">
        <f ca="1">IFERROR(__xludf.DUMMYFUNCTION("""COMPUTED_VALUE"""),1)</f>
        <v>1</v>
      </c>
      <c r="C4060" s="7">
        <f ca="1">IFERROR(__xludf.DUMMYFUNCTION("""COMPUTED_VALUE"""),1)</f>
        <v>1</v>
      </c>
      <c r="D4060" s="8">
        <f ca="1">IFERROR(__xludf.DUMMYFUNCTION("""COMPUTED_VALUE"""),5)</f>
        <v>5</v>
      </c>
      <c r="E4060" s="2">
        <f ca="1">IFERROR(__xludf.DUMMYFUNCTION("""COMPUTED_VALUE"""),2)</f>
        <v>2</v>
      </c>
    </row>
    <row r="4061" spans="1:5" ht="13">
      <c r="A4061" s="2" t="str">
        <f ca="1">IFERROR(__xludf.DUMMYFUNCTION("""COMPUTED_VALUE"""),"Jacobs, Al")</f>
        <v>Jacobs, Al</v>
      </c>
      <c r="B4061" s="3">
        <f ca="1">IFERROR(__xludf.DUMMYFUNCTION("""COMPUTED_VALUE"""),1)</f>
        <v>1</v>
      </c>
      <c r="C4061" s="7">
        <f ca="1">IFERROR(__xludf.DUMMYFUNCTION("""COMPUTED_VALUE"""),1)</f>
        <v>1</v>
      </c>
      <c r="D4061" s="8">
        <f ca="1">IFERROR(__xludf.DUMMYFUNCTION("""COMPUTED_VALUE"""),5)</f>
        <v>5</v>
      </c>
      <c r="E4061" s="2">
        <f ca="1">IFERROR(__xludf.DUMMYFUNCTION("""COMPUTED_VALUE"""),2)</f>
        <v>2</v>
      </c>
    </row>
    <row r="4062" spans="1:5" ht="13">
      <c r="A4062" s="2" t="str">
        <f ca="1">IFERROR(__xludf.DUMMYFUNCTION("""COMPUTED_VALUE"""),"Jacobsen, Colin")</f>
        <v>Jacobsen, Colin</v>
      </c>
      <c r="B4062" s="3">
        <f ca="1">IFERROR(__xludf.DUMMYFUNCTION("""COMPUTED_VALUE"""),1)</f>
        <v>1</v>
      </c>
      <c r="C4062" s="7">
        <f ca="1">IFERROR(__xludf.DUMMYFUNCTION("""COMPUTED_VALUE"""),1)</f>
        <v>1</v>
      </c>
      <c r="D4062" s="8">
        <f ca="1">IFERROR(__xludf.DUMMYFUNCTION("""COMPUTED_VALUE"""),1)</f>
        <v>1</v>
      </c>
      <c r="E4062" s="2">
        <f ca="1">IFERROR(__xludf.DUMMYFUNCTION("""COMPUTED_VALUE"""),1)</f>
        <v>1</v>
      </c>
    </row>
    <row r="4063" spans="1:5" ht="13">
      <c r="A4063" s="2" t="str">
        <f ca="1">IFERROR(__xludf.DUMMYFUNCTION("""COMPUTED_VALUE"""),"Jacobson-Larson, Nicholas")</f>
        <v>Jacobson-Larson, Nicholas</v>
      </c>
      <c r="B4063" s="3">
        <f ca="1">IFERROR(__xludf.DUMMYFUNCTION("""COMPUTED_VALUE"""),1)</f>
        <v>1</v>
      </c>
      <c r="C4063" s="7">
        <f ca="1">IFERROR(__xludf.DUMMYFUNCTION("""COMPUTED_VALUE"""),1)</f>
        <v>1</v>
      </c>
      <c r="D4063" s="8">
        <f ca="1">IFERROR(__xludf.DUMMYFUNCTION("""COMPUTED_VALUE"""),1)</f>
        <v>1</v>
      </c>
      <c r="E4063" s="2">
        <f ca="1">IFERROR(__xludf.DUMMYFUNCTION("""COMPUTED_VALUE"""),1)</f>
        <v>1</v>
      </c>
    </row>
    <row r="4064" spans="1:5" ht="13">
      <c r="A4064" s="2" t="str">
        <f ca="1">IFERROR(__xludf.DUMMYFUNCTION("""COMPUTED_VALUE"""),"Jacobson, Andrew R.")</f>
        <v>Jacobson, Andrew R.</v>
      </c>
      <c r="B4064" s="3">
        <f ca="1">IFERROR(__xludf.DUMMYFUNCTION("""COMPUTED_VALUE"""),1)</f>
        <v>1</v>
      </c>
      <c r="C4064" s="7">
        <f ca="1">IFERROR(__xludf.DUMMYFUNCTION("""COMPUTED_VALUE"""),1)</f>
        <v>1</v>
      </c>
      <c r="D4064" s="8">
        <f ca="1">IFERROR(__xludf.DUMMYFUNCTION("""COMPUTED_VALUE"""),1)</f>
        <v>1</v>
      </c>
      <c r="E4064" s="2">
        <f ca="1">IFERROR(__xludf.DUMMYFUNCTION("""COMPUTED_VALUE"""),1)</f>
        <v>1</v>
      </c>
    </row>
    <row r="4065" spans="1:5" ht="13">
      <c r="A4065" s="8" t="str">
        <f ca="1">IFERROR(__xludf.DUMMYFUNCTION("""COMPUTED_VALUE"""),"Jacobson, John")</f>
        <v>Jacobson, John</v>
      </c>
      <c r="B4065" s="3">
        <f ca="1">IFERROR(__xludf.DUMMYFUNCTION("""COMPUTED_VALUE"""),1)</f>
        <v>1</v>
      </c>
      <c r="C4065" s="7">
        <f ca="1">IFERROR(__xludf.DUMMYFUNCTION("""COMPUTED_VALUE"""),1)</f>
        <v>1</v>
      </c>
      <c r="D4065" s="8">
        <f ca="1">IFERROR(__xludf.DUMMYFUNCTION("""COMPUTED_VALUE"""),1)</f>
        <v>1</v>
      </c>
      <c r="E4065" s="2">
        <f ca="1">IFERROR(__xludf.DUMMYFUNCTION("""COMPUTED_VALUE"""),1)</f>
        <v>1</v>
      </c>
    </row>
    <row r="4066" spans="1:5" ht="13">
      <c r="A4066" s="2" t="str">
        <f ca="1">IFERROR(__xludf.DUMMYFUNCTION("""COMPUTED_VALUE"""),"Jacobson, John / Huff, Mac")</f>
        <v>Jacobson, John / Huff, Mac</v>
      </c>
      <c r="B4066" s="3">
        <f ca="1">IFERROR(__xludf.DUMMYFUNCTION("""COMPUTED_VALUE"""),1)</f>
        <v>1</v>
      </c>
      <c r="C4066" s="7">
        <f ca="1">IFERROR(__xludf.DUMMYFUNCTION("""COMPUTED_VALUE"""),1)</f>
        <v>1</v>
      </c>
      <c r="D4066" s="8">
        <f ca="1">IFERROR(__xludf.DUMMYFUNCTION("""COMPUTED_VALUE"""),1)</f>
        <v>1</v>
      </c>
      <c r="E4066" s="2">
        <f ca="1">IFERROR(__xludf.DUMMYFUNCTION("""COMPUTED_VALUE"""),1)</f>
        <v>1</v>
      </c>
    </row>
    <row r="4067" spans="1:5" ht="13">
      <c r="A4067" s="8" t="str">
        <f ca="1">IFERROR(__xludf.DUMMYFUNCTION("""COMPUTED_VALUE"""),"Jacobson, Josh")</f>
        <v>Jacobson, Josh</v>
      </c>
      <c r="B4067" s="3">
        <f ca="1">IFERROR(__xludf.DUMMYFUNCTION("""COMPUTED_VALUE"""),1)</f>
        <v>1</v>
      </c>
      <c r="C4067" s="7">
        <f ca="1">IFERROR(__xludf.DUMMYFUNCTION("""COMPUTED_VALUE"""),1)</f>
        <v>1</v>
      </c>
      <c r="D4067" s="8">
        <f ca="1">IFERROR(__xludf.DUMMYFUNCTION("""COMPUTED_VALUE"""),1)</f>
        <v>1</v>
      </c>
      <c r="E4067" s="2">
        <f ca="1">IFERROR(__xludf.DUMMYFUNCTION("""COMPUTED_VALUE"""),1)</f>
        <v>1</v>
      </c>
    </row>
    <row r="4068" spans="1:5" ht="13">
      <c r="A4068" s="2" t="str">
        <f ca="1">IFERROR(__xludf.DUMMYFUNCTION("""COMPUTED_VALUE"""),"Jacobson, Joshua")</f>
        <v>Jacobson, Joshua</v>
      </c>
      <c r="B4068" s="3">
        <f ca="1">IFERROR(__xludf.DUMMYFUNCTION("""COMPUTED_VALUE"""),1)</f>
        <v>1</v>
      </c>
      <c r="C4068" s="7">
        <f ca="1">IFERROR(__xludf.DUMMYFUNCTION("""COMPUTED_VALUE"""),1)</f>
        <v>1</v>
      </c>
      <c r="D4068" s="8">
        <f ca="1">IFERROR(__xludf.DUMMYFUNCTION("""COMPUTED_VALUE"""),1)</f>
        <v>1</v>
      </c>
      <c r="E4068" s="2">
        <f ca="1">IFERROR(__xludf.DUMMYFUNCTION("""COMPUTED_VALUE"""),1)</f>
        <v>1</v>
      </c>
    </row>
    <row r="4069" spans="1:5" ht="13">
      <c r="A4069" s="2" t="str">
        <f ca="1">IFERROR(__xludf.DUMMYFUNCTION("""COMPUTED_VALUE"""),"Jacobson, Maurice")</f>
        <v>Jacobson, Maurice</v>
      </c>
      <c r="B4069" s="2">
        <f ca="1">IFERROR(__xludf.DUMMYFUNCTION("""COMPUTED_VALUE"""),1)</f>
        <v>1</v>
      </c>
      <c r="C4069" s="2">
        <f ca="1">IFERROR(__xludf.DUMMYFUNCTION("""COMPUTED_VALUE"""),1)</f>
        <v>1</v>
      </c>
      <c r="D4069" s="8">
        <f ca="1">IFERROR(__xludf.DUMMYFUNCTION("""COMPUTED_VALUE"""),5)</f>
        <v>5</v>
      </c>
      <c r="E4069" s="2">
        <f ca="1">IFERROR(__xludf.DUMMYFUNCTION("""COMPUTED_VALUE"""),2)</f>
        <v>2</v>
      </c>
    </row>
    <row r="4070" spans="1:5" ht="13">
      <c r="A4070" s="2" t="str">
        <f ca="1">IFERROR(__xludf.DUMMYFUNCTION("""COMPUTED_VALUE"""),"Jacobson, Roger")</f>
        <v>Jacobson, Roger</v>
      </c>
      <c r="B4070" s="3">
        <f ca="1">IFERROR(__xludf.DUMMYFUNCTION("""COMPUTED_VALUE"""),1)</f>
        <v>1</v>
      </c>
      <c r="C4070" s="7">
        <f ca="1">IFERROR(__xludf.DUMMYFUNCTION("""COMPUTED_VALUE"""),1)</f>
        <v>1</v>
      </c>
      <c r="D4070" s="8">
        <f ca="1">IFERROR(__xludf.DUMMYFUNCTION("""COMPUTED_VALUE"""),5)</f>
        <v>5</v>
      </c>
      <c r="E4070" s="2">
        <f ca="1">IFERROR(__xludf.DUMMYFUNCTION("""COMPUTED_VALUE"""),2)</f>
        <v>2</v>
      </c>
    </row>
    <row r="4071" spans="1:5" ht="13">
      <c r="A4071" s="8" t="str">
        <f ca="1">IFERROR(__xludf.DUMMYFUNCTION("""COMPUTED_VALUE"""),"Jacques, Reginald")</f>
        <v>Jacques, Reginald</v>
      </c>
      <c r="B4071" s="3">
        <f ca="1">IFERROR(__xludf.DUMMYFUNCTION("""COMPUTED_VALUE"""),1)</f>
        <v>1</v>
      </c>
      <c r="C4071" s="7">
        <f ca="1">IFERROR(__xludf.DUMMYFUNCTION("""COMPUTED_VALUE"""),1)</f>
        <v>1</v>
      </c>
      <c r="D4071" s="8">
        <f ca="1">IFERROR(__xludf.DUMMYFUNCTION("""COMPUTED_VALUE"""),5)</f>
        <v>5</v>
      </c>
      <c r="E4071" s="2">
        <f ca="1">IFERROR(__xludf.DUMMYFUNCTION("""COMPUTED_VALUE"""),2)</f>
        <v>2</v>
      </c>
    </row>
    <row r="4072" spans="1:5" ht="13">
      <c r="A4072" s="2" t="str">
        <f ca="1">IFERROR(__xludf.DUMMYFUNCTION("""COMPUTED_VALUE"""),"Jadassohn, Salomon")</f>
        <v>Jadassohn, Salomon</v>
      </c>
      <c r="B4072" s="3">
        <f ca="1">IFERROR(__xludf.DUMMYFUNCTION("""COMPUTED_VALUE"""),1)</f>
        <v>1</v>
      </c>
      <c r="C4072" s="7">
        <f ca="1">IFERROR(__xludf.DUMMYFUNCTION("""COMPUTED_VALUE"""),1)</f>
        <v>1</v>
      </c>
      <c r="D4072" s="8">
        <f ca="1">IFERROR(__xludf.DUMMYFUNCTION("""COMPUTED_VALUE"""),5)</f>
        <v>5</v>
      </c>
      <c r="E4072" s="2">
        <f ca="1">IFERROR(__xludf.DUMMYFUNCTION("""COMPUTED_VALUE"""),2)</f>
        <v>2</v>
      </c>
    </row>
    <row r="4073" spans="1:5" ht="13">
      <c r="A4073" s="2" t="str">
        <f ca="1">IFERROR(__xludf.DUMMYFUNCTION("""COMPUTED_VALUE"""),"Jadin, Louis-Emmanuel")</f>
        <v>Jadin, Louis-Emmanuel</v>
      </c>
      <c r="B4073" s="2">
        <f ca="1">IFERROR(__xludf.DUMMYFUNCTION("""COMPUTED_VALUE"""),1)</f>
        <v>1</v>
      </c>
      <c r="C4073" s="7">
        <f ca="1">IFERROR(__xludf.DUMMYFUNCTION("""COMPUTED_VALUE"""),1)</f>
        <v>1</v>
      </c>
      <c r="D4073" s="8">
        <f ca="1">IFERROR(__xludf.DUMMYFUNCTION("""COMPUTED_VALUE"""),5)</f>
        <v>5</v>
      </c>
      <c r="E4073" s="2">
        <f ca="1">IFERROR(__xludf.DUMMYFUNCTION("""COMPUTED_VALUE"""),2)</f>
        <v>2</v>
      </c>
    </row>
    <row r="4074" spans="1:5" ht="13">
      <c r="A4074" s="8" t="str">
        <f ca="1">IFERROR(__xludf.DUMMYFUNCTION("""COMPUTED_VALUE"""),"Jaffe, Gerard")</f>
        <v>Jaffe, Gerard</v>
      </c>
      <c r="B4074" s="3">
        <f ca="1">IFERROR(__xludf.DUMMYFUNCTION("""COMPUTED_VALUE"""),1)</f>
        <v>1</v>
      </c>
      <c r="C4074" s="7">
        <f ca="1">IFERROR(__xludf.DUMMYFUNCTION("""COMPUTED_VALUE"""),1)</f>
        <v>1</v>
      </c>
      <c r="D4074" s="8">
        <f ca="1">IFERROR(__xludf.DUMMYFUNCTION("""COMPUTED_VALUE"""),5)</f>
        <v>5</v>
      </c>
      <c r="E4074" s="2">
        <f ca="1">IFERROR(__xludf.DUMMYFUNCTION("""COMPUTED_VALUE"""),2)</f>
        <v>2</v>
      </c>
    </row>
    <row r="4075" spans="1:5" ht="13">
      <c r="A4075" s="2" t="str">
        <f ca="1">IFERROR(__xludf.DUMMYFUNCTION("""COMPUTED_VALUE"""),"Jaffe, Peter")</f>
        <v>Jaffe, Peter</v>
      </c>
      <c r="B4075" s="2">
        <f ca="1">IFERROR(__xludf.DUMMYFUNCTION("""COMPUTED_VALUE"""),1)</f>
        <v>1</v>
      </c>
      <c r="C4075" s="2">
        <f ca="1">IFERROR(__xludf.DUMMYFUNCTION("""COMPUTED_VALUE"""),1)</f>
        <v>1</v>
      </c>
      <c r="D4075" s="8">
        <f ca="1">IFERROR(__xludf.DUMMYFUNCTION("""COMPUTED_VALUE"""),1)</f>
        <v>1</v>
      </c>
      <c r="E4075" s="2">
        <f ca="1">IFERROR(__xludf.DUMMYFUNCTION("""COMPUTED_VALUE"""),1)</f>
        <v>1</v>
      </c>
    </row>
    <row r="4076" spans="1:5" ht="13">
      <c r="A4076" s="2" t="str">
        <f ca="1">IFERROR(__xludf.DUMMYFUNCTION("""COMPUTED_VALUE"""),"Jager, Robert")</f>
        <v>Jager, Robert</v>
      </c>
      <c r="B4076" s="3">
        <f ca="1">IFERROR(__xludf.DUMMYFUNCTION("""COMPUTED_VALUE"""),1)</f>
        <v>1</v>
      </c>
      <c r="C4076" s="7">
        <f ca="1">IFERROR(__xludf.DUMMYFUNCTION("""COMPUTED_VALUE"""),1)</f>
        <v>1</v>
      </c>
      <c r="D4076" s="8">
        <f ca="1">IFERROR(__xludf.DUMMYFUNCTION("""COMPUTED_VALUE"""),1)</f>
        <v>1</v>
      </c>
      <c r="E4076" s="2">
        <f ca="1">IFERROR(__xludf.DUMMYFUNCTION("""COMPUTED_VALUE"""),1)</f>
        <v>1</v>
      </c>
    </row>
    <row r="4077" spans="1:5" ht="13">
      <c r="A4077" s="2" t="str">
        <f ca="1">IFERROR(__xludf.DUMMYFUNCTION("""COMPUTED_VALUE"""),"Jagger, Mick / Richards, Keith")</f>
        <v>Jagger, Mick / Richards, Keith</v>
      </c>
      <c r="B4077" s="3">
        <f ca="1">IFERROR(__xludf.DUMMYFUNCTION("""COMPUTED_VALUE"""),1)</f>
        <v>1</v>
      </c>
      <c r="C4077" s="7">
        <f ca="1">IFERROR(__xludf.DUMMYFUNCTION("""COMPUTED_VALUE"""),1)</f>
        <v>1</v>
      </c>
      <c r="D4077" s="8">
        <f ca="1">IFERROR(__xludf.DUMMYFUNCTION("""COMPUTED_VALUE"""),1)</f>
        <v>1</v>
      </c>
      <c r="E4077" s="2">
        <f ca="1">IFERROR(__xludf.DUMMYFUNCTION("""COMPUTED_VALUE"""),1)</f>
        <v>1</v>
      </c>
    </row>
    <row r="4078" spans="1:5" ht="13">
      <c r="A4078" s="2" t="str">
        <f ca="1">IFERROR(__xludf.DUMMYFUNCTION("""COMPUTED_VALUE"""),"Jalbert, Pierre")</f>
        <v>Jalbert, Pierre</v>
      </c>
      <c r="B4078" s="3">
        <f ca="1">IFERROR(__xludf.DUMMYFUNCTION("""COMPUTED_VALUE"""),1)</f>
        <v>1</v>
      </c>
      <c r="C4078" s="7">
        <f ca="1">IFERROR(__xludf.DUMMYFUNCTION("""COMPUTED_VALUE"""),1)</f>
        <v>1</v>
      </c>
      <c r="D4078" s="8">
        <f ca="1">IFERROR(__xludf.DUMMYFUNCTION("""COMPUTED_VALUE"""),1)</f>
        <v>1</v>
      </c>
      <c r="E4078" s="2">
        <f ca="1">IFERROR(__xludf.DUMMYFUNCTION("""COMPUTED_VALUE"""),1)</f>
        <v>1</v>
      </c>
    </row>
    <row r="4079" spans="1:5" ht="13">
      <c r="A4079" s="2" t="str">
        <f ca="1">IFERROR(__xludf.DUMMYFUNCTION("""COMPUTED_VALUE"""),"James, Harry")</f>
        <v>James, Harry</v>
      </c>
      <c r="B4079" s="2">
        <f ca="1">IFERROR(__xludf.DUMMYFUNCTION("""COMPUTED_VALUE"""),1)</f>
        <v>1</v>
      </c>
      <c r="C4079" s="2">
        <f ca="1">IFERROR(__xludf.DUMMYFUNCTION("""COMPUTED_VALUE"""),1)</f>
        <v>1</v>
      </c>
      <c r="D4079" s="8">
        <f ca="1">IFERROR(__xludf.DUMMYFUNCTION("""COMPUTED_VALUE"""),5)</f>
        <v>5</v>
      </c>
      <c r="E4079" s="2">
        <f ca="1">IFERROR(__xludf.DUMMYFUNCTION("""COMPUTED_VALUE"""),2)</f>
        <v>2</v>
      </c>
    </row>
    <row r="4080" spans="1:5" ht="13">
      <c r="A4080" s="2" t="str">
        <f ca="1">IFERROR(__xludf.DUMMYFUNCTION("""COMPUTED_VALUE"""),"James, Henry")</f>
        <v>James, Henry</v>
      </c>
      <c r="B4080" s="3">
        <f ca="1">IFERROR(__xludf.DUMMYFUNCTION("""COMPUTED_VALUE"""),1)</f>
        <v>1</v>
      </c>
      <c r="C4080" s="7">
        <f ca="1">IFERROR(__xludf.DUMMYFUNCTION("""COMPUTED_VALUE"""),1)</f>
        <v>1</v>
      </c>
      <c r="D4080" s="8">
        <f ca="1">IFERROR(__xludf.DUMMYFUNCTION("""COMPUTED_VALUE"""),5)</f>
        <v>5</v>
      </c>
      <c r="E4080" s="2">
        <f ca="1">IFERROR(__xludf.DUMMYFUNCTION("""COMPUTED_VALUE"""),2)</f>
        <v>2</v>
      </c>
    </row>
    <row r="4081" spans="1:5" ht="13">
      <c r="A4081" s="2" t="str">
        <f ca="1">IFERROR(__xludf.DUMMYFUNCTION("""COMPUTED_VALUE"""),"James, Mark")</f>
        <v>James, Mark</v>
      </c>
      <c r="B4081" s="3">
        <f ca="1">IFERROR(__xludf.DUMMYFUNCTION("""COMPUTED_VALUE"""),1)</f>
        <v>1</v>
      </c>
      <c r="C4081" s="7">
        <f ca="1">IFERROR(__xludf.DUMMYFUNCTION("""COMPUTED_VALUE"""),1)</f>
        <v>1</v>
      </c>
      <c r="D4081" s="8">
        <f ca="1">IFERROR(__xludf.DUMMYFUNCTION("""COMPUTED_VALUE"""),1)</f>
        <v>1</v>
      </c>
      <c r="E4081" s="2">
        <f ca="1">IFERROR(__xludf.DUMMYFUNCTION("""COMPUTED_VALUE"""),1)</f>
        <v>1</v>
      </c>
    </row>
    <row r="4082" spans="1:5" ht="13">
      <c r="A4082" s="8" t="str">
        <f ca="1">IFERROR(__xludf.DUMMYFUNCTION("""COMPUTED_VALUE"""),"James, Mark C.")</f>
        <v>James, Mark C.</v>
      </c>
      <c r="B4082" s="3">
        <f ca="1">IFERROR(__xludf.DUMMYFUNCTION("""COMPUTED_VALUE"""),1)</f>
        <v>1</v>
      </c>
      <c r="C4082" s="7">
        <f ca="1">IFERROR(__xludf.DUMMYFUNCTION("""COMPUTED_VALUE"""),1)</f>
        <v>1</v>
      </c>
      <c r="D4082" s="8">
        <f ca="1">IFERROR(__xludf.DUMMYFUNCTION("""COMPUTED_VALUE"""),5)</f>
        <v>5</v>
      </c>
      <c r="E4082" s="2">
        <f ca="1">IFERROR(__xludf.DUMMYFUNCTION("""COMPUTED_VALUE"""),2)</f>
        <v>2</v>
      </c>
    </row>
    <row r="4083" spans="1:5" ht="13">
      <c r="A4083" s="8" t="str">
        <f ca="1">IFERROR(__xludf.DUMMYFUNCTION("""COMPUTED_VALUE"""),"James, Philip")</f>
        <v>James, Philip</v>
      </c>
      <c r="B4083" s="3">
        <f ca="1">IFERROR(__xludf.DUMMYFUNCTION("""COMPUTED_VALUE"""),1)</f>
        <v>1</v>
      </c>
      <c r="C4083" s="7">
        <f ca="1">IFERROR(__xludf.DUMMYFUNCTION("""COMPUTED_VALUE"""),1)</f>
        <v>1</v>
      </c>
      <c r="D4083" s="8">
        <f ca="1">IFERROR(__xludf.DUMMYFUNCTION("""COMPUTED_VALUE"""),5)</f>
        <v>5</v>
      </c>
      <c r="E4083" s="2">
        <f ca="1">IFERROR(__xludf.DUMMYFUNCTION("""COMPUTED_VALUE"""),2)</f>
        <v>2</v>
      </c>
    </row>
    <row r="4084" spans="1:5" ht="13">
      <c r="A4084" s="2" t="str">
        <f ca="1">IFERROR(__xludf.DUMMYFUNCTION("""COMPUTED_VALUE"""),"James, Will")</f>
        <v>James, Will</v>
      </c>
      <c r="B4084" s="3">
        <f ca="1">IFERROR(__xludf.DUMMYFUNCTION("""COMPUTED_VALUE"""),1)</f>
        <v>1</v>
      </c>
      <c r="C4084" s="7">
        <f ca="1">IFERROR(__xludf.DUMMYFUNCTION("""COMPUTED_VALUE"""),1)</f>
        <v>1</v>
      </c>
      <c r="D4084" s="8">
        <f ca="1">IFERROR(__xludf.DUMMYFUNCTION("""COMPUTED_VALUE"""),5)</f>
        <v>5</v>
      </c>
      <c r="E4084" s="2">
        <f ca="1">IFERROR(__xludf.DUMMYFUNCTION("""COMPUTED_VALUE"""),2)</f>
        <v>2</v>
      </c>
    </row>
    <row r="4085" spans="1:5" ht="13">
      <c r="A4085" s="2" t="str">
        <f ca="1">IFERROR(__xludf.DUMMYFUNCTION("""COMPUTED_VALUE"""),"Jamison, Steve")</f>
        <v>Jamison, Steve</v>
      </c>
      <c r="B4085" s="3">
        <f ca="1">IFERROR(__xludf.DUMMYFUNCTION("""COMPUTED_VALUE"""),1)</f>
        <v>1</v>
      </c>
      <c r="C4085" s="7">
        <f ca="1">IFERROR(__xludf.DUMMYFUNCTION("""COMPUTED_VALUE"""),1)</f>
        <v>1</v>
      </c>
      <c r="D4085" s="8">
        <f ca="1">IFERROR(__xludf.DUMMYFUNCTION("""COMPUTED_VALUE"""),1)</f>
        <v>1</v>
      </c>
      <c r="E4085" s="2">
        <f ca="1">IFERROR(__xludf.DUMMYFUNCTION("""COMPUTED_VALUE"""),1)</f>
        <v>1</v>
      </c>
    </row>
    <row r="4086" spans="1:5" ht="13">
      <c r="A4086" s="2" t="str">
        <f ca="1">IFERROR(__xludf.DUMMYFUNCTION("""COMPUTED_VALUE"""),"Janacek, Leos")</f>
        <v>Janacek, Leos</v>
      </c>
      <c r="B4086" s="3">
        <f ca="1">IFERROR(__xludf.DUMMYFUNCTION("""COMPUTED_VALUE"""),1)</f>
        <v>1</v>
      </c>
      <c r="C4086" s="7">
        <f ca="1">IFERROR(__xludf.DUMMYFUNCTION("""COMPUTED_VALUE"""),1)</f>
        <v>1</v>
      </c>
      <c r="D4086" s="8">
        <f ca="1">IFERROR(__xludf.DUMMYFUNCTION("""COMPUTED_VALUE"""),5)</f>
        <v>5</v>
      </c>
      <c r="E4086" s="2">
        <f ca="1">IFERROR(__xludf.DUMMYFUNCTION("""COMPUTED_VALUE"""),2)</f>
        <v>2</v>
      </c>
    </row>
    <row r="4087" spans="1:5" ht="13">
      <c r="A4087" s="2" t="str">
        <f ca="1">IFERROR(__xludf.DUMMYFUNCTION("""COMPUTED_VALUE"""),"Janáček, Leoš")</f>
        <v>Janáček, Leoš</v>
      </c>
      <c r="B4087" s="3">
        <f ca="1">IFERROR(__xludf.DUMMYFUNCTION("""COMPUTED_VALUE"""),1)</f>
        <v>1</v>
      </c>
      <c r="C4087" s="7">
        <f ca="1">IFERROR(__xludf.DUMMYFUNCTION("""COMPUTED_VALUE"""),1)</f>
        <v>1</v>
      </c>
      <c r="D4087" s="8">
        <f ca="1">IFERROR(__xludf.DUMMYFUNCTION("""COMPUTED_VALUE"""),5)</f>
        <v>5</v>
      </c>
      <c r="E4087" s="2">
        <f ca="1">IFERROR(__xludf.DUMMYFUNCTION("""COMPUTED_VALUE"""),2)</f>
        <v>2</v>
      </c>
    </row>
    <row r="4088" spans="1:5" ht="13">
      <c r="A4088" s="8" t="str">
        <f ca="1">IFERROR(__xludf.DUMMYFUNCTION("""COMPUTED_VALUE"""),"Janeiro, Ricardo")</f>
        <v>Janeiro, Ricardo</v>
      </c>
      <c r="B4088" s="3">
        <f ca="1">IFERROR(__xludf.DUMMYFUNCTION("""COMPUTED_VALUE"""),1)</f>
        <v>1</v>
      </c>
      <c r="C4088" s="7">
        <f ca="1">IFERROR(__xludf.DUMMYFUNCTION("""COMPUTED_VALUE"""),1)</f>
        <v>1</v>
      </c>
      <c r="D4088" s="8">
        <f ca="1">IFERROR(__xludf.DUMMYFUNCTION("""COMPUTED_VALUE"""),5)</f>
        <v>5</v>
      </c>
      <c r="E4088" s="2">
        <f ca="1">IFERROR(__xludf.DUMMYFUNCTION("""COMPUTED_VALUE"""),2)</f>
        <v>2</v>
      </c>
    </row>
    <row r="4089" spans="1:5" ht="13">
      <c r="A4089" s="2" t="str">
        <f ca="1">IFERROR(__xludf.DUMMYFUNCTION("""COMPUTED_VALUE"""),"Janequin, Clément")</f>
        <v>Janequin, Clément</v>
      </c>
      <c r="B4089" s="2">
        <f ca="1">IFERROR(__xludf.DUMMYFUNCTION("""COMPUTED_VALUE"""),1)</f>
        <v>1</v>
      </c>
      <c r="C4089" s="7">
        <f ca="1">IFERROR(__xludf.DUMMYFUNCTION("""COMPUTED_VALUE"""),1)</f>
        <v>1</v>
      </c>
      <c r="D4089" s="8">
        <f ca="1">IFERROR(__xludf.DUMMYFUNCTION("""COMPUTED_VALUE"""),5)</f>
        <v>5</v>
      </c>
      <c r="E4089" s="2">
        <f ca="1">IFERROR(__xludf.DUMMYFUNCTION("""COMPUTED_VALUE"""),2)</f>
        <v>2</v>
      </c>
    </row>
    <row r="4090" spans="1:5" ht="13">
      <c r="A4090" s="2" t="str">
        <f ca="1">IFERROR(__xludf.DUMMYFUNCTION("""COMPUTED_VALUE"""),"Jannequin, Clemént")</f>
        <v>Jannequin, Clemént</v>
      </c>
      <c r="B4090" s="3">
        <f ca="1">IFERROR(__xludf.DUMMYFUNCTION("""COMPUTED_VALUE"""),1)</f>
        <v>1</v>
      </c>
      <c r="C4090" s="7">
        <f ca="1">IFERROR(__xludf.DUMMYFUNCTION("""COMPUTED_VALUE"""),1)</f>
        <v>1</v>
      </c>
      <c r="D4090" s="8">
        <f ca="1">IFERROR(__xludf.DUMMYFUNCTION("""COMPUTED_VALUE"""),5)</f>
        <v>5</v>
      </c>
      <c r="E4090" s="2">
        <f ca="1">IFERROR(__xludf.DUMMYFUNCTION("""COMPUTED_VALUE"""),2)</f>
        <v>2</v>
      </c>
    </row>
    <row r="4091" spans="1:5" ht="13">
      <c r="A4091" s="2" t="str">
        <f ca="1">IFERROR(__xludf.DUMMYFUNCTION("""COMPUTED_VALUE"""),"János, Vajda")</f>
        <v>János, Vajda</v>
      </c>
      <c r="B4091" s="2">
        <f ca="1">IFERROR(__xludf.DUMMYFUNCTION("""COMPUTED_VALUE"""),1)</f>
        <v>1</v>
      </c>
      <c r="C4091" s="7">
        <f ca="1">IFERROR(__xludf.DUMMYFUNCTION("""COMPUTED_VALUE"""),1)</f>
        <v>1</v>
      </c>
      <c r="D4091" s="8">
        <f ca="1">IFERROR(__xludf.DUMMYFUNCTION("""COMPUTED_VALUE"""),1)</f>
        <v>1</v>
      </c>
      <c r="E4091" s="2">
        <f ca="1">IFERROR(__xludf.DUMMYFUNCTION("""COMPUTED_VALUE"""),1)</f>
        <v>1</v>
      </c>
    </row>
    <row r="4092" spans="1:5" ht="13">
      <c r="A4092" s="8" t="str">
        <f ca="1">IFERROR(__xludf.DUMMYFUNCTION("""COMPUTED_VALUE"""),"Janowski, Max")</f>
        <v>Janowski, Max</v>
      </c>
      <c r="B4092" s="3">
        <f ca="1">IFERROR(__xludf.DUMMYFUNCTION("""COMPUTED_VALUE"""),1)</f>
        <v>1</v>
      </c>
      <c r="C4092" s="7">
        <f ca="1">IFERROR(__xludf.DUMMYFUNCTION("""COMPUTED_VALUE"""),1)</f>
        <v>1</v>
      </c>
      <c r="D4092" s="8">
        <f ca="1">IFERROR(__xludf.DUMMYFUNCTION("""COMPUTED_VALUE"""),5)</f>
        <v>5</v>
      </c>
      <c r="E4092" s="2">
        <f ca="1">IFERROR(__xludf.DUMMYFUNCTION("""COMPUTED_VALUE"""),2)</f>
        <v>2</v>
      </c>
    </row>
    <row r="4093" spans="1:5" ht="13">
      <c r="A4093" s="2" t="str">
        <f ca="1">IFERROR(__xludf.DUMMYFUNCTION("""COMPUTED_VALUE"""),"Jansons, Andrejs")</f>
        <v>Jansons, Andrejs</v>
      </c>
      <c r="B4093" s="3">
        <f ca="1">IFERROR(__xludf.DUMMYFUNCTION("""COMPUTED_VALUE"""),1)</f>
        <v>1</v>
      </c>
      <c r="C4093" s="7">
        <f ca="1">IFERROR(__xludf.DUMMYFUNCTION("""COMPUTED_VALUE"""),1)</f>
        <v>1</v>
      </c>
      <c r="D4093" s="8">
        <f ca="1">IFERROR(__xludf.DUMMYFUNCTION("""COMPUTED_VALUE"""),5)</f>
        <v>5</v>
      </c>
      <c r="E4093" s="2">
        <f ca="1">IFERROR(__xludf.DUMMYFUNCTION("""COMPUTED_VALUE"""),2)</f>
        <v>2</v>
      </c>
    </row>
    <row r="4094" spans="1:5" ht="13">
      <c r="A4094" s="2" t="str">
        <f ca="1">IFERROR(__xludf.DUMMYFUNCTION("""COMPUTED_VALUE"""),"Janssen, Christiaan")</f>
        <v>Janssen, Christiaan</v>
      </c>
      <c r="B4094" s="3">
        <f ca="1">IFERROR(__xludf.DUMMYFUNCTION("""COMPUTED_VALUE"""),1)</f>
        <v>1</v>
      </c>
      <c r="C4094" s="7">
        <f ca="1">IFERROR(__xludf.DUMMYFUNCTION("""COMPUTED_VALUE"""),1)</f>
        <v>1</v>
      </c>
      <c r="D4094" s="8">
        <f ca="1">IFERROR(__xludf.DUMMYFUNCTION("""COMPUTED_VALUE"""),1)</f>
        <v>1</v>
      </c>
      <c r="E4094" s="2">
        <f ca="1">IFERROR(__xludf.DUMMYFUNCTION("""COMPUTED_VALUE"""),1)</f>
        <v>1</v>
      </c>
    </row>
    <row r="4095" spans="1:5" ht="13">
      <c r="A4095" s="2" t="str">
        <f ca="1">IFERROR(__xludf.DUMMYFUNCTION("""COMPUTED_VALUE"""),"Janssen, Harrie")</f>
        <v>Janssen, Harrie</v>
      </c>
      <c r="B4095" s="2">
        <f ca="1">IFERROR(__xludf.DUMMYFUNCTION("""COMPUTED_VALUE"""),1)</f>
        <v>1</v>
      </c>
      <c r="C4095" s="2">
        <f ca="1">IFERROR(__xludf.DUMMYFUNCTION("""COMPUTED_VALUE"""),1)</f>
        <v>1</v>
      </c>
      <c r="D4095" s="8">
        <f ca="1">IFERROR(__xludf.DUMMYFUNCTION("""COMPUTED_VALUE"""),1)</f>
        <v>1</v>
      </c>
      <c r="E4095" s="2">
        <f ca="1">IFERROR(__xludf.DUMMYFUNCTION("""COMPUTED_VALUE"""),1)</f>
        <v>1</v>
      </c>
    </row>
    <row r="4096" spans="1:5" ht="13">
      <c r="A4096" s="2" t="str">
        <f ca="1">IFERROR(__xludf.DUMMYFUNCTION("""COMPUTED_VALUE"""),"Jansson, Lars")</f>
        <v>Jansson, Lars</v>
      </c>
      <c r="B4096" s="2">
        <f ca="1">IFERROR(__xludf.DUMMYFUNCTION("""COMPUTED_VALUE"""),1)</f>
        <v>1</v>
      </c>
      <c r="C4096" s="7">
        <f ca="1">IFERROR(__xludf.DUMMYFUNCTION("""COMPUTED_VALUE"""),1)</f>
        <v>1</v>
      </c>
      <c r="D4096" s="8">
        <f ca="1">IFERROR(__xludf.DUMMYFUNCTION("""COMPUTED_VALUE"""),1)</f>
        <v>1</v>
      </c>
      <c r="E4096" s="2">
        <f ca="1">IFERROR(__xludf.DUMMYFUNCTION("""COMPUTED_VALUE"""),1)</f>
        <v>1</v>
      </c>
    </row>
    <row r="4097" spans="1:5" ht="13">
      <c r="A4097" s="2" t="str">
        <f ca="1">IFERROR(__xludf.DUMMYFUNCTION("""COMPUTED_VALUE"""),"Jaquith, Austin")</f>
        <v>Jaquith, Austin</v>
      </c>
      <c r="B4097" s="3">
        <f ca="1">IFERROR(__xludf.DUMMYFUNCTION("""COMPUTED_VALUE"""),1)</f>
        <v>1</v>
      </c>
      <c r="C4097" s="7">
        <f ca="1">IFERROR(__xludf.DUMMYFUNCTION("""COMPUTED_VALUE"""),1)</f>
        <v>1</v>
      </c>
      <c r="D4097" s="8">
        <f ca="1">IFERROR(__xludf.DUMMYFUNCTION("""COMPUTED_VALUE"""),1)</f>
        <v>1</v>
      </c>
      <c r="E4097" s="2">
        <f ca="1">IFERROR(__xludf.DUMMYFUNCTION("""COMPUTED_VALUE"""),1)</f>
        <v>1</v>
      </c>
    </row>
    <row r="4098" spans="1:5" ht="13">
      <c r="A4098" s="2" t="str">
        <f ca="1">IFERROR(__xludf.DUMMYFUNCTION("""COMPUTED_VALUE"""),"Jaquith, Austin K.")</f>
        <v>Jaquith, Austin K.</v>
      </c>
      <c r="B4098" s="3">
        <f ca="1">IFERROR(__xludf.DUMMYFUNCTION("""COMPUTED_VALUE"""),1)</f>
        <v>1</v>
      </c>
      <c r="C4098" s="7">
        <f ca="1">IFERROR(__xludf.DUMMYFUNCTION("""COMPUTED_VALUE"""),1)</f>
        <v>1</v>
      </c>
      <c r="D4098" s="8">
        <f ca="1">IFERROR(__xludf.DUMMYFUNCTION("""COMPUTED_VALUE"""),1)</f>
        <v>1</v>
      </c>
      <c r="E4098" s="2">
        <f ca="1">IFERROR(__xludf.DUMMYFUNCTION("""COMPUTED_VALUE"""),1)</f>
        <v>1</v>
      </c>
    </row>
    <row r="4099" spans="1:5" ht="13">
      <c r="A4099" s="2" t="str">
        <f ca="1">IFERROR(__xludf.DUMMYFUNCTION("""COMPUTED_VALUE"""),"Jarda, Tudor")</f>
        <v>Jarda, Tudor</v>
      </c>
      <c r="B4099" s="3">
        <f ca="1">IFERROR(__xludf.DUMMYFUNCTION("""COMPUTED_VALUE"""),1)</f>
        <v>1</v>
      </c>
      <c r="C4099" s="7">
        <f ca="1">IFERROR(__xludf.DUMMYFUNCTION("""COMPUTED_VALUE"""),1)</f>
        <v>1</v>
      </c>
      <c r="D4099" s="8">
        <f ca="1">IFERROR(__xludf.DUMMYFUNCTION("""COMPUTED_VALUE"""),5)</f>
        <v>5</v>
      </c>
      <c r="E4099" s="2">
        <f ca="1">IFERROR(__xludf.DUMMYFUNCTION("""COMPUTED_VALUE"""),2)</f>
        <v>2</v>
      </c>
    </row>
    <row r="4100" spans="1:5" ht="13">
      <c r="A4100" s="8" t="str">
        <f ca="1">IFERROR(__xludf.DUMMYFUNCTION("""COMPUTED_VALUE"""),"Járdányi, Pál")</f>
        <v>Járdányi, Pál</v>
      </c>
      <c r="B4100" s="3">
        <f ca="1">IFERROR(__xludf.DUMMYFUNCTION("""COMPUTED_VALUE"""),1)</f>
        <v>1</v>
      </c>
      <c r="C4100" s="7">
        <f ca="1">IFERROR(__xludf.DUMMYFUNCTION("""COMPUTED_VALUE"""),1)</f>
        <v>1</v>
      </c>
      <c r="D4100" s="8">
        <f ca="1">IFERROR(__xludf.DUMMYFUNCTION("""COMPUTED_VALUE"""),5)</f>
        <v>5</v>
      </c>
      <c r="E4100" s="2">
        <f ca="1">IFERROR(__xludf.DUMMYFUNCTION("""COMPUTED_VALUE"""),2)</f>
        <v>2</v>
      </c>
    </row>
    <row r="4101" spans="1:5" ht="13">
      <c r="A4101" s="2" t="str">
        <f ca="1">IFERROR(__xludf.DUMMYFUNCTION("""COMPUTED_VALUE"""),"Jarman, Paul")</f>
        <v>Jarman, Paul</v>
      </c>
      <c r="B4101" s="3">
        <f ca="1">IFERROR(__xludf.DUMMYFUNCTION("""COMPUTED_VALUE"""),1)</f>
        <v>1</v>
      </c>
      <c r="C4101" s="7">
        <f ca="1">IFERROR(__xludf.DUMMYFUNCTION("""COMPUTED_VALUE"""),1)</f>
        <v>1</v>
      </c>
      <c r="D4101" s="8">
        <f ca="1">IFERROR(__xludf.DUMMYFUNCTION("""COMPUTED_VALUE"""),1)</f>
        <v>1</v>
      </c>
      <c r="E4101" s="2">
        <f ca="1">IFERROR(__xludf.DUMMYFUNCTION("""COMPUTED_VALUE"""),1)</f>
        <v>1</v>
      </c>
    </row>
    <row r="4102" spans="1:5" ht="13">
      <c r="A4102" s="2" t="str">
        <f ca="1">IFERROR(__xludf.DUMMYFUNCTION("""COMPUTED_VALUE"""),"Jarnefelt, Armas")</f>
        <v>Jarnefelt, Armas</v>
      </c>
      <c r="B4102" s="3">
        <f ca="1">IFERROR(__xludf.DUMMYFUNCTION("""COMPUTED_VALUE"""),1)</f>
        <v>1</v>
      </c>
      <c r="C4102" s="7">
        <f ca="1">IFERROR(__xludf.DUMMYFUNCTION("""COMPUTED_VALUE"""),1)</f>
        <v>1</v>
      </c>
      <c r="D4102" s="8">
        <f ca="1">IFERROR(__xludf.DUMMYFUNCTION("""COMPUTED_VALUE"""),5)</f>
        <v>5</v>
      </c>
      <c r="E4102" s="2">
        <f ca="1">IFERROR(__xludf.DUMMYFUNCTION("""COMPUTED_VALUE"""),2)</f>
        <v>2</v>
      </c>
    </row>
    <row r="4103" spans="1:5" ht="13">
      <c r="A4103" s="8" t="str">
        <f ca="1">IFERROR(__xludf.DUMMYFUNCTION("""COMPUTED_VALUE"""),"Järnefelt, Armas")</f>
        <v>Järnefelt, Armas</v>
      </c>
      <c r="B4103" s="3">
        <f ca="1">IFERROR(__xludf.DUMMYFUNCTION("""COMPUTED_VALUE"""),1)</f>
        <v>1</v>
      </c>
      <c r="C4103" s="7">
        <f ca="1">IFERROR(__xludf.DUMMYFUNCTION("""COMPUTED_VALUE"""),1)</f>
        <v>1</v>
      </c>
      <c r="D4103" s="8">
        <f ca="1">IFERROR(__xludf.DUMMYFUNCTION("""COMPUTED_VALUE"""),5)</f>
        <v>5</v>
      </c>
      <c r="E4103" s="2">
        <f ca="1">IFERROR(__xludf.DUMMYFUNCTION("""COMPUTED_VALUE"""),2)</f>
        <v>2</v>
      </c>
    </row>
    <row r="4104" spans="1:5" ht="13">
      <c r="A4104" s="2" t="str">
        <f ca="1">IFERROR(__xludf.DUMMYFUNCTION("""COMPUTED_VALUE"""),"Jarre, Maurice")</f>
        <v>Jarre, Maurice</v>
      </c>
      <c r="B4104" s="3">
        <f ca="1">IFERROR(__xludf.DUMMYFUNCTION("""COMPUTED_VALUE"""),1)</f>
        <v>1</v>
      </c>
      <c r="C4104" s="7">
        <f ca="1">IFERROR(__xludf.DUMMYFUNCTION("""COMPUTED_VALUE"""),1)</f>
        <v>1</v>
      </c>
      <c r="D4104" s="8">
        <f ca="1">IFERROR(__xludf.DUMMYFUNCTION("""COMPUTED_VALUE"""),5)</f>
        <v>5</v>
      </c>
      <c r="E4104" s="2">
        <f ca="1">IFERROR(__xludf.DUMMYFUNCTION("""COMPUTED_VALUE"""),2)</f>
        <v>2</v>
      </c>
    </row>
    <row r="4105" spans="1:5" ht="13">
      <c r="A4105" s="2" t="str">
        <f ca="1">IFERROR(__xludf.DUMMYFUNCTION("""COMPUTED_VALUE"""),"Jarrell, Michael")</f>
        <v>Jarrell, Michael</v>
      </c>
      <c r="B4105" s="3">
        <f ca="1">IFERROR(__xludf.DUMMYFUNCTION("""COMPUTED_VALUE"""),1)</f>
        <v>1</v>
      </c>
      <c r="C4105" s="7">
        <f ca="1">IFERROR(__xludf.DUMMYFUNCTION("""COMPUTED_VALUE"""),1)</f>
        <v>1</v>
      </c>
      <c r="D4105" s="8">
        <f ca="1">IFERROR(__xludf.DUMMYFUNCTION("""COMPUTED_VALUE"""),1)</f>
        <v>1</v>
      </c>
      <c r="E4105" s="2">
        <f ca="1">IFERROR(__xludf.DUMMYFUNCTION("""COMPUTED_VALUE"""),1)</f>
        <v>1</v>
      </c>
    </row>
    <row r="4106" spans="1:5" ht="13">
      <c r="A4106" s="2" t="str">
        <f ca="1">IFERROR(__xludf.DUMMYFUNCTION("""COMPUTED_VALUE"""),"Jarrett, Jack")</f>
        <v>Jarrett, Jack</v>
      </c>
      <c r="B4106" s="2">
        <f ca="1">IFERROR(__xludf.DUMMYFUNCTION("""COMPUTED_VALUE"""),1)</f>
        <v>1</v>
      </c>
      <c r="C4106" s="7">
        <f ca="1">IFERROR(__xludf.DUMMYFUNCTION("""COMPUTED_VALUE"""),1)</f>
        <v>1</v>
      </c>
      <c r="D4106" s="8">
        <f ca="1">IFERROR(__xludf.DUMMYFUNCTION("""COMPUTED_VALUE"""),5)</f>
        <v>5</v>
      </c>
      <c r="E4106" s="2">
        <f ca="1">IFERROR(__xludf.DUMMYFUNCTION("""COMPUTED_VALUE"""),2)</f>
        <v>2</v>
      </c>
    </row>
    <row r="4107" spans="1:5" ht="13">
      <c r="A4107" s="2" t="str">
        <f ca="1">IFERROR(__xludf.DUMMYFUNCTION("""COMPUTED_VALUE"""),"Jarrett, Keith")</f>
        <v>Jarrett, Keith</v>
      </c>
      <c r="B4107" s="3">
        <f ca="1">IFERROR(__xludf.DUMMYFUNCTION("""COMPUTED_VALUE"""),1)</f>
        <v>1</v>
      </c>
      <c r="C4107" s="7">
        <f ca="1">IFERROR(__xludf.DUMMYFUNCTION("""COMPUTED_VALUE"""),1)</f>
        <v>1</v>
      </c>
      <c r="D4107" s="8">
        <f ca="1">IFERROR(__xludf.DUMMYFUNCTION("""COMPUTED_VALUE"""),1)</f>
        <v>1</v>
      </c>
      <c r="E4107" s="2">
        <f ca="1">IFERROR(__xludf.DUMMYFUNCTION("""COMPUTED_VALUE"""),1)</f>
        <v>1</v>
      </c>
    </row>
    <row r="4108" spans="1:5" ht="13">
      <c r="A4108" s="2" t="str">
        <f ca="1">IFERROR(__xludf.DUMMYFUNCTION("""COMPUTED_VALUE"""),"Jarvis, Jeff")</f>
        <v>Jarvis, Jeff</v>
      </c>
      <c r="B4108" s="3">
        <f ca="1">IFERROR(__xludf.DUMMYFUNCTION("""COMPUTED_VALUE"""),1)</f>
        <v>1</v>
      </c>
      <c r="C4108" s="7">
        <f ca="1">IFERROR(__xludf.DUMMYFUNCTION("""COMPUTED_VALUE"""),1)</f>
        <v>1</v>
      </c>
      <c r="D4108" s="8">
        <f ca="1">IFERROR(__xludf.DUMMYFUNCTION("""COMPUTED_VALUE"""),1)</f>
        <v>1</v>
      </c>
      <c r="E4108" s="2">
        <f ca="1">IFERROR(__xludf.DUMMYFUNCTION("""COMPUTED_VALUE"""),1)</f>
        <v>1</v>
      </c>
    </row>
    <row r="4109" spans="1:5" ht="13">
      <c r="A4109" s="2" t="str">
        <f ca="1">IFERROR(__xludf.DUMMYFUNCTION("""COMPUTED_VALUE"""),"Jarvlepp, Jan")</f>
        <v>Jarvlepp, Jan</v>
      </c>
      <c r="B4109" s="3">
        <f ca="1">IFERROR(__xludf.DUMMYFUNCTION("""COMPUTED_VALUE"""),1)</f>
        <v>1</v>
      </c>
      <c r="C4109" s="7">
        <f ca="1">IFERROR(__xludf.DUMMYFUNCTION("""COMPUTED_VALUE"""),1)</f>
        <v>1</v>
      </c>
      <c r="D4109" s="8">
        <f ca="1">IFERROR(__xludf.DUMMYFUNCTION("""COMPUTED_VALUE"""),1)</f>
        <v>1</v>
      </c>
      <c r="E4109" s="2">
        <f ca="1">IFERROR(__xludf.DUMMYFUNCTION("""COMPUTED_VALUE"""),1)</f>
        <v>1</v>
      </c>
    </row>
    <row r="4110" spans="1:5" ht="13">
      <c r="A4110" s="2" t="str">
        <f ca="1">IFERROR(__xludf.DUMMYFUNCTION("""COMPUTED_VALUE"""),"Jasiński, Marek")</f>
        <v>Jasiński, Marek</v>
      </c>
      <c r="B4110" s="3">
        <f ca="1">IFERROR(__xludf.DUMMYFUNCTION("""COMPUTED_VALUE"""),1)</f>
        <v>1</v>
      </c>
      <c r="C4110" s="7">
        <f ca="1">IFERROR(__xludf.DUMMYFUNCTION("""COMPUTED_VALUE"""),1)</f>
        <v>1</v>
      </c>
      <c r="D4110" s="8">
        <f ca="1">IFERROR(__xludf.DUMMYFUNCTION("""COMPUTED_VALUE"""),5)</f>
        <v>5</v>
      </c>
      <c r="E4110" s="2">
        <f ca="1">IFERROR(__xludf.DUMMYFUNCTION("""COMPUTED_VALUE"""),2)</f>
        <v>2</v>
      </c>
    </row>
    <row r="4111" spans="1:5" ht="13">
      <c r="A4111" s="2" t="str">
        <f ca="1">IFERROR(__xludf.DUMMYFUNCTION("""COMPUTED_VALUE"""),"Jasinski, Mark")</f>
        <v>Jasinski, Mark</v>
      </c>
      <c r="B4111" s="3">
        <f ca="1">IFERROR(__xludf.DUMMYFUNCTION("""COMPUTED_VALUE"""),1)</f>
        <v>1</v>
      </c>
      <c r="C4111" s="7">
        <f ca="1">IFERROR(__xludf.DUMMYFUNCTION("""COMPUTED_VALUE"""),1)</f>
        <v>1</v>
      </c>
      <c r="D4111" s="8">
        <f ca="1">IFERROR(__xludf.DUMMYFUNCTION("""COMPUTED_VALUE"""),1)</f>
        <v>1</v>
      </c>
      <c r="E4111" s="2">
        <f ca="1">IFERROR(__xludf.DUMMYFUNCTION("""COMPUTED_VALUE"""),1)</f>
        <v>1</v>
      </c>
    </row>
    <row r="4112" spans="1:5" ht="13">
      <c r="A4112" s="2" t="str">
        <f ca="1">IFERROR(__xludf.DUMMYFUNCTION("""COMPUTED_VALUE"""),"Jasperse, Greg")</f>
        <v>Jasperse, Greg</v>
      </c>
      <c r="B4112" s="3">
        <f ca="1">IFERROR(__xludf.DUMMYFUNCTION("""COMPUTED_VALUE"""),1)</f>
        <v>1</v>
      </c>
      <c r="C4112" s="7">
        <f ca="1">IFERROR(__xludf.DUMMYFUNCTION("""COMPUTED_VALUE"""),1)</f>
        <v>1</v>
      </c>
      <c r="D4112" s="8">
        <f ca="1">IFERROR(__xludf.DUMMYFUNCTION("""COMPUTED_VALUE"""),1)</f>
        <v>1</v>
      </c>
      <c r="E4112" s="2">
        <f ca="1">IFERROR(__xludf.DUMMYFUNCTION("""COMPUTED_VALUE"""),1)</f>
        <v>1</v>
      </c>
    </row>
    <row r="4113" spans="1:5" ht="13">
      <c r="A4113" s="2" t="str">
        <f ca="1">IFERROR(__xludf.DUMMYFUNCTION("""COMPUTED_VALUE"""),"Jaudm, Franz Josef")</f>
        <v>Jaudm, Franz Josef</v>
      </c>
      <c r="B4113" s="3">
        <f ca="1">IFERROR(__xludf.DUMMYFUNCTION("""COMPUTED_VALUE"""),1)</f>
        <v>1</v>
      </c>
      <c r="C4113" s="7">
        <f ca="1">IFERROR(__xludf.DUMMYFUNCTION("""COMPUTED_VALUE"""),1)</f>
        <v>1</v>
      </c>
      <c r="D4113" s="8">
        <f ca="1">IFERROR(__xludf.DUMMYFUNCTION("""COMPUTED_VALUE"""),5)</f>
        <v>5</v>
      </c>
      <c r="E4113" s="2">
        <f ca="1">IFERROR(__xludf.DUMMYFUNCTION("""COMPUTED_VALUE"""),2)</f>
        <v>2</v>
      </c>
    </row>
    <row r="4114" spans="1:5" ht="13">
      <c r="A4114" s="2" t="str">
        <f ca="1">IFERROR(__xludf.DUMMYFUNCTION("""COMPUTED_VALUE"""),"Javaloyes, Alfredo")</f>
        <v>Javaloyes, Alfredo</v>
      </c>
      <c r="B4114" s="3">
        <f ca="1">IFERROR(__xludf.DUMMYFUNCTION("""COMPUTED_VALUE"""),1)</f>
        <v>1</v>
      </c>
      <c r="C4114" s="7">
        <f ca="1">IFERROR(__xludf.DUMMYFUNCTION("""COMPUTED_VALUE"""),1)</f>
        <v>1</v>
      </c>
      <c r="D4114" s="8">
        <f ca="1">IFERROR(__xludf.DUMMYFUNCTION("""COMPUTED_VALUE"""),5)</f>
        <v>5</v>
      </c>
      <c r="E4114" s="2">
        <f ca="1">IFERROR(__xludf.DUMMYFUNCTION("""COMPUTED_VALUE"""),2)</f>
        <v>2</v>
      </c>
    </row>
    <row r="4115" spans="1:5" ht="13">
      <c r="A4115" s="8" t="str">
        <f ca="1">IFERROR(__xludf.DUMMYFUNCTION("""COMPUTED_VALUE"""),"Javerbaum, David / Schlesinger, Adam")</f>
        <v>Javerbaum, David / Schlesinger, Adam</v>
      </c>
      <c r="B4115" s="3">
        <f ca="1">IFERROR(__xludf.DUMMYFUNCTION("""COMPUTED_VALUE"""),1)</f>
        <v>1</v>
      </c>
      <c r="C4115" s="7">
        <f ca="1">IFERROR(__xludf.DUMMYFUNCTION("""COMPUTED_VALUE"""),1)</f>
        <v>1</v>
      </c>
      <c r="D4115" s="8">
        <f ca="1">IFERROR(__xludf.DUMMYFUNCTION("""COMPUTED_VALUE"""),1)</f>
        <v>1</v>
      </c>
      <c r="E4115" s="2">
        <f ca="1">IFERROR(__xludf.DUMMYFUNCTION("""COMPUTED_VALUE"""),1)</f>
        <v>1</v>
      </c>
    </row>
    <row r="4116" spans="1:5" ht="13">
      <c r="A4116" s="2" t="str">
        <f ca="1">IFERROR(__xludf.DUMMYFUNCTION("""COMPUTED_VALUE"""),"Javits, Joan / Springer, Philip")</f>
        <v>Javits, Joan / Springer, Philip</v>
      </c>
      <c r="B4116" s="2">
        <f ca="1">IFERROR(__xludf.DUMMYFUNCTION("""COMPUTED_VALUE"""),1)</f>
        <v>1</v>
      </c>
      <c r="C4116" s="7">
        <f ca="1">IFERROR(__xludf.DUMMYFUNCTION("""COMPUTED_VALUE"""),1)</f>
        <v>1</v>
      </c>
      <c r="D4116" s="8">
        <f ca="1">IFERROR(__xludf.DUMMYFUNCTION("""COMPUTED_VALUE"""),1)</f>
        <v>1</v>
      </c>
      <c r="E4116" s="2">
        <f ca="1">IFERROR(__xludf.DUMMYFUNCTION("""COMPUTED_VALUE"""),1)</f>
        <v>1</v>
      </c>
    </row>
    <row r="4117" spans="1:5" ht="13">
      <c r="A4117" s="2" t="str">
        <f ca="1">IFERROR(__xludf.DUMMYFUNCTION("""COMPUTED_VALUE"""),"Jaworski, Jonathan")</f>
        <v>Jaworski, Jonathan</v>
      </c>
      <c r="B4117" s="3">
        <f ca="1">IFERROR(__xludf.DUMMYFUNCTION("""COMPUTED_VALUE"""),1)</f>
        <v>1</v>
      </c>
      <c r="C4117" s="7">
        <f ca="1">IFERROR(__xludf.DUMMYFUNCTION("""COMPUTED_VALUE"""),1)</f>
        <v>1</v>
      </c>
      <c r="D4117" s="8">
        <f ca="1">IFERROR(__xludf.DUMMYFUNCTION("""COMPUTED_VALUE"""),1)</f>
        <v>1</v>
      </c>
      <c r="E4117" s="2">
        <f ca="1">IFERROR(__xludf.DUMMYFUNCTION("""COMPUTED_VALUE"""),1)</f>
        <v>1</v>
      </c>
    </row>
    <row r="4118" spans="1:5" ht="13">
      <c r="A4118" s="2" t="str">
        <f ca="1">IFERROR(__xludf.DUMMYFUNCTION("""COMPUTED_VALUE"""),"Jeanbourquin, Marc")</f>
        <v>Jeanbourquin, Marc</v>
      </c>
      <c r="B4118" s="3">
        <f ca="1">IFERROR(__xludf.DUMMYFUNCTION("""COMPUTED_VALUE"""),1)</f>
        <v>1</v>
      </c>
      <c r="C4118" s="7">
        <f ca="1">IFERROR(__xludf.DUMMYFUNCTION("""COMPUTED_VALUE"""),1)</f>
        <v>1</v>
      </c>
      <c r="D4118" s="8">
        <f ca="1">IFERROR(__xludf.DUMMYFUNCTION("""COMPUTED_VALUE"""),1)</f>
        <v>1</v>
      </c>
      <c r="E4118" s="2">
        <f ca="1">IFERROR(__xludf.DUMMYFUNCTION("""COMPUTED_VALUE"""),1)</f>
        <v>1</v>
      </c>
    </row>
    <row r="4119" spans="1:5" ht="13">
      <c r="A4119" s="2" t="str">
        <f ca="1">IFERROR(__xludf.DUMMYFUNCTION("""COMPUTED_VALUE"""),"Jeanjean, Faustin")</f>
        <v>Jeanjean, Faustin</v>
      </c>
      <c r="B4119" s="3">
        <f ca="1">IFERROR(__xludf.DUMMYFUNCTION("""COMPUTED_VALUE"""),1)</f>
        <v>1</v>
      </c>
      <c r="C4119" s="7">
        <f ca="1">IFERROR(__xludf.DUMMYFUNCTION("""COMPUTED_VALUE"""),1)</f>
        <v>1</v>
      </c>
      <c r="D4119" s="8">
        <f ca="1">IFERROR(__xludf.DUMMYFUNCTION("""COMPUTED_VALUE"""),5)</f>
        <v>5</v>
      </c>
      <c r="E4119" s="2">
        <f ca="1">IFERROR(__xludf.DUMMYFUNCTION("""COMPUTED_VALUE"""),2)</f>
        <v>2</v>
      </c>
    </row>
    <row r="4120" spans="1:5" ht="13">
      <c r="A4120" s="2" t="str">
        <f ca="1">IFERROR(__xludf.DUMMYFUNCTION("""COMPUTED_VALUE"""),"Jeanjean, Faustin et Maurice")</f>
        <v>Jeanjean, Faustin et Maurice</v>
      </c>
      <c r="B4120" s="3">
        <f ca="1">IFERROR(__xludf.DUMMYFUNCTION("""COMPUTED_VALUE"""),1)</f>
        <v>1</v>
      </c>
      <c r="C4120" s="7">
        <f ca="1">IFERROR(__xludf.DUMMYFUNCTION("""COMPUTED_VALUE"""),1)</f>
        <v>1</v>
      </c>
      <c r="D4120" s="8">
        <f ca="1">IFERROR(__xludf.DUMMYFUNCTION("""COMPUTED_VALUE"""),5)</f>
        <v>5</v>
      </c>
      <c r="E4120" s="2">
        <f ca="1">IFERROR(__xludf.DUMMYFUNCTION("""COMPUTED_VALUE"""),2)</f>
        <v>2</v>
      </c>
    </row>
    <row r="4121" spans="1:5" ht="13">
      <c r="A4121" s="2" t="str">
        <f ca="1">IFERROR(__xludf.DUMMYFUNCTION("""COMPUTED_VALUE"""),"Jeanjean, Paul")</f>
        <v>Jeanjean, Paul</v>
      </c>
      <c r="B4121" s="3">
        <f ca="1">IFERROR(__xludf.DUMMYFUNCTION("""COMPUTED_VALUE"""),1)</f>
        <v>1</v>
      </c>
      <c r="C4121" s="7">
        <f ca="1">IFERROR(__xludf.DUMMYFUNCTION("""COMPUTED_VALUE"""),1)</f>
        <v>1</v>
      </c>
      <c r="D4121" s="8">
        <f ca="1">IFERROR(__xludf.DUMMYFUNCTION("""COMPUTED_VALUE"""),5)</f>
        <v>5</v>
      </c>
      <c r="E4121" s="2">
        <f ca="1">IFERROR(__xludf.DUMMYFUNCTION("""COMPUTED_VALUE"""),2)</f>
        <v>2</v>
      </c>
    </row>
    <row r="4122" spans="1:5" ht="13">
      <c r="A4122" s="2" t="str">
        <f ca="1">IFERROR(__xludf.DUMMYFUNCTION("""COMPUTED_VALUE"""),"Jedwabnik, Michael")</f>
        <v>Jedwabnik, Michael</v>
      </c>
      <c r="B4122" s="3">
        <f ca="1">IFERROR(__xludf.DUMMYFUNCTION("""COMPUTED_VALUE"""),1)</f>
        <v>1</v>
      </c>
      <c r="C4122" s="7">
        <f ca="1">IFERROR(__xludf.DUMMYFUNCTION("""COMPUTED_VALUE"""),1)</f>
        <v>1</v>
      </c>
      <c r="D4122" s="8">
        <f ca="1">IFERROR(__xludf.DUMMYFUNCTION("""COMPUTED_VALUE"""),1)</f>
        <v>1</v>
      </c>
      <c r="E4122" s="2">
        <f ca="1">IFERROR(__xludf.DUMMYFUNCTION("""COMPUTED_VALUE"""),1)</f>
        <v>1</v>
      </c>
    </row>
    <row r="4123" spans="1:5" ht="13">
      <c r="A4123" s="2" t="str">
        <f ca="1">IFERROR(__xludf.DUMMYFUNCTION("""COMPUTED_VALUE"""),"Jeep, Johann")</f>
        <v>Jeep, Johann</v>
      </c>
      <c r="B4123" s="3">
        <f ca="1">IFERROR(__xludf.DUMMYFUNCTION("""COMPUTED_VALUE"""),1)</f>
        <v>1</v>
      </c>
      <c r="C4123" s="7">
        <f ca="1">IFERROR(__xludf.DUMMYFUNCTION("""COMPUTED_VALUE"""),1)</f>
        <v>1</v>
      </c>
      <c r="D4123" s="8">
        <f ca="1">IFERROR(__xludf.DUMMYFUNCTION("""COMPUTED_VALUE"""),5)</f>
        <v>5</v>
      </c>
      <c r="E4123" s="2">
        <f ca="1">IFERROR(__xludf.DUMMYFUNCTION("""COMPUTED_VALUE"""),2)</f>
        <v>2</v>
      </c>
    </row>
    <row r="4124" spans="1:5" ht="13">
      <c r="A4124" s="8" t="str">
        <f ca="1">IFERROR(__xludf.DUMMYFUNCTION("""COMPUTED_VALUE"""),"Jeffers, Ron")</f>
        <v>Jeffers, Ron</v>
      </c>
      <c r="B4124" s="3">
        <f ca="1">IFERROR(__xludf.DUMMYFUNCTION("""COMPUTED_VALUE"""),1)</f>
        <v>1</v>
      </c>
      <c r="C4124" s="7">
        <f ca="1">IFERROR(__xludf.DUMMYFUNCTION("""COMPUTED_VALUE"""),1)</f>
        <v>1</v>
      </c>
      <c r="D4124" s="8">
        <f ca="1">IFERROR(__xludf.DUMMYFUNCTION("""COMPUTED_VALUE"""),1)</f>
        <v>1</v>
      </c>
      <c r="E4124" s="2">
        <f ca="1">IFERROR(__xludf.DUMMYFUNCTION("""COMPUTED_VALUE"""),1)</f>
        <v>1</v>
      </c>
    </row>
    <row r="4125" spans="1:5" ht="13">
      <c r="A4125" s="2" t="str">
        <f ca="1">IFERROR(__xludf.DUMMYFUNCTION("""COMPUTED_VALUE"""),"Jemain, Joseph")</f>
        <v>Jemain, Joseph</v>
      </c>
      <c r="B4125" s="3">
        <f ca="1">IFERROR(__xludf.DUMMYFUNCTION("""COMPUTED_VALUE"""),1)</f>
        <v>1</v>
      </c>
      <c r="C4125" s="7">
        <f ca="1">IFERROR(__xludf.DUMMYFUNCTION("""COMPUTED_VALUE"""),1)</f>
        <v>1</v>
      </c>
      <c r="D4125" s="8">
        <f ca="1">IFERROR(__xludf.DUMMYFUNCTION("""COMPUTED_VALUE"""),5)</f>
        <v>5</v>
      </c>
      <c r="E4125" s="2">
        <f ca="1">IFERROR(__xludf.DUMMYFUNCTION("""COMPUTED_VALUE"""),2)</f>
        <v>2</v>
      </c>
    </row>
    <row r="4126" spans="1:5" ht="13">
      <c r="A4126" s="8" t="str">
        <f ca="1">IFERROR(__xludf.DUMMYFUNCTION("""COMPUTED_VALUE"""),"Jendras, Louis")</f>
        <v>Jendras, Louis</v>
      </c>
      <c r="B4126" s="3">
        <f ca="1">IFERROR(__xludf.DUMMYFUNCTION("""COMPUTED_VALUE"""),1)</f>
        <v>1</v>
      </c>
      <c r="C4126" s="7">
        <f ca="1">IFERROR(__xludf.DUMMYFUNCTION("""COMPUTED_VALUE"""),1)</f>
        <v>1</v>
      </c>
      <c r="D4126" s="8">
        <f ca="1">IFERROR(__xludf.DUMMYFUNCTION("""COMPUTED_VALUE"""),5)</f>
        <v>5</v>
      </c>
      <c r="E4126" s="2">
        <f ca="1">IFERROR(__xludf.DUMMYFUNCTION("""COMPUTED_VALUE"""),2)</f>
        <v>2</v>
      </c>
    </row>
    <row r="4127" spans="1:5" ht="13">
      <c r="A4127" s="2" t="str">
        <f ca="1">IFERROR(__xludf.DUMMYFUNCTION("""COMPUTED_VALUE"""),"Jenkins, Darren")</f>
        <v>Jenkins, Darren</v>
      </c>
      <c r="B4127" s="3">
        <f ca="1">IFERROR(__xludf.DUMMYFUNCTION("""COMPUTED_VALUE"""),1)</f>
        <v>1</v>
      </c>
      <c r="C4127" s="7">
        <f ca="1">IFERROR(__xludf.DUMMYFUNCTION("""COMPUTED_VALUE"""),1)</f>
        <v>1</v>
      </c>
      <c r="D4127" s="8">
        <f ca="1">IFERROR(__xludf.DUMMYFUNCTION("""COMPUTED_VALUE"""),1)</f>
        <v>1</v>
      </c>
      <c r="E4127" s="2">
        <f ca="1">IFERROR(__xludf.DUMMYFUNCTION("""COMPUTED_VALUE"""),1)</f>
        <v>1</v>
      </c>
    </row>
    <row r="4128" spans="1:5" ht="13">
      <c r="A4128" s="2" t="str">
        <f ca="1">IFERROR(__xludf.DUMMYFUNCTION("""COMPUTED_VALUE"""),"Jenkins, Darren W.")</f>
        <v>Jenkins, Darren W.</v>
      </c>
      <c r="B4128" s="3">
        <f ca="1">IFERROR(__xludf.DUMMYFUNCTION("""COMPUTED_VALUE"""),1)</f>
        <v>1</v>
      </c>
      <c r="C4128" s="7">
        <f ca="1">IFERROR(__xludf.DUMMYFUNCTION("""COMPUTED_VALUE"""),1)</f>
        <v>1</v>
      </c>
      <c r="D4128" s="8">
        <f ca="1">IFERROR(__xludf.DUMMYFUNCTION("""COMPUTED_VALUE"""),1)</f>
        <v>1</v>
      </c>
      <c r="E4128" s="2">
        <f ca="1">IFERROR(__xludf.DUMMYFUNCTION("""COMPUTED_VALUE"""),1)</f>
        <v>1</v>
      </c>
    </row>
    <row r="4129" spans="1:5" ht="13">
      <c r="A4129" s="2" t="str">
        <f ca="1">IFERROR(__xludf.DUMMYFUNCTION("""COMPUTED_VALUE"""),"Jenkins, Derek")</f>
        <v>Jenkins, Derek</v>
      </c>
      <c r="B4129" s="3">
        <f ca="1">IFERROR(__xludf.DUMMYFUNCTION("""COMPUTED_VALUE"""),1)</f>
        <v>1</v>
      </c>
      <c r="C4129" s="7">
        <f ca="1">IFERROR(__xludf.DUMMYFUNCTION("""COMPUTED_VALUE"""),1)</f>
        <v>1</v>
      </c>
      <c r="D4129" s="8">
        <f ca="1">IFERROR(__xludf.DUMMYFUNCTION("""COMPUTED_VALUE"""),1)</f>
        <v>1</v>
      </c>
      <c r="E4129" s="2">
        <f ca="1">IFERROR(__xludf.DUMMYFUNCTION("""COMPUTED_VALUE"""),1)</f>
        <v>1</v>
      </c>
    </row>
    <row r="4130" spans="1:5" ht="13">
      <c r="A4130" s="2" t="str">
        <f ca="1">IFERROR(__xludf.DUMMYFUNCTION("""COMPUTED_VALUE"""),"Jenkins, Gordon")</f>
        <v>Jenkins, Gordon</v>
      </c>
      <c r="B4130" s="3">
        <f ca="1">IFERROR(__xludf.DUMMYFUNCTION("""COMPUTED_VALUE"""),1)</f>
        <v>1</v>
      </c>
      <c r="C4130" s="7">
        <f ca="1">IFERROR(__xludf.DUMMYFUNCTION("""COMPUTED_VALUE"""),1)</f>
        <v>1</v>
      </c>
      <c r="D4130" s="8">
        <f ca="1">IFERROR(__xludf.DUMMYFUNCTION("""COMPUTED_VALUE"""),5)</f>
        <v>5</v>
      </c>
      <c r="E4130" s="2">
        <f ca="1">IFERROR(__xludf.DUMMYFUNCTION("""COMPUTED_VALUE"""),2)</f>
        <v>2</v>
      </c>
    </row>
    <row r="4131" spans="1:5" ht="13">
      <c r="A4131" s="2" t="str">
        <f ca="1">IFERROR(__xludf.DUMMYFUNCTION("""COMPUTED_VALUE"""),"Jenkins, Jordan")</f>
        <v>Jenkins, Jordan</v>
      </c>
      <c r="B4131" s="3">
        <f ca="1">IFERROR(__xludf.DUMMYFUNCTION("""COMPUTED_VALUE"""),1)</f>
        <v>1</v>
      </c>
      <c r="C4131" s="7">
        <f ca="1">IFERROR(__xludf.DUMMYFUNCTION("""COMPUTED_VALUE"""),1)</f>
        <v>1</v>
      </c>
      <c r="D4131" s="8">
        <f ca="1">IFERROR(__xludf.DUMMYFUNCTION("""COMPUTED_VALUE"""),1)</f>
        <v>1</v>
      </c>
      <c r="E4131" s="2">
        <f ca="1">IFERROR(__xludf.DUMMYFUNCTION("""COMPUTED_VALUE"""),1)</f>
        <v>1</v>
      </c>
    </row>
    <row r="4132" spans="1:5" ht="13">
      <c r="A4132" s="2" t="str">
        <f ca="1">IFERROR(__xludf.DUMMYFUNCTION("""COMPUTED_VALUE"""),"Jenkins, Joseph Willcox")</f>
        <v>Jenkins, Joseph Willcox</v>
      </c>
      <c r="B4132" s="3">
        <f ca="1">IFERROR(__xludf.DUMMYFUNCTION("""COMPUTED_VALUE"""),1)</f>
        <v>1</v>
      </c>
      <c r="C4132" s="7">
        <f ca="1">IFERROR(__xludf.DUMMYFUNCTION("""COMPUTED_VALUE"""),1)</f>
        <v>1</v>
      </c>
      <c r="D4132" s="8">
        <f ca="1">IFERROR(__xludf.DUMMYFUNCTION("""COMPUTED_VALUE"""),1)</f>
        <v>1</v>
      </c>
      <c r="E4132" s="2">
        <f ca="1">IFERROR(__xludf.DUMMYFUNCTION("""COMPUTED_VALUE"""),1)</f>
        <v>1</v>
      </c>
    </row>
    <row r="4133" spans="1:5" ht="13">
      <c r="A4133" s="2" t="str">
        <f ca="1">IFERROR(__xludf.DUMMYFUNCTION("""COMPUTED_VALUE"""),"Jenkins, Karl")</f>
        <v>Jenkins, Karl</v>
      </c>
      <c r="B4133" s="3">
        <f ca="1">IFERROR(__xludf.DUMMYFUNCTION("""COMPUTED_VALUE"""),1)</f>
        <v>1</v>
      </c>
      <c r="C4133" s="7">
        <f ca="1">IFERROR(__xludf.DUMMYFUNCTION("""COMPUTED_VALUE"""),1)</f>
        <v>1</v>
      </c>
      <c r="D4133" s="8">
        <f ca="1">IFERROR(__xludf.DUMMYFUNCTION("""COMPUTED_VALUE"""),1)</f>
        <v>1</v>
      </c>
      <c r="E4133" s="2">
        <f ca="1">IFERROR(__xludf.DUMMYFUNCTION("""COMPUTED_VALUE"""),1)</f>
        <v>1</v>
      </c>
    </row>
    <row r="4134" spans="1:5" ht="13">
      <c r="A4134" s="2" t="str">
        <f ca="1">IFERROR(__xludf.DUMMYFUNCTION("""COMPUTED_VALUE"""),"Jenkins, Newell")</f>
        <v>Jenkins, Newell</v>
      </c>
      <c r="B4134" s="3">
        <f ca="1">IFERROR(__xludf.DUMMYFUNCTION("""COMPUTED_VALUE"""),1)</f>
        <v>1</v>
      </c>
      <c r="C4134" s="7">
        <f ca="1">IFERROR(__xludf.DUMMYFUNCTION("""COMPUTED_VALUE"""),1)</f>
        <v>1</v>
      </c>
      <c r="D4134" s="8">
        <f ca="1">IFERROR(__xludf.DUMMYFUNCTION("""COMPUTED_VALUE"""),5)</f>
        <v>5</v>
      </c>
      <c r="E4134" s="2">
        <f ca="1">IFERROR(__xludf.DUMMYFUNCTION("""COMPUTED_VALUE"""),2)</f>
        <v>2</v>
      </c>
    </row>
    <row r="4135" spans="1:5" ht="13">
      <c r="A4135" s="2" t="str">
        <f ca="1">IFERROR(__xludf.DUMMYFUNCTION("""COMPUTED_VALUE"""),"Jenkinson, Ezra")</f>
        <v>Jenkinson, Ezra</v>
      </c>
      <c r="B4135" s="3">
        <f ca="1">IFERROR(__xludf.DUMMYFUNCTION("""COMPUTED_VALUE"""),1)</f>
        <v>1</v>
      </c>
      <c r="C4135" s="7">
        <f ca="1">IFERROR(__xludf.DUMMYFUNCTION("""COMPUTED_VALUE"""),1)</f>
        <v>1</v>
      </c>
      <c r="D4135" s="8">
        <f ca="1">IFERROR(__xludf.DUMMYFUNCTION("""COMPUTED_VALUE"""),5)</f>
        <v>5</v>
      </c>
      <c r="E4135" s="2">
        <f ca="1">IFERROR(__xludf.DUMMYFUNCTION("""COMPUTED_VALUE"""),2)</f>
        <v>2</v>
      </c>
    </row>
    <row r="4136" spans="1:5" ht="13">
      <c r="A4136" s="2" t="str">
        <f ca="1">IFERROR(__xludf.DUMMYFUNCTION("""COMPUTED_VALUE"""),"Jenner, Cornelius Uwe Gustav")</f>
        <v>Jenner, Cornelius Uwe Gustav</v>
      </c>
      <c r="B4136" s="3">
        <f ca="1">IFERROR(__xludf.DUMMYFUNCTION("""COMPUTED_VALUE"""),1)</f>
        <v>1</v>
      </c>
      <c r="C4136" s="7">
        <f ca="1">IFERROR(__xludf.DUMMYFUNCTION("""COMPUTED_VALUE"""),1)</f>
        <v>1</v>
      </c>
      <c r="D4136" s="8">
        <f ca="1">IFERROR(__xludf.DUMMYFUNCTION("""COMPUTED_VALUE"""),5)</f>
        <v>5</v>
      </c>
      <c r="E4136" s="2">
        <f ca="1">IFERROR(__xludf.DUMMYFUNCTION("""COMPUTED_VALUE"""),2)</f>
        <v>2</v>
      </c>
    </row>
    <row r="4137" spans="1:5" ht="13">
      <c r="A4137" s="8" t="str">
        <f ca="1">IFERROR(__xludf.DUMMYFUNCTION("""COMPUTED_VALUE"""),"Jenni, Donald")</f>
        <v>Jenni, Donald</v>
      </c>
      <c r="B4137" s="3">
        <f ca="1">IFERROR(__xludf.DUMMYFUNCTION("""COMPUTED_VALUE"""),1)</f>
        <v>1</v>
      </c>
      <c r="C4137" s="7">
        <f ca="1">IFERROR(__xludf.DUMMYFUNCTION("""COMPUTED_VALUE"""),1)</f>
        <v>1</v>
      </c>
      <c r="D4137" s="8">
        <f ca="1">IFERROR(__xludf.DUMMYFUNCTION("""COMPUTED_VALUE"""),5)</f>
        <v>5</v>
      </c>
      <c r="E4137" s="2">
        <f ca="1">IFERROR(__xludf.DUMMYFUNCTION("""COMPUTED_VALUE"""),2)</f>
        <v>2</v>
      </c>
    </row>
    <row r="4138" spans="1:5" ht="13">
      <c r="A4138" s="2" t="str">
        <f ca="1">IFERROR(__xludf.DUMMYFUNCTION("""COMPUTED_VALUE"""),"Jennings, Kenneth")</f>
        <v>Jennings, Kenneth</v>
      </c>
      <c r="B4138" s="3">
        <f ca="1">IFERROR(__xludf.DUMMYFUNCTION("""COMPUTED_VALUE"""),1)</f>
        <v>1</v>
      </c>
      <c r="C4138" s="7">
        <f ca="1">IFERROR(__xludf.DUMMYFUNCTION("""COMPUTED_VALUE"""),1)</f>
        <v>1</v>
      </c>
      <c r="D4138" s="8">
        <f ca="1">IFERROR(__xludf.DUMMYFUNCTION("""COMPUTED_VALUE"""),5)</f>
        <v>5</v>
      </c>
      <c r="E4138" s="3">
        <f ca="1">IFERROR(__xludf.DUMMYFUNCTION("""COMPUTED_VALUE"""),2)</f>
        <v>2</v>
      </c>
    </row>
    <row r="4139" spans="1:5" ht="13">
      <c r="A4139" s="2" t="str">
        <f ca="1">IFERROR(__xludf.DUMMYFUNCTION("""COMPUTED_VALUE"""),"Jennings, Mark")</f>
        <v>Jennings, Mark</v>
      </c>
      <c r="B4139" s="2">
        <f ca="1">IFERROR(__xludf.DUMMYFUNCTION("""COMPUTED_VALUE"""),1)</f>
        <v>1</v>
      </c>
      <c r="C4139" s="7">
        <f ca="1">IFERROR(__xludf.DUMMYFUNCTION("""COMPUTED_VALUE"""),1)</f>
        <v>1</v>
      </c>
      <c r="D4139" s="8">
        <f ca="1">IFERROR(__xludf.DUMMYFUNCTION("""COMPUTED_VALUE"""),1)</f>
        <v>1</v>
      </c>
      <c r="E4139" s="2">
        <f ca="1">IFERROR(__xludf.DUMMYFUNCTION("""COMPUTED_VALUE"""),1)</f>
        <v>1</v>
      </c>
    </row>
    <row r="4140" spans="1:5" ht="13">
      <c r="A4140" s="2" t="str">
        <f ca="1">IFERROR(__xludf.DUMMYFUNCTION("""COMPUTED_VALUE"""),"Jennings, Paul")</f>
        <v>Jennings, Paul</v>
      </c>
      <c r="B4140" s="3">
        <f ca="1">IFERROR(__xludf.DUMMYFUNCTION("""COMPUTED_VALUE"""),1)</f>
        <v>1</v>
      </c>
      <c r="C4140" s="7">
        <f ca="1">IFERROR(__xludf.DUMMYFUNCTION("""COMPUTED_VALUE"""),1)</f>
        <v>1</v>
      </c>
      <c r="D4140" s="8">
        <f ca="1">IFERROR(__xludf.DUMMYFUNCTION("""COMPUTED_VALUE"""),1)</f>
        <v>1</v>
      </c>
      <c r="E4140" s="2">
        <f ca="1">IFERROR(__xludf.DUMMYFUNCTION("""COMPUTED_VALUE"""),1)</f>
        <v>1</v>
      </c>
    </row>
    <row r="4141" spans="1:5" ht="13">
      <c r="A4141" s="2" t="str">
        <f ca="1">IFERROR(__xludf.DUMMYFUNCTION("""COMPUTED_VALUE"""),"Jensen, Jonathan")</f>
        <v>Jensen, Jonathan</v>
      </c>
      <c r="B4141" s="3">
        <f ca="1">IFERROR(__xludf.DUMMYFUNCTION("""COMPUTED_VALUE"""),1)</f>
        <v>1</v>
      </c>
      <c r="C4141" s="7">
        <f ca="1">IFERROR(__xludf.DUMMYFUNCTION("""COMPUTED_VALUE"""),1)</f>
        <v>1</v>
      </c>
      <c r="D4141" s="8">
        <f ca="1">IFERROR(__xludf.DUMMYFUNCTION("""COMPUTED_VALUE"""),1)</f>
        <v>1</v>
      </c>
      <c r="E4141" s="2">
        <f ca="1">IFERROR(__xludf.DUMMYFUNCTION("""COMPUTED_VALUE"""),1)</f>
        <v>1</v>
      </c>
    </row>
    <row r="4142" spans="1:5" ht="13">
      <c r="A4142" s="8" t="str">
        <f ca="1">IFERROR(__xludf.DUMMYFUNCTION("""COMPUTED_VALUE"""),"Jepson, David W.")</f>
        <v>Jepson, David W.</v>
      </c>
      <c r="B4142" s="3">
        <f ca="1">IFERROR(__xludf.DUMMYFUNCTION("""COMPUTED_VALUE"""),1)</f>
        <v>1</v>
      </c>
      <c r="C4142" s="7">
        <f ca="1">IFERROR(__xludf.DUMMYFUNCTION("""COMPUTED_VALUE"""),1)</f>
        <v>1</v>
      </c>
      <c r="D4142" s="8">
        <f ca="1">IFERROR(__xludf.DUMMYFUNCTION("""COMPUTED_VALUE"""),1)</f>
        <v>1</v>
      </c>
      <c r="E4142" s="2">
        <f ca="1">IFERROR(__xludf.DUMMYFUNCTION("""COMPUTED_VALUE"""),1)</f>
        <v>1</v>
      </c>
    </row>
    <row r="4143" spans="1:5" ht="13">
      <c r="A4143" s="2" t="str">
        <f ca="1">IFERROR(__xludf.DUMMYFUNCTION("""COMPUTED_VALUE"""),"Jergenson, Dale")</f>
        <v>Jergenson, Dale</v>
      </c>
      <c r="B4143" s="3">
        <f ca="1">IFERROR(__xludf.DUMMYFUNCTION("""COMPUTED_VALUE"""),1)</f>
        <v>1</v>
      </c>
      <c r="C4143" s="7">
        <f ca="1">IFERROR(__xludf.DUMMYFUNCTION("""COMPUTED_VALUE"""),1)</f>
        <v>1</v>
      </c>
      <c r="D4143" s="8">
        <f ca="1">IFERROR(__xludf.DUMMYFUNCTION("""COMPUTED_VALUE"""),1)</f>
        <v>1</v>
      </c>
      <c r="E4143" s="2">
        <f ca="1">IFERROR(__xludf.DUMMYFUNCTION("""COMPUTED_VALUE"""),1)</f>
        <v>1</v>
      </c>
    </row>
    <row r="4144" spans="1:5" ht="13">
      <c r="A4144" s="2" t="str">
        <f ca="1">IFERROR(__xludf.DUMMYFUNCTION("""COMPUTED_VALUE"""),"Jergenson, Dale / Wolfe, Daniel")</f>
        <v>Jergenson, Dale / Wolfe, Daniel</v>
      </c>
      <c r="B4144" s="2">
        <f ca="1">IFERROR(__xludf.DUMMYFUNCTION("""COMPUTED_VALUE"""),1)</f>
        <v>1</v>
      </c>
      <c r="C4144" s="2">
        <f ca="1">IFERROR(__xludf.DUMMYFUNCTION("""COMPUTED_VALUE"""),1)</f>
        <v>1</v>
      </c>
      <c r="D4144" s="8">
        <f ca="1">IFERROR(__xludf.DUMMYFUNCTION("""COMPUTED_VALUE"""),1)</f>
        <v>1</v>
      </c>
      <c r="E4144" s="2">
        <f ca="1">IFERROR(__xludf.DUMMYFUNCTION("""COMPUTED_VALUE"""),1)</f>
        <v>1</v>
      </c>
    </row>
    <row r="4145" spans="1:5" ht="13">
      <c r="A4145" s="2" t="str">
        <f ca="1">IFERROR(__xludf.DUMMYFUNCTION("""COMPUTED_VALUE"""),"Jerúsalem, Ignacio de")</f>
        <v>Jerúsalem, Ignacio de</v>
      </c>
      <c r="B4145" s="3">
        <f ca="1">IFERROR(__xludf.DUMMYFUNCTION("""COMPUTED_VALUE"""),1)</f>
        <v>1</v>
      </c>
      <c r="C4145" s="7">
        <f ca="1">IFERROR(__xludf.DUMMYFUNCTION("""COMPUTED_VALUE"""),1)</f>
        <v>1</v>
      </c>
      <c r="D4145" s="8">
        <f ca="1">IFERROR(__xludf.DUMMYFUNCTION("""COMPUTED_VALUE"""),1)</f>
        <v>1</v>
      </c>
      <c r="E4145" s="2">
        <f ca="1">IFERROR(__xludf.DUMMYFUNCTION("""COMPUTED_VALUE"""),1)</f>
        <v>1</v>
      </c>
    </row>
    <row r="4146" spans="1:5" ht="13">
      <c r="A4146" s="2" t="str">
        <f ca="1">IFERROR(__xludf.DUMMYFUNCTION("""COMPUTED_VALUE"""),"Jesperson, Ryan")</f>
        <v>Jesperson, Ryan</v>
      </c>
      <c r="B4146" s="3">
        <f ca="1">IFERROR(__xludf.DUMMYFUNCTION("""COMPUTED_VALUE"""),1)</f>
        <v>1</v>
      </c>
      <c r="C4146" s="7">
        <f ca="1">IFERROR(__xludf.DUMMYFUNCTION("""COMPUTED_VALUE"""),1)</f>
        <v>1</v>
      </c>
      <c r="D4146" s="8">
        <f ca="1">IFERROR(__xludf.DUMMYFUNCTION("""COMPUTED_VALUE"""),1)</f>
        <v>1</v>
      </c>
      <c r="E4146" s="2">
        <f ca="1">IFERROR(__xludf.DUMMYFUNCTION("""COMPUTED_VALUE"""),1)</f>
        <v>1</v>
      </c>
    </row>
    <row r="4147" spans="1:5" ht="13">
      <c r="A4147" s="2" t="str">
        <f ca="1">IFERROR(__xludf.DUMMYFUNCTION("""COMPUTED_VALUE"""),"Jessel, Leon")</f>
        <v>Jessel, Leon</v>
      </c>
      <c r="B4147" s="3">
        <f ca="1">IFERROR(__xludf.DUMMYFUNCTION("""COMPUTED_VALUE"""),1)</f>
        <v>1</v>
      </c>
      <c r="C4147" s="7">
        <f ca="1">IFERROR(__xludf.DUMMYFUNCTION("""COMPUTED_VALUE"""),1)</f>
        <v>1</v>
      </c>
      <c r="D4147" s="8">
        <f ca="1">IFERROR(__xludf.DUMMYFUNCTION("""COMPUTED_VALUE"""),5)</f>
        <v>5</v>
      </c>
      <c r="E4147" s="2">
        <f ca="1">IFERROR(__xludf.DUMMYFUNCTION("""COMPUTED_VALUE"""),2)</f>
        <v>2</v>
      </c>
    </row>
    <row r="4148" spans="1:5" ht="13">
      <c r="A4148" s="2" t="str">
        <f ca="1">IFERROR(__xludf.DUMMYFUNCTION("""COMPUTED_VALUE"""),"Jesus, Nelson")</f>
        <v>Jesus, Nelson</v>
      </c>
      <c r="B4148" s="2">
        <f ca="1">IFERROR(__xludf.DUMMYFUNCTION("""COMPUTED_VALUE"""),1)</f>
        <v>1</v>
      </c>
      <c r="C4148" s="7">
        <f ca="1">IFERROR(__xludf.DUMMYFUNCTION("""COMPUTED_VALUE"""),1)</f>
        <v>1</v>
      </c>
      <c r="D4148" s="8">
        <f ca="1">IFERROR(__xludf.DUMMYFUNCTION("""COMPUTED_VALUE"""),1)</f>
        <v>1</v>
      </c>
      <c r="E4148" s="2">
        <f ca="1">IFERROR(__xludf.DUMMYFUNCTION("""COMPUTED_VALUE"""),1)</f>
        <v>1</v>
      </c>
    </row>
    <row r="4149" spans="1:5" ht="13">
      <c r="A4149" s="2" t="str">
        <f ca="1">IFERROR(__xludf.DUMMYFUNCTION("""COMPUTED_VALUE"""),"Jewell, Fred")</f>
        <v>Jewell, Fred</v>
      </c>
      <c r="B4149" s="3">
        <f ca="1">IFERROR(__xludf.DUMMYFUNCTION("""COMPUTED_VALUE"""),1)</f>
        <v>1</v>
      </c>
      <c r="C4149" s="7">
        <f ca="1">IFERROR(__xludf.DUMMYFUNCTION("""COMPUTED_VALUE"""),1)</f>
        <v>1</v>
      </c>
      <c r="D4149" s="8">
        <f ca="1">IFERROR(__xludf.DUMMYFUNCTION("""COMPUTED_VALUE"""),5)</f>
        <v>5</v>
      </c>
      <c r="E4149" s="2">
        <f ca="1">IFERROR(__xludf.DUMMYFUNCTION("""COMPUTED_VALUE"""),2)</f>
        <v>2</v>
      </c>
    </row>
    <row r="4150" spans="1:5" ht="13">
      <c r="A4150" s="2" t="str">
        <f ca="1">IFERROR(__xludf.DUMMYFUNCTION("""COMPUTED_VALUE"""),"Jewell, Kenneth")</f>
        <v>Jewell, Kenneth</v>
      </c>
      <c r="B4150" s="2">
        <f ca="1">IFERROR(__xludf.DUMMYFUNCTION("""COMPUTED_VALUE"""),1)</f>
        <v>1</v>
      </c>
      <c r="C4150" s="2">
        <f ca="1">IFERROR(__xludf.DUMMYFUNCTION("""COMPUTED_VALUE"""),1)</f>
        <v>1</v>
      </c>
      <c r="D4150" s="8">
        <f ca="1">IFERROR(__xludf.DUMMYFUNCTION("""COMPUTED_VALUE"""),5)</f>
        <v>5</v>
      </c>
      <c r="E4150" s="2">
        <f ca="1">IFERROR(__xludf.DUMMYFUNCTION("""COMPUTED_VALUE"""),2)</f>
        <v>2</v>
      </c>
    </row>
    <row r="4151" spans="1:5" ht="13">
      <c r="A4151" s="2" t="str">
        <f ca="1">IFERROR(__xludf.DUMMYFUNCTION("""COMPUTED_VALUE"""),"Jez, Jakob")</f>
        <v>Jez, Jakob</v>
      </c>
      <c r="B4151" s="3">
        <f ca="1">IFERROR(__xludf.DUMMYFUNCTION("""COMPUTED_VALUE"""),1)</f>
        <v>1</v>
      </c>
      <c r="C4151" s="7">
        <f ca="1">IFERROR(__xludf.DUMMYFUNCTION("""COMPUTED_VALUE"""),1)</f>
        <v>1</v>
      </c>
      <c r="D4151" s="8">
        <f ca="1">IFERROR(__xludf.DUMMYFUNCTION("""COMPUTED_VALUE"""),5)</f>
        <v>5</v>
      </c>
      <c r="E4151" s="2">
        <f ca="1">IFERROR(__xludf.DUMMYFUNCTION("""COMPUTED_VALUE"""),2)</f>
        <v>2</v>
      </c>
    </row>
    <row r="4152" spans="1:5" ht="13">
      <c r="A4152" s="2" t="str">
        <f ca="1">IFERROR(__xludf.DUMMYFUNCTION("""COMPUTED_VALUE"""),"Jiránek, Jaroslav")</f>
        <v>Jiránek, Jaroslav</v>
      </c>
      <c r="B4152" s="3">
        <f ca="1">IFERROR(__xludf.DUMMYFUNCTION("""COMPUTED_VALUE"""),1)</f>
        <v>1</v>
      </c>
      <c r="C4152" s="7">
        <f ca="1">IFERROR(__xludf.DUMMYFUNCTION("""COMPUTED_VALUE"""),1)</f>
        <v>1</v>
      </c>
      <c r="D4152" s="8">
        <f ca="1">IFERROR(__xludf.DUMMYFUNCTION("""COMPUTED_VALUE"""),5)</f>
        <v>5</v>
      </c>
      <c r="E4152" s="2">
        <f ca="1">IFERROR(__xludf.DUMMYFUNCTION("""COMPUTED_VALUE"""),2)</f>
        <v>2</v>
      </c>
    </row>
    <row r="4153" spans="1:5" ht="13">
      <c r="A4153" s="2" t="str">
        <f ca="1">IFERROR(__xludf.DUMMYFUNCTION("""COMPUTED_VALUE"""),"Jirovec, Vojtech")</f>
        <v>Jirovec, Vojtech</v>
      </c>
      <c r="B4153" s="3">
        <f ca="1">IFERROR(__xludf.DUMMYFUNCTION("""COMPUTED_VALUE"""),1)</f>
        <v>1</v>
      </c>
      <c r="C4153" s="7">
        <f ca="1">IFERROR(__xludf.DUMMYFUNCTION("""COMPUTED_VALUE"""),1)</f>
        <v>1</v>
      </c>
      <c r="D4153" s="8">
        <f ca="1">IFERROR(__xludf.DUMMYFUNCTION("""COMPUTED_VALUE"""),5)</f>
        <v>5</v>
      </c>
      <c r="E4153" s="2">
        <f ca="1">IFERROR(__xludf.DUMMYFUNCTION("""COMPUTED_VALUE"""),2)</f>
        <v>2</v>
      </c>
    </row>
    <row r="4154" spans="1:5" ht="13">
      <c r="A4154" s="2" t="str">
        <f ca="1">IFERROR(__xludf.DUMMYFUNCTION("""COMPUTED_VALUE"""),"Jiuliani, Steven")</f>
        <v>Jiuliani, Steven</v>
      </c>
      <c r="B4154" s="3">
        <f ca="1">IFERROR(__xludf.DUMMYFUNCTION("""COMPUTED_VALUE"""),1)</f>
        <v>1</v>
      </c>
      <c r="C4154" s="7">
        <f ca="1">IFERROR(__xludf.DUMMYFUNCTION("""COMPUTED_VALUE"""),1)</f>
        <v>1</v>
      </c>
      <c r="D4154" s="8">
        <f ca="1">IFERROR(__xludf.DUMMYFUNCTION("""COMPUTED_VALUE"""),1)</f>
        <v>1</v>
      </c>
      <c r="E4154" s="2">
        <f ca="1">IFERROR(__xludf.DUMMYFUNCTION("""COMPUTED_VALUE"""),1)</f>
        <v>1</v>
      </c>
    </row>
    <row r="4155" spans="1:5" ht="13">
      <c r="A4155" s="2" t="str">
        <f ca="1">IFERROR(__xludf.DUMMYFUNCTION("""COMPUTED_VALUE"""),"Joachim, Joseph")</f>
        <v>Joachim, Joseph</v>
      </c>
      <c r="B4155" s="3">
        <f ca="1">IFERROR(__xludf.DUMMYFUNCTION("""COMPUTED_VALUE"""),1)</f>
        <v>1</v>
      </c>
      <c r="C4155" s="7">
        <f ca="1">IFERROR(__xludf.DUMMYFUNCTION("""COMPUTED_VALUE"""),1)</f>
        <v>1</v>
      </c>
      <c r="D4155" s="8">
        <f ca="1">IFERROR(__xludf.DUMMYFUNCTION("""COMPUTED_VALUE"""),5)</f>
        <v>5</v>
      </c>
      <c r="E4155" s="2">
        <f ca="1">IFERROR(__xludf.DUMMYFUNCTION("""COMPUTED_VALUE"""),2)</f>
        <v>2</v>
      </c>
    </row>
    <row r="4156" spans="1:5" ht="13">
      <c r="A4156" s="2" t="str">
        <f ca="1">IFERROR(__xludf.DUMMYFUNCTION("""COMPUTED_VALUE"""),"Jöde, Fritz")</f>
        <v>Jöde, Fritz</v>
      </c>
      <c r="B4156" s="3">
        <f ca="1">IFERROR(__xludf.DUMMYFUNCTION("""COMPUTED_VALUE"""),1)</f>
        <v>1</v>
      </c>
      <c r="C4156" s="7">
        <f ca="1">IFERROR(__xludf.DUMMYFUNCTION("""COMPUTED_VALUE"""),1)</f>
        <v>1</v>
      </c>
      <c r="D4156" s="8">
        <f ca="1">IFERROR(__xludf.DUMMYFUNCTION("""COMPUTED_VALUE"""),5)</f>
        <v>5</v>
      </c>
      <c r="E4156" s="2">
        <f ca="1">IFERROR(__xludf.DUMMYFUNCTION("""COMPUTED_VALUE"""),2)</f>
        <v>2</v>
      </c>
    </row>
    <row r="4157" spans="1:5" ht="13">
      <c r="A4157" s="2" t="str">
        <f ca="1">IFERROR(__xludf.DUMMYFUNCTION("""COMPUTED_VALUE"""),"Joel, Billy")</f>
        <v>Joel, Billy</v>
      </c>
      <c r="B4157" s="2">
        <f ca="1">IFERROR(__xludf.DUMMYFUNCTION("""COMPUTED_VALUE"""),1)</f>
        <v>1</v>
      </c>
      <c r="C4157" s="7">
        <f ca="1">IFERROR(__xludf.DUMMYFUNCTION("""COMPUTED_VALUE"""),1)</f>
        <v>1</v>
      </c>
      <c r="D4157" s="8">
        <f ca="1">IFERROR(__xludf.DUMMYFUNCTION("""COMPUTED_VALUE"""),1)</f>
        <v>1</v>
      </c>
      <c r="E4157" s="2">
        <f ca="1">IFERROR(__xludf.DUMMYFUNCTION("""COMPUTED_VALUE"""),1)</f>
        <v>1</v>
      </c>
    </row>
    <row r="4158" spans="1:5" ht="13">
      <c r="A4158" s="2" t="str">
        <f ca="1">IFERROR(__xludf.DUMMYFUNCTION("""COMPUTED_VALUE"""),"Johannessen, Olin")</f>
        <v>Johannessen, Olin</v>
      </c>
      <c r="B4158" s="3">
        <f ca="1">IFERROR(__xludf.DUMMYFUNCTION("""COMPUTED_VALUE"""),1)</f>
        <v>1</v>
      </c>
      <c r="C4158" s="7">
        <f ca="1">IFERROR(__xludf.DUMMYFUNCTION("""COMPUTED_VALUE"""),1)</f>
        <v>1</v>
      </c>
      <c r="D4158" s="8">
        <f ca="1">IFERROR(__xludf.DUMMYFUNCTION("""COMPUTED_VALUE"""),1)</f>
        <v>1</v>
      </c>
      <c r="E4158" s="2">
        <f ca="1">IFERROR(__xludf.DUMMYFUNCTION("""COMPUTED_VALUE"""),1)</f>
        <v>1</v>
      </c>
    </row>
    <row r="4159" spans="1:5" ht="13">
      <c r="A4159" s="2" t="str">
        <f ca="1">IFERROR(__xludf.DUMMYFUNCTION("""COMPUTED_VALUE"""),"Jóhannsson, Jóhann")</f>
        <v>Jóhannsson, Jóhann</v>
      </c>
      <c r="B4159" s="3">
        <f ca="1">IFERROR(__xludf.DUMMYFUNCTION("""COMPUTED_VALUE"""),1)</f>
        <v>1</v>
      </c>
      <c r="C4159" s="7">
        <f ca="1">IFERROR(__xludf.DUMMYFUNCTION("""COMPUTED_VALUE"""),1)</f>
        <v>1</v>
      </c>
      <c r="D4159" s="8">
        <f ca="1">IFERROR(__xludf.DUMMYFUNCTION("""COMPUTED_VALUE"""),5)</f>
        <v>5</v>
      </c>
      <c r="E4159" s="2">
        <f ca="1">IFERROR(__xludf.DUMMYFUNCTION("""COMPUTED_VALUE"""),2)</f>
        <v>2</v>
      </c>
    </row>
    <row r="4160" spans="1:5" ht="13">
      <c r="A4160" s="2" t="str">
        <f ca="1">IFERROR(__xludf.DUMMYFUNCTION("""COMPUTED_VALUE"""),"Johanson, Bryan")</f>
        <v>Johanson, Bryan</v>
      </c>
      <c r="B4160" s="3">
        <f ca="1">IFERROR(__xludf.DUMMYFUNCTION("""COMPUTED_VALUE"""),1)</f>
        <v>1</v>
      </c>
      <c r="C4160" s="7">
        <f ca="1">IFERROR(__xludf.DUMMYFUNCTION("""COMPUTED_VALUE"""),1)</f>
        <v>1</v>
      </c>
      <c r="D4160" s="8">
        <f ca="1">IFERROR(__xludf.DUMMYFUNCTION("""COMPUTED_VALUE"""),1)</f>
        <v>1</v>
      </c>
      <c r="E4160" s="2">
        <f ca="1">IFERROR(__xludf.DUMMYFUNCTION("""COMPUTED_VALUE"""),1)</f>
        <v>1</v>
      </c>
    </row>
    <row r="4161" spans="1:5" ht="13">
      <c r="A4161" s="2" t="str">
        <f ca="1">IFERROR(__xludf.DUMMYFUNCTION("""COMPUTED_VALUE"""),"Johansson, Bengt")</f>
        <v>Johansson, Bengt</v>
      </c>
      <c r="B4161" s="3">
        <f ca="1">IFERROR(__xludf.DUMMYFUNCTION("""COMPUTED_VALUE"""),1)</f>
        <v>1</v>
      </c>
      <c r="C4161" s="7">
        <f ca="1">IFERROR(__xludf.DUMMYFUNCTION("""COMPUTED_VALUE"""),1)</f>
        <v>1</v>
      </c>
      <c r="D4161" s="8">
        <f ca="1">IFERROR(__xludf.DUMMYFUNCTION("""COMPUTED_VALUE"""),5)</f>
        <v>5</v>
      </c>
      <c r="E4161" s="2">
        <f ca="1">IFERROR(__xludf.DUMMYFUNCTION("""COMPUTED_VALUE"""),2)</f>
        <v>2</v>
      </c>
    </row>
    <row r="4162" spans="1:5" ht="13">
      <c r="A4162" s="2" t="str">
        <f ca="1">IFERROR(__xludf.DUMMYFUNCTION("""COMPUTED_VALUE"""),"John, David")</f>
        <v>John, David</v>
      </c>
      <c r="B4162" s="3">
        <f ca="1">IFERROR(__xludf.DUMMYFUNCTION("""COMPUTED_VALUE"""),1)</f>
        <v>1</v>
      </c>
      <c r="C4162" s="7">
        <f ca="1">IFERROR(__xludf.DUMMYFUNCTION("""COMPUTED_VALUE"""),1)</f>
        <v>1</v>
      </c>
      <c r="D4162" s="8">
        <f ca="1">IFERROR(__xludf.DUMMYFUNCTION("""COMPUTED_VALUE"""),1)</f>
        <v>1</v>
      </c>
      <c r="E4162" s="2">
        <f ca="1">IFERROR(__xludf.DUMMYFUNCTION("""COMPUTED_VALUE"""),1)</f>
        <v>1</v>
      </c>
    </row>
    <row r="4163" spans="1:5" ht="13">
      <c r="A4163" s="2" t="str">
        <f ca="1">IFERROR(__xludf.DUMMYFUNCTION("""COMPUTED_VALUE"""),"John, Elton")</f>
        <v>John, Elton</v>
      </c>
      <c r="B4163" s="3">
        <f ca="1">IFERROR(__xludf.DUMMYFUNCTION("""COMPUTED_VALUE"""),1)</f>
        <v>1</v>
      </c>
      <c r="C4163" s="7">
        <f ca="1">IFERROR(__xludf.DUMMYFUNCTION("""COMPUTED_VALUE"""),1)</f>
        <v>1</v>
      </c>
      <c r="D4163" s="8">
        <f ca="1">IFERROR(__xludf.DUMMYFUNCTION("""COMPUTED_VALUE"""),1)</f>
        <v>1</v>
      </c>
      <c r="E4163" s="2">
        <f ca="1">IFERROR(__xludf.DUMMYFUNCTION("""COMPUTED_VALUE"""),1)</f>
        <v>1</v>
      </c>
    </row>
    <row r="4164" spans="1:5" ht="13">
      <c r="A4164" s="2" t="str">
        <f ca="1">IFERROR(__xludf.DUMMYFUNCTION("""COMPUTED_VALUE"""),"John, Elton / Rice, Tim")</f>
        <v>John, Elton / Rice, Tim</v>
      </c>
      <c r="B4164" s="3">
        <f ca="1">IFERROR(__xludf.DUMMYFUNCTION("""COMPUTED_VALUE"""),1)</f>
        <v>1</v>
      </c>
      <c r="C4164" s="7">
        <f ca="1">IFERROR(__xludf.DUMMYFUNCTION("""COMPUTED_VALUE"""),1)</f>
        <v>1</v>
      </c>
      <c r="D4164" s="8">
        <f ca="1">IFERROR(__xludf.DUMMYFUNCTION("""COMPUTED_VALUE"""),1)</f>
        <v>1</v>
      </c>
      <c r="E4164" s="2">
        <f ca="1">IFERROR(__xludf.DUMMYFUNCTION("""COMPUTED_VALUE"""),1)</f>
        <v>1</v>
      </c>
    </row>
    <row r="4165" spans="1:5" ht="13">
      <c r="A4165" s="2" t="str">
        <f ca="1">IFERROR(__xludf.DUMMYFUNCTION("""COMPUTED_VALUE"""),"Johns, Christopher")</f>
        <v>Johns, Christopher</v>
      </c>
      <c r="B4165" s="2">
        <f ca="1">IFERROR(__xludf.DUMMYFUNCTION("""COMPUTED_VALUE"""),1)</f>
        <v>1</v>
      </c>
      <c r="C4165" s="2">
        <f ca="1">IFERROR(__xludf.DUMMYFUNCTION("""COMPUTED_VALUE"""),1)</f>
        <v>1</v>
      </c>
      <c r="D4165" s="8">
        <f ca="1">IFERROR(__xludf.DUMMYFUNCTION("""COMPUTED_VALUE"""),1)</f>
        <v>1</v>
      </c>
      <c r="E4165" s="2">
        <f ca="1">IFERROR(__xludf.DUMMYFUNCTION("""COMPUTED_VALUE"""),1)</f>
        <v>1</v>
      </c>
    </row>
    <row r="4166" spans="1:5" ht="13">
      <c r="A4166" s="2" t="str">
        <f ca="1">IFERROR(__xludf.DUMMYFUNCTION("""COMPUTED_VALUE"""),"Johnsen, Hinrich Philip")</f>
        <v>Johnsen, Hinrich Philip</v>
      </c>
      <c r="B4166" s="3">
        <f ca="1">IFERROR(__xludf.DUMMYFUNCTION("""COMPUTED_VALUE"""),1)</f>
        <v>1</v>
      </c>
      <c r="C4166" s="7">
        <f ca="1">IFERROR(__xludf.DUMMYFUNCTION("""COMPUTED_VALUE"""),1)</f>
        <v>1</v>
      </c>
      <c r="D4166" s="8">
        <f ca="1">IFERROR(__xludf.DUMMYFUNCTION("""COMPUTED_VALUE"""),5)</f>
        <v>5</v>
      </c>
      <c r="E4166" s="2">
        <f ca="1">IFERROR(__xludf.DUMMYFUNCTION("""COMPUTED_VALUE"""),2)</f>
        <v>2</v>
      </c>
    </row>
    <row r="4167" spans="1:5" ht="13">
      <c r="A4167" s="2" t="str">
        <f ca="1">IFERROR(__xludf.DUMMYFUNCTION("""COMPUTED_VALUE"""),"Johnson, Alan")</f>
        <v>Johnson, Alan</v>
      </c>
      <c r="B4167" s="3">
        <f ca="1">IFERROR(__xludf.DUMMYFUNCTION("""COMPUTED_VALUE"""),1)</f>
        <v>1</v>
      </c>
      <c r="C4167" s="7">
        <f ca="1">IFERROR(__xludf.DUMMYFUNCTION("""COMPUTED_VALUE"""),1)</f>
        <v>1</v>
      </c>
      <c r="D4167" s="8">
        <f ca="1">IFERROR(__xludf.DUMMYFUNCTION("""COMPUTED_VALUE"""),1)</f>
        <v>1</v>
      </c>
      <c r="E4167" s="2">
        <f ca="1">IFERROR(__xludf.DUMMYFUNCTION("""COMPUTED_VALUE"""),1)</f>
        <v>1</v>
      </c>
    </row>
    <row r="4168" spans="1:5" ht="13">
      <c r="A4168" s="2" t="str">
        <f ca="1">IFERROR(__xludf.DUMMYFUNCTION("""COMPUTED_VALUE"""),"Johnson, Benjamin")</f>
        <v>Johnson, Benjamin</v>
      </c>
      <c r="B4168" s="2">
        <f ca="1">IFERROR(__xludf.DUMMYFUNCTION("""COMPUTED_VALUE"""),1)</f>
        <v>1</v>
      </c>
      <c r="C4168" s="7">
        <f ca="1">IFERROR(__xludf.DUMMYFUNCTION("""COMPUTED_VALUE"""),1)</f>
        <v>1</v>
      </c>
      <c r="D4168" s="8">
        <f ca="1">IFERROR(__xludf.DUMMYFUNCTION("""COMPUTED_VALUE"""),5)</f>
        <v>5</v>
      </c>
      <c r="E4168" s="2">
        <f ca="1">IFERROR(__xludf.DUMMYFUNCTION("""COMPUTED_VALUE"""),2)</f>
        <v>2</v>
      </c>
    </row>
    <row r="4169" spans="1:5" ht="13">
      <c r="A4169" s="2" t="str">
        <f ca="1">IFERROR(__xludf.DUMMYFUNCTION("""COMPUTED_VALUE"""),"Johnson, Brad")</f>
        <v>Johnson, Brad</v>
      </c>
      <c r="B4169" s="3">
        <f ca="1">IFERROR(__xludf.DUMMYFUNCTION("""COMPUTED_VALUE"""),1)</f>
        <v>1</v>
      </c>
      <c r="C4169" s="7">
        <f ca="1">IFERROR(__xludf.DUMMYFUNCTION("""COMPUTED_VALUE"""),1)</f>
        <v>1</v>
      </c>
      <c r="D4169" s="8">
        <f ca="1">IFERROR(__xludf.DUMMYFUNCTION("""COMPUTED_VALUE"""),1)</f>
        <v>1</v>
      </c>
      <c r="E4169" s="2">
        <f ca="1">IFERROR(__xludf.DUMMYFUNCTION("""COMPUTED_VALUE"""),1)</f>
        <v>1</v>
      </c>
    </row>
    <row r="4170" spans="1:5" ht="13">
      <c r="A4170" s="2" t="str">
        <f ca="1">IFERROR(__xludf.DUMMYFUNCTION("""COMPUTED_VALUE"""),"Johnson, Charles")</f>
        <v>Johnson, Charles</v>
      </c>
      <c r="B4170" s="3">
        <f ca="1">IFERROR(__xludf.DUMMYFUNCTION("""COMPUTED_VALUE"""),1)</f>
        <v>1</v>
      </c>
      <c r="C4170" s="7">
        <f ca="1">IFERROR(__xludf.DUMMYFUNCTION("""COMPUTED_VALUE"""),1)</f>
        <v>1</v>
      </c>
      <c r="D4170" s="8">
        <f ca="1">IFERROR(__xludf.DUMMYFUNCTION("""COMPUTED_VALUE"""),5)</f>
        <v>5</v>
      </c>
      <c r="E4170" s="2">
        <f ca="1">IFERROR(__xludf.DUMMYFUNCTION("""COMPUTED_VALUE"""),2)</f>
        <v>2</v>
      </c>
    </row>
    <row r="4171" spans="1:5" ht="13">
      <c r="A4171" s="2" t="str">
        <f ca="1">IFERROR(__xludf.DUMMYFUNCTION("""COMPUTED_VALUE"""),"Johnson, Clair W.")</f>
        <v>Johnson, Clair W.</v>
      </c>
      <c r="B4171" s="3">
        <f ca="1">IFERROR(__xludf.DUMMYFUNCTION("""COMPUTED_VALUE"""),1)</f>
        <v>1</v>
      </c>
      <c r="C4171" s="7">
        <f ca="1">IFERROR(__xludf.DUMMYFUNCTION("""COMPUTED_VALUE"""),1)</f>
        <v>1</v>
      </c>
      <c r="D4171" s="8">
        <f ca="1">IFERROR(__xludf.DUMMYFUNCTION("""COMPUTED_VALUE"""),5)</f>
        <v>5</v>
      </c>
      <c r="E4171" s="2">
        <f ca="1">IFERROR(__xludf.DUMMYFUNCTION("""COMPUTED_VALUE"""),2)</f>
        <v>2</v>
      </c>
    </row>
    <row r="4172" spans="1:5" ht="13">
      <c r="A4172" s="2" t="str">
        <f ca="1">IFERROR(__xludf.DUMMYFUNCTION("""COMPUTED_VALUE"""),"Johnson, Craig Hella")</f>
        <v>Johnson, Craig Hella</v>
      </c>
      <c r="B4172" s="3">
        <f ca="1">IFERROR(__xludf.DUMMYFUNCTION("""COMPUTED_VALUE"""),1)</f>
        <v>1</v>
      </c>
      <c r="C4172" s="7">
        <f ca="1">IFERROR(__xludf.DUMMYFUNCTION("""COMPUTED_VALUE"""),1)</f>
        <v>1</v>
      </c>
      <c r="D4172" s="8">
        <f ca="1">IFERROR(__xludf.DUMMYFUNCTION("""COMPUTED_VALUE"""),1)</f>
        <v>1</v>
      </c>
      <c r="E4172" s="2">
        <f ca="1">IFERROR(__xludf.DUMMYFUNCTION("""COMPUTED_VALUE"""),1)</f>
        <v>1</v>
      </c>
    </row>
    <row r="4173" spans="1:5" ht="13">
      <c r="A4173" s="8" t="str">
        <f ca="1">IFERROR(__xludf.DUMMYFUNCTION("""COMPUTED_VALUE"""),"Johnson, David")</f>
        <v>Johnson, David</v>
      </c>
      <c r="B4173" s="3">
        <f ca="1">IFERROR(__xludf.DUMMYFUNCTION("""COMPUTED_VALUE"""),1)</f>
        <v>1</v>
      </c>
      <c r="C4173" s="7">
        <f ca="1">IFERROR(__xludf.DUMMYFUNCTION("""COMPUTED_VALUE"""),1)</f>
        <v>1</v>
      </c>
      <c r="D4173" s="8">
        <f ca="1">IFERROR(__xludf.DUMMYFUNCTION("""COMPUTED_VALUE"""),5)</f>
        <v>5</v>
      </c>
      <c r="E4173" s="2">
        <f ca="1">IFERROR(__xludf.DUMMYFUNCTION("""COMPUTED_VALUE"""),2)</f>
        <v>2</v>
      </c>
    </row>
    <row r="4174" spans="1:5" ht="13">
      <c r="A4174" s="2" t="str">
        <f ca="1">IFERROR(__xludf.DUMMYFUNCTION("""COMPUTED_VALUE"""),"Johnson, David N.")</f>
        <v>Johnson, David N.</v>
      </c>
      <c r="B4174" s="3">
        <f ca="1">IFERROR(__xludf.DUMMYFUNCTION("""COMPUTED_VALUE"""),1)</f>
        <v>1</v>
      </c>
      <c r="C4174" s="7">
        <f ca="1">IFERROR(__xludf.DUMMYFUNCTION("""COMPUTED_VALUE"""),1)</f>
        <v>1</v>
      </c>
      <c r="D4174" s="8">
        <f ca="1">IFERROR(__xludf.DUMMYFUNCTION("""COMPUTED_VALUE"""),5)</f>
        <v>5</v>
      </c>
      <c r="E4174" s="2">
        <f ca="1">IFERROR(__xludf.DUMMYFUNCTION("""COMPUTED_VALUE"""),2)</f>
        <v>2</v>
      </c>
    </row>
    <row r="4175" spans="1:5" ht="13">
      <c r="A4175" s="2" t="str">
        <f ca="1">IFERROR(__xludf.DUMMYFUNCTION("""COMPUTED_VALUE"""),"Johnson, Derric")</f>
        <v>Johnson, Derric</v>
      </c>
      <c r="B4175" s="3">
        <f ca="1">IFERROR(__xludf.DUMMYFUNCTION("""COMPUTED_VALUE"""),1)</f>
        <v>1</v>
      </c>
      <c r="C4175" s="7">
        <f ca="1">IFERROR(__xludf.DUMMYFUNCTION("""COMPUTED_VALUE"""),1)</f>
        <v>1</v>
      </c>
      <c r="D4175" s="8">
        <f ca="1">IFERROR(__xludf.DUMMYFUNCTION("""COMPUTED_VALUE"""),1)</f>
        <v>1</v>
      </c>
      <c r="E4175" s="2">
        <f ca="1">IFERROR(__xludf.DUMMYFUNCTION("""COMPUTED_VALUE"""),1)</f>
        <v>1</v>
      </c>
    </row>
    <row r="4176" spans="1:5" ht="13">
      <c r="A4176" s="2" t="str">
        <f ca="1">IFERROR(__xludf.DUMMYFUNCTION("""COMPUTED_VALUE"""),"Johnson, Gordon")</f>
        <v>Johnson, Gordon</v>
      </c>
      <c r="B4176" s="3">
        <f ca="1">IFERROR(__xludf.DUMMYFUNCTION("""COMPUTED_VALUE"""),1)</f>
        <v>1</v>
      </c>
      <c r="C4176" s="7">
        <f ca="1">IFERROR(__xludf.DUMMYFUNCTION("""COMPUTED_VALUE"""),1)</f>
        <v>1</v>
      </c>
      <c r="D4176" s="8">
        <f ca="1">IFERROR(__xludf.DUMMYFUNCTION("""COMPUTED_VALUE"""),1)</f>
        <v>1</v>
      </c>
      <c r="E4176" s="2">
        <f ca="1">IFERROR(__xludf.DUMMYFUNCTION("""COMPUTED_VALUE"""),1)</f>
        <v>1</v>
      </c>
    </row>
    <row r="4177" spans="1:5" ht="13">
      <c r="A4177" s="2" t="str">
        <f ca="1">IFERROR(__xludf.DUMMYFUNCTION("""COMPUTED_VALUE"""),"Johnson, Harold M.")</f>
        <v>Johnson, Harold M.</v>
      </c>
      <c r="B4177" s="2">
        <f ca="1">IFERROR(__xludf.DUMMYFUNCTION("""COMPUTED_VALUE"""),1)</f>
        <v>1</v>
      </c>
      <c r="C4177" s="7">
        <f ca="1">IFERROR(__xludf.DUMMYFUNCTION("""COMPUTED_VALUE"""),1)</f>
        <v>1</v>
      </c>
      <c r="D4177" s="8">
        <f ca="1">IFERROR(__xludf.DUMMYFUNCTION("""COMPUTED_VALUE"""),5)</f>
        <v>5</v>
      </c>
      <c r="E4177" s="2">
        <f ca="1">IFERROR(__xludf.DUMMYFUNCTION("""COMPUTED_VALUE"""),2)</f>
        <v>2</v>
      </c>
    </row>
    <row r="4178" spans="1:5" ht="13">
      <c r="A4178" s="8" t="str">
        <f ca="1">IFERROR(__xludf.DUMMYFUNCTION("""COMPUTED_VALUE"""),"Johnson, Horace")</f>
        <v>Johnson, Horace</v>
      </c>
      <c r="B4178" s="3">
        <f ca="1">IFERROR(__xludf.DUMMYFUNCTION("""COMPUTED_VALUE"""),1)</f>
        <v>1</v>
      </c>
      <c r="C4178" s="7">
        <f ca="1">IFERROR(__xludf.DUMMYFUNCTION("""COMPUTED_VALUE"""),1)</f>
        <v>1</v>
      </c>
      <c r="D4178" s="8">
        <f ca="1">IFERROR(__xludf.DUMMYFUNCTION("""COMPUTED_VALUE"""),5)</f>
        <v>5</v>
      </c>
      <c r="E4178" s="2">
        <f ca="1">IFERROR(__xludf.DUMMYFUNCTION("""COMPUTED_VALUE"""),2)</f>
        <v>2</v>
      </c>
    </row>
    <row r="4179" spans="1:5" ht="13">
      <c r="A4179" s="2" t="str">
        <f ca="1">IFERROR(__xludf.DUMMYFUNCTION("""COMPUTED_VALUE"""),"Johnson, James")</f>
        <v>Johnson, James</v>
      </c>
      <c r="B4179" s="2">
        <f ca="1">IFERROR(__xludf.DUMMYFUNCTION("""COMPUTED_VALUE"""),1)</f>
        <v>1</v>
      </c>
      <c r="C4179" s="7">
        <f ca="1">IFERROR(__xludf.DUMMYFUNCTION("""COMPUTED_VALUE"""),1)</f>
        <v>1</v>
      </c>
      <c r="D4179" s="8">
        <f ca="1">IFERROR(__xludf.DUMMYFUNCTION("""COMPUTED_VALUE"""),5)</f>
        <v>5</v>
      </c>
      <c r="E4179" s="2">
        <f ca="1">IFERROR(__xludf.DUMMYFUNCTION("""COMPUTED_VALUE"""),2)</f>
        <v>2</v>
      </c>
    </row>
    <row r="4180" spans="1:5" ht="13">
      <c r="A4180" s="2" t="str">
        <f ca="1">IFERROR(__xludf.DUMMYFUNCTION("""COMPUTED_VALUE"""),"Johnson, Jeremiah")</f>
        <v>Johnson, Jeremiah</v>
      </c>
      <c r="B4180" s="3">
        <f ca="1">IFERROR(__xludf.DUMMYFUNCTION("""COMPUTED_VALUE"""),1)</f>
        <v>1</v>
      </c>
      <c r="C4180" s="7">
        <f ca="1">IFERROR(__xludf.DUMMYFUNCTION("""COMPUTED_VALUE"""),1)</f>
        <v>1</v>
      </c>
      <c r="D4180" s="8">
        <f ca="1">IFERROR(__xludf.DUMMYFUNCTION("""COMPUTED_VALUE"""),1)</f>
        <v>1</v>
      </c>
      <c r="E4180" s="2">
        <f ca="1">IFERROR(__xludf.DUMMYFUNCTION("""COMPUTED_VALUE"""),1)</f>
        <v>1</v>
      </c>
    </row>
    <row r="4181" spans="1:5" ht="13">
      <c r="A4181" s="2" t="str">
        <f ca="1">IFERROR(__xludf.DUMMYFUNCTION("""COMPUTED_VALUE"""),"Johnson, Julian")</f>
        <v>Johnson, Julian</v>
      </c>
      <c r="B4181" s="3">
        <f ca="1">IFERROR(__xludf.DUMMYFUNCTION("""COMPUTED_VALUE"""),1)</f>
        <v>1</v>
      </c>
      <c r="C4181" s="7">
        <f ca="1">IFERROR(__xludf.DUMMYFUNCTION("""COMPUTED_VALUE"""),1)</f>
        <v>1</v>
      </c>
      <c r="D4181" s="8">
        <f ca="1">IFERROR(__xludf.DUMMYFUNCTION("""COMPUTED_VALUE"""),1)</f>
        <v>1</v>
      </c>
      <c r="E4181" s="2">
        <f ca="1">IFERROR(__xludf.DUMMYFUNCTION("""COMPUTED_VALUE"""),1)</f>
        <v>1</v>
      </c>
    </row>
    <row r="4182" spans="1:5" ht="13">
      <c r="A4182" s="2" t="str">
        <f ca="1">IFERROR(__xludf.DUMMYFUNCTION("""COMPUTED_VALUE"""),"Johnson, Lane")</f>
        <v>Johnson, Lane</v>
      </c>
      <c r="B4182" s="3">
        <f ca="1">IFERROR(__xludf.DUMMYFUNCTION("""COMPUTED_VALUE"""),1)</f>
        <v>1</v>
      </c>
      <c r="C4182" s="7">
        <f ca="1">IFERROR(__xludf.DUMMYFUNCTION("""COMPUTED_VALUE"""),1)</f>
        <v>1</v>
      </c>
      <c r="D4182" s="8">
        <f ca="1">IFERROR(__xludf.DUMMYFUNCTION("""COMPUTED_VALUE"""),1)</f>
        <v>1</v>
      </c>
      <c r="E4182" s="2">
        <f ca="1">IFERROR(__xludf.DUMMYFUNCTION("""COMPUTED_VALUE"""),1)</f>
        <v>1</v>
      </c>
    </row>
    <row r="4183" spans="1:5" ht="13">
      <c r="A4183" s="8" t="str">
        <f ca="1">IFERROR(__xludf.DUMMYFUNCTION("""COMPUTED_VALUE"""),"Johnson, Lockrem")</f>
        <v>Johnson, Lockrem</v>
      </c>
      <c r="B4183" s="3">
        <f ca="1">IFERROR(__xludf.DUMMYFUNCTION("""COMPUTED_VALUE"""),1)</f>
        <v>1</v>
      </c>
      <c r="C4183" s="7">
        <f ca="1">IFERROR(__xludf.DUMMYFUNCTION("""COMPUTED_VALUE"""),1)</f>
        <v>1</v>
      </c>
      <c r="D4183" s="8">
        <f ca="1">IFERROR(__xludf.DUMMYFUNCTION("""COMPUTED_VALUE"""),5)</f>
        <v>5</v>
      </c>
      <c r="E4183" s="2">
        <f ca="1">IFERROR(__xludf.DUMMYFUNCTION("""COMPUTED_VALUE"""),2)</f>
        <v>2</v>
      </c>
    </row>
    <row r="4184" spans="1:5" ht="13">
      <c r="A4184" s="2" t="str">
        <f ca="1">IFERROR(__xludf.DUMMYFUNCTION("""COMPUTED_VALUE"""),"Johnson, Matt")</f>
        <v>Johnson, Matt</v>
      </c>
      <c r="B4184" s="3">
        <f ca="1">IFERROR(__xludf.DUMMYFUNCTION("""COMPUTED_VALUE"""),1)</f>
        <v>1</v>
      </c>
      <c r="C4184" s="7">
        <f ca="1">IFERROR(__xludf.DUMMYFUNCTION("""COMPUTED_VALUE"""),1)</f>
        <v>1</v>
      </c>
      <c r="D4184" s="8">
        <f ca="1">IFERROR(__xludf.DUMMYFUNCTION("""COMPUTED_VALUE"""),1)</f>
        <v>1</v>
      </c>
      <c r="E4184" s="2">
        <f ca="1">IFERROR(__xludf.DUMMYFUNCTION("""COMPUTED_VALUE"""),1)</f>
        <v>1</v>
      </c>
    </row>
    <row r="4185" spans="1:5" ht="13">
      <c r="A4185" s="2" t="str">
        <f ca="1">IFERROR(__xludf.DUMMYFUNCTION("""COMPUTED_VALUE"""),"Johnson, Michael")</f>
        <v>Johnson, Michael</v>
      </c>
      <c r="B4185" s="3">
        <f ca="1">IFERROR(__xludf.DUMMYFUNCTION("""COMPUTED_VALUE"""),1)</f>
        <v>1</v>
      </c>
      <c r="C4185" s="7">
        <f ca="1">IFERROR(__xludf.DUMMYFUNCTION("""COMPUTED_VALUE"""),1)</f>
        <v>1</v>
      </c>
      <c r="D4185" s="8">
        <f ca="1">IFERROR(__xludf.DUMMYFUNCTION("""COMPUTED_VALUE"""),1)</f>
        <v>1</v>
      </c>
      <c r="E4185" s="2">
        <f ca="1">IFERROR(__xludf.DUMMYFUNCTION("""COMPUTED_VALUE"""),1)</f>
        <v>1</v>
      </c>
    </row>
    <row r="4186" spans="1:5" ht="13">
      <c r="A4186" s="8" t="str">
        <f ca="1">IFERROR(__xludf.DUMMYFUNCTION("""COMPUTED_VALUE"""),"Johnson, Neil")</f>
        <v>Johnson, Neil</v>
      </c>
      <c r="B4186" s="3">
        <f ca="1">IFERROR(__xludf.DUMMYFUNCTION("""COMPUTED_VALUE"""),1)</f>
        <v>1</v>
      </c>
      <c r="C4186" s="7">
        <f ca="1">IFERROR(__xludf.DUMMYFUNCTION("""COMPUTED_VALUE"""),1)</f>
        <v>1</v>
      </c>
      <c r="D4186" s="8">
        <f ca="1">IFERROR(__xludf.DUMMYFUNCTION("""COMPUTED_VALUE"""),1)</f>
        <v>1</v>
      </c>
      <c r="E4186" s="2">
        <f ca="1">IFERROR(__xludf.DUMMYFUNCTION("""COMPUTED_VALUE"""),1)</f>
        <v>1</v>
      </c>
    </row>
    <row r="4187" spans="1:5" ht="13">
      <c r="A4187" s="2" t="str">
        <f ca="1">IFERROR(__xludf.DUMMYFUNCTION("""COMPUTED_VALUE"""),"Johnson, Ralph M.")</f>
        <v>Johnson, Ralph M.</v>
      </c>
      <c r="B4187" s="3">
        <f ca="1">IFERROR(__xludf.DUMMYFUNCTION("""COMPUTED_VALUE"""),1)</f>
        <v>1</v>
      </c>
      <c r="C4187" s="7">
        <f ca="1">IFERROR(__xludf.DUMMYFUNCTION("""COMPUTED_VALUE"""),1)</f>
        <v>1</v>
      </c>
      <c r="D4187" s="8">
        <f ca="1">IFERROR(__xludf.DUMMYFUNCTION("""COMPUTED_VALUE"""),1)</f>
        <v>1</v>
      </c>
      <c r="E4187" s="2">
        <f ca="1">IFERROR(__xludf.DUMMYFUNCTION("""COMPUTED_VALUE"""),1)</f>
        <v>1</v>
      </c>
    </row>
    <row r="4188" spans="1:5" ht="13">
      <c r="A4188" s="2" t="str">
        <f ca="1">IFERROR(__xludf.DUMMYFUNCTION("""COMPUTED_VALUE"""),"Johnson, Randall")</f>
        <v>Johnson, Randall</v>
      </c>
      <c r="B4188" s="2">
        <f ca="1">IFERROR(__xludf.DUMMYFUNCTION("""COMPUTED_VALUE"""),1)</f>
        <v>1</v>
      </c>
      <c r="C4188" s="7">
        <f ca="1">IFERROR(__xludf.DUMMYFUNCTION("""COMPUTED_VALUE"""),1)</f>
        <v>1</v>
      </c>
      <c r="D4188" s="8">
        <f ca="1">IFERROR(__xludf.DUMMYFUNCTION("""COMPUTED_VALUE"""),1)</f>
        <v>1</v>
      </c>
      <c r="E4188" s="2">
        <f ca="1">IFERROR(__xludf.DUMMYFUNCTION("""COMPUTED_VALUE"""),1)</f>
        <v>1</v>
      </c>
    </row>
    <row r="4189" spans="1:5" ht="13">
      <c r="A4189" s="2" t="str">
        <f ca="1">IFERROR(__xludf.DUMMYFUNCTION("""COMPUTED_VALUE"""),"Johnson, Scott")</f>
        <v>Johnson, Scott</v>
      </c>
      <c r="B4189" s="3">
        <f ca="1">IFERROR(__xludf.DUMMYFUNCTION("""COMPUTED_VALUE"""),1)</f>
        <v>1</v>
      </c>
      <c r="C4189" s="7">
        <f ca="1">IFERROR(__xludf.DUMMYFUNCTION("""COMPUTED_VALUE"""),1)</f>
        <v>1</v>
      </c>
      <c r="D4189" s="8">
        <f ca="1">IFERROR(__xludf.DUMMYFUNCTION("""COMPUTED_VALUE"""),1)</f>
        <v>1</v>
      </c>
      <c r="E4189" s="2">
        <f ca="1">IFERROR(__xludf.DUMMYFUNCTION("""COMPUTED_VALUE"""),1)</f>
        <v>1</v>
      </c>
    </row>
    <row r="4190" spans="1:5" ht="13">
      <c r="A4190" s="2" t="str">
        <f ca="1">IFERROR(__xludf.DUMMYFUNCTION("""COMPUTED_VALUE"""),"Johnson, Stuart")</f>
        <v>Johnson, Stuart</v>
      </c>
      <c r="B4190" s="2">
        <f ca="1">IFERROR(__xludf.DUMMYFUNCTION("""COMPUTED_VALUE"""),1)</f>
        <v>1</v>
      </c>
      <c r="C4190" s="7">
        <f ca="1">IFERROR(__xludf.DUMMYFUNCTION("""COMPUTED_VALUE"""),1)</f>
        <v>1</v>
      </c>
      <c r="D4190" s="8">
        <f ca="1">IFERROR(__xludf.DUMMYFUNCTION("""COMPUTED_VALUE"""),1)</f>
        <v>1</v>
      </c>
      <c r="E4190" s="2">
        <f ca="1">IFERROR(__xludf.DUMMYFUNCTION("""COMPUTED_VALUE"""),1)</f>
        <v>1</v>
      </c>
    </row>
    <row r="4191" spans="1:5" ht="13">
      <c r="A4191" s="8" t="str">
        <f ca="1">IFERROR(__xludf.DUMMYFUNCTION("""COMPUTED_VALUE"""),"Johnson, Sy")</f>
        <v>Johnson, Sy</v>
      </c>
      <c r="B4191" s="3">
        <f ca="1">IFERROR(__xludf.DUMMYFUNCTION("""COMPUTED_VALUE"""),1)</f>
        <v>1</v>
      </c>
      <c r="C4191" s="7">
        <f ca="1">IFERROR(__xludf.DUMMYFUNCTION("""COMPUTED_VALUE"""),1)</f>
        <v>1</v>
      </c>
      <c r="D4191" s="8">
        <f ca="1">IFERROR(__xludf.DUMMYFUNCTION("""COMPUTED_VALUE"""),5)</f>
        <v>5</v>
      </c>
      <c r="E4191" s="2">
        <f ca="1">IFERROR(__xludf.DUMMYFUNCTION("""COMPUTED_VALUE"""),2)</f>
        <v>2</v>
      </c>
    </row>
    <row r="4192" spans="1:5" ht="13">
      <c r="A4192" s="2" t="str">
        <f ca="1">IFERROR(__xludf.DUMMYFUNCTION("""COMPUTED_VALUE"""),"Johnson, Terre")</f>
        <v>Johnson, Terre</v>
      </c>
      <c r="B4192" s="3">
        <f ca="1">IFERROR(__xludf.DUMMYFUNCTION("""COMPUTED_VALUE"""),1)</f>
        <v>1</v>
      </c>
      <c r="C4192" s="7">
        <f ca="1">IFERROR(__xludf.DUMMYFUNCTION("""COMPUTED_VALUE"""),1)</f>
        <v>1</v>
      </c>
      <c r="D4192" s="8">
        <f ca="1">IFERROR(__xludf.DUMMYFUNCTION("""COMPUTED_VALUE"""),1)</f>
        <v>1</v>
      </c>
      <c r="E4192" s="2">
        <f ca="1">IFERROR(__xludf.DUMMYFUNCTION("""COMPUTED_VALUE"""),1)</f>
        <v>1</v>
      </c>
    </row>
    <row r="4193" spans="1:5" ht="13">
      <c r="A4193" s="2" t="str">
        <f ca="1">IFERROR(__xludf.DUMMYFUNCTION("""COMPUTED_VALUE"""),"Johnson, Thor")</f>
        <v>Johnson, Thor</v>
      </c>
      <c r="B4193" s="3">
        <f ca="1">IFERROR(__xludf.DUMMYFUNCTION("""COMPUTED_VALUE"""),1)</f>
        <v>1</v>
      </c>
      <c r="C4193" s="7">
        <f ca="1">IFERROR(__xludf.DUMMYFUNCTION("""COMPUTED_VALUE"""),1)</f>
        <v>1</v>
      </c>
      <c r="D4193" s="8">
        <f ca="1">IFERROR(__xludf.DUMMYFUNCTION("""COMPUTED_VALUE"""),5)</f>
        <v>5</v>
      </c>
      <c r="E4193" s="2">
        <f ca="1">IFERROR(__xludf.DUMMYFUNCTION("""COMPUTED_VALUE"""),2)</f>
        <v>2</v>
      </c>
    </row>
    <row r="4194" spans="1:5" ht="13">
      <c r="A4194" s="8" t="str">
        <f ca="1">IFERROR(__xludf.DUMMYFUNCTION("""COMPUTED_VALUE"""),"Johnson, Thor / Tircuit, Heuwell")</f>
        <v>Johnson, Thor / Tircuit, Heuwell</v>
      </c>
      <c r="B4194" s="3">
        <f ca="1">IFERROR(__xludf.DUMMYFUNCTION("""COMPUTED_VALUE"""),1)</f>
        <v>1</v>
      </c>
      <c r="C4194" s="7">
        <f ca="1">IFERROR(__xludf.DUMMYFUNCTION("""COMPUTED_VALUE"""),1)</f>
        <v>1</v>
      </c>
      <c r="D4194" s="8">
        <f ca="1">IFERROR(__xludf.DUMMYFUNCTION("""COMPUTED_VALUE"""),5)</f>
        <v>5</v>
      </c>
      <c r="E4194" s="2">
        <f ca="1">IFERROR(__xludf.DUMMYFUNCTION("""COMPUTED_VALUE"""),2)</f>
        <v>2</v>
      </c>
    </row>
    <row r="4195" spans="1:5" ht="13">
      <c r="A4195" s="2" t="str">
        <f ca="1">IFERROR(__xludf.DUMMYFUNCTION("""COMPUTED_VALUE"""),"Johnson, Timothy")</f>
        <v>Johnson, Timothy</v>
      </c>
      <c r="B4195" s="3">
        <f ca="1">IFERROR(__xludf.DUMMYFUNCTION("""COMPUTED_VALUE"""),1)</f>
        <v>1</v>
      </c>
      <c r="C4195" s="7">
        <f ca="1">IFERROR(__xludf.DUMMYFUNCTION("""COMPUTED_VALUE"""),1)</f>
        <v>1</v>
      </c>
      <c r="D4195" s="8">
        <f ca="1">IFERROR(__xludf.DUMMYFUNCTION("""COMPUTED_VALUE"""),1)</f>
        <v>1</v>
      </c>
      <c r="E4195" s="2">
        <f ca="1">IFERROR(__xludf.DUMMYFUNCTION("""COMPUTED_VALUE"""),1)</f>
        <v>1</v>
      </c>
    </row>
    <row r="4196" spans="1:5" ht="13">
      <c r="A4196" s="2" t="str">
        <f ca="1">IFERROR(__xludf.DUMMYFUNCTION("""COMPUTED_VALUE"""),"Johnson, Wally")</f>
        <v>Johnson, Wally</v>
      </c>
      <c r="B4196" s="2">
        <f ca="1">IFERROR(__xludf.DUMMYFUNCTION("""COMPUTED_VALUE"""),1)</f>
        <v>1</v>
      </c>
      <c r="C4196" s="7">
        <f ca="1">IFERROR(__xludf.DUMMYFUNCTION("""COMPUTED_VALUE"""),1)</f>
        <v>1</v>
      </c>
      <c r="D4196" s="8">
        <f ca="1">IFERROR(__xludf.DUMMYFUNCTION("""COMPUTED_VALUE"""),5)</f>
        <v>5</v>
      </c>
      <c r="E4196" s="2">
        <f ca="1">IFERROR(__xludf.DUMMYFUNCTION("""COMPUTED_VALUE"""),2)</f>
        <v>2</v>
      </c>
    </row>
    <row r="4197" spans="1:5" ht="13">
      <c r="A4197" s="2" t="str">
        <f ca="1">IFERROR(__xludf.DUMMYFUNCTION("""COMPUTED_VALUE"""),"Johnson, William V.")</f>
        <v>Johnson, William V.</v>
      </c>
      <c r="B4197" s="2">
        <f ca="1">IFERROR(__xludf.DUMMYFUNCTION("""COMPUTED_VALUE"""),1)</f>
        <v>1</v>
      </c>
      <c r="C4197" s="2">
        <f ca="1">IFERROR(__xludf.DUMMYFUNCTION("""COMPUTED_VALUE"""),1)</f>
        <v>1</v>
      </c>
      <c r="D4197" s="8">
        <f ca="1">IFERROR(__xludf.DUMMYFUNCTION("""COMPUTED_VALUE"""),1)</f>
        <v>1</v>
      </c>
      <c r="E4197" s="2">
        <f ca="1">IFERROR(__xludf.DUMMYFUNCTION("""COMPUTED_VALUE"""),1)</f>
        <v>1</v>
      </c>
    </row>
    <row r="4198" spans="1:5" ht="13">
      <c r="A4198" s="2" t="str">
        <f ca="1">IFERROR(__xludf.DUMMYFUNCTION("""COMPUTED_VALUE"""),"Johnston, David O.")</f>
        <v>Johnston, David O.</v>
      </c>
      <c r="B4198" s="2">
        <f ca="1">IFERROR(__xludf.DUMMYFUNCTION("""COMPUTED_VALUE"""),1)</f>
        <v>1</v>
      </c>
      <c r="C4198" s="7">
        <f ca="1">IFERROR(__xludf.DUMMYFUNCTION("""COMPUTED_VALUE"""),1)</f>
        <v>1</v>
      </c>
      <c r="D4198" s="8">
        <f ca="1">IFERROR(__xludf.DUMMYFUNCTION("""COMPUTED_VALUE"""),5)</f>
        <v>5</v>
      </c>
      <c r="E4198" s="2">
        <f ca="1">IFERROR(__xludf.DUMMYFUNCTION("""COMPUTED_VALUE"""),2)</f>
        <v>2</v>
      </c>
    </row>
    <row r="4199" spans="1:5" ht="13">
      <c r="A4199" s="8" t="str">
        <f ca="1">IFERROR(__xludf.DUMMYFUNCTION("""COMPUTED_VALUE"""),"Johnston, Donald O.")</f>
        <v>Johnston, Donald O.</v>
      </c>
      <c r="B4199" s="3">
        <f ca="1">IFERROR(__xludf.DUMMYFUNCTION("""COMPUTED_VALUE"""),1)</f>
        <v>1</v>
      </c>
      <c r="C4199" s="7">
        <f ca="1">IFERROR(__xludf.DUMMYFUNCTION("""COMPUTED_VALUE"""),1)</f>
        <v>1</v>
      </c>
      <c r="D4199" s="8">
        <f ca="1">IFERROR(__xludf.DUMMYFUNCTION("""COMPUTED_VALUE"""),1)</f>
        <v>1</v>
      </c>
      <c r="E4199" s="2">
        <f ca="1">IFERROR(__xludf.DUMMYFUNCTION("""COMPUTED_VALUE"""),1)</f>
        <v>1</v>
      </c>
    </row>
    <row r="4200" spans="1:5" ht="13">
      <c r="A4200" s="8" t="str">
        <f ca="1">IFERROR(__xludf.DUMMYFUNCTION("""COMPUTED_VALUE"""),"Johnston, Herbert N.")</f>
        <v>Johnston, Herbert N.</v>
      </c>
      <c r="B4200" s="3">
        <f ca="1">IFERROR(__xludf.DUMMYFUNCTION("""COMPUTED_VALUE"""),1)</f>
        <v>1</v>
      </c>
      <c r="C4200" s="7">
        <f ca="1">IFERROR(__xludf.DUMMYFUNCTION("""COMPUTED_VALUE"""),1)</f>
        <v>1</v>
      </c>
      <c r="D4200" s="8">
        <f ca="1">IFERROR(__xludf.DUMMYFUNCTION("""COMPUTED_VALUE"""),5)</f>
        <v>5</v>
      </c>
      <c r="E4200" s="2">
        <f ca="1">IFERROR(__xludf.DUMMYFUNCTION("""COMPUTED_VALUE"""),2)</f>
        <v>2</v>
      </c>
    </row>
    <row r="4201" spans="1:5" ht="13">
      <c r="A4201" s="8" t="str">
        <f ca="1">IFERROR(__xludf.DUMMYFUNCTION("""COMPUTED_VALUE"""),"Johnston, Jack")</f>
        <v>Johnston, Jack</v>
      </c>
      <c r="B4201" s="3">
        <f ca="1">IFERROR(__xludf.DUMMYFUNCTION("""COMPUTED_VALUE"""),1)</f>
        <v>1</v>
      </c>
      <c r="C4201" s="7">
        <f ca="1">IFERROR(__xludf.DUMMYFUNCTION("""COMPUTED_VALUE"""),1)</f>
        <v>1</v>
      </c>
      <c r="D4201" s="8">
        <f ca="1">IFERROR(__xludf.DUMMYFUNCTION("""COMPUTED_VALUE"""),5)</f>
        <v>5</v>
      </c>
      <c r="E4201" s="2">
        <f ca="1">IFERROR(__xludf.DUMMYFUNCTION("""COMPUTED_VALUE"""),2)</f>
        <v>2</v>
      </c>
    </row>
    <row r="4202" spans="1:5" ht="13">
      <c r="A4202" s="8" t="str">
        <f ca="1">IFERROR(__xludf.DUMMYFUNCTION("""COMPUTED_VALUE"""),"Johnston, Ken")</f>
        <v>Johnston, Ken</v>
      </c>
      <c r="B4202" s="3">
        <f ca="1">IFERROR(__xludf.DUMMYFUNCTION("""COMPUTED_VALUE"""),1)</f>
        <v>1</v>
      </c>
      <c r="C4202" s="7">
        <f ca="1">IFERROR(__xludf.DUMMYFUNCTION("""COMPUTED_VALUE"""),1)</f>
        <v>1</v>
      </c>
      <c r="D4202" s="8">
        <f ca="1">IFERROR(__xludf.DUMMYFUNCTION("""COMPUTED_VALUE"""),1)</f>
        <v>1</v>
      </c>
      <c r="E4202" s="2">
        <f ca="1">IFERROR(__xludf.DUMMYFUNCTION("""COMPUTED_VALUE"""),1)</f>
        <v>1</v>
      </c>
    </row>
    <row r="4203" spans="1:5" ht="13">
      <c r="A4203" s="2" t="str">
        <f ca="1">IFERROR(__xludf.DUMMYFUNCTION("""COMPUTED_VALUE"""),"Johnston, Matt")</f>
        <v>Johnston, Matt</v>
      </c>
      <c r="B4203" s="3">
        <f ca="1">IFERROR(__xludf.DUMMYFUNCTION("""COMPUTED_VALUE"""),1)</f>
        <v>1</v>
      </c>
      <c r="C4203" s="7">
        <f ca="1">IFERROR(__xludf.DUMMYFUNCTION("""COMPUTED_VALUE"""),1)</f>
        <v>1</v>
      </c>
      <c r="D4203" s="8">
        <f ca="1">IFERROR(__xludf.DUMMYFUNCTION("""COMPUTED_VALUE"""),1)</f>
        <v>1</v>
      </c>
      <c r="E4203" s="2">
        <f ca="1">IFERROR(__xludf.DUMMYFUNCTION("""COMPUTED_VALUE"""),1)</f>
        <v>1</v>
      </c>
    </row>
    <row r="4204" spans="1:5" ht="13">
      <c r="A4204" s="2" t="str">
        <f ca="1">IFERROR(__xludf.DUMMYFUNCTION("""COMPUTED_VALUE"""),"Johnston, Nathan")</f>
        <v>Johnston, Nathan</v>
      </c>
      <c r="B4204" s="3">
        <f ca="1">IFERROR(__xludf.DUMMYFUNCTION("""COMPUTED_VALUE"""),1)</f>
        <v>1</v>
      </c>
      <c r="C4204" s="7">
        <f ca="1">IFERROR(__xludf.DUMMYFUNCTION("""COMPUTED_VALUE"""),1)</f>
        <v>1</v>
      </c>
      <c r="D4204" s="8">
        <f ca="1">IFERROR(__xludf.DUMMYFUNCTION("""COMPUTED_VALUE"""),1)</f>
        <v>1</v>
      </c>
      <c r="E4204" s="2">
        <f ca="1">IFERROR(__xludf.DUMMYFUNCTION("""COMPUTED_VALUE"""),1)</f>
        <v>1</v>
      </c>
    </row>
    <row r="4205" spans="1:5" ht="13">
      <c r="A4205" s="8" t="str">
        <f ca="1">IFERROR(__xludf.DUMMYFUNCTION("""COMPUTED_VALUE"""),"Johnston, Nic")</f>
        <v>Johnston, Nic</v>
      </c>
      <c r="B4205" s="3">
        <f ca="1">IFERROR(__xludf.DUMMYFUNCTION("""COMPUTED_VALUE"""),1)</f>
        <v>1</v>
      </c>
      <c r="C4205" s="7">
        <f ca="1">IFERROR(__xludf.DUMMYFUNCTION("""COMPUTED_VALUE"""),1)</f>
        <v>1</v>
      </c>
      <c r="D4205" s="8">
        <f ca="1">IFERROR(__xludf.DUMMYFUNCTION("""COMPUTED_VALUE"""),1)</f>
        <v>1</v>
      </c>
      <c r="E4205" s="2">
        <f ca="1">IFERROR(__xludf.DUMMYFUNCTION("""COMPUTED_VALUE"""),1)</f>
        <v>1</v>
      </c>
    </row>
    <row r="4206" spans="1:5" ht="13">
      <c r="A4206" s="2" t="str">
        <f ca="1">IFERROR(__xludf.DUMMYFUNCTION("""COMPUTED_VALUE"""),"Johnston, Richard")</f>
        <v>Johnston, Richard</v>
      </c>
      <c r="B4206" s="2">
        <f ca="1">IFERROR(__xludf.DUMMYFUNCTION("""COMPUTED_VALUE"""),1)</f>
        <v>1</v>
      </c>
      <c r="C4206" s="2">
        <f ca="1">IFERROR(__xludf.DUMMYFUNCTION("""COMPUTED_VALUE"""),1)</f>
        <v>1</v>
      </c>
      <c r="D4206" s="8">
        <f ca="1">IFERROR(__xludf.DUMMYFUNCTION("""COMPUTED_VALUE"""),5)</f>
        <v>5</v>
      </c>
      <c r="E4206" s="2">
        <f ca="1">IFERROR(__xludf.DUMMYFUNCTION("""COMPUTED_VALUE"""),2)</f>
        <v>2</v>
      </c>
    </row>
    <row r="4207" spans="1:5" ht="13">
      <c r="A4207" s="8" t="str">
        <f ca="1">IFERROR(__xludf.DUMMYFUNCTION("""COMPUTED_VALUE"""),"Johnston, Stuart")</f>
        <v>Johnston, Stuart</v>
      </c>
      <c r="B4207" s="3">
        <f ca="1">IFERROR(__xludf.DUMMYFUNCTION("""COMPUTED_VALUE"""),1)</f>
        <v>1</v>
      </c>
      <c r="C4207" s="7">
        <f ca="1">IFERROR(__xludf.DUMMYFUNCTION("""COMPUTED_VALUE"""),1)</f>
        <v>1</v>
      </c>
      <c r="D4207" s="8">
        <f ca="1">IFERROR(__xludf.DUMMYFUNCTION("""COMPUTED_VALUE"""),1)</f>
        <v>1</v>
      </c>
      <c r="E4207" s="2">
        <f ca="1">IFERROR(__xludf.DUMMYFUNCTION("""COMPUTED_VALUE"""),1)</f>
        <v>1</v>
      </c>
    </row>
    <row r="4208" spans="1:5" ht="13">
      <c r="A4208" s="2" t="str">
        <f ca="1">IFERROR(__xludf.DUMMYFUNCTION("""COMPUTED_VALUE"""),"Johnstone, Maurice")</f>
        <v>Johnstone, Maurice</v>
      </c>
      <c r="B4208" s="3">
        <f ca="1">IFERROR(__xludf.DUMMYFUNCTION("""COMPUTED_VALUE"""),1)</f>
        <v>1</v>
      </c>
      <c r="C4208" s="7">
        <f ca="1">IFERROR(__xludf.DUMMYFUNCTION("""COMPUTED_VALUE"""),1)</f>
        <v>1</v>
      </c>
      <c r="D4208" s="8">
        <f ca="1">IFERROR(__xludf.DUMMYFUNCTION("""COMPUTED_VALUE"""),5)</f>
        <v>5</v>
      </c>
      <c r="E4208" s="2">
        <f ca="1">IFERROR(__xludf.DUMMYFUNCTION("""COMPUTED_VALUE"""),2)</f>
        <v>2</v>
      </c>
    </row>
    <row r="4209" spans="1:5" ht="13">
      <c r="A4209" s="2" t="str">
        <f ca="1">IFERROR(__xludf.DUMMYFUNCTION("""COMPUTED_VALUE"""),"Jolivet, Andre")</f>
        <v>Jolivet, Andre</v>
      </c>
      <c r="B4209" s="3">
        <f ca="1">IFERROR(__xludf.DUMMYFUNCTION("""COMPUTED_VALUE"""),1)</f>
        <v>1</v>
      </c>
      <c r="C4209" s="7">
        <f ca="1">IFERROR(__xludf.DUMMYFUNCTION("""COMPUTED_VALUE"""),1)</f>
        <v>1</v>
      </c>
      <c r="D4209" s="8">
        <f ca="1">IFERROR(__xludf.DUMMYFUNCTION("""COMPUTED_VALUE"""),5)</f>
        <v>5</v>
      </c>
      <c r="E4209" s="2">
        <f ca="1">IFERROR(__xludf.DUMMYFUNCTION("""COMPUTED_VALUE"""),2)</f>
        <v>2</v>
      </c>
    </row>
    <row r="4210" spans="1:5" ht="13">
      <c r="A4210" s="2" t="str">
        <f ca="1">IFERROR(__xludf.DUMMYFUNCTION("""COMPUTED_VALUE"""),"Jolivet, André")</f>
        <v>Jolivet, André</v>
      </c>
      <c r="B4210" s="3">
        <f ca="1">IFERROR(__xludf.DUMMYFUNCTION("""COMPUTED_VALUE"""),1)</f>
        <v>1</v>
      </c>
      <c r="C4210" s="7">
        <f ca="1">IFERROR(__xludf.DUMMYFUNCTION("""COMPUTED_VALUE"""),1)</f>
        <v>1</v>
      </c>
      <c r="D4210" s="8">
        <f ca="1">IFERROR(__xludf.DUMMYFUNCTION("""COMPUTED_VALUE"""),5)</f>
        <v>5</v>
      </c>
      <c r="E4210" s="2">
        <f ca="1">IFERROR(__xludf.DUMMYFUNCTION("""COMPUTED_VALUE"""),2)</f>
        <v>2</v>
      </c>
    </row>
    <row r="4211" spans="1:5" ht="13">
      <c r="A4211" s="2" t="str">
        <f ca="1">IFERROR(__xludf.DUMMYFUNCTION("""COMPUTED_VALUE"""),"Jolson, Al")</f>
        <v>Jolson, Al</v>
      </c>
      <c r="B4211" s="3">
        <f ca="1">IFERROR(__xludf.DUMMYFUNCTION("""COMPUTED_VALUE"""),1)</f>
        <v>1</v>
      </c>
      <c r="C4211" s="7">
        <f ca="1">IFERROR(__xludf.DUMMYFUNCTION("""COMPUTED_VALUE"""),1)</f>
        <v>1</v>
      </c>
      <c r="D4211" s="8">
        <f ca="1">IFERROR(__xludf.DUMMYFUNCTION("""COMPUTED_VALUE"""),5)</f>
        <v>5</v>
      </c>
      <c r="E4211" s="2">
        <f ca="1">IFERROR(__xludf.DUMMYFUNCTION("""COMPUTED_VALUE"""),2)</f>
        <v>2</v>
      </c>
    </row>
    <row r="4212" spans="1:5" ht="13">
      <c r="A4212" s="2" t="str">
        <f ca="1">IFERROR(__xludf.DUMMYFUNCTION("""COMPUTED_VALUE"""),"Jón Leifs")</f>
        <v>Jón Leifs</v>
      </c>
      <c r="B4212" s="3">
        <f ca="1">IFERROR(__xludf.DUMMYFUNCTION("""COMPUTED_VALUE"""),1)</f>
        <v>1</v>
      </c>
      <c r="C4212" s="7">
        <f ca="1">IFERROR(__xludf.DUMMYFUNCTION("""COMPUTED_VALUE"""),1)</f>
        <v>1</v>
      </c>
      <c r="D4212" s="8">
        <f ca="1">IFERROR(__xludf.DUMMYFUNCTION("""COMPUTED_VALUE"""),5)</f>
        <v>5</v>
      </c>
      <c r="E4212" s="2">
        <f ca="1">IFERROR(__xludf.DUMMYFUNCTION("""COMPUTED_VALUE"""),2)</f>
        <v>2</v>
      </c>
    </row>
    <row r="4213" spans="1:5" ht="13">
      <c r="A4213" s="2" t="str">
        <f ca="1">IFERROR(__xludf.DUMMYFUNCTION("""COMPUTED_VALUE"""),"Jonák, Zdeněk")</f>
        <v>Jonák, Zdeněk</v>
      </c>
      <c r="B4213" s="3">
        <f ca="1">IFERROR(__xludf.DUMMYFUNCTION("""COMPUTED_VALUE"""),1)</f>
        <v>1</v>
      </c>
      <c r="C4213" s="7">
        <f ca="1">IFERROR(__xludf.DUMMYFUNCTION("""COMPUTED_VALUE"""),1)</f>
        <v>1</v>
      </c>
      <c r="D4213" s="8">
        <f ca="1">IFERROR(__xludf.DUMMYFUNCTION("""COMPUTED_VALUE"""),5)</f>
        <v>5</v>
      </c>
      <c r="E4213" s="2">
        <f ca="1">IFERROR(__xludf.DUMMYFUNCTION("""COMPUTED_VALUE"""),2)</f>
        <v>2</v>
      </c>
    </row>
    <row r="4214" spans="1:5" ht="13">
      <c r="A4214" s="2" t="str">
        <f ca="1">IFERROR(__xludf.DUMMYFUNCTION("""COMPUTED_VALUE"""),"Jonathan, Scott")</f>
        <v>Jonathan, Scott</v>
      </c>
      <c r="B4214" s="3">
        <f ca="1">IFERROR(__xludf.DUMMYFUNCTION("""COMPUTED_VALUE"""),1)</f>
        <v>1</v>
      </c>
      <c r="C4214" s="7">
        <f ca="1">IFERROR(__xludf.DUMMYFUNCTION("""COMPUTED_VALUE"""),1)</f>
        <v>1</v>
      </c>
      <c r="D4214" s="8">
        <f ca="1">IFERROR(__xludf.DUMMYFUNCTION("""COMPUTED_VALUE"""),1)</f>
        <v>1</v>
      </c>
      <c r="E4214" s="2">
        <f ca="1">IFERROR(__xludf.DUMMYFUNCTION("""COMPUTED_VALUE"""),1)</f>
        <v>1</v>
      </c>
    </row>
    <row r="4215" spans="1:5" ht="13">
      <c r="A4215" s="2" t="str">
        <f ca="1">IFERROR(__xludf.DUMMYFUNCTION("""COMPUTED_VALUE"""),"Joncas, Michael")</f>
        <v>Joncas, Michael</v>
      </c>
      <c r="B4215" s="3">
        <f ca="1">IFERROR(__xludf.DUMMYFUNCTION("""COMPUTED_VALUE"""),1)</f>
        <v>1</v>
      </c>
      <c r="C4215" s="7">
        <f ca="1">IFERROR(__xludf.DUMMYFUNCTION("""COMPUTED_VALUE"""),1)</f>
        <v>1</v>
      </c>
      <c r="D4215" s="8">
        <f ca="1">IFERROR(__xludf.DUMMYFUNCTION("""COMPUTED_VALUE"""),1)</f>
        <v>1</v>
      </c>
      <c r="E4215" s="2">
        <f ca="1">IFERROR(__xludf.DUMMYFUNCTION("""COMPUTED_VALUE"""),1)</f>
        <v>1</v>
      </c>
    </row>
    <row r="4216" spans="1:5" ht="13">
      <c r="A4216" s="8" t="str">
        <f ca="1">IFERROR(__xludf.DUMMYFUNCTION("""COMPUTED_VALUE"""),"Jones, Charles")</f>
        <v>Jones, Charles</v>
      </c>
      <c r="B4216" s="3">
        <f ca="1">IFERROR(__xludf.DUMMYFUNCTION("""COMPUTED_VALUE"""),1)</f>
        <v>1</v>
      </c>
      <c r="C4216" s="7">
        <f ca="1">IFERROR(__xludf.DUMMYFUNCTION("""COMPUTED_VALUE"""),1)</f>
        <v>1</v>
      </c>
      <c r="D4216" s="8">
        <f ca="1">IFERROR(__xludf.DUMMYFUNCTION("""COMPUTED_VALUE"""),5)</f>
        <v>5</v>
      </c>
      <c r="E4216" s="2">
        <f ca="1">IFERROR(__xludf.DUMMYFUNCTION("""COMPUTED_VALUE"""),2)</f>
        <v>2</v>
      </c>
    </row>
    <row r="4217" spans="1:5" ht="13">
      <c r="A4217" s="2" t="str">
        <f ca="1">IFERROR(__xludf.DUMMYFUNCTION("""COMPUTED_VALUE"""),"Jones, Clifton")</f>
        <v>Jones, Clifton</v>
      </c>
      <c r="B4217" s="3">
        <f ca="1">IFERROR(__xludf.DUMMYFUNCTION("""COMPUTED_VALUE"""),1)</f>
        <v>1</v>
      </c>
      <c r="C4217" s="7">
        <f ca="1">IFERROR(__xludf.DUMMYFUNCTION("""COMPUTED_VALUE"""),1)</f>
        <v>1</v>
      </c>
      <c r="D4217" s="8">
        <f ca="1">IFERROR(__xludf.DUMMYFUNCTION("""COMPUTED_VALUE"""),1)</f>
        <v>1</v>
      </c>
      <c r="E4217" s="2">
        <f ca="1">IFERROR(__xludf.DUMMYFUNCTION("""COMPUTED_VALUE"""),1)</f>
        <v>1</v>
      </c>
    </row>
    <row r="4218" spans="1:5" ht="13">
      <c r="A4218" s="2" t="str">
        <f ca="1">IFERROR(__xludf.DUMMYFUNCTION("""COMPUTED_VALUE"""),"Jones, Clifton Jameson")</f>
        <v>Jones, Clifton Jameson</v>
      </c>
      <c r="B4218" s="3">
        <f ca="1">IFERROR(__xludf.DUMMYFUNCTION("""COMPUTED_VALUE"""),1)</f>
        <v>1</v>
      </c>
      <c r="C4218" s="7">
        <f ca="1">IFERROR(__xludf.DUMMYFUNCTION("""COMPUTED_VALUE"""),1)</f>
        <v>1</v>
      </c>
      <c r="D4218" s="8">
        <f ca="1">IFERROR(__xludf.DUMMYFUNCTION("""COMPUTED_VALUE"""),1)</f>
        <v>1</v>
      </c>
      <c r="E4218" s="2">
        <f ca="1">IFERROR(__xludf.DUMMYFUNCTION("""COMPUTED_VALUE"""),1)</f>
        <v>1</v>
      </c>
    </row>
    <row r="4219" spans="1:5" ht="13">
      <c r="A4219" s="2" t="str">
        <f ca="1">IFERROR(__xludf.DUMMYFUNCTION("""COMPUTED_VALUE"""),"Jones, Daniel")</f>
        <v>Jones, Daniel</v>
      </c>
      <c r="B4219" s="3">
        <f ca="1">IFERROR(__xludf.DUMMYFUNCTION("""COMPUTED_VALUE"""),1)</f>
        <v>1</v>
      </c>
      <c r="C4219" s="7">
        <f ca="1">IFERROR(__xludf.DUMMYFUNCTION("""COMPUTED_VALUE"""),1)</f>
        <v>1</v>
      </c>
      <c r="D4219" s="8">
        <f ca="1">IFERROR(__xludf.DUMMYFUNCTION("""COMPUTED_VALUE"""),1)</f>
        <v>1</v>
      </c>
      <c r="E4219" s="2">
        <f ca="1">IFERROR(__xludf.DUMMYFUNCTION("""COMPUTED_VALUE"""),1)</f>
        <v>1</v>
      </c>
    </row>
    <row r="4220" spans="1:5" ht="13">
      <c r="A4220" s="2" t="str">
        <f ca="1">IFERROR(__xludf.DUMMYFUNCTION("""COMPUTED_VALUE"""),"Jones, Daniel Jenkyn")</f>
        <v>Jones, Daniel Jenkyn</v>
      </c>
      <c r="B4220" s="3">
        <f ca="1">IFERROR(__xludf.DUMMYFUNCTION("""COMPUTED_VALUE"""),1)</f>
        <v>1</v>
      </c>
      <c r="C4220" s="7">
        <f ca="1">IFERROR(__xludf.DUMMYFUNCTION("""COMPUTED_VALUE"""),1)</f>
        <v>1</v>
      </c>
      <c r="D4220" s="8">
        <f ca="1">IFERROR(__xludf.DUMMYFUNCTION("""COMPUTED_VALUE"""),5)</f>
        <v>5</v>
      </c>
      <c r="E4220" s="2">
        <f ca="1">IFERROR(__xludf.DUMMYFUNCTION("""COMPUTED_VALUE"""),2)</f>
        <v>2</v>
      </c>
    </row>
    <row r="4221" spans="1:5" ht="13">
      <c r="A4221" s="2" t="str">
        <f ca="1">IFERROR(__xludf.DUMMYFUNCTION("""COMPUTED_VALUE"""),"Jones, David A.")</f>
        <v>Jones, David A.</v>
      </c>
      <c r="B4221" s="3">
        <f ca="1">IFERROR(__xludf.DUMMYFUNCTION("""COMPUTED_VALUE"""),1)</f>
        <v>1</v>
      </c>
      <c r="C4221" s="7">
        <f ca="1">IFERROR(__xludf.DUMMYFUNCTION("""COMPUTED_VALUE"""),1)</f>
        <v>1</v>
      </c>
      <c r="D4221" s="8">
        <f ca="1">IFERROR(__xludf.DUMMYFUNCTION("""COMPUTED_VALUE"""),1)</f>
        <v>1</v>
      </c>
      <c r="E4221" s="2">
        <f ca="1">IFERROR(__xludf.DUMMYFUNCTION("""COMPUTED_VALUE"""),1)</f>
        <v>1</v>
      </c>
    </row>
    <row r="4222" spans="1:5" ht="13">
      <c r="A4222" s="2" t="str">
        <f ca="1">IFERROR(__xludf.DUMMYFUNCTION("""COMPUTED_VALUE"""),"Jones, Douglas K.")</f>
        <v>Jones, Douglas K.</v>
      </c>
      <c r="B4222" s="3">
        <f ca="1">IFERROR(__xludf.DUMMYFUNCTION("""COMPUTED_VALUE"""),1)</f>
        <v>1</v>
      </c>
      <c r="C4222" s="7">
        <f ca="1">IFERROR(__xludf.DUMMYFUNCTION("""COMPUTED_VALUE"""),1)</f>
        <v>1</v>
      </c>
      <c r="D4222" s="8">
        <f ca="1">IFERROR(__xludf.DUMMYFUNCTION("""COMPUTED_VALUE"""),1)</f>
        <v>1</v>
      </c>
      <c r="E4222" s="2">
        <f ca="1">IFERROR(__xludf.DUMMYFUNCTION("""COMPUTED_VALUE"""),1)</f>
        <v>1</v>
      </c>
    </row>
    <row r="4223" spans="1:5" ht="13">
      <c r="A4223" s="8" t="str">
        <f ca="1">IFERROR(__xludf.DUMMYFUNCTION("""COMPUTED_VALUE"""),"Jones, Erik")</f>
        <v>Jones, Erik</v>
      </c>
      <c r="B4223" s="3">
        <f ca="1">IFERROR(__xludf.DUMMYFUNCTION("""COMPUTED_VALUE"""),1)</f>
        <v>1</v>
      </c>
      <c r="C4223" s="7">
        <f ca="1">IFERROR(__xludf.DUMMYFUNCTION("""COMPUTED_VALUE"""),1)</f>
        <v>1</v>
      </c>
      <c r="D4223" s="8">
        <f ca="1">IFERROR(__xludf.DUMMYFUNCTION("""COMPUTED_VALUE"""),1)</f>
        <v>1</v>
      </c>
      <c r="E4223" s="2">
        <f ca="1">IFERROR(__xludf.DUMMYFUNCTION("""COMPUTED_VALUE"""),1)</f>
        <v>1</v>
      </c>
    </row>
    <row r="4224" spans="1:5" ht="13">
      <c r="A4224" s="2" t="str">
        <f ca="1">IFERROR(__xludf.DUMMYFUNCTION("""COMPUTED_VALUE"""),"Jones, George")</f>
        <v>Jones, George</v>
      </c>
      <c r="B4224" s="3">
        <f ca="1">IFERROR(__xludf.DUMMYFUNCTION("""COMPUTED_VALUE"""),1)</f>
        <v>1</v>
      </c>
      <c r="C4224" s="7">
        <f ca="1">IFERROR(__xludf.DUMMYFUNCTION("""COMPUTED_VALUE"""),1)</f>
        <v>1</v>
      </c>
      <c r="D4224" s="8">
        <f ca="1">IFERROR(__xludf.DUMMYFUNCTION("""COMPUTED_VALUE"""),5)</f>
        <v>5</v>
      </c>
      <c r="E4224" s="2">
        <f ca="1">IFERROR(__xludf.DUMMYFUNCTION("""COMPUTED_VALUE"""),2)</f>
        <v>2</v>
      </c>
    </row>
    <row r="4225" spans="1:5" ht="13">
      <c r="A4225" s="2" t="str">
        <f ca="1">IFERROR(__xludf.DUMMYFUNCTION("""COMPUTED_VALUE"""),"Jones, Ifor")</f>
        <v>Jones, Ifor</v>
      </c>
      <c r="B4225" s="2">
        <f ca="1">IFERROR(__xludf.DUMMYFUNCTION("""COMPUTED_VALUE"""),1)</f>
        <v>1</v>
      </c>
      <c r="C4225" s="2">
        <f ca="1">IFERROR(__xludf.DUMMYFUNCTION("""COMPUTED_VALUE"""),1)</f>
        <v>1</v>
      </c>
      <c r="D4225" s="8">
        <f ca="1">IFERROR(__xludf.DUMMYFUNCTION("""COMPUTED_VALUE"""),5)</f>
        <v>5</v>
      </c>
      <c r="E4225" s="2">
        <f ca="1">IFERROR(__xludf.DUMMYFUNCTION("""COMPUTED_VALUE"""),2)</f>
        <v>2</v>
      </c>
    </row>
    <row r="4226" spans="1:5" ht="13">
      <c r="A4226" s="2" t="str">
        <f ca="1">IFERROR(__xludf.DUMMYFUNCTION("""COMPUTED_VALUE"""),"Jones, Isham")</f>
        <v>Jones, Isham</v>
      </c>
      <c r="B4226" s="3">
        <f ca="1">IFERROR(__xludf.DUMMYFUNCTION("""COMPUTED_VALUE"""),1)</f>
        <v>1</v>
      </c>
      <c r="C4226" s="7">
        <f ca="1">IFERROR(__xludf.DUMMYFUNCTION("""COMPUTED_VALUE"""),1)</f>
        <v>1</v>
      </c>
      <c r="D4226" s="8">
        <f ca="1">IFERROR(__xludf.DUMMYFUNCTION("""COMPUTED_VALUE"""),5)</f>
        <v>5</v>
      </c>
      <c r="E4226" s="2">
        <f ca="1">IFERROR(__xludf.DUMMYFUNCTION("""COMPUTED_VALUE"""),2)</f>
        <v>2</v>
      </c>
    </row>
    <row r="4227" spans="1:5" ht="13">
      <c r="A4227" s="2" t="str">
        <f ca="1">IFERROR(__xludf.DUMMYFUNCTION("""COMPUTED_VALUE"""),"Jones, Isham / Symes, Marty")</f>
        <v>Jones, Isham / Symes, Marty</v>
      </c>
      <c r="B4227" s="2">
        <f ca="1">IFERROR(__xludf.DUMMYFUNCTION("""COMPUTED_VALUE"""),1)</f>
        <v>1</v>
      </c>
      <c r="C4227" s="7">
        <f ca="1">IFERROR(__xludf.DUMMYFUNCTION("""COMPUTED_VALUE"""),1)</f>
        <v>1</v>
      </c>
      <c r="D4227" s="8">
        <f ca="1">IFERROR(__xludf.DUMMYFUNCTION("""COMPUTED_VALUE"""),5)</f>
        <v>5</v>
      </c>
      <c r="E4227" s="2">
        <f ca="1">IFERROR(__xludf.DUMMYFUNCTION("""COMPUTED_VALUE"""),2)</f>
        <v>2</v>
      </c>
    </row>
    <row r="4228" spans="1:5" ht="13">
      <c r="A4228" s="2" t="str">
        <f ca="1">IFERROR(__xludf.DUMMYFUNCTION("""COMPUTED_VALUE"""),"Jones, Nathan")</f>
        <v>Jones, Nathan</v>
      </c>
      <c r="B4228" s="3">
        <f ca="1">IFERROR(__xludf.DUMMYFUNCTION("""COMPUTED_VALUE"""),1)</f>
        <v>1</v>
      </c>
      <c r="C4228" s="7">
        <f ca="1">IFERROR(__xludf.DUMMYFUNCTION("""COMPUTED_VALUE"""),1)</f>
        <v>1</v>
      </c>
      <c r="D4228" s="8">
        <f ca="1">IFERROR(__xludf.DUMMYFUNCTION("""COMPUTED_VALUE"""),1)</f>
        <v>1</v>
      </c>
      <c r="E4228" s="2">
        <f ca="1">IFERROR(__xludf.DUMMYFUNCTION("""COMPUTED_VALUE"""),1)</f>
        <v>1</v>
      </c>
    </row>
    <row r="4229" spans="1:5" ht="13">
      <c r="A4229" s="2" t="str">
        <f ca="1">IFERROR(__xludf.DUMMYFUNCTION("""COMPUTED_VALUE"""),"Jones, Nigel")</f>
        <v>Jones, Nigel</v>
      </c>
      <c r="B4229" s="3">
        <f ca="1">IFERROR(__xludf.DUMMYFUNCTION("""COMPUTED_VALUE"""),1)</f>
        <v>1</v>
      </c>
      <c r="C4229" s="7">
        <f ca="1">IFERROR(__xludf.DUMMYFUNCTION("""COMPUTED_VALUE"""),1)</f>
        <v>1</v>
      </c>
      <c r="D4229" s="8">
        <f ca="1">IFERROR(__xludf.DUMMYFUNCTION("""COMPUTED_VALUE"""),1)</f>
        <v>1</v>
      </c>
      <c r="E4229" s="2">
        <f ca="1">IFERROR(__xludf.DUMMYFUNCTION("""COMPUTED_VALUE"""),1)</f>
        <v>1</v>
      </c>
    </row>
    <row r="4230" spans="1:5" ht="13">
      <c r="A4230" s="2" t="str">
        <f ca="1">IFERROR(__xludf.DUMMYFUNCTION("""COMPUTED_VALUE"""),"Jones, Robert")</f>
        <v>Jones, Robert</v>
      </c>
      <c r="B4230" s="2">
        <f ca="1">IFERROR(__xludf.DUMMYFUNCTION("""COMPUTED_VALUE"""),1)</f>
        <v>1</v>
      </c>
      <c r="C4230" s="7">
        <f ca="1">IFERROR(__xludf.DUMMYFUNCTION("""COMPUTED_VALUE"""),1)</f>
        <v>1</v>
      </c>
      <c r="D4230" s="8">
        <f ca="1">IFERROR(__xludf.DUMMYFUNCTION("""COMPUTED_VALUE"""),5)</f>
        <v>5</v>
      </c>
      <c r="E4230" s="2">
        <f ca="1">IFERROR(__xludf.DUMMYFUNCTION("""COMPUTED_VALUE"""),2)</f>
        <v>2</v>
      </c>
    </row>
    <row r="4231" spans="1:5" ht="13">
      <c r="A4231" s="2" t="str">
        <f ca="1">IFERROR(__xludf.DUMMYFUNCTION("""COMPUTED_VALUE"""),"Jones, Samuel")</f>
        <v>Jones, Samuel</v>
      </c>
      <c r="B4231" s="3">
        <f ca="1">IFERROR(__xludf.DUMMYFUNCTION("""COMPUTED_VALUE"""),1)</f>
        <v>1</v>
      </c>
      <c r="C4231" s="7">
        <f ca="1">IFERROR(__xludf.DUMMYFUNCTION("""COMPUTED_VALUE"""),1)</f>
        <v>1</v>
      </c>
      <c r="D4231" s="8">
        <f ca="1">IFERROR(__xludf.DUMMYFUNCTION("""COMPUTED_VALUE"""),1)</f>
        <v>1</v>
      </c>
      <c r="E4231" s="2">
        <f ca="1">IFERROR(__xludf.DUMMYFUNCTION("""COMPUTED_VALUE"""),1)</f>
        <v>1</v>
      </c>
    </row>
    <row r="4232" spans="1:5" ht="13">
      <c r="A4232" s="2" t="str">
        <f ca="1">IFERROR(__xludf.DUMMYFUNCTION("""COMPUTED_VALUE"""),"Jones, Tim Y.")</f>
        <v>Jones, Tim Y.</v>
      </c>
      <c r="B4232" s="2">
        <f ca="1">IFERROR(__xludf.DUMMYFUNCTION("""COMPUTED_VALUE"""),1)</f>
        <v>1</v>
      </c>
      <c r="C4232" s="7">
        <f ca="1">IFERROR(__xludf.DUMMYFUNCTION("""COMPUTED_VALUE"""),1)</f>
        <v>1</v>
      </c>
      <c r="D4232" s="8">
        <f ca="1">IFERROR(__xludf.DUMMYFUNCTION("""COMPUTED_VALUE"""),1)</f>
        <v>1</v>
      </c>
      <c r="E4232" s="2">
        <f ca="1">IFERROR(__xludf.DUMMYFUNCTION("""COMPUTED_VALUE"""),1)</f>
        <v>1</v>
      </c>
    </row>
    <row r="4233" spans="1:5" ht="13">
      <c r="A4233" s="2" t="str">
        <f ca="1">IFERROR(__xludf.DUMMYFUNCTION("""COMPUTED_VALUE"""),"Jones, Tyler")</f>
        <v>Jones, Tyler</v>
      </c>
      <c r="B4233" s="3">
        <f ca="1">IFERROR(__xludf.DUMMYFUNCTION("""COMPUTED_VALUE"""),1)</f>
        <v>1</v>
      </c>
      <c r="C4233" s="7">
        <f ca="1">IFERROR(__xludf.DUMMYFUNCTION("""COMPUTED_VALUE"""),1)</f>
        <v>1</v>
      </c>
      <c r="D4233" s="8">
        <f ca="1">IFERROR(__xludf.DUMMYFUNCTION("""COMPUTED_VALUE"""),1)</f>
        <v>1</v>
      </c>
      <c r="E4233" s="2">
        <f ca="1">IFERROR(__xludf.DUMMYFUNCTION("""COMPUTED_VALUE"""),1)</f>
        <v>1</v>
      </c>
    </row>
    <row r="4234" spans="1:5" ht="13">
      <c r="A4234" s="2" t="str">
        <f ca="1">IFERROR(__xludf.DUMMYFUNCTION("""COMPUTED_VALUE"""),"Jong, Lieuwe de")</f>
        <v>Jong, Lieuwe de</v>
      </c>
      <c r="B4234" s="3">
        <f ca="1">IFERROR(__xludf.DUMMYFUNCTION("""COMPUTED_VALUE"""),1)</f>
        <v>1</v>
      </c>
      <c r="C4234" s="7">
        <f ca="1">IFERROR(__xludf.DUMMYFUNCTION("""COMPUTED_VALUE"""),1)</f>
        <v>1</v>
      </c>
      <c r="D4234" s="8">
        <f ca="1">IFERROR(__xludf.DUMMYFUNCTION("""COMPUTED_VALUE"""),1)</f>
        <v>1</v>
      </c>
      <c r="E4234" s="2">
        <f ca="1">IFERROR(__xludf.DUMMYFUNCTION("""COMPUTED_VALUE"""),1)</f>
        <v>1</v>
      </c>
    </row>
    <row r="4235" spans="1:5" ht="13">
      <c r="A4235" s="2" t="str">
        <f ca="1">IFERROR(__xludf.DUMMYFUNCTION("""COMPUTED_VALUE"""),"Jongen, Joseph")</f>
        <v>Jongen, Joseph</v>
      </c>
      <c r="B4235" s="3">
        <f ca="1">IFERROR(__xludf.DUMMYFUNCTION("""COMPUTED_VALUE"""),1)</f>
        <v>1</v>
      </c>
      <c r="C4235" s="7">
        <f ca="1">IFERROR(__xludf.DUMMYFUNCTION("""COMPUTED_VALUE"""),1)</f>
        <v>1</v>
      </c>
      <c r="D4235" s="8">
        <f ca="1">IFERROR(__xludf.DUMMYFUNCTION("""COMPUTED_VALUE"""),5)</f>
        <v>5</v>
      </c>
      <c r="E4235" s="2">
        <f ca="1">IFERROR(__xludf.DUMMYFUNCTION("""COMPUTED_VALUE"""),2)</f>
        <v>2</v>
      </c>
    </row>
    <row r="4236" spans="1:5" ht="13">
      <c r="A4236" s="2" t="str">
        <f ca="1">IFERROR(__xludf.DUMMYFUNCTION("""COMPUTED_VALUE"""),"Jordan, James")</f>
        <v>Jordan, James</v>
      </c>
      <c r="B4236" s="3">
        <f ca="1">IFERROR(__xludf.DUMMYFUNCTION("""COMPUTED_VALUE"""),1)</f>
        <v>1</v>
      </c>
      <c r="C4236" s="7">
        <f ca="1">IFERROR(__xludf.DUMMYFUNCTION("""COMPUTED_VALUE"""),1)</f>
        <v>1</v>
      </c>
      <c r="D4236" s="8">
        <f ca="1">IFERROR(__xludf.DUMMYFUNCTION("""COMPUTED_VALUE"""),1)</f>
        <v>1</v>
      </c>
      <c r="E4236" s="2">
        <f ca="1">IFERROR(__xludf.DUMMYFUNCTION("""COMPUTED_VALUE"""),1)</f>
        <v>1</v>
      </c>
    </row>
    <row r="4237" spans="1:5" ht="13">
      <c r="A4237" s="2" t="str">
        <f ca="1">IFERROR(__xludf.DUMMYFUNCTION("""COMPUTED_VALUE"""),"Jordan, Jay")</f>
        <v>Jordan, Jay</v>
      </c>
      <c r="B4237" s="3">
        <f ca="1">IFERROR(__xludf.DUMMYFUNCTION("""COMPUTED_VALUE"""),1)</f>
        <v>1</v>
      </c>
      <c r="C4237" s="7">
        <f ca="1">IFERROR(__xludf.DUMMYFUNCTION("""COMPUTED_VALUE"""),1)</f>
        <v>1</v>
      </c>
      <c r="D4237" s="8">
        <f ca="1">IFERROR(__xludf.DUMMYFUNCTION("""COMPUTED_VALUE"""),1)</f>
        <v>1</v>
      </c>
      <c r="E4237" s="2">
        <f ca="1">IFERROR(__xludf.DUMMYFUNCTION("""COMPUTED_VALUE"""),1)</f>
        <v>1</v>
      </c>
    </row>
    <row r="4238" spans="1:5" ht="13">
      <c r="A4238" s="2" t="str">
        <f ca="1">IFERROR(__xludf.DUMMYFUNCTION("""COMPUTED_VALUE"""),"Jordan, Jeff")</f>
        <v>Jordan, Jeff</v>
      </c>
      <c r="B4238" s="3">
        <f ca="1">IFERROR(__xludf.DUMMYFUNCTION("""COMPUTED_VALUE"""),1)</f>
        <v>1</v>
      </c>
      <c r="C4238" s="7">
        <f ca="1">IFERROR(__xludf.DUMMYFUNCTION("""COMPUTED_VALUE"""),1)</f>
        <v>1</v>
      </c>
      <c r="D4238" s="8">
        <f ca="1">IFERROR(__xludf.DUMMYFUNCTION("""COMPUTED_VALUE"""),1)</f>
        <v>1</v>
      </c>
      <c r="E4238" s="2">
        <f ca="1">IFERROR(__xludf.DUMMYFUNCTION("""COMPUTED_VALUE"""),1)</f>
        <v>1</v>
      </c>
    </row>
    <row r="4239" spans="1:5" ht="13">
      <c r="A4239" s="2" t="str">
        <f ca="1">IFERROR(__xludf.DUMMYFUNCTION("""COMPUTED_VALUE"""),"Jordan, Randy")</f>
        <v>Jordan, Randy</v>
      </c>
      <c r="B4239" s="3">
        <f ca="1">IFERROR(__xludf.DUMMYFUNCTION("""COMPUTED_VALUE"""),1)</f>
        <v>1</v>
      </c>
      <c r="C4239" s="7">
        <f ca="1">IFERROR(__xludf.DUMMYFUNCTION("""COMPUTED_VALUE"""),1)</f>
        <v>1</v>
      </c>
      <c r="D4239" s="8">
        <f ca="1">IFERROR(__xludf.DUMMYFUNCTION("""COMPUTED_VALUE"""),5)</f>
        <v>5</v>
      </c>
      <c r="E4239" s="2">
        <f ca="1">IFERROR(__xludf.DUMMYFUNCTION("""COMPUTED_VALUE"""),2)</f>
        <v>2</v>
      </c>
    </row>
    <row r="4240" spans="1:5" ht="13">
      <c r="A4240" s="2" t="str">
        <f ca="1">IFERROR(__xludf.DUMMYFUNCTION("""COMPUTED_VALUE"""),"Jordan, Robert")</f>
        <v>Jordan, Robert</v>
      </c>
      <c r="B4240" s="2">
        <f ca="1">IFERROR(__xludf.DUMMYFUNCTION("""COMPUTED_VALUE"""),1)</f>
        <v>1</v>
      </c>
      <c r="C4240" s="7">
        <f ca="1">IFERROR(__xludf.DUMMYFUNCTION("""COMPUTED_VALUE"""),1)</f>
        <v>1</v>
      </c>
      <c r="D4240" s="8">
        <f ca="1">IFERROR(__xludf.DUMMYFUNCTION("""COMPUTED_VALUE"""),5)</f>
        <v>5</v>
      </c>
      <c r="E4240" s="2">
        <f ca="1">IFERROR(__xludf.DUMMYFUNCTION("""COMPUTED_VALUE"""),2)</f>
        <v>2</v>
      </c>
    </row>
    <row r="4241" spans="1:5" ht="13">
      <c r="A4241" s="2" t="str">
        <f ca="1">IFERROR(__xludf.DUMMYFUNCTION("""COMPUTED_VALUE"""),"Jordan, Thomas / Gridley, Merrill")</f>
        <v>Jordan, Thomas / Gridley, Merrill</v>
      </c>
      <c r="B4241" s="2">
        <f ca="1">IFERROR(__xludf.DUMMYFUNCTION("""COMPUTED_VALUE"""),1)</f>
        <v>1</v>
      </c>
      <c r="C4241" s="7">
        <f ca="1">IFERROR(__xludf.DUMMYFUNCTION("""COMPUTED_VALUE"""),1)</f>
        <v>1</v>
      </c>
      <c r="D4241" s="8">
        <f ca="1">IFERROR(__xludf.DUMMYFUNCTION("""COMPUTED_VALUE"""),5)</f>
        <v>5</v>
      </c>
      <c r="E4241" s="2">
        <f ca="1">IFERROR(__xludf.DUMMYFUNCTION("""COMPUTED_VALUE"""),2)</f>
        <v>2</v>
      </c>
    </row>
    <row r="4242" spans="1:5" ht="13">
      <c r="A4242" s="2" t="str">
        <f ca="1">IFERROR(__xludf.DUMMYFUNCTION("""COMPUTED_VALUE"""),"Jordao, Eduardo")</f>
        <v>Jordao, Eduardo</v>
      </c>
      <c r="B4242" s="3">
        <f ca="1">IFERROR(__xludf.DUMMYFUNCTION("""COMPUTED_VALUE"""),1)</f>
        <v>1</v>
      </c>
      <c r="C4242" s="7">
        <f ca="1">IFERROR(__xludf.DUMMYFUNCTION("""COMPUTED_VALUE"""),1)</f>
        <v>1</v>
      </c>
      <c r="D4242" s="8">
        <f ca="1">IFERROR(__xludf.DUMMYFUNCTION("""COMPUTED_VALUE"""),1)</f>
        <v>1</v>
      </c>
      <c r="E4242" s="2">
        <f ca="1">IFERROR(__xludf.DUMMYFUNCTION("""COMPUTED_VALUE"""),1)</f>
        <v>1</v>
      </c>
    </row>
    <row r="4243" spans="1:5" ht="13">
      <c r="A4243" s="8" t="str">
        <f ca="1">IFERROR(__xludf.DUMMYFUNCTION("""COMPUTED_VALUE"""),"Jørgensen, Axel")</f>
        <v>Jørgensen, Axel</v>
      </c>
      <c r="B4243" s="3">
        <f ca="1">IFERROR(__xludf.DUMMYFUNCTION("""COMPUTED_VALUE"""),1)</f>
        <v>1</v>
      </c>
      <c r="C4243" s="7">
        <f ca="1">IFERROR(__xludf.DUMMYFUNCTION("""COMPUTED_VALUE"""),1)</f>
        <v>1</v>
      </c>
      <c r="D4243" s="8">
        <f ca="1">IFERROR(__xludf.DUMMYFUNCTION("""COMPUTED_VALUE"""),5)</f>
        <v>5</v>
      </c>
      <c r="E4243" s="2">
        <f ca="1">IFERROR(__xludf.DUMMYFUNCTION("""COMPUTED_VALUE"""),2)</f>
        <v>2</v>
      </c>
    </row>
    <row r="4244" spans="1:5" ht="13">
      <c r="A4244" s="8" t="str">
        <f ca="1">IFERROR(__xludf.DUMMYFUNCTION("""COMPUTED_VALUE"""),"Josquin des Pres")</f>
        <v>Josquin des Pres</v>
      </c>
      <c r="B4244" s="3">
        <f ca="1">IFERROR(__xludf.DUMMYFUNCTION("""COMPUTED_VALUE"""),1)</f>
        <v>1</v>
      </c>
      <c r="C4244" s="7">
        <f ca="1">IFERROR(__xludf.DUMMYFUNCTION("""COMPUTED_VALUE"""),1)</f>
        <v>1</v>
      </c>
      <c r="D4244" s="8">
        <f ca="1">IFERROR(__xludf.DUMMYFUNCTION("""COMPUTED_VALUE"""),5)</f>
        <v>5</v>
      </c>
      <c r="E4244" s="2">
        <f ca="1">IFERROR(__xludf.DUMMYFUNCTION("""COMPUTED_VALUE"""),2)</f>
        <v>2</v>
      </c>
    </row>
    <row r="4245" spans="1:5" ht="13">
      <c r="A4245" s="8" t="str">
        <f ca="1">IFERROR(__xludf.DUMMYFUNCTION("""COMPUTED_VALUE"""),"Jost, John")</f>
        <v>Jost, John</v>
      </c>
      <c r="B4245" s="3">
        <f ca="1">IFERROR(__xludf.DUMMYFUNCTION("""COMPUTED_VALUE"""),1)</f>
        <v>1</v>
      </c>
      <c r="C4245" s="7">
        <f ca="1">IFERROR(__xludf.DUMMYFUNCTION("""COMPUTED_VALUE"""),1)</f>
        <v>1</v>
      </c>
      <c r="D4245" s="8">
        <f ca="1">IFERROR(__xludf.DUMMYFUNCTION("""COMPUTED_VALUE"""),5)</f>
        <v>5</v>
      </c>
      <c r="E4245" s="2">
        <f ca="1">IFERROR(__xludf.DUMMYFUNCTION("""COMPUTED_VALUE"""),2)</f>
        <v>2</v>
      </c>
    </row>
    <row r="4246" spans="1:5" ht="13">
      <c r="A4246" s="2" t="str">
        <f ca="1">IFERROR(__xludf.DUMMYFUNCTION("""COMPUTED_VALUE"""),"Josuweit, Donald")</f>
        <v>Josuweit, Donald</v>
      </c>
      <c r="B4246" s="3">
        <f ca="1">IFERROR(__xludf.DUMMYFUNCTION("""COMPUTED_VALUE"""),1)</f>
        <v>1</v>
      </c>
      <c r="C4246" s="7">
        <f ca="1">IFERROR(__xludf.DUMMYFUNCTION("""COMPUTED_VALUE"""),1)</f>
        <v>1</v>
      </c>
      <c r="D4246" s="8">
        <f ca="1">IFERROR(__xludf.DUMMYFUNCTION("""COMPUTED_VALUE"""),1)</f>
        <v>1</v>
      </c>
      <c r="E4246" s="2">
        <f ca="1">IFERROR(__xludf.DUMMYFUNCTION("""COMPUTED_VALUE"""),1)</f>
        <v>1</v>
      </c>
    </row>
    <row r="4247" spans="1:5" ht="13">
      <c r="A4247" s="2" t="str">
        <f ca="1">IFERROR(__xludf.DUMMYFUNCTION("""COMPUTED_VALUE"""),"Jothen, Michael")</f>
        <v>Jothen, Michael</v>
      </c>
      <c r="B4247" s="3">
        <f ca="1">IFERROR(__xludf.DUMMYFUNCTION("""COMPUTED_VALUE"""),1)</f>
        <v>1</v>
      </c>
      <c r="C4247" s="7">
        <f ca="1">IFERROR(__xludf.DUMMYFUNCTION("""COMPUTED_VALUE"""),1)</f>
        <v>1</v>
      </c>
      <c r="D4247" s="8">
        <f ca="1">IFERROR(__xludf.DUMMYFUNCTION("""COMPUTED_VALUE"""),1)</f>
        <v>1</v>
      </c>
      <c r="E4247" s="2">
        <f ca="1">IFERROR(__xludf.DUMMYFUNCTION("""COMPUTED_VALUE"""),1)</f>
        <v>1</v>
      </c>
    </row>
    <row r="4248" spans="1:5" ht="13">
      <c r="A4248" s="2" t="str">
        <f ca="1">IFERROR(__xludf.DUMMYFUNCTION("""COMPUTED_VALUE"""),"Joubert, John")</f>
        <v>Joubert, John</v>
      </c>
      <c r="B4248" s="3">
        <f ca="1">IFERROR(__xludf.DUMMYFUNCTION("""COMPUTED_VALUE"""),1)</f>
        <v>1</v>
      </c>
      <c r="C4248" s="7">
        <f ca="1">IFERROR(__xludf.DUMMYFUNCTION("""COMPUTED_VALUE"""),1)</f>
        <v>1</v>
      </c>
      <c r="D4248" s="8">
        <f ca="1">IFERROR(__xludf.DUMMYFUNCTION("""COMPUTED_VALUE"""),5)</f>
        <v>5</v>
      </c>
      <c r="E4248" s="2">
        <f ca="1">IFERROR(__xludf.DUMMYFUNCTION("""COMPUTED_VALUE"""),2)</f>
        <v>2</v>
      </c>
    </row>
    <row r="4249" spans="1:5" ht="13">
      <c r="A4249" s="2" t="str">
        <f ca="1">IFERROR(__xludf.DUMMYFUNCTION("""COMPUTED_VALUE"""),"Joun, Paul")</f>
        <v>Joun, Paul</v>
      </c>
      <c r="B4249" s="3">
        <f ca="1">IFERROR(__xludf.DUMMYFUNCTION("""COMPUTED_VALUE"""),1)</f>
        <v>1</v>
      </c>
      <c r="C4249" s="7">
        <f ca="1">IFERROR(__xludf.DUMMYFUNCTION("""COMPUTED_VALUE"""),1)</f>
        <v>1</v>
      </c>
      <c r="D4249" s="8">
        <f ca="1">IFERROR(__xludf.DUMMYFUNCTION("""COMPUTED_VALUE"""),1)</f>
        <v>1</v>
      </c>
      <c r="E4249" s="2">
        <f ca="1">IFERROR(__xludf.DUMMYFUNCTION("""COMPUTED_VALUE"""),1)</f>
        <v>1</v>
      </c>
    </row>
    <row r="4250" spans="1:5" ht="13">
      <c r="A4250" s="2" t="str">
        <f ca="1">IFERROR(__xludf.DUMMYFUNCTION("""COMPUTED_VALUE"""),"Journey")</f>
        <v>Journey</v>
      </c>
      <c r="B4250" s="2">
        <f ca="1">IFERROR(__xludf.DUMMYFUNCTION("""COMPUTED_VALUE"""),1)</f>
        <v>1</v>
      </c>
      <c r="C4250" s="2">
        <f ca="1">IFERROR(__xludf.DUMMYFUNCTION("""COMPUTED_VALUE"""),1)</f>
        <v>1</v>
      </c>
      <c r="D4250" s="8">
        <f ca="1">IFERROR(__xludf.DUMMYFUNCTION("""COMPUTED_VALUE"""),1)</f>
        <v>1</v>
      </c>
      <c r="E4250" s="2">
        <f ca="1">IFERROR(__xludf.DUMMYFUNCTION("""COMPUTED_VALUE"""),1)</f>
        <v>1</v>
      </c>
    </row>
    <row r="4251" spans="1:5" ht="13">
      <c r="A4251" s="2" t="str">
        <f ca="1">IFERROR(__xludf.DUMMYFUNCTION("""COMPUTED_VALUE"""),"Joves, Manuel")</f>
        <v>Joves, Manuel</v>
      </c>
      <c r="B4251" s="3">
        <f ca="1">IFERROR(__xludf.DUMMYFUNCTION("""COMPUTED_VALUE"""),1)</f>
        <v>1</v>
      </c>
      <c r="C4251" s="7">
        <f ca="1">IFERROR(__xludf.DUMMYFUNCTION("""COMPUTED_VALUE"""),1)</f>
        <v>1</v>
      </c>
      <c r="D4251" s="8">
        <f ca="1">IFERROR(__xludf.DUMMYFUNCTION("""COMPUTED_VALUE"""),5)</f>
        <v>5</v>
      </c>
      <c r="E4251" s="2">
        <f ca="1">IFERROR(__xludf.DUMMYFUNCTION("""COMPUTED_VALUE"""),2)</f>
        <v>2</v>
      </c>
    </row>
    <row r="4252" spans="1:5" ht="13">
      <c r="A4252" s="2" t="str">
        <f ca="1">IFERROR(__xludf.DUMMYFUNCTION("""COMPUTED_VALUE"""),"Joy, Michael")</f>
        <v>Joy, Michael</v>
      </c>
      <c r="B4252" s="3">
        <f ca="1">IFERROR(__xludf.DUMMYFUNCTION("""COMPUTED_VALUE"""),1)</f>
        <v>1</v>
      </c>
      <c r="C4252" s="7">
        <f ca="1">IFERROR(__xludf.DUMMYFUNCTION("""COMPUTED_VALUE"""),1)</f>
        <v>1</v>
      </c>
      <c r="D4252" s="8">
        <f ca="1">IFERROR(__xludf.DUMMYFUNCTION("""COMPUTED_VALUE"""),1)</f>
        <v>1</v>
      </c>
      <c r="E4252" s="2">
        <f ca="1">IFERROR(__xludf.DUMMYFUNCTION("""COMPUTED_VALUE"""),1)</f>
        <v>1</v>
      </c>
    </row>
    <row r="4253" spans="1:5" ht="13">
      <c r="A4253" s="2" t="str">
        <f ca="1">IFERROR(__xludf.DUMMYFUNCTION("""COMPUTED_VALUE"""),"Joy, Michael / Krug")</f>
        <v>Joy, Michael / Krug</v>
      </c>
      <c r="B4253" s="3">
        <f ca="1">IFERROR(__xludf.DUMMYFUNCTION("""COMPUTED_VALUE"""),1)</f>
        <v>1</v>
      </c>
      <c r="C4253" s="7">
        <f ca="1">IFERROR(__xludf.DUMMYFUNCTION("""COMPUTED_VALUE"""),1)</f>
        <v>1</v>
      </c>
      <c r="D4253" s="8">
        <f ca="1">IFERROR(__xludf.DUMMYFUNCTION("""COMPUTED_VALUE"""),1)</f>
        <v>1</v>
      </c>
      <c r="E4253" s="2">
        <f ca="1">IFERROR(__xludf.DUMMYFUNCTION("""COMPUTED_VALUE"""),1)</f>
        <v>1</v>
      </c>
    </row>
    <row r="4254" spans="1:5" ht="13">
      <c r="A4254" s="8" t="str">
        <f ca="1">IFERROR(__xludf.DUMMYFUNCTION("""COMPUTED_VALUE"""),"Joyce, Jimmy")</f>
        <v>Joyce, Jimmy</v>
      </c>
      <c r="B4254" s="3">
        <f ca="1">IFERROR(__xludf.DUMMYFUNCTION("""COMPUTED_VALUE"""),1)</f>
        <v>1</v>
      </c>
      <c r="C4254" s="7">
        <f ca="1">IFERROR(__xludf.DUMMYFUNCTION("""COMPUTED_VALUE"""),1)</f>
        <v>1</v>
      </c>
      <c r="D4254" s="8">
        <f ca="1">IFERROR(__xludf.DUMMYFUNCTION("""COMPUTED_VALUE"""),5)</f>
        <v>5</v>
      </c>
      <c r="E4254" s="2">
        <f ca="1">IFERROR(__xludf.DUMMYFUNCTION("""COMPUTED_VALUE"""),2)</f>
        <v>2</v>
      </c>
    </row>
    <row r="4255" spans="1:5" ht="13">
      <c r="A4255" s="2" t="str">
        <f ca="1">IFERROR(__xludf.DUMMYFUNCTION("""COMPUTED_VALUE"""),"Joyce, Robert Dwyer")</f>
        <v>Joyce, Robert Dwyer</v>
      </c>
      <c r="B4255" s="2">
        <f ca="1">IFERROR(__xludf.DUMMYFUNCTION("""COMPUTED_VALUE"""),1)</f>
        <v>1</v>
      </c>
      <c r="C4255" s="7">
        <f ca="1">IFERROR(__xludf.DUMMYFUNCTION("""COMPUTED_VALUE"""),1)</f>
        <v>1</v>
      </c>
      <c r="D4255" s="8">
        <f ca="1">IFERROR(__xludf.DUMMYFUNCTION("""COMPUTED_VALUE"""),5)</f>
        <v>5</v>
      </c>
      <c r="E4255" s="2">
        <f ca="1">IFERROR(__xludf.DUMMYFUNCTION("""COMPUTED_VALUE"""),2)</f>
        <v>2</v>
      </c>
    </row>
    <row r="4256" spans="1:5" ht="13">
      <c r="A4256" s="2" t="str">
        <f ca="1">IFERROR(__xludf.DUMMYFUNCTION("""COMPUTED_VALUE"""),"Juarranz, E. L.")</f>
        <v>Juarranz, E. L.</v>
      </c>
      <c r="B4256" s="3">
        <f ca="1">IFERROR(__xludf.DUMMYFUNCTION("""COMPUTED_VALUE"""),1)</f>
        <v>1</v>
      </c>
      <c r="C4256" s="7">
        <f ca="1">IFERROR(__xludf.DUMMYFUNCTION("""COMPUTED_VALUE"""),1)</f>
        <v>1</v>
      </c>
      <c r="D4256" s="8">
        <f ca="1">IFERROR(__xludf.DUMMYFUNCTION("""COMPUTED_VALUE"""),5)</f>
        <v>5</v>
      </c>
      <c r="E4256" s="2">
        <f ca="1">IFERROR(__xludf.DUMMYFUNCTION("""COMPUTED_VALUE"""),2)</f>
        <v>2</v>
      </c>
    </row>
    <row r="4257" spans="1:5" ht="13">
      <c r="A4257" s="2" t="str">
        <f ca="1">IFERROR(__xludf.DUMMYFUNCTION("""COMPUTED_VALUE"""),"Juchniewicz, Jay")</f>
        <v>Juchniewicz, Jay</v>
      </c>
      <c r="B4257" s="2">
        <f ca="1">IFERROR(__xludf.DUMMYFUNCTION("""COMPUTED_VALUE"""),1)</f>
        <v>1</v>
      </c>
      <c r="C4257" s="2">
        <f ca="1">IFERROR(__xludf.DUMMYFUNCTION("""COMPUTED_VALUE"""),1)</f>
        <v>1</v>
      </c>
      <c r="D4257" s="8">
        <f ca="1">IFERROR(__xludf.DUMMYFUNCTION("""COMPUTED_VALUE"""),1)</f>
        <v>1</v>
      </c>
      <c r="E4257" s="2">
        <f ca="1">IFERROR(__xludf.DUMMYFUNCTION("""COMPUTED_VALUE"""),1)</f>
        <v>1</v>
      </c>
    </row>
    <row r="4258" spans="1:5" ht="13">
      <c r="A4258" s="2" t="str">
        <f ca="1">IFERROR(__xludf.DUMMYFUNCTION("""COMPUTED_VALUE"""),"Juneau, Thomas")</f>
        <v>Juneau, Thomas</v>
      </c>
      <c r="B4258" s="3">
        <f ca="1">IFERROR(__xludf.DUMMYFUNCTION("""COMPUTED_VALUE"""),1)</f>
        <v>1</v>
      </c>
      <c r="C4258" s="7">
        <f ca="1">IFERROR(__xludf.DUMMYFUNCTION("""COMPUTED_VALUE"""),1)</f>
        <v>1</v>
      </c>
      <c r="D4258" s="8">
        <f ca="1">IFERROR(__xludf.DUMMYFUNCTION("""COMPUTED_VALUE"""),1)</f>
        <v>1</v>
      </c>
      <c r="E4258" s="2">
        <f ca="1">IFERROR(__xludf.DUMMYFUNCTION("""COMPUTED_VALUE"""),1)</f>
        <v>1</v>
      </c>
    </row>
    <row r="4259" spans="1:5" ht="13">
      <c r="A4259" s="2" t="str">
        <f ca="1">IFERROR(__xludf.DUMMYFUNCTION("""COMPUTED_VALUE"""),"Jungst, Hugo")</f>
        <v>Jungst, Hugo</v>
      </c>
      <c r="B4259" s="3">
        <f ca="1">IFERROR(__xludf.DUMMYFUNCTION("""COMPUTED_VALUE"""),1)</f>
        <v>1</v>
      </c>
      <c r="C4259" s="7">
        <f ca="1">IFERROR(__xludf.DUMMYFUNCTION("""COMPUTED_VALUE"""),1)</f>
        <v>1</v>
      </c>
      <c r="D4259" s="8">
        <f ca="1">IFERROR(__xludf.DUMMYFUNCTION("""COMPUTED_VALUE"""),1)</f>
        <v>1</v>
      </c>
      <c r="E4259" s="2">
        <f ca="1">IFERROR(__xludf.DUMMYFUNCTION("""COMPUTED_VALUE"""),1)</f>
        <v>1</v>
      </c>
    </row>
    <row r="4260" spans="1:5" ht="13">
      <c r="A4260" s="2" t="str">
        <f ca="1">IFERROR(__xludf.DUMMYFUNCTION("""COMPUTED_VALUE"""),"Junkin, Fred")</f>
        <v>Junkin, Fred</v>
      </c>
      <c r="B4260" s="3">
        <f ca="1">IFERROR(__xludf.DUMMYFUNCTION("""COMPUTED_VALUE"""),1)</f>
        <v>1</v>
      </c>
      <c r="C4260" s="7">
        <f ca="1">IFERROR(__xludf.DUMMYFUNCTION("""COMPUTED_VALUE"""),1)</f>
        <v>1</v>
      </c>
      <c r="D4260" s="8">
        <f ca="1">IFERROR(__xludf.DUMMYFUNCTION("""COMPUTED_VALUE"""),5)</f>
        <v>5</v>
      </c>
      <c r="E4260" s="2">
        <f ca="1">IFERROR(__xludf.DUMMYFUNCTION("""COMPUTED_VALUE"""),2)</f>
        <v>2</v>
      </c>
    </row>
    <row r="4261" spans="1:5" ht="13">
      <c r="A4261" s="2" t="str">
        <f ca="1">IFERROR(__xludf.DUMMYFUNCTION("""COMPUTED_VALUE"""),"Juon, Paul")</f>
        <v>Juon, Paul</v>
      </c>
      <c r="B4261" s="3">
        <f ca="1">IFERROR(__xludf.DUMMYFUNCTION("""COMPUTED_VALUE"""),1)</f>
        <v>1</v>
      </c>
      <c r="C4261" s="7">
        <f ca="1">IFERROR(__xludf.DUMMYFUNCTION("""COMPUTED_VALUE"""),1)</f>
        <v>1</v>
      </c>
      <c r="D4261" s="8">
        <f ca="1">IFERROR(__xludf.DUMMYFUNCTION("""COMPUTED_VALUE"""),5)</f>
        <v>5</v>
      </c>
      <c r="E4261" s="2">
        <f ca="1">IFERROR(__xludf.DUMMYFUNCTION("""COMPUTED_VALUE"""),2)</f>
        <v>2</v>
      </c>
    </row>
    <row r="4262" spans="1:5" ht="13">
      <c r="A4262" s="2" t="str">
        <f ca="1">IFERROR(__xludf.DUMMYFUNCTION("""COMPUTED_VALUE"""),"Jurey, Edward")</f>
        <v>Jurey, Edward</v>
      </c>
      <c r="B4262" s="3">
        <f ca="1">IFERROR(__xludf.DUMMYFUNCTION("""COMPUTED_VALUE"""),1)</f>
        <v>1</v>
      </c>
      <c r="C4262" s="7">
        <f ca="1">IFERROR(__xludf.DUMMYFUNCTION("""COMPUTED_VALUE"""),1)</f>
        <v>1</v>
      </c>
      <c r="D4262" s="8">
        <f ca="1">IFERROR(__xludf.DUMMYFUNCTION("""COMPUTED_VALUE"""),5)</f>
        <v>5</v>
      </c>
      <c r="E4262" s="2">
        <f ca="1">IFERROR(__xludf.DUMMYFUNCTION("""COMPUTED_VALUE"""),2)</f>
        <v>2</v>
      </c>
    </row>
    <row r="4263" spans="1:5" ht="13">
      <c r="A4263" s="2" t="str">
        <f ca="1">IFERROR(__xludf.DUMMYFUNCTION("""COMPUTED_VALUE"""),"Jurrens, James")</f>
        <v>Jurrens, James</v>
      </c>
      <c r="B4263" s="2">
        <f ca="1">IFERROR(__xludf.DUMMYFUNCTION("""COMPUTED_VALUE"""),1)</f>
        <v>1</v>
      </c>
      <c r="C4263" s="2">
        <f ca="1">IFERROR(__xludf.DUMMYFUNCTION("""COMPUTED_VALUE"""),1)</f>
        <v>1</v>
      </c>
      <c r="D4263" s="8">
        <f ca="1">IFERROR(__xludf.DUMMYFUNCTION("""COMPUTED_VALUE"""),5)</f>
        <v>5</v>
      </c>
      <c r="E4263" s="2">
        <f ca="1">IFERROR(__xludf.DUMMYFUNCTION("""COMPUTED_VALUE"""),2)</f>
        <v>2</v>
      </c>
    </row>
    <row r="4264" spans="1:5" ht="13">
      <c r="A4264" s="2" t="str">
        <f ca="1">IFERROR(__xludf.DUMMYFUNCTION("""COMPUTED_VALUE"""),"Justus, Drayton")</f>
        <v>Justus, Drayton</v>
      </c>
      <c r="B4264" s="2">
        <f ca="1">IFERROR(__xludf.DUMMYFUNCTION("""COMPUTED_VALUE"""),1)</f>
        <v>1</v>
      </c>
      <c r="C4264" s="7">
        <f ca="1">IFERROR(__xludf.DUMMYFUNCTION("""COMPUTED_VALUE"""),1)</f>
        <v>1</v>
      </c>
      <c r="D4264" s="8">
        <f ca="1">IFERROR(__xludf.DUMMYFUNCTION("""COMPUTED_VALUE"""),5)</f>
        <v>5</v>
      </c>
      <c r="E4264" s="2">
        <f ca="1">IFERROR(__xludf.DUMMYFUNCTION("""COMPUTED_VALUE"""),2)</f>
        <v>2</v>
      </c>
    </row>
    <row r="4265" spans="1:5" ht="13">
      <c r="A4265" s="2" t="str">
        <f ca="1">IFERROR(__xludf.DUMMYFUNCTION("""COMPUTED_VALUE"""),"Jutras, Andre")</f>
        <v>Jutras, Andre</v>
      </c>
      <c r="B4265" s="3">
        <f ca="1">IFERROR(__xludf.DUMMYFUNCTION("""COMPUTED_VALUE"""),1)</f>
        <v>1</v>
      </c>
      <c r="C4265" s="7">
        <f ca="1">IFERROR(__xludf.DUMMYFUNCTION("""COMPUTED_VALUE"""),1)</f>
        <v>1</v>
      </c>
      <c r="D4265" s="8">
        <f ca="1">IFERROR(__xludf.DUMMYFUNCTION("""COMPUTED_VALUE"""),1)</f>
        <v>1</v>
      </c>
      <c r="E4265" s="2">
        <f ca="1">IFERROR(__xludf.DUMMYFUNCTION("""COMPUTED_VALUE"""),1)</f>
        <v>1</v>
      </c>
    </row>
    <row r="4266" spans="1:5" ht="13">
      <c r="A4266" s="2" t="str">
        <f ca="1">IFERROR(__xludf.DUMMYFUNCTION("""COMPUTED_VALUE"""),"Juutilainen, Petri")</f>
        <v>Juutilainen, Petri</v>
      </c>
      <c r="B4266" s="3">
        <f ca="1">IFERROR(__xludf.DUMMYFUNCTION("""COMPUTED_VALUE"""),1)</f>
        <v>1</v>
      </c>
      <c r="C4266" s="7">
        <f ca="1">IFERROR(__xludf.DUMMYFUNCTION("""COMPUTED_VALUE"""),1)</f>
        <v>1</v>
      </c>
      <c r="D4266" s="8">
        <f ca="1">IFERROR(__xludf.DUMMYFUNCTION("""COMPUTED_VALUE"""),1)</f>
        <v>1</v>
      </c>
      <c r="E4266" s="2">
        <f ca="1">IFERROR(__xludf.DUMMYFUNCTION("""COMPUTED_VALUE"""),1)</f>
        <v>1</v>
      </c>
    </row>
    <row r="4267" spans="1:5" ht="13">
      <c r="A4267" s="2" t="str">
        <f ca="1">IFERROR(__xludf.DUMMYFUNCTION("""COMPUTED_VALUE"""),"Kabalevsky, Dmitri")</f>
        <v>Kabalevsky, Dmitri</v>
      </c>
      <c r="B4267" s="3">
        <f ca="1">IFERROR(__xludf.DUMMYFUNCTION("""COMPUTED_VALUE"""),1)</f>
        <v>1</v>
      </c>
      <c r="C4267" s="7">
        <f ca="1">IFERROR(__xludf.DUMMYFUNCTION("""COMPUTED_VALUE"""),1)</f>
        <v>1</v>
      </c>
      <c r="D4267" s="8">
        <f ca="1">IFERROR(__xludf.DUMMYFUNCTION("""COMPUTED_VALUE"""),5)</f>
        <v>5</v>
      </c>
      <c r="E4267" s="2">
        <f ca="1">IFERROR(__xludf.DUMMYFUNCTION("""COMPUTED_VALUE"""),2)</f>
        <v>2</v>
      </c>
    </row>
    <row r="4268" spans="1:5" ht="13">
      <c r="A4268" s="2" t="str">
        <f ca="1">IFERROR(__xludf.DUMMYFUNCTION("""COMPUTED_VALUE"""),"Kabalevsky, Dmitry")</f>
        <v>Kabalevsky, Dmitry</v>
      </c>
      <c r="B4268" s="3">
        <f ca="1">IFERROR(__xludf.DUMMYFUNCTION("""COMPUTED_VALUE"""),1)</f>
        <v>1</v>
      </c>
      <c r="C4268" s="7">
        <f ca="1">IFERROR(__xludf.DUMMYFUNCTION("""COMPUTED_VALUE"""),1)</f>
        <v>1</v>
      </c>
      <c r="D4268" s="8">
        <f ca="1">IFERROR(__xludf.DUMMYFUNCTION("""COMPUTED_VALUE"""),5)</f>
        <v>5</v>
      </c>
      <c r="E4268" s="2">
        <f ca="1">IFERROR(__xludf.DUMMYFUNCTION("""COMPUTED_VALUE"""),2)</f>
        <v>2</v>
      </c>
    </row>
    <row r="4269" spans="1:5" ht="13">
      <c r="A4269" s="2" t="str">
        <f ca="1">IFERROR(__xludf.DUMMYFUNCTION("""COMPUTED_VALUE"""),"Kabeláč, Miloslav")</f>
        <v>Kabeláč, Miloslav</v>
      </c>
      <c r="B4269" s="3">
        <f ca="1">IFERROR(__xludf.DUMMYFUNCTION("""COMPUTED_VALUE"""),1)</f>
        <v>1</v>
      </c>
      <c r="C4269" s="7">
        <f ca="1">IFERROR(__xludf.DUMMYFUNCTION("""COMPUTED_VALUE"""),1)</f>
        <v>1</v>
      </c>
      <c r="D4269" s="8">
        <f ca="1">IFERROR(__xludf.DUMMYFUNCTION("""COMPUTED_VALUE"""),5)</f>
        <v>5</v>
      </c>
      <c r="E4269" s="2">
        <f ca="1">IFERROR(__xludf.DUMMYFUNCTION("""COMPUTED_VALUE"""),2)</f>
        <v>2</v>
      </c>
    </row>
    <row r="4270" spans="1:5" ht="13">
      <c r="A4270" s="2" t="str">
        <f ca="1">IFERROR(__xludf.DUMMYFUNCTION("""COMPUTED_VALUE"""),"Kadleck, Tony")</f>
        <v>Kadleck, Tony</v>
      </c>
      <c r="B4270" s="3">
        <f ca="1">IFERROR(__xludf.DUMMYFUNCTION("""COMPUTED_VALUE"""),1)</f>
        <v>1</v>
      </c>
      <c r="C4270" s="7">
        <f ca="1">IFERROR(__xludf.DUMMYFUNCTION("""COMPUTED_VALUE"""),1)</f>
        <v>1</v>
      </c>
      <c r="D4270" s="8">
        <f ca="1">IFERROR(__xludf.DUMMYFUNCTION("""COMPUTED_VALUE"""),1)</f>
        <v>1</v>
      </c>
      <c r="E4270" s="2">
        <f ca="1">IFERROR(__xludf.DUMMYFUNCTION("""COMPUTED_VALUE"""),1)</f>
        <v>1</v>
      </c>
    </row>
    <row r="4271" spans="1:5" ht="13">
      <c r="A4271" s="2" t="str">
        <f ca="1">IFERROR(__xludf.DUMMYFUNCTION("""COMPUTED_VALUE"""),"Kagen, Sergius")</f>
        <v>Kagen, Sergius</v>
      </c>
      <c r="B4271" s="2">
        <f ca="1">IFERROR(__xludf.DUMMYFUNCTION("""COMPUTED_VALUE"""),1)</f>
        <v>1</v>
      </c>
      <c r="C4271" s="2">
        <f ca="1">IFERROR(__xludf.DUMMYFUNCTION("""COMPUTED_VALUE"""),1)</f>
        <v>1</v>
      </c>
      <c r="D4271" s="8">
        <f ca="1">IFERROR(__xludf.DUMMYFUNCTION("""COMPUTED_VALUE"""),5)</f>
        <v>5</v>
      </c>
      <c r="E4271" s="2">
        <f ca="1">IFERROR(__xludf.DUMMYFUNCTION("""COMPUTED_VALUE"""),2)</f>
        <v>2</v>
      </c>
    </row>
    <row r="4272" spans="1:5" ht="13">
      <c r="A4272" s="2" t="str">
        <f ca="1">IFERROR(__xludf.DUMMYFUNCTION("""COMPUTED_VALUE"""),"Kahane, Gabriel")</f>
        <v>Kahane, Gabriel</v>
      </c>
      <c r="B4272" s="3">
        <f ca="1">IFERROR(__xludf.DUMMYFUNCTION("""COMPUTED_VALUE"""),1)</f>
        <v>1</v>
      </c>
      <c r="C4272" s="7">
        <f ca="1">IFERROR(__xludf.DUMMYFUNCTION("""COMPUTED_VALUE"""),1)</f>
        <v>1</v>
      </c>
      <c r="D4272" s="8">
        <f ca="1">IFERROR(__xludf.DUMMYFUNCTION("""COMPUTED_VALUE"""),1)</f>
        <v>1</v>
      </c>
      <c r="E4272" s="2">
        <f ca="1">IFERROR(__xludf.DUMMYFUNCTION("""COMPUTED_VALUE"""),1)</f>
        <v>1</v>
      </c>
    </row>
    <row r="4273" spans="1:5" ht="13">
      <c r="A4273" s="2" t="str">
        <f ca="1">IFERROR(__xludf.DUMMYFUNCTION("""COMPUTED_VALUE"""),"Kahelin, Thomas")</f>
        <v>Kahelin, Thomas</v>
      </c>
      <c r="B4273" s="3">
        <f ca="1">IFERROR(__xludf.DUMMYFUNCTION("""COMPUTED_VALUE"""),1)</f>
        <v>1</v>
      </c>
      <c r="C4273" s="7">
        <f ca="1">IFERROR(__xludf.DUMMYFUNCTION("""COMPUTED_VALUE"""),1)</f>
        <v>1</v>
      </c>
      <c r="D4273" s="8">
        <f ca="1">IFERROR(__xludf.DUMMYFUNCTION("""COMPUTED_VALUE"""),1)</f>
        <v>1</v>
      </c>
      <c r="E4273" s="2">
        <f ca="1">IFERROR(__xludf.DUMMYFUNCTION("""COMPUTED_VALUE"""),1)</f>
        <v>1</v>
      </c>
    </row>
    <row r="4274" spans="1:5" ht="13">
      <c r="A4274" s="2" t="str">
        <f ca="1">IFERROR(__xludf.DUMMYFUNCTION("""COMPUTED_VALUE"""),"Kahlke, Jim")</f>
        <v>Kahlke, Jim</v>
      </c>
      <c r="B4274" s="3">
        <f ca="1">IFERROR(__xludf.DUMMYFUNCTION("""COMPUTED_VALUE"""),1)</f>
        <v>1</v>
      </c>
      <c r="C4274" s="7">
        <f ca="1">IFERROR(__xludf.DUMMYFUNCTION("""COMPUTED_VALUE"""),1)</f>
        <v>1</v>
      </c>
      <c r="D4274" s="8">
        <f ca="1">IFERROR(__xludf.DUMMYFUNCTION("""COMPUTED_VALUE"""),1)</f>
        <v>1</v>
      </c>
      <c r="E4274" s="2">
        <f ca="1">IFERROR(__xludf.DUMMYFUNCTION("""COMPUTED_VALUE"""),1)</f>
        <v>1</v>
      </c>
    </row>
    <row r="4275" spans="1:5" ht="13">
      <c r="A4275" s="2" t="str">
        <f ca="1">IFERROR(__xludf.DUMMYFUNCTION("""COMPUTED_VALUE"""),"Kahn, Emil")</f>
        <v>Kahn, Emil</v>
      </c>
      <c r="B4275" s="3">
        <f ca="1">IFERROR(__xludf.DUMMYFUNCTION("""COMPUTED_VALUE"""),1)</f>
        <v>1</v>
      </c>
      <c r="C4275" s="7">
        <f ca="1">IFERROR(__xludf.DUMMYFUNCTION("""COMPUTED_VALUE"""),1)</f>
        <v>1</v>
      </c>
      <c r="D4275" s="8">
        <f ca="1">IFERROR(__xludf.DUMMYFUNCTION("""COMPUTED_VALUE"""),5)</f>
        <v>5</v>
      </c>
      <c r="E4275" s="2">
        <f ca="1">IFERROR(__xludf.DUMMYFUNCTION("""COMPUTED_VALUE"""),2)</f>
        <v>2</v>
      </c>
    </row>
    <row r="4276" spans="1:5" ht="13">
      <c r="A4276" s="2" t="str">
        <f ca="1">IFERROR(__xludf.DUMMYFUNCTION("""COMPUTED_VALUE"""),"Kahn, Hugo")</f>
        <v>Kahn, Hugo</v>
      </c>
      <c r="B4276" s="3">
        <f ca="1">IFERROR(__xludf.DUMMYFUNCTION("""COMPUTED_VALUE"""),1)</f>
        <v>1</v>
      </c>
      <c r="C4276" s="7">
        <f ca="1">IFERROR(__xludf.DUMMYFUNCTION("""COMPUTED_VALUE"""),1)</f>
        <v>1</v>
      </c>
      <c r="D4276" s="8">
        <f ca="1">IFERROR(__xludf.DUMMYFUNCTION("""COMPUTED_VALUE"""),5)</f>
        <v>5</v>
      </c>
      <c r="E4276" s="2">
        <f ca="1">IFERROR(__xludf.DUMMYFUNCTION("""COMPUTED_VALUE"""),2)</f>
        <v>2</v>
      </c>
    </row>
    <row r="4277" spans="1:5" ht="13">
      <c r="A4277" s="2" t="str">
        <f ca="1">IFERROR(__xludf.DUMMYFUNCTION("""COMPUTED_VALUE"""),"Kahn, Robert")</f>
        <v>Kahn, Robert</v>
      </c>
      <c r="B4277" s="3">
        <f ca="1">IFERROR(__xludf.DUMMYFUNCTION("""COMPUTED_VALUE"""),1)</f>
        <v>1</v>
      </c>
      <c r="C4277" s="7">
        <f ca="1">IFERROR(__xludf.DUMMYFUNCTION("""COMPUTED_VALUE"""),1)</f>
        <v>1</v>
      </c>
      <c r="D4277" s="8">
        <f ca="1">IFERROR(__xludf.DUMMYFUNCTION("""COMPUTED_VALUE"""),5)</f>
        <v>5</v>
      </c>
      <c r="E4277" s="2">
        <f ca="1">IFERROR(__xludf.DUMMYFUNCTION("""COMPUTED_VALUE"""),2)</f>
        <v>2</v>
      </c>
    </row>
    <row r="4278" spans="1:5" ht="13">
      <c r="A4278" s="2" t="str">
        <f ca="1">IFERROR(__xludf.DUMMYFUNCTION("""COMPUTED_VALUE"""),"Kaisershot, Kevin")</f>
        <v>Kaisershot, Kevin</v>
      </c>
      <c r="B4278" s="3">
        <f ca="1">IFERROR(__xludf.DUMMYFUNCTION("""COMPUTED_VALUE"""),1)</f>
        <v>1</v>
      </c>
      <c r="C4278" s="7">
        <f ca="1">IFERROR(__xludf.DUMMYFUNCTION("""COMPUTED_VALUE"""),1)</f>
        <v>1</v>
      </c>
      <c r="D4278" s="8">
        <f ca="1">IFERROR(__xludf.DUMMYFUNCTION("""COMPUTED_VALUE"""),1)</f>
        <v>1</v>
      </c>
      <c r="E4278" s="2">
        <f ca="1">IFERROR(__xludf.DUMMYFUNCTION("""COMPUTED_VALUE"""),1)</f>
        <v>1</v>
      </c>
    </row>
    <row r="4279" spans="1:5" ht="13">
      <c r="A4279" s="2" t="str">
        <f ca="1">IFERROR(__xludf.DUMMYFUNCTION("""COMPUTED_VALUE"""),"Kalannikov, Basil")</f>
        <v>Kalannikov, Basil</v>
      </c>
      <c r="B4279" s="3">
        <f ca="1">IFERROR(__xludf.DUMMYFUNCTION("""COMPUTED_VALUE"""),1)</f>
        <v>1</v>
      </c>
      <c r="C4279" s="7">
        <f ca="1">IFERROR(__xludf.DUMMYFUNCTION("""COMPUTED_VALUE"""),1)</f>
        <v>1</v>
      </c>
      <c r="D4279" s="8">
        <f ca="1">IFERROR(__xludf.DUMMYFUNCTION("""COMPUTED_VALUE"""),5)</f>
        <v>5</v>
      </c>
      <c r="E4279" s="2">
        <f ca="1">IFERROR(__xludf.DUMMYFUNCTION("""COMPUTED_VALUE"""),2)</f>
        <v>2</v>
      </c>
    </row>
    <row r="4280" spans="1:5" ht="13">
      <c r="A4280" s="2" t="str">
        <f ca="1">IFERROR(__xludf.DUMMYFUNCTION("""COMPUTED_VALUE"""),"Kalinnikov, Vasiliĭ")</f>
        <v>Kalinnikov, Vasiliĭ</v>
      </c>
      <c r="B4280" s="2">
        <f ca="1">IFERROR(__xludf.DUMMYFUNCTION("""COMPUTED_VALUE"""),1)</f>
        <v>1</v>
      </c>
      <c r="C4280" s="7">
        <f ca="1">IFERROR(__xludf.DUMMYFUNCTION("""COMPUTED_VALUE"""),1)</f>
        <v>1</v>
      </c>
      <c r="D4280" s="8">
        <f ca="1">IFERROR(__xludf.DUMMYFUNCTION("""COMPUTED_VALUE"""),5)</f>
        <v>5</v>
      </c>
      <c r="E4280" s="2">
        <f ca="1">IFERROR(__xludf.DUMMYFUNCTION("""COMPUTED_VALUE"""),2)</f>
        <v>2</v>
      </c>
    </row>
    <row r="4281" spans="1:5" ht="13">
      <c r="A4281" s="2" t="str">
        <f ca="1">IFERROR(__xludf.DUMMYFUNCTION("""COMPUTED_VALUE"""),"Kalinnikov, Victor")</f>
        <v>Kalinnikov, Victor</v>
      </c>
      <c r="B4281" s="3">
        <f ca="1">IFERROR(__xludf.DUMMYFUNCTION("""COMPUTED_VALUE"""),1)</f>
        <v>1</v>
      </c>
      <c r="C4281" s="7">
        <f ca="1">IFERROR(__xludf.DUMMYFUNCTION("""COMPUTED_VALUE"""),1)</f>
        <v>1</v>
      </c>
      <c r="D4281" s="8">
        <f ca="1">IFERROR(__xludf.DUMMYFUNCTION("""COMPUTED_VALUE"""),5)</f>
        <v>5</v>
      </c>
      <c r="E4281" s="2">
        <f ca="1">IFERROR(__xludf.DUMMYFUNCTION("""COMPUTED_VALUE"""),2)</f>
        <v>2</v>
      </c>
    </row>
    <row r="4282" spans="1:5" ht="13">
      <c r="A4282" s="8" t="str">
        <f ca="1">IFERROR(__xludf.DUMMYFUNCTION("""COMPUTED_VALUE"""),"Kalled, Emil")</f>
        <v>Kalled, Emil</v>
      </c>
      <c r="B4282" s="3">
        <f ca="1">IFERROR(__xludf.DUMMYFUNCTION("""COMPUTED_VALUE"""),1)</f>
        <v>1</v>
      </c>
      <c r="C4282" s="7">
        <f ca="1">IFERROR(__xludf.DUMMYFUNCTION("""COMPUTED_VALUE"""),1)</f>
        <v>1</v>
      </c>
      <c r="D4282" s="8">
        <f ca="1">IFERROR(__xludf.DUMMYFUNCTION("""COMPUTED_VALUE"""),5)</f>
        <v>5</v>
      </c>
      <c r="E4282" s="2">
        <f ca="1">IFERROR(__xludf.DUMMYFUNCTION("""COMPUTED_VALUE"""),2)</f>
        <v>2</v>
      </c>
    </row>
    <row r="4283" spans="1:5" ht="13">
      <c r="A4283" s="2" t="str">
        <f ca="1">IFERROR(__xludf.DUMMYFUNCTION("""COMPUTED_VALUE"""),"Kalliwoda, Johann Wenzeslaus")</f>
        <v>Kalliwoda, Johann Wenzeslaus</v>
      </c>
      <c r="B4283" s="3">
        <f ca="1">IFERROR(__xludf.DUMMYFUNCTION("""COMPUTED_VALUE"""),1)</f>
        <v>1</v>
      </c>
      <c r="C4283" s="7">
        <f ca="1">IFERROR(__xludf.DUMMYFUNCTION("""COMPUTED_VALUE"""),1)</f>
        <v>1</v>
      </c>
      <c r="D4283" s="8">
        <f ca="1">IFERROR(__xludf.DUMMYFUNCTION("""COMPUTED_VALUE"""),5)</f>
        <v>5</v>
      </c>
      <c r="E4283" s="2">
        <f ca="1">IFERROR(__xludf.DUMMYFUNCTION("""COMPUTED_VALUE"""),2)</f>
        <v>2</v>
      </c>
    </row>
    <row r="4284" spans="1:5" ht="13">
      <c r="A4284" s="2" t="str">
        <f ca="1">IFERROR(__xludf.DUMMYFUNCTION("""COMPUTED_VALUE"""),"Kallman, Daniel")</f>
        <v>Kallman, Daniel</v>
      </c>
      <c r="B4284" s="3">
        <f ca="1">IFERROR(__xludf.DUMMYFUNCTION("""COMPUTED_VALUE"""),1)</f>
        <v>1</v>
      </c>
      <c r="C4284" s="7">
        <f ca="1">IFERROR(__xludf.DUMMYFUNCTION("""COMPUTED_VALUE"""),1)</f>
        <v>1</v>
      </c>
      <c r="D4284" s="8">
        <f ca="1">IFERROR(__xludf.DUMMYFUNCTION("""COMPUTED_VALUE"""),1)</f>
        <v>1</v>
      </c>
      <c r="E4284" s="2">
        <f ca="1">IFERROR(__xludf.DUMMYFUNCTION("""COMPUTED_VALUE"""),1)</f>
        <v>1</v>
      </c>
    </row>
    <row r="4285" spans="1:5" ht="13">
      <c r="A4285" s="2" t="str">
        <f ca="1">IFERROR(__xludf.DUMMYFUNCTION("""COMPUTED_VALUE"""),"Kallman, Sten")</f>
        <v>Kallman, Sten</v>
      </c>
      <c r="B4285" s="3">
        <f ca="1">IFERROR(__xludf.DUMMYFUNCTION("""COMPUTED_VALUE"""),1)</f>
        <v>1</v>
      </c>
      <c r="C4285" s="7">
        <f ca="1">IFERROR(__xludf.DUMMYFUNCTION("""COMPUTED_VALUE"""),1)</f>
        <v>1</v>
      </c>
      <c r="D4285" s="8">
        <f ca="1">IFERROR(__xludf.DUMMYFUNCTION("""COMPUTED_VALUE"""),1)</f>
        <v>1</v>
      </c>
      <c r="E4285" s="2">
        <f ca="1">IFERROR(__xludf.DUMMYFUNCTION("""COMPUTED_VALUE"""),1)</f>
        <v>1</v>
      </c>
    </row>
    <row r="4286" spans="1:5" ht="13">
      <c r="A4286" s="2" t="str">
        <f ca="1">IFERROR(__xludf.DUMMYFUNCTION("""COMPUTED_VALUE"""),"Kallman, Sten / Sperry, Ethan")</f>
        <v>Kallman, Sten / Sperry, Ethan</v>
      </c>
      <c r="B4286" s="3">
        <f ca="1">IFERROR(__xludf.DUMMYFUNCTION("""COMPUTED_VALUE"""),1)</f>
        <v>1</v>
      </c>
      <c r="C4286" s="7">
        <f ca="1">IFERROR(__xludf.DUMMYFUNCTION("""COMPUTED_VALUE"""),1)</f>
        <v>1</v>
      </c>
      <c r="D4286" s="8">
        <f ca="1">IFERROR(__xludf.DUMMYFUNCTION("""COMPUTED_VALUE"""),1)</f>
        <v>1</v>
      </c>
      <c r="E4286" s="2">
        <f ca="1">IFERROR(__xludf.DUMMYFUNCTION("""COMPUTED_VALUE"""),1)</f>
        <v>1</v>
      </c>
    </row>
    <row r="4287" spans="1:5" ht="13">
      <c r="A4287" s="2" t="str">
        <f ca="1">IFERROR(__xludf.DUMMYFUNCTION("""COMPUTED_VALUE"""),"Kallstrom, Michael")</f>
        <v>Kallstrom, Michael</v>
      </c>
      <c r="B4287" s="3">
        <f ca="1">IFERROR(__xludf.DUMMYFUNCTION("""COMPUTED_VALUE"""),1)</f>
        <v>1</v>
      </c>
      <c r="C4287" s="7">
        <f ca="1">IFERROR(__xludf.DUMMYFUNCTION("""COMPUTED_VALUE"""),1)</f>
        <v>1</v>
      </c>
      <c r="D4287" s="8">
        <f ca="1">IFERROR(__xludf.DUMMYFUNCTION("""COMPUTED_VALUE"""),1)</f>
        <v>1</v>
      </c>
      <c r="E4287" s="2">
        <f ca="1">IFERROR(__xludf.DUMMYFUNCTION("""COMPUTED_VALUE"""),1)</f>
        <v>1</v>
      </c>
    </row>
    <row r="4288" spans="1:5" ht="13">
      <c r="A4288" s="2" t="str">
        <f ca="1">IFERROR(__xludf.DUMMYFUNCTION("""COMPUTED_VALUE"""),"Kalman, Emmerich")</f>
        <v>Kalman, Emmerich</v>
      </c>
      <c r="B4288" s="3">
        <f ca="1">IFERROR(__xludf.DUMMYFUNCTION("""COMPUTED_VALUE"""),1)</f>
        <v>1</v>
      </c>
      <c r="C4288" s="7">
        <f ca="1">IFERROR(__xludf.DUMMYFUNCTION("""COMPUTED_VALUE"""),1)</f>
        <v>1</v>
      </c>
      <c r="D4288" s="8">
        <f ca="1">IFERROR(__xludf.DUMMYFUNCTION("""COMPUTED_VALUE"""),5)</f>
        <v>5</v>
      </c>
      <c r="E4288" s="2">
        <f ca="1">IFERROR(__xludf.DUMMYFUNCTION("""COMPUTED_VALUE"""),2)</f>
        <v>2</v>
      </c>
    </row>
    <row r="4289" spans="1:5" ht="13">
      <c r="A4289" s="2" t="str">
        <f ca="1">IFERROR(__xludf.DUMMYFUNCTION("""COMPUTED_VALUE"""),"Kalniņš, Aldonis")</f>
        <v>Kalniņš, Aldonis</v>
      </c>
      <c r="B4289" s="3">
        <f ca="1">IFERROR(__xludf.DUMMYFUNCTION("""COMPUTED_VALUE"""),1)</f>
        <v>1</v>
      </c>
      <c r="C4289" s="7">
        <f ca="1">IFERROR(__xludf.DUMMYFUNCTION("""COMPUTED_VALUE"""),1)</f>
        <v>1</v>
      </c>
      <c r="D4289" s="8">
        <f ca="1">IFERROR(__xludf.DUMMYFUNCTION("""COMPUTED_VALUE"""),1)</f>
        <v>1</v>
      </c>
      <c r="E4289" s="2">
        <f ca="1">IFERROR(__xludf.DUMMYFUNCTION("""COMPUTED_VALUE"""),1)</f>
        <v>1</v>
      </c>
    </row>
    <row r="4290" spans="1:5" ht="13">
      <c r="A4290" s="2" t="str">
        <f ca="1">IFERROR(__xludf.DUMMYFUNCTION("""COMPUTED_VALUE"""),"Kalnins, Imants")</f>
        <v>Kalnins, Imants</v>
      </c>
      <c r="B4290" s="3">
        <f ca="1">IFERROR(__xludf.DUMMYFUNCTION("""COMPUTED_VALUE"""),1)</f>
        <v>1</v>
      </c>
      <c r="C4290" s="7">
        <f ca="1">IFERROR(__xludf.DUMMYFUNCTION("""COMPUTED_VALUE"""),1)</f>
        <v>1</v>
      </c>
      <c r="D4290" s="8">
        <f ca="1">IFERROR(__xludf.DUMMYFUNCTION("""COMPUTED_VALUE"""),1)</f>
        <v>1</v>
      </c>
      <c r="E4290" s="2">
        <f ca="1">IFERROR(__xludf.DUMMYFUNCTION("""COMPUTED_VALUE"""),1)</f>
        <v>1</v>
      </c>
    </row>
    <row r="4291" spans="1:5" ht="13">
      <c r="A4291" s="2" t="str">
        <f ca="1">IFERROR(__xludf.DUMMYFUNCTION("""COMPUTED_VALUE"""),"Kamen, Michael")</f>
        <v>Kamen, Michael</v>
      </c>
      <c r="B4291" s="3">
        <f ca="1">IFERROR(__xludf.DUMMYFUNCTION("""COMPUTED_VALUE"""),1)</f>
        <v>1</v>
      </c>
      <c r="C4291" s="7">
        <f ca="1">IFERROR(__xludf.DUMMYFUNCTION("""COMPUTED_VALUE"""),1)</f>
        <v>1</v>
      </c>
      <c r="D4291" s="8">
        <f ca="1">IFERROR(__xludf.DUMMYFUNCTION("""COMPUTED_VALUE"""),5)</f>
        <v>5</v>
      </c>
      <c r="E4291" s="2">
        <f ca="1">IFERROR(__xludf.DUMMYFUNCTION("""COMPUTED_VALUE"""),2)</f>
        <v>2</v>
      </c>
    </row>
    <row r="4292" spans="1:5" ht="13">
      <c r="A4292" s="2" t="str">
        <f ca="1">IFERROR(__xludf.DUMMYFUNCTION("""COMPUTED_VALUE"""),"Kamerin, Kim K.")</f>
        <v>Kamerin, Kim K.</v>
      </c>
      <c r="B4292" s="3">
        <f ca="1">IFERROR(__xludf.DUMMYFUNCTION("""COMPUTED_VALUE"""),1)</f>
        <v>1</v>
      </c>
      <c r="C4292" s="7">
        <f ca="1">IFERROR(__xludf.DUMMYFUNCTION("""COMPUTED_VALUE"""),1)</f>
        <v>1</v>
      </c>
      <c r="D4292" s="8">
        <f ca="1">IFERROR(__xludf.DUMMYFUNCTION("""COMPUTED_VALUE"""),1)</f>
        <v>1</v>
      </c>
      <c r="E4292" s="2">
        <f ca="1">IFERROR(__xludf.DUMMYFUNCTION("""COMPUTED_VALUE"""),1)</f>
        <v>1</v>
      </c>
    </row>
    <row r="4293" spans="1:5" ht="13">
      <c r="A4293" s="8" t="str">
        <f ca="1">IFERROR(__xludf.DUMMYFUNCTION("""COMPUTED_VALUE"""),"Kamerling, Chris")</f>
        <v>Kamerling, Chris</v>
      </c>
      <c r="B4293" s="3">
        <f ca="1">IFERROR(__xludf.DUMMYFUNCTION("""COMPUTED_VALUE"""),1)</f>
        <v>1</v>
      </c>
      <c r="C4293" s="7">
        <f ca="1">IFERROR(__xludf.DUMMYFUNCTION("""COMPUTED_VALUE"""),1)</f>
        <v>1</v>
      </c>
      <c r="D4293" s="8">
        <f ca="1">IFERROR(__xludf.DUMMYFUNCTION("""COMPUTED_VALUE"""),1)</f>
        <v>1</v>
      </c>
      <c r="E4293" s="2">
        <f ca="1">IFERROR(__xludf.DUMMYFUNCTION("""COMPUTED_VALUE"""),1)</f>
        <v>1</v>
      </c>
    </row>
    <row r="4294" spans="1:5" ht="13">
      <c r="A4294" s="2" t="str">
        <f ca="1">IFERROR(__xludf.DUMMYFUNCTION("""COMPUTED_VALUE"""),"Kaminski, Josef")</f>
        <v>Kaminski, Josef</v>
      </c>
      <c r="B4294" s="3">
        <f ca="1">IFERROR(__xludf.DUMMYFUNCTION("""COMPUTED_VALUE"""),1)</f>
        <v>1</v>
      </c>
      <c r="C4294" s="7">
        <f ca="1">IFERROR(__xludf.DUMMYFUNCTION("""COMPUTED_VALUE"""),1)</f>
        <v>1</v>
      </c>
      <c r="D4294" s="8">
        <f ca="1">IFERROR(__xludf.DUMMYFUNCTION("""COMPUTED_VALUE"""),5)</f>
        <v>5</v>
      </c>
      <c r="E4294" s="2">
        <f ca="1">IFERROR(__xludf.DUMMYFUNCTION("""COMPUTED_VALUE"""),2)</f>
        <v>2</v>
      </c>
    </row>
    <row r="4295" spans="1:5" ht="13">
      <c r="A4295" s="2" t="str">
        <f ca="1">IFERROR(__xludf.DUMMYFUNCTION("""COMPUTED_VALUE"""),"Kaminsky, Ethan")</f>
        <v>Kaminsky, Ethan</v>
      </c>
      <c r="B4295" s="3">
        <f ca="1">IFERROR(__xludf.DUMMYFUNCTION("""COMPUTED_VALUE"""),1)</f>
        <v>1</v>
      </c>
      <c r="C4295" s="7">
        <f ca="1">IFERROR(__xludf.DUMMYFUNCTION("""COMPUTED_VALUE"""),1)</f>
        <v>1</v>
      </c>
      <c r="D4295" s="8">
        <f ca="1">IFERROR(__xludf.DUMMYFUNCTION("""COMPUTED_VALUE"""),1)</f>
        <v>1</v>
      </c>
      <c r="E4295" s="2">
        <f ca="1">IFERROR(__xludf.DUMMYFUNCTION("""COMPUTED_VALUE"""),1)</f>
        <v>1</v>
      </c>
    </row>
    <row r="4296" spans="1:5" ht="13">
      <c r="A4296" s="2" t="str">
        <f ca="1">IFERROR(__xludf.DUMMYFUNCTION("""COMPUTED_VALUE"""),"Kampen, David von")</f>
        <v>Kampen, David von</v>
      </c>
      <c r="B4296" s="2">
        <f ca="1">IFERROR(__xludf.DUMMYFUNCTION("""COMPUTED_VALUE"""),1)</f>
        <v>1</v>
      </c>
      <c r="C4296" s="2">
        <f ca="1">IFERROR(__xludf.DUMMYFUNCTION("""COMPUTED_VALUE"""),1)</f>
        <v>1</v>
      </c>
      <c r="D4296" s="8">
        <f ca="1">IFERROR(__xludf.DUMMYFUNCTION("""COMPUTED_VALUE"""),1)</f>
        <v>1</v>
      </c>
      <c r="E4296" s="2">
        <f ca="1">IFERROR(__xludf.DUMMYFUNCTION("""COMPUTED_VALUE"""),1)</f>
        <v>1</v>
      </c>
    </row>
    <row r="4297" spans="1:5" ht="13">
      <c r="A4297" s="8" t="str">
        <f ca="1">IFERROR(__xludf.DUMMYFUNCTION("""COMPUTED_VALUE"""),"Kamstra, Darin")</f>
        <v>Kamstra, Darin</v>
      </c>
      <c r="B4297" s="3">
        <f ca="1">IFERROR(__xludf.DUMMYFUNCTION("""COMPUTED_VALUE"""),1)</f>
        <v>1</v>
      </c>
      <c r="C4297" s="7">
        <f ca="1">IFERROR(__xludf.DUMMYFUNCTION("""COMPUTED_VALUE"""),1)</f>
        <v>1</v>
      </c>
      <c r="D4297" s="8">
        <f ca="1">IFERROR(__xludf.DUMMYFUNCTION("""COMPUTED_VALUE"""),1)</f>
        <v>1</v>
      </c>
      <c r="E4297" s="2">
        <f ca="1">IFERROR(__xludf.DUMMYFUNCTION("""COMPUTED_VALUE"""),1)</f>
        <v>1</v>
      </c>
    </row>
    <row r="4298" spans="1:5" ht="13">
      <c r="A4298" s="2" t="str">
        <f ca="1">IFERROR(__xludf.DUMMYFUNCTION("""COMPUTED_VALUE"""),"Kamuf, Michael")</f>
        <v>Kamuf, Michael</v>
      </c>
      <c r="B4298" s="3">
        <f ca="1">IFERROR(__xludf.DUMMYFUNCTION("""COMPUTED_VALUE"""),1)</f>
        <v>1</v>
      </c>
      <c r="C4298" s="7">
        <f ca="1">IFERROR(__xludf.DUMMYFUNCTION("""COMPUTED_VALUE"""),1)</f>
        <v>1</v>
      </c>
      <c r="D4298" s="8">
        <f ca="1">IFERROR(__xludf.DUMMYFUNCTION("""COMPUTED_VALUE"""),1)</f>
        <v>1</v>
      </c>
      <c r="E4298" s="2">
        <f ca="1">IFERROR(__xludf.DUMMYFUNCTION("""COMPUTED_VALUE"""),1)</f>
        <v>1</v>
      </c>
    </row>
    <row r="4299" spans="1:5" ht="13">
      <c r="A4299" s="2" t="str">
        <f ca="1">IFERROR(__xludf.DUMMYFUNCTION("""COMPUTED_VALUE"""),"Kamuf, Mike")</f>
        <v>Kamuf, Mike</v>
      </c>
      <c r="B4299" s="3">
        <f ca="1">IFERROR(__xludf.DUMMYFUNCTION("""COMPUTED_VALUE"""),1)</f>
        <v>1</v>
      </c>
      <c r="C4299" s="7">
        <f ca="1">IFERROR(__xludf.DUMMYFUNCTION("""COMPUTED_VALUE"""),1)</f>
        <v>1</v>
      </c>
      <c r="D4299" s="8">
        <f ca="1">IFERROR(__xludf.DUMMYFUNCTION("""COMPUTED_VALUE"""),1)</f>
        <v>1</v>
      </c>
      <c r="E4299" s="2">
        <f ca="1">IFERROR(__xludf.DUMMYFUNCTION("""COMPUTED_VALUE"""),1)</f>
        <v>1</v>
      </c>
    </row>
    <row r="4300" spans="1:5" ht="13">
      <c r="A4300" s="2" t="str">
        <f ca="1">IFERROR(__xludf.DUMMYFUNCTION("""COMPUTED_VALUE"""),"Kancheli, Giya")</f>
        <v>Kancheli, Giya</v>
      </c>
      <c r="B4300" s="3">
        <f ca="1">IFERROR(__xludf.DUMMYFUNCTION("""COMPUTED_VALUE"""),1)</f>
        <v>1</v>
      </c>
      <c r="C4300" s="7">
        <f ca="1">IFERROR(__xludf.DUMMYFUNCTION("""COMPUTED_VALUE"""),1)</f>
        <v>1</v>
      </c>
      <c r="D4300" s="8">
        <f ca="1">IFERROR(__xludf.DUMMYFUNCTION("""COMPUTED_VALUE"""),1)</f>
        <v>1</v>
      </c>
      <c r="E4300" s="2">
        <f ca="1">IFERROR(__xludf.DUMMYFUNCTION("""COMPUTED_VALUE"""),1)</f>
        <v>1</v>
      </c>
    </row>
    <row r="4301" spans="1:5" ht="13">
      <c r="A4301" s="8" t="str">
        <f ca="1">IFERROR(__xludf.DUMMYFUNCTION("""COMPUTED_VALUE"""),"Kander, John")</f>
        <v>Kander, John</v>
      </c>
      <c r="B4301" s="3">
        <f ca="1">IFERROR(__xludf.DUMMYFUNCTION("""COMPUTED_VALUE"""),1)</f>
        <v>1</v>
      </c>
      <c r="C4301" s="7">
        <f ca="1">IFERROR(__xludf.DUMMYFUNCTION("""COMPUTED_VALUE"""),1)</f>
        <v>1</v>
      </c>
      <c r="D4301" s="8">
        <f ca="1">IFERROR(__xludf.DUMMYFUNCTION("""COMPUTED_VALUE"""),1)</f>
        <v>1</v>
      </c>
      <c r="E4301" s="2">
        <f ca="1">IFERROR(__xludf.DUMMYFUNCTION("""COMPUTED_VALUE"""),1)</f>
        <v>1</v>
      </c>
    </row>
    <row r="4302" spans="1:5" ht="13">
      <c r="A4302" s="2" t="str">
        <f ca="1">IFERROR(__xludf.DUMMYFUNCTION("""COMPUTED_VALUE"""),"Kander, John / Ebb, Fred")</f>
        <v>Kander, John / Ebb, Fred</v>
      </c>
      <c r="B4302" s="2">
        <f ca="1">IFERROR(__xludf.DUMMYFUNCTION("""COMPUTED_VALUE"""),1)</f>
        <v>1</v>
      </c>
      <c r="C4302" s="7">
        <f ca="1">IFERROR(__xludf.DUMMYFUNCTION("""COMPUTED_VALUE"""),1)</f>
        <v>1</v>
      </c>
      <c r="D4302" s="8">
        <f ca="1">IFERROR(__xludf.DUMMYFUNCTION("""COMPUTED_VALUE"""),5)</f>
        <v>5</v>
      </c>
      <c r="E4302" s="2">
        <f ca="1">IFERROR(__xludf.DUMMYFUNCTION("""COMPUTED_VALUE"""),2)</f>
        <v>2</v>
      </c>
    </row>
    <row r="4303" spans="1:5" ht="13">
      <c r="A4303" s="2" t="str">
        <f ca="1">IFERROR(__xludf.DUMMYFUNCTION("""COMPUTED_VALUE"""),"Kantor, James")</f>
        <v>Kantor, James</v>
      </c>
      <c r="B4303" s="3">
        <f ca="1">IFERROR(__xludf.DUMMYFUNCTION("""COMPUTED_VALUE"""),1)</f>
        <v>1</v>
      </c>
      <c r="C4303" s="7">
        <f ca="1">IFERROR(__xludf.DUMMYFUNCTION("""COMPUTED_VALUE"""),1)</f>
        <v>1</v>
      </c>
      <c r="D4303" s="8">
        <f ca="1">IFERROR(__xludf.DUMMYFUNCTION("""COMPUTED_VALUE"""),5)</f>
        <v>5</v>
      </c>
      <c r="E4303" s="2">
        <f ca="1">IFERROR(__xludf.DUMMYFUNCTION("""COMPUTED_VALUE"""),2)</f>
        <v>2</v>
      </c>
    </row>
    <row r="4304" spans="1:5" ht="13">
      <c r="A4304" s="8" t="str">
        <f ca="1">IFERROR(__xludf.DUMMYFUNCTION("""COMPUTED_VALUE"""),"Kantorski, Vincent J.")</f>
        <v>Kantorski, Vincent J.</v>
      </c>
      <c r="B4304" s="3">
        <f ca="1">IFERROR(__xludf.DUMMYFUNCTION("""COMPUTED_VALUE"""),1)</f>
        <v>1</v>
      </c>
      <c r="C4304" s="7">
        <f ca="1">IFERROR(__xludf.DUMMYFUNCTION("""COMPUTED_VALUE"""),1)</f>
        <v>1</v>
      </c>
      <c r="D4304" s="8">
        <f ca="1">IFERROR(__xludf.DUMMYFUNCTION("""COMPUTED_VALUE"""),5)</f>
        <v>5</v>
      </c>
      <c r="E4304" s="2">
        <f ca="1">IFERROR(__xludf.DUMMYFUNCTION("""COMPUTED_VALUE"""),2)</f>
        <v>2</v>
      </c>
    </row>
    <row r="4305" spans="1:5" ht="13">
      <c r="A4305" s="2" t="str">
        <f ca="1">IFERROR(__xludf.DUMMYFUNCTION("""COMPUTED_VALUE"""),"Kaper, Bronislau")</f>
        <v>Kaper, Bronislau</v>
      </c>
      <c r="B4305" s="3">
        <f ca="1">IFERROR(__xludf.DUMMYFUNCTION("""COMPUTED_VALUE"""),1)</f>
        <v>1</v>
      </c>
      <c r="C4305" s="7">
        <f ca="1">IFERROR(__xludf.DUMMYFUNCTION("""COMPUTED_VALUE"""),1)</f>
        <v>1</v>
      </c>
      <c r="D4305" s="8">
        <f ca="1">IFERROR(__xludf.DUMMYFUNCTION("""COMPUTED_VALUE"""),5)</f>
        <v>5</v>
      </c>
      <c r="E4305" s="2">
        <f ca="1">IFERROR(__xludf.DUMMYFUNCTION("""COMPUTED_VALUE"""),2)</f>
        <v>2</v>
      </c>
    </row>
    <row r="4306" spans="1:5" ht="13">
      <c r="A4306" s="2" t="str">
        <f ca="1">IFERROR(__xludf.DUMMYFUNCTION("""COMPUTED_VALUE"""),"Kaper, Bronislau / Washington, Ned")</f>
        <v>Kaper, Bronislau / Washington, Ned</v>
      </c>
      <c r="B4306" s="2">
        <f ca="1">IFERROR(__xludf.DUMMYFUNCTION("""COMPUTED_VALUE"""),1)</f>
        <v>1</v>
      </c>
      <c r="C4306" s="7">
        <f ca="1">IFERROR(__xludf.DUMMYFUNCTION("""COMPUTED_VALUE"""),1)</f>
        <v>1</v>
      </c>
      <c r="D4306" s="8">
        <f ca="1">IFERROR(__xludf.DUMMYFUNCTION("""COMPUTED_VALUE"""),5)</f>
        <v>5</v>
      </c>
      <c r="E4306" s="2">
        <f ca="1">IFERROR(__xludf.DUMMYFUNCTION("""COMPUTED_VALUE"""),2)</f>
        <v>2</v>
      </c>
    </row>
    <row r="4307" spans="1:5" ht="13">
      <c r="A4307" s="2" t="str">
        <f ca="1">IFERROR(__xludf.DUMMYFUNCTION("""COMPUTED_VALUE"""),"Kaper, Bronisław")</f>
        <v>Kaper, Bronisław</v>
      </c>
      <c r="B4307" s="3">
        <f ca="1">IFERROR(__xludf.DUMMYFUNCTION("""COMPUTED_VALUE"""),1)</f>
        <v>1</v>
      </c>
      <c r="C4307" s="7">
        <f ca="1">IFERROR(__xludf.DUMMYFUNCTION("""COMPUTED_VALUE"""),1)</f>
        <v>1</v>
      </c>
      <c r="D4307" s="8">
        <f ca="1">IFERROR(__xludf.DUMMYFUNCTION("""COMPUTED_VALUE"""),5)</f>
        <v>5</v>
      </c>
      <c r="E4307" s="2">
        <f ca="1">IFERROR(__xludf.DUMMYFUNCTION("""COMPUTED_VALUE"""),2)</f>
        <v>2</v>
      </c>
    </row>
    <row r="4308" spans="1:5" ht="13">
      <c r="A4308" s="2" t="str">
        <f ca="1">IFERROR(__xludf.DUMMYFUNCTION("""COMPUTED_VALUE"""),"Kaper, Bronslau")</f>
        <v>Kaper, Bronslau</v>
      </c>
      <c r="B4308" s="3">
        <f ca="1">IFERROR(__xludf.DUMMYFUNCTION("""COMPUTED_VALUE"""),1)</f>
        <v>1</v>
      </c>
      <c r="C4308" s="7">
        <f ca="1">IFERROR(__xludf.DUMMYFUNCTION("""COMPUTED_VALUE"""),1)</f>
        <v>1</v>
      </c>
      <c r="D4308" s="8">
        <f ca="1">IFERROR(__xludf.DUMMYFUNCTION("""COMPUTED_VALUE"""),5)</f>
        <v>5</v>
      </c>
      <c r="E4308" s="2">
        <f ca="1">IFERROR(__xludf.DUMMYFUNCTION("""COMPUTED_VALUE"""),2)</f>
        <v>2</v>
      </c>
    </row>
    <row r="4309" spans="1:5" ht="13">
      <c r="A4309" s="8" t="str">
        <f ca="1">IFERROR(__xludf.DUMMYFUNCTION("""COMPUTED_VALUE"""),"Kapilow, Rob")</f>
        <v>Kapilow, Rob</v>
      </c>
      <c r="B4309" s="3">
        <f ca="1">IFERROR(__xludf.DUMMYFUNCTION("""COMPUTED_VALUE"""),1)</f>
        <v>1</v>
      </c>
      <c r="C4309" s="7">
        <f ca="1">IFERROR(__xludf.DUMMYFUNCTION("""COMPUTED_VALUE"""),1)</f>
        <v>1</v>
      </c>
      <c r="D4309" s="8">
        <f ca="1">IFERROR(__xludf.DUMMYFUNCTION("""COMPUTED_VALUE"""),1)</f>
        <v>1</v>
      </c>
      <c r="E4309" s="2">
        <f ca="1">IFERROR(__xludf.DUMMYFUNCTION("""COMPUTED_VALUE"""),1)</f>
        <v>1</v>
      </c>
    </row>
    <row r="4310" spans="1:5" ht="13">
      <c r="A4310" s="2" t="str">
        <f ca="1">IFERROR(__xludf.DUMMYFUNCTION("""COMPUTED_VALUE"""),"Kaplan, Abraham")</f>
        <v>Kaplan, Abraham</v>
      </c>
      <c r="B4310" s="3">
        <f ca="1">IFERROR(__xludf.DUMMYFUNCTION("""COMPUTED_VALUE"""),1)</f>
        <v>1</v>
      </c>
      <c r="C4310" s="7">
        <f ca="1">IFERROR(__xludf.DUMMYFUNCTION("""COMPUTED_VALUE"""),1)</f>
        <v>1</v>
      </c>
      <c r="D4310" s="8">
        <f ca="1">IFERROR(__xludf.DUMMYFUNCTION("""COMPUTED_VALUE"""),1)</f>
        <v>1</v>
      </c>
      <c r="E4310" s="2">
        <f ca="1">IFERROR(__xludf.DUMMYFUNCTION("""COMPUTED_VALUE"""),1)</f>
        <v>1</v>
      </c>
    </row>
    <row r="4311" spans="1:5" ht="13">
      <c r="A4311" s="2" t="str">
        <f ca="1">IFERROR(__xludf.DUMMYFUNCTION("""COMPUTED_VALUE"""),"Kaplan, Nicholas")</f>
        <v>Kaplan, Nicholas</v>
      </c>
      <c r="B4311" s="3">
        <f ca="1">IFERROR(__xludf.DUMMYFUNCTION("""COMPUTED_VALUE"""),1)</f>
        <v>1</v>
      </c>
      <c r="C4311" s="7">
        <f ca="1">IFERROR(__xludf.DUMMYFUNCTION("""COMPUTED_VALUE"""),1)</f>
        <v>1</v>
      </c>
      <c r="D4311" s="8">
        <f ca="1">IFERROR(__xludf.DUMMYFUNCTION("""COMPUTED_VALUE"""),1)</f>
        <v>1</v>
      </c>
      <c r="E4311" s="2">
        <f ca="1">IFERROR(__xludf.DUMMYFUNCTION("""COMPUTED_VALUE"""),1)</f>
        <v>1</v>
      </c>
    </row>
    <row r="4312" spans="1:5" ht="13">
      <c r="A4312" s="8" t="str">
        <f ca="1">IFERROR(__xludf.DUMMYFUNCTION("""COMPUTED_VALUE"""),"Kapp, Eugen")</f>
        <v>Kapp, Eugen</v>
      </c>
      <c r="B4312" s="3">
        <f ca="1">IFERROR(__xludf.DUMMYFUNCTION("""COMPUTED_VALUE"""),1)</f>
        <v>1</v>
      </c>
      <c r="C4312" s="7">
        <f ca="1">IFERROR(__xludf.DUMMYFUNCTION("""COMPUTED_VALUE"""),1)</f>
        <v>1</v>
      </c>
      <c r="D4312" s="8">
        <f ca="1">IFERROR(__xludf.DUMMYFUNCTION("""COMPUTED_VALUE"""),5)</f>
        <v>5</v>
      </c>
      <c r="E4312" s="2">
        <f ca="1">IFERROR(__xludf.DUMMYFUNCTION("""COMPUTED_VALUE"""),2)</f>
        <v>2</v>
      </c>
    </row>
    <row r="4313" spans="1:5" ht="13">
      <c r="A4313" s="2" t="str">
        <f ca="1">IFERROR(__xludf.DUMMYFUNCTION("""COMPUTED_VALUE"""),"Kaptein, Lawrence")</f>
        <v>Kaptein, Lawrence</v>
      </c>
      <c r="B4313" s="3">
        <f ca="1">IFERROR(__xludf.DUMMYFUNCTION("""COMPUTED_VALUE"""),1)</f>
        <v>1</v>
      </c>
      <c r="C4313" s="7">
        <f ca="1">IFERROR(__xludf.DUMMYFUNCTION("""COMPUTED_VALUE"""),1)</f>
        <v>1</v>
      </c>
      <c r="D4313" s="8">
        <f ca="1">IFERROR(__xludf.DUMMYFUNCTION("""COMPUTED_VALUE"""),1)</f>
        <v>1</v>
      </c>
      <c r="E4313" s="2">
        <f ca="1">IFERROR(__xludf.DUMMYFUNCTION("""COMPUTED_VALUE"""),1)</f>
        <v>1</v>
      </c>
    </row>
    <row r="4314" spans="1:5" ht="13">
      <c r="A4314" s="8" t="str">
        <f ca="1">IFERROR(__xludf.DUMMYFUNCTION("""COMPUTED_VALUE"""),"Kapustin, Nikolai")</f>
        <v>Kapustin, Nikolai</v>
      </c>
      <c r="B4314" s="3">
        <f ca="1">IFERROR(__xludf.DUMMYFUNCTION("""COMPUTED_VALUE"""),1)</f>
        <v>1</v>
      </c>
      <c r="C4314" s="7">
        <f ca="1">IFERROR(__xludf.DUMMYFUNCTION("""COMPUTED_VALUE"""),1)</f>
        <v>1</v>
      </c>
      <c r="D4314" s="8">
        <f ca="1">IFERROR(__xludf.DUMMYFUNCTION("""COMPUTED_VALUE"""),5)</f>
        <v>5</v>
      </c>
      <c r="E4314" s="2">
        <f ca="1">IFERROR(__xludf.DUMMYFUNCTION("""COMPUTED_VALUE"""),2)</f>
        <v>2</v>
      </c>
    </row>
    <row r="4315" spans="1:5" ht="13">
      <c r="A4315" s="2" t="str">
        <f ca="1">IFERROR(__xludf.DUMMYFUNCTION("""COMPUTED_VALUE"""),"Karai, Josef")</f>
        <v>Karai, Josef</v>
      </c>
      <c r="B4315" s="2">
        <f ca="1">IFERROR(__xludf.DUMMYFUNCTION("""COMPUTED_VALUE"""),1)</f>
        <v>1</v>
      </c>
      <c r="C4315" s="7">
        <f ca="1">IFERROR(__xludf.DUMMYFUNCTION("""COMPUTED_VALUE"""),1)</f>
        <v>1</v>
      </c>
      <c r="D4315" s="8">
        <f ca="1">IFERROR(__xludf.DUMMYFUNCTION("""COMPUTED_VALUE"""),5)</f>
        <v>5</v>
      </c>
      <c r="E4315" s="2">
        <f ca="1">IFERROR(__xludf.DUMMYFUNCTION("""COMPUTED_VALUE"""),2)</f>
        <v>2</v>
      </c>
    </row>
    <row r="4316" spans="1:5" ht="13">
      <c r="A4316" s="2" t="str">
        <f ca="1">IFERROR(__xludf.DUMMYFUNCTION("""COMPUTED_VALUE"""),"Karai, Jozsef")</f>
        <v>Karai, Jozsef</v>
      </c>
      <c r="B4316" s="2">
        <f ca="1">IFERROR(__xludf.DUMMYFUNCTION("""COMPUTED_VALUE"""),1)</f>
        <v>1</v>
      </c>
      <c r="C4316" s="7">
        <f ca="1">IFERROR(__xludf.DUMMYFUNCTION("""COMPUTED_VALUE"""),1)</f>
        <v>1</v>
      </c>
      <c r="D4316" s="8">
        <f ca="1">IFERROR(__xludf.DUMMYFUNCTION("""COMPUTED_VALUE"""),5)</f>
        <v>5</v>
      </c>
      <c r="E4316" s="2">
        <f ca="1">IFERROR(__xludf.DUMMYFUNCTION("""COMPUTED_VALUE"""),2)</f>
        <v>2</v>
      </c>
    </row>
    <row r="4317" spans="1:5" ht="13">
      <c r="A4317" s="2" t="str">
        <f ca="1">IFERROR(__xludf.DUMMYFUNCTION("""COMPUTED_VALUE"""),"Karg-Elert, Sigfrid")</f>
        <v>Karg-Elert, Sigfrid</v>
      </c>
      <c r="B4317" s="3">
        <f ca="1">IFERROR(__xludf.DUMMYFUNCTION("""COMPUTED_VALUE"""),1)</f>
        <v>1</v>
      </c>
      <c r="C4317" s="7">
        <f ca="1">IFERROR(__xludf.DUMMYFUNCTION("""COMPUTED_VALUE"""),1)</f>
        <v>1</v>
      </c>
      <c r="D4317" s="8">
        <f ca="1">IFERROR(__xludf.DUMMYFUNCTION("""COMPUTED_VALUE"""),5)</f>
        <v>5</v>
      </c>
      <c r="E4317" s="2">
        <f ca="1">IFERROR(__xludf.DUMMYFUNCTION("""COMPUTED_VALUE"""),2)</f>
        <v>2</v>
      </c>
    </row>
    <row r="4318" spans="1:5" ht="13">
      <c r="A4318" s="2" t="str">
        <f ca="1">IFERROR(__xludf.DUMMYFUNCTION("""COMPUTED_VALUE"""),"Karłowicz, Mieczysław")</f>
        <v>Karłowicz, Mieczysław</v>
      </c>
      <c r="B4318" s="3">
        <f ca="1">IFERROR(__xludf.DUMMYFUNCTION("""COMPUTED_VALUE"""),1)</f>
        <v>1</v>
      </c>
      <c r="C4318" s="7">
        <f ca="1">IFERROR(__xludf.DUMMYFUNCTION("""COMPUTED_VALUE"""),1)</f>
        <v>1</v>
      </c>
      <c r="D4318" s="8">
        <f ca="1">IFERROR(__xludf.DUMMYFUNCTION("""COMPUTED_VALUE"""),5)</f>
        <v>5</v>
      </c>
      <c r="E4318" s="2">
        <f ca="1">IFERROR(__xludf.DUMMYFUNCTION("""COMPUTED_VALUE"""),2)</f>
        <v>2</v>
      </c>
    </row>
    <row r="4319" spans="1:5" ht="13">
      <c r="A4319" s="2" t="str">
        <f ca="1">IFERROR(__xludf.DUMMYFUNCTION("""COMPUTED_VALUE"""),"Karlsons, Juris")</f>
        <v>Karlsons, Juris</v>
      </c>
      <c r="B4319" s="3">
        <f ca="1">IFERROR(__xludf.DUMMYFUNCTION("""COMPUTED_VALUE"""),1)</f>
        <v>1</v>
      </c>
      <c r="C4319" s="7">
        <f ca="1">IFERROR(__xludf.DUMMYFUNCTION("""COMPUTED_VALUE"""),1)</f>
        <v>1</v>
      </c>
      <c r="D4319" s="8">
        <f ca="1">IFERROR(__xludf.DUMMYFUNCTION("""COMPUTED_VALUE"""),1)</f>
        <v>1</v>
      </c>
      <c r="E4319" s="2">
        <f ca="1">IFERROR(__xludf.DUMMYFUNCTION("""COMPUTED_VALUE"""),1)</f>
        <v>1</v>
      </c>
    </row>
    <row r="4320" spans="1:5" ht="13">
      <c r="A4320" s="2" t="str">
        <f ca="1">IFERROR(__xludf.DUMMYFUNCTION("""COMPUTED_VALUE"""),"Karmanov, Pavel")</f>
        <v>Karmanov, Pavel</v>
      </c>
      <c r="B4320" s="3">
        <f ca="1">IFERROR(__xludf.DUMMYFUNCTION("""COMPUTED_VALUE"""),1)</f>
        <v>1</v>
      </c>
      <c r="C4320" s="7">
        <f ca="1">IFERROR(__xludf.DUMMYFUNCTION("""COMPUTED_VALUE"""),1)</f>
        <v>1</v>
      </c>
      <c r="D4320" s="8">
        <f ca="1">IFERROR(__xludf.DUMMYFUNCTION("""COMPUTED_VALUE"""),1)</f>
        <v>1</v>
      </c>
      <c r="E4320" s="2">
        <f ca="1">IFERROR(__xludf.DUMMYFUNCTION("""COMPUTED_VALUE"""),1)</f>
        <v>1</v>
      </c>
    </row>
    <row r="4321" spans="1:5" ht="13">
      <c r="A4321" s="2" t="str">
        <f ca="1">IFERROR(__xludf.DUMMYFUNCTION("""COMPUTED_VALUE"""),"Karrick, Brant")</f>
        <v>Karrick, Brant</v>
      </c>
      <c r="B4321" s="3">
        <f ca="1">IFERROR(__xludf.DUMMYFUNCTION("""COMPUTED_VALUE"""),1)</f>
        <v>1</v>
      </c>
      <c r="C4321" s="7">
        <f ca="1">IFERROR(__xludf.DUMMYFUNCTION("""COMPUTED_VALUE"""),1)</f>
        <v>1</v>
      </c>
      <c r="D4321" s="8">
        <f ca="1">IFERROR(__xludf.DUMMYFUNCTION("""COMPUTED_VALUE"""),1)</f>
        <v>1</v>
      </c>
      <c r="E4321" s="2">
        <f ca="1">IFERROR(__xludf.DUMMYFUNCTION("""COMPUTED_VALUE"""),1)</f>
        <v>1</v>
      </c>
    </row>
    <row r="4322" spans="1:5" ht="13">
      <c r="A4322" s="2" t="str">
        <f ca="1">IFERROR(__xludf.DUMMYFUNCTION("""COMPUTED_VALUE"""),"Kasha, Al / Hirschhorn, Joel")</f>
        <v>Kasha, Al / Hirschhorn, Joel</v>
      </c>
      <c r="B4322" s="2">
        <f ca="1">IFERROR(__xludf.DUMMYFUNCTION("""COMPUTED_VALUE"""),1)</f>
        <v>1</v>
      </c>
      <c r="C4322" s="7">
        <f ca="1">IFERROR(__xludf.DUMMYFUNCTION("""COMPUTED_VALUE"""),1)</f>
        <v>1</v>
      </c>
      <c r="D4322" s="8">
        <f ca="1">IFERROR(__xludf.DUMMYFUNCTION("""COMPUTED_VALUE"""),5)</f>
        <v>5</v>
      </c>
      <c r="E4322" s="2">
        <f ca="1">IFERROR(__xludf.DUMMYFUNCTION("""COMPUTED_VALUE"""),2)</f>
        <v>2</v>
      </c>
    </row>
    <row r="4323" spans="1:5" ht="13">
      <c r="A4323" s="2" t="str">
        <f ca="1">IFERROR(__xludf.DUMMYFUNCTION("""COMPUTED_VALUE"""),"Kasma, Joseph")</f>
        <v>Kasma, Joseph</v>
      </c>
      <c r="B4323" s="3">
        <f ca="1">IFERROR(__xludf.DUMMYFUNCTION("""COMPUTED_VALUE"""),1)</f>
        <v>1</v>
      </c>
      <c r="C4323" s="7">
        <f ca="1">IFERROR(__xludf.DUMMYFUNCTION("""COMPUTED_VALUE"""),1)</f>
        <v>1</v>
      </c>
      <c r="D4323" s="8">
        <f ca="1">IFERROR(__xludf.DUMMYFUNCTION("""COMPUTED_VALUE"""),5)</f>
        <v>5</v>
      </c>
      <c r="E4323" s="2">
        <f ca="1">IFERROR(__xludf.DUMMYFUNCTION("""COMPUTED_VALUE"""),2)</f>
        <v>2</v>
      </c>
    </row>
    <row r="4324" spans="1:5" ht="13">
      <c r="A4324" s="8" t="str">
        <f ca="1">IFERROR(__xludf.DUMMYFUNCTION("""COMPUTED_VALUE"""),"Kaspar, Johann")</f>
        <v>Kaspar, Johann</v>
      </c>
      <c r="B4324" s="3">
        <f ca="1">IFERROR(__xludf.DUMMYFUNCTION("""COMPUTED_VALUE"""),1)</f>
        <v>1</v>
      </c>
      <c r="C4324" s="7">
        <f ca="1">IFERROR(__xludf.DUMMYFUNCTION("""COMPUTED_VALUE"""),1)</f>
        <v>1</v>
      </c>
      <c r="D4324" s="8">
        <f ca="1">IFERROR(__xludf.DUMMYFUNCTION("""COMPUTED_VALUE"""),5)</f>
        <v>5</v>
      </c>
      <c r="E4324" s="2">
        <f ca="1">IFERROR(__xludf.DUMMYFUNCTION("""COMPUTED_VALUE"""),2)</f>
        <v>2</v>
      </c>
    </row>
    <row r="4325" spans="1:5" ht="13">
      <c r="A4325" s="8" t="str">
        <f ca="1">IFERROR(__xludf.DUMMYFUNCTION("""COMPUTED_VALUE"""),"Kasparov, Yuri")</f>
        <v>Kasparov, Yuri</v>
      </c>
      <c r="B4325" s="3">
        <f ca="1">IFERROR(__xludf.DUMMYFUNCTION("""COMPUTED_VALUE"""),1)</f>
        <v>1</v>
      </c>
      <c r="C4325" s="7">
        <f ca="1">IFERROR(__xludf.DUMMYFUNCTION("""COMPUTED_VALUE"""),1)</f>
        <v>1</v>
      </c>
      <c r="D4325" s="8">
        <f ca="1">IFERROR(__xludf.DUMMYFUNCTION("""COMPUTED_VALUE"""),1)</f>
        <v>1</v>
      </c>
      <c r="E4325" s="2">
        <f ca="1">IFERROR(__xludf.DUMMYFUNCTION("""COMPUTED_VALUE"""),1)</f>
        <v>1</v>
      </c>
    </row>
    <row r="4326" spans="1:5" ht="13">
      <c r="A4326" s="2" t="str">
        <f ca="1">IFERROR(__xludf.DUMMYFUNCTION("""COMPUTED_VALUE"""),"Kastalsky, Alexander")</f>
        <v>Kastalsky, Alexander</v>
      </c>
      <c r="B4326" s="3">
        <f ca="1">IFERROR(__xludf.DUMMYFUNCTION("""COMPUTED_VALUE"""),1)</f>
        <v>1</v>
      </c>
      <c r="C4326" s="7">
        <f ca="1">IFERROR(__xludf.DUMMYFUNCTION("""COMPUTED_VALUE"""),1)</f>
        <v>1</v>
      </c>
      <c r="D4326" s="8">
        <f ca="1">IFERROR(__xludf.DUMMYFUNCTION("""COMPUTED_VALUE"""),5)</f>
        <v>5</v>
      </c>
      <c r="E4326" s="2">
        <f ca="1">IFERROR(__xludf.DUMMYFUNCTION("""COMPUTED_VALUE"""),2)</f>
        <v>2</v>
      </c>
    </row>
    <row r="4327" spans="1:5" ht="13">
      <c r="A4327" s="2" t="str">
        <f ca="1">IFERROR(__xludf.DUMMYFUNCTION("""COMPUTED_VALUE"""),"Kastens, Kevin")</f>
        <v>Kastens, Kevin</v>
      </c>
      <c r="B4327" s="3">
        <f ca="1">IFERROR(__xludf.DUMMYFUNCTION("""COMPUTED_VALUE"""),1)</f>
        <v>1</v>
      </c>
      <c r="C4327" s="7">
        <f ca="1">IFERROR(__xludf.DUMMYFUNCTION("""COMPUTED_VALUE"""),1)</f>
        <v>1</v>
      </c>
      <c r="D4327" s="8">
        <f ca="1">IFERROR(__xludf.DUMMYFUNCTION("""COMPUTED_VALUE"""),1)</f>
        <v>1</v>
      </c>
      <c r="E4327" s="2">
        <f ca="1">IFERROR(__xludf.DUMMYFUNCTION("""COMPUTED_VALUE"""),1)</f>
        <v>1</v>
      </c>
    </row>
    <row r="4328" spans="1:5" ht="13">
      <c r="A4328" s="2" t="str">
        <f ca="1">IFERROR(__xludf.DUMMYFUNCTION("""COMPUTED_VALUE"""),"Kastner, Jean-Georges")</f>
        <v>Kastner, Jean-Georges</v>
      </c>
      <c r="B4328" s="3">
        <f ca="1">IFERROR(__xludf.DUMMYFUNCTION("""COMPUTED_VALUE"""),1)</f>
        <v>1</v>
      </c>
      <c r="C4328" s="7">
        <f ca="1">IFERROR(__xludf.DUMMYFUNCTION("""COMPUTED_VALUE"""),1)</f>
        <v>1</v>
      </c>
      <c r="D4328" s="8">
        <f ca="1">IFERROR(__xludf.DUMMYFUNCTION("""COMPUTED_VALUE"""),5)</f>
        <v>5</v>
      </c>
      <c r="E4328" s="2">
        <f ca="1">IFERROR(__xludf.DUMMYFUNCTION("""COMPUTED_VALUE"""),2)</f>
        <v>2</v>
      </c>
    </row>
    <row r="4329" spans="1:5" ht="13">
      <c r="A4329" s="2" t="str">
        <f ca="1">IFERROR(__xludf.DUMMYFUNCTION("""COMPUTED_VALUE"""),"Katscher, Robert")</f>
        <v>Katscher, Robert</v>
      </c>
      <c r="B4329" s="3">
        <f ca="1">IFERROR(__xludf.DUMMYFUNCTION("""COMPUTED_VALUE"""),1)</f>
        <v>1</v>
      </c>
      <c r="C4329" s="7">
        <f ca="1">IFERROR(__xludf.DUMMYFUNCTION("""COMPUTED_VALUE"""),1)</f>
        <v>1</v>
      </c>
      <c r="D4329" s="8">
        <f ca="1">IFERROR(__xludf.DUMMYFUNCTION("""COMPUTED_VALUE"""),5)</f>
        <v>5</v>
      </c>
      <c r="E4329" s="2">
        <f ca="1">IFERROR(__xludf.DUMMYFUNCTION("""COMPUTED_VALUE"""),2)</f>
        <v>2</v>
      </c>
    </row>
    <row r="4330" spans="1:5" ht="13">
      <c r="A4330" s="8" t="str">
        <f ca="1">IFERROR(__xludf.DUMMYFUNCTION("""COMPUTED_VALUE"""),"Katzman, Theo")</f>
        <v>Katzman, Theo</v>
      </c>
      <c r="B4330" s="3">
        <f ca="1">IFERROR(__xludf.DUMMYFUNCTION("""COMPUTED_VALUE"""),1)</f>
        <v>1</v>
      </c>
      <c r="C4330" s="7">
        <f ca="1">IFERROR(__xludf.DUMMYFUNCTION("""COMPUTED_VALUE"""),1)</f>
        <v>1</v>
      </c>
      <c r="D4330" s="8">
        <f ca="1">IFERROR(__xludf.DUMMYFUNCTION("""COMPUTED_VALUE"""),1)</f>
        <v>1</v>
      </c>
      <c r="E4330" s="2">
        <f ca="1">IFERROR(__xludf.DUMMYFUNCTION("""COMPUTED_VALUE"""),1)</f>
        <v>1</v>
      </c>
    </row>
    <row r="4331" spans="1:5" ht="13">
      <c r="A4331" s="8" t="str">
        <f ca="1">IFERROR(__xludf.DUMMYFUNCTION("""COMPUTED_VALUE"""),"Kauffmann, Robert")</f>
        <v>Kauffmann, Robert</v>
      </c>
      <c r="B4331" s="3">
        <f ca="1">IFERROR(__xludf.DUMMYFUNCTION("""COMPUTED_VALUE"""),1)</f>
        <v>1</v>
      </c>
      <c r="C4331" s="7">
        <f ca="1">IFERROR(__xludf.DUMMYFUNCTION("""COMPUTED_VALUE"""),1)</f>
        <v>1</v>
      </c>
      <c r="D4331" s="8">
        <f ca="1">IFERROR(__xludf.DUMMYFUNCTION("""COMPUTED_VALUE"""),1)</f>
        <v>1</v>
      </c>
      <c r="E4331" s="2">
        <f ca="1">IFERROR(__xludf.DUMMYFUNCTION("""COMPUTED_VALUE"""),1)</f>
        <v>1</v>
      </c>
    </row>
    <row r="4332" spans="1:5" ht="13">
      <c r="A4332" s="2" t="str">
        <f ca="1">IFERROR(__xludf.DUMMYFUNCTION("""COMPUTED_VALUE"""),"Kauffmann, Ronald")</f>
        <v>Kauffmann, Ronald</v>
      </c>
      <c r="B4332" s="3">
        <f ca="1">IFERROR(__xludf.DUMMYFUNCTION("""COMPUTED_VALUE"""),1)</f>
        <v>1</v>
      </c>
      <c r="C4332" s="7">
        <f ca="1">IFERROR(__xludf.DUMMYFUNCTION("""COMPUTED_VALUE"""),1)</f>
        <v>1</v>
      </c>
      <c r="D4332" s="8">
        <f ca="1">IFERROR(__xludf.DUMMYFUNCTION("""COMPUTED_VALUE"""),1)</f>
        <v>1</v>
      </c>
      <c r="E4332" s="2">
        <f ca="1">IFERROR(__xludf.DUMMYFUNCTION("""COMPUTED_VALUE"""),1)</f>
        <v>1</v>
      </c>
    </row>
    <row r="4333" spans="1:5" ht="13">
      <c r="A4333" s="2" t="str">
        <f ca="1">IFERROR(__xludf.DUMMYFUNCTION("""COMPUTED_VALUE"""),"Kaufman, Benjamin")</f>
        <v>Kaufman, Benjamin</v>
      </c>
      <c r="B4333" s="3">
        <f ca="1">IFERROR(__xludf.DUMMYFUNCTION("""COMPUTED_VALUE"""),1)</f>
        <v>1</v>
      </c>
      <c r="C4333" s="7">
        <f ca="1">IFERROR(__xludf.DUMMYFUNCTION("""COMPUTED_VALUE"""),1)</f>
        <v>1</v>
      </c>
      <c r="D4333" s="8">
        <f ca="1">IFERROR(__xludf.DUMMYFUNCTION("""COMPUTED_VALUE"""),5)</f>
        <v>5</v>
      </c>
      <c r="E4333" s="2">
        <f ca="1">IFERROR(__xludf.DUMMYFUNCTION("""COMPUTED_VALUE"""),2)</f>
        <v>2</v>
      </c>
    </row>
    <row r="4334" spans="1:5" ht="13">
      <c r="A4334" s="8" t="str">
        <f ca="1">IFERROR(__xludf.DUMMYFUNCTION("""COMPUTED_VALUE"""),"Kavaldzhiev, Ivan")</f>
        <v>Kavaldzhiev, Ivan</v>
      </c>
      <c r="B4334" s="3">
        <f ca="1">IFERROR(__xludf.DUMMYFUNCTION("""COMPUTED_VALUE"""),1)</f>
        <v>1</v>
      </c>
      <c r="C4334" s="7">
        <f ca="1">IFERROR(__xludf.DUMMYFUNCTION("""COMPUTED_VALUE"""),1)</f>
        <v>1</v>
      </c>
      <c r="D4334" s="8">
        <f ca="1">IFERROR(__xludf.DUMMYFUNCTION("""COMPUTED_VALUE"""),5)</f>
        <v>5</v>
      </c>
      <c r="E4334" s="2">
        <f ca="1">IFERROR(__xludf.DUMMYFUNCTION("""COMPUTED_VALUE"""),2)</f>
        <v>2</v>
      </c>
    </row>
    <row r="4335" spans="1:5" ht="13">
      <c r="A4335" s="2" t="str">
        <f ca="1">IFERROR(__xludf.DUMMYFUNCTION("""COMPUTED_VALUE"""),"Kawarsky, Jay")</f>
        <v>Kawarsky, Jay</v>
      </c>
      <c r="B4335" s="3">
        <f ca="1">IFERROR(__xludf.DUMMYFUNCTION("""COMPUTED_VALUE"""),1)</f>
        <v>1</v>
      </c>
      <c r="C4335" s="7">
        <f ca="1">IFERROR(__xludf.DUMMYFUNCTION("""COMPUTED_VALUE"""),1)</f>
        <v>1</v>
      </c>
      <c r="D4335" s="8">
        <f ca="1">IFERROR(__xludf.DUMMYFUNCTION("""COMPUTED_VALUE"""),1)</f>
        <v>1</v>
      </c>
      <c r="E4335" s="2">
        <f ca="1">IFERROR(__xludf.DUMMYFUNCTION("""COMPUTED_VALUE"""),1)</f>
        <v>1</v>
      </c>
    </row>
    <row r="4336" spans="1:5" ht="13">
      <c r="A4336" s="2" t="str">
        <f ca="1">IFERROR(__xludf.DUMMYFUNCTION("""COMPUTED_VALUE"""),"Kay, Dean / Gordon, Kelly")</f>
        <v>Kay, Dean / Gordon, Kelly</v>
      </c>
      <c r="B4336" s="2">
        <f ca="1">IFERROR(__xludf.DUMMYFUNCTION("""COMPUTED_VALUE"""),1)</f>
        <v>1</v>
      </c>
      <c r="C4336" s="7">
        <f ca="1">IFERROR(__xludf.DUMMYFUNCTION("""COMPUTED_VALUE"""),1)</f>
        <v>1</v>
      </c>
      <c r="D4336" s="8">
        <f ca="1">IFERROR(__xludf.DUMMYFUNCTION("""COMPUTED_VALUE"""),5)</f>
        <v>5</v>
      </c>
      <c r="E4336" s="2">
        <f ca="1">IFERROR(__xludf.DUMMYFUNCTION("""COMPUTED_VALUE"""),2)</f>
        <v>2</v>
      </c>
    </row>
    <row r="4337" spans="1:5" ht="13">
      <c r="A4337" s="2" t="str">
        <f ca="1">IFERROR(__xludf.DUMMYFUNCTION("""COMPUTED_VALUE"""),"Kay, Hershy")</f>
        <v>Kay, Hershy</v>
      </c>
      <c r="B4337" s="3">
        <f ca="1">IFERROR(__xludf.DUMMYFUNCTION("""COMPUTED_VALUE"""),1)</f>
        <v>1</v>
      </c>
      <c r="C4337" s="7">
        <f ca="1">IFERROR(__xludf.DUMMYFUNCTION("""COMPUTED_VALUE"""),1)</f>
        <v>1</v>
      </c>
      <c r="D4337" s="8">
        <f ca="1">IFERROR(__xludf.DUMMYFUNCTION("""COMPUTED_VALUE"""),5)</f>
        <v>5</v>
      </c>
      <c r="E4337" s="2">
        <f ca="1">IFERROR(__xludf.DUMMYFUNCTION("""COMPUTED_VALUE"""),2)</f>
        <v>2</v>
      </c>
    </row>
    <row r="4338" spans="1:5" ht="13">
      <c r="A4338" s="8" t="str">
        <f ca="1">IFERROR(__xludf.DUMMYFUNCTION("""COMPUTED_VALUE"""),"Kay, Peter B.")</f>
        <v>Kay, Peter B.</v>
      </c>
      <c r="B4338" s="3">
        <f ca="1">IFERROR(__xludf.DUMMYFUNCTION("""COMPUTED_VALUE"""),1)</f>
        <v>1</v>
      </c>
      <c r="C4338" s="7">
        <f ca="1">IFERROR(__xludf.DUMMYFUNCTION("""COMPUTED_VALUE"""),1)</f>
        <v>1</v>
      </c>
      <c r="D4338" s="8">
        <f ca="1">IFERROR(__xludf.DUMMYFUNCTION("""COMPUTED_VALUE"""),1)</f>
        <v>1</v>
      </c>
      <c r="E4338" s="2">
        <f ca="1">IFERROR(__xludf.DUMMYFUNCTION("""COMPUTED_VALUE"""),1)</f>
        <v>1</v>
      </c>
    </row>
    <row r="4339" spans="1:5" ht="13">
      <c r="A4339" s="2" t="str">
        <f ca="1">IFERROR(__xludf.DUMMYFUNCTION("""COMPUTED_VALUE"""),"Kay, Stanley")</f>
        <v>Kay, Stanley</v>
      </c>
      <c r="B4339" s="2">
        <f ca="1">IFERROR(__xludf.DUMMYFUNCTION("""COMPUTED_VALUE"""),1)</f>
        <v>1</v>
      </c>
      <c r="C4339" s="7">
        <f ca="1">IFERROR(__xludf.DUMMYFUNCTION("""COMPUTED_VALUE"""),1)</f>
        <v>1</v>
      </c>
      <c r="D4339" s="8">
        <f ca="1">IFERROR(__xludf.DUMMYFUNCTION("""COMPUTED_VALUE"""),5)</f>
        <v>5</v>
      </c>
      <c r="E4339" s="2">
        <f ca="1">IFERROR(__xludf.DUMMYFUNCTION("""COMPUTED_VALUE"""),2)</f>
        <v>2</v>
      </c>
    </row>
    <row r="4340" spans="1:5" ht="13">
      <c r="A4340" s="2" t="str">
        <f ca="1">IFERROR(__xludf.DUMMYFUNCTION("""COMPUTED_VALUE"""),"Kazez, Daniel")</f>
        <v>Kazez, Daniel</v>
      </c>
      <c r="B4340" s="3">
        <f ca="1">IFERROR(__xludf.DUMMYFUNCTION("""COMPUTED_VALUE"""),1)</f>
        <v>1</v>
      </c>
      <c r="C4340" s="7">
        <f ca="1">IFERROR(__xludf.DUMMYFUNCTION("""COMPUTED_VALUE"""),1)</f>
        <v>1</v>
      </c>
      <c r="D4340" s="8">
        <f ca="1">IFERROR(__xludf.DUMMYFUNCTION("""COMPUTED_VALUE"""),1)</f>
        <v>1</v>
      </c>
      <c r="E4340" s="2">
        <f ca="1">IFERROR(__xludf.DUMMYFUNCTION("""COMPUTED_VALUE"""),1)</f>
        <v>1</v>
      </c>
    </row>
    <row r="4341" spans="1:5" ht="13">
      <c r="A4341" s="2" t="str">
        <f ca="1">IFERROR(__xludf.DUMMYFUNCTION("""COMPUTED_VALUE"""),"Kazik, James")</f>
        <v>Kazik, James</v>
      </c>
      <c r="B4341" s="3">
        <f ca="1">IFERROR(__xludf.DUMMYFUNCTION("""COMPUTED_VALUE"""),1)</f>
        <v>1</v>
      </c>
      <c r="C4341" s="7">
        <f ca="1">IFERROR(__xludf.DUMMYFUNCTION("""COMPUTED_VALUE"""),1)</f>
        <v>1</v>
      </c>
      <c r="D4341" s="8">
        <f ca="1">IFERROR(__xludf.DUMMYFUNCTION("""COMPUTED_VALUE"""),1)</f>
        <v>1</v>
      </c>
      <c r="E4341" s="2">
        <f ca="1">IFERROR(__xludf.DUMMYFUNCTION("""COMPUTED_VALUE"""),1)</f>
        <v>1</v>
      </c>
    </row>
    <row r="4342" spans="1:5" ht="13">
      <c r="A4342" s="2" t="str">
        <f ca="1">IFERROR(__xludf.DUMMYFUNCTION("""COMPUTED_VALUE"""),"Kean, Ron")</f>
        <v>Kean, Ron</v>
      </c>
      <c r="B4342" s="3">
        <f ca="1">IFERROR(__xludf.DUMMYFUNCTION("""COMPUTED_VALUE"""),1)</f>
        <v>1</v>
      </c>
      <c r="C4342" s="7">
        <f ca="1">IFERROR(__xludf.DUMMYFUNCTION("""COMPUTED_VALUE"""),1)</f>
        <v>1</v>
      </c>
      <c r="D4342" s="8">
        <f ca="1">IFERROR(__xludf.DUMMYFUNCTION("""COMPUTED_VALUE"""),1)</f>
        <v>1</v>
      </c>
      <c r="E4342" s="2">
        <f ca="1">IFERROR(__xludf.DUMMYFUNCTION("""COMPUTED_VALUE"""),1)</f>
        <v>1</v>
      </c>
    </row>
    <row r="4343" spans="1:5" ht="13">
      <c r="A4343" s="8" t="str">
        <f ca="1">IFERROR(__xludf.DUMMYFUNCTION("""COMPUTED_VALUE"""),"Keats. John")</f>
        <v>Keats. John</v>
      </c>
      <c r="B4343" s="3">
        <f ca="1">IFERROR(__xludf.DUMMYFUNCTION("""COMPUTED_VALUE"""),1)</f>
        <v>1</v>
      </c>
      <c r="C4343" s="7">
        <f ca="1">IFERROR(__xludf.DUMMYFUNCTION("""COMPUTED_VALUE"""),1)</f>
        <v>1</v>
      </c>
      <c r="D4343" s="8">
        <f ca="1">IFERROR(__xludf.DUMMYFUNCTION("""COMPUTED_VALUE"""),5)</f>
        <v>5</v>
      </c>
      <c r="E4343" s="2">
        <f ca="1">IFERROR(__xludf.DUMMYFUNCTION("""COMPUTED_VALUE"""),2)</f>
        <v>2</v>
      </c>
    </row>
    <row r="4344" spans="1:5" ht="13">
      <c r="A4344" s="2" t="str">
        <f ca="1">IFERROR(__xludf.DUMMYFUNCTION("""COMPUTED_VALUE"""),"Keberle, Dan")</f>
        <v>Keberle, Dan</v>
      </c>
      <c r="B4344" s="3">
        <f ca="1">IFERROR(__xludf.DUMMYFUNCTION("""COMPUTED_VALUE"""),1)</f>
        <v>1</v>
      </c>
      <c r="C4344" s="7">
        <f ca="1">IFERROR(__xludf.DUMMYFUNCTION("""COMPUTED_VALUE"""),1)</f>
        <v>1</v>
      </c>
      <c r="D4344" s="8">
        <f ca="1">IFERROR(__xludf.DUMMYFUNCTION("""COMPUTED_VALUE"""),1)</f>
        <v>1</v>
      </c>
      <c r="E4344" s="2">
        <f ca="1">IFERROR(__xludf.DUMMYFUNCTION("""COMPUTED_VALUE"""),1)</f>
        <v>1</v>
      </c>
    </row>
    <row r="4345" spans="1:5" ht="13">
      <c r="A4345" s="2" t="str">
        <f ca="1">IFERROR(__xludf.DUMMYFUNCTION("""COMPUTED_VALUE"""),"Kechley, David")</f>
        <v>Kechley, David</v>
      </c>
      <c r="B4345" s="3">
        <f ca="1">IFERROR(__xludf.DUMMYFUNCTION("""COMPUTED_VALUE"""),1)</f>
        <v>1</v>
      </c>
      <c r="C4345" s="7">
        <f ca="1">IFERROR(__xludf.DUMMYFUNCTION("""COMPUTED_VALUE"""),1)</f>
        <v>1</v>
      </c>
      <c r="D4345" s="8">
        <f ca="1">IFERROR(__xludf.DUMMYFUNCTION("""COMPUTED_VALUE"""),5)</f>
        <v>5</v>
      </c>
      <c r="E4345" s="2">
        <f ca="1">IFERROR(__xludf.DUMMYFUNCTION("""COMPUTED_VALUE"""),2)</f>
        <v>2</v>
      </c>
    </row>
    <row r="4346" spans="1:5" ht="13">
      <c r="A4346" s="2" t="str">
        <f ca="1">IFERROR(__xludf.DUMMYFUNCTION("""COMPUTED_VALUE"""),"Kechley, Gerald")</f>
        <v>Kechley, Gerald</v>
      </c>
      <c r="B4346" s="2">
        <f ca="1">IFERROR(__xludf.DUMMYFUNCTION("""COMPUTED_VALUE"""),1)</f>
        <v>1</v>
      </c>
      <c r="C4346" s="7">
        <f ca="1">IFERROR(__xludf.DUMMYFUNCTION("""COMPUTED_VALUE"""),1)</f>
        <v>1</v>
      </c>
      <c r="D4346" s="8">
        <f ca="1">IFERROR(__xludf.DUMMYFUNCTION("""COMPUTED_VALUE"""),5)</f>
        <v>5</v>
      </c>
      <c r="E4346" s="2">
        <f ca="1">IFERROR(__xludf.DUMMYFUNCTION("""COMPUTED_VALUE"""),2)</f>
        <v>2</v>
      </c>
    </row>
    <row r="4347" spans="1:5" ht="13">
      <c r="A4347" s="2" t="str">
        <f ca="1">IFERROR(__xludf.DUMMYFUNCTION("""COMPUTED_VALUE"""),"Keck, Austin")</f>
        <v>Keck, Austin</v>
      </c>
      <c r="B4347" s="3">
        <f ca="1">IFERROR(__xludf.DUMMYFUNCTION("""COMPUTED_VALUE"""),1)</f>
        <v>1</v>
      </c>
      <c r="C4347" s="7">
        <f ca="1">IFERROR(__xludf.DUMMYFUNCTION("""COMPUTED_VALUE"""),1)</f>
        <v>1</v>
      </c>
      <c r="D4347" s="8">
        <f ca="1">IFERROR(__xludf.DUMMYFUNCTION("""COMPUTED_VALUE"""),1)</f>
        <v>1</v>
      </c>
      <c r="E4347" s="2">
        <f ca="1">IFERROR(__xludf.DUMMYFUNCTION("""COMPUTED_VALUE"""),1)</f>
        <v>1</v>
      </c>
    </row>
    <row r="4348" spans="1:5" ht="13">
      <c r="A4348" s="2" t="str">
        <f ca="1">IFERROR(__xludf.DUMMYFUNCTION("""COMPUTED_VALUE"""),"Keckley, J. W.")</f>
        <v>Keckley, J. W.</v>
      </c>
      <c r="B4348" s="2">
        <f ca="1">IFERROR(__xludf.DUMMYFUNCTION("""COMPUTED_VALUE"""),1)</f>
        <v>1</v>
      </c>
      <c r="C4348" s="7">
        <f ca="1">IFERROR(__xludf.DUMMYFUNCTION("""COMPUTED_VALUE"""),1)</f>
        <v>1</v>
      </c>
      <c r="D4348" s="8">
        <f ca="1">IFERROR(__xludf.DUMMYFUNCTION("""COMPUTED_VALUE"""),1)</f>
        <v>1</v>
      </c>
      <c r="E4348" s="2">
        <f ca="1">IFERROR(__xludf.DUMMYFUNCTION("""COMPUTED_VALUE"""),1)</f>
        <v>1</v>
      </c>
    </row>
    <row r="4349" spans="1:5" ht="13">
      <c r="A4349" s="2" t="str">
        <f ca="1">IFERROR(__xludf.DUMMYFUNCTION("""COMPUTED_VALUE"""),"Kedrov, Nikolay")</f>
        <v>Kedrov, Nikolay</v>
      </c>
      <c r="B4349" s="3">
        <f ca="1">IFERROR(__xludf.DUMMYFUNCTION("""COMPUTED_VALUE"""),1)</f>
        <v>1</v>
      </c>
      <c r="C4349" s="7">
        <f ca="1">IFERROR(__xludf.DUMMYFUNCTION("""COMPUTED_VALUE"""),1)</f>
        <v>1</v>
      </c>
      <c r="D4349" s="8">
        <f ca="1">IFERROR(__xludf.DUMMYFUNCTION("""COMPUTED_VALUE"""),5)</f>
        <v>5</v>
      </c>
      <c r="E4349" s="2">
        <f ca="1">IFERROR(__xludf.DUMMYFUNCTION("""COMPUTED_VALUE"""),2)</f>
        <v>2</v>
      </c>
    </row>
    <row r="4350" spans="1:5" ht="13">
      <c r="A4350" s="2" t="str">
        <f ca="1">IFERROR(__xludf.DUMMYFUNCTION("""COMPUTED_VALUE"""),"Keel, Frederick")</f>
        <v>Keel, Frederick</v>
      </c>
      <c r="B4350" s="3">
        <f ca="1">IFERROR(__xludf.DUMMYFUNCTION("""COMPUTED_VALUE"""),1)</f>
        <v>1</v>
      </c>
      <c r="C4350" s="7">
        <f ca="1">IFERROR(__xludf.DUMMYFUNCTION("""COMPUTED_VALUE"""),1)</f>
        <v>1</v>
      </c>
      <c r="D4350" s="8">
        <f ca="1">IFERROR(__xludf.DUMMYFUNCTION("""COMPUTED_VALUE"""),5)</f>
        <v>5</v>
      </c>
      <c r="E4350" s="2">
        <f ca="1">IFERROR(__xludf.DUMMYFUNCTION("""COMPUTED_VALUE"""),2)</f>
        <v>2</v>
      </c>
    </row>
    <row r="4351" spans="1:5" ht="13">
      <c r="A4351" s="2" t="str">
        <f ca="1">IFERROR(__xludf.DUMMYFUNCTION("""COMPUTED_VALUE"""),"Keenan, Paul")</f>
        <v>Keenan, Paul</v>
      </c>
      <c r="B4351" s="3">
        <f ca="1">IFERROR(__xludf.DUMMYFUNCTION("""COMPUTED_VALUE"""),1)</f>
        <v>1</v>
      </c>
      <c r="C4351" s="7">
        <f ca="1">IFERROR(__xludf.DUMMYFUNCTION("""COMPUTED_VALUE"""),1)</f>
        <v>1</v>
      </c>
      <c r="D4351" s="8">
        <f ca="1">IFERROR(__xludf.DUMMYFUNCTION("""COMPUTED_VALUE"""),5)</f>
        <v>5</v>
      </c>
      <c r="E4351" s="2">
        <f ca="1">IFERROR(__xludf.DUMMYFUNCTION("""COMPUTED_VALUE"""),2)</f>
        <v>2</v>
      </c>
    </row>
    <row r="4352" spans="1:5" ht="13">
      <c r="A4352" s="8" t="str">
        <f ca="1">IFERROR(__xludf.DUMMYFUNCTION("""COMPUTED_VALUE"""),"Keesecker, Thomas")</f>
        <v>Keesecker, Thomas</v>
      </c>
      <c r="B4352" s="3">
        <f ca="1">IFERROR(__xludf.DUMMYFUNCTION("""COMPUTED_VALUE"""),1)</f>
        <v>1</v>
      </c>
      <c r="C4352" s="7">
        <f ca="1">IFERROR(__xludf.DUMMYFUNCTION("""COMPUTED_VALUE"""),1)</f>
        <v>1</v>
      </c>
      <c r="D4352" s="8">
        <f ca="1">IFERROR(__xludf.DUMMYFUNCTION("""COMPUTED_VALUE"""),1)</f>
        <v>1</v>
      </c>
      <c r="E4352" s="2">
        <f ca="1">IFERROR(__xludf.DUMMYFUNCTION("""COMPUTED_VALUE"""),1)</f>
        <v>1</v>
      </c>
    </row>
    <row r="4353" spans="1:5" ht="13">
      <c r="A4353" s="2" t="str">
        <f ca="1">IFERROR(__xludf.DUMMYFUNCTION("""COMPUTED_VALUE"""),"Kehl, Adam")</f>
        <v>Kehl, Adam</v>
      </c>
      <c r="B4353" s="3">
        <f ca="1">IFERROR(__xludf.DUMMYFUNCTION("""COMPUTED_VALUE"""),1)</f>
        <v>1</v>
      </c>
      <c r="C4353" s="7">
        <f ca="1">IFERROR(__xludf.DUMMYFUNCTION("""COMPUTED_VALUE"""),1)</f>
        <v>1</v>
      </c>
      <c r="D4353" s="8">
        <f ca="1">IFERROR(__xludf.DUMMYFUNCTION("""COMPUTED_VALUE"""),1)</f>
        <v>1</v>
      </c>
      <c r="E4353" s="2">
        <f ca="1">IFERROR(__xludf.DUMMYFUNCTION("""COMPUTED_VALUE"""),1)</f>
        <v>1</v>
      </c>
    </row>
    <row r="4354" spans="1:5" ht="13">
      <c r="A4354" s="8" t="str">
        <f ca="1">IFERROR(__xludf.DUMMYFUNCTION("""COMPUTED_VALUE"""),"Keil, Gustav")</f>
        <v>Keil, Gustav</v>
      </c>
      <c r="B4354" s="3">
        <f ca="1">IFERROR(__xludf.DUMMYFUNCTION("""COMPUTED_VALUE"""),1)</f>
        <v>1</v>
      </c>
      <c r="C4354" s="7">
        <f ca="1">IFERROR(__xludf.DUMMYFUNCTION("""COMPUTED_VALUE"""),1)</f>
        <v>1</v>
      </c>
      <c r="D4354" s="8">
        <f ca="1">IFERROR(__xludf.DUMMYFUNCTION("""COMPUTED_VALUE"""),5)</f>
        <v>5</v>
      </c>
      <c r="E4354" s="2">
        <f ca="1">IFERROR(__xludf.DUMMYFUNCTION("""COMPUTED_VALUE"""),2)</f>
        <v>2</v>
      </c>
    </row>
    <row r="4355" spans="1:5" ht="13">
      <c r="A4355" s="2" t="str">
        <f ca="1">IFERROR(__xludf.DUMMYFUNCTION("""COMPUTED_VALUE"""),"Keiser, Lauren")</f>
        <v>Keiser, Lauren</v>
      </c>
      <c r="B4355" s="2">
        <f ca="1">IFERROR(__xludf.DUMMYFUNCTION("""COMPUTED_VALUE"""),1)</f>
        <v>1</v>
      </c>
      <c r="C4355" s="7">
        <f ca="1">IFERROR(__xludf.DUMMYFUNCTION("""COMPUTED_VALUE"""),1)</f>
        <v>1</v>
      </c>
      <c r="D4355" s="8">
        <f ca="1">IFERROR(__xludf.DUMMYFUNCTION("""COMPUTED_VALUE"""),1)</f>
        <v>1</v>
      </c>
      <c r="E4355" s="2">
        <f ca="1">IFERROR(__xludf.DUMMYFUNCTION("""COMPUTED_VALUE"""),1)</f>
        <v>1</v>
      </c>
    </row>
    <row r="4356" spans="1:5" ht="13">
      <c r="A4356" s="8" t="str">
        <f ca="1">IFERROR(__xludf.DUMMYFUNCTION("""COMPUTED_VALUE"""),"Kelemen, Milko")</f>
        <v>Kelemen, Milko</v>
      </c>
      <c r="B4356" s="3">
        <f ca="1">IFERROR(__xludf.DUMMYFUNCTION("""COMPUTED_VALUE"""),1)</f>
        <v>1</v>
      </c>
      <c r="C4356" s="7">
        <f ca="1">IFERROR(__xludf.DUMMYFUNCTION("""COMPUTED_VALUE"""),1)</f>
        <v>1</v>
      </c>
      <c r="D4356" s="8">
        <f ca="1">IFERROR(__xludf.DUMMYFUNCTION("""COMPUTED_VALUE"""),5)</f>
        <v>5</v>
      </c>
      <c r="E4356" s="2">
        <f ca="1">IFERROR(__xludf.DUMMYFUNCTION("""COMPUTED_VALUE"""),2)</f>
        <v>2</v>
      </c>
    </row>
    <row r="4357" spans="1:5" ht="13">
      <c r="A4357" s="2" t="str">
        <f ca="1">IFERROR(__xludf.DUMMYFUNCTION("""COMPUTED_VALUE"""),"Kéler, Béla")</f>
        <v>Kéler, Béla</v>
      </c>
      <c r="B4357" s="3">
        <f ca="1">IFERROR(__xludf.DUMMYFUNCTION("""COMPUTED_VALUE"""),1)</f>
        <v>1</v>
      </c>
      <c r="C4357" s="7">
        <f ca="1">IFERROR(__xludf.DUMMYFUNCTION("""COMPUTED_VALUE"""),1)</f>
        <v>1</v>
      </c>
      <c r="D4357" s="8">
        <f ca="1">IFERROR(__xludf.DUMMYFUNCTION("""COMPUTED_VALUE"""),5)</f>
        <v>5</v>
      </c>
      <c r="E4357" s="2">
        <f ca="1">IFERROR(__xludf.DUMMYFUNCTION("""COMPUTED_VALUE"""),2)</f>
        <v>2</v>
      </c>
    </row>
    <row r="4358" spans="1:5" ht="13">
      <c r="A4358" s="8" t="str">
        <f ca="1">IFERROR(__xludf.DUMMYFUNCTION("""COMPUTED_VALUE"""),"Kellaway, Roger")</f>
        <v>Kellaway, Roger</v>
      </c>
      <c r="B4358" s="3">
        <f ca="1">IFERROR(__xludf.DUMMYFUNCTION("""COMPUTED_VALUE"""),1)</f>
        <v>1</v>
      </c>
      <c r="C4358" s="7">
        <f ca="1">IFERROR(__xludf.DUMMYFUNCTION("""COMPUTED_VALUE"""),1)</f>
        <v>1</v>
      </c>
      <c r="D4358" s="8">
        <f ca="1">IFERROR(__xludf.DUMMYFUNCTION("""COMPUTED_VALUE"""),1)</f>
        <v>1</v>
      </c>
      <c r="E4358" s="2">
        <f ca="1">IFERROR(__xludf.DUMMYFUNCTION("""COMPUTED_VALUE"""),1)</f>
        <v>1</v>
      </c>
    </row>
    <row r="4359" spans="1:5" ht="13">
      <c r="A4359" s="2" t="str">
        <f ca="1">IFERROR(__xludf.DUMMYFUNCTION("""COMPUTED_VALUE"""),"Keller, Kevin")</f>
        <v>Keller, Kevin</v>
      </c>
      <c r="B4359" s="3">
        <f ca="1">IFERROR(__xludf.DUMMYFUNCTION("""COMPUTED_VALUE"""),1)</f>
        <v>1</v>
      </c>
      <c r="C4359" s="7">
        <f ca="1">IFERROR(__xludf.DUMMYFUNCTION("""COMPUTED_VALUE"""),1)</f>
        <v>1</v>
      </c>
      <c r="D4359" s="8">
        <f ca="1">IFERROR(__xludf.DUMMYFUNCTION("""COMPUTED_VALUE"""),1)</f>
        <v>1</v>
      </c>
      <c r="E4359" s="2">
        <f ca="1">IFERROR(__xludf.DUMMYFUNCTION("""COMPUTED_VALUE"""),1)</f>
        <v>1</v>
      </c>
    </row>
    <row r="4360" spans="1:5" ht="13">
      <c r="A4360" s="2" t="str">
        <f ca="1">IFERROR(__xludf.DUMMYFUNCTION("""COMPUTED_VALUE"""),"Kellermeyer, David M.")</f>
        <v>Kellermeyer, David M.</v>
      </c>
      <c r="B4360" s="2">
        <f ca="1">IFERROR(__xludf.DUMMYFUNCTION("""COMPUTED_VALUE"""),1)</f>
        <v>1</v>
      </c>
      <c r="C4360" s="2">
        <f ca="1">IFERROR(__xludf.DUMMYFUNCTION("""COMPUTED_VALUE"""),1)</f>
        <v>1</v>
      </c>
      <c r="D4360" s="8">
        <f ca="1">IFERROR(__xludf.DUMMYFUNCTION("""COMPUTED_VALUE"""),1)</f>
        <v>1</v>
      </c>
      <c r="E4360" s="2">
        <f ca="1">IFERROR(__xludf.DUMMYFUNCTION("""COMPUTED_VALUE"""),1)</f>
        <v>1</v>
      </c>
    </row>
    <row r="4361" spans="1:5" ht="13">
      <c r="A4361" s="8" t="str">
        <f ca="1">IFERROR(__xludf.DUMMYFUNCTION("""COMPUTED_VALUE"""),"Kelley, Daniel")</f>
        <v>Kelley, Daniel</v>
      </c>
      <c r="B4361" s="3">
        <f ca="1">IFERROR(__xludf.DUMMYFUNCTION("""COMPUTED_VALUE"""),1)</f>
        <v>1</v>
      </c>
      <c r="C4361" s="7">
        <f ca="1">IFERROR(__xludf.DUMMYFUNCTION("""COMPUTED_VALUE"""),1)</f>
        <v>1</v>
      </c>
      <c r="D4361" s="8">
        <f ca="1">IFERROR(__xludf.DUMMYFUNCTION("""COMPUTED_VALUE"""),1)</f>
        <v>1</v>
      </c>
      <c r="E4361" s="2">
        <f ca="1">IFERROR(__xludf.DUMMYFUNCTION("""COMPUTED_VALUE"""),1)</f>
        <v>1</v>
      </c>
    </row>
    <row r="4362" spans="1:5" ht="13">
      <c r="A4362" s="2" t="str">
        <f ca="1">IFERROR(__xludf.DUMMYFUNCTION("""COMPUTED_VALUE"""),"Kelley, Daniel / Higley, Brewster")</f>
        <v>Kelley, Daniel / Higley, Brewster</v>
      </c>
      <c r="B4362" s="2">
        <f ca="1">IFERROR(__xludf.DUMMYFUNCTION("""COMPUTED_VALUE"""),1)</f>
        <v>1</v>
      </c>
      <c r="C4362" s="7">
        <f ca="1">IFERROR(__xludf.DUMMYFUNCTION("""COMPUTED_VALUE"""),1)</f>
        <v>1</v>
      </c>
      <c r="D4362" s="8">
        <f ca="1">IFERROR(__xludf.DUMMYFUNCTION("""COMPUTED_VALUE"""),5)</f>
        <v>5</v>
      </c>
      <c r="E4362" s="2">
        <f ca="1">IFERROR(__xludf.DUMMYFUNCTION("""COMPUTED_VALUE"""),2)</f>
        <v>2</v>
      </c>
    </row>
    <row r="4363" spans="1:5" ht="13">
      <c r="A4363" s="2" t="str">
        <f ca="1">IFERROR(__xludf.DUMMYFUNCTION("""COMPUTED_VALUE"""),"Kelley, Sean")</f>
        <v>Kelley, Sean</v>
      </c>
      <c r="B4363" s="3">
        <f ca="1">IFERROR(__xludf.DUMMYFUNCTION("""COMPUTED_VALUE"""),1)</f>
        <v>1</v>
      </c>
      <c r="C4363" s="7">
        <f ca="1">IFERROR(__xludf.DUMMYFUNCTION("""COMPUTED_VALUE"""),1)</f>
        <v>1</v>
      </c>
      <c r="D4363" s="8">
        <f ca="1">IFERROR(__xludf.DUMMYFUNCTION("""COMPUTED_VALUE"""),1)</f>
        <v>1</v>
      </c>
      <c r="E4363" s="2">
        <f ca="1">IFERROR(__xludf.DUMMYFUNCTION("""COMPUTED_VALUE"""),1)</f>
        <v>1</v>
      </c>
    </row>
    <row r="4364" spans="1:5" ht="13">
      <c r="A4364" s="2" t="str">
        <f ca="1">IFERROR(__xludf.DUMMYFUNCTION("""COMPUTED_VALUE"""),"Kellogg, Daniel")</f>
        <v>Kellogg, Daniel</v>
      </c>
      <c r="B4364" s="3">
        <f ca="1">IFERROR(__xludf.DUMMYFUNCTION("""COMPUTED_VALUE"""),1)</f>
        <v>1</v>
      </c>
      <c r="C4364" s="7">
        <f ca="1">IFERROR(__xludf.DUMMYFUNCTION("""COMPUTED_VALUE"""),1)</f>
        <v>1</v>
      </c>
      <c r="D4364" s="8">
        <f ca="1">IFERROR(__xludf.DUMMYFUNCTION("""COMPUTED_VALUE"""),1)</f>
        <v>1</v>
      </c>
      <c r="E4364" s="2">
        <f ca="1">IFERROR(__xludf.DUMMYFUNCTION("""COMPUTED_VALUE"""),1)</f>
        <v>1</v>
      </c>
    </row>
    <row r="4365" spans="1:5" ht="13">
      <c r="A4365" s="8" t="str">
        <f ca="1">IFERROR(__xludf.DUMMYFUNCTION("""COMPUTED_VALUE"""),"Kelly, Darin")</f>
        <v>Kelly, Darin</v>
      </c>
      <c r="B4365" s="3">
        <f ca="1">IFERROR(__xludf.DUMMYFUNCTION("""COMPUTED_VALUE"""),1)</f>
        <v>1</v>
      </c>
      <c r="C4365" s="7">
        <f ca="1">IFERROR(__xludf.DUMMYFUNCTION("""COMPUTED_VALUE"""),1)</f>
        <v>1</v>
      </c>
      <c r="D4365" s="8">
        <f ca="1">IFERROR(__xludf.DUMMYFUNCTION("""COMPUTED_VALUE"""),1)</f>
        <v>1</v>
      </c>
      <c r="E4365" s="2">
        <f ca="1">IFERROR(__xludf.DUMMYFUNCTION("""COMPUTED_VALUE"""),1)</f>
        <v>1</v>
      </c>
    </row>
    <row r="4366" spans="1:5" ht="13">
      <c r="A4366" s="8" t="str">
        <f ca="1">IFERROR(__xludf.DUMMYFUNCTION("""COMPUTED_VALUE"""),"Kelly, Ryan")</f>
        <v>Kelly, Ryan</v>
      </c>
      <c r="B4366" s="3">
        <f ca="1">IFERROR(__xludf.DUMMYFUNCTION("""COMPUTED_VALUE"""),1)</f>
        <v>1</v>
      </c>
      <c r="C4366" s="7">
        <f ca="1">IFERROR(__xludf.DUMMYFUNCTION("""COMPUTED_VALUE"""),1)</f>
        <v>1</v>
      </c>
      <c r="D4366" s="8">
        <f ca="1">IFERROR(__xludf.DUMMYFUNCTION("""COMPUTED_VALUE"""),1)</f>
        <v>1</v>
      </c>
      <c r="E4366" s="2">
        <f ca="1">IFERROR(__xludf.DUMMYFUNCTION("""COMPUTED_VALUE"""),1)</f>
        <v>1</v>
      </c>
    </row>
    <row r="4367" spans="1:5" ht="13">
      <c r="A4367" s="2" t="str">
        <f ca="1">IFERROR(__xludf.DUMMYFUNCTION("""COMPUTED_VALUE"""),"Kelly, Sanford")</f>
        <v>Kelly, Sanford</v>
      </c>
      <c r="B4367" s="3">
        <f ca="1">IFERROR(__xludf.DUMMYFUNCTION("""COMPUTED_VALUE"""),1)</f>
        <v>1</v>
      </c>
      <c r="C4367" s="7">
        <f ca="1">IFERROR(__xludf.DUMMYFUNCTION("""COMPUTED_VALUE"""),1)</f>
        <v>1</v>
      </c>
      <c r="D4367" s="8">
        <f ca="1">IFERROR(__xludf.DUMMYFUNCTION("""COMPUTED_VALUE"""),1)</f>
        <v>1</v>
      </c>
      <c r="E4367" s="2">
        <f ca="1">IFERROR(__xludf.DUMMYFUNCTION("""COMPUTED_VALUE"""),1)</f>
        <v>1</v>
      </c>
    </row>
    <row r="4368" spans="1:5" ht="13">
      <c r="A4368" s="8" t="str">
        <f ca="1">IFERROR(__xludf.DUMMYFUNCTION("""COMPUTED_VALUE"""),"Kelly, Sherman")</f>
        <v>Kelly, Sherman</v>
      </c>
      <c r="B4368" s="3">
        <f ca="1">IFERROR(__xludf.DUMMYFUNCTION("""COMPUTED_VALUE"""),1)</f>
        <v>1</v>
      </c>
      <c r="C4368" s="7">
        <f ca="1">IFERROR(__xludf.DUMMYFUNCTION("""COMPUTED_VALUE"""),1)</f>
        <v>1</v>
      </c>
      <c r="D4368" s="8">
        <f ca="1">IFERROR(__xludf.DUMMYFUNCTION("""COMPUTED_VALUE"""),1)</f>
        <v>1</v>
      </c>
      <c r="E4368" s="2">
        <f ca="1">IFERROR(__xludf.DUMMYFUNCTION("""COMPUTED_VALUE"""),1)</f>
        <v>1</v>
      </c>
    </row>
    <row r="4369" spans="1:5" ht="13">
      <c r="A4369" s="2" t="str">
        <f ca="1">IFERROR(__xludf.DUMMYFUNCTION("""COMPUTED_VALUE"""),"Kember, John")</f>
        <v>Kember, John</v>
      </c>
      <c r="B4369" s="2">
        <f ca="1">IFERROR(__xludf.DUMMYFUNCTION("""COMPUTED_VALUE"""),1)</f>
        <v>1</v>
      </c>
      <c r="C4369" s="2">
        <f ca="1">IFERROR(__xludf.DUMMYFUNCTION("""COMPUTED_VALUE"""),1)</f>
        <v>1</v>
      </c>
      <c r="D4369" s="8">
        <f ca="1">IFERROR(__xludf.DUMMYFUNCTION("""COMPUTED_VALUE"""),1)</f>
        <v>1</v>
      </c>
      <c r="E4369" s="2">
        <f ca="1">IFERROR(__xludf.DUMMYFUNCTION("""COMPUTED_VALUE"""),1)</f>
        <v>1</v>
      </c>
    </row>
    <row r="4370" spans="1:5" ht="13">
      <c r="A4370" s="2" t="str">
        <f ca="1">IFERROR(__xludf.DUMMYFUNCTION("""COMPUTED_VALUE"""),"Kemner, Gerald")</f>
        <v>Kemner, Gerald</v>
      </c>
      <c r="B4370" s="3">
        <f ca="1">IFERROR(__xludf.DUMMYFUNCTION("""COMPUTED_VALUE"""),1)</f>
        <v>1</v>
      </c>
      <c r="C4370" s="7">
        <f ca="1">IFERROR(__xludf.DUMMYFUNCTION("""COMPUTED_VALUE"""),1)</f>
        <v>1</v>
      </c>
      <c r="D4370" s="8">
        <f ca="1">IFERROR(__xludf.DUMMYFUNCTION("""COMPUTED_VALUE"""),5)</f>
        <v>5</v>
      </c>
      <c r="E4370" s="2">
        <f ca="1">IFERROR(__xludf.DUMMYFUNCTION("""COMPUTED_VALUE"""),2)</f>
        <v>2</v>
      </c>
    </row>
    <row r="4371" spans="1:5" ht="13">
      <c r="A4371" s="2" t="str">
        <f ca="1">IFERROR(__xludf.DUMMYFUNCTION("""COMPUTED_VALUE"""),"Kendrick, Donald")</f>
        <v>Kendrick, Donald</v>
      </c>
      <c r="B4371" s="3">
        <f ca="1">IFERROR(__xludf.DUMMYFUNCTION("""COMPUTED_VALUE"""),1)</f>
        <v>1</v>
      </c>
      <c r="C4371" s="7">
        <f ca="1">IFERROR(__xludf.DUMMYFUNCTION("""COMPUTED_VALUE"""),1)</f>
        <v>1</v>
      </c>
      <c r="D4371" s="8">
        <f ca="1">IFERROR(__xludf.DUMMYFUNCTION("""COMPUTED_VALUE"""),1)</f>
        <v>1</v>
      </c>
      <c r="E4371" s="2">
        <f ca="1">IFERROR(__xludf.DUMMYFUNCTION("""COMPUTED_VALUE"""),1)</f>
        <v>1</v>
      </c>
    </row>
    <row r="4372" spans="1:5" ht="13">
      <c r="A4372" s="8" t="str">
        <f ca="1">IFERROR(__xludf.DUMMYFUNCTION("""COMPUTED_VALUE"""),"Kenins, Talivaldis")</f>
        <v>Kenins, Talivaldis</v>
      </c>
      <c r="B4372" s="3">
        <f ca="1">IFERROR(__xludf.DUMMYFUNCTION("""COMPUTED_VALUE"""),1)</f>
        <v>1</v>
      </c>
      <c r="C4372" s="7">
        <f ca="1">IFERROR(__xludf.DUMMYFUNCTION("""COMPUTED_VALUE"""),1)</f>
        <v>1</v>
      </c>
      <c r="D4372" s="8">
        <f ca="1">IFERROR(__xludf.DUMMYFUNCTION("""COMPUTED_VALUE"""),5)</f>
        <v>5</v>
      </c>
      <c r="E4372" s="2">
        <f ca="1">IFERROR(__xludf.DUMMYFUNCTION("""COMPUTED_VALUE"""),2)</f>
        <v>2</v>
      </c>
    </row>
    <row r="4373" spans="1:5" ht="13">
      <c r="A4373" s="2" t="str">
        <f ca="1">IFERROR(__xludf.DUMMYFUNCTION("""COMPUTED_VALUE"""),"Kennan, Kent")</f>
        <v>Kennan, Kent</v>
      </c>
      <c r="B4373" s="2">
        <f ca="1">IFERROR(__xludf.DUMMYFUNCTION("""COMPUTED_VALUE"""),1)</f>
        <v>1</v>
      </c>
      <c r="C4373" s="7">
        <f ca="1">IFERROR(__xludf.DUMMYFUNCTION("""COMPUTED_VALUE"""),1)</f>
        <v>1</v>
      </c>
      <c r="D4373" s="8">
        <f ca="1">IFERROR(__xludf.DUMMYFUNCTION("""COMPUTED_VALUE"""),5)</f>
        <v>5</v>
      </c>
      <c r="E4373" s="2">
        <f ca="1">IFERROR(__xludf.DUMMYFUNCTION("""COMPUTED_VALUE"""),2)</f>
        <v>2</v>
      </c>
    </row>
    <row r="4374" spans="1:5" ht="13">
      <c r="A4374" s="2" t="str">
        <f ca="1">IFERROR(__xludf.DUMMYFUNCTION("""COMPUTED_VALUE"""),"Kennedy, Jay")</f>
        <v>Kennedy, Jay</v>
      </c>
      <c r="B4374" s="3">
        <f ca="1">IFERROR(__xludf.DUMMYFUNCTION("""COMPUTED_VALUE"""),1)</f>
        <v>1</v>
      </c>
      <c r="C4374" s="7">
        <f ca="1">IFERROR(__xludf.DUMMYFUNCTION("""COMPUTED_VALUE"""),1)</f>
        <v>1</v>
      </c>
      <c r="D4374" s="8">
        <f ca="1">IFERROR(__xludf.DUMMYFUNCTION("""COMPUTED_VALUE"""),1)</f>
        <v>1</v>
      </c>
      <c r="E4374" s="2">
        <f ca="1">IFERROR(__xludf.DUMMYFUNCTION("""COMPUTED_VALUE"""),1)</f>
        <v>1</v>
      </c>
    </row>
    <row r="4375" spans="1:5" ht="13">
      <c r="A4375" s="2" t="str">
        <f ca="1">IFERROR(__xludf.DUMMYFUNCTION("""COMPUTED_VALUE"""),"Kennedy, John Brodbin")</f>
        <v>Kennedy, John Brodbin</v>
      </c>
      <c r="B4375" s="3">
        <f ca="1">IFERROR(__xludf.DUMMYFUNCTION("""COMPUTED_VALUE"""),1)</f>
        <v>1</v>
      </c>
      <c r="C4375" s="7">
        <f ca="1">IFERROR(__xludf.DUMMYFUNCTION("""COMPUTED_VALUE"""),1)</f>
        <v>1</v>
      </c>
      <c r="D4375" s="8">
        <f ca="1">IFERROR(__xludf.DUMMYFUNCTION("""COMPUTED_VALUE"""),1)</f>
        <v>1</v>
      </c>
      <c r="E4375" s="2">
        <f ca="1">IFERROR(__xludf.DUMMYFUNCTION("""COMPUTED_VALUE"""),1)</f>
        <v>1</v>
      </c>
    </row>
    <row r="4376" spans="1:5" ht="13">
      <c r="A4376" s="2" t="str">
        <f ca="1">IFERROR(__xludf.DUMMYFUNCTION("""COMPUTED_VALUE"""),"Kennedy, Martin")</f>
        <v>Kennedy, Martin</v>
      </c>
      <c r="B4376" s="3">
        <f ca="1">IFERROR(__xludf.DUMMYFUNCTION("""COMPUTED_VALUE"""),1)</f>
        <v>1</v>
      </c>
      <c r="C4376" s="7">
        <f ca="1">IFERROR(__xludf.DUMMYFUNCTION("""COMPUTED_VALUE"""),1)</f>
        <v>1</v>
      </c>
      <c r="D4376" s="8">
        <f ca="1">IFERROR(__xludf.DUMMYFUNCTION("""COMPUTED_VALUE"""),1)</f>
        <v>1</v>
      </c>
      <c r="E4376" s="2">
        <f ca="1">IFERROR(__xludf.DUMMYFUNCTION("""COMPUTED_VALUE"""),1)</f>
        <v>1</v>
      </c>
    </row>
    <row r="4377" spans="1:5" ht="13">
      <c r="A4377" s="2" t="str">
        <f ca="1">IFERROR(__xludf.DUMMYFUNCTION("""COMPUTED_VALUE"""),"Kennedy, Tom")</f>
        <v>Kennedy, Tom</v>
      </c>
      <c r="B4377" s="3">
        <f ca="1">IFERROR(__xludf.DUMMYFUNCTION("""COMPUTED_VALUE"""),1)</f>
        <v>1</v>
      </c>
      <c r="C4377" s="7">
        <f ca="1">IFERROR(__xludf.DUMMYFUNCTION("""COMPUTED_VALUE"""),1)</f>
        <v>1</v>
      </c>
      <c r="D4377" s="8">
        <f ca="1">IFERROR(__xludf.DUMMYFUNCTION("""COMPUTED_VALUE"""),1)</f>
        <v>1</v>
      </c>
      <c r="E4377" s="2">
        <f ca="1">IFERROR(__xludf.DUMMYFUNCTION("""COMPUTED_VALUE"""),1)</f>
        <v>1</v>
      </c>
    </row>
    <row r="4378" spans="1:5" ht="13">
      <c r="A4378" s="2" t="str">
        <f ca="1">IFERROR(__xludf.DUMMYFUNCTION("""COMPUTED_VALUE"""),"Kenney, Kevin")</f>
        <v>Kenney, Kevin</v>
      </c>
      <c r="B4378" s="3">
        <f ca="1">IFERROR(__xludf.DUMMYFUNCTION("""COMPUTED_VALUE"""),1)</f>
        <v>1</v>
      </c>
      <c r="C4378" s="7">
        <f ca="1">IFERROR(__xludf.DUMMYFUNCTION("""COMPUTED_VALUE"""),1)</f>
        <v>1</v>
      </c>
      <c r="D4378" s="8">
        <f ca="1">IFERROR(__xludf.DUMMYFUNCTION("""COMPUTED_VALUE"""),1)</f>
        <v>1</v>
      </c>
      <c r="E4378" s="2">
        <f ca="1">IFERROR(__xludf.DUMMYFUNCTION("""COMPUTED_VALUE"""),1)</f>
        <v>1</v>
      </c>
    </row>
    <row r="4379" spans="1:5" ht="13">
      <c r="A4379" s="8" t="str">
        <f ca="1">IFERROR(__xludf.DUMMYFUNCTION("""COMPUTED_VALUE"""),"Kenny, George (pseudonym for Kenneth G. Whitcomb)")</f>
        <v>Kenny, George (pseudonym for Kenneth G. Whitcomb)</v>
      </c>
      <c r="B4379" s="3">
        <f ca="1">IFERROR(__xludf.DUMMYFUNCTION("""COMPUTED_VALUE"""),1)</f>
        <v>1</v>
      </c>
      <c r="C4379" s="7">
        <f ca="1">IFERROR(__xludf.DUMMYFUNCTION("""COMPUTED_VALUE"""),1)</f>
        <v>1</v>
      </c>
      <c r="D4379" s="8">
        <f ca="1">IFERROR(__xludf.DUMMYFUNCTION("""COMPUTED_VALUE"""),5)</f>
        <v>5</v>
      </c>
      <c r="E4379" s="2">
        <f ca="1">IFERROR(__xludf.DUMMYFUNCTION("""COMPUTED_VALUE"""),2)</f>
        <v>2</v>
      </c>
    </row>
    <row r="4380" spans="1:5" ht="13">
      <c r="A4380" s="2" t="str">
        <f ca="1">IFERROR(__xludf.DUMMYFUNCTION("""COMPUTED_VALUE"""),"Kent, Walter")</f>
        <v>Kent, Walter</v>
      </c>
      <c r="B4380" s="2">
        <f ca="1">IFERROR(__xludf.DUMMYFUNCTION("""COMPUTED_VALUE"""),1)</f>
        <v>1</v>
      </c>
      <c r="C4380" s="7">
        <f ca="1">IFERROR(__xludf.DUMMYFUNCTION("""COMPUTED_VALUE"""),1)</f>
        <v>1</v>
      </c>
      <c r="D4380" s="8">
        <f ca="1">IFERROR(__xludf.DUMMYFUNCTION("""COMPUTED_VALUE"""),5)</f>
        <v>5</v>
      </c>
      <c r="E4380" s="2">
        <f ca="1">IFERROR(__xludf.DUMMYFUNCTION("""COMPUTED_VALUE"""),2)</f>
        <v>2</v>
      </c>
    </row>
    <row r="4381" spans="1:5" ht="13">
      <c r="A4381" s="2" t="str">
        <f ca="1">IFERROR(__xludf.DUMMYFUNCTION("""COMPUTED_VALUE"""),"Kenton, Stan")</f>
        <v>Kenton, Stan</v>
      </c>
      <c r="B4381" s="3">
        <f ca="1">IFERROR(__xludf.DUMMYFUNCTION("""COMPUTED_VALUE"""),1)</f>
        <v>1</v>
      </c>
      <c r="C4381" s="7">
        <f ca="1">IFERROR(__xludf.DUMMYFUNCTION("""COMPUTED_VALUE"""),1)</f>
        <v>1</v>
      </c>
      <c r="D4381" s="8">
        <f ca="1">IFERROR(__xludf.DUMMYFUNCTION("""COMPUTED_VALUE"""),5)</f>
        <v>5</v>
      </c>
      <c r="E4381" s="2">
        <f ca="1">IFERROR(__xludf.DUMMYFUNCTION("""COMPUTED_VALUE"""),2)</f>
        <v>2</v>
      </c>
    </row>
    <row r="4382" spans="1:5" ht="13">
      <c r="A4382" s="2" t="str">
        <f ca="1">IFERROR(__xludf.DUMMYFUNCTION("""COMPUTED_VALUE"""),"Kerko, Harri")</f>
        <v>Kerko, Harri</v>
      </c>
      <c r="B4382" s="2">
        <f ca="1">IFERROR(__xludf.DUMMYFUNCTION("""COMPUTED_VALUE"""),1)</f>
        <v>1</v>
      </c>
      <c r="C4382" s="7">
        <f ca="1">IFERROR(__xludf.DUMMYFUNCTION("""COMPUTED_VALUE"""),1)</f>
        <v>1</v>
      </c>
      <c r="D4382" s="8">
        <f ca="1">IFERROR(__xludf.DUMMYFUNCTION("""COMPUTED_VALUE"""),5)</f>
        <v>5</v>
      </c>
      <c r="E4382" s="2">
        <f ca="1">IFERROR(__xludf.DUMMYFUNCTION("""COMPUTED_VALUE"""),2)</f>
        <v>2</v>
      </c>
    </row>
    <row r="4383" spans="1:5" ht="13">
      <c r="A4383" s="2" t="str">
        <f ca="1">IFERROR(__xludf.DUMMYFUNCTION("""COMPUTED_VALUE"""),"Kerkorian, George (psued. David Brentwood / Ezra Penn)")</f>
        <v>Kerkorian, George (psued. David Brentwood / Ezra Penn)</v>
      </c>
      <c r="B4383" s="3">
        <f ca="1">IFERROR(__xludf.DUMMYFUNCTION("""COMPUTED_VALUE"""),1)</f>
        <v>1</v>
      </c>
      <c r="C4383" s="7">
        <f ca="1">IFERROR(__xludf.DUMMYFUNCTION("""COMPUTED_VALUE"""),1)</f>
        <v>1</v>
      </c>
      <c r="D4383" s="8">
        <f ca="1">IFERROR(__xludf.DUMMYFUNCTION("""COMPUTED_VALUE"""),1)</f>
        <v>1</v>
      </c>
      <c r="E4383" s="2">
        <f ca="1">IFERROR(__xludf.DUMMYFUNCTION("""COMPUTED_VALUE"""),1)</f>
        <v>1</v>
      </c>
    </row>
    <row r="4384" spans="1:5" ht="13">
      <c r="A4384" s="2" t="str">
        <f ca="1">IFERROR(__xludf.DUMMYFUNCTION("""COMPUTED_VALUE"""),"Kern, Jerome")</f>
        <v>Kern, Jerome</v>
      </c>
      <c r="B4384" s="3">
        <f ca="1">IFERROR(__xludf.DUMMYFUNCTION("""COMPUTED_VALUE"""),1)</f>
        <v>1</v>
      </c>
      <c r="C4384" s="7">
        <f ca="1">IFERROR(__xludf.DUMMYFUNCTION("""COMPUTED_VALUE"""),1)</f>
        <v>1</v>
      </c>
      <c r="D4384" s="8">
        <f ca="1">IFERROR(__xludf.DUMMYFUNCTION("""COMPUTED_VALUE"""),5)</f>
        <v>5</v>
      </c>
      <c r="E4384" s="2">
        <f ca="1">IFERROR(__xludf.DUMMYFUNCTION("""COMPUTED_VALUE"""),2)</f>
        <v>2</v>
      </c>
    </row>
    <row r="4385" spans="1:5" ht="13">
      <c r="A4385" s="2" t="str">
        <f ca="1">IFERROR(__xludf.DUMMYFUNCTION("""COMPUTED_VALUE"""),"Kern, Jerome / Fields, Dorothy")</f>
        <v>Kern, Jerome / Fields, Dorothy</v>
      </c>
      <c r="B4385" s="2">
        <f ca="1">IFERROR(__xludf.DUMMYFUNCTION("""COMPUTED_VALUE"""),1)</f>
        <v>1</v>
      </c>
      <c r="C4385" s="7">
        <f ca="1">IFERROR(__xludf.DUMMYFUNCTION("""COMPUTED_VALUE"""),1)</f>
        <v>1</v>
      </c>
      <c r="D4385" s="8">
        <f ca="1">IFERROR(__xludf.DUMMYFUNCTION("""COMPUTED_VALUE"""),5)</f>
        <v>5</v>
      </c>
      <c r="E4385" s="2">
        <f ca="1">IFERROR(__xludf.DUMMYFUNCTION("""COMPUTED_VALUE"""),2)</f>
        <v>2</v>
      </c>
    </row>
    <row r="4386" spans="1:5" ht="13">
      <c r="A4386" s="8" t="str">
        <f ca="1">IFERROR(__xludf.DUMMYFUNCTION("""COMPUTED_VALUE"""),"Kern, Jerome / Mercer, Johnny")</f>
        <v>Kern, Jerome / Mercer, Johnny</v>
      </c>
      <c r="B4386" s="3">
        <f ca="1">IFERROR(__xludf.DUMMYFUNCTION("""COMPUTED_VALUE"""),1)</f>
        <v>1</v>
      </c>
      <c r="C4386" s="7">
        <f ca="1">IFERROR(__xludf.DUMMYFUNCTION("""COMPUTED_VALUE"""),1)</f>
        <v>1</v>
      </c>
      <c r="D4386" s="8">
        <f ca="1">IFERROR(__xludf.DUMMYFUNCTION("""COMPUTED_VALUE"""),5)</f>
        <v>5</v>
      </c>
      <c r="E4386" s="2">
        <f ca="1">IFERROR(__xludf.DUMMYFUNCTION("""COMPUTED_VALUE"""),2)</f>
        <v>2</v>
      </c>
    </row>
    <row r="4387" spans="1:5" ht="13">
      <c r="A4387" s="8" t="str">
        <f ca="1">IFERROR(__xludf.DUMMYFUNCTION("""COMPUTED_VALUE"""),"Kern, Philip")</f>
        <v>Kern, Philip</v>
      </c>
      <c r="B4387" s="3">
        <f ca="1">IFERROR(__xludf.DUMMYFUNCTION("""COMPUTED_VALUE"""),1)</f>
        <v>1</v>
      </c>
      <c r="C4387" s="7">
        <f ca="1">IFERROR(__xludf.DUMMYFUNCTION("""COMPUTED_VALUE"""),1)</f>
        <v>1</v>
      </c>
      <c r="D4387" s="8">
        <f ca="1">IFERROR(__xludf.DUMMYFUNCTION("""COMPUTED_VALUE"""),1)</f>
        <v>1</v>
      </c>
      <c r="E4387" s="2">
        <f ca="1">IFERROR(__xludf.DUMMYFUNCTION("""COMPUTED_VALUE"""),1)</f>
        <v>1</v>
      </c>
    </row>
    <row r="4388" spans="1:5" ht="13">
      <c r="A4388" s="2" t="str">
        <f ca="1">IFERROR(__xludf.DUMMYFUNCTION("""COMPUTED_VALUE"""),"Kern, Porter, Ellington, Berlin, and Sondheim")</f>
        <v>Kern, Porter, Ellington, Berlin, and Sondheim</v>
      </c>
      <c r="B4388" s="3">
        <f ca="1">IFERROR(__xludf.DUMMYFUNCTION("""COMPUTED_VALUE"""),1)</f>
        <v>1</v>
      </c>
      <c r="C4388" s="7">
        <f ca="1">IFERROR(__xludf.DUMMYFUNCTION("""COMPUTED_VALUE"""),1)</f>
        <v>1</v>
      </c>
      <c r="D4388" s="8">
        <f ca="1">IFERROR(__xludf.DUMMYFUNCTION("""COMPUTED_VALUE"""),1)</f>
        <v>1</v>
      </c>
      <c r="E4388" s="2">
        <f ca="1">IFERROR(__xludf.DUMMYFUNCTION("""COMPUTED_VALUE"""),1)</f>
        <v>1</v>
      </c>
    </row>
    <row r="4389" spans="1:5" ht="13">
      <c r="A4389" s="2" t="str">
        <f ca="1">IFERROR(__xludf.DUMMYFUNCTION("""COMPUTED_VALUE"""),"Kernan, Roland (aka André Waignein)")</f>
        <v>Kernan, Roland (aka André Waignein)</v>
      </c>
      <c r="B4389" s="2">
        <f ca="1">IFERROR(__xludf.DUMMYFUNCTION("""COMPUTED_VALUE"""),1)</f>
        <v>1</v>
      </c>
      <c r="C4389" s="7">
        <f ca="1">IFERROR(__xludf.DUMMYFUNCTION("""COMPUTED_VALUE"""),1)</f>
        <v>1</v>
      </c>
      <c r="D4389" s="8">
        <f ca="1">IFERROR(__xludf.DUMMYFUNCTION("""COMPUTED_VALUE"""),1)</f>
        <v>1</v>
      </c>
      <c r="E4389" s="2">
        <f ca="1">IFERROR(__xludf.DUMMYFUNCTION("""COMPUTED_VALUE"""),1)</f>
        <v>1</v>
      </c>
    </row>
    <row r="4390" spans="1:5" ht="13">
      <c r="A4390" s="2" t="str">
        <f ca="1">IFERROR(__xludf.DUMMYFUNCTION("""COMPUTED_VALUE"""),"Kernis, Aaron Jay")</f>
        <v>Kernis, Aaron Jay</v>
      </c>
      <c r="B4390" s="3">
        <f ca="1">IFERROR(__xludf.DUMMYFUNCTION("""COMPUTED_VALUE"""),1)</f>
        <v>1</v>
      </c>
      <c r="C4390" s="7">
        <f ca="1">IFERROR(__xludf.DUMMYFUNCTION("""COMPUTED_VALUE"""),1)</f>
        <v>1</v>
      </c>
      <c r="D4390" s="8">
        <f ca="1">IFERROR(__xludf.DUMMYFUNCTION("""COMPUTED_VALUE"""),1)</f>
        <v>1</v>
      </c>
      <c r="E4390" s="2">
        <f ca="1">IFERROR(__xludf.DUMMYFUNCTION("""COMPUTED_VALUE"""),1)</f>
        <v>1</v>
      </c>
    </row>
    <row r="4391" spans="1:5" ht="13">
      <c r="A4391" s="2" t="str">
        <f ca="1">IFERROR(__xludf.DUMMYFUNCTION("""COMPUTED_VALUE"""),"Kerr, David")</f>
        <v>Kerr, David</v>
      </c>
      <c r="B4391" s="3">
        <f ca="1">IFERROR(__xludf.DUMMYFUNCTION("""COMPUTED_VALUE"""),1)</f>
        <v>1</v>
      </c>
      <c r="C4391" s="7">
        <f ca="1">IFERROR(__xludf.DUMMYFUNCTION("""COMPUTED_VALUE"""),1)</f>
        <v>1</v>
      </c>
      <c r="D4391" s="8">
        <f ca="1">IFERROR(__xludf.DUMMYFUNCTION("""COMPUTED_VALUE"""),1)</f>
        <v>1</v>
      </c>
      <c r="E4391" s="2">
        <f ca="1">IFERROR(__xludf.DUMMYFUNCTION("""COMPUTED_VALUE"""),1)</f>
        <v>1</v>
      </c>
    </row>
    <row r="4392" spans="1:5" ht="13">
      <c r="A4392" s="8" t="str">
        <f ca="1">IFERROR(__xludf.DUMMYFUNCTION("""COMPUTED_VALUE"""),"Kerr, Robert")</f>
        <v>Kerr, Robert</v>
      </c>
      <c r="B4392" s="3">
        <f ca="1">IFERROR(__xludf.DUMMYFUNCTION("""COMPUTED_VALUE"""),1)</f>
        <v>1</v>
      </c>
      <c r="C4392" s="7">
        <f ca="1">IFERROR(__xludf.DUMMYFUNCTION("""COMPUTED_VALUE"""),1)</f>
        <v>1</v>
      </c>
      <c r="D4392" s="8">
        <f ca="1">IFERROR(__xludf.DUMMYFUNCTION("""COMPUTED_VALUE"""),1)</f>
        <v>1</v>
      </c>
      <c r="E4392" s="2">
        <f ca="1">IFERROR(__xludf.DUMMYFUNCTION("""COMPUTED_VALUE"""),1)</f>
        <v>1</v>
      </c>
    </row>
    <row r="4393" spans="1:5" ht="13">
      <c r="A4393" s="2" t="str">
        <f ca="1">IFERROR(__xludf.DUMMYFUNCTION("""COMPUTED_VALUE"""),"Kerr, Ryan")</f>
        <v>Kerr, Ryan</v>
      </c>
      <c r="B4393" s="3">
        <f ca="1">IFERROR(__xludf.DUMMYFUNCTION("""COMPUTED_VALUE"""),1)</f>
        <v>1</v>
      </c>
      <c r="C4393" s="7">
        <f ca="1">IFERROR(__xludf.DUMMYFUNCTION("""COMPUTED_VALUE"""),1)</f>
        <v>1</v>
      </c>
      <c r="D4393" s="8">
        <f ca="1">IFERROR(__xludf.DUMMYFUNCTION("""COMPUTED_VALUE"""),1)</f>
        <v>1</v>
      </c>
      <c r="E4393" s="2">
        <f ca="1">IFERROR(__xludf.DUMMYFUNCTION("""COMPUTED_VALUE"""),1)</f>
        <v>1</v>
      </c>
    </row>
    <row r="4394" spans="1:5" ht="13">
      <c r="A4394" s="8" t="str">
        <f ca="1">IFERROR(__xludf.DUMMYFUNCTION("""COMPUTED_VALUE"""),"Kerr, Wallis")</f>
        <v>Kerr, Wallis</v>
      </c>
      <c r="B4394" s="3">
        <f ca="1">IFERROR(__xludf.DUMMYFUNCTION("""COMPUTED_VALUE"""),1)</f>
        <v>1</v>
      </c>
      <c r="C4394" s="7">
        <f ca="1">IFERROR(__xludf.DUMMYFUNCTION("""COMPUTED_VALUE"""),1)</f>
        <v>1</v>
      </c>
      <c r="D4394" s="8">
        <f ca="1">IFERROR(__xludf.DUMMYFUNCTION("""COMPUTED_VALUE"""),5)</f>
        <v>5</v>
      </c>
      <c r="E4394" s="2">
        <f ca="1">IFERROR(__xludf.DUMMYFUNCTION("""COMPUTED_VALUE"""),2)</f>
        <v>2</v>
      </c>
    </row>
    <row r="4395" spans="1:5" ht="13">
      <c r="A4395" s="2" t="str">
        <f ca="1">IFERROR(__xludf.DUMMYFUNCTION("""COMPUTED_VALUE"""),"Kesselman, Lee")</f>
        <v>Kesselman, Lee</v>
      </c>
      <c r="B4395" s="3">
        <f ca="1">IFERROR(__xludf.DUMMYFUNCTION("""COMPUTED_VALUE"""),1)</f>
        <v>1</v>
      </c>
      <c r="C4395" s="7">
        <f ca="1">IFERROR(__xludf.DUMMYFUNCTION("""COMPUTED_VALUE"""),1)</f>
        <v>1</v>
      </c>
      <c r="D4395" s="8">
        <f ca="1">IFERROR(__xludf.DUMMYFUNCTION("""COMPUTED_VALUE"""),1)</f>
        <v>1</v>
      </c>
      <c r="E4395" s="2">
        <f ca="1">IFERROR(__xludf.DUMMYFUNCTION("""COMPUTED_VALUE"""),1)</f>
        <v>1</v>
      </c>
    </row>
    <row r="4396" spans="1:5" ht="13">
      <c r="A4396" s="2" t="str">
        <f ca="1">IFERROR(__xludf.DUMMYFUNCTION("""COMPUTED_VALUE"""),"Kessler, James")</f>
        <v>Kessler, James</v>
      </c>
      <c r="B4396" s="3">
        <f ca="1">IFERROR(__xludf.DUMMYFUNCTION("""COMPUTED_VALUE"""),1)</f>
        <v>1</v>
      </c>
      <c r="C4396" s="7">
        <f ca="1">IFERROR(__xludf.DUMMYFUNCTION("""COMPUTED_VALUE"""),1)</f>
        <v>1</v>
      </c>
      <c r="D4396" s="8">
        <f ca="1">IFERROR(__xludf.DUMMYFUNCTION("""COMPUTED_VALUE"""),1)</f>
        <v>1</v>
      </c>
      <c r="E4396" s="2">
        <f ca="1">IFERROR(__xludf.DUMMYFUNCTION("""COMPUTED_VALUE"""),1)</f>
        <v>1</v>
      </c>
    </row>
    <row r="4397" spans="1:5" ht="13">
      <c r="A4397" s="2" t="str">
        <f ca="1">IFERROR(__xludf.DUMMYFUNCTION("""COMPUTED_VALUE"""),"Kessler, Steve")</f>
        <v>Kessler, Steve</v>
      </c>
      <c r="B4397" s="3">
        <f ca="1">IFERROR(__xludf.DUMMYFUNCTION("""COMPUTED_VALUE"""),1)</f>
        <v>1</v>
      </c>
      <c r="C4397" s="7">
        <f ca="1">IFERROR(__xludf.DUMMYFUNCTION("""COMPUTED_VALUE"""),1)</f>
        <v>1</v>
      </c>
      <c r="D4397" s="8">
        <f ca="1">IFERROR(__xludf.DUMMYFUNCTION("""COMPUTED_VALUE"""),1)</f>
        <v>1</v>
      </c>
      <c r="E4397" s="2">
        <f ca="1">IFERROR(__xludf.DUMMYFUNCTION("""COMPUTED_VALUE"""),1)</f>
        <v>1</v>
      </c>
    </row>
    <row r="4398" spans="1:5" ht="13">
      <c r="A4398" s="2" t="str">
        <f ca="1">IFERROR(__xludf.DUMMYFUNCTION("""COMPUTED_VALUE"""),"Ketèlbey, Albert")</f>
        <v>Ketèlbey, Albert</v>
      </c>
      <c r="B4398" s="2">
        <f ca="1">IFERROR(__xludf.DUMMYFUNCTION("""COMPUTED_VALUE"""),1)</f>
        <v>1</v>
      </c>
      <c r="C4398" s="7">
        <f ca="1">IFERROR(__xludf.DUMMYFUNCTION("""COMPUTED_VALUE"""),1)</f>
        <v>1</v>
      </c>
      <c r="D4398" s="8">
        <f ca="1">IFERROR(__xludf.DUMMYFUNCTION("""COMPUTED_VALUE"""),5)</f>
        <v>5</v>
      </c>
      <c r="E4398" s="2">
        <f ca="1">IFERROR(__xludf.DUMMYFUNCTION("""COMPUTED_VALUE"""),2)</f>
        <v>2</v>
      </c>
    </row>
    <row r="4399" spans="1:5" ht="13">
      <c r="A4399" s="2" t="str">
        <f ca="1">IFERROR(__xludf.DUMMYFUNCTION("""COMPUTED_VALUE"""),"Keuning, Ken")</f>
        <v>Keuning, Ken</v>
      </c>
      <c r="B4399" s="3">
        <f ca="1">IFERROR(__xludf.DUMMYFUNCTION("""COMPUTED_VALUE"""),1)</f>
        <v>1</v>
      </c>
      <c r="C4399" s="7">
        <f ca="1">IFERROR(__xludf.DUMMYFUNCTION("""COMPUTED_VALUE"""),1)</f>
        <v>1</v>
      </c>
      <c r="D4399" s="8">
        <f ca="1">IFERROR(__xludf.DUMMYFUNCTION("""COMPUTED_VALUE"""),5)</f>
        <v>5</v>
      </c>
      <c r="E4399" s="2">
        <f ca="1">IFERROR(__xludf.DUMMYFUNCTION("""COMPUTED_VALUE"""),2)</f>
        <v>2</v>
      </c>
    </row>
    <row r="4400" spans="1:5" ht="13">
      <c r="A4400" s="2" t="str">
        <f ca="1">IFERROR(__xludf.DUMMYFUNCTION("""COMPUTED_VALUE"""),"Keuris, Tristan")</f>
        <v>Keuris, Tristan</v>
      </c>
      <c r="B4400" s="2">
        <f ca="1">IFERROR(__xludf.DUMMYFUNCTION("""COMPUTED_VALUE"""),1)</f>
        <v>1</v>
      </c>
      <c r="C4400" s="7">
        <f ca="1">IFERROR(__xludf.DUMMYFUNCTION("""COMPUTED_VALUE"""),1)</f>
        <v>1</v>
      </c>
      <c r="D4400" s="8">
        <f ca="1">IFERROR(__xludf.DUMMYFUNCTION("""COMPUTED_VALUE"""),5)</f>
        <v>5</v>
      </c>
      <c r="E4400" s="2">
        <f ca="1">IFERROR(__xludf.DUMMYFUNCTION("""COMPUTED_VALUE"""),2)</f>
        <v>2</v>
      </c>
    </row>
    <row r="4401" spans="1:5" ht="13">
      <c r="A4401" s="2" t="str">
        <f ca="1">IFERROR(__xludf.DUMMYFUNCTION("""COMPUTED_VALUE"""),"Keyes, Nelson")</f>
        <v>Keyes, Nelson</v>
      </c>
      <c r="B4401" s="3">
        <f ca="1">IFERROR(__xludf.DUMMYFUNCTION("""COMPUTED_VALUE"""),1)</f>
        <v>1</v>
      </c>
      <c r="C4401" s="7">
        <f ca="1">IFERROR(__xludf.DUMMYFUNCTION("""COMPUTED_VALUE"""),1)</f>
        <v>1</v>
      </c>
      <c r="D4401" s="8">
        <f ca="1">IFERROR(__xludf.DUMMYFUNCTION("""COMPUTED_VALUE"""),5)</f>
        <v>5</v>
      </c>
      <c r="E4401" s="2">
        <f ca="1">IFERROR(__xludf.DUMMYFUNCTION("""COMPUTED_VALUE"""),2)</f>
        <v>2</v>
      </c>
    </row>
    <row r="4402" spans="1:5" ht="13">
      <c r="A4402" s="2" t="str">
        <f ca="1">IFERROR(__xludf.DUMMYFUNCTION("""COMPUTED_VALUE"""),"Khachaturian, Aram")</f>
        <v>Khachaturian, Aram</v>
      </c>
      <c r="B4402" s="3">
        <f ca="1">IFERROR(__xludf.DUMMYFUNCTION("""COMPUTED_VALUE"""),1)</f>
        <v>1</v>
      </c>
      <c r="C4402" s="7">
        <f ca="1">IFERROR(__xludf.DUMMYFUNCTION("""COMPUTED_VALUE"""),1)</f>
        <v>1</v>
      </c>
      <c r="D4402" s="8">
        <f ca="1">IFERROR(__xludf.DUMMYFUNCTION("""COMPUTED_VALUE"""),5)</f>
        <v>5</v>
      </c>
      <c r="E4402" s="2">
        <f ca="1">IFERROR(__xludf.DUMMYFUNCTION("""COMPUTED_VALUE"""),2)</f>
        <v>2</v>
      </c>
    </row>
    <row r="4403" spans="1:5" ht="13">
      <c r="A4403" s="2" t="str">
        <f ca="1">IFERROR(__xludf.DUMMYFUNCTION("""COMPUTED_VALUE"""),"Khalilov, Valery")</f>
        <v>Khalilov, Valery</v>
      </c>
      <c r="B4403" s="3">
        <f ca="1">IFERROR(__xludf.DUMMYFUNCTION("""COMPUTED_VALUE"""),1)</f>
        <v>1</v>
      </c>
      <c r="C4403" s="7">
        <f ca="1">IFERROR(__xludf.DUMMYFUNCTION("""COMPUTED_VALUE"""),1)</f>
        <v>1</v>
      </c>
      <c r="D4403" s="8">
        <f ca="1">IFERROR(__xludf.DUMMYFUNCTION("""COMPUTED_VALUE"""),1)</f>
        <v>1</v>
      </c>
      <c r="E4403" s="2">
        <f ca="1">IFERROR(__xludf.DUMMYFUNCTION("""COMPUTED_VALUE"""),1)</f>
        <v>1</v>
      </c>
    </row>
    <row r="4404" spans="1:5" ht="13">
      <c r="A4404" s="2" t="str">
        <f ca="1">IFERROR(__xludf.DUMMYFUNCTION("""COMPUTED_VALUE"""),"Kharitonov, Arsentiy")</f>
        <v>Kharitonov, Arsentiy</v>
      </c>
      <c r="B4404" s="2">
        <f ca="1">IFERROR(__xludf.DUMMYFUNCTION("""COMPUTED_VALUE"""),1)</f>
        <v>1</v>
      </c>
      <c r="C4404" s="2">
        <f ca="1">IFERROR(__xludf.DUMMYFUNCTION("""COMPUTED_VALUE"""),1)</f>
        <v>1</v>
      </c>
      <c r="D4404" s="8">
        <f ca="1">IFERROR(__xludf.DUMMYFUNCTION("""COMPUTED_VALUE"""),1)</f>
        <v>1</v>
      </c>
      <c r="E4404" s="2">
        <f ca="1">IFERROR(__xludf.DUMMYFUNCTION("""COMPUTED_VALUE"""),1)</f>
        <v>1</v>
      </c>
    </row>
    <row r="4405" spans="1:5" ht="13">
      <c r="A4405" s="2" t="str">
        <f ca="1">IFERROR(__xludf.DUMMYFUNCTION("""COMPUTED_VALUE"""),"Khatchaturian")</f>
        <v>Khatchaturian</v>
      </c>
      <c r="B4405" s="3">
        <f ca="1">IFERROR(__xludf.DUMMYFUNCTION("""COMPUTED_VALUE"""),1)</f>
        <v>1</v>
      </c>
      <c r="C4405" s="7">
        <f ca="1">IFERROR(__xludf.DUMMYFUNCTION("""COMPUTED_VALUE"""),1)</f>
        <v>1</v>
      </c>
      <c r="D4405" s="8">
        <f ca="1">IFERROR(__xludf.DUMMYFUNCTION("""COMPUTED_VALUE"""),5)</f>
        <v>5</v>
      </c>
      <c r="E4405" s="2">
        <f ca="1">IFERROR(__xludf.DUMMYFUNCTION("""COMPUTED_VALUE"""),2)</f>
        <v>2</v>
      </c>
    </row>
    <row r="4406" spans="1:5" ht="13">
      <c r="A4406" s="2" t="str">
        <f ca="1">IFERROR(__xludf.DUMMYFUNCTION("""COMPUTED_VALUE"""),"Kidd, Bryan")</f>
        <v>Kidd, Bryan</v>
      </c>
      <c r="B4406" s="3">
        <f ca="1">IFERROR(__xludf.DUMMYFUNCTION("""COMPUTED_VALUE"""),1)</f>
        <v>1</v>
      </c>
      <c r="C4406" s="7">
        <f ca="1">IFERROR(__xludf.DUMMYFUNCTION("""COMPUTED_VALUE"""),1)</f>
        <v>1</v>
      </c>
      <c r="D4406" s="8">
        <f ca="1">IFERROR(__xludf.DUMMYFUNCTION("""COMPUTED_VALUE"""),1)</f>
        <v>1</v>
      </c>
      <c r="E4406" s="2">
        <f ca="1">IFERROR(__xludf.DUMMYFUNCTION("""COMPUTED_VALUE"""),1)</f>
        <v>1</v>
      </c>
    </row>
    <row r="4407" spans="1:5" ht="13">
      <c r="A4407" s="2" t="str">
        <f ca="1">IFERROR(__xludf.DUMMYFUNCTION("""COMPUTED_VALUE"""),"Kiefer, Ed")</f>
        <v>Kiefer, Ed</v>
      </c>
      <c r="B4407" s="3">
        <f ca="1">IFERROR(__xludf.DUMMYFUNCTION("""COMPUTED_VALUE"""),1)</f>
        <v>1</v>
      </c>
      <c r="C4407" s="7">
        <f ca="1">IFERROR(__xludf.DUMMYFUNCTION("""COMPUTED_VALUE"""),1)</f>
        <v>1</v>
      </c>
      <c r="D4407" s="8">
        <f ca="1">IFERROR(__xludf.DUMMYFUNCTION("""COMPUTED_VALUE"""),1)</f>
        <v>1</v>
      </c>
      <c r="E4407" s="2">
        <f ca="1">IFERROR(__xludf.DUMMYFUNCTION("""COMPUTED_VALUE"""),1)</f>
        <v>1</v>
      </c>
    </row>
    <row r="4408" spans="1:5" ht="13">
      <c r="A4408" s="8" t="str">
        <f ca="1">IFERROR(__xludf.DUMMYFUNCTION("""COMPUTED_VALUE"""),"Kiefer, William H.")</f>
        <v>Kiefer, William H.</v>
      </c>
      <c r="B4408" s="3">
        <f ca="1">IFERROR(__xludf.DUMMYFUNCTION("""COMPUTED_VALUE"""),1)</f>
        <v>1</v>
      </c>
      <c r="C4408" s="7">
        <f ca="1">IFERROR(__xludf.DUMMYFUNCTION("""COMPUTED_VALUE"""),1)</f>
        <v>1</v>
      </c>
      <c r="D4408" s="8">
        <f ca="1">IFERROR(__xludf.DUMMYFUNCTION("""COMPUTED_VALUE"""),5)</f>
        <v>5</v>
      </c>
      <c r="E4408" s="2">
        <f ca="1">IFERROR(__xludf.DUMMYFUNCTION("""COMPUTED_VALUE"""),2)</f>
        <v>2</v>
      </c>
    </row>
    <row r="4409" spans="1:5" ht="13">
      <c r="A4409" s="2" t="str">
        <f ca="1">IFERROR(__xludf.DUMMYFUNCTION("""COMPUTED_VALUE"""),"Kihlken, Henry")</f>
        <v>Kihlken, Henry</v>
      </c>
      <c r="B4409" s="2">
        <f ca="1">IFERROR(__xludf.DUMMYFUNCTION("""COMPUTED_VALUE"""),1)</f>
        <v>1</v>
      </c>
      <c r="C4409" s="2">
        <f ca="1">IFERROR(__xludf.DUMMYFUNCTION("""COMPUTED_VALUE"""),1)</f>
        <v>1</v>
      </c>
      <c r="D4409" s="8">
        <f ca="1">IFERROR(__xludf.DUMMYFUNCTION("""COMPUTED_VALUE"""),5)</f>
        <v>5</v>
      </c>
      <c r="E4409" s="2">
        <f ca="1">IFERROR(__xludf.DUMMYFUNCTION("""COMPUTED_VALUE"""),2)</f>
        <v>2</v>
      </c>
    </row>
    <row r="4410" spans="1:5" ht="13">
      <c r="A4410" s="2" t="str">
        <f ca="1">IFERROR(__xludf.DUMMYFUNCTION("""COMPUTED_VALUE"""),"Kilar, Wojciech")</f>
        <v>Kilar, Wojciech</v>
      </c>
      <c r="B4410" s="3">
        <f ca="1">IFERROR(__xludf.DUMMYFUNCTION("""COMPUTED_VALUE"""),1)</f>
        <v>1</v>
      </c>
      <c r="C4410" s="7">
        <f ca="1">IFERROR(__xludf.DUMMYFUNCTION("""COMPUTED_VALUE"""),1)</f>
        <v>1</v>
      </c>
      <c r="D4410" s="8">
        <f ca="1">IFERROR(__xludf.DUMMYFUNCTION("""COMPUTED_VALUE"""),5)</f>
        <v>5</v>
      </c>
      <c r="E4410" s="2">
        <f ca="1">IFERROR(__xludf.DUMMYFUNCTION("""COMPUTED_VALUE"""),2)</f>
        <v>2</v>
      </c>
    </row>
    <row r="4411" spans="1:5" ht="13">
      <c r="A4411" s="2" t="str">
        <f ca="1">IFERROR(__xludf.DUMMYFUNCTION("""COMPUTED_VALUE"""),"Killmayer, Wilhelm")</f>
        <v>Killmayer, Wilhelm</v>
      </c>
      <c r="B4411" s="2">
        <f ca="1">IFERROR(__xludf.DUMMYFUNCTION("""COMPUTED_VALUE"""),1)</f>
        <v>1</v>
      </c>
      <c r="C4411" s="2">
        <f ca="1">IFERROR(__xludf.DUMMYFUNCTION("""COMPUTED_VALUE"""),1)</f>
        <v>1</v>
      </c>
      <c r="D4411" s="8">
        <f ca="1">IFERROR(__xludf.DUMMYFUNCTION("""COMPUTED_VALUE"""),5)</f>
        <v>5</v>
      </c>
      <c r="E4411" s="2">
        <f ca="1">IFERROR(__xludf.DUMMYFUNCTION("""COMPUTED_VALUE"""),2)</f>
        <v>2</v>
      </c>
    </row>
    <row r="4412" spans="1:5" ht="13">
      <c r="A4412" s="8" t="str">
        <f ca="1">IFERROR(__xludf.DUMMYFUNCTION("""COMPUTED_VALUE"""),"Kilstofte, Mark")</f>
        <v>Kilstofte, Mark</v>
      </c>
      <c r="B4412" s="3">
        <f ca="1">IFERROR(__xludf.DUMMYFUNCTION("""COMPUTED_VALUE"""),1)</f>
        <v>1</v>
      </c>
      <c r="C4412" s="7">
        <f ca="1">IFERROR(__xludf.DUMMYFUNCTION("""COMPUTED_VALUE"""),1)</f>
        <v>1</v>
      </c>
      <c r="D4412" s="8">
        <f ca="1">IFERROR(__xludf.DUMMYFUNCTION("""COMPUTED_VALUE"""),1)</f>
        <v>1</v>
      </c>
      <c r="E4412" s="2">
        <f ca="1">IFERROR(__xludf.DUMMYFUNCTION("""COMPUTED_VALUE"""),1)</f>
        <v>1</v>
      </c>
    </row>
    <row r="4413" spans="1:5" ht="13">
      <c r="A4413" s="2" t="str">
        <f ca="1">IFERROR(__xludf.DUMMYFUNCTION("""COMPUTED_VALUE"""),"Kimball, Nate")</f>
        <v>Kimball, Nate</v>
      </c>
      <c r="B4413" s="3">
        <f ca="1">IFERROR(__xludf.DUMMYFUNCTION("""COMPUTED_VALUE"""),1)</f>
        <v>1</v>
      </c>
      <c r="C4413" s="7">
        <f ca="1">IFERROR(__xludf.DUMMYFUNCTION("""COMPUTED_VALUE"""),1)</f>
        <v>1</v>
      </c>
      <c r="D4413" s="8">
        <f ca="1">IFERROR(__xludf.DUMMYFUNCTION("""COMPUTED_VALUE"""),1)</f>
        <v>1</v>
      </c>
      <c r="E4413" s="2">
        <f ca="1">IFERROR(__xludf.DUMMYFUNCTION("""COMPUTED_VALUE"""),1)</f>
        <v>1</v>
      </c>
    </row>
    <row r="4414" spans="1:5" ht="13">
      <c r="A4414" s="8" t="str">
        <f ca="1">IFERROR(__xludf.DUMMYFUNCTION("""COMPUTED_VALUE"""),"Kindermann, Jorann Erasmus")</f>
        <v>Kindermann, Jorann Erasmus</v>
      </c>
      <c r="B4414" s="3">
        <f ca="1">IFERROR(__xludf.DUMMYFUNCTION("""COMPUTED_VALUE"""),1)</f>
        <v>1</v>
      </c>
      <c r="C4414" s="7">
        <f ca="1">IFERROR(__xludf.DUMMYFUNCTION("""COMPUTED_VALUE"""),1)</f>
        <v>1</v>
      </c>
      <c r="D4414" s="8">
        <f ca="1">IFERROR(__xludf.DUMMYFUNCTION("""COMPUTED_VALUE"""),5)</f>
        <v>5</v>
      </c>
      <c r="E4414" s="2">
        <f ca="1">IFERROR(__xludf.DUMMYFUNCTION("""COMPUTED_VALUE"""),2)</f>
        <v>2</v>
      </c>
    </row>
    <row r="4415" spans="1:5" ht="13">
      <c r="A4415" s="2" t="str">
        <f ca="1">IFERROR(__xludf.DUMMYFUNCTION("""COMPUTED_VALUE"""),"Kindler, Hans")</f>
        <v>Kindler, Hans</v>
      </c>
      <c r="B4415" s="2">
        <f ca="1">IFERROR(__xludf.DUMMYFUNCTION("""COMPUTED_VALUE"""),1)</f>
        <v>1</v>
      </c>
      <c r="C4415" s="7">
        <f ca="1">IFERROR(__xludf.DUMMYFUNCTION("""COMPUTED_VALUE"""),1)</f>
        <v>1</v>
      </c>
      <c r="D4415" s="8">
        <f ca="1">IFERROR(__xludf.DUMMYFUNCTION("""COMPUTED_VALUE"""),5)</f>
        <v>5</v>
      </c>
      <c r="E4415" s="2">
        <f ca="1">IFERROR(__xludf.DUMMYFUNCTION("""COMPUTED_VALUE"""),2)</f>
        <v>2</v>
      </c>
    </row>
    <row r="4416" spans="1:5" ht="13">
      <c r="A4416" s="2" t="str">
        <f ca="1">IFERROR(__xludf.DUMMYFUNCTION("""COMPUTED_VALUE"""),"Kindler, Hans / Hazelman, Herbert")</f>
        <v>Kindler, Hans / Hazelman, Herbert</v>
      </c>
      <c r="B4416" s="2">
        <f ca="1">IFERROR(__xludf.DUMMYFUNCTION("""COMPUTED_VALUE"""),1)</f>
        <v>1</v>
      </c>
      <c r="C4416" s="7">
        <f ca="1">IFERROR(__xludf.DUMMYFUNCTION("""COMPUTED_VALUE"""),1)</f>
        <v>1</v>
      </c>
      <c r="D4416" s="8">
        <f ca="1">IFERROR(__xludf.DUMMYFUNCTION("""COMPUTED_VALUE"""),5)</f>
        <v>5</v>
      </c>
      <c r="E4416" s="2">
        <f ca="1">IFERROR(__xludf.DUMMYFUNCTION("""COMPUTED_VALUE"""),2)</f>
        <v>2</v>
      </c>
    </row>
    <row r="4417" spans="1:5" ht="13">
      <c r="A4417" s="2" t="str">
        <f ca="1">IFERROR(__xludf.DUMMYFUNCTION("""COMPUTED_VALUE"""),"Kindred, Kyle")</f>
        <v>Kindred, Kyle</v>
      </c>
      <c r="B4417" s="3">
        <f ca="1">IFERROR(__xludf.DUMMYFUNCTION("""COMPUTED_VALUE"""),1)</f>
        <v>1</v>
      </c>
      <c r="C4417" s="7">
        <f ca="1">IFERROR(__xludf.DUMMYFUNCTION("""COMPUTED_VALUE"""),1)</f>
        <v>1</v>
      </c>
      <c r="D4417" s="8">
        <f ca="1">IFERROR(__xludf.DUMMYFUNCTION("""COMPUTED_VALUE"""),1)</f>
        <v>1</v>
      </c>
      <c r="E4417" s="2">
        <f ca="1">IFERROR(__xludf.DUMMYFUNCTION("""COMPUTED_VALUE"""),1)</f>
        <v>1</v>
      </c>
    </row>
    <row r="4418" spans="1:5" ht="13">
      <c r="A4418" s="2" t="str">
        <f ca="1">IFERROR(__xludf.DUMMYFUNCTION("""COMPUTED_VALUE"""),"King-Smith, Ted")</f>
        <v>King-Smith, Ted</v>
      </c>
      <c r="B4418" s="3">
        <f ca="1">IFERROR(__xludf.DUMMYFUNCTION("""COMPUTED_VALUE"""),1)</f>
        <v>1</v>
      </c>
      <c r="C4418" s="7">
        <f ca="1">IFERROR(__xludf.DUMMYFUNCTION("""COMPUTED_VALUE"""),1)</f>
        <v>1</v>
      </c>
      <c r="D4418" s="8">
        <f ca="1">IFERROR(__xludf.DUMMYFUNCTION("""COMPUTED_VALUE"""),1)</f>
        <v>1</v>
      </c>
      <c r="E4418" s="2">
        <f ca="1">IFERROR(__xludf.DUMMYFUNCTION("""COMPUTED_VALUE"""),1)</f>
        <v>1</v>
      </c>
    </row>
    <row r="4419" spans="1:5" ht="13">
      <c r="A4419" s="2" t="str">
        <f ca="1">IFERROR(__xludf.DUMMYFUNCTION("""COMPUTED_VALUE"""),"King, Charles")</f>
        <v>King, Charles</v>
      </c>
      <c r="B4419" s="3">
        <f ca="1">IFERROR(__xludf.DUMMYFUNCTION("""COMPUTED_VALUE"""),1)</f>
        <v>1</v>
      </c>
      <c r="C4419" s="7">
        <f ca="1">IFERROR(__xludf.DUMMYFUNCTION("""COMPUTED_VALUE"""),1)</f>
        <v>1</v>
      </c>
      <c r="D4419" s="8">
        <f ca="1">IFERROR(__xludf.DUMMYFUNCTION("""COMPUTED_VALUE"""),5)</f>
        <v>5</v>
      </c>
      <c r="E4419" s="2">
        <f ca="1">IFERROR(__xludf.DUMMYFUNCTION("""COMPUTED_VALUE"""),2)</f>
        <v>2</v>
      </c>
    </row>
    <row r="4420" spans="1:5" ht="13">
      <c r="A4420" s="2" t="str">
        <f ca="1">IFERROR(__xludf.DUMMYFUNCTION("""COMPUTED_VALUE"""),"King, Fred")</f>
        <v>King, Fred</v>
      </c>
      <c r="B4420" s="2">
        <f ca="1">IFERROR(__xludf.DUMMYFUNCTION("""COMPUTED_VALUE"""),1)</f>
        <v>1</v>
      </c>
      <c r="C4420" s="7">
        <f ca="1">IFERROR(__xludf.DUMMYFUNCTION("""COMPUTED_VALUE"""),1)</f>
        <v>1</v>
      </c>
      <c r="D4420" s="8">
        <f ca="1">IFERROR(__xludf.DUMMYFUNCTION("""COMPUTED_VALUE"""),5)</f>
        <v>5</v>
      </c>
      <c r="E4420" s="2">
        <f ca="1">IFERROR(__xludf.DUMMYFUNCTION("""COMPUTED_VALUE"""),2)</f>
        <v>2</v>
      </c>
    </row>
    <row r="4421" spans="1:5" ht="13">
      <c r="A4421" s="2" t="str">
        <f ca="1">IFERROR(__xludf.DUMMYFUNCTION("""COMPUTED_VALUE"""),"King, Karl L.")</f>
        <v>King, Karl L.</v>
      </c>
      <c r="B4421" s="3">
        <f ca="1">IFERROR(__xludf.DUMMYFUNCTION("""COMPUTED_VALUE"""),1)</f>
        <v>1</v>
      </c>
      <c r="C4421" s="7">
        <f ca="1">IFERROR(__xludf.DUMMYFUNCTION("""COMPUTED_VALUE"""),1)</f>
        <v>1</v>
      </c>
      <c r="D4421" s="8">
        <f ca="1">IFERROR(__xludf.DUMMYFUNCTION("""COMPUTED_VALUE"""),5)</f>
        <v>5</v>
      </c>
      <c r="E4421" s="2">
        <f ca="1">IFERROR(__xludf.DUMMYFUNCTION("""COMPUTED_VALUE"""),2)</f>
        <v>2</v>
      </c>
    </row>
    <row r="4422" spans="1:5" ht="13">
      <c r="A4422" s="2" t="str">
        <f ca="1">IFERROR(__xludf.DUMMYFUNCTION("""COMPUTED_VALUE"""),"King, Oliver")</f>
        <v>King, Oliver</v>
      </c>
      <c r="B4422" s="3">
        <f ca="1">IFERROR(__xludf.DUMMYFUNCTION("""COMPUTED_VALUE"""),1)</f>
        <v>1</v>
      </c>
      <c r="C4422" s="7">
        <f ca="1">IFERROR(__xludf.DUMMYFUNCTION("""COMPUTED_VALUE"""),1)</f>
        <v>1</v>
      </c>
      <c r="D4422" s="8">
        <f ca="1">IFERROR(__xludf.DUMMYFUNCTION("""COMPUTED_VALUE"""),5)</f>
        <v>5</v>
      </c>
      <c r="E4422" s="2">
        <f ca="1">IFERROR(__xludf.DUMMYFUNCTION("""COMPUTED_VALUE"""),2)</f>
        <v>2</v>
      </c>
    </row>
    <row r="4423" spans="1:5" ht="13">
      <c r="A4423" s="2" t="str">
        <f ca="1">IFERROR(__xludf.DUMMYFUNCTION("""COMPUTED_VALUE"""),"King, Pete")</f>
        <v>King, Pete</v>
      </c>
      <c r="B4423" s="2">
        <f ca="1">IFERROR(__xludf.DUMMYFUNCTION("""COMPUTED_VALUE"""),1)</f>
        <v>1</v>
      </c>
      <c r="C4423" s="2">
        <f ca="1">IFERROR(__xludf.DUMMYFUNCTION("""COMPUTED_VALUE"""),1)</f>
        <v>1</v>
      </c>
      <c r="D4423" s="8">
        <f ca="1">IFERROR(__xludf.DUMMYFUNCTION("""COMPUTED_VALUE"""),5)</f>
        <v>5</v>
      </c>
      <c r="E4423" s="2">
        <f ca="1">IFERROR(__xludf.DUMMYFUNCTION("""COMPUTED_VALUE"""),2)</f>
        <v>2</v>
      </c>
    </row>
    <row r="4424" spans="1:5" ht="13">
      <c r="A4424" s="2" t="str">
        <f ca="1">IFERROR(__xludf.DUMMYFUNCTION("""COMPUTED_VALUE"""),"King, Robert")</f>
        <v>King, Robert</v>
      </c>
      <c r="B4424" s="3">
        <f ca="1">IFERROR(__xludf.DUMMYFUNCTION("""COMPUTED_VALUE"""),1)</f>
        <v>1</v>
      </c>
      <c r="C4424" s="7">
        <f ca="1">IFERROR(__xludf.DUMMYFUNCTION("""COMPUTED_VALUE"""),1)</f>
        <v>1</v>
      </c>
      <c r="D4424" s="8">
        <f ca="1">IFERROR(__xludf.DUMMYFUNCTION("""COMPUTED_VALUE"""),5)</f>
        <v>5</v>
      </c>
      <c r="E4424" s="2">
        <f ca="1">IFERROR(__xludf.DUMMYFUNCTION("""COMPUTED_VALUE"""),2)</f>
        <v>2</v>
      </c>
    </row>
    <row r="4425" spans="1:5" ht="13">
      <c r="A4425" s="2" t="str">
        <f ca="1">IFERROR(__xludf.DUMMYFUNCTION("""COMPUTED_VALUE"""),"King, Sidney")</f>
        <v>King, Sidney</v>
      </c>
      <c r="B4425" s="2">
        <f ca="1">IFERROR(__xludf.DUMMYFUNCTION("""COMPUTED_VALUE"""),1)</f>
        <v>1</v>
      </c>
      <c r="C4425" s="7">
        <f ca="1">IFERROR(__xludf.DUMMYFUNCTION("""COMPUTED_VALUE"""),1)</f>
        <v>1</v>
      </c>
      <c r="D4425" s="8">
        <f ca="1">IFERROR(__xludf.DUMMYFUNCTION("""COMPUTED_VALUE"""),1)</f>
        <v>1</v>
      </c>
      <c r="E4425" s="2">
        <f ca="1">IFERROR(__xludf.DUMMYFUNCTION("""COMPUTED_VALUE"""),1)</f>
        <v>1</v>
      </c>
    </row>
    <row r="4426" spans="1:5" ht="13">
      <c r="A4426" s="2" t="str">
        <f ca="1">IFERROR(__xludf.DUMMYFUNCTION("""COMPUTED_VALUE"""),"Kingsbury, Craig")</f>
        <v>Kingsbury, Craig</v>
      </c>
      <c r="B4426" s="3">
        <f ca="1">IFERROR(__xludf.DUMMYFUNCTION("""COMPUTED_VALUE"""),1)</f>
        <v>1</v>
      </c>
      <c r="C4426" s="7">
        <f ca="1">IFERROR(__xludf.DUMMYFUNCTION("""COMPUTED_VALUE"""),1)</f>
        <v>1</v>
      </c>
      <c r="D4426" s="8">
        <f ca="1">IFERROR(__xludf.DUMMYFUNCTION("""COMPUTED_VALUE"""),1)</f>
        <v>1</v>
      </c>
      <c r="E4426" s="2">
        <f ca="1">IFERROR(__xludf.DUMMYFUNCTION("""COMPUTED_VALUE"""),1)</f>
        <v>1</v>
      </c>
    </row>
    <row r="4427" spans="1:5" ht="13">
      <c r="A4427" s="8" t="str">
        <f ca="1">IFERROR(__xludf.DUMMYFUNCTION("""COMPUTED_VALUE"""),"Kingsbury, John")</f>
        <v>Kingsbury, John</v>
      </c>
      <c r="B4427" s="3">
        <f ca="1">IFERROR(__xludf.DUMMYFUNCTION("""COMPUTED_VALUE"""),1)</f>
        <v>1</v>
      </c>
      <c r="C4427" s="7">
        <f ca="1">IFERROR(__xludf.DUMMYFUNCTION("""COMPUTED_VALUE"""),1)</f>
        <v>1</v>
      </c>
      <c r="D4427" s="8">
        <f ca="1">IFERROR(__xludf.DUMMYFUNCTION("""COMPUTED_VALUE"""),1)</f>
        <v>1</v>
      </c>
      <c r="E4427" s="2">
        <f ca="1">IFERROR(__xludf.DUMMYFUNCTION("""COMPUTED_VALUE"""),1)</f>
        <v>1</v>
      </c>
    </row>
    <row r="4428" spans="1:5" ht="13">
      <c r="A4428" s="2" t="str">
        <f ca="1">IFERROR(__xludf.DUMMYFUNCTION("""COMPUTED_VALUE"""),"Kingsley, Gershon")</f>
        <v>Kingsley, Gershon</v>
      </c>
      <c r="B4428" s="3">
        <f ca="1">IFERROR(__xludf.DUMMYFUNCTION("""COMPUTED_VALUE"""),1)</f>
        <v>1</v>
      </c>
      <c r="C4428" s="7">
        <f ca="1">IFERROR(__xludf.DUMMYFUNCTION("""COMPUTED_VALUE"""),1)</f>
        <v>1</v>
      </c>
      <c r="D4428" s="8">
        <f ca="1">IFERROR(__xludf.DUMMYFUNCTION("""COMPUTED_VALUE"""),5)</f>
        <v>5</v>
      </c>
      <c r="E4428" s="2">
        <f ca="1">IFERROR(__xludf.DUMMYFUNCTION("""COMPUTED_VALUE"""),2)</f>
        <v>2</v>
      </c>
    </row>
    <row r="4429" spans="1:5" ht="13">
      <c r="A4429" s="2" t="str">
        <f ca="1">IFERROR(__xludf.DUMMYFUNCTION("""COMPUTED_VALUE"""),"Kinkelder, Dolf de")</f>
        <v>Kinkelder, Dolf de</v>
      </c>
      <c r="B4429" s="2">
        <f ca="1">IFERROR(__xludf.DUMMYFUNCTION("""COMPUTED_VALUE"""),1)</f>
        <v>1</v>
      </c>
      <c r="C4429" s="2">
        <f ca="1">IFERROR(__xludf.DUMMYFUNCTION("""COMPUTED_VALUE"""),1)</f>
        <v>1</v>
      </c>
      <c r="D4429" s="8">
        <f ca="1">IFERROR(__xludf.DUMMYFUNCTION("""COMPUTED_VALUE"""),1)</f>
        <v>1</v>
      </c>
      <c r="E4429" s="2">
        <f ca="1">IFERROR(__xludf.DUMMYFUNCTION("""COMPUTED_VALUE"""),1)</f>
        <v>1</v>
      </c>
    </row>
    <row r="4430" spans="1:5" ht="13">
      <c r="A4430" s="2" t="str">
        <f ca="1">IFERROR(__xludf.DUMMYFUNCTION("""COMPUTED_VALUE"""),"Kinyon, John")</f>
        <v>Kinyon, John</v>
      </c>
      <c r="B4430" s="3">
        <f ca="1">IFERROR(__xludf.DUMMYFUNCTION("""COMPUTED_VALUE"""),1)</f>
        <v>1</v>
      </c>
      <c r="C4430" s="7">
        <f ca="1">IFERROR(__xludf.DUMMYFUNCTION("""COMPUTED_VALUE"""),1)</f>
        <v>1</v>
      </c>
      <c r="D4430" s="8">
        <f ca="1">IFERROR(__xludf.DUMMYFUNCTION("""COMPUTED_VALUE"""),5)</f>
        <v>5</v>
      </c>
      <c r="E4430" s="2">
        <f ca="1">IFERROR(__xludf.DUMMYFUNCTION("""COMPUTED_VALUE"""),2)</f>
        <v>2</v>
      </c>
    </row>
    <row r="4431" spans="1:5" ht="13">
      <c r="A4431" s="2" t="str">
        <f ca="1">IFERROR(__xludf.DUMMYFUNCTION("""COMPUTED_VALUE"""),"Kirby, Charles")</f>
        <v>Kirby, Charles</v>
      </c>
      <c r="B4431" s="3">
        <f ca="1">IFERROR(__xludf.DUMMYFUNCTION("""COMPUTED_VALUE"""),1)</f>
        <v>1</v>
      </c>
      <c r="C4431" s="7">
        <f ca="1">IFERROR(__xludf.DUMMYFUNCTION("""COMPUTED_VALUE"""),1)</f>
        <v>1</v>
      </c>
      <c r="D4431" s="8">
        <f ca="1">IFERROR(__xludf.DUMMYFUNCTION("""COMPUTED_VALUE"""),1)</f>
        <v>1</v>
      </c>
      <c r="E4431" s="2">
        <f ca="1">IFERROR(__xludf.DUMMYFUNCTION("""COMPUTED_VALUE"""),1)</f>
        <v>1</v>
      </c>
    </row>
    <row r="4432" spans="1:5" ht="13">
      <c r="A4432" s="2" t="str">
        <f ca="1">IFERROR(__xludf.DUMMYFUNCTION("""COMPUTED_VALUE"""),"Kirby, Raymond L.")</f>
        <v>Kirby, Raymond L.</v>
      </c>
      <c r="B4432" s="2">
        <f ca="1">IFERROR(__xludf.DUMMYFUNCTION("""COMPUTED_VALUE"""),1)</f>
        <v>1</v>
      </c>
      <c r="C4432" s="2">
        <f ca="1">IFERROR(__xludf.DUMMYFUNCTION("""COMPUTED_VALUE"""),1)</f>
        <v>1</v>
      </c>
      <c r="D4432" s="8">
        <f ca="1">IFERROR(__xludf.DUMMYFUNCTION("""COMPUTED_VALUE"""),1)</f>
        <v>1</v>
      </c>
      <c r="E4432" s="2">
        <f ca="1">IFERROR(__xludf.DUMMYFUNCTION("""COMPUTED_VALUE"""),1)</f>
        <v>1</v>
      </c>
    </row>
    <row r="4433" spans="1:5" ht="13">
      <c r="A4433" s="2" t="str">
        <f ca="1">IFERROR(__xludf.DUMMYFUNCTION("""COMPUTED_VALUE"""),"Kirby, Rick")</f>
        <v>Kirby, Rick</v>
      </c>
      <c r="B4433" s="3">
        <f ca="1">IFERROR(__xludf.DUMMYFUNCTION("""COMPUTED_VALUE"""),1)</f>
        <v>1</v>
      </c>
      <c r="C4433" s="7">
        <f ca="1">IFERROR(__xludf.DUMMYFUNCTION("""COMPUTED_VALUE"""),1)</f>
        <v>1</v>
      </c>
      <c r="D4433" s="8">
        <f ca="1">IFERROR(__xludf.DUMMYFUNCTION("""COMPUTED_VALUE"""),1)</f>
        <v>1</v>
      </c>
      <c r="E4433" s="2">
        <f ca="1">IFERROR(__xludf.DUMMYFUNCTION("""COMPUTED_VALUE"""),1)</f>
        <v>1</v>
      </c>
    </row>
    <row r="4434" spans="1:5" ht="13">
      <c r="A4434" s="2" t="str">
        <f ca="1">IFERROR(__xludf.DUMMYFUNCTION("""COMPUTED_VALUE"""),"Kirbye, George")</f>
        <v>Kirbye, George</v>
      </c>
      <c r="B4434" s="3">
        <f ca="1">IFERROR(__xludf.DUMMYFUNCTION("""COMPUTED_VALUE"""),1)</f>
        <v>1</v>
      </c>
      <c r="C4434" s="7">
        <f ca="1">IFERROR(__xludf.DUMMYFUNCTION("""COMPUTED_VALUE"""),1)</f>
        <v>1</v>
      </c>
      <c r="D4434" s="8">
        <f ca="1">IFERROR(__xludf.DUMMYFUNCTION("""COMPUTED_VALUE"""),5)</f>
        <v>5</v>
      </c>
      <c r="E4434" s="2">
        <f ca="1">IFERROR(__xludf.DUMMYFUNCTION("""COMPUTED_VALUE"""),2)</f>
        <v>2</v>
      </c>
    </row>
    <row r="4435" spans="1:5" ht="13">
      <c r="A4435" s="8" t="str">
        <f ca="1">IFERROR(__xludf.DUMMYFUNCTION("""COMPUTED_VALUE"""),"Kirchner, Shawn")</f>
        <v>Kirchner, Shawn</v>
      </c>
      <c r="B4435" s="3">
        <f ca="1">IFERROR(__xludf.DUMMYFUNCTION("""COMPUTED_VALUE"""),1)</f>
        <v>1</v>
      </c>
      <c r="C4435" s="7">
        <f ca="1">IFERROR(__xludf.DUMMYFUNCTION("""COMPUTED_VALUE"""),1)</f>
        <v>1</v>
      </c>
      <c r="D4435" s="8">
        <f ca="1">IFERROR(__xludf.DUMMYFUNCTION("""COMPUTED_VALUE"""),1)</f>
        <v>1</v>
      </c>
      <c r="E4435" s="2">
        <f ca="1">IFERROR(__xludf.DUMMYFUNCTION("""COMPUTED_VALUE"""),1)</f>
        <v>1</v>
      </c>
    </row>
    <row r="4436" spans="1:5" ht="13">
      <c r="A4436" s="2" t="str">
        <f ca="1">IFERROR(__xludf.DUMMYFUNCTION("""COMPUTED_VALUE"""),"Kirck, George T.")</f>
        <v>Kirck, George T.</v>
      </c>
      <c r="B4436" s="3">
        <f ca="1">IFERROR(__xludf.DUMMYFUNCTION("""COMPUTED_VALUE"""),1)</f>
        <v>1</v>
      </c>
      <c r="C4436" s="7">
        <f ca="1">IFERROR(__xludf.DUMMYFUNCTION("""COMPUTED_VALUE"""),1)</f>
        <v>1</v>
      </c>
      <c r="D4436" s="8">
        <f ca="1">IFERROR(__xludf.DUMMYFUNCTION("""COMPUTED_VALUE"""),1)</f>
        <v>1</v>
      </c>
      <c r="E4436" s="2">
        <f ca="1">IFERROR(__xludf.DUMMYFUNCTION("""COMPUTED_VALUE"""),1)</f>
        <v>1</v>
      </c>
    </row>
    <row r="4437" spans="1:5" ht="13">
      <c r="A4437" s="2" t="str">
        <f ca="1">IFERROR(__xludf.DUMMYFUNCTION("""COMPUTED_VALUE"""),"Kirk, Sally")</f>
        <v>Kirk, Sally</v>
      </c>
      <c r="B4437" s="3">
        <f ca="1">IFERROR(__xludf.DUMMYFUNCTION("""COMPUTED_VALUE"""),1)</f>
        <v>1</v>
      </c>
      <c r="C4437" s="7">
        <f ca="1">IFERROR(__xludf.DUMMYFUNCTION("""COMPUTED_VALUE"""),1)</f>
        <v>1</v>
      </c>
      <c r="D4437" s="8">
        <f ca="1">IFERROR(__xludf.DUMMYFUNCTION("""COMPUTED_VALUE"""),1)</f>
        <v>1</v>
      </c>
      <c r="E4437" s="2">
        <f ca="1">IFERROR(__xludf.DUMMYFUNCTION("""COMPUTED_VALUE"""),1)</f>
        <v>1</v>
      </c>
    </row>
    <row r="4438" spans="1:5" ht="13">
      <c r="A4438" s="8" t="str">
        <f ca="1">IFERROR(__xludf.DUMMYFUNCTION("""COMPUTED_VALUE"""),"Kirk, Theron")</f>
        <v>Kirk, Theron</v>
      </c>
      <c r="B4438" s="3">
        <f ca="1">IFERROR(__xludf.DUMMYFUNCTION("""COMPUTED_VALUE"""),1)</f>
        <v>1</v>
      </c>
      <c r="C4438" s="7">
        <f ca="1">IFERROR(__xludf.DUMMYFUNCTION("""COMPUTED_VALUE"""),1)</f>
        <v>1</v>
      </c>
      <c r="D4438" s="8">
        <f ca="1">IFERROR(__xludf.DUMMYFUNCTION("""COMPUTED_VALUE"""),5)</f>
        <v>5</v>
      </c>
      <c r="E4438" s="2">
        <f ca="1">IFERROR(__xludf.DUMMYFUNCTION("""COMPUTED_VALUE"""),2)</f>
        <v>2</v>
      </c>
    </row>
    <row r="4439" spans="1:5" ht="13">
      <c r="A4439" s="2" t="str">
        <f ca="1">IFERROR(__xludf.DUMMYFUNCTION("""COMPUTED_VALUE"""),"Kirkendall, Bradley")</f>
        <v>Kirkendall, Bradley</v>
      </c>
      <c r="B4439" s="3">
        <f ca="1">IFERROR(__xludf.DUMMYFUNCTION("""COMPUTED_VALUE"""),1)</f>
        <v>1</v>
      </c>
      <c r="C4439" s="7">
        <f ca="1">IFERROR(__xludf.DUMMYFUNCTION("""COMPUTED_VALUE"""),1)</f>
        <v>1</v>
      </c>
      <c r="D4439" s="8">
        <f ca="1">IFERROR(__xludf.DUMMYFUNCTION("""COMPUTED_VALUE"""),1)</f>
        <v>1</v>
      </c>
      <c r="E4439" s="2">
        <f ca="1">IFERROR(__xludf.DUMMYFUNCTION("""COMPUTED_VALUE"""),1)</f>
        <v>1</v>
      </c>
    </row>
    <row r="4440" spans="1:5" ht="13">
      <c r="A4440" s="2" t="str">
        <f ca="1">IFERROR(__xludf.DUMMYFUNCTION("""COMPUTED_VALUE"""),"Kirkpatrick, John")</f>
        <v>Kirkpatrick, John</v>
      </c>
      <c r="B4440" s="3">
        <f ca="1">IFERROR(__xludf.DUMMYFUNCTION("""COMPUTED_VALUE"""),1)</f>
        <v>1</v>
      </c>
      <c r="C4440" s="7">
        <f ca="1">IFERROR(__xludf.DUMMYFUNCTION("""COMPUTED_VALUE"""),1)</f>
        <v>1</v>
      </c>
      <c r="D4440" s="8">
        <f ca="1">IFERROR(__xludf.DUMMYFUNCTION("""COMPUTED_VALUE"""),5)</f>
        <v>5</v>
      </c>
      <c r="E4440" s="2">
        <f ca="1">IFERROR(__xludf.DUMMYFUNCTION("""COMPUTED_VALUE"""),2)</f>
        <v>2</v>
      </c>
    </row>
    <row r="4441" spans="1:5" ht="13">
      <c r="A4441" s="2" t="str">
        <f ca="1">IFERROR(__xludf.DUMMYFUNCTION("""COMPUTED_VALUE"""),"Kirkpatrick, William J.")</f>
        <v>Kirkpatrick, William J.</v>
      </c>
      <c r="B4441" s="3">
        <f ca="1">IFERROR(__xludf.DUMMYFUNCTION("""COMPUTED_VALUE"""),1)</f>
        <v>1</v>
      </c>
      <c r="C4441" s="7">
        <f ca="1">IFERROR(__xludf.DUMMYFUNCTION("""COMPUTED_VALUE"""),1)</f>
        <v>1</v>
      </c>
      <c r="D4441" s="8">
        <f ca="1">IFERROR(__xludf.DUMMYFUNCTION("""COMPUTED_VALUE"""),5)</f>
        <v>5</v>
      </c>
      <c r="E4441" s="2">
        <f ca="1">IFERROR(__xludf.DUMMYFUNCTION("""COMPUTED_VALUE"""),2)</f>
        <v>2</v>
      </c>
    </row>
    <row r="4442" spans="1:5" ht="13">
      <c r="A4442" s="2" t="str">
        <f ca="1">IFERROR(__xludf.DUMMYFUNCTION("""COMPUTED_VALUE"""),"Kirnberger, Johann Philipp")</f>
        <v>Kirnberger, Johann Philipp</v>
      </c>
      <c r="B4442" s="2">
        <f ca="1">IFERROR(__xludf.DUMMYFUNCTION("""COMPUTED_VALUE"""),1)</f>
        <v>1</v>
      </c>
      <c r="C4442" s="7">
        <f ca="1">IFERROR(__xludf.DUMMYFUNCTION("""COMPUTED_VALUE"""),1)</f>
        <v>1</v>
      </c>
      <c r="D4442" s="8">
        <f ca="1">IFERROR(__xludf.DUMMYFUNCTION("""COMPUTED_VALUE"""),5)</f>
        <v>5</v>
      </c>
      <c r="E4442" s="2">
        <f ca="1">IFERROR(__xludf.DUMMYFUNCTION("""COMPUTED_VALUE"""),2)</f>
        <v>2</v>
      </c>
    </row>
    <row r="4443" spans="1:5" ht="13">
      <c r="A4443" s="2" t="str">
        <f ca="1">IFERROR(__xludf.DUMMYFUNCTION("""COMPUTED_VALUE"""),"Kiser, Jerrold A.")</f>
        <v>Kiser, Jerrold A.</v>
      </c>
      <c r="B4443" s="2">
        <f ca="1">IFERROR(__xludf.DUMMYFUNCTION("""COMPUTED_VALUE"""),1)</f>
        <v>1</v>
      </c>
      <c r="C4443" s="2">
        <f ca="1">IFERROR(__xludf.DUMMYFUNCTION("""COMPUTED_VALUE"""),1)</f>
        <v>1</v>
      </c>
      <c r="D4443" s="8">
        <f ca="1">IFERROR(__xludf.DUMMYFUNCTION("""COMPUTED_VALUE"""),1)</f>
        <v>1</v>
      </c>
      <c r="E4443" s="2">
        <f ca="1">IFERROR(__xludf.DUMMYFUNCTION("""COMPUTED_VALUE"""),1)</f>
        <v>1</v>
      </c>
    </row>
    <row r="4444" spans="1:5" ht="13">
      <c r="A4444" s="2" t="str">
        <f ca="1">IFERROR(__xludf.DUMMYFUNCTION("""COMPUTED_VALUE"""),"Kistler, Cyrill")</f>
        <v>Kistler, Cyrill</v>
      </c>
      <c r="B4444" s="3">
        <f ca="1">IFERROR(__xludf.DUMMYFUNCTION("""COMPUTED_VALUE"""),1)</f>
        <v>1</v>
      </c>
      <c r="C4444" s="7">
        <f ca="1">IFERROR(__xludf.DUMMYFUNCTION("""COMPUTED_VALUE"""),1)</f>
        <v>1</v>
      </c>
      <c r="D4444" s="8">
        <f ca="1">IFERROR(__xludf.DUMMYFUNCTION("""COMPUTED_VALUE"""),5)</f>
        <v>5</v>
      </c>
      <c r="E4444" s="2">
        <f ca="1">IFERROR(__xludf.DUMMYFUNCTION("""COMPUTED_VALUE"""),2)</f>
        <v>2</v>
      </c>
    </row>
    <row r="4445" spans="1:5" ht="13">
      <c r="A4445" s="2" t="str">
        <f ca="1">IFERROR(__xludf.DUMMYFUNCTION("""COMPUTED_VALUE"""),"Kittel, Jeremy")</f>
        <v>Kittel, Jeremy</v>
      </c>
      <c r="B4445" s="3">
        <f ca="1">IFERROR(__xludf.DUMMYFUNCTION("""COMPUTED_VALUE"""),1)</f>
        <v>1</v>
      </c>
      <c r="C4445" s="7">
        <f ca="1">IFERROR(__xludf.DUMMYFUNCTION("""COMPUTED_VALUE"""),1)</f>
        <v>1</v>
      </c>
      <c r="D4445" s="8">
        <f ca="1">IFERROR(__xludf.DUMMYFUNCTION("""COMPUTED_VALUE"""),1)</f>
        <v>1</v>
      </c>
      <c r="E4445" s="2">
        <f ca="1">IFERROR(__xludf.DUMMYFUNCTION("""COMPUTED_VALUE"""),1)</f>
        <v>1</v>
      </c>
    </row>
    <row r="4446" spans="1:5" ht="13">
      <c r="A4446" s="2" t="str">
        <f ca="1">IFERROR(__xludf.DUMMYFUNCTION("""COMPUTED_VALUE"""),"Kitteredge, Walter / VanCamp, Leonard")</f>
        <v>Kitteredge, Walter / VanCamp, Leonard</v>
      </c>
      <c r="B4446" s="3">
        <f ca="1">IFERROR(__xludf.DUMMYFUNCTION("""COMPUTED_VALUE"""),1)</f>
        <v>1</v>
      </c>
      <c r="C4446" s="7">
        <f ca="1">IFERROR(__xludf.DUMMYFUNCTION("""COMPUTED_VALUE"""),1)</f>
        <v>1</v>
      </c>
      <c r="D4446" s="8">
        <f ca="1">IFERROR(__xludf.DUMMYFUNCTION("""COMPUTED_VALUE"""),1)</f>
        <v>1</v>
      </c>
      <c r="E4446" s="2">
        <f ca="1">IFERROR(__xludf.DUMMYFUNCTION("""COMPUTED_VALUE"""),1)</f>
        <v>1</v>
      </c>
    </row>
    <row r="4447" spans="1:5" ht="13">
      <c r="A4447" s="8" t="str">
        <f ca="1">IFERROR(__xludf.DUMMYFUNCTION("""COMPUTED_VALUE"""),"Kittredge, Walter")</f>
        <v>Kittredge, Walter</v>
      </c>
      <c r="B4447" s="3">
        <f ca="1">IFERROR(__xludf.DUMMYFUNCTION("""COMPUTED_VALUE"""),1)</f>
        <v>1</v>
      </c>
      <c r="C4447" s="7">
        <f ca="1">IFERROR(__xludf.DUMMYFUNCTION("""COMPUTED_VALUE"""),1)</f>
        <v>1</v>
      </c>
      <c r="D4447" s="8">
        <f ca="1">IFERROR(__xludf.DUMMYFUNCTION("""COMPUTED_VALUE"""),5)</f>
        <v>5</v>
      </c>
      <c r="E4447" s="2">
        <f ca="1">IFERROR(__xludf.DUMMYFUNCTION("""COMPUTED_VALUE"""),2)</f>
        <v>2</v>
      </c>
    </row>
    <row r="4448" spans="1:5" ht="13">
      <c r="A4448" s="8" t="str">
        <f ca="1">IFERROR(__xludf.DUMMYFUNCTION("""COMPUTED_VALUE"""),"Kittredge, Walter C.")</f>
        <v>Kittredge, Walter C.</v>
      </c>
      <c r="B4448" s="3">
        <f ca="1">IFERROR(__xludf.DUMMYFUNCTION("""COMPUTED_VALUE"""),1)</f>
        <v>1</v>
      </c>
      <c r="C4448" s="7">
        <f ca="1">IFERROR(__xludf.DUMMYFUNCTION("""COMPUTED_VALUE"""),1)</f>
        <v>1</v>
      </c>
      <c r="D4448" s="8">
        <f ca="1">IFERROR(__xludf.DUMMYFUNCTION("""COMPUTED_VALUE"""),5)</f>
        <v>5</v>
      </c>
      <c r="E4448" s="2">
        <f ca="1">IFERROR(__xludf.DUMMYFUNCTION("""COMPUTED_VALUE"""),2)</f>
        <v>2</v>
      </c>
    </row>
    <row r="4449" spans="1:5" ht="13">
      <c r="A4449" s="2" t="str">
        <f ca="1">IFERROR(__xludf.DUMMYFUNCTION("""COMPUTED_VALUE"""),"Kitzmiller, Scott")</f>
        <v>Kitzmiller, Scott</v>
      </c>
      <c r="B4449" s="3">
        <f ca="1">IFERROR(__xludf.DUMMYFUNCTION("""COMPUTED_VALUE"""),1)</f>
        <v>1</v>
      </c>
      <c r="C4449" s="7">
        <f ca="1">IFERROR(__xludf.DUMMYFUNCTION("""COMPUTED_VALUE"""),1)</f>
        <v>1</v>
      </c>
      <c r="D4449" s="8">
        <f ca="1">IFERROR(__xludf.DUMMYFUNCTION("""COMPUTED_VALUE"""),1)</f>
        <v>1</v>
      </c>
      <c r="E4449" s="2">
        <f ca="1">IFERROR(__xludf.DUMMYFUNCTION("""COMPUTED_VALUE"""),1)</f>
        <v>1</v>
      </c>
    </row>
    <row r="4450" spans="1:5" ht="13">
      <c r="A4450" s="8" t="str">
        <f ca="1">IFERROR(__xludf.DUMMYFUNCTION("""COMPUTED_VALUE"""),"Kivell, Wayne")</f>
        <v>Kivell, Wayne</v>
      </c>
      <c r="B4450" s="3">
        <f ca="1">IFERROR(__xludf.DUMMYFUNCTION("""COMPUTED_VALUE"""),1)</f>
        <v>1</v>
      </c>
      <c r="C4450" s="7">
        <f ca="1">IFERROR(__xludf.DUMMYFUNCTION("""COMPUTED_VALUE"""),1)</f>
        <v>1</v>
      </c>
      <c r="D4450" s="8">
        <f ca="1">IFERROR(__xludf.DUMMYFUNCTION("""COMPUTED_VALUE"""),1)</f>
        <v>1</v>
      </c>
      <c r="E4450" s="2">
        <f ca="1">IFERROR(__xludf.DUMMYFUNCTION("""COMPUTED_VALUE"""),1)</f>
        <v>1</v>
      </c>
    </row>
    <row r="4451" spans="1:5" ht="13">
      <c r="A4451" s="8" t="str">
        <f ca="1">IFERROR(__xludf.DUMMYFUNCTION("""COMPUTED_VALUE"""),"Kjelland, James")</f>
        <v>Kjelland, James</v>
      </c>
      <c r="B4451" s="3">
        <f ca="1">IFERROR(__xludf.DUMMYFUNCTION("""COMPUTED_VALUE"""),1)</f>
        <v>1</v>
      </c>
      <c r="C4451" s="7">
        <f ca="1">IFERROR(__xludf.DUMMYFUNCTION("""COMPUTED_VALUE"""),1)</f>
        <v>1</v>
      </c>
      <c r="D4451" s="8">
        <f ca="1">IFERROR(__xludf.DUMMYFUNCTION("""COMPUTED_VALUE"""),1)</f>
        <v>1</v>
      </c>
      <c r="E4451" s="2">
        <f ca="1">IFERROR(__xludf.DUMMYFUNCTION("""COMPUTED_VALUE"""),1)</f>
        <v>1</v>
      </c>
    </row>
    <row r="4452" spans="1:5" ht="13">
      <c r="A4452" s="8" t="str">
        <f ca="1">IFERROR(__xludf.DUMMYFUNCTION("""COMPUTED_VALUE"""),"Kjelson, Lee")</f>
        <v>Kjelson, Lee</v>
      </c>
      <c r="B4452" s="3">
        <f ca="1">IFERROR(__xludf.DUMMYFUNCTION("""COMPUTED_VALUE"""),1)</f>
        <v>1</v>
      </c>
      <c r="C4452" s="7">
        <f ca="1">IFERROR(__xludf.DUMMYFUNCTION("""COMPUTED_VALUE"""),1)</f>
        <v>1</v>
      </c>
      <c r="D4452" s="8">
        <f ca="1">IFERROR(__xludf.DUMMYFUNCTION("""COMPUTED_VALUE"""),5)</f>
        <v>5</v>
      </c>
      <c r="E4452" s="2">
        <f ca="1">IFERROR(__xludf.DUMMYFUNCTION("""COMPUTED_VALUE"""),2)</f>
        <v>2</v>
      </c>
    </row>
    <row r="4453" spans="1:5" ht="13">
      <c r="A4453" s="2" t="str">
        <f ca="1">IFERROR(__xludf.DUMMYFUNCTION("""COMPUTED_VALUE"""),"Kjerulf, Halfdan")</f>
        <v>Kjerulf, Halfdan</v>
      </c>
      <c r="B4453" s="3">
        <f ca="1">IFERROR(__xludf.DUMMYFUNCTION("""COMPUTED_VALUE"""),1)</f>
        <v>1</v>
      </c>
      <c r="C4453" s="7">
        <f ca="1">IFERROR(__xludf.DUMMYFUNCTION("""COMPUTED_VALUE"""),1)</f>
        <v>1</v>
      </c>
      <c r="D4453" s="8">
        <f ca="1">IFERROR(__xludf.DUMMYFUNCTION("""COMPUTED_VALUE"""),5)</f>
        <v>5</v>
      </c>
      <c r="E4453" s="2">
        <f ca="1">IFERROR(__xludf.DUMMYFUNCTION("""COMPUTED_VALUE"""),2)</f>
        <v>2</v>
      </c>
    </row>
    <row r="4454" spans="1:5" ht="13">
      <c r="A4454" s="8" t="str">
        <f ca="1">IFERROR(__xludf.DUMMYFUNCTION("""COMPUTED_VALUE"""),"Klami, Uuno")</f>
        <v>Klami, Uuno</v>
      </c>
      <c r="B4454" s="3">
        <f ca="1">IFERROR(__xludf.DUMMYFUNCTION("""COMPUTED_VALUE"""),1)</f>
        <v>1</v>
      </c>
      <c r="C4454" s="7">
        <f ca="1">IFERROR(__xludf.DUMMYFUNCTION("""COMPUTED_VALUE"""),1)</f>
        <v>1</v>
      </c>
      <c r="D4454" s="8">
        <f ca="1">IFERROR(__xludf.DUMMYFUNCTION("""COMPUTED_VALUE"""),5)</f>
        <v>5</v>
      </c>
      <c r="E4454" s="2">
        <f ca="1">IFERROR(__xludf.DUMMYFUNCTION("""COMPUTED_VALUE"""),2)</f>
        <v>2</v>
      </c>
    </row>
    <row r="4455" spans="1:5" ht="13">
      <c r="A4455" s="2" t="str">
        <f ca="1">IFERROR(__xludf.DUMMYFUNCTION("""COMPUTED_VALUE"""),"Klammer, Edward")</f>
        <v>Klammer, Edward</v>
      </c>
      <c r="B4455" s="2">
        <f ca="1">IFERROR(__xludf.DUMMYFUNCTION("""COMPUTED_VALUE"""),1)</f>
        <v>1</v>
      </c>
      <c r="C4455" s="2">
        <f ca="1">IFERROR(__xludf.DUMMYFUNCTION("""COMPUTED_VALUE"""),1)</f>
        <v>1</v>
      </c>
      <c r="D4455" s="8">
        <f ca="1">IFERROR(__xludf.DUMMYFUNCTION("""COMPUTED_VALUE"""),5)</f>
        <v>5</v>
      </c>
      <c r="E4455" s="2">
        <f ca="1">IFERROR(__xludf.DUMMYFUNCTION("""COMPUTED_VALUE"""),2)</f>
        <v>2</v>
      </c>
    </row>
    <row r="4456" spans="1:5" ht="13">
      <c r="A4456" s="2" t="str">
        <f ca="1">IFERROR(__xludf.DUMMYFUNCTION("""COMPUTED_VALUE"""),"Klarfeld, Jair")</f>
        <v>Klarfeld, Jair</v>
      </c>
      <c r="B4456" s="3">
        <f ca="1">IFERROR(__xludf.DUMMYFUNCTION("""COMPUTED_VALUE"""),1)</f>
        <v>1</v>
      </c>
      <c r="C4456" s="7">
        <f ca="1">IFERROR(__xludf.DUMMYFUNCTION("""COMPUTED_VALUE"""),1)</f>
        <v>1</v>
      </c>
      <c r="D4456" s="8">
        <f ca="1">IFERROR(__xludf.DUMMYFUNCTION("""COMPUTED_VALUE"""),1)</f>
        <v>1</v>
      </c>
      <c r="E4456" s="2">
        <f ca="1">IFERROR(__xludf.DUMMYFUNCTION("""COMPUTED_VALUE"""),1)</f>
        <v>1</v>
      </c>
    </row>
    <row r="4457" spans="1:5" ht="13">
      <c r="A4457" s="2" t="str">
        <f ca="1">IFERROR(__xludf.DUMMYFUNCTION("""COMPUTED_VALUE"""),"Klarfield, Jair")</f>
        <v>Klarfield, Jair</v>
      </c>
      <c r="B4457" s="3">
        <f ca="1">IFERROR(__xludf.DUMMYFUNCTION("""COMPUTED_VALUE"""),1)</f>
        <v>1</v>
      </c>
      <c r="C4457" s="7">
        <f ca="1">IFERROR(__xludf.DUMMYFUNCTION("""COMPUTED_VALUE"""),1)</f>
        <v>1</v>
      </c>
      <c r="D4457" s="8">
        <f ca="1">IFERROR(__xludf.DUMMYFUNCTION("""COMPUTED_VALUE"""),1)</f>
        <v>1</v>
      </c>
      <c r="E4457" s="2">
        <f ca="1">IFERROR(__xludf.DUMMYFUNCTION("""COMPUTED_VALUE"""),1)</f>
        <v>1</v>
      </c>
    </row>
    <row r="4458" spans="1:5" ht="13">
      <c r="A4458" s="2" t="str">
        <f ca="1">IFERROR(__xludf.DUMMYFUNCTION("""COMPUTED_VALUE"""),"Klauss, Noah")</f>
        <v>Klauss, Noah</v>
      </c>
      <c r="B4458" s="3">
        <f ca="1">IFERROR(__xludf.DUMMYFUNCTION("""COMPUTED_VALUE"""),1)</f>
        <v>1</v>
      </c>
      <c r="C4458" s="7">
        <f ca="1">IFERROR(__xludf.DUMMYFUNCTION("""COMPUTED_VALUE"""),1)</f>
        <v>1</v>
      </c>
      <c r="D4458" s="8">
        <f ca="1">IFERROR(__xludf.DUMMYFUNCTION("""COMPUTED_VALUE"""),1)</f>
        <v>1</v>
      </c>
      <c r="E4458" s="2">
        <f ca="1">IFERROR(__xludf.DUMMYFUNCTION("""COMPUTED_VALUE"""),1)</f>
        <v>1</v>
      </c>
    </row>
    <row r="4459" spans="1:5" ht="13">
      <c r="A4459" s="2" t="str">
        <f ca="1">IFERROR(__xludf.DUMMYFUNCTION("""COMPUTED_VALUE"""),"Klebanow, Jack")</f>
        <v>Klebanow, Jack</v>
      </c>
      <c r="B4459" s="3">
        <f ca="1">IFERROR(__xludf.DUMMYFUNCTION("""COMPUTED_VALUE"""),1)</f>
        <v>1</v>
      </c>
      <c r="C4459" s="7">
        <f ca="1">IFERROR(__xludf.DUMMYFUNCTION("""COMPUTED_VALUE"""),1)</f>
        <v>1</v>
      </c>
      <c r="D4459" s="8">
        <f ca="1">IFERROR(__xludf.DUMMYFUNCTION("""COMPUTED_VALUE"""),1)</f>
        <v>1</v>
      </c>
      <c r="E4459" s="2">
        <f ca="1">IFERROR(__xludf.DUMMYFUNCTION("""COMPUTED_VALUE"""),1)</f>
        <v>1</v>
      </c>
    </row>
    <row r="4460" spans="1:5" ht="13">
      <c r="A4460" s="2" t="str">
        <f ca="1">IFERROR(__xludf.DUMMYFUNCTION("""COMPUTED_VALUE"""),"Klein, Gideon")</f>
        <v>Klein, Gideon</v>
      </c>
      <c r="B4460" s="3">
        <f ca="1">IFERROR(__xludf.DUMMYFUNCTION("""COMPUTED_VALUE"""),1)</f>
        <v>1</v>
      </c>
      <c r="C4460" s="7">
        <f ca="1">IFERROR(__xludf.DUMMYFUNCTION("""COMPUTED_VALUE"""),1)</f>
        <v>1</v>
      </c>
      <c r="D4460" s="8">
        <f ca="1">IFERROR(__xludf.DUMMYFUNCTION("""COMPUTED_VALUE"""),5)</f>
        <v>5</v>
      </c>
      <c r="E4460" s="2">
        <f ca="1">IFERROR(__xludf.DUMMYFUNCTION("""COMPUTED_VALUE"""),2)</f>
        <v>2</v>
      </c>
    </row>
    <row r="4461" spans="1:5" ht="13">
      <c r="A4461" s="8" t="str">
        <f ca="1">IFERROR(__xludf.DUMMYFUNCTION("""COMPUTED_VALUE"""),"Klein, Maynard")</f>
        <v>Klein, Maynard</v>
      </c>
      <c r="B4461" s="3">
        <f ca="1">IFERROR(__xludf.DUMMYFUNCTION("""COMPUTED_VALUE"""),1)</f>
        <v>1</v>
      </c>
      <c r="C4461" s="7">
        <f ca="1">IFERROR(__xludf.DUMMYFUNCTION("""COMPUTED_VALUE"""),1)</f>
        <v>1</v>
      </c>
      <c r="D4461" s="8">
        <f ca="1">IFERROR(__xludf.DUMMYFUNCTION("""COMPUTED_VALUE"""),5)</f>
        <v>5</v>
      </c>
      <c r="E4461" s="2">
        <f ca="1">IFERROR(__xludf.DUMMYFUNCTION("""COMPUTED_VALUE"""),2)</f>
        <v>2</v>
      </c>
    </row>
    <row r="4462" spans="1:5" ht="13">
      <c r="A4462" s="8" t="str">
        <f ca="1">IFERROR(__xludf.DUMMYFUNCTION("""COMPUTED_VALUE"""),"Klein, Randy")</f>
        <v>Klein, Randy</v>
      </c>
      <c r="B4462" s="3">
        <f ca="1">IFERROR(__xludf.DUMMYFUNCTION("""COMPUTED_VALUE"""),1)</f>
        <v>1</v>
      </c>
      <c r="C4462" s="7">
        <f ca="1">IFERROR(__xludf.DUMMYFUNCTION("""COMPUTED_VALUE"""),1)</f>
        <v>1</v>
      </c>
      <c r="D4462" s="8">
        <f ca="1">IFERROR(__xludf.DUMMYFUNCTION("""COMPUTED_VALUE"""),1)</f>
        <v>1</v>
      </c>
      <c r="E4462" s="2">
        <f ca="1">IFERROR(__xludf.DUMMYFUNCTION("""COMPUTED_VALUE"""),1)</f>
        <v>1</v>
      </c>
    </row>
    <row r="4463" spans="1:5" ht="13">
      <c r="A4463" s="2" t="str">
        <f ca="1">IFERROR(__xludf.DUMMYFUNCTION("""COMPUTED_VALUE"""),"Klein, Stephen")</f>
        <v>Klein, Stephen</v>
      </c>
      <c r="B4463" s="3">
        <f ca="1">IFERROR(__xludf.DUMMYFUNCTION("""COMPUTED_VALUE"""),1)</f>
        <v>1</v>
      </c>
      <c r="C4463" s="7">
        <f ca="1">IFERROR(__xludf.DUMMYFUNCTION("""COMPUTED_VALUE"""),1)</f>
        <v>1</v>
      </c>
      <c r="D4463" s="8">
        <f ca="1">IFERROR(__xludf.DUMMYFUNCTION("""COMPUTED_VALUE"""),1)</f>
        <v>1</v>
      </c>
      <c r="E4463" s="2">
        <f ca="1">IFERROR(__xludf.DUMMYFUNCTION("""COMPUTED_VALUE"""),1)</f>
        <v>1</v>
      </c>
    </row>
    <row r="4464" spans="1:5" ht="13">
      <c r="A4464" s="2" t="str">
        <f ca="1">IFERROR(__xludf.DUMMYFUNCTION("""COMPUTED_VALUE"""),"Kleinsinger, George")</f>
        <v>Kleinsinger, George</v>
      </c>
      <c r="B4464" s="3">
        <f ca="1">IFERROR(__xludf.DUMMYFUNCTION("""COMPUTED_VALUE"""),1)</f>
        <v>1</v>
      </c>
      <c r="C4464" s="7">
        <f ca="1">IFERROR(__xludf.DUMMYFUNCTION("""COMPUTED_VALUE"""),1)</f>
        <v>1</v>
      </c>
      <c r="D4464" s="8">
        <f ca="1">IFERROR(__xludf.DUMMYFUNCTION("""COMPUTED_VALUE"""),5)</f>
        <v>5</v>
      </c>
      <c r="E4464" s="2">
        <f ca="1">IFERROR(__xludf.DUMMYFUNCTION("""COMPUTED_VALUE"""),2)</f>
        <v>2</v>
      </c>
    </row>
    <row r="4465" spans="1:5" ht="13">
      <c r="A4465" s="2" t="str">
        <f ca="1">IFERROR(__xludf.DUMMYFUNCTION("""COMPUTED_VALUE"""),"Klemm, Gustav")</f>
        <v>Klemm, Gustav</v>
      </c>
      <c r="B4465" s="3">
        <f ca="1">IFERROR(__xludf.DUMMYFUNCTION("""COMPUTED_VALUE"""),1)</f>
        <v>1</v>
      </c>
      <c r="C4465" s="7">
        <f ca="1">IFERROR(__xludf.DUMMYFUNCTION("""COMPUTED_VALUE"""),1)</f>
        <v>1</v>
      </c>
      <c r="D4465" s="8">
        <f ca="1">IFERROR(__xludf.DUMMYFUNCTION("""COMPUTED_VALUE"""),5)</f>
        <v>5</v>
      </c>
      <c r="E4465" s="2">
        <f ca="1">IFERROR(__xludf.DUMMYFUNCTION("""COMPUTED_VALUE"""),2)</f>
        <v>2</v>
      </c>
    </row>
    <row r="4466" spans="1:5" ht="13">
      <c r="A4466" s="2" t="str">
        <f ca="1">IFERROR(__xludf.DUMMYFUNCTION("""COMPUTED_VALUE"""),"Klenner, John")</f>
        <v>Klenner, John</v>
      </c>
      <c r="B4466" s="3">
        <f ca="1">IFERROR(__xludf.DUMMYFUNCTION("""COMPUTED_VALUE"""),1)</f>
        <v>1</v>
      </c>
      <c r="C4466" s="7">
        <f ca="1">IFERROR(__xludf.DUMMYFUNCTION("""COMPUTED_VALUE"""),1)</f>
        <v>1</v>
      </c>
      <c r="D4466" s="8">
        <f ca="1">IFERROR(__xludf.DUMMYFUNCTION("""COMPUTED_VALUE"""),5)</f>
        <v>5</v>
      </c>
      <c r="E4466" s="2">
        <f ca="1">IFERROR(__xludf.DUMMYFUNCTION("""COMPUTED_VALUE"""),2)</f>
        <v>2</v>
      </c>
    </row>
    <row r="4467" spans="1:5" ht="13">
      <c r="A4467" s="2" t="str">
        <f ca="1">IFERROR(__xludf.DUMMYFUNCTION("""COMPUTED_VALUE"""),"Klenner, John / Lewis, Sam")</f>
        <v>Klenner, John / Lewis, Sam</v>
      </c>
      <c r="B4467" s="2">
        <f ca="1">IFERROR(__xludf.DUMMYFUNCTION("""COMPUTED_VALUE"""),1)</f>
        <v>1</v>
      </c>
      <c r="C4467" s="7">
        <f ca="1">IFERROR(__xludf.DUMMYFUNCTION("""COMPUTED_VALUE"""),1)</f>
        <v>1</v>
      </c>
      <c r="D4467" s="8">
        <f ca="1">IFERROR(__xludf.DUMMYFUNCTION("""COMPUTED_VALUE"""),5)</f>
        <v>5</v>
      </c>
      <c r="E4467" s="2">
        <f ca="1">IFERROR(__xludf.DUMMYFUNCTION("""COMPUTED_VALUE"""),2)</f>
        <v>2</v>
      </c>
    </row>
    <row r="4468" spans="1:5" ht="13">
      <c r="A4468" s="2" t="str">
        <f ca="1">IFERROR(__xludf.DUMMYFUNCTION("""COMPUTED_VALUE"""),"Klickmann, F.H.")</f>
        <v>Klickmann, F.H.</v>
      </c>
      <c r="B4468" s="3">
        <f ca="1">IFERROR(__xludf.DUMMYFUNCTION("""COMPUTED_VALUE"""),1)</f>
        <v>1</v>
      </c>
      <c r="C4468" s="7">
        <f ca="1">IFERROR(__xludf.DUMMYFUNCTION("""COMPUTED_VALUE"""),1)</f>
        <v>1</v>
      </c>
      <c r="D4468" s="8">
        <f ca="1">IFERROR(__xludf.DUMMYFUNCTION("""COMPUTED_VALUE"""),5)</f>
        <v>5</v>
      </c>
      <c r="E4468" s="2">
        <f ca="1">IFERROR(__xludf.DUMMYFUNCTION("""COMPUTED_VALUE"""),2)</f>
        <v>2</v>
      </c>
    </row>
    <row r="4469" spans="1:5" ht="13">
      <c r="A4469" s="2" t="str">
        <f ca="1">IFERROR(__xludf.DUMMYFUNCTION("""COMPUTED_VALUE"""),"Klimek, Jens")</f>
        <v>Klimek, Jens</v>
      </c>
      <c r="B4469" s="3">
        <f ca="1">IFERROR(__xludf.DUMMYFUNCTION("""COMPUTED_VALUE"""),1)</f>
        <v>1</v>
      </c>
      <c r="C4469" s="7">
        <f ca="1">IFERROR(__xludf.DUMMYFUNCTION("""COMPUTED_VALUE"""),1)</f>
        <v>1</v>
      </c>
      <c r="D4469" s="8">
        <f ca="1">IFERROR(__xludf.DUMMYFUNCTION("""COMPUTED_VALUE"""),1)</f>
        <v>1</v>
      </c>
      <c r="E4469" s="2">
        <f ca="1">IFERROR(__xludf.DUMMYFUNCTION("""COMPUTED_VALUE"""),1)</f>
        <v>1</v>
      </c>
    </row>
    <row r="4470" spans="1:5" ht="13">
      <c r="A4470" s="2" t="str">
        <f ca="1">IFERROR(__xludf.DUMMYFUNCTION("""COMPUTED_VALUE"""),"Kling, Henri")</f>
        <v>Kling, Henri</v>
      </c>
      <c r="B4470" s="3">
        <f ca="1">IFERROR(__xludf.DUMMYFUNCTION("""COMPUTED_VALUE"""),1)</f>
        <v>1</v>
      </c>
      <c r="C4470" s="7">
        <f ca="1">IFERROR(__xludf.DUMMYFUNCTION("""COMPUTED_VALUE"""),1)</f>
        <v>1</v>
      </c>
      <c r="D4470" s="8">
        <f ca="1">IFERROR(__xludf.DUMMYFUNCTION("""COMPUTED_VALUE"""),5)</f>
        <v>5</v>
      </c>
      <c r="E4470" s="2">
        <f ca="1">IFERROR(__xludf.DUMMYFUNCTION("""COMPUTED_VALUE"""),2)</f>
        <v>2</v>
      </c>
    </row>
    <row r="4471" spans="1:5" ht="13">
      <c r="A4471" s="2" t="str">
        <f ca="1">IFERROR(__xludf.DUMMYFUNCTION("""COMPUTED_VALUE"""),"Klink, Sean")</f>
        <v>Klink, Sean</v>
      </c>
      <c r="B4471" s="3">
        <f ca="1">IFERROR(__xludf.DUMMYFUNCTION("""COMPUTED_VALUE"""),1)</f>
        <v>1</v>
      </c>
      <c r="C4471" s="7">
        <f ca="1">IFERROR(__xludf.DUMMYFUNCTION("""COMPUTED_VALUE"""),1)</f>
        <v>1</v>
      </c>
      <c r="D4471" s="8">
        <f ca="1">IFERROR(__xludf.DUMMYFUNCTION("""COMPUTED_VALUE"""),1)</f>
        <v>1</v>
      </c>
      <c r="E4471" s="2">
        <f ca="1">IFERROR(__xludf.DUMMYFUNCTION("""COMPUTED_VALUE"""),1)</f>
        <v>1</v>
      </c>
    </row>
    <row r="4472" spans="1:5" ht="13">
      <c r="A4472" s="2" t="str">
        <f ca="1">IFERROR(__xludf.DUMMYFUNCTION("""COMPUTED_VALUE"""),"Klock, David")</f>
        <v>Klock, David</v>
      </c>
      <c r="B4472" s="2">
        <f ca="1">IFERROR(__xludf.DUMMYFUNCTION("""COMPUTED_VALUE"""),1)</f>
        <v>1</v>
      </c>
      <c r="C4472" s="7">
        <f ca="1">IFERROR(__xludf.DUMMYFUNCTION("""COMPUTED_VALUE"""),1)</f>
        <v>1</v>
      </c>
      <c r="D4472" s="8">
        <f ca="1">IFERROR(__xludf.DUMMYFUNCTION("""COMPUTED_VALUE"""),1)</f>
        <v>1</v>
      </c>
      <c r="E4472" s="2">
        <f ca="1">IFERROR(__xludf.DUMMYFUNCTION("""COMPUTED_VALUE"""),1)</f>
        <v>1</v>
      </c>
    </row>
    <row r="4473" spans="1:5" ht="13">
      <c r="A4473" s="2" t="str">
        <f ca="1">IFERROR(__xludf.DUMMYFUNCTION("""COMPUTED_VALUE"""),"Klohr, John")</f>
        <v>Klohr, John</v>
      </c>
      <c r="B4473" s="3">
        <f ca="1">IFERROR(__xludf.DUMMYFUNCTION("""COMPUTED_VALUE"""),1)</f>
        <v>1</v>
      </c>
      <c r="C4473" s="7">
        <f ca="1">IFERROR(__xludf.DUMMYFUNCTION("""COMPUTED_VALUE"""),1)</f>
        <v>1</v>
      </c>
      <c r="D4473" s="8">
        <f ca="1">IFERROR(__xludf.DUMMYFUNCTION("""COMPUTED_VALUE"""),5)</f>
        <v>5</v>
      </c>
      <c r="E4473" s="2">
        <f ca="1">IFERROR(__xludf.DUMMYFUNCTION("""COMPUTED_VALUE"""),2)</f>
        <v>2</v>
      </c>
    </row>
    <row r="4474" spans="1:5" ht="13">
      <c r="A4474" s="2" t="str">
        <f ca="1">IFERROR(__xludf.DUMMYFUNCTION("""COMPUTED_VALUE"""),"Klohr, John N.")</f>
        <v>Klohr, John N.</v>
      </c>
      <c r="B4474" s="3">
        <f ca="1">IFERROR(__xludf.DUMMYFUNCTION("""COMPUTED_VALUE"""),1)</f>
        <v>1</v>
      </c>
      <c r="C4474" s="7">
        <f ca="1">IFERROR(__xludf.DUMMYFUNCTION("""COMPUTED_VALUE"""),1)</f>
        <v>1</v>
      </c>
      <c r="D4474" s="8">
        <f ca="1">IFERROR(__xludf.DUMMYFUNCTION("""COMPUTED_VALUE"""),5)</f>
        <v>5</v>
      </c>
      <c r="E4474" s="2">
        <f ca="1">IFERROR(__xludf.DUMMYFUNCTION("""COMPUTED_VALUE"""),2)</f>
        <v>2</v>
      </c>
    </row>
    <row r="4475" spans="1:5" ht="13">
      <c r="A4475" s="2" t="str">
        <f ca="1">IFERROR(__xludf.DUMMYFUNCTION("""COMPUTED_VALUE"""),"Klohs, Matt")</f>
        <v>Klohs, Matt</v>
      </c>
      <c r="B4475" s="2">
        <f ca="1">IFERROR(__xludf.DUMMYFUNCTION("""COMPUTED_VALUE"""),1)</f>
        <v>1</v>
      </c>
      <c r="C4475" s="7">
        <f ca="1">IFERROR(__xludf.DUMMYFUNCTION("""COMPUTED_VALUE"""),1)</f>
        <v>1</v>
      </c>
      <c r="D4475" s="8">
        <f ca="1">IFERROR(__xludf.DUMMYFUNCTION("""COMPUTED_VALUE"""),1)</f>
        <v>1</v>
      </c>
      <c r="E4475" s="2">
        <f ca="1">IFERROR(__xludf.DUMMYFUNCTION("""COMPUTED_VALUE"""),1)</f>
        <v>1</v>
      </c>
    </row>
    <row r="4476" spans="1:5" ht="13">
      <c r="A4476" s="8" t="str">
        <f ca="1">IFERROR(__xludf.DUMMYFUNCTION("""COMPUTED_VALUE"""),"Klosé, Hyacinthe Eléonore")</f>
        <v>Klosé, Hyacinthe Eléonore</v>
      </c>
      <c r="B4476" s="3">
        <f ca="1">IFERROR(__xludf.DUMMYFUNCTION("""COMPUTED_VALUE"""),1)</f>
        <v>1</v>
      </c>
      <c r="C4476" s="7">
        <f ca="1">IFERROR(__xludf.DUMMYFUNCTION("""COMPUTED_VALUE"""),1)</f>
        <v>1</v>
      </c>
      <c r="D4476" s="8">
        <f ca="1">IFERROR(__xludf.DUMMYFUNCTION("""COMPUTED_VALUE"""),5)</f>
        <v>5</v>
      </c>
      <c r="E4476" s="2">
        <f ca="1">IFERROR(__xludf.DUMMYFUNCTION("""COMPUTED_VALUE"""),2)</f>
        <v>2</v>
      </c>
    </row>
    <row r="4477" spans="1:5" ht="13">
      <c r="A4477" s="2" t="str">
        <f ca="1">IFERROR(__xludf.DUMMYFUNCTION("""COMPUTED_VALUE"""),"Klotman, Robert")</f>
        <v>Klotman, Robert</v>
      </c>
      <c r="B4477" s="3">
        <f ca="1">IFERROR(__xludf.DUMMYFUNCTION("""COMPUTED_VALUE"""),1)</f>
        <v>1</v>
      </c>
      <c r="C4477" s="7">
        <f ca="1">IFERROR(__xludf.DUMMYFUNCTION("""COMPUTED_VALUE"""),1)</f>
        <v>1</v>
      </c>
      <c r="D4477" s="8">
        <f ca="1">IFERROR(__xludf.DUMMYFUNCTION("""COMPUTED_VALUE"""),1)</f>
        <v>1</v>
      </c>
      <c r="E4477" s="2">
        <f ca="1">IFERROR(__xludf.DUMMYFUNCTION("""COMPUTED_VALUE"""),1)</f>
        <v>1</v>
      </c>
    </row>
    <row r="4478" spans="1:5" ht="13">
      <c r="A4478" s="2" t="str">
        <f ca="1">IFERROR(__xludf.DUMMYFUNCTION("""COMPUTED_VALUE"""),"Klughardt, August")</f>
        <v>Klughardt, August</v>
      </c>
      <c r="B4478" s="2">
        <f ca="1">IFERROR(__xludf.DUMMYFUNCTION("""COMPUTED_VALUE"""),1)</f>
        <v>1</v>
      </c>
      <c r="C4478" s="7">
        <f ca="1">IFERROR(__xludf.DUMMYFUNCTION("""COMPUTED_VALUE"""),1)</f>
        <v>1</v>
      </c>
      <c r="D4478" s="8">
        <f ca="1">IFERROR(__xludf.DUMMYFUNCTION("""COMPUTED_VALUE"""),5)</f>
        <v>5</v>
      </c>
      <c r="E4478" s="2">
        <f ca="1">IFERROR(__xludf.DUMMYFUNCTION("""COMPUTED_VALUE"""),2)</f>
        <v>2</v>
      </c>
    </row>
    <row r="4479" spans="1:5" ht="13">
      <c r="A4479" s="2" t="str">
        <f ca="1">IFERROR(__xludf.DUMMYFUNCTION("""COMPUTED_VALUE"""),"Knaggs, Daniel")</f>
        <v>Knaggs, Daniel</v>
      </c>
      <c r="B4479" s="2">
        <f ca="1">IFERROR(__xludf.DUMMYFUNCTION("""COMPUTED_VALUE"""),1)</f>
        <v>1</v>
      </c>
      <c r="C4479" s="7">
        <f ca="1">IFERROR(__xludf.DUMMYFUNCTION("""COMPUTED_VALUE"""),1)</f>
        <v>1</v>
      </c>
      <c r="D4479" s="8">
        <f ca="1">IFERROR(__xludf.DUMMYFUNCTION("""COMPUTED_VALUE"""),1)</f>
        <v>1</v>
      </c>
      <c r="E4479" s="2">
        <f ca="1">IFERROR(__xludf.DUMMYFUNCTION("""COMPUTED_VALUE"""),1)</f>
        <v>1</v>
      </c>
    </row>
    <row r="4480" spans="1:5" ht="13">
      <c r="A4480" s="2" t="str">
        <f ca="1">IFERROR(__xludf.DUMMYFUNCTION("""COMPUTED_VALUE"""),"Knauf, Greg")</f>
        <v>Knauf, Greg</v>
      </c>
      <c r="B4480" s="2">
        <f ca="1">IFERROR(__xludf.DUMMYFUNCTION("""COMPUTED_VALUE"""),1)</f>
        <v>1</v>
      </c>
      <c r="C4480" s="7">
        <f ca="1">IFERROR(__xludf.DUMMYFUNCTION("""COMPUTED_VALUE"""),1)</f>
        <v>1</v>
      </c>
      <c r="D4480" s="8">
        <f ca="1">IFERROR(__xludf.DUMMYFUNCTION("""COMPUTED_VALUE"""),1)</f>
        <v>1</v>
      </c>
      <c r="E4480" s="2">
        <f ca="1">IFERROR(__xludf.DUMMYFUNCTION("""COMPUTED_VALUE"""),1)</f>
        <v>1</v>
      </c>
    </row>
    <row r="4481" spans="1:5" ht="13">
      <c r="A4481" s="8" t="str">
        <f ca="1">IFERROR(__xludf.DUMMYFUNCTION("""COMPUTED_VALUE"""),"Knecht, Kurt")</f>
        <v>Knecht, Kurt</v>
      </c>
      <c r="B4481" s="3">
        <f ca="1">IFERROR(__xludf.DUMMYFUNCTION("""COMPUTED_VALUE"""),1)</f>
        <v>1</v>
      </c>
      <c r="C4481" s="7">
        <f ca="1">IFERROR(__xludf.DUMMYFUNCTION("""COMPUTED_VALUE"""),1)</f>
        <v>1</v>
      </c>
      <c r="D4481" s="8">
        <f ca="1">IFERROR(__xludf.DUMMYFUNCTION("""COMPUTED_VALUE"""),1)</f>
        <v>1</v>
      </c>
      <c r="E4481" s="2">
        <f ca="1">IFERROR(__xludf.DUMMYFUNCTION("""COMPUTED_VALUE"""),1)</f>
        <v>1</v>
      </c>
    </row>
    <row r="4482" spans="1:5" ht="13">
      <c r="A4482" s="2" t="str">
        <f ca="1">IFERROR(__xludf.DUMMYFUNCTION("""COMPUTED_VALUE"""),"Knechtges, Eric")</f>
        <v>Knechtges, Eric</v>
      </c>
      <c r="B4482" s="3">
        <f ca="1">IFERROR(__xludf.DUMMYFUNCTION("""COMPUTED_VALUE"""),1)</f>
        <v>1</v>
      </c>
      <c r="C4482" s="7">
        <f ca="1">IFERROR(__xludf.DUMMYFUNCTION("""COMPUTED_VALUE"""),1)</f>
        <v>1</v>
      </c>
      <c r="D4482" s="8">
        <f ca="1">IFERROR(__xludf.DUMMYFUNCTION("""COMPUTED_VALUE"""),1)</f>
        <v>1</v>
      </c>
      <c r="E4482" s="2">
        <f ca="1">IFERROR(__xludf.DUMMYFUNCTION("""COMPUTED_VALUE"""),1)</f>
        <v>1</v>
      </c>
    </row>
    <row r="4483" spans="1:5" ht="13">
      <c r="A4483" s="2" t="str">
        <f ca="1">IFERROR(__xludf.DUMMYFUNCTION("""COMPUTED_VALUE"""),"Knific, Tom")</f>
        <v>Knific, Tom</v>
      </c>
      <c r="B4483" s="2">
        <f ca="1">IFERROR(__xludf.DUMMYFUNCTION("""COMPUTED_VALUE"""),1)</f>
        <v>1</v>
      </c>
      <c r="C4483" s="2">
        <f ca="1">IFERROR(__xludf.DUMMYFUNCTION("""COMPUTED_VALUE"""),1)</f>
        <v>1</v>
      </c>
      <c r="D4483" s="8">
        <f ca="1">IFERROR(__xludf.DUMMYFUNCTION("""COMPUTED_VALUE"""),1)</f>
        <v>1</v>
      </c>
      <c r="E4483" s="2">
        <f ca="1">IFERROR(__xludf.DUMMYFUNCTION("""COMPUTED_VALUE"""),1)</f>
        <v>1</v>
      </c>
    </row>
    <row r="4484" spans="1:5" ht="13">
      <c r="A4484" s="2" t="str">
        <f ca="1">IFERROR(__xludf.DUMMYFUNCTION("""COMPUTED_VALUE"""),"Knight, Bradley")</f>
        <v>Knight, Bradley</v>
      </c>
      <c r="B4484" s="3">
        <f ca="1">IFERROR(__xludf.DUMMYFUNCTION("""COMPUTED_VALUE"""),1)</f>
        <v>1</v>
      </c>
      <c r="C4484" s="7">
        <f ca="1">IFERROR(__xludf.DUMMYFUNCTION("""COMPUTED_VALUE"""),1)</f>
        <v>1</v>
      </c>
      <c r="D4484" s="8">
        <f ca="1">IFERROR(__xludf.DUMMYFUNCTION("""COMPUTED_VALUE"""),1)</f>
        <v>1</v>
      </c>
      <c r="E4484" s="2">
        <f ca="1">IFERROR(__xludf.DUMMYFUNCTION("""COMPUTED_VALUE"""),1)</f>
        <v>1</v>
      </c>
    </row>
    <row r="4485" spans="1:5" ht="13">
      <c r="A4485" s="2" t="str">
        <f ca="1">IFERROR(__xludf.DUMMYFUNCTION("""COMPUTED_VALUE"""),"Knight, Edward")</f>
        <v>Knight, Edward</v>
      </c>
      <c r="B4485" s="3">
        <f ca="1">IFERROR(__xludf.DUMMYFUNCTION("""COMPUTED_VALUE"""),1)</f>
        <v>1</v>
      </c>
      <c r="C4485" s="7">
        <f ca="1">IFERROR(__xludf.DUMMYFUNCTION("""COMPUTED_VALUE"""),1)</f>
        <v>1</v>
      </c>
      <c r="D4485" s="8">
        <f ca="1">IFERROR(__xludf.DUMMYFUNCTION("""COMPUTED_VALUE"""),1)</f>
        <v>1</v>
      </c>
      <c r="E4485" s="2">
        <f ca="1">IFERROR(__xludf.DUMMYFUNCTION("""COMPUTED_VALUE"""),1)</f>
        <v>1</v>
      </c>
    </row>
    <row r="4486" spans="1:5" ht="13">
      <c r="A4486" s="2" t="str">
        <f ca="1">IFERROR(__xludf.DUMMYFUNCTION("""COMPUTED_VALUE"""),"Knight, Gerald")</f>
        <v>Knight, Gerald</v>
      </c>
      <c r="B4486" s="2">
        <f ca="1">IFERROR(__xludf.DUMMYFUNCTION("""COMPUTED_VALUE"""),1)</f>
        <v>1</v>
      </c>
      <c r="C4486" s="2">
        <f ca="1">IFERROR(__xludf.DUMMYFUNCTION("""COMPUTED_VALUE"""),1)</f>
        <v>1</v>
      </c>
      <c r="D4486" s="8">
        <f ca="1">IFERROR(__xludf.DUMMYFUNCTION("""COMPUTED_VALUE"""),5)</f>
        <v>5</v>
      </c>
      <c r="E4486" s="2">
        <f ca="1">IFERROR(__xludf.DUMMYFUNCTION("""COMPUTED_VALUE"""),2)</f>
        <v>2</v>
      </c>
    </row>
    <row r="4487" spans="1:5" ht="13">
      <c r="A4487" s="2" t="str">
        <f ca="1">IFERROR(__xludf.DUMMYFUNCTION("""COMPUTED_VALUE"""),"Knight, Mel")</f>
        <v>Knight, Mel</v>
      </c>
      <c r="B4487" s="3">
        <f ca="1">IFERROR(__xludf.DUMMYFUNCTION("""COMPUTED_VALUE"""),1)</f>
        <v>1</v>
      </c>
      <c r="C4487" s="7">
        <f ca="1">IFERROR(__xludf.DUMMYFUNCTION("""COMPUTED_VALUE"""),1)</f>
        <v>1</v>
      </c>
      <c r="D4487" s="8">
        <f ca="1">IFERROR(__xludf.DUMMYFUNCTION("""COMPUTED_VALUE"""),5)</f>
        <v>5</v>
      </c>
      <c r="E4487" s="2">
        <f ca="1">IFERROR(__xludf.DUMMYFUNCTION("""COMPUTED_VALUE"""),2)</f>
        <v>2</v>
      </c>
    </row>
    <row r="4488" spans="1:5" ht="13">
      <c r="A4488" s="2" t="str">
        <f ca="1">IFERROR(__xludf.DUMMYFUNCTION("""COMPUTED_VALUE"""),"Knight, Peter")</f>
        <v>Knight, Peter</v>
      </c>
      <c r="B4488" s="3">
        <f ca="1">IFERROR(__xludf.DUMMYFUNCTION("""COMPUTED_VALUE"""),1)</f>
        <v>1</v>
      </c>
      <c r="C4488" s="7">
        <f ca="1">IFERROR(__xludf.DUMMYFUNCTION("""COMPUTED_VALUE"""),1)</f>
        <v>1</v>
      </c>
      <c r="D4488" s="8">
        <f ca="1">IFERROR(__xludf.DUMMYFUNCTION("""COMPUTED_VALUE"""),5)</f>
        <v>5</v>
      </c>
      <c r="E4488" s="2">
        <f ca="1">IFERROR(__xludf.DUMMYFUNCTION("""COMPUTED_VALUE"""),2)</f>
        <v>2</v>
      </c>
    </row>
    <row r="4489" spans="1:5" ht="13">
      <c r="A4489" s="2" t="str">
        <f ca="1">IFERROR(__xludf.DUMMYFUNCTION("""COMPUTED_VALUE"""),"Knight, Steven")</f>
        <v>Knight, Steven</v>
      </c>
      <c r="B4489" s="3">
        <f ca="1">IFERROR(__xludf.DUMMYFUNCTION("""COMPUTED_VALUE"""),1)</f>
        <v>1</v>
      </c>
      <c r="C4489" s="7">
        <f ca="1">IFERROR(__xludf.DUMMYFUNCTION("""COMPUTED_VALUE"""),1)</f>
        <v>1</v>
      </c>
      <c r="D4489" s="8">
        <f ca="1">IFERROR(__xludf.DUMMYFUNCTION("""COMPUTED_VALUE"""),1)</f>
        <v>1</v>
      </c>
      <c r="E4489" s="2">
        <f ca="1">IFERROR(__xludf.DUMMYFUNCTION("""COMPUTED_VALUE"""),1)</f>
        <v>1</v>
      </c>
    </row>
    <row r="4490" spans="1:5" ht="13">
      <c r="A4490" s="2" t="str">
        <f ca="1">IFERROR(__xludf.DUMMYFUNCTION("""COMPUTED_VALUE"""),"Knighton, Simon")</f>
        <v>Knighton, Simon</v>
      </c>
      <c r="B4490" s="3">
        <f ca="1">IFERROR(__xludf.DUMMYFUNCTION("""COMPUTED_VALUE"""),1)</f>
        <v>1</v>
      </c>
      <c r="C4490" s="7">
        <f ca="1">IFERROR(__xludf.DUMMYFUNCTION("""COMPUTED_VALUE"""),1)</f>
        <v>1</v>
      </c>
      <c r="D4490" s="8">
        <f ca="1">IFERROR(__xludf.DUMMYFUNCTION("""COMPUTED_VALUE"""),1)</f>
        <v>1</v>
      </c>
      <c r="E4490" s="2">
        <f ca="1">IFERROR(__xludf.DUMMYFUNCTION("""COMPUTED_VALUE"""),1)</f>
        <v>1</v>
      </c>
    </row>
    <row r="4491" spans="1:5" ht="13">
      <c r="A4491" s="8" t="str">
        <f ca="1">IFERROR(__xludf.DUMMYFUNCTION("""COMPUTED_VALUE"""),"Knipper, Lev")</f>
        <v>Knipper, Lev</v>
      </c>
      <c r="B4491" s="3">
        <f ca="1">IFERROR(__xludf.DUMMYFUNCTION("""COMPUTED_VALUE"""),1)</f>
        <v>1</v>
      </c>
      <c r="C4491" s="7">
        <f ca="1">IFERROR(__xludf.DUMMYFUNCTION("""COMPUTED_VALUE"""),1)</f>
        <v>1</v>
      </c>
      <c r="D4491" s="8">
        <f ca="1">IFERROR(__xludf.DUMMYFUNCTION("""COMPUTED_VALUE"""),5)</f>
        <v>5</v>
      </c>
      <c r="E4491" s="2">
        <f ca="1">IFERROR(__xludf.DUMMYFUNCTION("""COMPUTED_VALUE"""),2)</f>
        <v>2</v>
      </c>
    </row>
    <row r="4492" spans="1:5" ht="13">
      <c r="A4492" s="2" t="str">
        <f ca="1">IFERROR(__xludf.DUMMYFUNCTION("""COMPUTED_VALUE"""),"Knoeckel, Edward")</f>
        <v>Knoeckel, Edward</v>
      </c>
      <c r="B4492" s="3">
        <f ca="1">IFERROR(__xludf.DUMMYFUNCTION("""COMPUTED_VALUE"""),1)</f>
        <v>1</v>
      </c>
      <c r="C4492" s="7">
        <f ca="1">IFERROR(__xludf.DUMMYFUNCTION("""COMPUTED_VALUE"""),1)</f>
        <v>1</v>
      </c>
      <c r="D4492" s="8">
        <f ca="1">IFERROR(__xludf.DUMMYFUNCTION("""COMPUTED_VALUE"""),1)</f>
        <v>1</v>
      </c>
      <c r="E4492" s="2">
        <f ca="1">IFERROR(__xludf.DUMMYFUNCTION("""COMPUTED_VALUE"""),1)</f>
        <v>1</v>
      </c>
    </row>
    <row r="4493" spans="1:5" ht="13">
      <c r="A4493" s="2" t="str">
        <f ca="1">IFERROR(__xludf.DUMMYFUNCTION("""COMPUTED_VALUE"""),"Knoener, Ronald")</f>
        <v>Knoener, Ronald</v>
      </c>
      <c r="B4493" s="3">
        <f ca="1">IFERROR(__xludf.DUMMYFUNCTION("""COMPUTED_VALUE"""),1)</f>
        <v>1</v>
      </c>
      <c r="C4493" s="7">
        <f ca="1">IFERROR(__xludf.DUMMYFUNCTION("""COMPUTED_VALUE"""),1)</f>
        <v>1</v>
      </c>
      <c r="D4493" s="8">
        <f ca="1">IFERROR(__xludf.DUMMYFUNCTION("""COMPUTED_VALUE"""),1)</f>
        <v>1</v>
      </c>
      <c r="E4493" s="2">
        <f ca="1">IFERROR(__xludf.DUMMYFUNCTION("""COMPUTED_VALUE"""),1)</f>
        <v>1</v>
      </c>
    </row>
    <row r="4494" spans="1:5" ht="13">
      <c r="A4494" s="2" t="str">
        <f ca="1">IFERROR(__xludf.DUMMYFUNCTION("""COMPUTED_VALUE"""),"Knoener, Ronald C.")</f>
        <v>Knoener, Ronald C.</v>
      </c>
      <c r="B4494" s="3">
        <f ca="1">IFERROR(__xludf.DUMMYFUNCTION("""COMPUTED_VALUE"""),1)</f>
        <v>1</v>
      </c>
      <c r="C4494" s="7">
        <f ca="1">IFERROR(__xludf.DUMMYFUNCTION("""COMPUTED_VALUE"""),1)</f>
        <v>1</v>
      </c>
      <c r="D4494" s="8">
        <f ca="1">IFERROR(__xludf.DUMMYFUNCTION("""COMPUTED_VALUE"""),5)</f>
        <v>5</v>
      </c>
      <c r="E4494" s="2">
        <f ca="1">IFERROR(__xludf.DUMMYFUNCTION("""COMPUTED_VALUE"""),2)</f>
        <v>2</v>
      </c>
    </row>
    <row r="4495" spans="1:5" ht="13">
      <c r="A4495" s="8" t="str">
        <f ca="1">IFERROR(__xludf.DUMMYFUNCTION("""COMPUTED_VALUE"""),"Knopfler, Mark")</f>
        <v>Knopfler, Mark</v>
      </c>
      <c r="B4495" s="3">
        <f ca="1">IFERROR(__xludf.DUMMYFUNCTION("""COMPUTED_VALUE"""),1)</f>
        <v>1</v>
      </c>
      <c r="C4495" s="7">
        <f ca="1">IFERROR(__xludf.DUMMYFUNCTION("""COMPUTED_VALUE"""),1)</f>
        <v>1</v>
      </c>
      <c r="D4495" s="8">
        <f ca="1">IFERROR(__xludf.DUMMYFUNCTION("""COMPUTED_VALUE"""),1)</f>
        <v>1</v>
      </c>
      <c r="E4495" s="2">
        <f ca="1">IFERROR(__xludf.DUMMYFUNCTION("""COMPUTED_VALUE"""),1)</f>
        <v>1</v>
      </c>
    </row>
    <row r="4496" spans="1:5" ht="13">
      <c r="A4496" s="2" t="str">
        <f ca="1">IFERROR(__xludf.DUMMYFUNCTION("""COMPUTED_VALUE"""),"Knorr, Geoff")</f>
        <v>Knorr, Geoff</v>
      </c>
      <c r="B4496" s="3">
        <f ca="1">IFERROR(__xludf.DUMMYFUNCTION("""COMPUTED_VALUE"""),1)</f>
        <v>1</v>
      </c>
      <c r="C4496" s="7">
        <f ca="1">IFERROR(__xludf.DUMMYFUNCTION("""COMPUTED_VALUE"""),1)</f>
        <v>1</v>
      </c>
      <c r="D4496" s="8">
        <f ca="1">IFERROR(__xludf.DUMMYFUNCTION("""COMPUTED_VALUE"""),1)</f>
        <v>1</v>
      </c>
      <c r="E4496" s="2">
        <f ca="1">IFERROR(__xludf.DUMMYFUNCTION("""COMPUTED_VALUE"""),1)</f>
        <v>1</v>
      </c>
    </row>
    <row r="4497" spans="1:5" ht="13">
      <c r="A4497" s="2" t="str">
        <f ca="1">IFERROR(__xludf.DUMMYFUNCTION("""COMPUTED_VALUE"""),"Knox, Garth")</f>
        <v>Knox, Garth</v>
      </c>
      <c r="B4497" s="2">
        <f ca="1">IFERROR(__xludf.DUMMYFUNCTION("""COMPUTED_VALUE"""),1)</f>
        <v>1</v>
      </c>
      <c r="C4497" s="7">
        <f ca="1">IFERROR(__xludf.DUMMYFUNCTION("""COMPUTED_VALUE"""),1)</f>
        <v>1</v>
      </c>
      <c r="D4497" s="8">
        <f ca="1">IFERROR(__xludf.DUMMYFUNCTION("""COMPUTED_VALUE"""),1)</f>
        <v>1</v>
      </c>
      <c r="E4497" s="2">
        <f ca="1">IFERROR(__xludf.DUMMYFUNCTION("""COMPUTED_VALUE"""),1)</f>
        <v>1</v>
      </c>
    </row>
    <row r="4498" spans="1:5" ht="13">
      <c r="A4498" s="2" t="str">
        <f ca="1">IFERROR(__xludf.DUMMYFUNCTION("""COMPUTED_VALUE"""),"Knox, John")</f>
        <v>Knox, John</v>
      </c>
      <c r="B4498" s="2">
        <f ca="1">IFERROR(__xludf.DUMMYFUNCTION("""COMPUTED_VALUE"""),1)</f>
        <v>1</v>
      </c>
      <c r="C4498" s="7">
        <f ca="1">IFERROR(__xludf.DUMMYFUNCTION("""COMPUTED_VALUE"""),1)</f>
        <v>1</v>
      </c>
      <c r="D4498" s="8">
        <f ca="1">IFERROR(__xludf.DUMMYFUNCTION("""COMPUTED_VALUE"""),5)</f>
        <v>5</v>
      </c>
      <c r="E4498" s="2">
        <f ca="1">IFERROR(__xludf.DUMMYFUNCTION("""COMPUTED_VALUE"""),2)</f>
        <v>2</v>
      </c>
    </row>
    <row r="4499" spans="1:5" ht="13">
      <c r="A4499" s="2" t="str">
        <f ca="1">IFERROR(__xludf.DUMMYFUNCTION("""COMPUTED_VALUE"""),"Knox, Thomas")</f>
        <v>Knox, Thomas</v>
      </c>
      <c r="B4499" s="3">
        <f ca="1">IFERROR(__xludf.DUMMYFUNCTION("""COMPUTED_VALUE"""),1)</f>
        <v>1</v>
      </c>
      <c r="C4499" s="7">
        <f ca="1">IFERROR(__xludf.DUMMYFUNCTION("""COMPUTED_VALUE"""),1)</f>
        <v>1</v>
      </c>
      <c r="D4499" s="8">
        <f ca="1">IFERROR(__xludf.DUMMYFUNCTION("""COMPUTED_VALUE"""),5)</f>
        <v>5</v>
      </c>
      <c r="E4499" s="2">
        <f ca="1">IFERROR(__xludf.DUMMYFUNCTION("""COMPUTED_VALUE"""),2)</f>
        <v>2</v>
      </c>
    </row>
    <row r="4500" spans="1:5" ht="13">
      <c r="A4500" s="2" t="str">
        <f ca="1">IFERROR(__xludf.DUMMYFUNCTION("""COMPUTED_VALUE"""),"Knussen, Oliver")</f>
        <v>Knussen, Oliver</v>
      </c>
      <c r="B4500" s="3">
        <f ca="1">IFERROR(__xludf.DUMMYFUNCTION("""COMPUTED_VALUE"""),1)</f>
        <v>1</v>
      </c>
      <c r="C4500" s="7">
        <f ca="1">IFERROR(__xludf.DUMMYFUNCTION("""COMPUTED_VALUE"""),1)</f>
        <v>1</v>
      </c>
      <c r="D4500" s="8">
        <f ca="1">IFERROR(__xludf.DUMMYFUNCTION("""COMPUTED_VALUE"""),5)</f>
        <v>5</v>
      </c>
      <c r="E4500" s="2">
        <f ca="1">IFERROR(__xludf.DUMMYFUNCTION("""COMPUTED_VALUE"""),2)</f>
        <v>2</v>
      </c>
    </row>
    <row r="4501" spans="1:5" ht="13">
      <c r="A4501" s="2" t="str">
        <f ca="1">IFERROR(__xludf.DUMMYFUNCTION("""COMPUTED_VALUE"""),"Koch, Frederick")</f>
        <v>Koch, Frederick</v>
      </c>
      <c r="B4501" s="3">
        <f ca="1">IFERROR(__xludf.DUMMYFUNCTION("""COMPUTED_VALUE"""),1)</f>
        <v>1</v>
      </c>
      <c r="C4501" s="7">
        <f ca="1">IFERROR(__xludf.DUMMYFUNCTION("""COMPUTED_VALUE"""),1)</f>
        <v>1</v>
      </c>
      <c r="D4501" s="8">
        <f ca="1">IFERROR(__xludf.DUMMYFUNCTION("""COMPUTED_VALUE"""),5)</f>
        <v>5</v>
      </c>
      <c r="E4501" s="2">
        <f ca="1">IFERROR(__xludf.DUMMYFUNCTION("""COMPUTED_VALUE"""),2)</f>
        <v>2</v>
      </c>
    </row>
    <row r="4502" spans="1:5" ht="13">
      <c r="A4502" s="2" t="str">
        <f ca="1">IFERROR(__xludf.DUMMYFUNCTION("""COMPUTED_VALUE"""),"Kocher, Conrad")</f>
        <v>Kocher, Conrad</v>
      </c>
      <c r="B4502" s="3">
        <f ca="1">IFERROR(__xludf.DUMMYFUNCTION("""COMPUTED_VALUE"""),1)</f>
        <v>1</v>
      </c>
      <c r="C4502" s="7">
        <f ca="1">IFERROR(__xludf.DUMMYFUNCTION("""COMPUTED_VALUE"""),1)</f>
        <v>1</v>
      </c>
      <c r="D4502" s="8">
        <f ca="1">IFERROR(__xludf.DUMMYFUNCTION("""COMPUTED_VALUE"""),5)</f>
        <v>5</v>
      </c>
      <c r="E4502" s="2">
        <f ca="1">IFERROR(__xludf.DUMMYFUNCTION("""COMPUTED_VALUE"""),2)</f>
        <v>2</v>
      </c>
    </row>
    <row r="4503" spans="1:5" ht="13">
      <c r="A4503" s="2" t="str">
        <f ca="1">IFERROR(__xludf.DUMMYFUNCTION("""COMPUTED_VALUE"""),"Kochik, Jonathan")</f>
        <v>Kochik, Jonathan</v>
      </c>
      <c r="B4503" s="2">
        <f ca="1">IFERROR(__xludf.DUMMYFUNCTION("""COMPUTED_VALUE"""),1)</f>
        <v>1</v>
      </c>
      <c r="C4503" s="7">
        <f ca="1">IFERROR(__xludf.DUMMYFUNCTION("""COMPUTED_VALUE"""),1)</f>
        <v>1</v>
      </c>
      <c r="D4503" s="8">
        <f ca="1">IFERROR(__xludf.DUMMYFUNCTION("""COMPUTED_VALUE"""),1)</f>
        <v>1</v>
      </c>
      <c r="E4503" s="2">
        <f ca="1">IFERROR(__xludf.DUMMYFUNCTION("""COMPUTED_VALUE"""),1)</f>
        <v>1</v>
      </c>
    </row>
    <row r="4504" spans="1:5" ht="13">
      <c r="A4504" s="2" t="str">
        <f ca="1">IFERROR(__xludf.DUMMYFUNCTION("""COMPUTED_VALUE"""),"Kodály, Zoltán")</f>
        <v>Kodály, Zoltán</v>
      </c>
      <c r="B4504" s="3">
        <f ca="1">IFERROR(__xludf.DUMMYFUNCTION("""COMPUTED_VALUE"""),1)</f>
        <v>1</v>
      </c>
      <c r="C4504" s="7">
        <f ca="1">IFERROR(__xludf.DUMMYFUNCTION("""COMPUTED_VALUE"""),1)</f>
        <v>1</v>
      </c>
      <c r="D4504" s="8">
        <f ca="1">IFERROR(__xludf.DUMMYFUNCTION("""COMPUTED_VALUE"""),5)</f>
        <v>5</v>
      </c>
      <c r="E4504" s="2">
        <f ca="1">IFERROR(__xludf.DUMMYFUNCTION("""COMPUTED_VALUE"""),2)</f>
        <v>2</v>
      </c>
    </row>
    <row r="4505" spans="1:5" ht="13">
      <c r="A4505" s="2" t="str">
        <f ca="1">IFERROR(__xludf.DUMMYFUNCTION("""COMPUTED_VALUE"""),"Koechlin, Charles")</f>
        <v>Koechlin, Charles</v>
      </c>
      <c r="B4505" s="2">
        <f ca="1">IFERROR(__xludf.DUMMYFUNCTION("""COMPUTED_VALUE"""),1)</f>
        <v>1</v>
      </c>
      <c r="C4505" s="7">
        <f ca="1">IFERROR(__xludf.DUMMYFUNCTION("""COMPUTED_VALUE"""),1)</f>
        <v>1</v>
      </c>
      <c r="D4505" s="8">
        <f ca="1">IFERROR(__xludf.DUMMYFUNCTION("""COMPUTED_VALUE"""),5)</f>
        <v>5</v>
      </c>
      <c r="E4505" s="2">
        <f ca="1">IFERROR(__xludf.DUMMYFUNCTION("""COMPUTED_VALUE"""),2)</f>
        <v>2</v>
      </c>
    </row>
    <row r="4506" spans="1:5" ht="13">
      <c r="A4506" s="2" t="str">
        <f ca="1">IFERROR(__xludf.DUMMYFUNCTION("""COMPUTED_VALUE"""),"Koehne, Graham")</f>
        <v>Koehne, Graham</v>
      </c>
      <c r="B4506" s="3">
        <f ca="1">IFERROR(__xludf.DUMMYFUNCTION("""COMPUTED_VALUE"""),1)</f>
        <v>1</v>
      </c>
      <c r="C4506" s="7">
        <f ca="1">IFERROR(__xludf.DUMMYFUNCTION("""COMPUTED_VALUE"""),1)</f>
        <v>1</v>
      </c>
      <c r="D4506" s="8">
        <f ca="1">IFERROR(__xludf.DUMMYFUNCTION("""COMPUTED_VALUE"""),1)</f>
        <v>1</v>
      </c>
      <c r="E4506" s="2">
        <f ca="1">IFERROR(__xludf.DUMMYFUNCTION("""COMPUTED_VALUE"""),1)</f>
        <v>1</v>
      </c>
    </row>
    <row r="4507" spans="1:5" ht="13">
      <c r="A4507" s="2" t="str">
        <f ca="1">IFERROR(__xludf.DUMMYFUNCTION("""COMPUTED_VALUE"""),"Koenig, John R. ""Rusty""")</f>
        <v>Koenig, John R. "Rusty"</v>
      </c>
      <c r="B4507" s="3">
        <f ca="1">IFERROR(__xludf.DUMMYFUNCTION("""COMPUTED_VALUE"""),1)</f>
        <v>1</v>
      </c>
      <c r="C4507" s="7">
        <f ca="1">IFERROR(__xludf.DUMMYFUNCTION("""COMPUTED_VALUE"""),1)</f>
        <v>1</v>
      </c>
      <c r="D4507" s="8">
        <f ca="1">IFERROR(__xludf.DUMMYFUNCTION("""COMPUTED_VALUE"""),1)</f>
        <v>1</v>
      </c>
      <c r="E4507" s="2">
        <f ca="1">IFERROR(__xludf.DUMMYFUNCTION("""COMPUTED_VALUE"""),1)</f>
        <v>1</v>
      </c>
    </row>
    <row r="4508" spans="1:5" ht="13">
      <c r="A4508" s="8" t="str">
        <f ca="1">IFERROR(__xludf.DUMMYFUNCTION("""COMPUTED_VALUE"""),"Koepke, Allen")</f>
        <v>Koepke, Allen</v>
      </c>
      <c r="B4508" s="3">
        <f ca="1">IFERROR(__xludf.DUMMYFUNCTION("""COMPUTED_VALUE"""),1)</f>
        <v>1</v>
      </c>
      <c r="C4508" s="7">
        <f ca="1">IFERROR(__xludf.DUMMYFUNCTION("""COMPUTED_VALUE"""),1)</f>
        <v>1</v>
      </c>
      <c r="D4508" s="8">
        <f ca="1">IFERROR(__xludf.DUMMYFUNCTION("""COMPUTED_VALUE"""),5)</f>
        <v>5</v>
      </c>
      <c r="E4508" s="2">
        <f ca="1">IFERROR(__xludf.DUMMYFUNCTION("""COMPUTED_VALUE"""),2)</f>
        <v>2</v>
      </c>
    </row>
    <row r="4509" spans="1:5" ht="13">
      <c r="A4509" s="2" t="str">
        <f ca="1">IFERROR(__xludf.DUMMYFUNCTION("""COMPUTED_VALUE"""),"Koetsier, Jan")</f>
        <v>Koetsier, Jan</v>
      </c>
      <c r="B4509" s="3">
        <f ca="1">IFERROR(__xludf.DUMMYFUNCTION("""COMPUTED_VALUE"""),1)</f>
        <v>1</v>
      </c>
      <c r="C4509" s="7">
        <f ca="1">IFERROR(__xludf.DUMMYFUNCTION("""COMPUTED_VALUE"""),1)</f>
        <v>1</v>
      </c>
      <c r="D4509" s="8">
        <f ca="1">IFERROR(__xludf.DUMMYFUNCTION("""COMPUTED_VALUE"""),5)</f>
        <v>5</v>
      </c>
      <c r="E4509" s="2">
        <f ca="1">IFERROR(__xludf.DUMMYFUNCTION("""COMPUTED_VALUE"""),2)</f>
        <v>2</v>
      </c>
    </row>
    <row r="4510" spans="1:5" ht="13">
      <c r="A4510" s="2" t="str">
        <f ca="1">IFERROR(__xludf.DUMMYFUNCTION("""COMPUTED_VALUE"""),"Koff, Charles")</f>
        <v>Koff, Charles</v>
      </c>
      <c r="B4510" s="3">
        <f ca="1">IFERROR(__xludf.DUMMYFUNCTION("""COMPUTED_VALUE"""),1)</f>
        <v>1</v>
      </c>
      <c r="C4510" s="7">
        <f ca="1">IFERROR(__xludf.DUMMYFUNCTION("""COMPUTED_VALUE"""),1)</f>
        <v>1</v>
      </c>
      <c r="D4510" s="8">
        <f ca="1">IFERROR(__xludf.DUMMYFUNCTION("""COMPUTED_VALUE"""),5)</f>
        <v>5</v>
      </c>
      <c r="E4510" s="2">
        <f ca="1">IFERROR(__xludf.DUMMYFUNCTION("""COMPUTED_VALUE"""),2)</f>
        <v>2</v>
      </c>
    </row>
    <row r="4511" spans="1:5" ht="13">
      <c r="A4511" s="2" t="str">
        <f ca="1">IFERROR(__xludf.DUMMYFUNCTION("""COMPUTED_VALUE"""),"Kohn, Karl")</f>
        <v>Kohn, Karl</v>
      </c>
      <c r="B4511" s="3">
        <f ca="1">IFERROR(__xludf.DUMMYFUNCTION("""COMPUTED_VALUE"""),1)</f>
        <v>1</v>
      </c>
      <c r="C4511" s="7">
        <f ca="1">IFERROR(__xludf.DUMMYFUNCTION("""COMPUTED_VALUE"""),1)</f>
        <v>1</v>
      </c>
      <c r="D4511" s="8">
        <f ca="1">IFERROR(__xludf.DUMMYFUNCTION("""COMPUTED_VALUE"""),1)</f>
        <v>1</v>
      </c>
      <c r="E4511" s="2">
        <f ca="1">IFERROR(__xludf.DUMMYFUNCTION("""COMPUTED_VALUE"""),1)</f>
        <v>1</v>
      </c>
    </row>
    <row r="4512" spans="1:5" ht="13">
      <c r="A4512" s="8" t="str">
        <f ca="1">IFERROR(__xludf.DUMMYFUNCTION("""COMPUTED_VALUE"""),"Köhs, Andreas")</f>
        <v>Köhs, Andreas</v>
      </c>
      <c r="B4512" s="3">
        <f ca="1">IFERROR(__xludf.DUMMYFUNCTION("""COMPUTED_VALUE"""),1)</f>
        <v>1</v>
      </c>
      <c r="C4512" s="7">
        <f ca="1">IFERROR(__xludf.DUMMYFUNCTION("""COMPUTED_VALUE"""),1)</f>
        <v>1</v>
      </c>
      <c r="D4512" s="8">
        <f ca="1">IFERROR(__xludf.DUMMYFUNCTION("""COMPUTED_VALUE"""),1)</f>
        <v>1</v>
      </c>
      <c r="E4512" s="2">
        <f ca="1">IFERROR(__xludf.DUMMYFUNCTION("""COMPUTED_VALUE"""),1)</f>
        <v>1</v>
      </c>
    </row>
    <row r="4513" spans="1:5" ht="13">
      <c r="A4513" s="8" t="str">
        <f ca="1">IFERROR(__xludf.DUMMYFUNCTION("""COMPUTED_VALUE"""),"Kohut, David")</f>
        <v>Kohut, David</v>
      </c>
      <c r="B4513" s="3">
        <f ca="1">IFERROR(__xludf.DUMMYFUNCTION("""COMPUTED_VALUE"""),1)</f>
        <v>1</v>
      </c>
      <c r="C4513" s="7">
        <f ca="1">IFERROR(__xludf.DUMMYFUNCTION("""COMPUTED_VALUE"""),1)</f>
        <v>1</v>
      </c>
      <c r="D4513" s="8">
        <f ca="1">IFERROR(__xludf.DUMMYFUNCTION("""COMPUTED_VALUE"""),1)</f>
        <v>1</v>
      </c>
      <c r="E4513" s="2">
        <f ca="1">IFERROR(__xludf.DUMMYFUNCTION("""COMPUTED_VALUE"""),1)</f>
        <v>1</v>
      </c>
    </row>
    <row r="4514" spans="1:5" ht="13">
      <c r="A4514" s="8" t="str">
        <f ca="1">IFERROR(__xludf.DUMMYFUNCTION("""COMPUTED_VALUE"""),"Kohut, Jacob")</f>
        <v>Kohut, Jacob</v>
      </c>
      <c r="B4514" s="3">
        <f ca="1">IFERROR(__xludf.DUMMYFUNCTION("""COMPUTED_VALUE"""),1)</f>
        <v>1</v>
      </c>
      <c r="C4514" s="7">
        <f ca="1">IFERROR(__xludf.DUMMYFUNCTION("""COMPUTED_VALUE"""),1)</f>
        <v>1</v>
      </c>
      <c r="D4514" s="8">
        <f ca="1">IFERROR(__xludf.DUMMYFUNCTION("""COMPUTED_VALUE"""),1)</f>
        <v>1</v>
      </c>
      <c r="E4514" s="2">
        <f ca="1">IFERROR(__xludf.DUMMYFUNCTION("""COMPUTED_VALUE"""),1)</f>
        <v>1</v>
      </c>
    </row>
    <row r="4515" spans="1:5" ht="13">
      <c r="A4515" s="2" t="str">
        <f ca="1">IFERROR(__xludf.DUMMYFUNCTION("""COMPUTED_VALUE"""),"Kokkonen, Joonas")</f>
        <v>Kokkonen, Joonas</v>
      </c>
      <c r="B4515" s="3">
        <f ca="1">IFERROR(__xludf.DUMMYFUNCTION("""COMPUTED_VALUE"""),1)</f>
        <v>1</v>
      </c>
      <c r="C4515" s="7">
        <f ca="1">IFERROR(__xludf.DUMMYFUNCTION("""COMPUTED_VALUE"""),1)</f>
        <v>1</v>
      </c>
      <c r="D4515" s="8">
        <f ca="1">IFERROR(__xludf.DUMMYFUNCTION("""COMPUTED_VALUE"""),5)</f>
        <v>5</v>
      </c>
      <c r="E4515" s="2">
        <f ca="1">IFERROR(__xludf.DUMMYFUNCTION("""COMPUTED_VALUE"""),2)</f>
        <v>2</v>
      </c>
    </row>
    <row r="4516" spans="1:5" ht="13">
      <c r="A4516" s="2" t="str">
        <f ca="1">IFERROR(__xludf.DUMMYFUNCTION("""COMPUTED_VALUE"""),"Kolender, Bill")</f>
        <v>Kolender, Bill</v>
      </c>
      <c r="B4516" s="3">
        <f ca="1">IFERROR(__xludf.DUMMYFUNCTION("""COMPUTED_VALUE"""),1)</f>
        <v>1</v>
      </c>
      <c r="C4516" s="7">
        <f ca="1">IFERROR(__xludf.DUMMYFUNCTION("""COMPUTED_VALUE"""),1)</f>
        <v>1</v>
      </c>
      <c r="D4516" s="8">
        <f ca="1">IFERROR(__xludf.DUMMYFUNCTION("""COMPUTED_VALUE"""),5)</f>
        <v>5</v>
      </c>
      <c r="E4516" s="2">
        <f ca="1">IFERROR(__xludf.DUMMYFUNCTION("""COMPUTED_VALUE"""),2)</f>
        <v>2</v>
      </c>
    </row>
    <row r="4517" spans="1:5" ht="13">
      <c r="A4517" s="8" t="str">
        <f ca="1">IFERROR(__xludf.DUMMYFUNCTION("""COMPUTED_VALUE"""),"Kolke, Danny")</f>
        <v>Kolke, Danny</v>
      </c>
      <c r="B4517" s="3">
        <f ca="1">IFERROR(__xludf.DUMMYFUNCTION("""COMPUTED_VALUE"""),1)</f>
        <v>1</v>
      </c>
      <c r="C4517" s="7">
        <f ca="1">IFERROR(__xludf.DUMMYFUNCTION("""COMPUTED_VALUE"""),1)</f>
        <v>1</v>
      </c>
      <c r="D4517" s="8">
        <f ca="1">IFERROR(__xludf.DUMMYFUNCTION("""COMPUTED_VALUE"""),1)</f>
        <v>1</v>
      </c>
      <c r="E4517" s="2">
        <f ca="1">IFERROR(__xludf.DUMMYFUNCTION("""COMPUTED_VALUE"""),1)</f>
        <v>1</v>
      </c>
    </row>
    <row r="4518" spans="1:5" ht="13">
      <c r="A4518" s="2" t="str">
        <f ca="1">IFERROR(__xludf.DUMMYFUNCTION("""COMPUTED_VALUE"""),"Koller, Benjamin")</f>
        <v>Koller, Benjamin</v>
      </c>
      <c r="B4518" s="2">
        <f ca="1">IFERROR(__xludf.DUMMYFUNCTION("""COMPUTED_VALUE"""),1)</f>
        <v>1</v>
      </c>
      <c r="C4518" s="7">
        <f ca="1">IFERROR(__xludf.DUMMYFUNCTION("""COMPUTED_VALUE"""),1)</f>
        <v>1</v>
      </c>
      <c r="D4518" s="8">
        <f ca="1">IFERROR(__xludf.DUMMYFUNCTION("""COMPUTED_VALUE"""),1)</f>
        <v>1</v>
      </c>
      <c r="E4518" s="2">
        <f ca="1">IFERROR(__xludf.DUMMYFUNCTION("""COMPUTED_VALUE"""),1)</f>
        <v>1</v>
      </c>
    </row>
    <row r="4519" spans="1:5" ht="13">
      <c r="A4519" s="2" t="str">
        <f ca="1">IFERROR(__xludf.DUMMYFUNCTION("""COMPUTED_VALUE"""),"Kolm, Jonathan")</f>
        <v>Kolm, Jonathan</v>
      </c>
      <c r="B4519" s="2">
        <f ca="1">IFERROR(__xludf.DUMMYFUNCTION("""COMPUTED_VALUE"""),1)</f>
        <v>1</v>
      </c>
      <c r="C4519" s="7">
        <f ca="1">IFERROR(__xludf.DUMMYFUNCTION("""COMPUTED_VALUE"""),1)</f>
        <v>1</v>
      </c>
      <c r="D4519" s="8">
        <f ca="1">IFERROR(__xludf.DUMMYFUNCTION("""COMPUTED_VALUE"""),1)</f>
        <v>1</v>
      </c>
      <c r="E4519" s="2">
        <f ca="1">IFERROR(__xludf.DUMMYFUNCTION("""COMPUTED_VALUE"""),1)</f>
        <v>1</v>
      </c>
    </row>
    <row r="4520" spans="1:5" ht="13">
      <c r="A4520" s="2" t="str">
        <f ca="1">IFERROR(__xludf.DUMMYFUNCTION("""COMPUTED_VALUE"""),"Kolneder, Walter")</f>
        <v>Kolneder, Walter</v>
      </c>
      <c r="B4520" s="3">
        <f ca="1">IFERROR(__xludf.DUMMYFUNCTION("""COMPUTED_VALUE"""),1)</f>
        <v>1</v>
      </c>
      <c r="C4520" s="7">
        <f ca="1">IFERROR(__xludf.DUMMYFUNCTION("""COMPUTED_VALUE"""),1)</f>
        <v>1</v>
      </c>
      <c r="D4520" s="8">
        <f ca="1">IFERROR(__xludf.DUMMYFUNCTION("""COMPUTED_VALUE"""),5)</f>
        <v>5</v>
      </c>
      <c r="E4520" s="2">
        <f ca="1">IFERROR(__xludf.DUMMYFUNCTION("""COMPUTED_VALUE"""),2)</f>
        <v>2</v>
      </c>
    </row>
    <row r="4521" spans="1:5" ht="13">
      <c r="A4521" s="2" t="str">
        <f ca="1">IFERROR(__xludf.DUMMYFUNCTION("""COMPUTED_VALUE"""),"Kolo, Christian")</f>
        <v>Kolo, Christian</v>
      </c>
      <c r="B4521" s="3">
        <f ca="1">IFERROR(__xludf.DUMMYFUNCTION("""COMPUTED_VALUE"""),1)</f>
        <v>1</v>
      </c>
      <c r="C4521" s="7">
        <f ca="1">IFERROR(__xludf.DUMMYFUNCTION("""COMPUTED_VALUE"""),1)</f>
        <v>1</v>
      </c>
      <c r="D4521" s="8">
        <f ca="1">IFERROR(__xludf.DUMMYFUNCTION("""COMPUTED_VALUE"""),1)</f>
        <v>1</v>
      </c>
      <c r="E4521" s="2">
        <f ca="1">IFERROR(__xludf.DUMMYFUNCTION("""COMPUTED_VALUE"""),1)</f>
        <v>1</v>
      </c>
    </row>
    <row r="4522" spans="1:5" ht="13">
      <c r="A4522" s="2" t="str">
        <f ca="1">IFERROR(__xludf.DUMMYFUNCTION("""COMPUTED_VALUE"""),"Kolodub, Lev")</f>
        <v>Kolodub, Lev</v>
      </c>
      <c r="B4522" s="2">
        <f ca="1">IFERROR(__xludf.DUMMYFUNCTION("""COMPUTED_VALUE"""),1)</f>
        <v>1</v>
      </c>
      <c r="C4522" s="2">
        <f ca="1">IFERROR(__xludf.DUMMYFUNCTION("""COMPUTED_VALUE"""),1)</f>
        <v>1</v>
      </c>
      <c r="D4522" s="8">
        <f ca="1">IFERROR(__xludf.DUMMYFUNCTION("""COMPUTED_VALUE"""),5)</f>
        <v>5</v>
      </c>
      <c r="E4522" s="2">
        <f ca="1">IFERROR(__xludf.DUMMYFUNCTION("""COMPUTED_VALUE"""),2)</f>
        <v>2</v>
      </c>
    </row>
    <row r="4523" spans="1:5" ht="13">
      <c r="A4523" s="2" t="str">
        <f ca="1">IFERROR(__xludf.DUMMYFUNCTION("""COMPUTED_VALUE"""),"Kompanek, Sonny")</f>
        <v>Kompanek, Sonny</v>
      </c>
      <c r="B4523" s="3">
        <f ca="1">IFERROR(__xludf.DUMMYFUNCTION("""COMPUTED_VALUE"""),1)</f>
        <v>1</v>
      </c>
      <c r="C4523" s="7">
        <f ca="1">IFERROR(__xludf.DUMMYFUNCTION("""COMPUTED_VALUE"""),1)</f>
        <v>1</v>
      </c>
      <c r="D4523" s="8">
        <f ca="1">IFERROR(__xludf.DUMMYFUNCTION("""COMPUTED_VALUE"""),1)</f>
        <v>1</v>
      </c>
      <c r="E4523" s="2">
        <f ca="1">IFERROR(__xludf.DUMMYFUNCTION("""COMPUTED_VALUE"""),1)</f>
        <v>1</v>
      </c>
    </row>
    <row r="4524" spans="1:5" ht="13">
      <c r="A4524" s="2" t="str">
        <f ca="1">IFERROR(__xludf.DUMMYFUNCTION("""COMPUTED_VALUE"""),"Komzak, Karl")</f>
        <v>Komzak, Karl</v>
      </c>
      <c r="B4524" s="3">
        <f ca="1">IFERROR(__xludf.DUMMYFUNCTION("""COMPUTED_VALUE"""),1)</f>
        <v>1</v>
      </c>
      <c r="C4524" s="7">
        <f ca="1">IFERROR(__xludf.DUMMYFUNCTION("""COMPUTED_VALUE"""),1)</f>
        <v>1</v>
      </c>
      <c r="D4524" s="8">
        <f ca="1">IFERROR(__xludf.DUMMYFUNCTION("""COMPUTED_VALUE"""),5)</f>
        <v>5</v>
      </c>
      <c r="E4524" s="2">
        <f ca="1">IFERROR(__xludf.DUMMYFUNCTION("""COMPUTED_VALUE"""),2)</f>
        <v>2</v>
      </c>
    </row>
    <row r="4525" spans="1:5" ht="13">
      <c r="A4525" s="2" t="str">
        <f ca="1">IFERROR(__xludf.DUMMYFUNCTION("""COMPUTED_VALUE"""),"Konitz, Lee")</f>
        <v>Konitz, Lee</v>
      </c>
      <c r="B4525" s="2">
        <f ca="1">IFERROR(__xludf.DUMMYFUNCTION("""COMPUTED_VALUE"""),1)</f>
        <v>1</v>
      </c>
      <c r="C4525" s="7">
        <f ca="1">IFERROR(__xludf.DUMMYFUNCTION("""COMPUTED_VALUE"""),1)</f>
        <v>1</v>
      </c>
      <c r="D4525" s="8">
        <f ca="1">IFERROR(__xludf.DUMMYFUNCTION("""COMPUTED_VALUE"""),5)</f>
        <v>5</v>
      </c>
      <c r="E4525" s="2">
        <f ca="1">IFERROR(__xludf.DUMMYFUNCTION("""COMPUTED_VALUE"""),2)</f>
        <v>2</v>
      </c>
    </row>
    <row r="4526" spans="1:5" ht="13">
      <c r="A4526" s="2" t="str">
        <f ca="1">IFERROR(__xludf.DUMMYFUNCTION("""COMPUTED_VALUE"""),"Koontz, Jason")</f>
        <v>Koontz, Jason</v>
      </c>
      <c r="B4526" s="3">
        <f ca="1">IFERROR(__xludf.DUMMYFUNCTION("""COMPUTED_VALUE"""),1)</f>
        <v>1</v>
      </c>
      <c r="C4526" s="7">
        <f ca="1">IFERROR(__xludf.DUMMYFUNCTION("""COMPUTED_VALUE"""),1)</f>
        <v>1</v>
      </c>
      <c r="D4526" s="8">
        <f ca="1">IFERROR(__xludf.DUMMYFUNCTION("""COMPUTED_VALUE"""),1)</f>
        <v>1</v>
      </c>
      <c r="E4526" s="2">
        <f ca="1">IFERROR(__xludf.DUMMYFUNCTION("""COMPUTED_VALUE"""),1)</f>
        <v>1</v>
      </c>
    </row>
    <row r="4527" spans="1:5" ht="13">
      <c r="A4527" s="2" t="str">
        <f ca="1">IFERROR(__xludf.DUMMYFUNCTION("""COMPUTED_VALUE"""),"Kope, Karl")</f>
        <v>Kope, Karl</v>
      </c>
      <c r="B4527" s="2">
        <f ca="1">IFERROR(__xludf.DUMMYFUNCTION("""COMPUTED_VALUE"""),1)</f>
        <v>1</v>
      </c>
      <c r="C4527" s="2">
        <f ca="1">IFERROR(__xludf.DUMMYFUNCTION("""COMPUTED_VALUE"""),1)</f>
        <v>1</v>
      </c>
      <c r="D4527" s="8">
        <f ca="1">IFERROR(__xludf.DUMMYFUNCTION("""COMPUTED_VALUE"""),1)</f>
        <v>1</v>
      </c>
      <c r="E4527" s="2">
        <f ca="1">IFERROR(__xludf.DUMMYFUNCTION("""COMPUTED_VALUE"""),1)</f>
        <v>1</v>
      </c>
    </row>
    <row r="4528" spans="1:5" ht="13">
      <c r="A4528" s="2" t="str">
        <f ca="1">IFERROR(__xludf.DUMMYFUNCTION("""COMPUTED_VALUE"""),"Kopetz, Barry E.")</f>
        <v>Kopetz, Barry E.</v>
      </c>
      <c r="B4528" s="3">
        <f ca="1">IFERROR(__xludf.DUMMYFUNCTION("""COMPUTED_VALUE"""),1)</f>
        <v>1</v>
      </c>
      <c r="C4528" s="7">
        <f ca="1">IFERROR(__xludf.DUMMYFUNCTION("""COMPUTED_VALUE"""),1)</f>
        <v>1</v>
      </c>
      <c r="D4528" s="8">
        <f ca="1">IFERROR(__xludf.DUMMYFUNCTION("""COMPUTED_VALUE"""),1)</f>
        <v>1</v>
      </c>
      <c r="E4528" s="2">
        <f ca="1">IFERROR(__xludf.DUMMYFUNCTION("""COMPUTED_VALUE"""),1)</f>
        <v>1</v>
      </c>
    </row>
    <row r="4529" spans="1:5" ht="13">
      <c r="A4529" s="8" t="str">
        <f ca="1">IFERROR(__xludf.DUMMYFUNCTION("""COMPUTED_VALUE"""),"Kopetzki, Eckhard")</f>
        <v>Kopetzki, Eckhard</v>
      </c>
      <c r="B4529" s="3">
        <f ca="1">IFERROR(__xludf.DUMMYFUNCTION("""COMPUTED_VALUE"""),1)</f>
        <v>1</v>
      </c>
      <c r="C4529" s="7">
        <f ca="1">IFERROR(__xludf.DUMMYFUNCTION("""COMPUTED_VALUE"""),1)</f>
        <v>1</v>
      </c>
      <c r="D4529" s="8">
        <f ca="1">IFERROR(__xludf.DUMMYFUNCTION("""COMPUTED_VALUE"""),1)</f>
        <v>1</v>
      </c>
      <c r="E4529" s="2">
        <f ca="1">IFERROR(__xludf.DUMMYFUNCTION("""COMPUTED_VALUE"""),1)</f>
        <v>1</v>
      </c>
    </row>
    <row r="4530" spans="1:5" ht="13">
      <c r="A4530" s="2" t="str">
        <f ca="1">IFERROR(__xludf.DUMMYFUNCTION("""COMPUTED_VALUE"""),"Kopmar, Israel")</f>
        <v>Kopmar, Israel</v>
      </c>
      <c r="B4530" s="2">
        <f ca="1">IFERROR(__xludf.DUMMYFUNCTION("""COMPUTED_VALUE"""),1)</f>
        <v>1</v>
      </c>
      <c r="C4530" s="7">
        <f ca="1">IFERROR(__xludf.DUMMYFUNCTION("""COMPUTED_VALUE"""),1)</f>
        <v>1</v>
      </c>
      <c r="D4530" s="8">
        <f ca="1">IFERROR(__xludf.DUMMYFUNCTION("""COMPUTED_VALUE"""),5)</f>
        <v>5</v>
      </c>
      <c r="E4530" s="2">
        <f ca="1">IFERROR(__xludf.DUMMYFUNCTION("""COMPUTED_VALUE"""),2)</f>
        <v>2</v>
      </c>
    </row>
    <row r="4531" spans="1:5" ht="13">
      <c r="A4531" s="8" t="str">
        <f ca="1">IFERROR(__xludf.DUMMYFUNCTION("""COMPUTED_VALUE"""),"Koponen, Glenn")</f>
        <v>Koponen, Glenn</v>
      </c>
      <c r="B4531" s="3">
        <f ca="1">IFERROR(__xludf.DUMMYFUNCTION("""COMPUTED_VALUE"""),1)</f>
        <v>1</v>
      </c>
      <c r="C4531" s="7">
        <f ca="1">IFERROR(__xludf.DUMMYFUNCTION("""COMPUTED_VALUE"""),1)</f>
        <v>1</v>
      </c>
      <c r="D4531" s="8">
        <f ca="1">IFERROR(__xludf.DUMMYFUNCTION("""COMPUTED_VALUE"""),5)</f>
        <v>5</v>
      </c>
      <c r="E4531" s="2">
        <f ca="1">IFERROR(__xludf.DUMMYFUNCTION("""COMPUTED_VALUE"""),2)</f>
        <v>2</v>
      </c>
    </row>
    <row r="4532" spans="1:5" ht="13">
      <c r="A4532" s="2" t="str">
        <f ca="1">IFERROR(__xludf.DUMMYFUNCTION("""COMPUTED_VALUE"""),"Koppin, Connor")</f>
        <v>Koppin, Connor</v>
      </c>
      <c r="B4532" s="2">
        <f ca="1">IFERROR(__xludf.DUMMYFUNCTION("""COMPUTED_VALUE"""),1)</f>
        <v>1</v>
      </c>
      <c r="C4532" s="7">
        <f ca="1">IFERROR(__xludf.DUMMYFUNCTION("""COMPUTED_VALUE"""),1)</f>
        <v>1</v>
      </c>
      <c r="D4532" s="8">
        <f ca="1">IFERROR(__xludf.DUMMYFUNCTION("""COMPUTED_VALUE"""),1)</f>
        <v>1</v>
      </c>
      <c r="E4532" s="2">
        <f ca="1">IFERROR(__xludf.DUMMYFUNCTION("""COMPUTED_VALUE"""),1)</f>
        <v>1</v>
      </c>
    </row>
    <row r="4533" spans="1:5" ht="13">
      <c r="A4533" s="8" t="str">
        <f ca="1">IFERROR(__xludf.DUMMYFUNCTION("""COMPUTED_VALUE"""),"Kopylov, Alexander")</f>
        <v>Kopylov, Alexander</v>
      </c>
      <c r="B4533" s="3">
        <f ca="1">IFERROR(__xludf.DUMMYFUNCTION("""COMPUTED_VALUE"""),1)</f>
        <v>1</v>
      </c>
      <c r="C4533" s="7">
        <f ca="1">IFERROR(__xludf.DUMMYFUNCTION("""COMPUTED_VALUE"""),1)</f>
        <v>1</v>
      </c>
      <c r="D4533" s="8">
        <f ca="1">IFERROR(__xludf.DUMMYFUNCTION("""COMPUTED_VALUE"""),5)</f>
        <v>5</v>
      </c>
      <c r="E4533" s="2">
        <f ca="1">IFERROR(__xludf.DUMMYFUNCTION("""COMPUTED_VALUE"""),2)</f>
        <v>2</v>
      </c>
    </row>
    <row r="4534" spans="1:5" ht="13">
      <c r="A4534" s="2" t="str">
        <f ca="1">IFERROR(__xludf.DUMMYFUNCTION("""COMPUTED_VALUE"""),"Korb, Michael / Roever, Ulrich")</f>
        <v>Korb, Michael / Roever, Ulrich</v>
      </c>
      <c r="B4534" s="3">
        <f ca="1">IFERROR(__xludf.DUMMYFUNCTION("""COMPUTED_VALUE"""),1)</f>
        <v>1</v>
      </c>
      <c r="C4534" s="7">
        <f ca="1">IFERROR(__xludf.DUMMYFUNCTION("""COMPUTED_VALUE"""),1)</f>
        <v>1</v>
      </c>
      <c r="D4534" s="8">
        <f ca="1">IFERROR(__xludf.DUMMYFUNCTION("""COMPUTED_VALUE"""),1)</f>
        <v>1</v>
      </c>
      <c r="E4534" s="2">
        <f ca="1">IFERROR(__xludf.DUMMYFUNCTION("""COMPUTED_VALUE"""),1)</f>
        <v>1</v>
      </c>
    </row>
    <row r="4535" spans="1:5" ht="13">
      <c r="A4535" s="2" t="str">
        <f ca="1">IFERROR(__xludf.DUMMYFUNCTION("""COMPUTED_VALUE"""),"Kornelis, Benjamin")</f>
        <v>Kornelis, Benjamin</v>
      </c>
      <c r="B4535" s="3">
        <f ca="1">IFERROR(__xludf.DUMMYFUNCTION("""COMPUTED_VALUE"""),1)</f>
        <v>1</v>
      </c>
      <c r="C4535" s="7">
        <f ca="1">IFERROR(__xludf.DUMMYFUNCTION("""COMPUTED_VALUE"""),1)</f>
        <v>1</v>
      </c>
      <c r="D4535" s="8">
        <f ca="1">IFERROR(__xludf.DUMMYFUNCTION("""COMPUTED_VALUE"""),1)</f>
        <v>1</v>
      </c>
      <c r="E4535" s="2">
        <f ca="1">IFERROR(__xludf.DUMMYFUNCTION("""COMPUTED_VALUE"""),1)</f>
        <v>1</v>
      </c>
    </row>
    <row r="4536" spans="1:5" ht="13">
      <c r="A4536" s="2" t="str">
        <f ca="1">IFERROR(__xludf.DUMMYFUNCTION("""COMPUTED_VALUE"""),"Korngold, Erich")</f>
        <v>Korngold, Erich</v>
      </c>
      <c r="B4536" s="3">
        <f ca="1">IFERROR(__xludf.DUMMYFUNCTION("""COMPUTED_VALUE"""),1)</f>
        <v>1</v>
      </c>
      <c r="C4536" s="7">
        <f ca="1">IFERROR(__xludf.DUMMYFUNCTION("""COMPUTED_VALUE"""),1)</f>
        <v>1</v>
      </c>
      <c r="D4536" s="8">
        <f ca="1">IFERROR(__xludf.DUMMYFUNCTION("""COMPUTED_VALUE"""),5)</f>
        <v>5</v>
      </c>
      <c r="E4536" s="2">
        <f ca="1">IFERROR(__xludf.DUMMYFUNCTION("""COMPUTED_VALUE"""),2)</f>
        <v>2</v>
      </c>
    </row>
    <row r="4537" spans="1:5" ht="13">
      <c r="A4537" s="2" t="str">
        <f ca="1">IFERROR(__xludf.DUMMYFUNCTION("""COMPUTED_VALUE"""),"Korngold, Erich Wolfgang")</f>
        <v>Korngold, Erich Wolfgang</v>
      </c>
      <c r="B4537" s="2">
        <f ca="1">IFERROR(__xludf.DUMMYFUNCTION("""COMPUTED_VALUE"""),1)</f>
        <v>1</v>
      </c>
      <c r="C4537" s="7">
        <f ca="1">IFERROR(__xludf.DUMMYFUNCTION("""COMPUTED_VALUE"""),1)</f>
        <v>1</v>
      </c>
      <c r="D4537" s="8">
        <f ca="1">IFERROR(__xludf.DUMMYFUNCTION("""COMPUTED_VALUE"""),5)</f>
        <v>5</v>
      </c>
      <c r="E4537" s="2">
        <f ca="1">IFERROR(__xludf.DUMMYFUNCTION("""COMPUTED_VALUE"""),2)</f>
        <v>2</v>
      </c>
    </row>
    <row r="4538" spans="1:5" ht="13">
      <c r="A4538" s="2" t="str">
        <f ca="1">IFERROR(__xludf.DUMMYFUNCTION("""COMPUTED_VALUE"""),"Korte, Karl")</f>
        <v>Korte, Karl</v>
      </c>
      <c r="B4538" s="3">
        <f ca="1">IFERROR(__xludf.DUMMYFUNCTION("""COMPUTED_VALUE"""),1)</f>
        <v>1</v>
      </c>
      <c r="C4538" s="7">
        <f ca="1">IFERROR(__xludf.DUMMYFUNCTION("""COMPUTED_VALUE"""),1)</f>
        <v>1</v>
      </c>
      <c r="D4538" s="8">
        <f ca="1">IFERROR(__xludf.DUMMYFUNCTION("""COMPUTED_VALUE"""),5)</f>
        <v>5</v>
      </c>
      <c r="E4538" s="2">
        <f ca="1">IFERROR(__xludf.DUMMYFUNCTION("""COMPUTED_VALUE"""),2)</f>
        <v>2</v>
      </c>
    </row>
    <row r="4539" spans="1:5" ht="13">
      <c r="A4539" s="2" t="str">
        <f ca="1">IFERROR(__xludf.DUMMYFUNCTION("""COMPUTED_VALUE"""),"Kortekangas, Olli")</f>
        <v>Kortekangas, Olli</v>
      </c>
      <c r="B4539" s="3">
        <f ca="1">IFERROR(__xludf.DUMMYFUNCTION("""COMPUTED_VALUE"""),1)</f>
        <v>1</v>
      </c>
      <c r="C4539" s="7">
        <f ca="1">IFERROR(__xludf.DUMMYFUNCTION("""COMPUTED_VALUE"""),1)</f>
        <v>1</v>
      </c>
      <c r="D4539" s="8">
        <f ca="1">IFERROR(__xludf.DUMMYFUNCTION("""COMPUTED_VALUE"""),1)</f>
        <v>1</v>
      </c>
      <c r="E4539" s="2">
        <f ca="1">IFERROR(__xludf.DUMMYFUNCTION("""COMPUTED_VALUE"""),1)</f>
        <v>1</v>
      </c>
    </row>
    <row r="4540" spans="1:5" ht="13">
      <c r="A4540" s="2" t="str">
        <f ca="1">IFERROR(__xludf.DUMMYFUNCTION("""COMPUTED_VALUE"""),"Korvtis, Tonu")</f>
        <v>Korvtis, Tonu</v>
      </c>
      <c r="B4540" s="3">
        <f ca="1">IFERROR(__xludf.DUMMYFUNCTION("""COMPUTED_VALUE"""),1)</f>
        <v>1</v>
      </c>
      <c r="C4540" s="7">
        <f ca="1">IFERROR(__xludf.DUMMYFUNCTION("""COMPUTED_VALUE"""),1)</f>
        <v>1</v>
      </c>
      <c r="D4540" s="8">
        <f ca="1">IFERROR(__xludf.DUMMYFUNCTION("""COMPUTED_VALUE"""),1)</f>
        <v>1</v>
      </c>
      <c r="E4540" s="2">
        <f ca="1">IFERROR(__xludf.DUMMYFUNCTION("""COMPUTED_VALUE"""),1)</f>
        <v>1</v>
      </c>
    </row>
    <row r="4541" spans="1:5" ht="13">
      <c r="A4541" s="2" t="str">
        <f ca="1">IFERROR(__xludf.DUMMYFUNCTION("""COMPUTED_VALUE"""),"Kosch, John")</f>
        <v>Kosch, John</v>
      </c>
      <c r="B4541" s="3">
        <f ca="1">IFERROR(__xludf.DUMMYFUNCTION("""COMPUTED_VALUE"""),1)</f>
        <v>1</v>
      </c>
      <c r="C4541" s="7">
        <f ca="1">IFERROR(__xludf.DUMMYFUNCTION("""COMPUTED_VALUE"""),1)</f>
        <v>1</v>
      </c>
      <c r="D4541" s="8">
        <f ca="1">IFERROR(__xludf.DUMMYFUNCTION("""COMPUTED_VALUE"""),1)</f>
        <v>1</v>
      </c>
      <c r="E4541" s="2">
        <f ca="1">IFERROR(__xludf.DUMMYFUNCTION("""COMPUTED_VALUE"""),1)</f>
        <v>1</v>
      </c>
    </row>
    <row r="4542" spans="1:5" ht="13">
      <c r="A4542" s="2" t="str">
        <f ca="1">IFERROR(__xludf.DUMMYFUNCTION("""COMPUTED_VALUE"""),"Kosche, Kenneth")</f>
        <v>Kosche, Kenneth</v>
      </c>
      <c r="B4542" s="3">
        <f ca="1">IFERROR(__xludf.DUMMYFUNCTION("""COMPUTED_VALUE"""),1)</f>
        <v>1</v>
      </c>
      <c r="C4542" s="7">
        <f ca="1">IFERROR(__xludf.DUMMYFUNCTION("""COMPUTED_VALUE"""),1)</f>
        <v>1</v>
      </c>
      <c r="D4542" s="8">
        <f ca="1">IFERROR(__xludf.DUMMYFUNCTION("""COMPUTED_VALUE"""),1)</f>
        <v>1</v>
      </c>
      <c r="E4542" s="2">
        <f ca="1">IFERROR(__xludf.DUMMYFUNCTION("""COMPUTED_VALUE"""),1)</f>
        <v>1</v>
      </c>
    </row>
    <row r="4543" spans="1:5" ht="13">
      <c r="A4543" s="2" t="str">
        <f ca="1">IFERROR(__xludf.DUMMYFUNCTION("""COMPUTED_VALUE"""),"Kosenko, Viktor")</f>
        <v>Kosenko, Viktor</v>
      </c>
      <c r="B4543" s="2">
        <f ca="1">IFERROR(__xludf.DUMMYFUNCTION("""COMPUTED_VALUE"""),1)</f>
        <v>1</v>
      </c>
      <c r="C4543" s="7">
        <f ca="1">IFERROR(__xludf.DUMMYFUNCTION("""COMPUTED_VALUE"""),1)</f>
        <v>1</v>
      </c>
      <c r="D4543" s="8">
        <f ca="1">IFERROR(__xludf.DUMMYFUNCTION("""COMPUTED_VALUE"""),5)</f>
        <v>5</v>
      </c>
      <c r="E4543" s="2">
        <f ca="1">IFERROR(__xludf.DUMMYFUNCTION("""COMPUTED_VALUE"""),2)</f>
        <v>2</v>
      </c>
    </row>
    <row r="4544" spans="1:5" ht="13">
      <c r="A4544" s="2" t="str">
        <f ca="1">IFERROR(__xludf.DUMMYFUNCTION("""COMPUTED_VALUE"""),"Koshinski, Gene")</f>
        <v>Koshinski, Gene</v>
      </c>
      <c r="B4544" s="2">
        <f ca="1">IFERROR(__xludf.DUMMYFUNCTION("""COMPUTED_VALUE"""),1)</f>
        <v>1</v>
      </c>
      <c r="C4544" s="7">
        <f ca="1">IFERROR(__xludf.DUMMYFUNCTION("""COMPUTED_VALUE"""),1)</f>
        <v>1</v>
      </c>
      <c r="D4544" s="8">
        <f ca="1">IFERROR(__xludf.DUMMYFUNCTION("""COMPUTED_VALUE"""),1)</f>
        <v>1</v>
      </c>
      <c r="E4544" s="2">
        <f ca="1">IFERROR(__xludf.DUMMYFUNCTION("""COMPUTED_VALUE"""),1)</f>
        <v>1</v>
      </c>
    </row>
    <row r="4545" spans="1:5" ht="13">
      <c r="A4545" s="2" t="str">
        <f ca="1">IFERROR(__xludf.DUMMYFUNCTION("""COMPUTED_VALUE"""),"Kosko, Daniel")</f>
        <v>Kosko, Daniel</v>
      </c>
      <c r="B4545" s="3">
        <f ca="1">IFERROR(__xludf.DUMMYFUNCTION("""COMPUTED_VALUE"""),1)</f>
        <v>1</v>
      </c>
      <c r="C4545" s="7">
        <f ca="1">IFERROR(__xludf.DUMMYFUNCTION("""COMPUTED_VALUE"""),1)</f>
        <v>1</v>
      </c>
      <c r="D4545" s="8">
        <f ca="1">IFERROR(__xludf.DUMMYFUNCTION("""COMPUTED_VALUE"""),1)</f>
        <v>1</v>
      </c>
      <c r="E4545" s="2">
        <f ca="1">IFERROR(__xludf.DUMMYFUNCTION("""COMPUTED_VALUE"""),1)</f>
        <v>1</v>
      </c>
    </row>
    <row r="4546" spans="1:5" ht="13">
      <c r="A4546" s="2" t="str">
        <f ca="1">IFERROR(__xludf.DUMMYFUNCTION("""COMPUTED_VALUE"""),"Kosko, Daniel L.")</f>
        <v>Kosko, Daniel L.</v>
      </c>
      <c r="B4546" s="3">
        <f ca="1">IFERROR(__xludf.DUMMYFUNCTION("""COMPUTED_VALUE"""),1)</f>
        <v>1</v>
      </c>
      <c r="C4546" s="7">
        <f ca="1">IFERROR(__xludf.DUMMYFUNCTION("""COMPUTED_VALUE"""),1)</f>
        <v>1</v>
      </c>
      <c r="D4546" s="8">
        <f ca="1">IFERROR(__xludf.DUMMYFUNCTION("""COMPUTED_VALUE"""),1)</f>
        <v>1</v>
      </c>
      <c r="E4546" s="2">
        <f ca="1">IFERROR(__xludf.DUMMYFUNCTION("""COMPUTED_VALUE"""),1)</f>
        <v>1</v>
      </c>
    </row>
    <row r="4547" spans="1:5" ht="13">
      <c r="A4547" s="2" t="str">
        <f ca="1">IFERROR(__xludf.DUMMYFUNCTION("""COMPUTED_VALUE"""),"Kosko, Danny")</f>
        <v>Kosko, Danny</v>
      </c>
      <c r="B4547" s="3">
        <f ca="1">IFERROR(__xludf.DUMMYFUNCTION("""COMPUTED_VALUE"""),1)</f>
        <v>1</v>
      </c>
      <c r="C4547" s="7">
        <f ca="1">IFERROR(__xludf.DUMMYFUNCTION("""COMPUTED_VALUE"""),1)</f>
        <v>1</v>
      </c>
      <c r="D4547" s="8">
        <f ca="1">IFERROR(__xludf.DUMMYFUNCTION("""COMPUTED_VALUE"""),1)</f>
        <v>1</v>
      </c>
      <c r="E4547" s="2">
        <f ca="1">IFERROR(__xludf.DUMMYFUNCTION("""COMPUTED_VALUE"""),1)</f>
        <v>1</v>
      </c>
    </row>
    <row r="4548" spans="1:5" ht="13">
      <c r="A4548" s="2" t="str">
        <f ca="1">IFERROR(__xludf.DUMMYFUNCTION("""COMPUTED_VALUE"""),"Kosma, Joseph")</f>
        <v>Kosma, Joseph</v>
      </c>
      <c r="B4548" s="2">
        <f ca="1">IFERROR(__xludf.DUMMYFUNCTION("""COMPUTED_VALUE"""),1)</f>
        <v>1</v>
      </c>
      <c r="C4548" s="7">
        <f ca="1">IFERROR(__xludf.DUMMYFUNCTION("""COMPUTED_VALUE"""),1)</f>
        <v>1</v>
      </c>
      <c r="D4548" s="8">
        <f ca="1">IFERROR(__xludf.DUMMYFUNCTION("""COMPUTED_VALUE"""),5)</f>
        <v>5</v>
      </c>
      <c r="E4548" s="2">
        <f ca="1">IFERROR(__xludf.DUMMYFUNCTION("""COMPUTED_VALUE"""),2)</f>
        <v>2</v>
      </c>
    </row>
    <row r="4549" spans="1:5" ht="13">
      <c r="A4549" s="2" t="str">
        <f ca="1">IFERROR(__xludf.DUMMYFUNCTION("""COMPUTED_VALUE"""),"Kosma, Jospeh")</f>
        <v>Kosma, Jospeh</v>
      </c>
      <c r="B4549" s="3">
        <f ca="1">IFERROR(__xludf.DUMMYFUNCTION("""COMPUTED_VALUE"""),1)</f>
        <v>1</v>
      </c>
      <c r="C4549" s="7">
        <f ca="1">IFERROR(__xludf.DUMMYFUNCTION("""COMPUTED_VALUE"""),1)</f>
        <v>1</v>
      </c>
      <c r="D4549" s="8">
        <f ca="1">IFERROR(__xludf.DUMMYFUNCTION("""COMPUTED_VALUE"""),5)</f>
        <v>5</v>
      </c>
      <c r="E4549" s="2">
        <f ca="1">IFERROR(__xludf.DUMMYFUNCTION("""COMPUTED_VALUE"""),2)</f>
        <v>2</v>
      </c>
    </row>
    <row r="4550" spans="1:5" ht="13">
      <c r="A4550" s="2" t="str">
        <f ca="1">IFERROR(__xludf.DUMMYFUNCTION("""COMPUTED_VALUE"""),"Kostiainen, Pekka")</f>
        <v>Kostiainen, Pekka</v>
      </c>
      <c r="B4550" s="3">
        <f ca="1">IFERROR(__xludf.DUMMYFUNCTION("""COMPUTED_VALUE"""),1)</f>
        <v>1</v>
      </c>
      <c r="C4550" s="7">
        <f ca="1">IFERROR(__xludf.DUMMYFUNCTION("""COMPUTED_VALUE"""),1)</f>
        <v>1</v>
      </c>
      <c r="D4550" s="8">
        <f ca="1">IFERROR(__xludf.DUMMYFUNCTION("""COMPUTED_VALUE"""),1)</f>
        <v>1</v>
      </c>
      <c r="E4550" s="2">
        <f ca="1">IFERROR(__xludf.DUMMYFUNCTION("""COMPUTED_VALUE"""),1)</f>
        <v>1</v>
      </c>
    </row>
    <row r="4551" spans="1:5" ht="13">
      <c r="A4551" s="2" t="str">
        <f ca="1">IFERROR(__xludf.DUMMYFUNCTION("""COMPUTED_VALUE"""),"Kostur, Glen")</f>
        <v>Kostur, Glen</v>
      </c>
      <c r="B4551" s="3">
        <f ca="1">IFERROR(__xludf.DUMMYFUNCTION("""COMPUTED_VALUE"""),1)</f>
        <v>1</v>
      </c>
      <c r="C4551" s="7">
        <f ca="1">IFERROR(__xludf.DUMMYFUNCTION("""COMPUTED_VALUE"""),1)</f>
        <v>1</v>
      </c>
      <c r="D4551" s="8">
        <f ca="1">IFERROR(__xludf.DUMMYFUNCTION("""COMPUTED_VALUE"""),1)</f>
        <v>1</v>
      </c>
      <c r="E4551" s="2">
        <f ca="1">IFERROR(__xludf.DUMMYFUNCTION("""COMPUTED_VALUE"""),1)</f>
        <v>1</v>
      </c>
    </row>
    <row r="4552" spans="1:5" ht="13">
      <c r="A4552" s="2" t="str">
        <f ca="1">IFERROR(__xludf.DUMMYFUNCTION("""COMPUTED_VALUE"""),"Kostur, Glenn")</f>
        <v>Kostur, Glenn</v>
      </c>
      <c r="B4552" s="3">
        <f ca="1">IFERROR(__xludf.DUMMYFUNCTION("""COMPUTED_VALUE"""),1)</f>
        <v>1</v>
      </c>
      <c r="C4552" s="7">
        <f ca="1">IFERROR(__xludf.DUMMYFUNCTION("""COMPUTED_VALUE"""),1)</f>
        <v>1</v>
      </c>
      <c r="D4552" s="8">
        <f ca="1">IFERROR(__xludf.DUMMYFUNCTION("""COMPUTED_VALUE"""),1)</f>
        <v>1</v>
      </c>
      <c r="E4552" s="2">
        <f ca="1">IFERROR(__xludf.DUMMYFUNCTION("""COMPUTED_VALUE"""),1)</f>
        <v>1</v>
      </c>
    </row>
    <row r="4553" spans="1:5" ht="13">
      <c r="A4553" s="2" t="str">
        <f ca="1">IFERROR(__xludf.DUMMYFUNCTION("""COMPUTED_VALUE"""),"Kotev, Angel")</f>
        <v>Kotev, Angel</v>
      </c>
      <c r="B4553" s="2">
        <f ca="1">IFERROR(__xludf.DUMMYFUNCTION("""COMPUTED_VALUE"""),1)</f>
        <v>1</v>
      </c>
      <c r="C4553" s="2">
        <f ca="1">IFERROR(__xludf.DUMMYFUNCTION("""COMPUTED_VALUE"""),1)</f>
        <v>1</v>
      </c>
      <c r="D4553" s="8">
        <f ca="1">IFERROR(__xludf.DUMMYFUNCTION("""COMPUTED_VALUE"""),1)</f>
        <v>1</v>
      </c>
      <c r="E4553" s="2">
        <f ca="1">IFERROR(__xludf.DUMMYFUNCTION("""COMPUTED_VALUE"""),1)</f>
        <v>1</v>
      </c>
    </row>
    <row r="4554" spans="1:5" ht="13">
      <c r="A4554" s="2" t="str">
        <f ca="1">IFERROR(__xludf.DUMMYFUNCTION("""COMPUTED_VALUE"""),"Koudelka, James Neal")</f>
        <v>Koudelka, James Neal</v>
      </c>
      <c r="B4554" s="3">
        <f ca="1">IFERROR(__xludf.DUMMYFUNCTION("""COMPUTED_VALUE"""),1)</f>
        <v>1</v>
      </c>
      <c r="C4554" s="7">
        <f ca="1">IFERROR(__xludf.DUMMYFUNCTION("""COMPUTED_VALUE"""),1)</f>
        <v>1</v>
      </c>
      <c r="D4554" s="8">
        <f ca="1">IFERROR(__xludf.DUMMYFUNCTION("""COMPUTED_VALUE"""),1)</f>
        <v>1</v>
      </c>
      <c r="E4554" s="2">
        <f ca="1">IFERROR(__xludf.DUMMYFUNCTION("""COMPUTED_VALUE"""),1)</f>
        <v>1</v>
      </c>
    </row>
    <row r="4555" spans="1:5" ht="13">
      <c r="A4555" s="2" t="str">
        <f ca="1">IFERROR(__xludf.DUMMYFUNCTION("""COMPUTED_VALUE"""),"Koukos, Periklis")</f>
        <v>Koukos, Periklis</v>
      </c>
      <c r="B4555" s="3">
        <f ca="1">IFERROR(__xludf.DUMMYFUNCTION("""COMPUTED_VALUE"""),1)</f>
        <v>1</v>
      </c>
      <c r="C4555" s="7">
        <f ca="1">IFERROR(__xludf.DUMMYFUNCTION("""COMPUTED_VALUE"""),1)</f>
        <v>1</v>
      </c>
      <c r="D4555" s="8">
        <f ca="1">IFERROR(__xludf.DUMMYFUNCTION("""COMPUTED_VALUE"""),1)</f>
        <v>1</v>
      </c>
      <c r="E4555" s="2">
        <f ca="1">IFERROR(__xludf.DUMMYFUNCTION("""COMPUTED_VALUE"""),1)</f>
        <v>1</v>
      </c>
    </row>
    <row r="4556" spans="1:5" ht="13">
      <c r="A4556" s="2" t="str">
        <f ca="1">IFERROR(__xludf.DUMMYFUNCTION("""COMPUTED_VALUE"""),"Koumendakis, Giorgos")</f>
        <v>Koumendakis, Giorgos</v>
      </c>
      <c r="B4556" s="3">
        <f ca="1">IFERROR(__xludf.DUMMYFUNCTION("""COMPUTED_VALUE"""),1)</f>
        <v>1</v>
      </c>
      <c r="C4556" s="7">
        <f ca="1">IFERROR(__xludf.DUMMYFUNCTION("""COMPUTED_VALUE"""),1)</f>
        <v>1</v>
      </c>
      <c r="D4556" s="8">
        <f ca="1">IFERROR(__xludf.DUMMYFUNCTION("""COMPUTED_VALUE"""),1)</f>
        <v>1</v>
      </c>
      <c r="E4556" s="2">
        <f ca="1">IFERROR(__xludf.DUMMYFUNCTION("""COMPUTED_VALUE"""),1)</f>
        <v>1</v>
      </c>
    </row>
    <row r="4557" spans="1:5" ht="13">
      <c r="A4557" s="2" t="str">
        <f ca="1">IFERROR(__xludf.DUMMYFUNCTION("""COMPUTED_VALUE"""),"Kountz, Richard")</f>
        <v>Kountz, Richard</v>
      </c>
      <c r="B4557" s="3">
        <f ca="1">IFERROR(__xludf.DUMMYFUNCTION("""COMPUTED_VALUE"""),1)</f>
        <v>1</v>
      </c>
      <c r="C4557" s="7">
        <f ca="1">IFERROR(__xludf.DUMMYFUNCTION("""COMPUTED_VALUE"""),1)</f>
        <v>1</v>
      </c>
      <c r="D4557" s="8">
        <f ca="1">IFERROR(__xludf.DUMMYFUNCTION("""COMPUTED_VALUE"""),5)</f>
        <v>5</v>
      </c>
      <c r="E4557" s="2">
        <f ca="1">IFERROR(__xludf.DUMMYFUNCTION("""COMPUTED_VALUE"""),2)</f>
        <v>2</v>
      </c>
    </row>
    <row r="4558" spans="1:5" ht="13">
      <c r="A4558" s="2" t="str">
        <f ca="1">IFERROR(__xludf.DUMMYFUNCTION("""COMPUTED_VALUE"""),"Kountz, Theodore")</f>
        <v>Kountz, Theodore</v>
      </c>
      <c r="B4558" s="3">
        <f ca="1">IFERROR(__xludf.DUMMYFUNCTION("""COMPUTED_VALUE"""),1)</f>
        <v>1</v>
      </c>
      <c r="C4558" s="7">
        <f ca="1">IFERROR(__xludf.DUMMYFUNCTION("""COMPUTED_VALUE"""),1)</f>
        <v>1</v>
      </c>
      <c r="D4558" s="8">
        <f ca="1">IFERROR(__xludf.DUMMYFUNCTION("""COMPUTED_VALUE"""),5)</f>
        <v>5</v>
      </c>
      <c r="E4558" s="2">
        <f ca="1">IFERROR(__xludf.DUMMYFUNCTION("""COMPUTED_VALUE"""),2)</f>
        <v>2</v>
      </c>
    </row>
    <row r="4559" spans="1:5" ht="13">
      <c r="A4559" s="2" t="str">
        <f ca="1">IFERROR(__xludf.DUMMYFUNCTION("""COMPUTED_VALUE"""),"Koussevitzky, Serge")</f>
        <v>Koussevitzky, Serge</v>
      </c>
      <c r="B4559" s="3">
        <f ca="1">IFERROR(__xludf.DUMMYFUNCTION("""COMPUTED_VALUE"""),1)</f>
        <v>1</v>
      </c>
      <c r="C4559" s="7">
        <f ca="1">IFERROR(__xludf.DUMMYFUNCTION("""COMPUTED_VALUE"""),1)</f>
        <v>1</v>
      </c>
      <c r="D4559" s="8">
        <f ca="1">IFERROR(__xludf.DUMMYFUNCTION("""COMPUTED_VALUE"""),5)</f>
        <v>5</v>
      </c>
      <c r="E4559" s="2">
        <f ca="1">IFERROR(__xludf.DUMMYFUNCTION("""COMPUTED_VALUE"""),2)</f>
        <v>2</v>
      </c>
    </row>
    <row r="4560" spans="1:5" ht="13">
      <c r="A4560" s="2" t="str">
        <f ca="1">IFERROR(__xludf.DUMMYFUNCTION("""COMPUTED_VALUE"""),"Kovács, Béla")</f>
        <v>Kovács, Béla</v>
      </c>
      <c r="B4560" s="2">
        <f ca="1">IFERROR(__xludf.DUMMYFUNCTION("""COMPUTED_VALUE"""),1)</f>
        <v>1</v>
      </c>
      <c r="C4560" s="2">
        <f ca="1">IFERROR(__xludf.DUMMYFUNCTION("""COMPUTED_VALUE"""),1)</f>
        <v>1</v>
      </c>
      <c r="D4560" s="8">
        <f ca="1">IFERROR(__xludf.DUMMYFUNCTION("""COMPUTED_VALUE"""),1)</f>
        <v>1</v>
      </c>
      <c r="E4560" s="2">
        <f ca="1">IFERROR(__xludf.DUMMYFUNCTION("""COMPUTED_VALUE"""),1)</f>
        <v>1</v>
      </c>
    </row>
    <row r="4561" spans="1:5" ht="13">
      <c r="A4561" s="2" t="str">
        <f ca="1">IFERROR(__xludf.DUMMYFUNCTION("""COMPUTED_VALUE"""),"Kovats, Daniel")</f>
        <v>Kovats, Daniel</v>
      </c>
      <c r="B4561" s="3">
        <f ca="1">IFERROR(__xludf.DUMMYFUNCTION("""COMPUTED_VALUE"""),1)</f>
        <v>1</v>
      </c>
      <c r="C4561" s="7">
        <f ca="1">IFERROR(__xludf.DUMMYFUNCTION("""COMPUTED_VALUE"""),1)</f>
        <v>1</v>
      </c>
      <c r="D4561" s="8">
        <f ca="1">IFERROR(__xludf.DUMMYFUNCTION("""COMPUTED_VALUE"""),1)</f>
        <v>1</v>
      </c>
      <c r="E4561" s="2">
        <f ca="1">IFERROR(__xludf.DUMMYFUNCTION("""COMPUTED_VALUE"""),1)</f>
        <v>1</v>
      </c>
    </row>
    <row r="4562" spans="1:5" ht="13">
      <c r="A4562" s="2" t="str">
        <f ca="1">IFERROR(__xludf.DUMMYFUNCTION("""COMPUTED_VALUE"""),"Koykkar, Joseph")</f>
        <v>Koykkar, Joseph</v>
      </c>
      <c r="B4562" s="3">
        <f ca="1">IFERROR(__xludf.DUMMYFUNCTION("""COMPUTED_VALUE"""),1)</f>
        <v>1</v>
      </c>
      <c r="C4562" s="7">
        <f ca="1">IFERROR(__xludf.DUMMYFUNCTION("""COMPUTED_VALUE"""),1)</f>
        <v>1</v>
      </c>
      <c r="D4562" s="8">
        <f ca="1">IFERROR(__xludf.DUMMYFUNCTION("""COMPUTED_VALUE"""),1)</f>
        <v>1</v>
      </c>
      <c r="E4562" s="2">
        <f ca="1">IFERROR(__xludf.DUMMYFUNCTION("""COMPUTED_VALUE"""),1)</f>
        <v>1</v>
      </c>
    </row>
    <row r="4563" spans="1:5" ht="13">
      <c r="A4563" s="2" t="str">
        <f ca="1">IFERROR(__xludf.DUMMYFUNCTION("""COMPUTED_VALUE"""),"Kozhevnikov, Boris")</f>
        <v>Kozhevnikov, Boris</v>
      </c>
      <c r="B4563" s="3">
        <f ca="1">IFERROR(__xludf.DUMMYFUNCTION("""COMPUTED_VALUE"""),1)</f>
        <v>1</v>
      </c>
      <c r="C4563" s="7">
        <f ca="1">IFERROR(__xludf.DUMMYFUNCTION("""COMPUTED_VALUE"""),1)</f>
        <v>1</v>
      </c>
      <c r="D4563" s="8">
        <f ca="1">IFERROR(__xludf.DUMMYFUNCTION("""COMPUTED_VALUE"""),5)</f>
        <v>5</v>
      </c>
      <c r="E4563" s="2">
        <f ca="1">IFERROR(__xludf.DUMMYFUNCTION("""COMPUTED_VALUE"""),2)</f>
        <v>2</v>
      </c>
    </row>
    <row r="4564" spans="1:5" ht="13">
      <c r="A4564" s="2" t="str">
        <f ca="1">IFERROR(__xludf.DUMMYFUNCTION("""COMPUTED_VALUE"""),"Kraehenbuehl, David")</f>
        <v>Kraehenbuehl, David</v>
      </c>
      <c r="B4564" s="3">
        <f ca="1">IFERROR(__xludf.DUMMYFUNCTION("""COMPUTED_VALUE"""),1)</f>
        <v>1</v>
      </c>
      <c r="C4564" s="7">
        <f ca="1">IFERROR(__xludf.DUMMYFUNCTION("""COMPUTED_VALUE"""),1)</f>
        <v>1</v>
      </c>
      <c r="D4564" s="8">
        <f ca="1">IFERROR(__xludf.DUMMYFUNCTION("""COMPUTED_VALUE"""),5)</f>
        <v>5</v>
      </c>
      <c r="E4564" s="2">
        <f ca="1">IFERROR(__xludf.DUMMYFUNCTION("""COMPUTED_VALUE"""),2)</f>
        <v>2</v>
      </c>
    </row>
    <row r="4565" spans="1:5" ht="13">
      <c r="A4565" s="2" t="str">
        <f ca="1">IFERROR(__xludf.DUMMYFUNCTION("""COMPUTED_VALUE"""),"Kraft, William")</f>
        <v>Kraft, William</v>
      </c>
      <c r="B4565" s="3">
        <f ca="1">IFERROR(__xludf.DUMMYFUNCTION("""COMPUTED_VALUE"""),1)</f>
        <v>1</v>
      </c>
      <c r="C4565" s="7">
        <f ca="1">IFERROR(__xludf.DUMMYFUNCTION("""COMPUTED_VALUE"""),1)</f>
        <v>1</v>
      </c>
      <c r="D4565" s="8">
        <f ca="1">IFERROR(__xludf.DUMMYFUNCTION("""COMPUTED_VALUE"""),5)</f>
        <v>5</v>
      </c>
      <c r="E4565" s="2">
        <f ca="1">IFERROR(__xludf.DUMMYFUNCTION("""COMPUTED_VALUE"""),2)</f>
        <v>2</v>
      </c>
    </row>
    <row r="4566" spans="1:5" ht="13">
      <c r="A4566" s="2" t="str">
        <f ca="1">IFERROR(__xludf.DUMMYFUNCTION("""COMPUTED_VALUE"""),"Kraggerud, Henning")</f>
        <v>Kraggerud, Henning</v>
      </c>
      <c r="B4566" s="3">
        <f ca="1">IFERROR(__xludf.DUMMYFUNCTION("""COMPUTED_VALUE"""),1)</f>
        <v>1</v>
      </c>
      <c r="C4566" s="7">
        <f ca="1">IFERROR(__xludf.DUMMYFUNCTION("""COMPUTED_VALUE"""),1)</f>
        <v>1</v>
      </c>
      <c r="D4566" s="8">
        <f ca="1">IFERROR(__xludf.DUMMYFUNCTION("""COMPUTED_VALUE"""),1)</f>
        <v>1</v>
      </c>
      <c r="E4566" s="2">
        <f ca="1">IFERROR(__xludf.DUMMYFUNCTION("""COMPUTED_VALUE"""),1)</f>
        <v>1</v>
      </c>
    </row>
    <row r="4567" spans="1:5" ht="13">
      <c r="A4567" s="2" t="str">
        <f ca="1">IFERROR(__xludf.DUMMYFUNCTION("""COMPUTED_VALUE"""),"Kraintz, Ken")</f>
        <v>Kraintz, Ken</v>
      </c>
      <c r="B4567" s="3">
        <f ca="1">IFERROR(__xludf.DUMMYFUNCTION("""COMPUTED_VALUE"""),1)</f>
        <v>1</v>
      </c>
      <c r="C4567" s="7">
        <f ca="1">IFERROR(__xludf.DUMMYFUNCTION("""COMPUTED_VALUE"""),1)</f>
        <v>1</v>
      </c>
      <c r="D4567" s="8">
        <f ca="1">IFERROR(__xludf.DUMMYFUNCTION("""COMPUTED_VALUE"""),1)</f>
        <v>1</v>
      </c>
      <c r="E4567" s="2">
        <f ca="1">IFERROR(__xludf.DUMMYFUNCTION("""COMPUTED_VALUE"""),1)</f>
        <v>1</v>
      </c>
    </row>
    <row r="4568" spans="1:5" ht="13">
      <c r="A4568" s="2" t="str">
        <f ca="1">IFERROR(__xludf.DUMMYFUNCTION("""COMPUTED_VALUE"""),"Krakauer, David")</f>
        <v>Krakauer, David</v>
      </c>
      <c r="B4568" s="3">
        <f ca="1">IFERROR(__xludf.DUMMYFUNCTION("""COMPUTED_VALUE"""),1)</f>
        <v>1</v>
      </c>
      <c r="C4568" s="7">
        <f ca="1">IFERROR(__xludf.DUMMYFUNCTION("""COMPUTED_VALUE"""),1)</f>
        <v>1</v>
      </c>
      <c r="D4568" s="8">
        <f ca="1">IFERROR(__xludf.DUMMYFUNCTION("""COMPUTED_VALUE"""),1)</f>
        <v>1</v>
      </c>
      <c r="E4568" s="2">
        <f ca="1">IFERROR(__xludf.DUMMYFUNCTION("""COMPUTED_VALUE"""),1)</f>
        <v>1</v>
      </c>
    </row>
    <row r="4569" spans="1:5" ht="13">
      <c r="A4569" s="2" t="str">
        <f ca="1">IFERROR(__xludf.DUMMYFUNCTION("""COMPUTED_VALUE"""),"Kramer, Timothy")</f>
        <v>Kramer, Timothy</v>
      </c>
      <c r="B4569" s="3">
        <f ca="1">IFERROR(__xludf.DUMMYFUNCTION("""COMPUTED_VALUE"""),1)</f>
        <v>1</v>
      </c>
      <c r="C4569" s="7">
        <f ca="1">IFERROR(__xludf.DUMMYFUNCTION("""COMPUTED_VALUE"""),1)</f>
        <v>1</v>
      </c>
      <c r="D4569" s="8">
        <f ca="1">IFERROR(__xludf.DUMMYFUNCTION("""COMPUTED_VALUE"""),1)</f>
        <v>1</v>
      </c>
      <c r="E4569" s="2">
        <f ca="1">IFERROR(__xludf.DUMMYFUNCTION("""COMPUTED_VALUE"""),1)</f>
        <v>1</v>
      </c>
    </row>
    <row r="4570" spans="1:5" ht="13">
      <c r="A4570" s="2" t="str">
        <f ca="1">IFERROR(__xludf.DUMMYFUNCTION("""COMPUTED_VALUE"""),"Kramer, Walter")</f>
        <v>Kramer, Walter</v>
      </c>
      <c r="B4570" s="3">
        <f ca="1">IFERROR(__xludf.DUMMYFUNCTION("""COMPUTED_VALUE"""),1)</f>
        <v>1</v>
      </c>
      <c r="C4570" s="7">
        <f ca="1">IFERROR(__xludf.DUMMYFUNCTION("""COMPUTED_VALUE"""),1)</f>
        <v>1</v>
      </c>
      <c r="D4570" s="8">
        <f ca="1">IFERROR(__xludf.DUMMYFUNCTION("""COMPUTED_VALUE"""),5)</f>
        <v>5</v>
      </c>
      <c r="E4570" s="2">
        <f ca="1">IFERROR(__xludf.DUMMYFUNCTION("""COMPUTED_VALUE"""),2)</f>
        <v>2</v>
      </c>
    </row>
    <row r="4571" spans="1:5" ht="13">
      <c r="A4571" s="8" t="str">
        <f ca="1">IFERROR(__xludf.DUMMYFUNCTION("""COMPUTED_VALUE"""),"Kramlich, Dan")</f>
        <v>Kramlich, Dan</v>
      </c>
      <c r="B4571" s="3">
        <f ca="1">IFERROR(__xludf.DUMMYFUNCTION("""COMPUTED_VALUE"""),1)</f>
        <v>1</v>
      </c>
      <c r="C4571" s="7">
        <f ca="1">IFERROR(__xludf.DUMMYFUNCTION("""COMPUTED_VALUE"""),1)</f>
        <v>1</v>
      </c>
      <c r="D4571" s="8">
        <f ca="1">IFERROR(__xludf.DUMMYFUNCTION("""COMPUTED_VALUE"""),1)</f>
        <v>1</v>
      </c>
      <c r="E4571" s="2">
        <f ca="1">IFERROR(__xludf.DUMMYFUNCTION("""COMPUTED_VALUE"""),1)</f>
        <v>1</v>
      </c>
    </row>
    <row r="4572" spans="1:5" ht="13">
      <c r="A4572" s="2" t="str">
        <f ca="1">IFERROR(__xludf.DUMMYFUNCTION("""COMPUTED_VALUE"""),"Krance, John")</f>
        <v>Krance, John</v>
      </c>
      <c r="B4572" s="3">
        <f ca="1">IFERROR(__xludf.DUMMYFUNCTION("""COMPUTED_VALUE"""),1)</f>
        <v>1</v>
      </c>
      <c r="C4572" s="7">
        <f ca="1">IFERROR(__xludf.DUMMYFUNCTION("""COMPUTED_VALUE"""),1)</f>
        <v>1</v>
      </c>
      <c r="D4572" s="8">
        <f ca="1">IFERROR(__xludf.DUMMYFUNCTION("""COMPUTED_VALUE"""),5)</f>
        <v>5</v>
      </c>
      <c r="E4572" s="2">
        <f ca="1">IFERROR(__xludf.DUMMYFUNCTION("""COMPUTED_VALUE"""),2)</f>
        <v>2</v>
      </c>
    </row>
    <row r="4573" spans="1:5" ht="13">
      <c r="A4573" s="2" t="str">
        <f ca="1">IFERROR(__xludf.DUMMYFUNCTION("""COMPUTED_VALUE"""),"Krantz, Ejnar")</f>
        <v>Krantz, Ejnar</v>
      </c>
      <c r="B4573" s="3">
        <f ca="1">IFERROR(__xludf.DUMMYFUNCTION("""COMPUTED_VALUE"""),1)</f>
        <v>1</v>
      </c>
      <c r="C4573" s="7">
        <f ca="1">IFERROR(__xludf.DUMMYFUNCTION("""COMPUTED_VALUE"""),1)</f>
        <v>1</v>
      </c>
      <c r="D4573" s="8">
        <f ca="1">IFERROR(__xludf.DUMMYFUNCTION("""COMPUTED_VALUE"""),5)</f>
        <v>5</v>
      </c>
      <c r="E4573" s="2">
        <f ca="1">IFERROR(__xludf.DUMMYFUNCTION("""COMPUTED_VALUE"""),2)</f>
        <v>2</v>
      </c>
    </row>
    <row r="4574" spans="1:5" ht="13">
      <c r="A4574" s="2" t="str">
        <f ca="1">IFERROR(__xludf.DUMMYFUNCTION("""COMPUTED_VALUE"""),"Krapf, Gerhard")</f>
        <v>Krapf, Gerhard</v>
      </c>
      <c r="B4574" s="3">
        <f ca="1">IFERROR(__xludf.DUMMYFUNCTION("""COMPUTED_VALUE"""),1)</f>
        <v>1</v>
      </c>
      <c r="C4574" s="7">
        <f ca="1">IFERROR(__xludf.DUMMYFUNCTION("""COMPUTED_VALUE"""),1)</f>
        <v>1</v>
      </c>
      <c r="D4574" s="8">
        <f ca="1">IFERROR(__xludf.DUMMYFUNCTION("""COMPUTED_VALUE"""),5)</f>
        <v>5</v>
      </c>
      <c r="E4574" s="2">
        <f ca="1">IFERROR(__xludf.DUMMYFUNCTION("""COMPUTED_VALUE"""),2)</f>
        <v>2</v>
      </c>
    </row>
    <row r="4575" spans="1:5" ht="13">
      <c r="A4575" s="2" t="str">
        <f ca="1">IFERROR(__xludf.DUMMYFUNCTION("""COMPUTED_VALUE"""),"Krása, Hans")</f>
        <v>Krása, Hans</v>
      </c>
      <c r="B4575" s="2">
        <f ca="1">IFERROR(__xludf.DUMMYFUNCTION("""COMPUTED_VALUE"""),1)</f>
        <v>1</v>
      </c>
      <c r="C4575" s="2">
        <f ca="1">IFERROR(__xludf.DUMMYFUNCTION("""COMPUTED_VALUE"""),1)</f>
        <v>1</v>
      </c>
      <c r="D4575" s="8">
        <f ca="1">IFERROR(__xludf.DUMMYFUNCTION("""COMPUTED_VALUE"""),5)</f>
        <v>5</v>
      </c>
      <c r="E4575" s="2">
        <f ca="1">IFERROR(__xludf.DUMMYFUNCTION("""COMPUTED_VALUE"""),2)</f>
        <v>2</v>
      </c>
    </row>
    <row r="4576" spans="1:5" ht="13">
      <c r="A4576" s="2" t="str">
        <f ca="1">IFERROR(__xludf.DUMMYFUNCTION("""COMPUTED_VALUE"""),"Kraus")</f>
        <v>Kraus</v>
      </c>
      <c r="B4576" s="3">
        <f ca="1">IFERROR(__xludf.DUMMYFUNCTION("""COMPUTED_VALUE"""),1)</f>
        <v>1</v>
      </c>
      <c r="C4576" s="7">
        <f ca="1">IFERROR(__xludf.DUMMYFUNCTION("""COMPUTED_VALUE"""),1)</f>
        <v>1</v>
      </c>
      <c r="D4576" s="8">
        <f ca="1">IFERROR(__xludf.DUMMYFUNCTION("""COMPUTED_VALUE"""),5)</f>
        <v>5</v>
      </c>
      <c r="E4576" s="2">
        <f ca="1">IFERROR(__xludf.DUMMYFUNCTION("""COMPUTED_VALUE"""),2)</f>
        <v>2</v>
      </c>
    </row>
    <row r="4577" spans="1:5" ht="13">
      <c r="A4577" s="2" t="str">
        <f ca="1">IFERROR(__xludf.DUMMYFUNCTION("""COMPUTED_VALUE"""),"Kraus, Egon")</f>
        <v>Kraus, Egon</v>
      </c>
      <c r="B4577" s="2">
        <f ca="1">IFERROR(__xludf.DUMMYFUNCTION("""COMPUTED_VALUE"""),1)</f>
        <v>1</v>
      </c>
      <c r="C4577" s="2">
        <f ca="1">IFERROR(__xludf.DUMMYFUNCTION("""COMPUTED_VALUE"""),1)</f>
        <v>1</v>
      </c>
      <c r="D4577" s="8">
        <f ca="1">IFERROR(__xludf.DUMMYFUNCTION("""COMPUTED_VALUE"""),5)</f>
        <v>5</v>
      </c>
      <c r="E4577" s="2">
        <f ca="1">IFERROR(__xludf.DUMMYFUNCTION("""COMPUTED_VALUE"""),2)</f>
        <v>2</v>
      </c>
    </row>
    <row r="4578" spans="1:5" ht="13">
      <c r="A4578" s="2" t="str">
        <f ca="1">IFERROR(__xludf.DUMMYFUNCTION("""COMPUTED_VALUE"""),"Kraus, James")</f>
        <v>Kraus, James</v>
      </c>
      <c r="B4578" s="3">
        <f ca="1">IFERROR(__xludf.DUMMYFUNCTION("""COMPUTED_VALUE"""),1)</f>
        <v>1</v>
      </c>
      <c r="C4578" s="7">
        <f ca="1">IFERROR(__xludf.DUMMYFUNCTION("""COMPUTED_VALUE"""),1)</f>
        <v>1</v>
      </c>
      <c r="D4578" s="8">
        <f ca="1">IFERROR(__xludf.DUMMYFUNCTION("""COMPUTED_VALUE"""),5)</f>
        <v>5</v>
      </c>
      <c r="E4578" s="2">
        <f ca="1">IFERROR(__xludf.DUMMYFUNCTION("""COMPUTED_VALUE"""),2)</f>
        <v>2</v>
      </c>
    </row>
    <row r="4579" spans="1:5" ht="13">
      <c r="A4579" s="2" t="str">
        <f ca="1">IFERROR(__xludf.DUMMYFUNCTION("""COMPUTED_VALUE"""),"Kraus, Joseph Martin")</f>
        <v>Kraus, Joseph Martin</v>
      </c>
      <c r="B4579" s="3">
        <f ca="1">IFERROR(__xludf.DUMMYFUNCTION("""COMPUTED_VALUE"""),1)</f>
        <v>1</v>
      </c>
      <c r="C4579" s="7">
        <f ca="1">IFERROR(__xludf.DUMMYFUNCTION("""COMPUTED_VALUE"""),1)</f>
        <v>1</v>
      </c>
      <c r="D4579" s="8">
        <f ca="1">IFERROR(__xludf.DUMMYFUNCTION("""COMPUTED_VALUE"""),5)</f>
        <v>5</v>
      </c>
      <c r="E4579" s="2">
        <f ca="1">IFERROR(__xludf.DUMMYFUNCTION("""COMPUTED_VALUE"""),2)</f>
        <v>2</v>
      </c>
    </row>
    <row r="4580" spans="1:5" ht="13">
      <c r="A4580" s="2" t="str">
        <f ca="1">IFERROR(__xludf.DUMMYFUNCTION("""COMPUTED_VALUE"""),"Krause, Benjamin")</f>
        <v>Krause, Benjamin</v>
      </c>
      <c r="B4580" s="3">
        <f ca="1">IFERROR(__xludf.DUMMYFUNCTION("""COMPUTED_VALUE"""),1)</f>
        <v>1</v>
      </c>
      <c r="C4580" s="7">
        <f ca="1">IFERROR(__xludf.DUMMYFUNCTION("""COMPUTED_VALUE"""),1)</f>
        <v>1</v>
      </c>
      <c r="D4580" s="8">
        <f ca="1">IFERROR(__xludf.DUMMYFUNCTION("""COMPUTED_VALUE"""),1)</f>
        <v>1</v>
      </c>
      <c r="E4580" s="2">
        <f ca="1">IFERROR(__xludf.DUMMYFUNCTION("""COMPUTED_VALUE"""),1)</f>
        <v>1</v>
      </c>
    </row>
    <row r="4581" spans="1:5" ht="13">
      <c r="A4581" s="2" t="str">
        <f ca="1">IFERROR(__xludf.DUMMYFUNCTION("""COMPUTED_VALUE"""),"Krauze, Zygmunt")</f>
        <v>Krauze, Zygmunt</v>
      </c>
      <c r="B4581" s="3">
        <f ca="1">IFERROR(__xludf.DUMMYFUNCTION("""COMPUTED_VALUE"""),1)</f>
        <v>1</v>
      </c>
      <c r="C4581" s="7">
        <f ca="1">IFERROR(__xludf.DUMMYFUNCTION("""COMPUTED_VALUE"""),1)</f>
        <v>1</v>
      </c>
      <c r="D4581" s="8">
        <f ca="1">IFERROR(__xludf.DUMMYFUNCTION("""COMPUTED_VALUE"""),1)</f>
        <v>1</v>
      </c>
      <c r="E4581" s="2">
        <f ca="1">IFERROR(__xludf.DUMMYFUNCTION("""COMPUTED_VALUE"""),1)</f>
        <v>1</v>
      </c>
    </row>
    <row r="4582" spans="1:5" ht="13">
      <c r="A4582" s="2" t="str">
        <f ca="1">IFERROR(__xludf.DUMMYFUNCTION("""COMPUTED_VALUE"""),"Krawczyk, Franck")</f>
        <v>Krawczyk, Franck</v>
      </c>
      <c r="B4582" s="3">
        <f ca="1">IFERROR(__xludf.DUMMYFUNCTION("""COMPUTED_VALUE"""),1)</f>
        <v>1</v>
      </c>
      <c r="C4582" s="7">
        <f ca="1">IFERROR(__xludf.DUMMYFUNCTION("""COMPUTED_VALUE"""),1)</f>
        <v>1</v>
      </c>
      <c r="D4582" s="8">
        <f ca="1">IFERROR(__xludf.DUMMYFUNCTION("""COMPUTED_VALUE"""),1)</f>
        <v>1</v>
      </c>
      <c r="E4582" s="2">
        <f ca="1">IFERROR(__xludf.DUMMYFUNCTION("""COMPUTED_VALUE"""),1)</f>
        <v>1</v>
      </c>
    </row>
    <row r="4583" spans="1:5" ht="13">
      <c r="A4583" s="2" t="str">
        <f ca="1">IFERROR(__xludf.DUMMYFUNCTION("""COMPUTED_VALUE"""),"Krcek, Jaroslav")</f>
        <v>Krcek, Jaroslav</v>
      </c>
      <c r="B4583" s="3">
        <f ca="1">IFERROR(__xludf.DUMMYFUNCTION("""COMPUTED_VALUE"""),1)</f>
        <v>1</v>
      </c>
      <c r="C4583" s="7">
        <f ca="1">IFERROR(__xludf.DUMMYFUNCTION("""COMPUTED_VALUE"""),1)</f>
        <v>1</v>
      </c>
      <c r="D4583" s="8">
        <f ca="1">IFERROR(__xludf.DUMMYFUNCTION("""COMPUTED_VALUE"""),1)</f>
        <v>1</v>
      </c>
      <c r="E4583" s="2">
        <f ca="1">IFERROR(__xludf.DUMMYFUNCTION("""COMPUTED_VALUE"""),1)</f>
        <v>1</v>
      </c>
    </row>
    <row r="4584" spans="1:5" ht="13">
      <c r="A4584" s="8" t="str">
        <f ca="1">IFERROR(__xludf.DUMMYFUNCTION("""COMPUTED_VALUE"""),"Krebs, Johann Tobias")</f>
        <v>Krebs, Johann Tobias</v>
      </c>
      <c r="B4584" s="2">
        <f ca="1">IFERROR(__xludf.DUMMYFUNCTION("""COMPUTED_VALUE"""),1)</f>
        <v>1</v>
      </c>
      <c r="C4584" s="7">
        <f ca="1">IFERROR(__xludf.DUMMYFUNCTION("""COMPUTED_VALUE"""),1)</f>
        <v>1</v>
      </c>
      <c r="D4584" s="8">
        <f ca="1">IFERROR(__xludf.DUMMYFUNCTION("""COMPUTED_VALUE"""),5)</f>
        <v>5</v>
      </c>
      <c r="E4584" s="2">
        <f ca="1">IFERROR(__xludf.DUMMYFUNCTION("""COMPUTED_VALUE"""),2)</f>
        <v>2</v>
      </c>
    </row>
    <row r="4585" spans="1:5" ht="13">
      <c r="A4585" s="2" t="str">
        <f ca="1">IFERROR(__xludf.DUMMYFUNCTION("""COMPUTED_VALUE"""),"Kreek, Cyrillus")</f>
        <v>Kreek, Cyrillus</v>
      </c>
      <c r="B4585" s="2">
        <f ca="1">IFERROR(__xludf.DUMMYFUNCTION("""COMPUTED_VALUE"""),1)</f>
        <v>1</v>
      </c>
      <c r="C4585" s="7">
        <f ca="1">IFERROR(__xludf.DUMMYFUNCTION("""COMPUTED_VALUE"""),1)</f>
        <v>1</v>
      </c>
      <c r="D4585" s="8">
        <f ca="1">IFERROR(__xludf.DUMMYFUNCTION("""COMPUTED_VALUE"""),5)</f>
        <v>5</v>
      </c>
      <c r="E4585" s="2">
        <f ca="1">IFERROR(__xludf.DUMMYFUNCTION("""COMPUTED_VALUE"""),2)</f>
        <v>2</v>
      </c>
    </row>
    <row r="4586" spans="1:5" ht="13">
      <c r="A4586" s="2" t="str">
        <f ca="1">IFERROR(__xludf.DUMMYFUNCTION("""COMPUTED_VALUE"""),"Kreger, Jim")</f>
        <v>Kreger, Jim</v>
      </c>
      <c r="B4586" s="2">
        <f ca="1">IFERROR(__xludf.DUMMYFUNCTION("""COMPUTED_VALUE"""),1)</f>
        <v>1</v>
      </c>
      <c r="C4586" s="2">
        <f ca="1">IFERROR(__xludf.DUMMYFUNCTION("""COMPUTED_VALUE"""),1)</f>
        <v>1</v>
      </c>
      <c r="D4586" s="8">
        <f ca="1">IFERROR(__xludf.DUMMYFUNCTION("""COMPUTED_VALUE"""),1)</f>
        <v>1</v>
      </c>
      <c r="E4586" s="2">
        <f ca="1">IFERROR(__xludf.DUMMYFUNCTION("""COMPUTED_VALUE"""),1)</f>
        <v>1</v>
      </c>
    </row>
    <row r="4587" spans="1:5" ht="13">
      <c r="A4587" s="2" t="str">
        <f ca="1">IFERROR(__xludf.DUMMYFUNCTION("""COMPUTED_VALUE"""),"Kregler, Michael")</f>
        <v>Kregler, Michael</v>
      </c>
      <c r="B4587" s="3">
        <f ca="1">IFERROR(__xludf.DUMMYFUNCTION("""COMPUTED_VALUE"""),1)</f>
        <v>1</v>
      </c>
      <c r="C4587" s="7">
        <f ca="1">IFERROR(__xludf.DUMMYFUNCTION("""COMPUTED_VALUE"""),1)</f>
        <v>1</v>
      </c>
      <c r="D4587" s="8">
        <f ca="1">IFERROR(__xludf.DUMMYFUNCTION("""COMPUTED_VALUE"""),1)</f>
        <v>1</v>
      </c>
      <c r="E4587" s="2">
        <f ca="1">IFERROR(__xludf.DUMMYFUNCTION("""COMPUTED_VALUE"""),1)</f>
        <v>1</v>
      </c>
    </row>
    <row r="4588" spans="1:5" ht="13">
      <c r="A4588" s="2" t="str">
        <f ca="1">IFERROR(__xludf.DUMMYFUNCTION("""COMPUTED_VALUE"""),"Krein, Alexander")</f>
        <v>Krein, Alexander</v>
      </c>
      <c r="B4588" s="3">
        <f ca="1">IFERROR(__xludf.DUMMYFUNCTION("""COMPUTED_VALUE"""),1)</f>
        <v>1</v>
      </c>
      <c r="C4588" s="7">
        <f ca="1">IFERROR(__xludf.DUMMYFUNCTION("""COMPUTED_VALUE"""),1)</f>
        <v>1</v>
      </c>
      <c r="D4588" s="8">
        <f ca="1">IFERROR(__xludf.DUMMYFUNCTION("""COMPUTED_VALUE"""),5)</f>
        <v>5</v>
      </c>
      <c r="E4588" s="2">
        <f ca="1">IFERROR(__xludf.DUMMYFUNCTION("""COMPUTED_VALUE"""),2)</f>
        <v>2</v>
      </c>
    </row>
    <row r="4589" spans="1:5" ht="13">
      <c r="A4589" s="2" t="str">
        <f ca="1">IFERROR(__xludf.DUMMYFUNCTION("""COMPUTED_VALUE"""),"Kreines, Joseph")</f>
        <v>Kreines, Joseph</v>
      </c>
      <c r="B4589" s="3">
        <f ca="1">IFERROR(__xludf.DUMMYFUNCTION("""COMPUTED_VALUE"""),1)</f>
        <v>1</v>
      </c>
      <c r="C4589" s="7">
        <f ca="1">IFERROR(__xludf.DUMMYFUNCTION("""COMPUTED_VALUE"""),1)</f>
        <v>1</v>
      </c>
      <c r="D4589" s="8">
        <f ca="1">IFERROR(__xludf.DUMMYFUNCTION("""COMPUTED_VALUE"""),5)</f>
        <v>5</v>
      </c>
      <c r="E4589" s="2">
        <f ca="1">IFERROR(__xludf.DUMMYFUNCTION("""COMPUTED_VALUE"""),2)</f>
        <v>2</v>
      </c>
    </row>
    <row r="4590" spans="1:5" ht="13">
      <c r="A4590" s="8" t="str">
        <f ca="1">IFERROR(__xludf.DUMMYFUNCTION("""COMPUTED_VALUE"""),"Kreisler, Alexander von")</f>
        <v>Kreisler, Alexander von</v>
      </c>
      <c r="B4590" s="3">
        <f ca="1">IFERROR(__xludf.DUMMYFUNCTION("""COMPUTED_VALUE"""),1)</f>
        <v>1</v>
      </c>
      <c r="C4590" s="7">
        <f ca="1">IFERROR(__xludf.DUMMYFUNCTION("""COMPUTED_VALUE"""),1)</f>
        <v>1</v>
      </c>
      <c r="D4590" s="8">
        <f ca="1">IFERROR(__xludf.DUMMYFUNCTION("""COMPUTED_VALUE"""),5)</f>
        <v>5</v>
      </c>
      <c r="E4590" s="2">
        <f ca="1">IFERROR(__xludf.DUMMYFUNCTION("""COMPUTED_VALUE"""),2)</f>
        <v>2</v>
      </c>
    </row>
    <row r="4591" spans="1:5" ht="13">
      <c r="A4591" s="2" t="str">
        <f ca="1">IFERROR(__xludf.DUMMYFUNCTION("""COMPUTED_VALUE"""),"Kreisler, Fritz")</f>
        <v>Kreisler, Fritz</v>
      </c>
      <c r="B4591" s="3">
        <f ca="1">IFERROR(__xludf.DUMMYFUNCTION("""COMPUTED_VALUE"""),1)</f>
        <v>1</v>
      </c>
      <c r="C4591" s="7">
        <f ca="1">IFERROR(__xludf.DUMMYFUNCTION("""COMPUTED_VALUE"""),1)</f>
        <v>1</v>
      </c>
      <c r="D4591" s="8">
        <f ca="1">IFERROR(__xludf.DUMMYFUNCTION("""COMPUTED_VALUE"""),5)</f>
        <v>5</v>
      </c>
      <c r="E4591" s="2">
        <f ca="1">IFERROR(__xludf.DUMMYFUNCTION("""COMPUTED_VALUE"""),2)</f>
        <v>2</v>
      </c>
    </row>
    <row r="4592" spans="1:5" ht="13">
      <c r="A4592" s="2" t="str">
        <f ca="1">IFERROR(__xludf.DUMMYFUNCTION("""COMPUTED_VALUE"""),"Krell, W.H.")</f>
        <v>Krell, W.H.</v>
      </c>
      <c r="B4592" s="3">
        <f ca="1">IFERROR(__xludf.DUMMYFUNCTION("""COMPUTED_VALUE"""),1)</f>
        <v>1</v>
      </c>
      <c r="C4592" s="7">
        <f ca="1">IFERROR(__xludf.DUMMYFUNCTION("""COMPUTED_VALUE"""),1)</f>
        <v>1</v>
      </c>
      <c r="D4592" s="8">
        <f ca="1">IFERROR(__xludf.DUMMYFUNCTION("""COMPUTED_VALUE"""),5)</f>
        <v>5</v>
      </c>
      <c r="E4592" s="2">
        <f ca="1">IFERROR(__xludf.DUMMYFUNCTION("""COMPUTED_VALUE"""),2)</f>
        <v>2</v>
      </c>
    </row>
    <row r="4593" spans="1:5" ht="13">
      <c r="A4593" s="2" t="str">
        <f ca="1">IFERROR(__xludf.DUMMYFUNCTION("""COMPUTED_VALUE"""),"Krenek, Ernst")</f>
        <v>Krenek, Ernst</v>
      </c>
      <c r="B4593" s="3">
        <f ca="1">IFERROR(__xludf.DUMMYFUNCTION("""COMPUTED_VALUE"""),1)</f>
        <v>1</v>
      </c>
      <c r="C4593" s="7">
        <f ca="1">IFERROR(__xludf.DUMMYFUNCTION("""COMPUTED_VALUE"""),1)</f>
        <v>1</v>
      </c>
      <c r="D4593" s="8">
        <f ca="1">IFERROR(__xludf.DUMMYFUNCTION("""COMPUTED_VALUE"""),5)</f>
        <v>5</v>
      </c>
      <c r="E4593" s="2">
        <f ca="1">IFERROR(__xludf.DUMMYFUNCTION("""COMPUTED_VALUE"""),2)</f>
        <v>2</v>
      </c>
    </row>
    <row r="4594" spans="1:5" ht="13">
      <c r="A4594" s="2" t="str">
        <f ca="1">IFERROR(__xludf.DUMMYFUNCTION("""COMPUTED_VALUE"""),"Kreutz, Robert")</f>
        <v>Kreutz, Robert</v>
      </c>
      <c r="B4594" s="3">
        <f ca="1">IFERROR(__xludf.DUMMYFUNCTION("""COMPUTED_VALUE"""),1)</f>
        <v>1</v>
      </c>
      <c r="C4594" s="7">
        <f ca="1">IFERROR(__xludf.DUMMYFUNCTION("""COMPUTED_VALUE"""),1)</f>
        <v>1</v>
      </c>
      <c r="D4594" s="8">
        <f ca="1">IFERROR(__xludf.DUMMYFUNCTION("""COMPUTED_VALUE"""),5)</f>
        <v>5</v>
      </c>
      <c r="E4594" s="2">
        <f ca="1">IFERROR(__xludf.DUMMYFUNCTION("""COMPUTED_VALUE"""),2)</f>
        <v>2</v>
      </c>
    </row>
    <row r="4595" spans="1:5" ht="13">
      <c r="A4595" s="2" t="str">
        <f ca="1">IFERROR(__xludf.DUMMYFUNCTION("""COMPUTED_VALUE"""),"Kreutzer, Conradin")</f>
        <v>Kreutzer, Conradin</v>
      </c>
      <c r="B4595" s="3">
        <f ca="1">IFERROR(__xludf.DUMMYFUNCTION("""COMPUTED_VALUE"""),1)</f>
        <v>1</v>
      </c>
      <c r="C4595" s="7">
        <f ca="1">IFERROR(__xludf.DUMMYFUNCTION("""COMPUTED_VALUE"""),1)</f>
        <v>1</v>
      </c>
      <c r="D4595" s="8">
        <f ca="1">IFERROR(__xludf.DUMMYFUNCTION("""COMPUTED_VALUE"""),5)</f>
        <v>5</v>
      </c>
      <c r="E4595" s="2">
        <f ca="1">IFERROR(__xludf.DUMMYFUNCTION("""COMPUTED_VALUE"""),2)</f>
        <v>2</v>
      </c>
    </row>
    <row r="4596" spans="1:5" ht="13">
      <c r="A4596" s="2" t="str">
        <f ca="1">IFERROR(__xludf.DUMMYFUNCTION("""COMPUTED_VALUE"""),"Kreutzer, Rodolphe")</f>
        <v>Kreutzer, Rodolphe</v>
      </c>
      <c r="B4596" s="3">
        <f ca="1">IFERROR(__xludf.DUMMYFUNCTION("""COMPUTED_VALUE"""),1)</f>
        <v>1</v>
      </c>
      <c r="C4596" s="7">
        <f ca="1">IFERROR(__xludf.DUMMYFUNCTION("""COMPUTED_VALUE"""),1)</f>
        <v>1</v>
      </c>
      <c r="D4596" s="8">
        <f ca="1">IFERROR(__xludf.DUMMYFUNCTION("""COMPUTED_VALUE"""),5)</f>
        <v>5</v>
      </c>
      <c r="E4596" s="2">
        <f ca="1">IFERROR(__xludf.DUMMYFUNCTION("""COMPUTED_VALUE"""),2)</f>
        <v>2</v>
      </c>
    </row>
    <row r="4597" spans="1:5" ht="13">
      <c r="A4597" s="8" t="str">
        <f ca="1">IFERROR(__xludf.DUMMYFUNCTION("""COMPUTED_VALUE"""),"Kriechbaum, Casey")</f>
        <v>Kriechbaum, Casey</v>
      </c>
      <c r="B4597" s="3">
        <f ca="1">IFERROR(__xludf.DUMMYFUNCTION("""COMPUTED_VALUE"""),1)</f>
        <v>1</v>
      </c>
      <c r="C4597" s="7">
        <f ca="1">IFERROR(__xludf.DUMMYFUNCTION("""COMPUTED_VALUE"""),1)</f>
        <v>1</v>
      </c>
      <c r="D4597" s="8">
        <f ca="1">IFERROR(__xludf.DUMMYFUNCTION("""COMPUTED_VALUE"""),1)</f>
        <v>1</v>
      </c>
      <c r="E4597" s="2">
        <f ca="1">IFERROR(__xludf.DUMMYFUNCTION("""COMPUTED_VALUE"""),1)</f>
        <v>1</v>
      </c>
    </row>
    <row r="4598" spans="1:5" ht="13">
      <c r="A4598" s="2" t="str">
        <f ca="1">IFERROR(__xludf.DUMMYFUNCTION("""COMPUTED_VALUE"""),"Krieger, Johann Philipp")</f>
        <v>Krieger, Johann Philipp</v>
      </c>
      <c r="B4598" s="3">
        <f ca="1">IFERROR(__xludf.DUMMYFUNCTION("""COMPUTED_VALUE"""),1)</f>
        <v>1</v>
      </c>
      <c r="C4598" s="7">
        <f ca="1">IFERROR(__xludf.DUMMYFUNCTION("""COMPUTED_VALUE"""),1)</f>
        <v>1</v>
      </c>
      <c r="D4598" s="8">
        <f ca="1">IFERROR(__xludf.DUMMYFUNCTION("""COMPUTED_VALUE"""),5)</f>
        <v>5</v>
      </c>
      <c r="E4598" s="2">
        <f ca="1">IFERROR(__xludf.DUMMYFUNCTION("""COMPUTED_VALUE"""),2)</f>
        <v>2</v>
      </c>
    </row>
    <row r="4599" spans="1:5" ht="13">
      <c r="A4599" s="2" t="str">
        <f ca="1">IFERROR(__xludf.DUMMYFUNCTION("""COMPUTED_VALUE"""),"Kriegeskotte, Christian")</f>
        <v>Kriegeskotte, Christian</v>
      </c>
      <c r="B4599" s="2">
        <f ca="1">IFERROR(__xludf.DUMMYFUNCTION("""COMPUTED_VALUE"""),1)</f>
        <v>1</v>
      </c>
      <c r="C4599" s="2">
        <f ca="1">IFERROR(__xludf.DUMMYFUNCTION("""COMPUTED_VALUE"""),1)</f>
        <v>1</v>
      </c>
      <c r="D4599" s="8">
        <f ca="1">IFERROR(__xludf.DUMMYFUNCTION("""COMPUTED_VALUE"""),1)</f>
        <v>1</v>
      </c>
      <c r="E4599" s="2">
        <f ca="1">IFERROR(__xludf.DUMMYFUNCTION("""COMPUTED_VALUE"""),1)</f>
        <v>1</v>
      </c>
    </row>
    <row r="4600" spans="1:5" ht="13">
      <c r="A4600" s="8" t="str">
        <f ca="1">IFERROR(__xludf.DUMMYFUNCTION("""COMPUTED_VALUE"""),"Kring, Katie")</f>
        <v>Kring, Katie</v>
      </c>
      <c r="B4600" s="3">
        <f ca="1">IFERROR(__xludf.DUMMYFUNCTION("""COMPUTED_VALUE"""),1)</f>
        <v>1</v>
      </c>
      <c r="C4600" s="7">
        <f ca="1">IFERROR(__xludf.DUMMYFUNCTION("""COMPUTED_VALUE"""),1)</f>
        <v>1</v>
      </c>
      <c r="D4600" s="8">
        <f ca="1">IFERROR(__xludf.DUMMYFUNCTION("""COMPUTED_VALUE"""),1)</f>
        <v>1</v>
      </c>
      <c r="E4600" s="2">
        <f ca="1">IFERROR(__xludf.DUMMYFUNCTION("""COMPUTED_VALUE"""),1)</f>
        <v>1</v>
      </c>
    </row>
    <row r="4601" spans="1:5" ht="13">
      <c r="A4601" s="2" t="str">
        <f ca="1">IFERROR(__xludf.DUMMYFUNCTION("""COMPUTED_VALUE"""),"Kriske, Jeff")</f>
        <v>Kriske, Jeff</v>
      </c>
      <c r="B4601" s="2">
        <f ca="1">IFERROR(__xludf.DUMMYFUNCTION("""COMPUTED_VALUE"""),1)</f>
        <v>1</v>
      </c>
      <c r="C4601" s="2">
        <f ca="1">IFERROR(__xludf.DUMMYFUNCTION("""COMPUTED_VALUE"""),1)</f>
        <v>1</v>
      </c>
      <c r="D4601" s="8">
        <f ca="1">IFERROR(__xludf.DUMMYFUNCTION("""COMPUTED_VALUE"""),1)</f>
        <v>1</v>
      </c>
      <c r="E4601" s="2">
        <f ca="1">IFERROR(__xludf.DUMMYFUNCTION("""COMPUTED_VALUE"""),1)</f>
        <v>1</v>
      </c>
    </row>
    <row r="4602" spans="1:5" ht="13">
      <c r="A4602" s="2" t="str">
        <f ca="1">IFERROR(__xludf.DUMMYFUNCTION("""COMPUTED_VALUE"""),"Kristofferson, Kenley")</f>
        <v>Kristofferson, Kenley</v>
      </c>
      <c r="B4602" s="3">
        <f ca="1">IFERROR(__xludf.DUMMYFUNCTION("""COMPUTED_VALUE"""),1)</f>
        <v>1</v>
      </c>
      <c r="C4602" s="7">
        <f ca="1">IFERROR(__xludf.DUMMYFUNCTION("""COMPUTED_VALUE"""),1)</f>
        <v>1</v>
      </c>
      <c r="D4602" s="8">
        <f ca="1">IFERROR(__xludf.DUMMYFUNCTION("""COMPUTED_VALUE"""),1)</f>
        <v>1</v>
      </c>
      <c r="E4602" s="2">
        <f ca="1">IFERROR(__xludf.DUMMYFUNCTION("""COMPUTED_VALUE"""),1)</f>
        <v>1</v>
      </c>
    </row>
    <row r="4603" spans="1:5" ht="13">
      <c r="A4603" s="2" t="str">
        <f ca="1">IFERROR(__xludf.DUMMYFUNCTION("""COMPUTED_VALUE"""),"Kroeger, Karl")</f>
        <v>Kroeger, Karl</v>
      </c>
      <c r="B4603" s="3">
        <f ca="1">IFERROR(__xludf.DUMMYFUNCTION("""COMPUTED_VALUE"""),1)</f>
        <v>1</v>
      </c>
      <c r="C4603" s="7">
        <f ca="1">IFERROR(__xludf.DUMMYFUNCTION("""COMPUTED_VALUE"""),1)</f>
        <v>1</v>
      </c>
      <c r="D4603" s="8">
        <f ca="1">IFERROR(__xludf.DUMMYFUNCTION("""COMPUTED_VALUE"""),1)</f>
        <v>1</v>
      </c>
      <c r="E4603" s="2">
        <f ca="1">IFERROR(__xludf.DUMMYFUNCTION("""COMPUTED_VALUE"""),1)</f>
        <v>1</v>
      </c>
    </row>
    <row r="4604" spans="1:5" ht="13">
      <c r="A4604" s="2" t="str">
        <f ca="1">IFERROR(__xludf.DUMMYFUNCTION("""COMPUTED_VALUE"""),"Kroepsch, Fritz")</f>
        <v>Kroepsch, Fritz</v>
      </c>
      <c r="B4604" s="3">
        <f ca="1">IFERROR(__xludf.DUMMYFUNCTION("""COMPUTED_VALUE"""),1)</f>
        <v>1</v>
      </c>
      <c r="C4604" s="7">
        <f ca="1">IFERROR(__xludf.DUMMYFUNCTION("""COMPUTED_VALUE"""),1)</f>
        <v>1</v>
      </c>
      <c r="D4604" s="8">
        <f ca="1">IFERROR(__xludf.DUMMYFUNCTION("""COMPUTED_VALUE"""),5)</f>
        <v>5</v>
      </c>
      <c r="E4604" s="2">
        <f ca="1">IFERROR(__xludf.DUMMYFUNCTION("""COMPUTED_VALUE"""),2)</f>
        <v>2</v>
      </c>
    </row>
    <row r="4605" spans="1:5" ht="13">
      <c r="A4605" s="2" t="str">
        <f ca="1">IFERROR(__xludf.DUMMYFUNCTION("""COMPUTED_VALUE"""),"Krogstad, Bob")</f>
        <v>Krogstad, Bob</v>
      </c>
      <c r="B4605" s="2">
        <f ca="1">IFERROR(__xludf.DUMMYFUNCTION("""COMPUTED_VALUE"""),1)</f>
        <v>1</v>
      </c>
      <c r="C4605" s="7">
        <f ca="1">IFERROR(__xludf.DUMMYFUNCTION("""COMPUTED_VALUE"""),1)</f>
        <v>1</v>
      </c>
      <c r="D4605" s="8">
        <f ca="1">IFERROR(__xludf.DUMMYFUNCTION("""COMPUTED_VALUE"""),1)</f>
        <v>1</v>
      </c>
      <c r="E4605" s="2">
        <f ca="1">IFERROR(__xludf.DUMMYFUNCTION("""COMPUTED_VALUE"""),1)</f>
        <v>1</v>
      </c>
    </row>
    <row r="4606" spans="1:5" ht="13">
      <c r="A4606" s="2" t="str">
        <f ca="1">IFERROR(__xludf.DUMMYFUNCTION("""COMPUTED_VALUE"""),"Kroll, F. Scott")</f>
        <v>Kroll, F. Scott</v>
      </c>
      <c r="B4606" s="3">
        <f ca="1">IFERROR(__xludf.DUMMYFUNCTION("""COMPUTED_VALUE"""),1)</f>
        <v>1</v>
      </c>
      <c r="C4606" s="7">
        <f ca="1">IFERROR(__xludf.DUMMYFUNCTION("""COMPUTED_VALUE"""),1)</f>
        <v>1</v>
      </c>
      <c r="D4606" s="8">
        <f ca="1">IFERROR(__xludf.DUMMYFUNCTION("""COMPUTED_VALUE"""),1)</f>
        <v>1</v>
      </c>
      <c r="E4606" s="2">
        <f ca="1">IFERROR(__xludf.DUMMYFUNCTION("""COMPUTED_VALUE"""),1)</f>
        <v>1</v>
      </c>
    </row>
    <row r="4607" spans="1:5" ht="13">
      <c r="A4607" s="2" t="str">
        <f ca="1">IFERROR(__xludf.DUMMYFUNCTION("""COMPUTED_VALUE"""),"Krommer, Franz")</f>
        <v>Krommer, Franz</v>
      </c>
      <c r="B4607" s="2">
        <f ca="1">IFERROR(__xludf.DUMMYFUNCTION("""COMPUTED_VALUE"""),1)</f>
        <v>1</v>
      </c>
      <c r="C4607" s="2">
        <f ca="1">IFERROR(__xludf.DUMMYFUNCTION("""COMPUTED_VALUE"""),1)</f>
        <v>1</v>
      </c>
      <c r="D4607" s="8">
        <f ca="1">IFERROR(__xludf.DUMMYFUNCTION("""COMPUTED_VALUE"""),5)</f>
        <v>5</v>
      </c>
      <c r="E4607" s="2">
        <f ca="1">IFERROR(__xludf.DUMMYFUNCTION("""COMPUTED_VALUE"""),2)</f>
        <v>2</v>
      </c>
    </row>
    <row r="4608" spans="1:5" ht="13">
      <c r="A4608" s="2" t="str">
        <f ca="1">IFERROR(__xludf.DUMMYFUNCTION("""COMPUTED_VALUE"""),"Krommer, Franz V.")</f>
        <v>Krommer, Franz V.</v>
      </c>
      <c r="B4608" s="3">
        <f ca="1">IFERROR(__xludf.DUMMYFUNCTION("""COMPUTED_VALUE"""),1)</f>
        <v>1</v>
      </c>
      <c r="C4608" s="7">
        <f ca="1">IFERROR(__xludf.DUMMYFUNCTION("""COMPUTED_VALUE"""),1)</f>
        <v>1</v>
      </c>
      <c r="D4608" s="8">
        <f ca="1">IFERROR(__xludf.DUMMYFUNCTION("""COMPUTED_VALUE"""),5)</f>
        <v>5</v>
      </c>
      <c r="E4608" s="2">
        <f ca="1">IFERROR(__xludf.DUMMYFUNCTION("""COMPUTED_VALUE"""),2)</f>
        <v>2</v>
      </c>
    </row>
    <row r="4609" spans="1:5" ht="13">
      <c r="A4609" s="2" t="str">
        <f ca="1">IFERROR(__xludf.DUMMYFUNCTION("""COMPUTED_VALUE"""),"Krone, Max T.")</f>
        <v>Krone, Max T.</v>
      </c>
      <c r="B4609" s="2">
        <f ca="1">IFERROR(__xludf.DUMMYFUNCTION("""COMPUTED_VALUE"""),1)</f>
        <v>1</v>
      </c>
      <c r="C4609" s="2">
        <f ca="1">IFERROR(__xludf.DUMMYFUNCTION("""COMPUTED_VALUE"""),1)</f>
        <v>1</v>
      </c>
      <c r="D4609" s="8">
        <f ca="1">IFERROR(__xludf.DUMMYFUNCTION("""COMPUTED_VALUE"""),5)</f>
        <v>5</v>
      </c>
      <c r="E4609" s="2">
        <f ca="1">IFERROR(__xludf.DUMMYFUNCTION("""COMPUTED_VALUE"""),2)</f>
        <v>2</v>
      </c>
    </row>
    <row r="4610" spans="1:5" ht="13">
      <c r="A4610" s="2" t="str">
        <f ca="1">IFERROR(__xludf.DUMMYFUNCTION("""COMPUTED_VALUE"""),"Kropf, Michael")</f>
        <v>Kropf, Michael</v>
      </c>
      <c r="B4610" s="3">
        <f ca="1">IFERROR(__xludf.DUMMYFUNCTION("""COMPUTED_VALUE"""),1)</f>
        <v>1</v>
      </c>
      <c r="C4610" s="7">
        <f ca="1">IFERROR(__xludf.DUMMYFUNCTION("""COMPUTED_VALUE"""),1)</f>
        <v>1</v>
      </c>
      <c r="D4610" s="8">
        <f ca="1">IFERROR(__xludf.DUMMYFUNCTION("""COMPUTED_VALUE"""),1)</f>
        <v>1</v>
      </c>
      <c r="E4610" s="2">
        <f ca="1">IFERROR(__xludf.DUMMYFUNCTION("""COMPUTED_VALUE"""),1)</f>
        <v>1</v>
      </c>
    </row>
    <row r="4611" spans="1:5" ht="13">
      <c r="A4611" s="2" t="str">
        <f ca="1">IFERROR(__xludf.DUMMYFUNCTION("""COMPUTED_VALUE"""),"Krueger, Michael")</f>
        <v>Krueger, Michael</v>
      </c>
      <c r="B4611" s="3">
        <f ca="1">IFERROR(__xludf.DUMMYFUNCTION("""COMPUTED_VALUE"""),1)</f>
        <v>1</v>
      </c>
      <c r="C4611" s="7">
        <f ca="1">IFERROR(__xludf.DUMMYFUNCTION("""COMPUTED_VALUE"""),1)</f>
        <v>1</v>
      </c>
      <c r="D4611" s="8">
        <f ca="1">IFERROR(__xludf.DUMMYFUNCTION("""COMPUTED_VALUE"""),1)</f>
        <v>1</v>
      </c>
      <c r="E4611" s="2">
        <f ca="1">IFERROR(__xludf.DUMMYFUNCTION("""COMPUTED_VALUE"""),1)</f>
        <v>1</v>
      </c>
    </row>
    <row r="4612" spans="1:5" ht="13">
      <c r="A4612" s="2" t="str">
        <f ca="1">IFERROR(__xludf.DUMMYFUNCTION("""COMPUTED_VALUE"""),"Krug, Jason")</f>
        <v>Krug, Jason</v>
      </c>
      <c r="B4612" s="3">
        <f ca="1">IFERROR(__xludf.DUMMYFUNCTION("""COMPUTED_VALUE"""),1)</f>
        <v>1</v>
      </c>
      <c r="C4612" s="7">
        <f ca="1">IFERROR(__xludf.DUMMYFUNCTION("""COMPUTED_VALUE"""),1)</f>
        <v>1</v>
      </c>
      <c r="D4612" s="8">
        <f ca="1">IFERROR(__xludf.DUMMYFUNCTION("""COMPUTED_VALUE"""),1)</f>
        <v>1</v>
      </c>
      <c r="E4612" s="2">
        <f ca="1">IFERROR(__xludf.DUMMYFUNCTION("""COMPUTED_VALUE"""),1)</f>
        <v>1</v>
      </c>
    </row>
    <row r="4613" spans="1:5" ht="13">
      <c r="A4613" s="2" t="str">
        <f ca="1">IFERROR(__xludf.DUMMYFUNCTION("""COMPUTED_VALUE"""),"Kruger, Bernard")</f>
        <v>Kruger, Bernard</v>
      </c>
      <c r="B4613" s="3">
        <f ca="1">IFERROR(__xludf.DUMMYFUNCTION("""COMPUTED_VALUE"""),1)</f>
        <v>1</v>
      </c>
      <c r="C4613" s="7">
        <f ca="1">IFERROR(__xludf.DUMMYFUNCTION("""COMPUTED_VALUE"""),1)</f>
        <v>1</v>
      </c>
      <c r="D4613" s="8">
        <f ca="1">IFERROR(__xludf.DUMMYFUNCTION("""COMPUTED_VALUE"""),1)</f>
        <v>1</v>
      </c>
      <c r="E4613" s="2">
        <f ca="1">IFERROR(__xludf.DUMMYFUNCTION("""COMPUTED_VALUE"""),1)</f>
        <v>1</v>
      </c>
    </row>
    <row r="4614" spans="1:5" ht="13">
      <c r="A4614" s="2" t="str">
        <f ca="1">IFERROR(__xludf.DUMMYFUNCTION("""COMPUTED_VALUE"""),"Krumenauer, Kevin")</f>
        <v>Krumenauer, Kevin</v>
      </c>
      <c r="B4614" s="3">
        <f ca="1">IFERROR(__xludf.DUMMYFUNCTION("""COMPUTED_VALUE"""),1)</f>
        <v>1</v>
      </c>
      <c r="C4614" s="7">
        <f ca="1">IFERROR(__xludf.DUMMYFUNCTION("""COMPUTED_VALUE"""),1)</f>
        <v>1</v>
      </c>
      <c r="D4614" s="8">
        <f ca="1">IFERROR(__xludf.DUMMYFUNCTION("""COMPUTED_VALUE"""),1)</f>
        <v>1</v>
      </c>
      <c r="E4614" s="2">
        <f ca="1">IFERROR(__xludf.DUMMYFUNCTION("""COMPUTED_VALUE"""),1)</f>
        <v>1</v>
      </c>
    </row>
    <row r="4615" spans="1:5" ht="13">
      <c r="A4615" s="2" t="str">
        <f ca="1">IFERROR(__xludf.DUMMYFUNCTION("""COMPUTED_VALUE"""),"Krunnfusz, Dan")</f>
        <v>Krunnfusz, Dan</v>
      </c>
      <c r="B4615" s="3">
        <f ca="1">IFERROR(__xludf.DUMMYFUNCTION("""COMPUTED_VALUE"""),1)</f>
        <v>1</v>
      </c>
      <c r="C4615" s="7">
        <f ca="1">IFERROR(__xludf.DUMMYFUNCTION("""COMPUTED_VALUE"""),1)</f>
        <v>1</v>
      </c>
      <c r="D4615" s="8">
        <f ca="1">IFERROR(__xludf.DUMMYFUNCTION("""COMPUTED_VALUE"""),1)</f>
        <v>1</v>
      </c>
      <c r="E4615" s="2">
        <f ca="1">IFERROR(__xludf.DUMMYFUNCTION("""COMPUTED_VALUE"""),1)</f>
        <v>1</v>
      </c>
    </row>
    <row r="4616" spans="1:5" ht="13">
      <c r="A4616" s="8" t="str">
        <f ca="1">IFERROR(__xludf.DUMMYFUNCTION("""COMPUTED_VALUE"""),"Krunnfusz, Gordon")</f>
        <v>Krunnfusz, Gordon</v>
      </c>
      <c r="B4616" s="3">
        <f ca="1">IFERROR(__xludf.DUMMYFUNCTION("""COMPUTED_VALUE"""),1)</f>
        <v>1</v>
      </c>
      <c r="C4616" s="7">
        <f ca="1">IFERROR(__xludf.DUMMYFUNCTION("""COMPUTED_VALUE"""),1)</f>
        <v>1</v>
      </c>
      <c r="D4616" s="8">
        <f ca="1">IFERROR(__xludf.DUMMYFUNCTION("""COMPUTED_VALUE"""),5)</f>
        <v>5</v>
      </c>
      <c r="E4616" s="2">
        <f ca="1">IFERROR(__xludf.DUMMYFUNCTION("""COMPUTED_VALUE"""),2)</f>
        <v>2</v>
      </c>
    </row>
    <row r="4617" spans="1:5" ht="13">
      <c r="A4617" s="2" t="str">
        <f ca="1">IFERROR(__xludf.DUMMYFUNCTION("""COMPUTED_VALUE"""),"Kubian, Darryl")</f>
        <v>Kubian, Darryl</v>
      </c>
      <c r="B4617" s="3">
        <f ca="1">IFERROR(__xludf.DUMMYFUNCTION("""COMPUTED_VALUE"""),1)</f>
        <v>1</v>
      </c>
      <c r="C4617" s="7">
        <f ca="1">IFERROR(__xludf.DUMMYFUNCTION("""COMPUTED_VALUE"""),1)</f>
        <v>1</v>
      </c>
      <c r="D4617" s="8">
        <f ca="1">IFERROR(__xludf.DUMMYFUNCTION("""COMPUTED_VALUE"""),1)</f>
        <v>1</v>
      </c>
      <c r="E4617" s="2">
        <f ca="1">IFERROR(__xludf.DUMMYFUNCTION("""COMPUTED_VALUE"""),1)</f>
        <v>1</v>
      </c>
    </row>
    <row r="4618" spans="1:5" ht="13">
      <c r="A4618" s="2" t="str">
        <f ca="1">IFERROR(__xludf.DUMMYFUNCTION("""COMPUTED_VALUE"""),"Kubik, Gail")</f>
        <v>Kubik, Gail</v>
      </c>
      <c r="B4618" s="2">
        <f ca="1">IFERROR(__xludf.DUMMYFUNCTION("""COMPUTED_VALUE"""),1)</f>
        <v>1</v>
      </c>
      <c r="C4618" s="7">
        <f ca="1">IFERROR(__xludf.DUMMYFUNCTION("""COMPUTED_VALUE"""),1)</f>
        <v>1</v>
      </c>
      <c r="D4618" s="8">
        <f ca="1">IFERROR(__xludf.DUMMYFUNCTION("""COMPUTED_VALUE"""),5)</f>
        <v>5</v>
      </c>
      <c r="E4618" s="2">
        <f ca="1">IFERROR(__xludf.DUMMYFUNCTION("""COMPUTED_VALUE"""),2)</f>
        <v>2</v>
      </c>
    </row>
    <row r="4619" spans="1:5" ht="13">
      <c r="A4619" s="2" t="str">
        <f ca="1">IFERROR(__xludf.DUMMYFUNCTION("""COMPUTED_VALUE"""),"Kubis, Tom")</f>
        <v>Kubis, Tom</v>
      </c>
      <c r="B4619" s="3">
        <f ca="1">IFERROR(__xludf.DUMMYFUNCTION("""COMPUTED_VALUE"""),1)</f>
        <v>1</v>
      </c>
      <c r="C4619" s="7">
        <f ca="1">IFERROR(__xludf.DUMMYFUNCTION("""COMPUTED_VALUE"""),1)</f>
        <v>1</v>
      </c>
      <c r="D4619" s="8">
        <f ca="1">IFERROR(__xludf.DUMMYFUNCTION("""COMPUTED_VALUE"""),1)</f>
        <v>1</v>
      </c>
      <c r="E4619" s="2">
        <f ca="1">IFERROR(__xludf.DUMMYFUNCTION("""COMPUTED_VALUE"""),1)</f>
        <v>1</v>
      </c>
    </row>
    <row r="4620" spans="1:5" ht="13">
      <c r="A4620" s="2" t="str">
        <f ca="1">IFERROR(__xludf.DUMMYFUNCTION("""COMPUTED_VALUE"""),"Kucharski, Paul")</f>
        <v>Kucharski, Paul</v>
      </c>
      <c r="B4620" s="2">
        <f ca="1">IFERROR(__xludf.DUMMYFUNCTION("""COMPUTED_VALUE"""),1)</f>
        <v>1</v>
      </c>
      <c r="C4620" s="7">
        <f ca="1">IFERROR(__xludf.DUMMYFUNCTION("""COMPUTED_VALUE"""),1)</f>
        <v>1</v>
      </c>
      <c r="D4620" s="8">
        <f ca="1">IFERROR(__xludf.DUMMYFUNCTION("""COMPUTED_VALUE"""),1)</f>
        <v>1</v>
      </c>
      <c r="E4620" s="2">
        <f ca="1">IFERROR(__xludf.DUMMYFUNCTION("""COMPUTED_VALUE"""),1)</f>
        <v>1</v>
      </c>
    </row>
    <row r="4621" spans="1:5" ht="13">
      <c r="A4621" s="8" t="str">
        <f ca="1">IFERROR(__xludf.DUMMYFUNCTION("""COMPUTED_VALUE"""),"Kucharz,Lawrence W.")</f>
        <v>Kucharz,Lawrence W.</v>
      </c>
      <c r="B4621" s="3">
        <f ca="1">IFERROR(__xludf.DUMMYFUNCTION("""COMPUTED_VALUE"""),1)</f>
        <v>1</v>
      </c>
      <c r="C4621" s="7">
        <f ca="1">IFERROR(__xludf.DUMMYFUNCTION("""COMPUTED_VALUE"""),1)</f>
        <v>1</v>
      </c>
      <c r="D4621" s="8">
        <f ca="1">IFERROR(__xludf.DUMMYFUNCTION("""COMPUTED_VALUE"""),1)</f>
        <v>1</v>
      </c>
      <c r="E4621" s="2">
        <f ca="1">IFERROR(__xludf.DUMMYFUNCTION("""COMPUTED_VALUE"""),1)</f>
        <v>1</v>
      </c>
    </row>
    <row r="4622" spans="1:5" ht="13">
      <c r="A4622" s="8" t="str">
        <f ca="1">IFERROR(__xludf.DUMMYFUNCTION("""COMPUTED_VALUE"""),"Küchler, Ferdinand")</f>
        <v>Küchler, Ferdinand</v>
      </c>
      <c r="B4622" s="3">
        <f ca="1">IFERROR(__xludf.DUMMYFUNCTION("""COMPUTED_VALUE"""),1)</f>
        <v>1</v>
      </c>
      <c r="C4622" s="7">
        <f ca="1">IFERROR(__xludf.DUMMYFUNCTION("""COMPUTED_VALUE"""),1)</f>
        <v>1</v>
      </c>
      <c r="D4622" s="8">
        <f ca="1">IFERROR(__xludf.DUMMYFUNCTION("""COMPUTED_VALUE"""),5)</f>
        <v>5</v>
      </c>
      <c r="E4622" s="2">
        <f ca="1">IFERROR(__xludf.DUMMYFUNCTION("""COMPUTED_VALUE"""),2)</f>
        <v>2</v>
      </c>
    </row>
    <row r="4623" spans="1:5" ht="13">
      <c r="A4623" s="2" t="str">
        <f ca="1">IFERROR(__xludf.DUMMYFUNCTION("""COMPUTED_VALUE"""),"Kuhlau, Friedrich")</f>
        <v>Kuhlau, Friedrich</v>
      </c>
      <c r="B4623" s="3">
        <f ca="1">IFERROR(__xludf.DUMMYFUNCTION("""COMPUTED_VALUE"""),1)</f>
        <v>1</v>
      </c>
      <c r="C4623" s="7">
        <f ca="1">IFERROR(__xludf.DUMMYFUNCTION("""COMPUTED_VALUE"""),1)</f>
        <v>1</v>
      </c>
      <c r="D4623" s="8">
        <f ca="1">IFERROR(__xludf.DUMMYFUNCTION("""COMPUTED_VALUE"""),5)</f>
        <v>5</v>
      </c>
      <c r="E4623" s="2">
        <f ca="1">IFERROR(__xludf.DUMMYFUNCTION("""COMPUTED_VALUE"""),2)</f>
        <v>2</v>
      </c>
    </row>
    <row r="4624" spans="1:5" ht="13">
      <c r="A4624" s="8" t="str">
        <f ca="1">IFERROR(__xludf.DUMMYFUNCTION("""COMPUTED_VALUE"""),"Kuhn, Wolfgang")</f>
        <v>Kuhn, Wolfgang</v>
      </c>
      <c r="B4624" s="3">
        <f ca="1">IFERROR(__xludf.DUMMYFUNCTION("""COMPUTED_VALUE"""),1)</f>
        <v>1</v>
      </c>
      <c r="C4624" s="7">
        <f ca="1">IFERROR(__xludf.DUMMYFUNCTION("""COMPUTED_VALUE"""),1)</f>
        <v>1</v>
      </c>
      <c r="D4624" s="8">
        <f ca="1">IFERROR(__xludf.DUMMYFUNCTION("""COMPUTED_VALUE"""),5)</f>
        <v>5</v>
      </c>
      <c r="E4624" s="2">
        <f ca="1">IFERROR(__xludf.DUMMYFUNCTION("""COMPUTED_VALUE"""),2)</f>
        <v>2</v>
      </c>
    </row>
    <row r="4625" spans="1:5" ht="13">
      <c r="A4625" s="2" t="str">
        <f ca="1">IFERROR(__xludf.DUMMYFUNCTION("""COMPUTED_VALUE"""),"Kuhnau, Johann")</f>
        <v>Kuhnau, Johann</v>
      </c>
      <c r="B4625" s="3">
        <f ca="1">IFERROR(__xludf.DUMMYFUNCTION("""COMPUTED_VALUE"""),1)</f>
        <v>1</v>
      </c>
      <c r="C4625" s="7">
        <f ca="1">IFERROR(__xludf.DUMMYFUNCTION("""COMPUTED_VALUE"""),1)</f>
        <v>1</v>
      </c>
      <c r="D4625" s="8">
        <f ca="1">IFERROR(__xludf.DUMMYFUNCTION("""COMPUTED_VALUE"""),5)</f>
        <v>5</v>
      </c>
      <c r="E4625" s="2">
        <f ca="1">IFERROR(__xludf.DUMMYFUNCTION("""COMPUTED_VALUE"""),2)</f>
        <v>2</v>
      </c>
    </row>
    <row r="4626" spans="1:5" ht="13">
      <c r="A4626" s="2" t="str">
        <f ca="1">IFERROR(__xludf.DUMMYFUNCTION("""COMPUTED_VALUE"""),"Kukelka, Alexander")</f>
        <v>Kukelka, Alexander</v>
      </c>
      <c r="B4626" s="3">
        <f ca="1">IFERROR(__xludf.DUMMYFUNCTION("""COMPUTED_VALUE"""),1)</f>
        <v>1</v>
      </c>
      <c r="C4626" s="7">
        <f ca="1">IFERROR(__xludf.DUMMYFUNCTION("""COMPUTED_VALUE"""),1)</f>
        <v>1</v>
      </c>
      <c r="D4626" s="8">
        <f ca="1">IFERROR(__xludf.DUMMYFUNCTION("""COMPUTED_VALUE"""),1)</f>
        <v>1</v>
      </c>
      <c r="E4626" s="2">
        <f ca="1">IFERROR(__xludf.DUMMYFUNCTION("""COMPUTED_VALUE"""),1)</f>
        <v>1</v>
      </c>
    </row>
    <row r="4627" spans="1:5" ht="13">
      <c r="A4627" s="2" t="str">
        <f ca="1">IFERROR(__xludf.DUMMYFUNCTION("""COMPUTED_VALUE"""),"Kukla, Steven J.")</f>
        <v>Kukla, Steven J.</v>
      </c>
      <c r="B4627" s="3">
        <f ca="1">IFERROR(__xludf.DUMMYFUNCTION("""COMPUTED_VALUE"""),1)</f>
        <v>1</v>
      </c>
      <c r="C4627" s="7">
        <f ca="1">IFERROR(__xludf.DUMMYFUNCTION("""COMPUTED_VALUE"""),1)</f>
        <v>1</v>
      </c>
      <c r="D4627" s="8">
        <f ca="1">IFERROR(__xludf.DUMMYFUNCTION("""COMPUTED_VALUE"""),1)</f>
        <v>1</v>
      </c>
      <c r="E4627" s="2">
        <f ca="1">IFERROR(__xludf.DUMMYFUNCTION("""COMPUTED_VALUE"""),1)</f>
        <v>1</v>
      </c>
    </row>
    <row r="4628" spans="1:5" ht="13">
      <c r="A4628" s="2" t="str">
        <f ca="1">IFERROR(__xludf.DUMMYFUNCTION("""COMPUTED_VALUE"""),"Kummer, Frédéric / Schubert, François")</f>
        <v>Kummer, Frédéric / Schubert, François</v>
      </c>
      <c r="B4628" s="3">
        <f ca="1">IFERROR(__xludf.DUMMYFUNCTION("""COMPUTED_VALUE"""),1)</f>
        <v>1</v>
      </c>
      <c r="C4628" s="7">
        <f ca="1">IFERROR(__xludf.DUMMYFUNCTION("""COMPUTED_VALUE"""),1)</f>
        <v>1</v>
      </c>
      <c r="D4628" s="8">
        <f ca="1">IFERROR(__xludf.DUMMYFUNCTION("""COMPUTED_VALUE"""),5)</f>
        <v>5</v>
      </c>
      <c r="E4628" s="2">
        <f ca="1">IFERROR(__xludf.DUMMYFUNCTION("""COMPUTED_VALUE"""),2)</f>
        <v>2</v>
      </c>
    </row>
    <row r="4629" spans="1:5" ht="13">
      <c r="A4629" s="2" t="str">
        <f ca="1">IFERROR(__xludf.DUMMYFUNCTION("""COMPUTED_VALUE"""),"Kunz, Jack")</f>
        <v>Kunz, Jack</v>
      </c>
      <c r="B4629" s="3">
        <f ca="1">IFERROR(__xludf.DUMMYFUNCTION("""COMPUTED_VALUE"""),1)</f>
        <v>1</v>
      </c>
      <c r="C4629" s="7">
        <f ca="1">IFERROR(__xludf.DUMMYFUNCTION("""COMPUTED_VALUE"""),1)</f>
        <v>1</v>
      </c>
      <c r="D4629" s="8">
        <f ca="1">IFERROR(__xludf.DUMMYFUNCTION("""COMPUTED_VALUE"""),5)</f>
        <v>5</v>
      </c>
      <c r="E4629" s="2">
        <f ca="1">IFERROR(__xludf.DUMMYFUNCTION("""COMPUTED_VALUE"""),2)</f>
        <v>2</v>
      </c>
    </row>
    <row r="4630" spans="1:5" ht="13">
      <c r="A4630" s="8" t="str">
        <f ca="1">IFERROR(__xludf.DUMMYFUNCTION("""COMPUTED_VALUE"""),"Kunzen, Friedrich")</f>
        <v>Kunzen, Friedrich</v>
      </c>
      <c r="B4630" s="3">
        <f ca="1">IFERROR(__xludf.DUMMYFUNCTION("""COMPUTED_VALUE"""),1)</f>
        <v>1</v>
      </c>
      <c r="C4630" s="7">
        <f ca="1">IFERROR(__xludf.DUMMYFUNCTION("""COMPUTED_VALUE"""),1)</f>
        <v>1</v>
      </c>
      <c r="D4630" s="8">
        <f ca="1">IFERROR(__xludf.DUMMYFUNCTION("""COMPUTED_VALUE"""),5)</f>
        <v>5</v>
      </c>
      <c r="E4630" s="2">
        <f ca="1">IFERROR(__xludf.DUMMYFUNCTION("""COMPUTED_VALUE"""),2)</f>
        <v>2</v>
      </c>
    </row>
    <row r="4631" spans="1:5" ht="13">
      <c r="A4631" s="2" t="str">
        <f ca="1">IFERROR(__xludf.DUMMYFUNCTION("""COMPUTED_VALUE"""),"Kupferschmid, Steve")</f>
        <v>Kupferschmid, Steve</v>
      </c>
      <c r="B4631" s="3">
        <f ca="1">IFERROR(__xludf.DUMMYFUNCTION("""COMPUTED_VALUE"""),1)</f>
        <v>1</v>
      </c>
      <c r="C4631" s="7">
        <f ca="1">IFERROR(__xludf.DUMMYFUNCTION("""COMPUTED_VALUE"""),1)</f>
        <v>1</v>
      </c>
      <c r="D4631" s="8">
        <f ca="1">IFERROR(__xludf.DUMMYFUNCTION("""COMPUTED_VALUE"""),1)</f>
        <v>1</v>
      </c>
      <c r="E4631" s="2">
        <f ca="1">IFERROR(__xludf.DUMMYFUNCTION("""COMPUTED_VALUE"""),1)</f>
        <v>1</v>
      </c>
    </row>
    <row r="4632" spans="1:5" ht="13">
      <c r="A4632" s="2" t="str">
        <f ca="1">IFERROR(__xludf.DUMMYFUNCTION("""COMPUTED_VALUE"""),"Kurek, Michael")</f>
        <v>Kurek, Michael</v>
      </c>
      <c r="B4632" s="3">
        <f ca="1">IFERROR(__xludf.DUMMYFUNCTION("""COMPUTED_VALUE"""),1)</f>
        <v>1</v>
      </c>
      <c r="C4632" s="7">
        <f ca="1">IFERROR(__xludf.DUMMYFUNCTION("""COMPUTED_VALUE"""),1)</f>
        <v>1</v>
      </c>
      <c r="D4632" s="8">
        <f ca="1">IFERROR(__xludf.DUMMYFUNCTION("""COMPUTED_VALUE"""),1)</f>
        <v>1</v>
      </c>
      <c r="E4632" s="2">
        <f ca="1">IFERROR(__xludf.DUMMYFUNCTION("""COMPUTED_VALUE"""),1)</f>
        <v>1</v>
      </c>
    </row>
    <row r="4633" spans="1:5" ht="13">
      <c r="A4633" s="2" t="str">
        <f ca="1">IFERROR(__xludf.DUMMYFUNCTION("""COMPUTED_VALUE"""),"Kurka, Robert")</f>
        <v>Kurka, Robert</v>
      </c>
      <c r="B4633" s="3">
        <f ca="1">IFERROR(__xludf.DUMMYFUNCTION("""COMPUTED_VALUE"""),1)</f>
        <v>1</v>
      </c>
      <c r="C4633" s="7">
        <f ca="1">IFERROR(__xludf.DUMMYFUNCTION("""COMPUTED_VALUE"""),1)</f>
        <v>1</v>
      </c>
      <c r="D4633" s="8">
        <f ca="1">IFERROR(__xludf.DUMMYFUNCTION("""COMPUTED_VALUE"""),5)</f>
        <v>5</v>
      </c>
      <c r="E4633" s="2">
        <f ca="1">IFERROR(__xludf.DUMMYFUNCTION("""COMPUTED_VALUE"""),2)</f>
        <v>2</v>
      </c>
    </row>
    <row r="4634" spans="1:5" ht="13">
      <c r="A4634" s="2" t="str">
        <f ca="1">IFERROR(__xludf.DUMMYFUNCTION("""COMPUTED_VALUE"""),"Kurtag, György")</f>
        <v>Kurtag, György</v>
      </c>
      <c r="B4634" s="3">
        <f ca="1">IFERROR(__xludf.DUMMYFUNCTION("""COMPUTED_VALUE"""),1)</f>
        <v>1</v>
      </c>
      <c r="C4634" s="7">
        <f ca="1">IFERROR(__xludf.DUMMYFUNCTION("""COMPUTED_VALUE"""),1)</f>
        <v>1</v>
      </c>
      <c r="D4634" s="8">
        <f ca="1">IFERROR(__xludf.DUMMYFUNCTION("""COMPUTED_VALUE"""),5)</f>
        <v>5</v>
      </c>
      <c r="E4634" s="2">
        <f ca="1">IFERROR(__xludf.DUMMYFUNCTION("""COMPUTED_VALUE"""),2)</f>
        <v>2</v>
      </c>
    </row>
    <row r="4635" spans="1:5" ht="13">
      <c r="A4635" s="2" t="str">
        <f ca="1">IFERROR(__xludf.DUMMYFUNCTION("""COMPUTED_VALUE"""),"Kurtág, György")</f>
        <v>Kurtág, György</v>
      </c>
      <c r="B4635" s="3">
        <f ca="1">IFERROR(__xludf.DUMMYFUNCTION("""COMPUTED_VALUE"""),1)</f>
        <v>1</v>
      </c>
      <c r="C4635" s="7">
        <f ca="1">IFERROR(__xludf.DUMMYFUNCTION("""COMPUTED_VALUE"""),1)</f>
        <v>1</v>
      </c>
      <c r="D4635" s="8">
        <f ca="1">IFERROR(__xludf.DUMMYFUNCTION("""COMPUTED_VALUE"""),5)</f>
        <v>5</v>
      </c>
      <c r="E4635" s="2">
        <f ca="1">IFERROR(__xludf.DUMMYFUNCTION("""COMPUTED_VALUE"""),2)</f>
        <v>2</v>
      </c>
    </row>
    <row r="4636" spans="1:5" ht="13">
      <c r="A4636" s="2" t="str">
        <f ca="1">IFERROR(__xludf.DUMMYFUNCTION("""COMPUTED_VALUE"""),"Kurtág, György / Beckett, Samuel")</f>
        <v>Kurtág, György / Beckett, Samuel</v>
      </c>
      <c r="B4636" s="3">
        <f ca="1">IFERROR(__xludf.DUMMYFUNCTION("""COMPUTED_VALUE"""),1)</f>
        <v>1</v>
      </c>
      <c r="C4636" s="7">
        <f ca="1">IFERROR(__xludf.DUMMYFUNCTION("""COMPUTED_VALUE"""),1)</f>
        <v>1</v>
      </c>
      <c r="D4636" s="8">
        <f ca="1">IFERROR(__xludf.DUMMYFUNCTION("""COMPUTED_VALUE"""),5)</f>
        <v>5</v>
      </c>
      <c r="E4636" s="2">
        <f ca="1">IFERROR(__xludf.DUMMYFUNCTION("""COMPUTED_VALUE"""),2)</f>
        <v>2</v>
      </c>
    </row>
    <row r="4637" spans="1:5" ht="13">
      <c r="A4637" s="2" t="str">
        <f ca="1">IFERROR(__xludf.DUMMYFUNCTION("""COMPUTED_VALUE"""),"Kurth, Michael")</f>
        <v>Kurth, Michael</v>
      </c>
      <c r="B4637" s="3">
        <f ca="1">IFERROR(__xludf.DUMMYFUNCTION("""COMPUTED_VALUE"""),1)</f>
        <v>1</v>
      </c>
      <c r="C4637" s="7">
        <f ca="1">IFERROR(__xludf.DUMMYFUNCTION("""COMPUTED_VALUE"""),1)</f>
        <v>1</v>
      </c>
      <c r="D4637" s="8">
        <f ca="1">IFERROR(__xludf.DUMMYFUNCTION("""COMPUTED_VALUE"""),1)</f>
        <v>1</v>
      </c>
      <c r="E4637" s="2">
        <f ca="1">IFERROR(__xludf.DUMMYFUNCTION("""COMPUTED_VALUE"""),1)</f>
        <v>1</v>
      </c>
    </row>
    <row r="4638" spans="1:5" ht="13">
      <c r="A4638" s="8" t="str">
        <f ca="1">IFERROR(__xludf.DUMMYFUNCTION("""COMPUTED_VALUE"""),"Kuspa, Jordan")</f>
        <v>Kuspa, Jordan</v>
      </c>
      <c r="B4638" s="3">
        <f ca="1">IFERROR(__xludf.DUMMYFUNCTION("""COMPUTED_VALUE"""),1)</f>
        <v>1</v>
      </c>
      <c r="C4638" s="7">
        <f ca="1">IFERROR(__xludf.DUMMYFUNCTION("""COMPUTED_VALUE"""),1)</f>
        <v>1</v>
      </c>
      <c r="D4638" s="8">
        <f ca="1">IFERROR(__xludf.DUMMYFUNCTION("""COMPUTED_VALUE"""),1)</f>
        <v>1</v>
      </c>
      <c r="E4638" s="2">
        <f ca="1">IFERROR(__xludf.DUMMYFUNCTION("""COMPUTED_VALUE"""),1)</f>
        <v>1</v>
      </c>
    </row>
    <row r="4639" spans="1:5" ht="13">
      <c r="A4639" s="2" t="str">
        <f ca="1">IFERROR(__xludf.DUMMYFUNCTION("""COMPUTED_VALUE"""),"Kusser, Johann")</f>
        <v>Kusser, Johann</v>
      </c>
      <c r="B4639" s="3">
        <f ca="1">IFERROR(__xludf.DUMMYFUNCTION("""COMPUTED_VALUE"""),1)</f>
        <v>1</v>
      </c>
      <c r="C4639" s="7">
        <f ca="1">IFERROR(__xludf.DUMMYFUNCTION("""COMPUTED_VALUE"""),1)</f>
        <v>1</v>
      </c>
      <c r="D4639" s="8">
        <f ca="1">IFERROR(__xludf.DUMMYFUNCTION("""COMPUTED_VALUE"""),5)</f>
        <v>5</v>
      </c>
      <c r="E4639" s="2">
        <f ca="1">IFERROR(__xludf.DUMMYFUNCTION("""COMPUTED_VALUE"""),2)</f>
        <v>2</v>
      </c>
    </row>
    <row r="4640" spans="1:5" ht="13">
      <c r="A4640" s="2" t="str">
        <f ca="1">IFERROR(__xludf.DUMMYFUNCTION("""COMPUTED_VALUE"""),"Kuula, Toivo")</f>
        <v>Kuula, Toivo</v>
      </c>
      <c r="B4640" s="3">
        <f ca="1">IFERROR(__xludf.DUMMYFUNCTION("""COMPUTED_VALUE"""),1)</f>
        <v>1</v>
      </c>
      <c r="C4640" s="7">
        <f ca="1">IFERROR(__xludf.DUMMYFUNCTION("""COMPUTED_VALUE"""),1)</f>
        <v>1</v>
      </c>
      <c r="D4640" s="8">
        <f ca="1">IFERROR(__xludf.DUMMYFUNCTION("""COMPUTED_VALUE"""),5)</f>
        <v>5</v>
      </c>
      <c r="E4640" s="2">
        <f ca="1">IFERROR(__xludf.DUMMYFUNCTION("""COMPUTED_VALUE"""),2)</f>
        <v>2</v>
      </c>
    </row>
    <row r="4641" spans="1:5" ht="13">
      <c r="A4641" s="2" t="str">
        <f ca="1">IFERROR(__xludf.DUMMYFUNCTION("""COMPUTED_VALUE"""),"Kuusisto, Ilkka")</f>
        <v>Kuusisto, Ilkka</v>
      </c>
      <c r="B4641" s="3">
        <f ca="1">IFERROR(__xludf.DUMMYFUNCTION("""COMPUTED_VALUE"""),1)</f>
        <v>1</v>
      </c>
      <c r="C4641" s="7">
        <f ca="1">IFERROR(__xludf.DUMMYFUNCTION("""COMPUTED_VALUE"""),1)</f>
        <v>1</v>
      </c>
      <c r="D4641" s="8">
        <f ca="1">IFERROR(__xludf.DUMMYFUNCTION("""COMPUTED_VALUE"""),1)</f>
        <v>1</v>
      </c>
      <c r="E4641" s="2">
        <f ca="1">IFERROR(__xludf.DUMMYFUNCTION("""COMPUTED_VALUE"""),1)</f>
        <v>1</v>
      </c>
    </row>
    <row r="4642" spans="1:5" ht="13">
      <c r="A4642" s="2" t="str">
        <f ca="1">IFERROR(__xludf.DUMMYFUNCTION("""COMPUTED_VALUE"""),"Kuusisto, Jaakko")</f>
        <v>Kuusisto, Jaakko</v>
      </c>
      <c r="B4642" s="3">
        <f ca="1">IFERROR(__xludf.DUMMYFUNCTION("""COMPUTED_VALUE"""),1)</f>
        <v>1</v>
      </c>
      <c r="C4642" s="7">
        <f ca="1">IFERROR(__xludf.DUMMYFUNCTION("""COMPUTED_VALUE"""),1)</f>
        <v>1</v>
      </c>
      <c r="D4642" s="8">
        <f ca="1">IFERROR(__xludf.DUMMYFUNCTION("""COMPUTED_VALUE"""),1)</f>
        <v>1</v>
      </c>
      <c r="E4642" s="2">
        <f ca="1">IFERROR(__xludf.DUMMYFUNCTION("""COMPUTED_VALUE"""),1)</f>
        <v>1</v>
      </c>
    </row>
    <row r="4643" spans="1:5" ht="13">
      <c r="A4643" s="2" t="str">
        <f ca="1">IFERROR(__xludf.DUMMYFUNCTION("""COMPUTED_VALUE"""),"Kuussisto, Jaako")</f>
        <v>Kuussisto, Jaako</v>
      </c>
      <c r="B4643" s="3">
        <f ca="1">IFERROR(__xludf.DUMMYFUNCTION("""COMPUTED_VALUE"""),1)</f>
        <v>1</v>
      </c>
      <c r="C4643" s="7">
        <f ca="1">IFERROR(__xludf.DUMMYFUNCTION("""COMPUTED_VALUE"""),1)</f>
        <v>1</v>
      </c>
      <c r="D4643" s="8">
        <f ca="1">IFERROR(__xludf.DUMMYFUNCTION("""COMPUTED_VALUE"""),1)</f>
        <v>1</v>
      </c>
      <c r="E4643" s="2">
        <f ca="1">IFERROR(__xludf.DUMMYFUNCTION("""COMPUTED_VALUE"""),1)</f>
        <v>1</v>
      </c>
    </row>
    <row r="4644" spans="1:5" ht="13">
      <c r="A4644" s="2" t="str">
        <f ca="1">IFERROR(__xludf.DUMMYFUNCTION("""COMPUTED_VALUE"""),"Kverno, Trond")</f>
        <v>Kverno, Trond</v>
      </c>
      <c r="B4644" s="3">
        <f ca="1">IFERROR(__xludf.DUMMYFUNCTION("""COMPUTED_VALUE"""),1)</f>
        <v>1</v>
      </c>
      <c r="C4644" s="7">
        <f ca="1">IFERROR(__xludf.DUMMYFUNCTION("""COMPUTED_VALUE"""),1)</f>
        <v>1</v>
      </c>
      <c r="D4644" s="8">
        <f ca="1">IFERROR(__xludf.DUMMYFUNCTION("""COMPUTED_VALUE"""),1)</f>
        <v>1</v>
      </c>
      <c r="E4644" s="2">
        <f ca="1">IFERROR(__xludf.DUMMYFUNCTION("""COMPUTED_VALUE"""),1)</f>
        <v>1</v>
      </c>
    </row>
    <row r="4645" spans="1:5" ht="13">
      <c r="A4645" s="8" t="str">
        <f ca="1">IFERROR(__xludf.DUMMYFUNCTION("""COMPUTED_VALUE"""),"Kvetenadze, Lasha")</f>
        <v>Kvetenadze, Lasha</v>
      </c>
      <c r="B4645" s="3">
        <f ca="1">IFERROR(__xludf.DUMMYFUNCTION("""COMPUTED_VALUE"""),1)</f>
        <v>1</v>
      </c>
      <c r="C4645" s="7">
        <f ca="1">IFERROR(__xludf.DUMMYFUNCTION("""COMPUTED_VALUE"""),1)</f>
        <v>1</v>
      </c>
      <c r="D4645" s="8">
        <f ca="1">IFERROR(__xludf.DUMMYFUNCTION("""COMPUTED_VALUE"""),1)</f>
        <v>1</v>
      </c>
      <c r="E4645" s="2">
        <f ca="1">IFERROR(__xludf.DUMMYFUNCTION("""COMPUTED_VALUE"""),1)</f>
        <v>1</v>
      </c>
    </row>
    <row r="4646" spans="1:5" ht="13">
      <c r="A4646" s="2" t="str">
        <f ca="1">IFERROR(__xludf.DUMMYFUNCTION("""COMPUTED_VALUE"""),"Kylkaiä, Ilari")</f>
        <v>Kylkaiä, Ilari</v>
      </c>
      <c r="B4646" s="2">
        <f ca="1">IFERROR(__xludf.DUMMYFUNCTION("""COMPUTED_VALUE"""),1)</f>
        <v>1</v>
      </c>
      <c r="C4646" s="2">
        <f ca="1">IFERROR(__xludf.DUMMYFUNCTION("""COMPUTED_VALUE"""),1)</f>
        <v>1</v>
      </c>
      <c r="D4646" s="8">
        <f ca="1">IFERROR(__xludf.DUMMYFUNCTION("""COMPUTED_VALUE"""),1)</f>
        <v>1</v>
      </c>
      <c r="E4646" s="2">
        <f ca="1">IFERROR(__xludf.DUMMYFUNCTION("""COMPUTED_VALUE"""),1)</f>
        <v>1</v>
      </c>
    </row>
    <row r="4647" spans="1:5" ht="13">
      <c r="A4647" s="2" t="str">
        <f ca="1">IFERROR(__xludf.DUMMYFUNCTION("""COMPUTED_VALUE"""),"Kyr, Robert")</f>
        <v>Kyr, Robert</v>
      </c>
      <c r="B4647" s="3">
        <f ca="1">IFERROR(__xludf.DUMMYFUNCTION("""COMPUTED_VALUE"""),1)</f>
        <v>1</v>
      </c>
      <c r="C4647" s="7">
        <f ca="1">IFERROR(__xludf.DUMMYFUNCTION("""COMPUTED_VALUE"""),1)</f>
        <v>1</v>
      </c>
      <c r="D4647" s="8">
        <f ca="1">IFERROR(__xludf.DUMMYFUNCTION("""COMPUTED_VALUE"""),1)</f>
        <v>1</v>
      </c>
      <c r="E4647" s="2">
        <f ca="1">IFERROR(__xludf.DUMMYFUNCTION("""COMPUTED_VALUE"""),1)</f>
        <v>1</v>
      </c>
    </row>
    <row r="4648" spans="1:5" ht="13">
      <c r="A4648" s="2" t="str">
        <f ca="1">IFERROR(__xludf.DUMMYFUNCTION("""COMPUTED_VALUE"""),"l'Estocart, Paschal de")</f>
        <v>l'Estocart, Paschal de</v>
      </c>
      <c r="B4648" s="3">
        <f ca="1">IFERROR(__xludf.DUMMYFUNCTION("""COMPUTED_VALUE"""),1)</f>
        <v>1</v>
      </c>
      <c r="C4648" s="7">
        <f ca="1">IFERROR(__xludf.DUMMYFUNCTION("""COMPUTED_VALUE"""),1)</f>
        <v>1</v>
      </c>
      <c r="D4648" s="8">
        <f ca="1">IFERROR(__xludf.DUMMYFUNCTION("""COMPUTED_VALUE"""),5)</f>
        <v>5</v>
      </c>
      <c r="E4648" s="2">
        <f ca="1">IFERROR(__xludf.DUMMYFUNCTION("""COMPUTED_VALUE"""),2)</f>
        <v>2</v>
      </c>
    </row>
    <row r="4649" spans="1:5" ht="13">
      <c r="A4649" s="8" t="str">
        <f ca="1">IFERROR(__xludf.DUMMYFUNCTION("""COMPUTED_VALUE"""),"L'Estrange, Alexander")</f>
        <v>L'Estrange, Alexander</v>
      </c>
      <c r="B4649" s="3">
        <f ca="1">IFERROR(__xludf.DUMMYFUNCTION("""COMPUTED_VALUE"""),1)</f>
        <v>1</v>
      </c>
      <c r="C4649" s="7">
        <f ca="1">IFERROR(__xludf.DUMMYFUNCTION("""COMPUTED_VALUE"""),1)</f>
        <v>1</v>
      </c>
      <c r="D4649" s="8">
        <f ca="1">IFERROR(__xludf.DUMMYFUNCTION("""COMPUTED_VALUE"""),1)</f>
        <v>1</v>
      </c>
      <c r="E4649" s="2">
        <f ca="1">IFERROR(__xludf.DUMMYFUNCTION("""COMPUTED_VALUE"""),1)</f>
        <v>1</v>
      </c>
    </row>
    <row r="4650" spans="1:5" ht="13">
      <c r="A4650" s="2" t="str">
        <f ca="1">IFERROR(__xludf.DUMMYFUNCTION("""COMPUTED_VALUE"""),"La Cour, Niels")</f>
        <v>La Cour, Niels</v>
      </c>
      <c r="B4650" s="3">
        <f ca="1">IFERROR(__xludf.DUMMYFUNCTION("""COMPUTED_VALUE"""),1)</f>
        <v>1</v>
      </c>
      <c r="C4650" s="7">
        <f ca="1">IFERROR(__xludf.DUMMYFUNCTION("""COMPUTED_VALUE"""),1)</f>
        <v>1</v>
      </c>
      <c r="D4650" s="8">
        <f ca="1">IFERROR(__xludf.DUMMYFUNCTION("""COMPUTED_VALUE"""),1)</f>
        <v>1</v>
      </c>
      <c r="E4650" s="2">
        <f ca="1">IFERROR(__xludf.DUMMYFUNCTION("""COMPUTED_VALUE"""),1)</f>
        <v>1</v>
      </c>
    </row>
    <row r="4651" spans="1:5" ht="13">
      <c r="A4651" s="2" t="str">
        <f ca="1">IFERROR(__xludf.DUMMYFUNCTION("""COMPUTED_VALUE"""),"La Plante, Pierre")</f>
        <v>La Plante, Pierre</v>
      </c>
      <c r="B4651" s="3">
        <f ca="1">IFERROR(__xludf.DUMMYFUNCTION("""COMPUTED_VALUE"""),1)</f>
        <v>1</v>
      </c>
      <c r="C4651" s="7">
        <f ca="1">IFERROR(__xludf.DUMMYFUNCTION("""COMPUTED_VALUE"""),1)</f>
        <v>1</v>
      </c>
      <c r="D4651" s="8">
        <f ca="1">IFERROR(__xludf.DUMMYFUNCTION("""COMPUTED_VALUE"""),5)</f>
        <v>5</v>
      </c>
      <c r="E4651" s="2">
        <f ca="1">IFERROR(__xludf.DUMMYFUNCTION("""COMPUTED_VALUE"""),2)</f>
        <v>2</v>
      </c>
    </row>
    <row r="4652" spans="1:5" ht="13">
      <c r="A4652" s="2" t="str">
        <f ca="1">IFERROR(__xludf.DUMMYFUNCTION("""COMPUTED_VALUE"""),"Laas, Bill")</f>
        <v>Laas, Bill</v>
      </c>
      <c r="B4652" s="2">
        <f ca="1">IFERROR(__xludf.DUMMYFUNCTION("""COMPUTED_VALUE"""),1)</f>
        <v>1</v>
      </c>
      <c r="C4652" s="7">
        <f ca="1">IFERROR(__xludf.DUMMYFUNCTION("""COMPUTED_VALUE"""),1)</f>
        <v>1</v>
      </c>
      <c r="D4652" s="8">
        <f ca="1">IFERROR(__xludf.DUMMYFUNCTION("""COMPUTED_VALUE"""),5)</f>
        <v>5</v>
      </c>
      <c r="E4652" s="2">
        <f ca="1">IFERROR(__xludf.DUMMYFUNCTION("""COMPUTED_VALUE"""),2)</f>
        <v>2</v>
      </c>
    </row>
    <row r="4653" spans="1:5" ht="13">
      <c r="A4653" s="2" t="str">
        <f ca="1">IFERROR(__xludf.DUMMYFUNCTION("""COMPUTED_VALUE"""),"LaBabera, John / Pilzer, John")</f>
        <v>LaBabera, John / Pilzer, John</v>
      </c>
      <c r="B4653" s="3">
        <f ca="1">IFERROR(__xludf.DUMMYFUNCTION("""COMPUTED_VALUE"""),1)</f>
        <v>1</v>
      </c>
      <c r="C4653" s="7">
        <f ca="1">IFERROR(__xludf.DUMMYFUNCTION("""COMPUTED_VALUE"""),1)</f>
        <v>1</v>
      </c>
      <c r="D4653" s="8">
        <f ca="1">IFERROR(__xludf.DUMMYFUNCTION("""COMPUTED_VALUE"""),1)</f>
        <v>1</v>
      </c>
      <c r="E4653" s="2">
        <f ca="1">IFERROR(__xludf.DUMMYFUNCTION("""COMPUTED_VALUE"""),1)</f>
        <v>1</v>
      </c>
    </row>
    <row r="4654" spans="1:5" ht="13">
      <c r="A4654" s="2" t="str">
        <f ca="1">IFERROR(__xludf.DUMMYFUNCTION("""COMPUTED_VALUE"""),"LaBarbera, John")</f>
        <v>LaBarbera, John</v>
      </c>
      <c r="B4654" s="3">
        <f ca="1">IFERROR(__xludf.DUMMYFUNCTION("""COMPUTED_VALUE"""),1)</f>
        <v>1</v>
      </c>
      <c r="C4654" s="7">
        <f ca="1">IFERROR(__xludf.DUMMYFUNCTION("""COMPUTED_VALUE"""),1)</f>
        <v>1</v>
      </c>
      <c r="D4654" s="8">
        <f ca="1">IFERROR(__xludf.DUMMYFUNCTION("""COMPUTED_VALUE"""),1)</f>
        <v>1</v>
      </c>
      <c r="E4654" s="2">
        <f ca="1">IFERROR(__xludf.DUMMYFUNCTION("""COMPUTED_VALUE"""),1)</f>
        <v>1</v>
      </c>
    </row>
    <row r="4655" spans="1:5" ht="13">
      <c r="A4655" s="2" t="str">
        <f ca="1">IFERROR(__xludf.DUMMYFUNCTION("""COMPUTED_VALUE"""),"LaBauve, Jack")</f>
        <v>LaBauve, Jack</v>
      </c>
      <c r="B4655" s="3">
        <f ca="1">IFERROR(__xludf.DUMMYFUNCTION("""COMPUTED_VALUE"""),1)</f>
        <v>1</v>
      </c>
      <c r="C4655" s="7">
        <f ca="1">IFERROR(__xludf.DUMMYFUNCTION("""COMPUTED_VALUE"""),1)</f>
        <v>1</v>
      </c>
      <c r="D4655" s="8">
        <f ca="1">IFERROR(__xludf.DUMMYFUNCTION("""COMPUTED_VALUE"""),5)</f>
        <v>5</v>
      </c>
      <c r="E4655" s="2">
        <f ca="1">IFERROR(__xludf.DUMMYFUNCTION("""COMPUTED_VALUE"""),2)</f>
        <v>2</v>
      </c>
    </row>
    <row r="4656" spans="1:5" ht="13">
      <c r="A4656" s="2" t="str">
        <f ca="1">IFERROR(__xludf.DUMMYFUNCTION("""COMPUTED_VALUE"""),"LaBerge, Matthew")</f>
        <v>LaBerge, Matthew</v>
      </c>
      <c r="B4656" s="3">
        <f ca="1">IFERROR(__xludf.DUMMYFUNCTION("""COMPUTED_VALUE"""),1)</f>
        <v>1</v>
      </c>
      <c r="C4656" s="7">
        <f ca="1">IFERROR(__xludf.DUMMYFUNCTION("""COMPUTED_VALUE"""),1)</f>
        <v>1</v>
      </c>
      <c r="D4656" s="8">
        <f ca="1">IFERROR(__xludf.DUMMYFUNCTION("""COMPUTED_VALUE"""),1)</f>
        <v>1</v>
      </c>
      <c r="E4656" s="2">
        <f ca="1">IFERROR(__xludf.DUMMYFUNCTION("""COMPUTED_VALUE"""),1)</f>
        <v>1</v>
      </c>
    </row>
    <row r="4657" spans="1:5" ht="13">
      <c r="A4657" s="2" t="str">
        <f ca="1">IFERROR(__xludf.DUMMYFUNCTION("""COMPUTED_VALUE"""),"LaBounty, Anthony")</f>
        <v>LaBounty, Anthony</v>
      </c>
      <c r="B4657" s="3">
        <f ca="1">IFERROR(__xludf.DUMMYFUNCTION("""COMPUTED_VALUE"""),1)</f>
        <v>1</v>
      </c>
      <c r="C4657" s="7">
        <f ca="1">IFERROR(__xludf.DUMMYFUNCTION("""COMPUTED_VALUE"""),1)</f>
        <v>1</v>
      </c>
      <c r="D4657" s="8">
        <f ca="1">IFERROR(__xludf.DUMMYFUNCTION("""COMPUTED_VALUE"""),1)</f>
        <v>1</v>
      </c>
      <c r="E4657" s="2">
        <f ca="1">IFERROR(__xludf.DUMMYFUNCTION("""COMPUTED_VALUE"""),1)</f>
        <v>1</v>
      </c>
    </row>
    <row r="4658" spans="1:5" ht="13">
      <c r="A4658" s="2" t="str">
        <f ca="1">IFERROR(__xludf.DUMMYFUNCTION("""COMPUTED_VALUE"""),"LaBozzetta III, Victor")</f>
        <v>LaBozzetta III, Victor</v>
      </c>
      <c r="B4658" s="3">
        <f ca="1">IFERROR(__xludf.DUMMYFUNCTION("""COMPUTED_VALUE"""),1)</f>
        <v>1</v>
      </c>
      <c r="C4658" s="7">
        <f ca="1">IFERROR(__xludf.DUMMYFUNCTION("""COMPUTED_VALUE"""),1)</f>
        <v>1</v>
      </c>
      <c r="D4658" s="8">
        <f ca="1">IFERROR(__xludf.DUMMYFUNCTION("""COMPUTED_VALUE"""),1)</f>
        <v>1</v>
      </c>
      <c r="E4658" s="2">
        <f ca="1">IFERROR(__xludf.DUMMYFUNCTION("""COMPUTED_VALUE"""),1)</f>
        <v>1</v>
      </c>
    </row>
    <row r="4659" spans="1:5" ht="13">
      <c r="A4659" s="2" t="str">
        <f ca="1">IFERROR(__xludf.DUMMYFUNCTION("""COMPUTED_VALUE"""),"Labro, Julien")</f>
        <v>Labro, Julien</v>
      </c>
      <c r="B4659" s="2">
        <f ca="1">IFERROR(__xludf.DUMMYFUNCTION("""COMPUTED_VALUE"""),1)</f>
        <v>1</v>
      </c>
      <c r="C4659" s="2">
        <f ca="1">IFERROR(__xludf.DUMMYFUNCTION("""COMPUTED_VALUE"""),1)</f>
        <v>1</v>
      </c>
      <c r="D4659" s="8">
        <f ca="1">IFERROR(__xludf.DUMMYFUNCTION("""COMPUTED_VALUE"""),1)</f>
        <v>1</v>
      </c>
      <c r="E4659" s="2">
        <f ca="1">IFERROR(__xludf.DUMMYFUNCTION("""COMPUTED_VALUE"""),1)</f>
        <v>1</v>
      </c>
    </row>
    <row r="4660" spans="1:5" ht="13">
      <c r="A4660" s="2" t="str">
        <f ca="1">IFERROR(__xludf.DUMMYFUNCTION("""COMPUTED_VALUE"""),"Laburda, Jirí")</f>
        <v>Laburda, Jirí</v>
      </c>
      <c r="B4660" s="2">
        <f ca="1">IFERROR(__xludf.DUMMYFUNCTION("""COMPUTED_VALUE"""),1)</f>
        <v>1</v>
      </c>
      <c r="C4660" s="7">
        <f ca="1">IFERROR(__xludf.DUMMYFUNCTION("""COMPUTED_VALUE"""),1)</f>
        <v>1</v>
      </c>
      <c r="D4660" s="8">
        <f ca="1">IFERROR(__xludf.DUMMYFUNCTION("""COMPUTED_VALUE"""),5)</f>
        <v>5</v>
      </c>
      <c r="E4660" s="2">
        <f ca="1">IFERROR(__xludf.DUMMYFUNCTION("""COMPUTED_VALUE"""),2)</f>
        <v>2</v>
      </c>
    </row>
    <row r="4661" spans="1:5" ht="13">
      <c r="A4661" s="2" t="str">
        <f ca="1">IFERROR(__xludf.DUMMYFUNCTION("""COMPUTED_VALUE"""),"Lacagnina, Oliviero")</f>
        <v>Lacagnina, Oliviero</v>
      </c>
      <c r="B4661" s="3">
        <f ca="1">IFERROR(__xludf.DUMMYFUNCTION("""COMPUTED_VALUE"""),1)</f>
        <v>1</v>
      </c>
      <c r="C4661" s="7">
        <f ca="1">IFERROR(__xludf.DUMMYFUNCTION("""COMPUTED_VALUE"""),1)</f>
        <v>1</v>
      </c>
      <c r="D4661" s="8">
        <f ca="1">IFERROR(__xludf.DUMMYFUNCTION("""COMPUTED_VALUE"""),1)</f>
        <v>1</v>
      </c>
      <c r="E4661" s="2">
        <f ca="1">IFERROR(__xludf.DUMMYFUNCTION("""COMPUTED_VALUE"""),1)</f>
        <v>1</v>
      </c>
    </row>
    <row r="4662" spans="1:5" ht="13">
      <c r="A4662" s="2" t="str">
        <f ca="1">IFERROR(__xludf.DUMMYFUNCTION("""COMPUTED_VALUE"""),"Lachenmann, Helmut")</f>
        <v>Lachenmann, Helmut</v>
      </c>
      <c r="B4662" s="3">
        <f ca="1">IFERROR(__xludf.DUMMYFUNCTION("""COMPUTED_VALUE"""),1)</f>
        <v>1</v>
      </c>
      <c r="C4662" s="7">
        <f ca="1">IFERROR(__xludf.DUMMYFUNCTION("""COMPUTED_VALUE"""),1)</f>
        <v>1</v>
      </c>
      <c r="D4662" s="8">
        <f ca="1">IFERROR(__xludf.DUMMYFUNCTION("""COMPUTED_VALUE"""),1)</f>
        <v>1</v>
      </c>
      <c r="E4662" s="2">
        <f ca="1">IFERROR(__xludf.DUMMYFUNCTION("""COMPUTED_VALUE"""),1)</f>
        <v>1</v>
      </c>
    </row>
    <row r="4663" spans="1:5" ht="13">
      <c r="A4663" s="2" t="str">
        <f ca="1">IFERROR(__xludf.DUMMYFUNCTION("""COMPUTED_VALUE"""),"Lachner, Franz")</f>
        <v>Lachner, Franz</v>
      </c>
      <c r="B4663" s="2">
        <f ca="1">IFERROR(__xludf.DUMMYFUNCTION("""COMPUTED_VALUE"""),1)</f>
        <v>1</v>
      </c>
      <c r="C4663" s="7">
        <f ca="1">IFERROR(__xludf.DUMMYFUNCTION("""COMPUTED_VALUE"""),1)</f>
        <v>1</v>
      </c>
      <c r="D4663" s="8">
        <f ca="1">IFERROR(__xludf.DUMMYFUNCTION("""COMPUTED_VALUE"""),5)</f>
        <v>5</v>
      </c>
      <c r="E4663" s="2">
        <f ca="1">IFERROR(__xludf.DUMMYFUNCTION("""COMPUTED_VALUE"""),2)</f>
        <v>2</v>
      </c>
    </row>
    <row r="4664" spans="1:5" ht="13">
      <c r="A4664" s="2" t="str">
        <f ca="1">IFERROR(__xludf.DUMMYFUNCTION("""COMPUTED_VALUE"""),"Lacombe, Paul")</f>
        <v>Lacombe, Paul</v>
      </c>
      <c r="B4664" s="2">
        <f ca="1">IFERROR(__xludf.DUMMYFUNCTION("""COMPUTED_VALUE"""),1)</f>
        <v>1</v>
      </c>
      <c r="C4664" s="7">
        <f ca="1">IFERROR(__xludf.DUMMYFUNCTION("""COMPUTED_VALUE"""),1)</f>
        <v>1</v>
      </c>
      <c r="D4664" s="8">
        <f ca="1">IFERROR(__xludf.DUMMYFUNCTION("""COMPUTED_VALUE"""),5)</f>
        <v>5</v>
      </c>
      <c r="E4664" s="2">
        <f ca="1">IFERROR(__xludf.DUMMYFUNCTION("""COMPUTED_VALUE"""),2)</f>
        <v>2</v>
      </c>
    </row>
    <row r="4665" spans="1:5" ht="13">
      <c r="A4665" s="2" t="str">
        <f ca="1">IFERROR(__xludf.DUMMYFUNCTION("""COMPUTED_VALUE"""),"Lacôme d'Estalenx, Paul-Jean-Jacques")</f>
        <v>Lacôme d'Estalenx, Paul-Jean-Jacques</v>
      </c>
      <c r="B4665" s="2">
        <f ca="1">IFERROR(__xludf.DUMMYFUNCTION("""COMPUTED_VALUE"""),1)</f>
        <v>1</v>
      </c>
      <c r="C4665" s="7">
        <f ca="1">IFERROR(__xludf.DUMMYFUNCTION("""COMPUTED_VALUE"""),1)</f>
        <v>1</v>
      </c>
      <c r="D4665" s="8">
        <f ca="1">IFERROR(__xludf.DUMMYFUNCTION("""COMPUTED_VALUE"""),5)</f>
        <v>5</v>
      </c>
      <c r="E4665" s="2">
        <f ca="1">IFERROR(__xludf.DUMMYFUNCTION("""COMPUTED_VALUE"""),2)</f>
        <v>2</v>
      </c>
    </row>
    <row r="4666" spans="1:5" ht="13">
      <c r="A4666" s="2" t="str">
        <f ca="1">IFERROR(__xludf.DUMMYFUNCTION("""COMPUTED_VALUE"""),"Ladukhin, Nikolay")</f>
        <v>Ladukhin, Nikolay</v>
      </c>
      <c r="B4666" s="2">
        <f ca="1">IFERROR(__xludf.DUMMYFUNCTION("""COMPUTED_VALUE"""),1)</f>
        <v>1</v>
      </c>
      <c r="C4666" s="7">
        <f ca="1">IFERROR(__xludf.DUMMYFUNCTION("""COMPUTED_VALUE"""),1)</f>
        <v>1</v>
      </c>
      <c r="D4666" s="8">
        <f ca="1">IFERROR(__xludf.DUMMYFUNCTION("""COMPUTED_VALUE"""),5)</f>
        <v>5</v>
      </c>
      <c r="E4666" s="2">
        <f ca="1">IFERROR(__xludf.DUMMYFUNCTION("""COMPUTED_VALUE"""),2)</f>
        <v>2</v>
      </c>
    </row>
    <row r="4667" spans="1:5" ht="13">
      <c r="A4667" s="2" t="str">
        <f ca="1">IFERROR(__xludf.DUMMYFUNCTION("""COMPUTED_VALUE"""),"LaForge, Frank / Earhart, Will")</f>
        <v>LaForge, Frank / Earhart, Will</v>
      </c>
      <c r="B4667" s="2">
        <f ca="1">IFERROR(__xludf.DUMMYFUNCTION("""COMPUTED_VALUE"""),1)</f>
        <v>1</v>
      </c>
      <c r="C4667" s="2">
        <f ca="1">IFERROR(__xludf.DUMMYFUNCTION("""COMPUTED_VALUE"""),1)</f>
        <v>1</v>
      </c>
      <c r="D4667" s="8">
        <f ca="1">IFERROR(__xludf.DUMMYFUNCTION("""COMPUTED_VALUE"""),5)</f>
        <v>5</v>
      </c>
      <c r="E4667" s="2">
        <f ca="1">IFERROR(__xludf.DUMMYFUNCTION("""COMPUTED_VALUE"""),2)</f>
        <v>2</v>
      </c>
    </row>
    <row r="4668" spans="1:5" ht="13">
      <c r="A4668" s="2" t="str">
        <f ca="1">IFERROR(__xludf.DUMMYFUNCTION("""COMPUTED_VALUE"""),"LaGassey, Homer")</f>
        <v>LaGassey, Homer</v>
      </c>
      <c r="B4668" s="3">
        <f ca="1">IFERROR(__xludf.DUMMYFUNCTION("""COMPUTED_VALUE"""),1)</f>
        <v>1</v>
      </c>
      <c r="C4668" s="7">
        <f ca="1">IFERROR(__xludf.DUMMYFUNCTION("""COMPUTED_VALUE"""),1)</f>
        <v>1</v>
      </c>
      <c r="D4668" s="8">
        <f ca="1">IFERROR(__xludf.DUMMYFUNCTION("""COMPUTED_VALUE"""),5)</f>
        <v>5</v>
      </c>
      <c r="E4668" s="3">
        <f ca="1">IFERROR(__xludf.DUMMYFUNCTION("""COMPUTED_VALUE"""),2)</f>
        <v>2</v>
      </c>
    </row>
    <row r="4669" spans="1:5" ht="13">
      <c r="A4669" s="8" t="str">
        <f ca="1">IFERROR(__xludf.DUMMYFUNCTION("""COMPUTED_VALUE"""),"Lage, Klaus / Newman, Randy")</f>
        <v>Lage, Klaus / Newman, Randy</v>
      </c>
      <c r="B4669" s="3">
        <f ca="1">IFERROR(__xludf.DUMMYFUNCTION("""COMPUTED_VALUE"""),1)</f>
        <v>1</v>
      </c>
      <c r="C4669" s="7">
        <f ca="1">IFERROR(__xludf.DUMMYFUNCTION("""COMPUTED_VALUE"""),1)</f>
        <v>1</v>
      </c>
      <c r="D4669" s="8">
        <f ca="1">IFERROR(__xludf.DUMMYFUNCTION("""COMPUTED_VALUE"""),1)</f>
        <v>1</v>
      </c>
      <c r="E4669" s="2">
        <f ca="1">IFERROR(__xludf.DUMMYFUNCTION("""COMPUTED_VALUE"""),1)</f>
        <v>1</v>
      </c>
    </row>
    <row r="4670" spans="1:5" ht="13">
      <c r="A4670" s="2" t="str">
        <f ca="1">IFERROR(__xludf.DUMMYFUNCTION("""COMPUTED_VALUE"""),"Lago, Guillermo")</f>
        <v>Lago, Guillermo</v>
      </c>
      <c r="B4670" s="3">
        <f ca="1">IFERROR(__xludf.DUMMYFUNCTION("""COMPUTED_VALUE"""),1)</f>
        <v>1</v>
      </c>
      <c r="C4670" s="7">
        <f ca="1">IFERROR(__xludf.DUMMYFUNCTION("""COMPUTED_VALUE"""),1)</f>
        <v>1</v>
      </c>
      <c r="D4670" s="8">
        <f ca="1">IFERROR(__xludf.DUMMYFUNCTION("""COMPUTED_VALUE"""),1)</f>
        <v>1</v>
      </c>
      <c r="E4670" s="2">
        <f ca="1">IFERROR(__xludf.DUMMYFUNCTION("""COMPUTED_VALUE"""),1)</f>
        <v>1</v>
      </c>
    </row>
    <row r="4671" spans="1:5" ht="13">
      <c r="A4671" s="2" t="str">
        <f ca="1">IFERROR(__xludf.DUMMYFUNCTION("""COMPUTED_VALUE"""),"LaJoie, Thomas")</f>
        <v>LaJoie, Thomas</v>
      </c>
      <c r="B4671" s="3">
        <f ca="1">IFERROR(__xludf.DUMMYFUNCTION("""COMPUTED_VALUE"""),1)</f>
        <v>1</v>
      </c>
      <c r="C4671" s="7">
        <f ca="1">IFERROR(__xludf.DUMMYFUNCTION("""COMPUTED_VALUE"""),1)</f>
        <v>1</v>
      </c>
      <c r="D4671" s="8">
        <f ca="1">IFERROR(__xludf.DUMMYFUNCTION("""COMPUTED_VALUE"""),1)</f>
        <v>1</v>
      </c>
      <c r="E4671" s="2">
        <f ca="1">IFERROR(__xludf.DUMMYFUNCTION("""COMPUTED_VALUE"""),1)</f>
        <v>1</v>
      </c>
    </row>
    <row r="4672" spans="1:5" ht="13">
      <c r="A4672" s="2" t="str">
        <f ca="1">IFERROR(__xludf.DUMMYFUNCTION("""COMPUTED_VALUE"""),"Lajos, Vass")</f>
        <v>Lajos, Vass</v>
      </c>
      <c r="B4672" s="2">
        <f ca="1">IFERROR(__xludf.DUMMYFUNCTION("""COMPUTED_VALUE"""),1)</f>
        <v>1</v>
      </c>
      <c r="C4672" s="7">
        <f ca="1">IFERROR(__xludf.DUMMYFUNCTION("""COMPUTED_VALUE"""),1)</f>
        <v>1</v>
      </c>
      <c r="D4672" s="8">
        <f ca="1">IFERROR(__xludf.DUMMYFUNCTION("""COMPUTED_VALUE"""),5)</f>
        <v>5</v>
      </c>
      <c r="E4672" s="2">
        <f ca="1">IFERROR(__xludf.DUMMYFUNCTION("""COMPUTED_VALUE"""),2)</f>
        <v>2</v>
      </c>
    </row>
    <row r="4673" spans="1:5" ht="13">
      <c r="A4673" s="2" t="str">
        <f ca="1">IFERROR(__xludf.DUMMYFUNCTION("""COMPUTED_VALUE"""),"Lake-Kent, Mayhew")</f>
        <v>Lake-Kent, Mayhew</v>
      </c>
      <c r="B4673" s="2">
        <f ca="1">IFERROR(__xludf.DUMMYFUNCTION("""COMPUTED_VALUE"""),1)</f>
        <v>1</v>
      </c>
      <c r="C4673" s="7">
        <f ca="1">IFERROR(__xludf.DUMMYFUNCTION("""COMPUTED_VALUE"""),1)</f>
        <v>1</v>
      </c>
      <c r="D4673" s="8">
        <f ca="1">IFERROR(__xludf.DUMMYFUNCTION("""COMPUTED_VALUE"""),5)</f>
        <v>5</v>
      </c>
      <c r="E4673" s="2">
        <f ca="1">IFERROR(__xludf.DUMMYFUNCTION("""COMPUTED_VALUE"""),2)</f>
        <v>2</v>
      </c>
    </row>
    <row r="4674" spans="1:5" ht="13">
      <c r="A4674" s="2" t="str">
        <f ca="1">IFERROR(__xludf.DUMMYFUNCTION("""COMPUTED_VALUE"""),"Lake, Mayhew")</f>
        <v>Lake, Mayhew</v>
      </c>
      <c r="B4674" s="3">
        <f ca="1">IFERROR(__xludf.DUMMYFUNCTION("""COMPUTED_VALUE"""),1)</f>
        <v>1</v>
      </c>
      <c r="C4674" s="7">
        <f ca="1">IFERROR(__xludf.DUMMYFUNCTION("""COMPUTED_VALUE"""),1)</f>
        <v>1</v>
      </c>
      <c r="D4674" s="8">
        <f ca="1">IFERROR(__xludf.DUMMYFUNCTION("""COMPUTED_VALUE"""),5)</f>
        <v>5</v>
      </c>
      <c r="E4674" s="2">
        <f ca="1">IFERROR(__xludf.DUMMYFUNCTION("""COMPUTED_VALUE"""),2)</f>
        <v>2</v>
      </c>
    </row>
    <row r="4675" spans="1:5" ht="13">
      <c r="A4675" s="2" t="str">
        <f ca="1">IFERROR(__xludf.DUMMYFUNCTION("""COMPUTED_VALUE"""),"Lalama, Dave / Carubia, Mike")</f>
        <v>Lalama, Dave / Carubia, Mike</v>
      </c>
      <c r="B4675" s="3">
        <f ca="1">IFERROR(__xludf.DUMMYFUNCTION("""COMPUTED_VALUE"""),1)</f>
        <v>1</v>
      </c>
      <c r="C4675" s="7">
        <f ca="1">IFERROR(__xludf.DUMMYFUNCTION("""COMPUTED_VALUE"""),1)</f>
        <v>1</v>
      </c>
      <c r="D4675" s="8">
        <f ca="1">IFERROR(__xludf.DUMMYFUNCTION("""COMPUTED_VALUE"""),1)</f>
        <v>1</v>
      </c>
      <c r="E4675" s="2">
        <f ca="1">IFERROR(__xludf.DUMMYFUNCTION("""COMPUTED_VALUE"""),1)</f>
        <v>1</v>
      </c>
    </row>
    <row r="4676" spans="1:5" ht="13">
      <c r="A4676" s="2" t="str">
        <f ca="1">IFERROR(__xludf.DUMMYFUNCTION("""COMPUTED_VALUE"""),"Lalande, Michel de")</f>
        <v>Lalande, Michel de</v>
      </c>
      <c r="B4676" s="3">
        <f ca="1">IFERROR(__xludf.DUMMYFUNCTION("""COMPUTED_VALUE"""),1)</f>
        <v>1</v>
      </c>
      <c r="C4676" s="7">
        <f ca="1">IFERROR(__xludf.DUMMYFUNCTION("""COMPUTED_VALUE"""),1)</f>
        <v>1</v>
      </c>
      <c r="D4676" s="8">
        <f ca="1">IFERROR(__xludf.DUMMYFUNCTION("""COMPUTED_VALUE"""),5)</f>
        <v>5</v>
      </c>
      <c r="E4676" s="2">
        <f ca="1">IFERROR(__xludf.DUMMYFUNCTION("""COMPUTED_VALUE"""),2)</f>
        <v>2</v>
      </c>
    </row>
    <row r="4677" spans="1:5" ht="13">
      <c r="A4677" s="2" t="str">
        <f ca="1">IFERROR(__xludf.DUMMYFUNCTION("""COMPUTED_VALUE"""),"Lallerstedt, Ford")</f>
        <v>Lallerstedt, Ford</v>
      </c>
      <c r="B4677" s="3">
        <f ca="1">IFERROR(__xludf.DUMMYFUNCTION("""COMPUTED_VALUE"""),1)</f>
        <v>1</v>
      </c>
      <c r="C4677" s="7">
        <f ca="1">IFERROR(__xludf.DUMMYFUNCTION("""COMPUTED_VALUE"""),1)</f>
        <v>1</v>
      </c>
      <c r="D4677" s="8">
        <f ca="1">IFERROR(__xludf.DUMMYFUNCTION("""COMPUTED_VALUE"""),1)</f>
        <v>1</v>
      </c>
      <c r="E4677" s="2">
        <f ca="1">IFERROR(__xludf.DUMMYFUNCTION("""COMPUTED_VALUE"""),1)</f>
        <v>1</v>
      </c>
    </row>
    <row r="4678" spans="1:5" ht="13">
      <c r="A4678" s="2" t="str">
        <f ca="1">IFERROR(__xludf.DUMMYFUNCTION("""COMPUTED_VALUE"""),"Lalliet, Theodore")</f>
        <v>Lalliet, Theodore</v>
      </c>
      <c r="B4678" s="3">
        <f ca="1">IFERROR(__xludf.DUMMYFUNCTION("""COMPUTED_VALUE"""),1)</f>
        <v>1</v>
      </c>
      <c r="C4678" s="7">
        <f ca="1">IFERROR(__xludf.DUMMYFUNCTION("""COMPUTED_VALUE"""),1)</f>
        <v>1</v>
      </c>
      <c r="D4678" s="8">
        <f ca="1">IFERROR(__xludf.DUMMYFUNCTION("""COMPUTED_VALUE"""),5)</f>
        <v>5</v>
      </c>
      <c r="E4678" s="2">
        <f ca="1">IFERROR(__xludf.DUMMYFUNCTION("""COMPUTED_VALUE"""),2)</f>
        <v>2</v>
      </c>
    </row>
    <row r="4679" spans="1:5" ht="13">
      <c r="A4679" s="2" t="str">
        <f ca="1">IFERROR(__xludf.DUMMYFUNCTION("""COMPUTED_VALUE"""),"Lallouette, Jean-François")</f>
        <v>Lallouette, Jean-François</v>
      </c>
      <c r="B4679" s="3">
        <f ca="1">IFERROR(__xludf.DUMMYFUNCTION("""COMPUTED_VALUE"""),1)</f>
        <v>1</v>
      </c>
      <c r="C4679" s="7">
        <f ca="1">IFERROR(__xludf.DUMMYFUNCTION("""COMPUTED_VALUE"""),1)</f>
        <v>1</v>
      </c>
      <c r="D4679" s="8">
        <f ca="1">IFERROR(__xludf.DUMMYFUNCTION("""COMPUTED_VALUE"""),5)</f>
        <v>5</v>
      </c>
      <c r="E4679" s="2">
        <f ca="1">IFERROR(__xludf.DUMMYFUNCTION("""COMPUTED_VALUE"""),2)</f>
        <v>2</v>
      </c>
    </row>
    <row r="4680" spans="1:5" ht="13">
      <c r="A4680" s="2" t="str">
        <f ca="1">IFERROR(__xludf.DUMMYFUNCTION("""COMPUTED_VALUE"""),"Lalo, Édouard")</f>
        <v>Lalo, Édouard</v>
      </c>
      <c r="B4680" s="3">
        <f ca="1">IFERROR(__xludf.DUMMYFUNCTION("""COMPUTED_VALUE"""),1)</f>
        <v>1</v>
      </c>
      <c r="C4680" s="7">
        <f ca="1">IFERROR(__xludf.DUMMYFUNCTION("""COMPUTED_VALUE"""),1)</f>
        <v>1</v>
      </c>
      <c r="D4680" s="8">
        <f ca="1">IFERROR(__xludf.DUMMYFUNCTION("""COMPUTED_VALUE"""),5)</f>
        <v>5</v>
      </c>
      <c r="E4680" s="2">
        <f ca="1">IFERROR(__xludf.DUMMYFUNCTION("""COMPUTED_VALUE"""),2)</f>
        <v>2</v>
      </c>
    </row>
    <row r="4681" spans="1:5" ht="13">
      <c r="A4681" s="2" t="str">
        <f ca="1">IFERROR(__xludf.DUMMYFUNCTION("""COMPUTED_VALUE"""),"LaMance, Edgar")</f>
        <v>LaMance, Edgar</v>
      </c>
      <c r="B4681" s="3">
        <f ca="1">IFERROR(__xludf.DUMMYFUNCTION("""COMPUTED_VALUE"""),1)</f>
        <v>1</v>
      </c>
      <c r="C4681" s="7">
        <f ca="1">IFERROR(__xludf.DUMMYFUNCTION("""COMPUTED_VALUE"""),1)</f>
        <v>1</v>
      </c>
      <c r="D4681" s="8">
        <f ca="1">IFERROR(__xludf.DUMMYFUNCTION("""COMPUTED_VALUE"""),1)</f>
        <v>1</v>
      </c>
      <c r="E4681" s="2">
        <f ca="1">IFERROR(__xludf.DUMMYFUNCTION("""COMPUTED_VALUE"""),1)</f>
        <v>1</v>
      </c>
    </row>
    <row r="4682" spans="1:5" ht="13">
      <c r="A4682" s="2" t="str">
        <f ca="1">IFERROR(__xludf.DUMMYFUNCTION("""COMPUTED_VALUE"""),"Lamb, Gordon")</f>
        <v>Lamb, Gordon</v>
      </c>
      <c r="B4682" s="3">
        <f ca="1">IFERROR(__xludf.DUMMYFUNCTION("""COMPUTED_VALUE"""),1)</f>
        <v>1</v>
      </c>
      <c r="C4682" s="7">
        <f ca="1">IFERROR(__xludf.DUMMYFUNCTION("""COMPUTED_VALUE"""),1)</f>
        <v>1</v>
      </c>
      <c r="D4682" s="8">
        <f ca="1">IFERROR(__xludf.DUMMYFUNCTION("""COMPUTED_VALUE"""),5)</f>
        <v>5</v>
      </c>
      <c r="E4682" s="2">
        <f ca="1">IFERROR(__xludf.DUMMYFUNCTION("""COMPUTED_VALUE"""),2)</f>
        <v>2</v>
      </c>
    </row>
    <row r="4683" spans="1:5" ht="13">
      <c r="A4683" s="2" t="str">
        <f ca="1">IFERROR(__xludf.DUMMYFUNCTION("""COMPUTED_VALUE"""),"Lamb, James")</f>
        <v>Lamb, James</v>
      </c>
      <c r="B4683" s="3">
        <f ca="1">IFERROR(__xludf.DUMMYFUNCTION("""COMPUTED_VALUE"""),1)</f>
        <v>1</v>
      </c>
      <c r="C4683" s="7">
        <f ca="1">IFERROR(__xludf.DUMMYFUNCTION("""COMPUTED_VALUE"""),1)</f>
        <v>1</v>
      </c>
      <c r="D4683" s="8">
        <f ca="1">IFERROR(__xludf.DUMMYFUNCTION("""COMPUTED_VALUE"""),1)</f>
        <v>1</v>
      </c>
      <c r="E4683" s="2">
        <f ca="1">IFERROR(__xludf.DUMMYFUNCTION("""COMPUTED_VALUE"""),1)</f>
        <v>1</v>
      </c>
    </row>
    <row r="4684" spans="1:5" ht="13">
      <c r="A4684" s="8" t="str">
        <f ca="1">IFERROR(__xludf.DUMMYFUNCTION("""COMPUTED_VALUE"""),"Lamb, Jeremy")</f>
        <v>Lamb, Jeremy</v>
      </c>
      <c r="B4684" s="3">
        <f ca="1">IFERROR(__xludf.DUMMYFUNCTION("""COMPUTED_VALUE"""),1)</f>
        <v>1</v>
      </c>
      <c r="C4684" s="7">
        <f ca="1">IFERROR(__xludf.DUMMYFUNCTION("""COMPUTED_VALUE"""),1)</f>
        <v>1</v>
      </c>
      <c r="D4684" s="8">
        <f ca="1">IFERROR(__xludf.DUMMYFUNCTION("""COMPUTED_VALUE"""),1)</f>
        <v>1</v>
      </c>
      <c r="E4684" s="2">
        <f ca="1">IFERROR(__xludf.DUMMYFUNCTION("""COMPUTED_VALUE"""),1)</f>
        <v>1</v>
      </c>
    </row>
    <row r="4685" spans="1:5" ht="13">
      <c r="A4685" s="8" t="str">
        <f ca="1">IFERROR(__xludf.DUMMYFUNCTION("""COMPUTED_VALUE"""),"Lamb, John David")</f>
        <v>Lamb, John David</v>
      </c>
      <c r="B4685" s="3">
        <f ca="1">IFERROR(__xludf.DUMMYFUNCTION("""COMPUTED_VALUE"""),1)</f>
        <v>1</v>
      </c>
      <c r="C4685" s="7">
        <f ca="1">IFERROR(__xludf.DUMMYFUNCTION("""COMPUTED_VALUE"""),1)</f>
        <v>1</v>
      </c>
      <c r="D4685" s="8">
        <f ca="1">IFERROR(__xludf.DUMMYFUNCTION("""COMPUTED_VALUE"""),1)</f>
        <v>1</v>
      </c>
      <c r="E4685" s="2">
        <f ca="1">IFERROR(__xludf.DUMMYFUNCTION("""COMPUTED_VALUE"""),1)</f>
        <v>1</v>
      </c>
    </row>
    <row r="4686" spans="1:5" ht="13">
      <c r="A4686" s="8" t="str">
        <f ca="1">IFERROR(__xludf.DUMMYFUNCTION("""COMPUTED_VALUE"""),"Lamb, Joseph")</f>
        <v>Lamb, Joseph</v>
      </c>
      <c r="B4686" s="3">
        <f ca="1">IFERROR(__xludf.DUMMYFUNCTION("""COMPUTED_VALUE"""),1)</f>
        <v>1</v>
      </c>
      <c r="C4686" s="7">
        <f ca="1">IFERROR(__xludf.DUMMYFUNCTION("""COMPUTED_VALUE"""),1)</f>
        <v>1</v>
      </c>
      <c r="D4686" s="8">
        <f ca="1">IFERROR(__xludf.DUMMYFUNCTION("""COMPUTED_VALUE"""),5)</f>
        <v>5</v>
      </c>
      <c r="E4686" s="2">
        <f ca="1">IFERROR(__xludf.DUMMYFUNCTION("""COMPUTED_VALUE"""),2)</f>
        <v>2</v>
      </c>
    </row>
    <row r="4687" spans="1:5" ht="13">
      <c r="A4687" s="2" t="str">
        <f ca="1">IFERROR(__xludf.DUMMYFUNCTION("""COMPUTED_VALUE"""),"Lamb, Kevin")</f>
        <v>Lamb, Kevin</v>
      </c>
      <c r="B4687" s="2">
        <f ca="1">IFERROR(__xludf.DUMMYFUNCTION("""COMPUTED_VALUE"""),1)</f>
        <v>1</v>
      </c>
      <c r="C4687" s="2">
        <f ca="1">IFERROR(__xludf.DUMMYFUNCTION("""COMPUTED_VALUE"""),1)</f>
        <v>1</v>
      </c>
      <c r="D4687" s="8">
        <f ca="1">IFERROR(__xludf.DUMMYFUNCTION("""COMPUTED_VALUE"""),5)</f>
        <v>5</v>
      </c>
      <c r="E4687" s="2">
        <f ca="1">IFERROR(__xludf.DUMMYFUNCTION("""COMPUTED_VALUE"""),2)</f>
        <v>2</v>
      </c>
    </row>
    <row r="4688" spans="1:5" ht="13">
      <c r="A4688" s="2" t="str">
        <f ca="1">IFERROR(__xludf.DUMMYFUNCTION("""COMPUTED_VALUE"""),"Lambert, Constant")</f>
        <v>Lambert, Constant</v>
      </c>
      <c r="B4688" s="3">
        <f ca="1">IFERROR(__xludf.DUMMYFUNCTION("""COMPUTED_VALUE"""),1)</f>
        <v>1</v>
      </c>
      <c r="C4688" s="7">
        <f ca="1">IFERROR(__xludf.DUMMYFUNCTION("""COMPUTED_VALUE"""),1)</f>
        <v>1</v>
      </c>
      <c r="D4688" s="8">
        <f ca="1">IFERROR(__xludf.DUMMYFUNCTION("""COMPUTED_VALUE"""),5)</f>
        <v>5</v>
      </c>
      <c r="E4688" s="2">
        <f ca="1">IFERROR(__xludf.DUMMYFUNCTION("""COMPUTED_VALUE"""),2)</f>
        <v>2</v>
      </c>
    </row>
    <row r="4689" spans="1:5" ht="13">
      <c r="A4689" s="2" t="str">
        <f ca="1">IFERROR(__xludf.DUMMYFUNCTION("""COMPUTED_VALUE"""),"Lambert, David")</f>
        <v>Lambert, David</v>
      </c>
      <c r="B4689" s="3">
        <f ca="1">IFERROR(__xludf.DUMMYFUNCTION("""COMPUTED_VALUE"""),1)</f>
        <v>1</v>
      </c>
      <c r="C4689" s="7">
        <f ca="1">IFERROR(__xludf.DUMMYFUNCTION("""COMPUTED_VALUE"""),1)</f>
        <v>1</v>
      </c>
      <c r="D4689" s="8">
        <f ca="1">IFERROR(__xludf.DUMMYFUNCTION("""COMPUTED_VALUE"""),1)</f>
        <v>1</v>
      </c>
      <c r="E4689" s="2">
        <f ca="1">IFERROR(__xludf.DUMMYFUNCTION("""COMPUTED_VALUE"""),1)</f>
        <v>1</v>
      </c>
    </row>
    <row r="4690" spans="1:5" ht="13">
      <c r="A4690" s="2" t="str">
        <f ca="1">IFERROR(__xludf.DUMMYFUNCTION("""COMPUTED_VALUE"""),"Lambro, Phillip")</f>
        <v>Lambro, Phillip</v>
      </c>
      <c r="B4690" s="3">
        <f ca="1">IFERROR(__xludf.DUMMYFUNCTION("""COMPUTED_VALUE"""),1)</f>
        <v>1</v>
      </c>
      <c r="C4690" s="7">
        <f ca="1">IFERROR(__xludf.DUMMYFUNCTION("""COMPUTED_VALUE"""),1)</f>
        <v>1</v>
      </c>
      <c r="D4690" s="8">
        <f ca="1">IFERROR(__xludf.DUMMYFUNCTION("""COMPUTED_VALUE"""),5)</f>
        <v>5</v>
      </c>
      <c r="E4690" s="2">
        <f ca="1">IFERROR(__xludf.DUMMYFUNCTION("""COMPUTED_VALUE"""),2)</f>
        <v>2</v>
      </c>
    </row>
    <row r="4691" spans="1:5" ht="13">
      <c r="A4691" s="2" t="str">
        <f ca="1">IFERROR(__xludf.DUMMYFUNCTION("""COMPUTED_VALUE"""),"Lamm, Robert")</f>
        <v>Lamm, Robert</v>
      </c>
      <c r="B4691" s="3">
        <f ca="1">IFERROR(__xludf.DUMMYFUNCTION("""COMPUTED_VALUE"""),1)</f>
        <v>1</v>
      </c>
      <c r="C4691" s="7">
        <f ca="1">IFERROR(__xludf.DUMMYFUNCTION("""COMPUTED_VALUE"""),1)</f>
        <v>1</v>
      </c>
      <c r="D4691" s="8">
        <f ca="1">IFERROR(__xludf.DUMMYFUNCTION("""COMPUTED_VALUE"""),1)</f>
        <v>1</v>
      </c>
      <c r="E4691" s="2">
        <f ca="1">IFERROR(__xludf.DUMMYFUNCTION("""COMPUTED_VALUE"""),1)</f>
        <v>1</v>
      </c>
    </row>
    <row r="4692" spans="1:5" ht="13">
      <c r="A4692" s="2" t="str">
        <f ca="1">IFERROR(__xludf.DUMMYFUNCTION("""COMPUTED_VALUE"""),"LaMontaine, John")</f>
        <v>LaMontaine, John</v>
      </c>
      <c r="B4692" s="3">
        <f ca="1">IFERROR(__xludf.DUMMYFUNCTION("""COMPUTED_VALUE"""),1)</f>
        <v>1</v>
      </c>
      <c r="C4692" s="7">
        <f ca="1">IFERROR(__xludf.DUMMYFUNCTION("""COMPUTED_VALUE"""),1)</f>
        <v>1</v>
      </c>
      <c r="D4692" s="8">
        <f ca="1">IFERROR(__xludf.DUMMYFUNCTION("""COMPUTED_VALUE"""),5)</f>
        <v>5</v>
      </c>
      <c r="E4692" s="2">
        <f ca="1">IFERROR(__xludf.DUMMYFUNCTION("""COMPUTED_VALUE"""),2)</f>
        <v>2</v>
      </c>
    </row>
    <row r="4693" spans="1:5" ht="13">
      <c r="A4693" s="2" t="str">
        <f ca="1">IFERROR(__xludf.DUMMYFUNCTION("""COMPUTED_VALUE"""),"Lampe, Jens Bodewalt")</f>
        <v>Lampe, Jens Bodewalt</v>
      </c>
      <c r="B4693" s="2">
        <f ca="1">IFERROR(__xludf.DUMMYFUNCTION("""COMPUTED_VALUE"""),1)</f>
        <v>1</v>
      </c>
      <c r="C4693" s="7">
        <f ca="1">IFERROR(__xludf.DUMMYFUNCTION("""COMPUTED_VALUE"""),1)</f>
        <v>1</v>
      </c>
      <c r="D4693" s="8">
        <f ca="1">IFERROR(__xludf.DUMMYFUNCTION("""COMPUTED_VALUE"""),5)</f>
        <v>5</v>
      </c>
      <c r="E4693" s="2">
        <f ca="1">IFERROR(__xludf.DUMMYFUNCTION("""COMPUTED_VALUE"""),2)</f>
        <v>2</v>
      </c>
    </row>
    <row r="4694" spans="1:5" ht="13">
      <c r="A4694" s="2" t="str">
        <f ca="1">IFERROR(__xludf.DUMMYFUNCTION("""COMPUTED_VALUE"""),"Lampl, Kenneth H.")</f>
        <v>Lampl, Kenneth H.</v>
      </c>
      <c r="B4694" s="3">
        <f ca="1">IFERROR(__xludf.DUMMYFUNCTION("""COMPUTED_VALUE"""),1)</f>
        <v>1</v>
      </c>
      <c r="C4694" s="7">
        <f ca="1">IFERROR(__xludf.DUMMYFUNCTION("""COMPUTED_VALUE"""),1)</f>
        <v>1</v>
      </c>
      <c r="D4694" s="8">
        <f ca="1">IFERROR(__xludf.DUMMYFUNCTION("""COMPUTED_VALUE"""),1)</f>
        <v>1</v>
      </c>
      <c r="E4694" s="2">
        <f ca="1">IFERROR(__xludf.DUMMYFUNCTION("""COMPUTED_VALUE"""),1)</f>
        <v>1</v>
      </c>
    </row>
    <row r="4695" spans="1:5" ht="13">
      <c r="A4695" s="2" t="str">
        <f ca="1">IFERROR(__xludf.DUMMYFUNCTION("""COMPUTED_VALUE"""),"Lancaster, Coby")</f>
        <v>Lancaster, Coby</v>
      </c>
      <c r="B4695" s="3">
        <f ca="1">IFERROR(__xludf.DUMMYFUNCTION("""COMPUTED_VALUE"""),1)</f>
        <v>1</v>
      </c>
      <c r="C4695" s="7">
        <f ca="1">IFERROR(__xludf.DUMMYFUNCTION("""COMPUTED_VALUE"""),1)</f>
        <v>1</v>
      </c>
      <c r="D4695" s="8">
        <f ca="1">IFERROR(__xludf.DUMMYFUNCTION("""COMPUTED_VALUE"""),5)</f>
        <v>5</v>
      </c>
      <c r="E4695" s="2">
        <f ca="1">IFERROR(__xludf.DUMMYFUNCTION("""COMPUTED_VALUE"""),2)</f>
        <v>2</v>
      </c>
    </row>
    <row r="4696" spans="1:5" ht="13">
      <c r="A4696" s="2" t="str">
        <f ca="1">IFERROR(__xludf.DUMMYFUNCTION("""COMPUTED_VALUE"""),"Lancen, Serge")</f>
        <v>Lancen, Serge</v>
      </c>
      <c r="B4696" s="3">
        <f ca="1">IFERROR(__xludf.DUMMYFUNCTION("""COMPUTED_VALUE"""),1)</f>
        <v>1</v>
      </c>
      <c r="C4696" s="7">
        <f ca="1">IFERROR(__xludf.DUMMYFUNCTION("""COMPUTED_VALUE"""),1)</f>
        <v>1</v>
      </c>
      <c r="D4696" s="8">
        <f ca="1">IFERROR(__xludf.DUMMYFUNCTION("""COMPUTED_VALUE"""),5)</f>
        <v>5</v>
      </c>
      <c r="E4696" s="2">
        <f ca="1">IFERROR(__xludf.DUMMYFUNCTION("""COMPUTED_VALUE"""),2)</f>
        <v>2</v>
      </c>
    </row>
    <row r="4697" spans="1:5" ht="13">
      <c r="A4697" s="2" t="str">
        <f ca="1">IFERROR(__xludf.DUMMYFUNCTION("""COMPUTED_VALUE"""),"Lanchbery, John")</f>
        <v>Lanchbery, John</v>
      </c>
      <c r="B4697" s="3">
        <f ca="1">IFERROR(__xludf.DUMMYFUNCTION("""COMPUTED_VALUE"""),1)</f>
        <v>1</v>
      </c>
      <c r="C4697" s="7">
        <f ca="1">IFERROR(__xludf.DUMMYFUNCTION("""COMPUTED_VALUE"""),1)</f>
        <v>1</v>
      </c>
      <c r="D4697" s="8">
        <f ca="1">IFERROR(__xludf.DUMMYFUNCTION("""COMPUTED_VALUE"""),5)</f>
        <v>5</v>
      </c>
      <c r="E4697" s="2">
        <f ca="1">IFERROR(__xludf.DUMMYFUNCTION("""COMPUTED_VALUE"""),2)</f>
        <v>2</v>
      </c>
    </row>
    <row r="4698" spans="1:5" ht="13">
      <c r="A4698" s="2" t="str">
        <f ca="1">IFERROR(__xludf.DUMMYFUNCTION("""COMPUTED_VALUE"""),"Lanchbery, John / O'Brien, Robert")</f>
        <v>Lanchbery, John / O'Brien, Robert</v>
      </c>
      <c r="B4698" s="3">
        <f ca="1">IFERROR(__xludf.DUMMYFUNCTION("""COMPUTED_VALUE"""),1)</f>
        <v>1</v>
      </c>
      <c r="C4698" s="7">
        <f ca="1">IFERROR(__xludf.DUMMYFUNCTION("""COMPUTED_VALUE"""),1)</f>
        <v>1</v>
      </c>
      <c r="D4698" s="8">
        <f ca="1">IFERROR(__xludf.DUMMYFUNCTION("""COMPUTED_VALUE"""),5)</f>
        <v>5</v>
      </c>
      <c r="E4698" s="2">
        <f ca="1">IFERROR(__xludf.DUMMYFUNCTION("""COMPUTED_VALUE"""),2)</f>
        <v>2</v>
      </c>
    </row>
    <row r="4699" spans="1:5" ht="13">
      <c r="A4699" s="2" t="str">
        <f ca="1">IFERROR(__xludf.DUMMYFUNCTION("""COMPUTED_VALUE"""),"Landers, Joseph")</f>
        <v>Landers, Joseph</v>
      </c>
      <c r="B4699" s="2">
        <f ca="1">IFERROR(__xludf.DUMMYFUNCTION("""COMPUTED_VALUE"""),1)</f>
        <v>1</v>
      </c>
      <c r="C4699" s="2">
        <f ca="1">IFERROR(__xludf.DUMMYFUNCTION("""COMPUTED_VALUE"""),1)</f>
        <v>1</v>
      </c>
      <c r="D4699" s="8">
        <f ca="1">IFERROR(__xludf.DUMMYFUNCTION("""COMPUTED_VALUE"""),1)</f>
        <v>1</v>
      </c>
      <c r="E4699" s="2">
        <f ca="1">IFERROR(__xludf.DUMMYFUNCTION("""COMPUTED_VALUE"""),1)</f>
        <v>1</v>
      </c>
    </row>
    <row r="4700" spans="1:5" ht="13">
      <c r="A4700" s="2" t="str">
        <f ca="1">IFERROR(__xludf.DUMMYFUNCTION("""COMPUTED_VALUE"""),"Landes, Rob")</f>
        <v>Landes, Rob</v>
      </c>
      <c r="B4700" s="3">
        <f ca="1">IFERROR(__xludf.DUMMYFUNCTION("""COMPUTED_VALUE"""),1)</f>
        <v>1</v>
      </c>
      <c r="C4700" s="7">
        <f ca="1">IFERROR(__xludf.DUMMYFUNCTION("""COMPUTED_VALUE"""),1)</f>
        <v>1</v>
      </c>
      <c r="D4700" s="8">
        <f ca="1">IFERROR(__xludf.DUMMYFUNCTION("""COMPUTED_VALUE"""),1)</f>
        <v>1</v>
      </c>
      <c r="E4700" s="2">
        <f ca="1">IFERROR(__xludf.DUMMYFUNCTION("""COMPUTED_VALUE"""),1)</f>
        <v>1</v>
      </c>
    </row>
    <row r="4701" spans="1:5" ht="13">
      <c r="A4701" s="2" t="str">
        <f ca="1">IFERROR(__xludf.DUMMYFUNCTION("""COMPUTED_VALUE"""),"Landon, H. C. Robbins")</f>
        <v>Landon, H. C. Robbins</v>
      </c>
      <c r="B4701" s="2">
        <f ca="1">IFERROR(__xludf.DUMMYFUNCTION("""COMPUTED_VALUE"""),1)</f>
        <v>1</v>
      </c>
      <c r="C4701" s="2">
        <f ca="1">IFERROR(__xludf.DUMMYFUNCTION("""COMPUTED_VALUE"""),1)</f>
        <v>1</v>
      </c>
      <c r="D4701" s="8">
        <f ca="1">IFERROR(__xludf.DUMMYFUNCTION("""COMPUTED_VALUE"""),5)</f>
        <v>5</v>
      </c>
      <c r="E4701" s="2">
        <f ca="1">IFERROR(__xludf.DUMMYFUNCTION("""COMPUTED_VALUE"""),2)</f>
        <v>2</v>
      </c>
    </row>
    <row r="4702" spans="1:5" ht="13">
      <c r="A4702" s="2" t="str">
        <f ca="1">IFERROR(__xludf.DUMMYFUNCTION("""COMPUTED_VALUE"""),"Landry, Kyle")</f>
        <v>Landry, Kyle</v>
      </c>
      <c r="B4702" s="3">
        <f ca="1">IFERROR(__xludf.DUMMYFUNCTION("""COMPUTED_VALUE"""),1)</f>
        <v>1</v>
      </c>
      <c r="C4702" s="7">
        <f ca="1">IFERROR(__xludf.DUMMYFUNCTION("""COMPUTED_VALUE"""),1)</f>
        <v>1</v>
      </c>
      <c r="D4702" s="8">
        <f ca="1">IFERROR(__xludf.DUMMYFUNCTION("""COMPUTED_VALUE"""),1)</f>
        <v>1</v>
      </c>
      <c r="E4702" s="2">
        <f ca="1">IFERROR(__xludf.DUMMYFUNCTION("""COMPUTED_VALUE"""),1)</f>
        <v>1</v>
      </c>
    </row>
    <row r="4703" spans="1:5" ht="13">
      <c r="A4703" s="2" t="str">
        <f ca="1">IFERROR(__xludf.DUMMYFUNCTION("""COMPUTED_VALUE"""),"Landshoff, Ludwig")</f>
        <v>Landshoff, Ludwig</v>
      </c>
      <c r="B4703" s="2">
        <f ca="1">IFERROR(__xludf.DUMMYFUNCTION("""COMPUTED_VALUE"""),1)</f>
        <v>1</v>
      </c>
      <c r="C4703" s="2">
        <f ca="1">IFERROR(__xludf.DUMMYFUNCTION("""COMPUTED_VALUE"""),1)</f>
        <v>1</v>
      </c>
      <c r="D4703" s="8">
        <f ca="1">IFERROR(__xludf.DUMMYFUNCTION("""COMPUTED_VALUE"""),5)</f>
        <v>5</v>
      </c>
      <c r="E4703" s="2">
        <f ca="1">IFERROR(__xludf.DUMMYFUNCTION("""COMPUTED_VALUE"""),2)</f>
        <v>2</v>
      </c>
    </row>
    <row r="4704" spans="1:5" ht="13">
      <c r="A4704" s="8" t="str">
        <f ca="1">IFERROR(__xludf.DUMMYFUNCTION("""COMPUTED_VALUE"""),"Lane, Burton")</f>
        <v>Lane, Burton</v>
      </c>
      <c r="B4704" s="3">
        <f ca="1">IFERROR(__xludf.DUMMYFUNCTION("""COMPUTED_VALUE"""),1)</f>
        <v>1</v>
      </c>
      <c r="C4704" s="7">
        <f ca="1">IFERROR(__xludf.DUMMYFUNCTION("""COMPUTED_VALUE"""),1)</f>
        <v>1</v>
      </c>
      <c r="D4704" s="8">
        <f ca="1">IFERROR(__xludf.DUMMYFUNCTION("""COMPUTED_VALUE"""),5)</f>
        <v>5</v>
      </c>
      <c r="E4704" s="2">
        <f ca="1">IFERROR(__xludf.DUMMYFUNCTION("""COMPUTED_VALUE"""),2)</f>
        <v>2</v>
      </c>
    </row>
    <row r="4705" spans="1:5" ht="13">
      <c r="A4705" s="8" t="str">
        <f ca="1">IFERROR(__xludf.DUMMYFUNCTION("""COMPUTED_VALUE"""),"Lane, Burton / Harburg, Yip")</f>
        <v>Lane, Burton / Harburg, Yip</v>
      </c>
      <c r="B4705" s="3">
        <f ca="1">IFERROR(__xludf.DUMMYFUNCTION("""COMPUTED_VALUE"""),1)</f>
        <v>1</v>
      </c>
      <c r="C4705" s="7">
        <f ca="1">IFERROR(__xludf.DUMMYFUNCTION("""COMPUTED_VALUE"""),1)</f>
        <v>1</v>
      </c>
      <c r="D4705" s="8">
        <f ca="1">IFERROR(__xludf.DUMMYFUNCTION("""COMPUTED_VALUE"""),5)</f>
        <v>5</v>
      </c>
      <c r="E4705" s="2">
        <f ca="1">IFERROR(__xludf.DUMMYFUNCTION("""COMPUTED_VALUE"""),2)</f>
        <v>2</v>
      </c>
    </row>
    <row r="4706" spans="1:5" ht="13">
      <c r="A4706" s="2" t="str">
        <f ca="1">IFERROR(__xludf.DUMMYFUNCTION("""COMPUTED_VALUE"""),"Lane, Peter Van Zandt")</f>
        <v>Lane, Peter Van Zandt</v>
      </c>
      <c r="B4706" s="3">
        <f ca="1">IFERROR(__xludf.DUMMYFUNCTION("""COMPUTED_VALUE"""),1)</f>
        <v>1</v>
      </c>
      <c r="C4706" s="7">
        <f ca="1">IFERROR(__xludf.DUMMYFUNCTION("""COMPUTED_VALUE"""),1)</f>
        <v>1</v>
      </c>
      <c r="D4706" s="8">
        <f ca="1">IFERROR(__xludf.DUMMYFUNCTION("""COMPUTED_VALUE"""),1)</f>
        <v>1</v>
      </c>
      <c r="E4706" s="2">
        <f ca="1">IFERROR(__xludf.DUMMYFUNCTION("""COMPUTED_VALUE"""),1)</f>
        <v>1</v>
      </c>
    </row>
    <row r="4707" spans="1:5" ht="13">
      <c r="A4707" s="2" t="str">
        <f ca="1">IFERROR(__xludf.DUMMYFUNCTION("""COMPUTED_VALUE"""),"Lane, Philip")</f>
        <v>Lane, Philip</v>
      </c>
      <c r="B4707" s="3">
        <f ca="1">IFERROR(__xludf.DUMMYFUNCTION("""COMPUTED_VALUE"""),1)</f>
        <v>1</v>
      </c>
      <c r="C4707" s="7">
        <f ca="1">IFERROR(__xludf.DUMMYFUNCTION("""COMPUTED_VALUE"""),1)</f>
        <v>1</v>
      </c>
      <c r="D4707" s="8">
        <f ca="1">IFERROR(__xludf.DUMMYFUNCTION("""COMPUTED_VALUE"""),1)</f>
        <v>1</v>
      </c>
      <c r="E4707" s="2">
        <f ca="1">IFERROR(__xludf.DUMMYFUNCTION("""COMPUTED_VALUE"""),1)</f>
        <v>1</v>
      </c>
    </row>
    <row r="4708" spans="1:5" ht="13">
      <c r="A4708" s="8" t="str">
        <f ca="1">IFERROR(__xludf.DUMMYFUNCTION("""COMPUTED_VALUE"""),"Lane, Richard")</f>
        <v>Lane, Richard</v>
      </c>
      <c r="B4708" s="3">
        <f ca="1">IFERROR(__xludf.DUMMYFUNCTION("""COMPUTED_VALUE"""),1)</f>
        <v>1</v>
      </c>
      <c r="C4708" s="7">
        <f ca="1">IFERROR(__xludf.DUMMYFUNCTION("""COMPUTED_VALUE"""),1)</f>
        <v>1</v>
      </c>
      <c r="D4708" s="8">
        <f ca="1">IFERROR(__xludf.DUMMYFUNCTION("""COMPUTED_VALUE"""),5)</f>
        <v>5</v>
      </c>
      <c r="E4708" s="2">
        <f ca="1">IFERROR(__xludf.DUMMYFUNCTION("""COMPUTED_VALUE"""),2)</f>
        <v>2</v>
      </c>
    </row>
    <row r="4709" spans="1:5" ht="13">
      <c r="A4709" s="2" t="str">
        <f ca="1">IFERROR(__xludf.DUMMYFUNCTION("""COMPUTED_VALUE"""),"Lang, David")</f>
        <v>Lang, David</v>
      </c>
      <c r="B4709" s="3">
        <f ca="1">IFERROR(__xludf.DUMMYFUNCTION("""COMPUTED_VALUE"""),1)</f>
        <v>1</v>
      </c>
      <c r="C4709" s="7">
        <f ca="1">IFERROR(__xludf.DUMMYFUNCTION("""COMPUTED_VALUE"""),1)</f>
        <v>1</v>
      </c>
      <c r="D4709" s="8">
        <f ca="1">IFERROR(__xludf.DUMMYFUNCTION("""COMPUTED_VALUE"""),1)</f>
        <v>1</v>
      </c>
      <c r="E4709" s="2">
        <f ca="1">IFERROR(__xludf.DUMMYFUNCTION("""COMPUTED_VALUE"""),1)</f>
        <v>1</v>
      </c>
    </row>
    <row r="4710" spans="1:5" ht="13">
      <c r="A4710" s="8" t="str">
        <f ca="1">IFERROR(__xludf.DUMMYFUNCTION("""COMPUTED_VALUE"""),"Lang, Donald")</f>
        <v>Lang, Donald</v>
      </c>
      <c r="B4710" s="9">
        <f ca="1">IFERROR(__xludf.DUMMYFUNCTION("""COMPUTED_VALUE"""),1)</f>
        <v>1</v>
      </c>
      <c r="C4710" s="7">
        <f ca="1">IFERROR(__xludf.DUMMYFUNCTION("""COMPUTED_VALUE"""),1)</f>
        <v>1</v>
      </c>
      <c r="D4710" s="8">
        <f ca="1">IFERROR(__xludf.DUMMYFUNCTION("""COMPUTED_VALUE"""),1)</f>
        <v>1</v>
      </c>
      <c r="E4710" s="9">
        <f ca="1">IFERROR(__xludf.DUMMYFUNCTION("""COMPUTED_VALUE"""),1)</f>
        <v>1</v>
      </c>
    </row>
    <row r="4711" spans="1:5" ht="13">
      <c r="A4711" s="2" t="str">
        <f ca="1">IFERROR(__xludf.DUMMYFUNCTION("""COMPUTED_VALUE"""),"Lang, Johann Georg")</f>
        <v>Lang, Johann Georg</v>
      </c>
      <c r="B4711" s="3">
        <f ca="1">IFERROR(__xludf.DUMMYFUNCTION("""COMPUTED_VALUE"""),1)</f>
        <v>1</v>
      </c>
      <c r="C4711" s="7">
        <f ca="1">IFERROR(__xludf.DUMMYFUNCTION("""COMPUTED_VALUE"""),1)</f>
        <v>1</v>
      </c>
      <c r="D4711" s="8">
        <f ca="1">IFERROR(__xludf.DUMMYFUNCTION("""COMPUTED_VALUE"""),5)</f>
        <v>5</v>
      </c>
      <c r="E4711" s="3">
        <f ca="1">IFERROR(__xludf.DUMMYFUNCTION("""COMPUTED_VALUE"""),2)</f>
        <v>2</v>
      </c>
    </row>
    <row r="4712" spans="1:5" ht="13">
      <c r="A4712" s="2" t="str">
        <f ca="1">IFERROR(__xludf.DUMMYFUNCTION("""COMPUTED_VALUE"""),"Lang, Philip J.")</f>
        <v>Lang, Philip J.</v>
      </c>
      <c r="B4712" s="3">
        <f ca="1">IFERROR(__xludf.DUMMYFUNCTION("""COMPUTED_VALUE"""),1)</f>
        <v>1</v>
      </c>
      <c r="C4712" s="7">
        <f ca="1">IFERROR(__xludf.DUMMYFUNCTION("""COMPUTED_VALUE"""),1)</f>
        <v>1</v>
      </c>
      <c r="D4712" s="8">
        <f ca="1">IFERROR(__xludf.DUMMYFUNCTION("""COMPUTED_VALUE"""),5)</f>
        <v>5</v>
      </c>
      <c r="E4712" s="3">
        <f ca="1">IFERROR(__xludf.DUMMYFUNCTION("""COMPUTED_VALUE"""),2)</f>
        <v>2</v>
      </c>
    </row>
    <row r="4713" spans="1:5" ht="13">
      <c r="A4713" s="8" t="str">
        <f ca="1">IFERROR(__xludf.DUMMYFUNCTION("""COMPUTED_VALUE"""),"Lang, Rupert")</f>
        <v>Lang, Rupert</v>
      </c>
      <c r="B4713" s="3">
        <f ca="1">IFERROR(__xludf.DUMMYFUNCTION("""COMPUTED_VALUE"""),1)</f>
        <v>1</v>
      </c>
      <c r="C4713" s="7">
        <f ca="1">IFERROR(__xludf.DUMMYFUNCTION("""COMPUTED_VALUE"""),1)</f>
        <v>1</v>
      </c>
      <c r="D4713" s="8">
        <f ca="1">IFERROR(__xludf.DUMMYFUNCTION("""COMPUTED_VALUE"""),1)</f>
        <v>1</v>
      </c>
      <c r="E4713" s="2">
        <f ca="1">IFERROR(__xludf.DUMMYFUNCTION("""COMPUTED_VALUE"""),1)</f>
        <v>1</v>
      </c>
    </row>
    <row r="4714" spans="1:5" ht="13">
      <c r="A4714" s="8" t="str">
        <f ca="1">IFERROR(__xludf.DUMMYFUNCTION("""COMPUTED_VALUE"""),"Langdon, Richard")</f>
        <v>Langdon, Richard</v>
      </c>
      <c r="B4714" s="3">
        <f ca="1">IFERROR(__xludf.DUMMYFUNCTION("""COMPUTED_VALUE"""),1)</f>
        <v>1</v>
      </c>
      <c r="C4714" s="7">
        <f ca="1">IFERROR(__xludf.DUMMYFUNCTION("""COMPUTED_VALUE"""),1)</f>
        <v>1</v>
      </c>
      <c r="D4714" s="8">
        <f ca="1">IFERROR(__xludf.DUMMYFUNCTION("""COMPUTED_VALUE"""),5)</f>
        <v>5</v>
      </c>
      <c r="E4714" s="2">
        <f ca="1">IFERROR(__xludf.DUMMYFUNCTION("""COMPUTED_VALUE"""),2)</f>
        <v>2</v>
      </c>
    </row>
    <row r="4715" spans="1:5" ht="13">
      <c r="A4715" s="2" t="str">
        <f ca="1">IFERROR(__xludf.DUMMYFUNCTION("""COMPUTED_VALUE"""),"Lange, Gregor")</f>
        <v>Lange, Gregor</v>
      </c>
      <c r="B4715" s="2">
        <f ca="1">IFERROR(__xludf.DUMMYFUNCTION("""COMPUTED_VALUE"""),1)</f>
        <v>1</v>
      </c>
      <c r="C4715" s="7">
        <f ca="1">IFERROR(__xludf.DUMMYFUNCTION("""COMPUTED_VALUE"""),1)</f>
        <v>1</v>
      </c>
      <c r="D4715" s="8">
        <f ca="1">IFERROR(__xludf.DUMMYFUNCTION("""COMPUTED_VALUE"""),5)</f>
        <v>5</v>
      </c>
      <c r="E4715" s="2">
        <f ca="1">IFERROR(__xludf.DUMMYFUNCTION("""COMPUTED_VALUE"""),2)</f>
        <v>2</v>
      </c>
    </row>
    <row r="4716" spans="1:5" ht="13">
      <c r="A4716" s="2" t="str">
        <f ca="1">IFERROR(__xludf.DUMMYFUNCTION("""COMPUTED_VALUE"""),"Lange, Johnny / Heath, Hy")</f>
        <v>Lange, Johnny / Heath, Hy</v>
      </c>
      <c r="B4716" s="2">
        <f ca="1">IFERROR(__xludf.DUMMYFUNCTION("""COMPUTED_VALUE"""),1)</f>
        <v>1</v>
      </c>
      <c r="C4716" s="7">
        <f ca="1">IFERROR(__xludf.DUMMYFUNCTION("""COMPUTED_VALUE"""),1)</f>
        <v>1</v>
      </c>
      <c r="D4716" s="8">
        <f ca="1">IFERROR(__xludf.DUMMYFUNCTION("""COMPUTED_VALUE"""),5)</f>
        <v>5</v>
      </c>
      <c r="E4716" s="2">
        <f ca="1">IFERROR(__xludf.DUMMYFUNCTION("""COMPUTED_VALUE"""),2)</f>
        <v>2</v>
      </c>
    </row>
    <row r="4717" spans="1:5" ht="13">
      <c r="A4717" s="8" t="str">
        <f ca="1">IFERROR(__xludf.DUMMYFUNCTION("""COMPUTED_VALUE"""),"Lange, Kinley")</f>
        <v>Lange, Kinley</v>
      </c>
      <c r="B4717" s="3">
        <f ca="1">IFERROR(__xludf.DUMMYFUNCTION("""COMPUTED_VALUE"""),1)</f>
        <v>1</v>
      </c>
      <c r="C4717" s="7">
        <f ca="1">IFERROR(__xludf.DUMMYFUNCTION("""COMPUTED_VALUE"""),1)</f>
        <v>1</v>
      </c>
      <c r="D4717" s="8">
        <f ca="1">IFERROR(__xludf.DUMMYFUNCTION("""COMPUTED_VALUE"""),1)</f>
        <v>1</v>
      </c>
      <c r="E4717" s="2">
        <f ca="1">IFERROR(__xludf.DUMMYFUNCTION("""COMPUTED_VALUE"""),1)</f>
        <v>1</v>
      </c>
    </row>
    <row r="4718" spans="1:5" ht="13">
      <c r="A4718" s="2" t="str">
        <f ca="1">IFERROR(__xludf.DUMMYFUNCTION("""COMPUTED_VALUE"""),"Langenfeld, Robert")</f>
        <v>Langenfeld, Robert</v>
      </c>
      <c r="B4718" s="3">
        <f ca="1">IFERROR(__xludf.DUMMYFUNCTION("""COMPUTED_VALUE"""),1)</f>
        <v>1</v>
      </c>
      <c r="C4718" s="7">
        <f ca="1">IFERROR(__xludf.DUMMYFUNCTION("""COMPUTED_VALUE"""),1)</f>
        <v>1</v>
      </c>
      <c r="D4718" s="8">
        <f ca="1">IFERROR(__xludf.DUMMYFUNCTION("""COMPUTED_VALUE"""),1)</f>
        <v>1</v>
      </c>
      <c r="E4718" s="2">
        <f ca="1">IFERROR(__xludf.DUMMYFUNCTION("""COMPUTED_VALUE"""),1)</f>
        <v>1</v>
      </c>
    </row>
    <row r="4719" spans="1:5" ht="13">
      <c r="A4719" s="2" t="str">
        <f ca="1">IFERROR(__xludf.DUMMYFUNCTION("""COMPUTED_VALUE"""),"Langey, Otto")</f>
        <v>Langey, Otto</v>
      </c>
      <c r="B4719" s="2">
        <f ca="1">IFERROR(__xludf.DUMMYFUNCTION("""COMPUTED_VALUE"""),1)</f>
        <v>1</v>
      </c>
      <c r="C4719" s="7">
        <f ca="1">IFERROR(__xludf.DUMMYFUNCTION("""COMPUTED_VALUE"""),1)</f>
        <v>1</v>
      </c>
      <c r="D4719" s="8">
        <f ca="1">IFERROR(__xludf.DUMMYFUNCTION("""COMPUTED_VALUE"""),5)</f>
        <v>5</v>
      </c>
      <c r="E4719" s="2">
        <f ca="1">IFERROR(__xludf.DUMMYFUNCTION("""COMPUTED_VALUE"""),2)</f>
        <v>2</v>
      </c>
    </row>
    <row r="4720" spans="1:5" ht="13">
      <c r="A4720" s="2" t="str">
        <f ca="1">IFERROR(__xludf.DUMMYFUNCTION("""COMPUTED_VALUE"""),"Langford, Gordon")</f>
        <v>Langford, Gordon</v>
      </c>
      <c r="B4720" s="2">
        <f ca="1">IFERROR(__xludf.DUMMYFUNCTION("""COMPUTED_VALUE"""),1)</f>
        <v>1</v>
      </c>
      <c r="C4720" s="7">
        <f ca="1">IFERROR(__xludf.DUMMYFUNCTION("""COMPUTED_VALUE"""),1)</f>
        <v>1</v>
      </c>
      <c r="D4720" s="8">
        <f ca="1">IFERROR(__xludf.DUMMYFUNCTION("""COMPUTED_VALUE"""),5)</f>
        <v>5</v>
      </c>
      <c r="E4720" s="2">
        <f ca="1">IFERROR(__xludf.DUMMYFUNCTION("""COMPUTED_VALUE"""),2)</f>
        <v>2</v>
      </c>
    </row>
    <row r="4721" spans="1:5" ht="13">
      <c r="A4721" s="2" t="str">
        <f ca="1">IFERROR(__xludf.DUMMYFUNCTION("""COMPUTED_VALUE"""),"Langford, Paul")</f>
        <v>Langford, Paul</v>
      </c>
      <c r="B4721" s="3">
        <f ca="1">IFERROR(__xludf.DUMMYFUNCTION("""COMPUTED_VALUE"""),1)</f>
        <v>1</v>
      </c>
      <c r="C4721" s="7">
        <f ca="1">IFERROR(__xludf.DUMMYFUNCTION("""COMPUTED_VALUE"""),1)</f>
        <v>1</v>
      </c>
      <c r="D4721" s="8">
        <f ca="1">IFERROR(__xludf.DUMMYFUNCTION("""COMPUTED_VALUE"""),1)</f>
        <v>1</v>
      </c>
      <c r="E4721" s="2">
        <f ca="1">IFERROR(__xludf.DUMMYFUNCTION("""COMPUTED_VALUE"""),1)</f>
        <v>1</v>
      </c>
    </row>
    <row r="4722" spans="1:5" ht="13">
      <c r="A4722" s="2" t="str">
        <f ca="1">IFERROR(__xludf.DUMMYFUNCTION("""COMPUTED_VALUE"""),"Langlais, Jean")</f>
        <v>Langlais, Jean</v>
      </c>
      <c r="B4722" s="3">
        <f ca="1">IFERROR(__xludf.DUMMYFUNCTION("""COMPUTED_VALUE"""),1)</f>
        <v>1</v>
      </c>
      <c r="C4722" s="7">
        <f ca="1">IFERROR(__xludf.DUMMYFUNCTION("""COMPUTED_VALUE"""),1)</f>
        <v>1</v>
      </c>
      <c r="D4722" s="8">
        <f ca="1">IFERROR(__xludf.DUMMYFUNCTION("""COMPUTED_VALUE"""),5)</f>
        <v>5</v>
      </c>
      <c r="E4722" s="2">
        <f ca="1">IFERROR(__xludf.DUMMYFUNCTION("""COMPUTED_VALUE"""),2)</f>
        <v>2</v>
      </c>
    </row>
    <row r="4723" spans="1:5" ht="13">
      <c r="A4723" s="8" t="str">
        <f ca="1">IFERROR(__xludf.DUMMYFUNCTION("""COMPUTED_VALUE"""),"Langlitz, Vincent")</f>
        <v>Langlitz, Vincent</v>
      </c>
      <c r="B4723" s="3">
        <f ca="1">IFERROR(__xludf.DUMMYFUNCTION("""COMPUTED_VALUE"""),1)</f>
        <v>1</v>
      </c>
      <c r="C4723" s="7">
        <f ca="1">IFERROR(__xludf.DUMMYFUNCTION("""COMPUTED_VALUE"""),1)</f>
        <v>1</v>
      </c>
      <c r="D4723" s="8">
        <f ca="1">IFERROR(__xludf.DUMMYFUNCTION("""COMPUTED_VALUE"""),5)</f>
        <v>5</v>
      </c>
      <c r="E4723" s="2">
        <f ca="1">IFERROR(__xludf.DUMMYFUNCTION("""COMPUTED_VALUE"""),2)</f>
        <v>2</v>
      </c>
    </row>
    <row r="4724" spans="1:5" ht="13">
      <c r="A4724" s="2" t="str">
        <f ca="1">IFERROR(__xludf.DUMMYFUNCTION("""COMPUTED_VALUE"""),"Langslet, Robert")</f>
        <v>Langslet, Robert</v>
      </c>
      <c r="B4724" s="3">
        <f ca="1">IFERROR(__xludf.DUMMYFUNCTION("""COMPUTED_VALUE"""),1)</f>
        <v>1</v>
      </c>
      <c r="C4724" s="7">
        <f ca="1">IFERROR(__xludf.DUMMYFUNCTION("""COMPUTED_VALUE"""),1)</f>
        <v>1</v>
      </c>
      <c r="D4724" s="8">
        <f ca="1">IFERROR(__xludf.DUMMYFUNCTION("""COMPUTED_VALUE"""),1)</f>
        <v>1</v>
      </c>
      <c r="E4724" s="2">
        <f ca="1">IFERROR(__xludf.DUMMYFUNCTION("""COMPUTED_VALUE"""),1)</f>
        <v>1</v>
      </c>
    </row>
    <row r="4725" spans="1:5" ht="13">
      <c r="A4725" s="2" t="str">
        <f ca="1">IFERROR(__xludf.DUMMYFUNCTION("""COMPUTED_VALUE"""),"Lanier, Gary")</f>
        <v>Lanier, Gary</v>
      </c>
      <c r="B4725" s="3">
        <f ca="1">IFERROR(__xludf.DUMMYFUNCTION("""COMPUTED_VALUE"""),1)</f>
        <v>1</v>
      </c>
      <c r="C4725" s="7">
        <f ca="1">IFERROR(__xludf.DUMMYFUNCTION("""COMPUTED_VALUE"""),1)</f>
        <v>1</v>
      </c>
      <c r="D4725" s="8">
        <f ca="1">IFERROR(__xludf.DUMMYFUNCTION("""COMPUTED_VALUE"""),1)</f>
        <v>1</v>
      </c>
      <c r="E4725" s="2">
        <f ca="1">IFERROR(__xludf.DUMMYFUNCTION("""COMPUTED_VALUE"""),1)</f>
        <v>1</v>
      </c>
    </row>
    <row r="4726" spans="1:5" ht="13">
      <c r="A4726" s="2" t="str">
        <f ca="1">IFERROR(__xludf.DUMMYFUNCTION("""COMPUTED_VALUE"""),"Lankester, Coby")</f>
        <v>Lankester, Coby</v>
      </c>
      <c r="B4726" s="3">
        <f ca="1">IFERROR(__xludf.DUMMYFUNCTION("""COMPUTED_VALUE"""),1)</f>
        <v>1</v>
      </c>
      <c r="C4726" s="7">
        <f ca="1">IFERROR(__xludf.DUMMYFUNCTION("""COMPUTED_VALUE"""),1)</f>
        <v>1</v>
      </c>
      <c r="D4726" s="8">
        <f ca="1">IFERROR(__xludf.DUMMYFUNCTION("""COMPUTED_VALUE"""),5)</f>
        <v>5</v>
      </c>
      <c r="E4726" s="2">
        <f ca="1">IFERROR(__xludf.DUMMYFUNCTION("""COMPUTED_VALUE"""),2)</f>
        <v>2</v>
      </c>
    </row>
    <row r="4727" spans="1:5" ht="13">
      <c r="A4727" s="2" t="str">
        <f ca="1">IFERROR(__xludf.DUMMYFUNCTION("""COMPUTED_VALUE"""),"Lanner, Joseph")</f>
        <v>Lanner, Joseph</v>
      </c>
      <c r="B4727" s="3">
        <f ca="1">IFERROR(__xludf.DUMMYFUNCTION("""COMPUTED_VALUE"""),1)</f>
        <v>1</v>
      </c>
      <c r="C4727" s="7">
        <f ca="1">IFERROR(__xludf.DUMMYFUNCTION("""COMPUTED_VALUE"""),1)</f>
        <v>1</v>
      </c>
      <c r="D4727" s="8">
        <f ca="1">IFERROR(__xludf.DUMMYFUNCTION("""COMPUTED_VALUE"""),5)</f>
        <v>5</v>
      </c>
      <c r="E4727" s="2">
        <f ca="1">IFERROR(__xludf.DUMMYFUNCTION("""COMPUTED_VALUE"""),2)</f>
        <v>2</v>
      </c>
    </row>
    <row r="4728" spans="1:5" ht="13">
      <c r="A4728" s="2" t="str">
        <f ca="1">IFERROR(__xludf.DUMMYFUNCTION("""COMPUTED_VALUE"""),"Lansky, Paul")</f>
        <v>Lansky, Paul</v>
      </c>
      <c r="B4728" s="2">
        <f ca="1">IFERROR(__xludf.DUMMYFUNCTION("""COMPUTED_VALUE"""),1)</f>
        <v>1</v>
      </c>
      <c r="C4728" s="7">
        <f ca="1">IFERROR(__xludf.DUMMYFUNCTION("""COMPUTED_VALUE"""),1)</f>
        <v>1</v>
      </c>
      <c r="D4728" s="8">
        <f ca="1">IFERROR(__xludf.DUMMYFUNCTION("""COMPUTED_VALUE"""),1)</f>
        <v>1</v>
      </c>
      <c r="E4728" s="2">
        <f ca="1">IFERROR(__xludf.DUMMYFUNCTION("""COMPUTED_VALUE"""),1)</f>
        <v>1</v>
      </c>
    </row>
    <row r="4729" spans="1:5" ht="13">
      <c r="A4729" s="2" t="str">
        <f ca="1">IFERROR(__xludf.DUMMYFUNCTION("""COMPUTED_VALUE"""),"Lantier, Pierre")</f>
        <v>Lantier, Pierre</v>
      </c>
      <c r="B4729" s="3">
        <f ca="1">IFERROR(__xludf.DUMMYFUNCTION("""COMPUTED_VALUE"""),1)</f>
        <v>1</v>
      </c>
      <c r="C4729" s="7">
        <f ca="1">IFERROR(__xludf.DUMMYFUNCTION("""COMPUTED_VALUE"""),1)</f>
        <v>1</v>
      </c>
      <c r="D4729" s="8">
        <f ca="1">IFERROR(__xludf.DUMMYFUNCTION("""COMPUTED_VALUE"""),5)</f>
        <v>5</v>
      </c>
      <c r="E4729" s="2">
        <f ca="1">IFERROR(__xludf.DUMMYFUNCTION("""COMPUTED_VALUE"""),2)</f>
        <v>2</v>
      </c>
    </row>
    <row r="4730" spans="1:5" ht="13">
      <c r="A4730" s="8" t="str">
        <f ca="1">IFERROR(__xludf.DUMMYFUNCTION("""COMPUTED_VALUE"""),"Lantz, David")</f>
        <v>Lantz, David</v>
      </c>
      <c r="B4730" s="3">
        <f ca="1">IFERROR(__xludf.DUMMYFUNCTION("""COMPUTED_VALUE"""),1)</f>
        <v>1</v>
      </c>
      <c r="C4730" s="7">
        <f ca="1">IFERROR(__xludf.DUMMYFUNCTION("""COMPUTED_VALUE"""),1)</f>
        <v>1</v>
      </c>
      <c r="D4730" s="8">
        <f ca="1">IFERROR(__xludf.DUMMYFUNCTION("""COMPUTED_VALUE"""),1)</f>
        <v>1</v>
      </c>
      <c r="E4730" s="2">
        <f ca="1">IFERROR(__xludf.DUMMYFUNCTION("""COMPUTED_VALUE"""),1)</f>
        <v>1</v>
      </c>
    </row>
    <row r="4731" spans="1:5" ht="13">
      <c r="A4731" s="2" t="str">
        <f ca="1">IFERROR(__xludf.DUMMYFUNCTION("""COMPUTED_VALUE"""),"LaPlante, Pierre")</f>
        <v>LaPlante, Pierre</v>
      </c>
      <c r="B4731" s="3">
        <f ca="1">IFERROR(__xludf.DUMMYFUNCTION("""COMPUTED_VALUE"""),1)</f>
        <v>1</v>
      </c>
      <c r="C4731" s="7">
        <f ca="1">IFERROR(__xludf.DUMMYFUNCTION("""COMPUTED_VALUE"""),1)</f>
        <v>1</v>
      </c>
      <c r="D4731" s="8">
        <f ca="1">IFERROR(__xludf.DUMMYFUNCTION("""COMPUTED_VALUE"""),1)</f>
        <v>1</v>
      </c>
      <c r="E4731" s="2">
        <f ca="1">IFERROR(__xludf.DUMMYFUNCTION("""COMPUTED_VALUE"""),1)</f>
        <v>1</v>
      </c>
    </row>
    <row r="4732" spans="1:5" ht="13">
      <c r="A4732" s="8" t="str">
        <f ca="1">IFERROR(__xludf.DUMMYFUNCTION("""COMPUTED_VALUE"""),"Larcher, Thomas")</f>
        <v>Larcher, Thomas</v>
      </c>
      <c r="B4732" s="3">
        <f ca="1">IFERROR(__xludf.DUMMYFUNCTION("""COMPUTED_VALUE"""),1)</f>
        <v>1</v>
      </c>
      <c r="C4732" s="7">
        <f ca="1">IFERROR(__xludf.DUMMYFUNCTION("""COMPUTED_VALUE"""),1)</f>
        <v>1</v>
      </c>
      <c r="D4732" s="8">
        <f ca="1">IFERROR(__xludf.DUMMYFUNCTION("""COMPUTED_VALUE"""),1)</f>
        <v>1</v>
      </c>
      <c r="E4732" s="2">
        <f ca="1">IFERROR(__xludf.DUMMYFUNCTION("""COMPUTED_VALUE"""),1)</f>
        <v>1</v>
      </c>
    </row>
    <row r="4733" spans="1:5" ht="13">
      <c r="A4733" s="2" t="str">
        <f ca="1">IFERROR(__xludf.DUMMYFUNCTION("""COMPUTED_VALUE"""),"Larcom, Grant")</f>
        <v>Larcom, Grant</v>
      </c>
      <c r="B4733" s="3">
        <f ca="1">IFERROR(__xludf.DUMMYFUNCTION("""COMPUTED_VALUE"""),1)</f>
        <v>1</v>
      </c>
      <c r="C4733" s="7">
        <f ca="1">IFERROR(__xludf.DUMMYFUNCTION("""COMPUTED_VALUE"""),1)</f>
        <v>1</v>
      </c>
      <c r="D4733" s="8">
        <f ca="1">IFERROR(__xludf.DUMMYFUNCTION("""COMPUTED_VALUE"""),1)</f>
        <v>1</v>
      </c>
      <c r="E4733" s="2">
        <f ca="1">IFERROR(__xludf.DUMMYFUNCTION("""COMPUTED_VALUE"""),1)</f>
        <v>1</v>
      </c>
    </row>
    <row r="4734" spans="1:5" ht="13">
      <c r="A4734" s="2" t="str">
        <f ca="1">IFERROR(__xludf.DUMMYFUNCTION("""COMPUTED_VALUE"""),"Larentz-Jones, Gabriel")</f>
        <v>Larentz-Jones, Gabriel</v>
      </c>
      <c r="B4734" s="2">
        <f ca="1">IFERROR(__xludf.DUMMYFUNCTION("""COMPUTED_VALUE"""),1)</f>
        <v>1</v>
      </c>
      <c r="C4734" s="2">
        <f ca="1">IFERROR(__xludf.DUMMYFUNCTION("""COMPUTED_VALUE"""),1)</f>
        <v>1</v>
      </c>
      <c r="D4734" s="8">
        <f ca="1">IFERROR(__xludf.DUMMYFUNCTION("""COMPUTED_VALUE"""),1)</f>
        <v>1</v>
      </c>
      <c r="E4734" s="2">
        <f ca="1">IFERROR(__xludf.DUMMYFUNCTION("""COMPUTED_VALUE"""),1)</f>
        <v>1</v>
      </c>
    </row>
    <row r="4735" spans="1:5" ht="13">
      <c r="A4735" s="2" t="str">
        <f ca="1">IFERROR(__xludf.DUMMYFUNCTION("""COMPUTED_VALUE"""),"Larionov, Ivan")</f>
        <v>Larionov, Ivan</v>
      </c>
      <c r="B4735" s="3">
        <f ca="1">IFERROR(__xludf.DUMMYFUNCTION("""COMPUTED_VALUE"""),1)</f>
        <v>1</v>
      </c>
      <c r="C4735" s="7">
        <f ca="1">IFERROR(__xludf.DUMMYFUNCTION("""COMPUTED_VALUE"""),1)</f>
        <v>1</v>
      </c>
      <c r="D4735" s="8">
        <f ca="1">IFERROR(__xludf.DUMMYFUNCTION("""COMPUTED_VALUE"""),5)</f>
        <v>5</v>
      </c>
      <c r="E4735" s="3">
        <f ca="1">IFERROR(__xludf.DUMMYFUNCTION("""COMPUTED_VALUE"""),2)</f>
        <v>2</v>
      </c>
    </row>
    <row r="4736" spans="1:5" ht="13">
      <c r="A4736" s="2" t="str">
        <f ca="1">IFERROR(__xludf.DUMMYFUNCTION("""COMPUTED_VALUE"""),"Lark, Bob")</f>
        <v>Lark, Bob</v>
      </c>
      <c r="B4736" s="3">
        <f ca="1">IFERROR(__xludf.DUMMYFUNCTION("""COMPUTED_VALUE"""),1)</f>
        <v>1</v>
      </c>
      <c r="C4736" s="7">
        <f ca="1">IFERROR(__xludf.DUMMYFUNCTION("""COMPUTED_VALUE"""),1)</f>
        <v>1</v>
      </c>
      <c r="D4736" s="8">
        <f ca="1">IFERROR(__xludf.DUMMYFUNCTION("""COMPUTED_VALUE"""),1)</f>
        <v>1</v>
      </c>
      <c r="E4736" s="2">
        <f ca="1">IFERROR(__xludf.DUMMYFUNCTION("""COMPUTED_VALUE"""),1)</f>
        <v>1</v>
      </c>
    </row>
    <row r="4737" spans="1:5" ht="13">
      <c r="A4737" s="2" t="str">
        <f ca="1">IFERROR(__xludf.DUMMYFUNCTION("""COMPUTED_VALUE"""),"Larkin, Matthew")</f>
        <v>Larkin, Matthew</v>
      </c>
      <c r="B4737" s="3">
        <f ca="1">IFERROR(__xludf.DUMMYFUNCTION("""COMPUTED_VALUE"""),1)</f>
        <v>1</v>
      </c>
      <c r="C4737" s="7">
        <f ca="1">IFERROR(__xludf.DUMMYFUNCTION("""COMPUTED_VALUE"""),1)</f>
        <v>1</v>
      </c>
      <c r="D4737" s="8">
        <f ca="1">IFERROR(__xludf.DUMMYFUNCTION("""COMPUTED_VALUE"""),1)</f>
        <v>1</v>
      </c>
      <c r="E4737" s="2">
        <f ca="1">IFERROR(__xludf.DUMMYFUNCTION("""COMPUTED_VALUE"""),1)</f>
        <v>1</v>
      </c>
    </row>
    <row r="4738" spans="1:5" ht="13">
      <c r="A4738" s="8" t="str">
        <f ca="1">IFERROR(__xludf.DUMMYFUNCTION("""COMPUTED_VALUE"""),"Larkin, Michael")</f>
        <v>Larkin, Michael</v>
      </c>
      <c r="B4738" s="3">
        <f ca="1">IFERROR(__xludf.DUMMYFUNCTION("""COMPUTED_VALUE"""),1)</f>
        <v>1</v>
      </c>
      <c r="C4738" s="7">
        <f ca="1">IFERROR(__xludf.DUMMYFUNCTION("""COMPUTED_VALUE"""),1)</f>
        <v>1</v>
      </c>
      <c r="D4738" s="8">
        <f ca="1">IFERROR(__xludf.DUMMYFUNCTION("""COMPUTED_VALUE"""),1)</f>
        <v>1</v>
      </c>
      <c r="E4738" s="2">
        <f ca="1">IFERROR(__xludf.DUMMYFUNCTION("""COMPUTED_VALUE"""),1)</f>
        <v>1</v>
      </c>
    </row>
    <row r="4739" spans="1:5" ht="13">
      <c r="A4739" s="2" t="str">
        <f ca="1">IFERROR(__xludf.DUMMYFUNCTION("""COMPUTED_VALUE"""),"LaRocca, Dominic James")</f>
        <v>LaRocca, Dominic James</v>
      </c>
      <c r="B4739" s="2">
        <f ca="1">IFERROR(__xludf.DUMMYFUNCTION("""COMPUTED_VALUE"""),1)</f>
        <v>1</v>
      </c>
      <c r="C4739" s="7">
        <f ca="1">IFERROR(__xludf.DUMMYFUNCTION("""COMPUTED_VALUE"""),1)</f>
        <v>1</v>
      </c>
      <c r="D4739" s="8">
        <f ca="1">IFERROR(__xludf.DUMMYFUNCTION("""COMPUTED_VALUE"""),5)</f>
        <v>5</v>
      </c>
      <c r="E4739" s="2">
        <f ca="1">IFERROR(__xludf.DUMMYFUNCTION("""COMPUTED_VALUE"""),2)</f>
        <v>2</v>
      </c>
    </row>
    <row r="4740" spans="1:5" ht="13">
      <c r="A4740" s="2" t="str">
        <f ca="1">IFERROR(__xludf.DUMMYFUNCTION("""COMPUTED_VALUE"""),"LaRocca, Frank")</f>
        <v>LaRocca, Frank</v>
      </c>
      <c r="B4740" s="3">
        <f ca="1">IFERROR(__xludf.DUMMYFUNCTION("""COMPUTED_VALUE"""),1)</f>
        <v>1</v>
      </c>
      <c r="C4740" s="7">
        <f ca="1">IFERROR(__xludf.DUMMYFUNCTION("""COMPUTED_VALUE"""),1)</f>
        <v>1</v>
      </c>
      <c r="D4740" s="8">
        <f ca="1">IFERROR(__xludf.DUMMYFUNCTION("""COMPUTED_VALUE"""),1)</f>
        <v>1</v>
      </c>
      <c r="E4740" s="2">
        <f ca="1">IFERROR(__xludf.DUMMYFUNCTION("""COMPUTED_VALUE"""),1)</f>
        <v>1</v>
      </c>
    </row>
    <row r="4741" spans="1:5" ht="13">
      <c r="A4741" s="2" t="str">
        <f ca="1">IFERROR(__xludf.DUMMYFUNCTION("""COMPUTED_VALUE"""),"LaRosa, Christopher")</f>
        <v>LaRosa, Christopher</v>
      </c>
      <c r="B4741" s="3">
        <f ca="1">IFERROR(__xludf.DUMMYFUNCTION("""COMPUTED_VALUE"""),1)</f>
        <v>1</v>
      </c>
      <c r="C4741" s="7">
        <f ca="1">IFERROR(__xludf.DUMMYFUNCTION("""COMPUTED_VALUE"""),1)</f>
        <v>1</v>
      </c>
      <c r="D4741" s="8">
        <f ca="1">IFERROR(__xludf.DUMMYFUNCTION("""COMPUTED_VALUE"""),1)</f>
        <v>1</v>
      </c>
      <c r="E4741" s="2">
        <f ca="1">IFERROR(__xludf.DUMMYFUNCTION("""COMPUTED_VALUE"""),1)</f>
        <v>1</v>
      </c>
    </row>
    <row r="4742" spans="1:5" ht="13">
      <c r="A4742" s="2" t="str">
        <f ca="1">IFERROR(__xludf.DUMMYFUNCTION("""COMPUTED_VALUE"""),"Larsen, Gjermund")</f>
        <v>Larsen, Gjermund</v>
      </c>
      <c r="B4742" s="2">
        <f ca="1">IFERROR(__xludf.DUMMYFUNCTION("""COMPUTED_VALUE"""),1)</f>
        <v>1</v>
      </c>
      <c r="C4742" s="7">
        <f ca="1">IFERROR(__xludf.DUMMYFUNCTION("""COMPUTED_VALUE"""),1)</f>
        <v>1</v>
      </c>
      <c r="D4742" s="8">
        <f ca="1">IFERROR(__xludf.DUMMYFUNCTION("""COMPUTED_VALUE"""),1)</f>
        <v>1</v>
      </c>
      <c r="E4742" s="2">
        <f ca="1">IFERROR(__xludf.DUMMYFUNCTION("""COMPUTED_VALUE"""),1)</f>
        <v>1</v>
      </c>
    </row>
    <row r="4743" spans="1:5" ht="13">
      <c r="A4743" s="2" t="str">
        <f ca="1">IFERROR(__xludf.DUMMYFUNCTION("""COMPUTED_VALUE"""),"Larsen, Robert L.")</f>
        <v>Larsen, Robert L.</v>
      </c>
      <c r="B4743" s="2">
        <f ca="1">IFERROR(__xludf.DUMMYFUNCTION("""COMPUTED_VALUE"""),1)</f>
        <v>1</v>
      </c>
      <c r="C4743" s="2">
        <f ca="1">IFERROR(__xludf.DUMMYFUNCTION("""COMPUTED_VALUE"""),1)</f>
        <v>1</v>
      </c>
      <c r="D4743" s="8">
        <f ca="1">IFERROR(__xludf.DUMMYFUNCTION("""COMPUTED_VALUE"""),5)</f>
        <v>5</v>
      </c>
      <c r="E4743" s="2">
        <f ca="1">IFERROR(__xludf.DUMMYFUNCTION("""COMPUTED_VALUE"""),2)</f>
        <v>2</v>
      </c>
    </row>
    <row r="4744" spans="1:5" ht="13">
      <c r="A4744" s="2" t="str">
        <f ca="1">IFERROR(__xludf.DUMMYFUNCTION("""COMPUTED_VALUE"""),"Larson, Andrew")</f>
        <v>Larson, Andrew</v>
      </c>
      <c r="B4744" s="3">
        <f ca="1">IFERROR(__xludf.DUMMYFUNCTION("""COMPUTED_VALUE"""),1)</f>
        <v>1</v>
      </c>
      <c r="C4744" s="7">
        <f ca="1">IFERROR(__xludf.DUMMYFUNCTION("""COMPUTED_VALUE"""),1)</f>
        <v>1</v>
      </c>
      <c r="D4744" s="8">
        <f ca="1">IFERROR(__xludf.DUMMYFUNCTION("""COMPUTED_VALUE"""),1)</f>
        <v>1</v>
      </c>
      <c r="E4744" s="2">
        <f ca="1">IFERROR(__xludf.DUMMYFUNCTION("""COMPUTED_VALUE"""),1)</f>
        <v>1</v>
      </c>
    </row>
    <row r="4745" spans="1:5" ht="13">
      <c r="A4745" s="2" t="str">
        <f ca="1">IFERROR(__xludf.DUMMYFUNCTION("""COMPUTED_VALUE"""),"Larson, Earl Roland")</f>
        <v>Larson, Earl Roland</v>
      </c>
      <c r="B4745" s="3">
        <f ca="1">IFERROR(__xludf.DUMMYFUNCTION("""COMPUTED_VALUE"""),1)</f>
        <v>1</v>
      </c>
      <c r="C4745" s="7">
        <f ca="1">IFERROR(__xludf.DUMMYFUNCTION("""COMPUTED_VALUE"""),1)</f>
        <v>1</v>
      </c>
      <c r="D4745" s="8">
        <f ca="1">IFERROR(__xludf.DUMMYFUNCTION("""COMPUTED_VALUE"""),5)</f>
        <v>5</v>
      </c>
      <c r="E4745" s="2">
        <f ca="1">IFERROR(__xludf.DUMMYFUNCTION("""COMPUTED_VALUE"""),2)</f>
        <v>2</v>
      </c>
    </row>
    <row r="4746" spans="1:5" ht="13">
      <c r="A4746" s="2" t="str">
        <f ca="1">IFERROR(__xludf.DUMMYFUNCTION("""COMPUTED_VALUE"""),"Larson, Lloyd")</f>
        <v>Larson, Lloyd</v>
      </c>
      <c r="B4746" s="3">
        <f ca="1">IFERROR(__xludf.DUMMYFUNCTION("""COMPUTED_VALUE"""),1)</f>
        <v>1</v>
      </c>
      <c r="C4746" s="7">
        <f ca="1">IFERROR(__xludf.DUMMYFUNCTION("""COMPUTED_VALUE"""),1)</f>
        <v>1</v>
      </c>
      <c r="D4746" s="8">
        <f ca="1">IFERROR(__xludf.DUMMYFUNCTION("""COMPUTED_VALUE"""),1)</f>
        <v>1</v>
      </c>
      <c r="E4746" s="2">
        <f ca="1">IFERROR(__xludf.DUMMYFUNCTION("""COMPUTED_VALUE"""),1)</f>
        <v>1</v>
      </c>
    </row>
    <row r="4747" spans="1:5" ht="13">
      <c r="A4747" s="2" t="str">
        <f ca="1">IFERROR(__xludf.DUMMYFUNCTION("""COMPUTED_VALUE"""),"Larson, Logan")</f>
        <v>Larson, Logan</v>
      </c>
      <c r="B4747" s="2">
        <f ca="1">IFERROR(__xludf.DUMMYFUNCTION("""COMPUTED_VALUE"""),1)</f>
        <v>1</v>
      </c>
      <c r="C4747" s="7">
        <f ca="1">IFERROR(__xludf.DUMMYFUNCTION("""COMPUTED_VALUE"""),1)</f>
        <v>1</v>
      </c>
      <c r="D4747" s="8">
        <f ca="1">IFERROR(__xludf.DUMMYFUNCTION("""COMPUTED_VALUE"""),1)</f>
        <v>1</v>
      </c>
      <c r="E4747" s="2">
        <f ca="1">IFERROR(__xludf.DUMMYFUNCTION("""COMPUTED_VALUE"""),1)</f>
        <v>1</v>
      </c>
    </row>
    <row r="4748" spans="1:5" ht="13">
      <c r="A4748" s="2" t="str">
        <f ca="1">IFERROR(__xludf.DUMMYFUNCTION("""COMPUTED_VALUE"""),"Larsson, Erik")</f>
        <v>Larsson, Erik</v>
      </c>
      <c r="B4748" s="3">
        <f ca="1">IFERROR(__xludf.DUMMYFUNCTION("""COMPUTED_VALUE"""),1)</f>
        <v>1</v>
      </c>
      <c r="C4748" s="7">
        <f ca="1">IFERROR(__xludf.DUMMYFUNCTION("""COMPUTED_VALUE"""),1)</f>
        <v>1</v>
      </c>
      <c r="D4748" s="8">
        <f ca="1">IFERROR(__xludf.DUMMYFUNCTION("""COMPUTED_VALUE"""),5)</f>
        <v>5</v>
      </c>
      <c r="E4748" s="2">
        <f ca="1">IFERROR(__xludf.DUMMYFUNCTION("""COMPUTED_VALUE"""),2)</f>
        <v>2</v>
      </c>
    </row>
    <row r="4749" spans="1:5" ht="13">
      <c r="A4749" s="2" t="str">
        <f ca="1">IFERROR(__xludf.DUMMYFUNCTION("""COMPUTED_VALUE"""),"Larsson, Lars-Erik")</f>
        <v>Larsson, Lars-Erik</v>
      </c>
      <c r="B4749" s="3">
        <f ca="1">IFERROR(__xludf.DUMMYFUNCTION("""COMPUTED_VALUE"""),1)</f>
        <v>1</v>
      </c>
      <c r="C4749" s="7">
        <f ca="1">IFERROR(__xludf.DUMMYFUNCTION("""COMPUTED_VALUE"""),1)</f>
        <v>1</v>
      </c>
      <c r="D4749" s="8">
        <f ca="1">IFERROR(__xludf.DUMMYFUNCTION("""COMPUTED_VALUE"""),5)</f>
        <v>5</v>
      </c>
      <c r="E4749" s="2">
        <f ca="1">IFERROR(__xludf.DUMMYFUNCTION("""COMPUTED_VALUE"""),2)</f>
        <v>2</v>
      </c>
    </row>
    <row r="4750" spans="1:5" ht="13">
      <c r="A4750" s="2" t="str">
        <f ca="1">IFERROR(__xludf.DUMMYFUNCTION("""COMPUTED_VALUE"""),"Lasoń, Aleksander")</f>
        <v>Lasoń, Aleksander</v>
      </c>
      <c r="B4750" s="3">
        <f ca="1">IFERROR(__xludf.DUMMYFUNCTION("""COMPUTED_VALUE"""),1)</f>
        <v>1</v>
      </c>
      <c r="C4750" s="7">
        <f ca="1">IFERROR(__xludf.DUMMYFUNCTION("""COMPUTED_VALUE"""),1)</f>
        <v>1</v>
      </c>
      <c r="D4750" s="8">
        <f ca="1">IFERROR(__xludf.DUMMYFUNCTION("""COMPUTED_VALUE"""),1)</f>
        <v>1</v>
      </c>
      <c r="E4750" s="2">
        <f ca="1">IFERROR(__xludf.DUMMYFUNCTION("""COMPUTED_VALUE"""),1)</f>
        <v>1</v>
      </c>
    </row>
    <row r="4751" spans="1:5" ht="13">
      <c r="A4751" s="8" t="str">
        <f ca="1">IFERROR(__xludf.DUMMYFUNCTION("""COMPUTED_VALUE"""),"Lasso, Orlando di")</f>
        <v>Lasso, Orlando di</v>
      </c>
      <c r="B4751" s="3">
        <f ca="1">IFERROR(__xludf.DUMMYFUNCTION("""COMPUTED_VALUE"""),1)</f>
        <v>1</v>
      </c>
      <c r="C4751" s="7">
        <f ca="1">IFERROR(__xludf.DUMMYFUNCTION("""COMPUTED_VALUE"""),1)</f>
        <v>1</v>
      </c>
      <c r="D4751" s="8">
        <f ca="1">IFERROR(__xludf.DUMMYFUNCTION("""COMPUTED_VALUE"""),5)</f>
        <v>5</v>
      </c>
      <c r="E4751" s="2">
        <f ca="1">IFERROR(__xludf.DUMMYFUNCTION("""COMPUTED_VALUE"""),2)</f>
        <v>2</v>
      </c>
    </row>
    <row r="4752" spans="1:5" ht="13">
      <c r="A4752" s="2" t="str">
        <f ca="1">IFERROR(__xludf.DUMMYFUNCTION("""COMPUTED_VALUE"""),"Laster, James")</f>
        <v>Laster, James</v>
      </c>
      <c r="B4752" s="3">
        <f ca="1">IFERROR(__xludf.DUMMYFUNCTION("""COMPUTED_VALUE"""),1)</f>
        <v>1</v>
      </c>
      <c r="C4752" s="7">
        <f ca="1">IFERROR(__xludf.DUMMYFUNCTION("""COMPUTED_VALUE"""),1)</f>
        <v>1</v>
      </c>
      <c r="D4752" s="8">
        <f ca="1">IFERROR(__xludf.DUMMYFUNCTION("""COMPUTED_VALUE"""),1)</f>
        <v>1</v>
      </c>
      <c r="E4752" s="2">
        <f ca="1">IFERROR(__xludf.DUMMYFUNCTION("""COMPUTED_VALUE"""),1)</f>
        <v>1</v>
      </c>
    </row>
    <row r="4753" spans="1:5" ht="13">
      <c r="A4753" s="2" t="str">
        <f ca="1">IFERROR(__xludf.DUMMYFUNCTION("""COMPUTED_VALUE"""),"Latchaw, Bob")</f>
        <v>Latchaw, Bob</v>
      </c>
      <c r="B4753" s="3">
        <f ca="1">IFERROR(__xludf.DUMMYFUNCTION("""COMPUTED_VALUE"""),1)</f>
        <v>1</v>
      </c>
      <c r="C4753" s="7">
        <f ca="1">IFERROR(__xludf.DUMMYFUNCTION("""COMPUTED_VALUE"""),1)</f>
        <v>1</v>
      </c>
      <c r="D4753" s="8">
        <f ca="1">IFERROR(__xludf.DUMMYFUNCTION("""COMPUTED_VALUE"""),1)</f>
        <v>1</v>
      </c>
      <c r="E4753" s="2">
        <f ca="1">IFERROR(__xludf.DUMMYFUNCTION("""COMPUTED_VALUE"""),1)</f>
        <v>1</v>
      </c>
    </row>
    <row r="4754" spans="1:5" ht="13">
      <c r="A4754" s="2" t="str">
        <f ca="1">IFERROR(__xludf.DUMMYFUNCTION("""COMPUTED_VALUE"""),"Latham, William")</f>
        <v>Latham, William</v>
      </c>
      <c r="B4754" s="3">
        <f ca="1">IFERROR(__xludf.DUMMYFUNCTION("""COMPUTED_VALUE"""),1)</f>
        <v>1</v>
      </c>
      <c r="C4754" s="7">
        <f ca="1">IFERROR(__xludf.DUMMYFUNCTION("""COMPUTED_VALUE"""),1)</f>
        <v>1</v>
      </c>
      <c r="D4754" s="8">
        <f ca="1">IFERROR(__xludf.DUMMYFUNCTION("""COMPUTED_VALUE"""),5)</f>
        <v>5</v>
      </c>
      <c r="E4754" s="2">
        <f ca="1">IFERROR(__xludf.DUMMYFUNCTION("""COMPUTED_VALUE"""),2)</f>
        <v>2</v>
      </c>
    </row>
    <row r="4755" spans="1:5" ht="13">
      <c r="A4755" s="2" t="str">
        <f ca="1">IFERROR(__xludf.DUMMYFUNCTION("""COMPUTED_VALUE"""),"Latrobe, Christian")</f>
        <v>Latrobe, Christian</v>
      </c>
      <c r="B4755" s="3">
        <f ca="1">IFERROR(__xludf.DUMMYFUNCTION("""COMPUTED_VALUE"""),1)</f>
        <v>1</v>
      </c>
      <c r="C4755" s="7">
        <f ca="1">IFERROR(__xludf.DUMMYFUNCTION("""COMPUTED_VALUE"""),1)</f>
        <v>1</v>
      </c>
      <c r="D4755" s="8">
        <f ca="1">IFERROR(__xludf.DUMMYFUNCTION("""COMPUTED_VALUE"""),5)</f>
        <v>5</v>
      </c>
      <c r="E4755" s="2">
        <f ca="1">IFERROR(__xludf.DUMMYFUNCTION("""COMPUTED_VALUE"""),2)</f>
        <v>2</v>
      </c>
    </row>
    <row r="4756" spans="1:5" ht="13">
      <c r="A4756" s="8" t="str">
        <f ca="1">IFERROR(__xludf.DUMMYFUNCTION("""COMPUTED_VALUE"""),"Latta, Jonathan")</f>
        <v>Latta, Jonathan</v>
      </c>
      <c r="B4756" s="3">
        <f ca="1">IFERROR(__xludf.DUMMYFUNCTION("""COMPUTED_VALUE"""),1)</f>
        <v>1</v>
      </c>
      <c r="C4756" s="7">
        <f ca="1">IFERROR(__xludf.DUMMYFUNCTION("""COMPUTED_VALUE"""),1)</f>
        <v>1</v>
      </c>
      <c r="D4756" s="8">
        <f ca="1">IFERROR(__xludf.DUMMYFUNCTION("""COMPUTED_VALUE"""),1)</f>
        <v>1</v>
      </c>
      <c r="E4756" s="2">
        <f ca="1">IFERROR(__xludf.DUMMYFUNCTION("""COMPUTED_VALUE"""),1)</f>
        <v>1</v>
      </c>
    </row>
    <row r="4757" spans="1:5" ht="13">
      <c r="A4757" s="2" t="str">
        <f ca="1">IFERROR(__xludf.DUMMYFUNCTION("""COMPUTED_VALUE"""),"Lau, Robert")</f>
        <v>Lau, Robert</v>
      </c>
      <c r="B4757" s="3">
        <f ca="1">IFERROR(__xludf.DUMMYFUNCTION("""COMPUTED_VALUE"""),1)</f>
        <v>1</v>
      </c>
      <c r="C4757" s="7">
        <f ca="1">IFERROR(__xludf.DUMMYFUNCTION("""COMPUTED_VALUE"""),1)</f>
        <v>1</v>
      </c>
      <c r="D4757" s="8">
        <f ca="1">IFERROR(__xludf.DUMMYFUNCTION("""COMPUTED_VALUE"""),1)</f>
        <v>1</v>
      </c>
      <c r="E4757" s="2">
        <f ca="1">IFERROR(__xludf.DUMMYFUNCTION("""COMPUTED_VALUE"""),1)</f>
        <v>1</v>
      </c>
    </row>
    <row r="4758" spans="1:5" ht="13">
      <c r="A4758" s="2" t="str">
        <f ca="1">IFERROR(__xludf.DUMMYFUNCTION("""COMPUTED_VALUE"""),"Laub, Thomas")</f>
        <v>Laub, Thomas</v>
      </c>
      <c r="B4758" s="2">
        <f ca="1">IFERROR(__xludf.DUMMYFUNCTION("""COMPUTED_VALUE"""),1)</f>
        <v>1</v>
      </c>
      <c r="C4758" s="7">
        <f ca="1">IFERROR(__xludf.DUMMYFUNCTION("""COMPUTED_VALUE"""),1)</f>
        <v>1</v>
      </c>
      <c r="D4758" s="8">
        <f ca="1">IFERROR(__xludf.DUMMYFUNCTION("""COMPUTED_VALUE"""),5)</f>
        <v>5</v>
      </c>
      <c r="E4758" s="2">
        <f ca="1">IFERROR(__xludf.DUMMYFUNCTION("""COMPUTED_VALUE"""),2)</f>
        <v>2</v>
      </c>
    </row>
    <row r="4759" spans="1:5" ht="13">
      <c r="A4759" s="2" t="str">
        <f ca="1">IFERROR(__xludf.DUMMYFUNCTION("""COMPUTED_VALUE"""),"Lauder, Dale")</f>
        <v>Lauder, Dale</v>
      </c>
      <c r="B4759" s="2">
        <f ca="1">IFERROR(__xludf.DUMMYFUNCTION("""COMPUTED_VALUE"""),1)</f>
        <v>1</v>
      </c>
      <c r="C4759" s="7">
        <f ca="1">IFERROR(__xludf.DUMMYFUNCTION("""COMPUTED_VALUE"""),1)</f>
        <v>1</v>
      </c>
      <c r="D4759" s="8">
        <f ca="1">IFERROR(__xludf.DUMMYFUNCTION("""COMPUTED_VALUE"""),5)</f>
        <v>5</v>
      </c>
      <c r="E4759" s="2">
        <f ca="1">IFERROR(__xludf.DUMMYFUNCTION("""COMPUTED_VALUE"""),2)</f>
        <v>2</v>
      </c>
    </row>
    <row r="4760" spans="1:5" ht="13">
      <c r="A4760" s="2" t="str">
        <f ca="1">IFERROR(__xludf.DUMMYFUNCTION("""COMPUTED_VALUE"""),"Lauder, James")</f>
        <v>Lauder, James</v>
      </c>
      <c r="B4760" s="3">
        <f ca="1">IFERROR(__xludf.DUMMYFUNCTION("""COMPUTED_VALUE"""),1)</f>
        <v>1</v>
      </c>
      <c r="C4760" s="7">
        <f ca="1">IFERROR(__xludf.DUMMYFUNCTION("""COMPUTED_VALUE"""),1)</f>
        <v>1</v>
      </c>
      <c r="D4760" s="8">
        <f ca="1">IFERROR(__xludf.DUMMYFUNCTION("""COMPUTED_VALUE"""),5)</f>
        <v>5</v>
      </c>
      <c r="E4760" s="3">
        <f ca="1">IFERROR(__xludf.DUMMYFUNCTION("""COMPUTED_VALUE"""),2)</f>
        <v>2</v>
      </c>
    </row>
    <row r="4761" spans="1:5" ht="13">
      <c r="A4761" s="2" t="str">
        <f ca="1">IFERROR(__xludf.DUMMYFUNCTION("""COMPUTED_VALUE"""),"Laughrey, Gary")</f>
        <v>Laughrey, Gary</v>
      </c>
      <c r="B4761" s="2">
        <f ca="1">IFERROR(__xludf.DUMMYFUNCTION("""COMPUTED_VALUE"""),1)</f>
        <v>1</v>
      </c>
      <c r="C4761" s="2">
        <f ca="1">IFERROR(__xludf.DUMMYFUNCTION("""COMPUTED_VALUE"""),1)</f>
        <v>1</v>
      </c>
      <c r="D4761" s="8">
        <f ca="1">IFERROR(__xludf.DUMMYFUNCTION("""COMPUTED_VALUE"""),1)</f>
        <v>1</v>
      </c>
      <c r="E4761" s="2">
        <f ca="1">IFERROR(__xludf.DUMMYFUNCTION("""COMPUTED_VALUE"""),1)</f>
        <v>1</v>
      </c>
    </row>
    <row r="4762" spans="1:5" ht="13">
      <c r="A4762" s="2" t="str">
        <f ca="1">IFERROR(__xludf.DUMMYFUNCTION("""COMPUTED_VALUE"""),"Laughridge, James")</f>
        <v>Laughridge, James</v>
      </c>
      <c r="B4762" s="3">
        <f ca="1">IFERROR(__xludf.DUMMYFUNCTION("""COMPUTED_VALUE"""),1)</f>
        <v>1</v>
      </c>
      <c r="C4762" s="7">
        <f ca="1">IFERROR(__xludf.DUMMYFUNCTION("""COMPUTED_VALUE"""),1)</f>
        <v>1</v>
      </c>
      <c r="D4762" s="8">
        <f ca="1">IFERROR(__xludf.DUMMYFUNCTION("""COMPUTED_VALUE"""),1)</f>
        <v>1</v>
      </c>
      <c r="E4762" s="2">
        <f ca="1">IFERROR(__xludf.DUMMYFUNCTION("""COMPUTED_VALUE"""),1)</f>
        <v>1</v>
      </c>
    </row>
    <row r="4763" spans="1:5" ht="13">
      <c r="A4763" s="2" t="str">
        <f ca="1">IFERROR(__xludf.DUMMYFUNCTION("""COMPUTED_VALUE"""),"Launder, Dale (aka John Kinyon)")</f>
        <v>Launder, Dale (aka John Kinyon)</v>
      </c>
      <c r="B4763" s="2">
        <f ca="1">IFERROR(__xludf.DUMMYFUNCTION("""COMPUTED_VALUE"""),1)</f>
        <v>1</v>
      </c>
      <c r="C4763" s="7">
        <f ca="1">IFERROR(__xludf.DUMMYFUNCTION("""COMPUTED_VALUE"""),1)</f>
        <v>1</v>
      </c>
      <c r="D4763" s="8">
        <f ca="1">IFERROR(__xludf.DUMMYFUNCTION("""COMPUTED_VALUE"""),5)</f>
        <v>5</v>
      </c>
      <c r="E4763" s="2">
        <f ca="1">IFERROR(__xludf.DUMMYFUNCTION("""COMPUTED_VALUE"""),2)</f>
        <v>2</v>
      </c>
    </row>
    <row r="4764" spans="1:5" ht="13">
      <c r="A4764" s="2" t="str">
        <f ca="1">IFERROR(__xludf.DUMMYFUNCTION("""COMPUTED_VALUE"""),"Laurendeau, Louis Philippe")</f>
        <v>Laurendeau, Louis Philippe</v>
      </c>
      <c r="B4764" s="3">
        <f ca="1">IFERROR(__xludf.DUMMYFUNCTION("""COMPUTED_VALUE"""),1)</f>
        <v>1</v>
      </c>
      <c r="C4764" s="7">
        <f ca="1">IFERROR(__xludf.DUMMYFUNCTION("""COMPUTED_VALUE"""),1)</f>
        <v>1</v>
      </c>
      <c r="D4764" s="8">
        <f ca="1">IFERROR(__xludf.DUMMYFUNCTION("""COMPUTED_VALUE"""),5)</f>
        <v>5</v>
      </c>
      <c r="E4764" s="2">
        <f ca="1">IFERROR(__xludf.DUMMYFUNCTION("""COMPUTED_VALUE"""),2)</f>
        <v>2</v>
      </c>
    </row>
    <row r="4765" spans="1:5" ht="13">
      <c r="A4765" s="2" t="str">
        <f ca="1">IFERROR(__xludf.DUMMYFUNCTION("""COMPUTED_VALUE"""),"Laurendeau, Louis Philippe / MacArthur, Claude E.")</f>
        <v>Laurendeau, Louis Philippe / MacArthur, Claude E.</v>
      </c>
      <c r="B4765" s="3">
        <f ca="1">IFERROR(__xludf.DUMMYFUNCTION("""COMPUTED_VALUE"""),1)</f>
        <v>1</v>
      </c>
      <c r="C4765" s="7">
        <f ca="1">IFERROR(__xludf.DUMMYFUNCTION("""COMPUTED_VALUE"""),1)</f>
        <v>1</v>
      </c>
      <c r="D4765" s="8">
        <f ca="1">IFERROR(__xludf.DUMMYFUNCTION("""COMPUTED_VALUE"""),5)</f>
        <v>5</v>
      </c>
      <c r="E4765" s="2">
        <f ca="1">IFERROR(__xludf.DUMMYFUNCTION("""COMPUTED_VALUE"""),2)</f>
        <v>2</v>
      </c>
    </row>
    <row r="4766" spans="1:5" ht="13">
      <c r="A4766" s="2" t="str">
        <f ca="1">IFERROR(__xludf.DUMMYFUNCTION("""COMPUTED_VALUE"""),"Laurendeau, Louis Philippe / Schissel, Loras John")</f>
        <v>Laurendeau, Louis Philippe / Schissel, Loras John</v>
      </c>
      <c r="B4766" s="3">
        <f ca="1">IFERROR(__xludf.DUMMYFUNCTION("""COMPUTED_VALUE"""),1)</f>
        <v>1</v>
      </c>
      <c r="C4766" s="7">
        <f ca="1">IFERROR(__xludf.DUMMYFUNCTION("""COMPUTED_VALUE"""),1)</f>
        <v>1</v>
      </c>
      <c r="D4766" s="8">
        <f ca="1">IFERROR(__xludf.DUMMYFUNCTION("""COMPUTED_VALUE"""),5)</f>
        <v>5</v>
      </c>
      <c r="E4766" s="2">
        <f ca="1">IFERROR(__xludf.DUMMYFUNCTION("""COMPUTED_VALUE"""),2)</f>
        <v>2</v>
      </c>
    </row>
    <row r="4767" spans="1:5" ht="13">
      <c r="A4767" s="2" t="str">
        <f ca="1">IFERROR(__xludf.DUMMYFUNCTION("""COMPUTED_VALUE"""),"Lauridsen, Morten")</f>
        <v>Lauridsen, Morten</v>
      </c>
      <c r="B4767" s="3">
        <f ca="1">IFERROR(__xludf.DUMMYFUNCTION("""COMPUTED_VALUE"""),1)</f>
        <v>1</v>
      </c>
      <c r="C4767" s="7">
        <f ca="1">IFERROR(__xludf.DUMMYFUNCTION("""COMPUTED_VALUE"""),1)</f>
        <v>1</v>
      </c>
      <c r="D4767" s="8">
        <f ca="1">IFERROR(__xludf.DUMMYFUNCTION("""COMPUTED_VALUE"""),1)</f>
        <v>1</v>
      </c>
      <c r="E4767" s="2">
        <f ca="1">IFERROR(__xludf.DUMMYFUNCTION("""COMPUTED_VALUE"""),1)</f>
        <v>1</v>
      </c>
    </row>
    <row r="4768" spans="1:5" ht="13">
      <c r="A4768" s="2" t="str">
        <f ca="1">IFERROR(__xludf.DUMMYFUNCTION("""COMPUTED_VALUE"""),"Laušin, Ljudevit")</f>
        <v>Laušin, Ljudevit</v>
      </c>
      <c r="B4768" s="2">
        <f ca="1">IFERROR(__xludf.DUMMYFUNCTION("""COMPUTED_VALUE"""),1)</f>
        <v>1</v>
      </c>
      <c r="C4768" s="7">
        <f ca="1">IFERROR(__xludf.DUMMYFUNCTION("""COMPUTED_VALUE"""),1)</f>
        <v>1</v>
      </c>
      <c r="D4768" s="8">
        <f ca="1">IFERROR(__xludf.DUMMYFUNCTION("""COMPUTED_VALUE"""),1)</f>
        <v>1</v>
      </c>
      <c r="E4768" s="2">
        <f ca="1">IFERROR(__xludf.DUMMYFUNCTION("""COMPUTED_VALUE"""),1)</f>
        <v>1</v>
      </c>
    </row>
    <row r="4769" spans="1:5" ht="13">
      <c r="A4769" s="8" t="str">
        <f ca="1">IFERROR(__xludf.DUMMYFUNCTION("""COMPUTED_VALUE"""),"Laux, Charles")</f>
        <v>Laux, Charles</v>
      </c>
      <c r="B4769" s="3">
        <f ca="1">IFERROR(__xludf.DUMMYFUNCTION("""COMPUTED_VALUE"""),1)</f>
        <v>1</v>
      </c>
      <c r="C4769" s="7">
        <f ca="1">IFERROR(__xludf.DUMMYFUNCTION("""COMPUTED_VALUE"""),1)</f>
        <v>1</v>
      </c>
      <c r="D4769" s="8">
        <f ca="1">IFERROR(__xludf.DUMMYFUNCTION("""COMPUTED_VALUE"""),1)</f>
        <v>1</v>
      </c>
      <c r="E4769" s="2">
        <f ca="1">IFERROR(__xludf.DUMMYFUNCTION("""COMPUTED_VALUE"""),1)</f>
        <v>1</v>
      </c>
    </row>
    <row r="4770" spans="1:5" ht="13">
      <c r="A4770" s="2" t="str">
        <f ca="1">IFERROR(__xludf.DUMMYFUNCTION("""COMPUTED_VALUE"""),"Lavalle, Paul")</f>
        <v>Lavalle, Paul</v>
      </c>
      <c r="B4770" s="3">
        <f ca="1">IFERROR(__xludf.DUMMYFUNCTION("""COMPUTED_VALUE"""),1)</f>
        <v>1</v>
      </c>
      <c r="C4770" s="7">
        <f ca="1">IFERROR(__xludf.DUMMYFUNCTION("""COMPUTED_VALUE"""),1)</f>
        <v>1</v>
      </c>
      <c r="D4770" s="8">
        <f ca="1">IFERROR(__xludf.DUMMYFUNCTION("""COMPUTED_VALUE"""),5)</f>
        <v>5</v>
      </c>
      <c r="E4770" s="2">
        <f ca="1">IFERROR(__xludf.DUMMYFUNCTION("""COMPUTED_VALUE"""),2)</f>
        <v>2</v>
      </c>
    </row>
    <row r="4771" spans="1:5" ht="13">
      <c r="A4771" s="2" t="str">
        <f ca="1">IFERROR(__xludf.DUMMYFUNCTION("""COMPUTED_VALUE"""),"Lavallée, Calixia")</f>
        <v>Lavallée, Calixia</v>
      </c>
      <c r="B4771" s="3">
        <f ca="1">IFERROR(__xludf.DUMMYFUNCTION("""COMPUTED_VALUE"""),1)</f>
        <v>1</v>
      </c>
      <c r="C4771" s="7">
        <f ca="1">IFERROR(__xludf.DUMMYFUNCTION("""COMPUTED_VALUE"""),1)</f>
        <v>1</v>
      </c>
      <c r="D4771" s="8">
        <f ca="1">IFERROR(__xludf.DUMMYFUNCTION("""COMPUTED_VALUE"""),5)</f>
        <v>5</v>
      </c>
      <c r="E4771" s="2">
        <f ca="1">IFERROR(__xludf.DUMMYFUNCTION("""COMPUTED_VALUE"""),2)</f>
        <v>2</v>
      </c>
    </row>
    <row r="4772" spans="1:5" ht="13">
      <c r="A4772" s="2" t="str">
        <f ca="1">IFERROR(__xludf.DUMMYFUNCTION("""COMPUTED_VALUE"""),"LaValley, A. Jeffrey")</f>
        <v>LaValley, A. Jeffrey</v>
      </c>
      <c r="B4772" s="3">
        <f ca="1">IFERROR(__xludf.DUMMYFUNCTION("""COMPUTED_VALUE"""),1)</f>
        <v>1</v>
      </c>
      <c r="C4772" s="7">
        <f ca="1">IFERROR(__xludf.DUMMYFUNCTION("""COMPUTED_VALUE"""),1)</f>
        <v>1</v>
      </c>
      <c r="D4772" s="8">
        <f ca="1">IFERROR(__xludf.DUMMYFUNCTION("""COMPUTED_VALUE"""),1)</f>
        <v>1</v>
      </c>
      <c r="E4772" s="2">
        <f ca="1">IFERROR(__xludf.DUMMYFUNCTION("""COMPUTED_VALUE"""),1)</f>
        <v>1</v>
      </c>
    </row>
    <row r="4773" spans="1:5" ht="13">
      <c r="A4773" s="2" t="str">
        <f ca="1">IFERROR(__xludf.DUMMYFUNCTION("""COMPUTED_VALUE"""),"Lavender, Paul")</f>
        <v>Lavender, Paul</v>
      </c>
      <c r="B4773" s="3">
        <f ca="1">IFERROR(__xludf.DUMMYFUNCTION("""COMPUTED_VALUE"""),1)</f>
        <v>1</v>
      </c>
      <c r="C4773" s="7">
        <f ca="1">IFERROR(__xludf.DUMMYFUNCTION("""COMPUTED_VALUE"""),1)</f>
        <v>1</v>
      </c>
      <c r="D4773" s="8">
        <f ca="1">IFERROR(__xludf.DUMMYFUNCTION("""COMPUTED_VALUE"""),1)</f>
        <v>1</v>
      </c>
      <c r="E4773" s="2">
        <f ca="1">IFERROR(__xludf.DUMMYFUNCTION("""COMPUTED_VALUE"""),1)</f>
        <v>1</v>
      </c>
    </row>
    <row r="4774" spans="1:5" ht="13">
      <c r="A4774" s="2" t="str">
        <f ca="1">IFERROR(__xludf.DUMMYFUNCTION("""COMPUTED_VALUE"""),"Lavender, Scott")</f>
        <v>Lavender, Scott</v>
      </c>
      <c r="B4774" s="2">
        <f ca="1">IFERROR(__xludf.DUMMYFUNCTION("""COMPUTED_VALUE"""),1)</f>
        <v>1</v>
      </c>
      <c r="C4774" s="2">
        <f ca="1">IFERROR(__xludf.DUMMYFUNCTION("""COMPUTED_VALUE"""),1)</f>
        <v>1</v>
      </c>
      <c r="D4774" s="8">
        <f ca="1">IFERROR(__xludf.DUMMYFUNCTION("""COMPUTED_VALUE"""),1)</f>
        <v>1</v>
      </c>
      <c r="E4774" s="2">
        <f ca="1">IFERROR(__xludf.DUMMYFUNCTION("""COMPUTED_VALUE"""),1)</f>
        <v>1</v>
      </c>
    </row>
    <row r="4775" spans="1:5" ht="13">
      <c r="A4775" s="2" t="str">
        <f ca="1">IFERROR(__xludf.DUMMYFUNCTION("""COMPUTED_VALUE"""),"Laverty, John")</f>
        <v>Laverty, John</v>
      </c>
      <c r="B4775" s="3">
        <f ca="1">IFERROR(__xludf.DUMMYFUNCTION("""COMPUTED_VALUE"""),1)</f>
        <v>1</v>
      </c>
      <c r="C4775" s="7">
        <f ca="1">IFERROR(__xludf.DUMMYFUNCTION("""COMPUTED_VALUE"""),1)</f>
        <v>1</v>
      </c>
      <c r="D4775" s="8">
        <f ca="1">IFERROR(__xludf.DUMMYFUNCTION("""COMPUTED_VALUE"""),1)</f>
        <v>1</v>
      </c>
      <c r="E4775" s="2">
        <f ca="1">IFERROR(__xludf.DUMMYFUNCTION("""COMPUTED_VALUE"""),1)</f>
        <v>1</v>
      </c>
    </row>
    <row r="4776" spans="1:5" ht="13">
      <c r="A4776" s="2" t="str">
        <f ca="1">IFERROR(__xludf.DUMMYFUNCTION("""COMPUTED_VALUE"""),"Lavignac, Albert")</f>
        <v>Lavignac, Albert</v>
      </c>
      <c r="B4776" s="3">
        <f ca="1">IFERROR(__xludf.DUMMYFUNCTION("""COMPUTED_VALUE"""),1)</f>
        <v>1</v>
      </c>
      <c r="C4776" s="7">
        <f ca="1">IFERROR(__xludf.DUMMYFUNCTION("""COMPUTED_VALUE"""),1)</f>
        <v>1</v>
      </c>
      <c r="D4776" s="8">
        <f ca="1">IFERROR(__xludf.DUMMYFUNCTION("""COMPUTED_VALUE"""),5)</f>
        <v>5</v>
      </c>
      <c r="E4776" s="2">
        <f ca="1">IFERROR(__xludf.DUMMYFUNCTION("""COMPUTED_VALUE"""),2)</f>
        <v>2</v>
      </c>
    </row>
    <row r="4777" spans="1:5" ht="13">
      <c r="A4777" s="2" t="str">
        <f ca="1">IFERROR(__xludf.DUMMYFUNCTION("""COMPUTED_VALUE"""),"LaVoy, Thomas")</f>
        <v>LaVoy, Thomas</v>
      </c>
      <c r="B4777" s="3">
        <f ca="1">IFERROR(__xludf.DUMMYFUNCTION("""COMPUTED_VALUE"""),1)</f>
        <v>1</v>
      </c>
      <c r="C4777" s="7">
        <f ca="1">IFERROR(__xludf.DUMMYFUNCTION("""COMPUTED_VALUE"""),1)</f>
        <v>1</v>
      </c>
      <c r="D4777" s="8">
        <f ca="1">IFERROR(__xludf.DUMMYFUNCTION("""COMPUTED_VALUE"""),1)</f>
        <v>1</v>
      </c>
      <c r="E4777" s="2">
        <f ca="1">IFERROR(__xludf.DUMMYFUNCTION("""COMPUTED_VALUE"""),1)</f>
        <v>1</v>
      </c>
    </row>
    <row r="4778" spans="1:5" ht="13">
      <c r="A4778" s="2" t="str">
        <f ca="1">IFERROR(__xludf.DUMMYFUNCTION("""COMPUTED_VALUE"""),"Law, Cameron J.")</f>
        <v>Law, Cameron J.</v>
      </c>
      <c r="B4778" s="2">
        <f ca="1">IFERROR(__xludf.DUMMYFUNCTION("""COMPUTED_VALUE"""),1)</f>
        <v>1</v>
      </c>
      <c r="C4778" s="7">
        <f ca="1">IFERROR(__xludf.DUMMYFUNCTION("""COMPUTED_VALUE"""),1)</f>
        <v>1</v>
      </c>
      <c r="D4778" s="8">
        <f ca="1">IFERROR(__xludf.DUMMYFUNCTION("""COMPUTED_VALUE"""),1)</f>
        <v>1</v>
      </c>
      <c r="E4778" s="2">
        <f ca="1">IFERROR(__xludf.DUMMYFUNCTION("""COMPUTED_VALUE"""),1)</f>
        <v>1</v>
      </c>
    </row>
    <row r="4779" spans="1:5" ht="13">
      <c r="A4779" s="8" t="str">
        <f ca="1">IFERROR(__xludf.DUMMYFUNCTION("""COMPUTED_VALUE"""),"Law, Eric")</f>
        <v>Law, Eric</v>
      </c>
      <c r="B4779" s="3">
        <f ca="1">IFERROR(__xludf.DUMMYFUNCTION("""COMPUTED_VALUE"""),1)</f>
        <v>1</v>
      </c>
      <c r="C4779" s="7">
        <f ca="1">IFERROR(__xludf.DUMMYFUNCTION("""COMPUTED_VALUE"""),1)</f>
        <v>1</v>
      </c>
      <c r="D4779" s="8">
        <f ca="1">IFERROR(__xludf.DUMMYFUNCTION("""COMPUTED_VALUE"""),1)</f>
        <v>1</v>
      </c>
      <c r="E4779" s="2">
        <f ca="1">IFERROR(__xludf.DUMMYFUNCTION("""COMPUTED_VALUE"""),1)</f>
        <v>1</v>
      </c>
    </row>
    <row r="4780" spans="1:5" ht="13">
      <c r="A4780" s="2" t="str">
        <f ca="1">IFERROR(__xludf.DUMMYFUNCTION("""COMPUTED_VALUE"""),"Law, J. Cameron")</f>
        <v>Law, J. Cameron</v>
      </c>
      <c r="B4780" s="3">
        <f ca="1">IFERROR(__xludf.DUMMYFUNCTION("""COMPUTED_VALUE"""),1)</f>
        <v>1</v>
      </c>
      <c r="C4780" s="7">
        <f ca="1">IFERROR(__xludf.DUMMYFUNCTION("""COMPUTED_VALUE"""),1)</f>
        <v>1</v>
      </c>
      <c r="D4780" s="8">
        <f ca="1">IFERROR(__xludf.DUMMYFUNCTION("""COMPUTED_VALUE"""),1)</f>
        <v>1</v>
      </c>
      <c r="E4780" s="2">
        <f ca="1">IFERROR(__xludf.DUMMYFUNCTION("""COMPUTED_VALUE"""),1)</f>
        <v>1</v>
      </c>
    </row>
    <row r="4781" spans="1:5" ht="13">
      <c r="A4781" s="2" t="str">
        <f ca="1">IFERROR(__xludf.DUMMYFUNCTION("""COMPUTED_VALUE"""),"Law, James Cameron")</f>
        <v>Law, James Cameron</v>
      </c>
      <c r="B4781" s="3">
        <f ca="1">IFERROR(__xludf.DUMMYFUNCTION("""COMPUTED_VALUE"""),1)</f>
        <v>1</v>
      </c>
      <c r="C4781" s="7">
        <f ca="1">IFERROR(__xludf.DUMMYFUNCTION("""COMPUTED_VALUE"""),1)</f>
        <v>1</v>
      </c>
      <c r="D4781" s="8">
        <f ca="1">IFERROR(__xludf.DUMMYFUNCTION("""COMPUTED_VALUE"""),1)</f>
        <v>1</v>
      </c>
      <c r="E4781" s="2">
        <f ca="1">IFERROR(__xludf.DUMMYFUNCTION("""COMPUTED_VALUE"""),1)</f>
        <v>1</v>
      </c>
    </row>
    <row r="4782" spans="1:5" ht="13">
      <c r="A4782" s="2" t="str">
        <f ca="1">IFERROR(__xludf.DUMMYFUNCTION("""COMPUTED_VALUE"""),"Lawes, William")</f>
        <v>Lawes, William</v>
      </c>
      <c r="B4782" s="3">
        <f ca="1">IFERROR(__xludf.DUMMYFUNCTION("""COMPUTED_VALUE"""),1)</f>
        <v>1</v>
      </c>
      <c r="C4782" s="7">
        <f ca="1">IFERROR(__xludf.DUMMYFUNCTION("""COMPUTED_VALUE"""),1)</f>
        <v>1</v>
      </c>
      <c r="D4782" s="8">
        <f ca="1">IFERROR(__xludf.DUMMYFUNCTION("""COMPUTED_VALUE"""),5)</f>
        <v>5</v>
      </c>
      <c r="E4782" s="2">
        <f ca="1">IFERROR(__xludf.DUMMYFUNCTION("""COMPUTED_VALUE"""),2)</f>
        <v>2</v>
      </c>
    </row>
    <row r="4783" spans="1:5" ht="13">
      <c r="A4783" s="2" t="str">
        <f ca="1">IFERROR(__xludf.DUMMYFUNCTION("""COMPUTED_VALUE"""),"Lawn, Rick")</f>
        <v>Lawn, Rick</v>
      </c>
      <c r="B4783" s="3">
        <f ca="1">IFERROR(__xludf.DUMMYFUNCTION("""COMPUTED_VALUE"""),1)</f>
        <v>1</v>
      </c>
      <c r="C4783" s="7">
        <f ca="1">IFERROR(__xludf.DUMMYFUNCTION("""COMPUTED_VALUE"""),1)</f>
        <v>1</v>
      </c>
      <c r="D4783" s="8">
        <f ca="1">IFERROR(__xludf.DUMMYFUNCTION("""COMPUTED_VALUE"""),1)</f>
        <v>1</v>
      </c>
      <c r="E4783" s="2">
        <f ca="1">IFERROR(__xludf.DUMMYFUNCTION("""COMPUTED_VALUE"""),1)</f>
        <v>1</v>
      </c>
    </row>
    <row r="4784" spans="1:5" ht="13">
      <c r="A4784" s="8" t="str">
        <f ca="1">IFERROR(__xludf.DUMMYFUNCTION("""COMPUTED_VALUE"""),"Lawrence, Brian")</f>
        <v>Lawrence, Brian</v>
      </c>
      <c r="B4784" s="3">
        <f ca="1">IFERROR(__xludf.DUMMYFUNCTION("""COMPUTED_VALUE"""),1)</f>
        <v>1</v>
      </c>
      <c r="C4784" s="7">
        <f ca="1">IFERROR(__xludf.DUMMYFUNCTION("""COMPUTED_VALUE"""),1)</f>
        <v>1</v>
      </c>
      <c r="D4784" s="8">
        <f ca="1">IFERROR(__xludf.DUMMYFUNCTION("""COMPUTED_VALUE"""),1)</f>
        <v>1</v>
      </c>
      <c r="E4784" s="2">
        <f ca="1">IFERROR(__xludf.DUMMYFUNCTION("""COMPUTED_VALUE"""),1)</f>
        <v>1</v>
      </c>
    </row>
    <row r="4785" spans="1:5" ht="13">
      <c r="A4785" s="2" t="str">
        <f ca="1">IFERROR(__xludf.DUMMYFUNCTION("""COMPUTED_VALUE"""),"Lawrence, Drew /  Perri, Christina /  Yeretsian, Barrett")</f>
        <v>Lawrence, Drew /  Perri, Christina /  Yeretsian, Barrett</v>
      </c>
      <c r="B4785" s="3">
        <f ca="1">IFERROR(__xludf.DUMMYFUNCTION("""COMPUTED_VALUE"""),1)</f>
        <v>1</v>
      </c>
      <c r="C4785" s="7">
        <f ca="1">IFERROR(__xludf.DUMMYFUNCTION("""COMPUTED_VALUE"""),1)</f>
        <v>1</v>
      </c>
      <c r="D4785" s="8">
        <f ca="1">IFERROR(__xludf.DUMMYFUNCTION("""COMPUTED_VALUE"""),1)</f>
        <v>1</v>
      </c>
      <c r="E4785" s="2">
        <f ca="1">IFERROR(__xludf.DUMMYFUNCTION("""COMPUTED_VALUE"""),1)</f>
        <v>1</v>
      </c>
    </row>
    <row r="4786" spans="1:5" ht="13">
      <c r="A4786" s="2" t="str">
        <f ca="1">IFERROR(__xludf.DUMMYFUNCTION("""COMPUTED_VALUE"""),"Lawrence, Jack")</f>
        <v>Lawrence, Jack</v>
      </c>
      <c r="B4786" s="3">
        <f ca="1">IFERROR(__xludf.DUMMYFUNCTION("""COMPUTED_VALUE"""),1)</f>
        <v>1</v>
      </c>
      <c r="C4786" s="7">
        <f ca="1">IFERROR(__xludf.DUMMYFUNCTION("""COMPUTED_VALUE"""),1)</f>
        <v>1</v>
      </c>
      <c r="D4786" s="8">
        <f ca="1">IFERROR(__xludf.DUMMYFUNCTION("""COMPUTED_VALUE"""),5)</f>
        <v>5</v>
      </c>
      <c r="E4786" s="2">
        <f ca="1">IFERROR(__xludf.DUMMYFUNCTION("""COMPUTED_VALUE"""),2)</f>
        <v>2</v>
      </c>
    </row>
    <row r="4787" spans="1:5" ht="13">
      <c r="A4787" s="2" t="str">
        <f ca="1">IFERROR(__xludf.DUMMYFUNCTION("""COMPUTED_VALUE"""),"Lawrence, Robert")</f>
        <v>Lawrence, Robert</v>
      </c>
      <c r="B4787" s="3">
        <f ca="1">IFERROR(__xludf.DUMMYFUNCTION("""COMPUTED_VALUE"""),1)</f>
        <v>1</v>
      </c>
      <c r="C4787" s="7">
        <f ca="1">IFERROR(__xludf.DUMMYFUNCTION("""COMPUTED_VALUE"""),1)</f>
        <v>1</v>
      </c>
      <c r="D4787" s="8">
        <f ca="1">IFERROR(__xludf.DUMMYFUNCTION("""COMPUTED_VALUE"""),1)</f>
        <v>1</v>
      </c>
      <c r="E4787" s="2">
        <f ca="1">IFERROR(__xludf.DUMMYFUNCTION("""COMPUTED_VALUE"""),1)</f>
        <v>1</v>
      </c>
    </row>
    <row r="4788" spans="1:5" ht="13">
      <c r="A4788" s="2" t="str">
        <f ca="1">IFERROR(__xludf.DUMMYFUNCTION("""COMPUTED_VALUE"""),"Lawrence, Stephen")</f>
        <v>Lawrence, Stephen</v>
      </c>
      <c r="B4788" s="2">
        <f ca="1">IFERROR(__xludf.DUMMYFUNCTION("""COMPUTED_VALUE"""),1)</f>
        <v>1</v>
      </c>
      <c r="C4788" s="2">
        <f ca="1">IFERROR(__xludf.DUMMYFUNCTION("""COMPUTED_VALUE"""),1)</f>
        <v>1</v>
      </c>
      <c r="D4788" s="8">
        <f ca="1">IFERROR(__xludf.DUMMYFUNCTION("""COMPUTED_VALUE"""),5)</f>
        <v>5</v>
      </c>
      <c r="E4788" s="2">
        <f ca="1">IFERROR(__xludf.DUMMYFUNCTION("""COMPUTED_VALUE"""),2)</f>
        <v>2</v>
      </c>
    </row>
    <row r="4789" spans="1:5" ht="13">
      <c r="A4789" s="2" t="str">
        <f ca="1">IFERROR(__xludf.DUMMYFUNCTION("""COMPUTED_VALUE"""),"Lawson, Andrew E.")</f>
        <v>Lawson, Andrew E.</v>
      </c>
      <c r="B4789" s="3">
        <f ca="1">IFERROR(__xludf.DUMMYFUNCTION("""COMPUTED_VALUE"""),1)</f>
        <v>1</v>
      </c>
      <c r="C4789" s="7">
        <f ca="1">IFERROR(__xludf.DUMMYFUNCTION("""COMPUTED_VALUE"""),1)</f>
        <v>1</v>
      </c>
      <c r="D4789" s="8">
        <f ca="1">IFERROR(__xludf.DUMMYFUNCTION("""COMPUTED_VALUE"""),1)</f>
        <v>1</v>
      </c>
      <c r="E4789" s="2">
        <f ca="1">IFERROR(__xludf.DUMMYFUNCTION("""COMPUTED_VALUE"""),1)</f>
        <v>1</v>
      </c>
    </row>
    <row r="4790" spans="1:5" ht="13">
      <c r="A4790" s="2" t="str">
        <f ca="1">IFERROR(__xludf.DUMMYFUNCTION("""COMPUTED_VALUE"""),"Lawson, Doyle / Waller, Charles / Yates, Robert")</f>
        <v>Lawson, Doyle / Waller, Charles / Yates, Robert</v>
      </c>
      <c r="B4790" s="3">
        <f ca="1">IFERROR(__xludf.DUMMYFUNCTION("""COMPUTED_VALUE"""),1)</f>
        <v>1</v>
      </c>
      <c r="C4790" s="7">
        <f ca="1">IFERROR(__xludf.DUMMYFUNCTION("""COMPUTED_VALUE"""),1)</f>
        <v>1</v>
      </c>
      <c r="D4790" s="8">
        <f ca="1">IFERROR(__xludf.DUMMYFUNCTION("""COMPUTED_VALUE"""),1)</f>
        <v>1</v>
      </c>
      <c r="E4790" s="2">
        <f ca="1">IFERROR(__xludf.DUMMYFUNCTION("""COMPUTED_VALUE"""),1)</f>
        <v>1</v>
      </c>
    </row>
    <row r="4791" spans="1:5" ht="13">
      <c r="A4791" s="2" t="str">
        <f ca="1">IFERROR(__xludf.DUMMYFUNCTION("""COMPUTED_VALUE"""),"Lawson, Peter")</f>
        <v>Lawson, Peter</v>
      </c>
      <c r="B4791" s="3">
        <f ca="1">IFERROR(__xludf.DUMMYFUNCTION("""COMPUTED_VALUE"""),1)</f>
        <v>1</v>
      </c>
      <c r="C4791" s="7">
        <f ca="1">IFERROR(__xludf.DUMMYFUNCTION("""COMPUTED_VALUE"""),1)</f>
        <v>1</v>
      </c>
      <c r="D4791" s="8">
        <f ca="1">IFERROR(__xludf.DUMMYFUNCTION("""COMPUTED_VALUE"""),1)</f>
        <v>1</v>
      </c>
      <c r="E4791" s="2">
        <f ca="1">IFERROR(__xludf.DUMMYFUNCTION("""COMPUTED_VALUE"""),1)</f>
        <v>1</v>
      </c>
    </row>
    <row r="4792" spans="1:5" ht="13">
      <c r="A4792" s="2" t="str">
        <f ca="1">IFERROR(__xludf.DUMMYFUNCTION("""COMPUTED_VALUE"""),"Lawson, Philip")</f>
        <v>Lawson, Philip</v>
      </c>
      <c r="B4792" s="3">
        <f ca="1">IFERROR(__xludf.DUMMYFUNCTION("""COMPUTED_VALUE"""),1)</f>
        <v>1</v>
      </c>
      <c r="C4792" s="7">
        <f ca="1">IFERROR(__xludf.DUMMYFUNCTION("""COMPUTED_VALUE"""),1)</f>
        <v>1</v>
      </c>
      <c r="D4792" s="8">
        <f ca="1">IFERROR(__xludf.DUMMYFUNCTION("""COMPUTED_VALUE"""),1)</f>
        <v>1</v>
      </c>
      <c r="E4792" s="2">
        <f ca="1">IFERROR(__xludf.DUMMYFUNCTION("""COMPUTED_VALUE"""),1)</f>
        <v>1</v>
      </c>
    </row>
    <row r="4793" spans="1:5" ht="13">
      <c r="A4793" s="2" t="str">
        <f ca="1">IFERROR(__xludf.DUMMYFUNCTION("""COMPUTED_VALUE"""),"Lawson, Philip / Lovland, Rolf")</f>
        <v>Lawson, Philip / Lovland, Rolf</v>
      </c>
      <c r="B4793" s="3">
        <f ca="1">IFERROR(__xludf.DUMMYFUNCTION("""COMPUTED_VALUE"""),1)</f>
        <v>1</v>
      </c>
      <c r="C4793" s="7">
        <f ca="1">IFERROR(__xludf.DUMMYFUNCTION("""COMPUTED_VALUE"""),1)</f>
        <v>1</v>
      </c>
      <c r="D4793" s="8">
        <f ca="1">IFERROR(__xludf.DUMMYFUNCTION("""COMPUTED_VALUE"""),1)</f>
        <v>1</v>
      </c>
      <c r="E4793" s="2">
        <f ca="1">IFERROR(__xludf.DUMMYFUNCTION("""COMPUTED_VALUE"""),1)</f>
        <v>1</v>
      </c>
    </row>
    <row r="4794" spans="1:5" ht="13">
      <c r="A4794" s="8" t="str">
        <f ca="1">IFERROR(__xludf.DUMMYFUNCTION("""COMPUTED_VALUE"""),"Lawton, Sidney")</f>
        <v>Lawton, Sidney</v>
      </c>
      <c r="B4794" s="3">
        <f ca="1">IFERROR(__xludf.DUMMYFUNCTION("""COMPUTED_VALUE"""),1)</f>
        <v>1</v>
      </c>
      <c r="C4794" s="7">
        <f ca="1">IFERROR(__xludf.DUMMYFUNCTION("""COMPUTED_VALUE"""),1)</f>
        <v>1</v>
      </c>
      <c r="D4794" s="8">
        <f ca="1">IFERROR(__xludf.DUMMYFUNCTION("""COMPUTED_VALUE"""),1)</f>
        <v>1</v>
      </c>
      <c r="E4794" s="2">
        <f ca="1">IFERROR(__xludf.DUMMYFUNCTION("""COMPUTED_VALUE"""),1)</f>
        <v>1</v>
      </c>
    </row>
    <row r="4795" spans="1:5" ht="13">
      <c r="A4795" s="8" t="str">
        <f ca="1">IFERROR(__xludf.DUMMYFUNCTION("""COMPUTED_VALUE"""),"Lazarescou, Dan")</f>
        <v>Lazarescou, Dan</v>
      </c>
      <c r="B4795" s="3">
        <f ca="1">IFERROR(__xludf.DUMMYFUNCTION("""COMPUTED_VALUE"""),1)</f>
        <v>1</v>
      </c>
      <c r="C4795" s="7">
        <f ca="1">IFERROR(__xludf.DUMMYFUNCTION("""COMPUTED_VALUE"""),1)</f>
        <v>1</v>
      </c>
      <c r="D4795" s="8">
        <f ca="1">IFERROR(__xludf.DUMMYFUNCTION("""COMPUTED_VALUE"""),1)</f>
        <v>1</v>
      </c>
      <c r="E4795" s="2">
        <f ca="1">IFERROR(__xludf.DUMMYFUNCTION("""COMPUTED_VALUE"""),1)</f>
        <v>1</v>
      </c>
    </row>
    <row r="4796" spans="1:5" ht="13">
      <c r="A4796" s="2" t="str">
        <f ca="1">IFERROR(__xludf.DUMMYFUNCTION("""COMPUTED_VALUE"""),"Lazarich, Tom")</f>
        <v>Lazarich, Tom</v>
      </c>
      <c r="B4796" s="3">
        <f ca="1">IFERROR(__xludf.DUMMYFUNCTION("""COMPUTED_VALUE"""),1)</f>
        <v>1</v>
      </c>
      <c r="C4796" s="7">
        <f ca="1">IFERROR(__xludf.DUMMYFUNCTION("""COMPUTED_VALUE"""),1)</f>
        <v>1</v>
      </c>
      <c r="D4796" s="8">
        <f ca="1">IFERROR(__xludf.DUMMYFUNCTION("""COMPUTED_VALUE"""),1)</f>
        <v>1</v>
      </c>
      <c r="E4796" s="2">
        <f ca="1">IFERROR(__xludf.DUMMYFUNCTION("""COMPUTED_VALUE"""),1)</f>
        <v>1</v>
      </c>
    </row>
    <row r="4797" spans="1:5" ht="13">
      <c r="A4797" s="8" t="str">
        <f ca="1">IFERROR(__xludf.DUMMYFUNCTION("""COMPUTED_VALUE"""),"Lazarof, Henri")</f>
        <v>Lazarof, Henri</v>
      </c>
      <c r="B4797" s="3">
        <f ca="1">IFERROR(__xludf.DUMMYFUNCTION("""COMPUTED_VALUE"""),1)</f>
        <v>1</v>
      </c>
      <c r="C4797" s="7">
        <f ca="1">IFERROR(__xludf.DUMMYFUNCTION("""COMPUTED_VALUE"""),1)</f>
        <v>1</v>
      </c>
      <c r="D4797" s="8">
        <f ca="1">IFERROR(__xludf.DUMMYFUNCTION("""COMPUTED_VALUE"""),5)</f>
        <v>5</v>
      </c>
      <c r="E4797" s="2">
        <f ca="1">IFERROR(__xludf.DUMMYFUNCTION("""COMPUTED_VALUE"""),2)</f>
        <v>2</v>
      </c>
    </row>
    <row r="4798" spans="1:5" ht="13">
      <c r="A4798" s="2" t="str">
        <f ca="1">IFERROR(__xludf.DUMMYFUNCTION("""COMPUTED_VALUE"""),"Lazarus, Charles")</f>
        <v>Lazarus, Charles</v>
      </c>
      <c r="B4798" s="3">
        <f ca="1">IFERROR(__xludf.DUMMYFUNCTION("""COMPUTED_VALUE"""),1)</f>
        <v>1</v>
      </c>
      <c r="C4798" s="7">
        <f ca="1">IFERROR(__xludf.DUMMYFUNCTION("""COMPUTED_VALUE"""),1)</f>
        <v>1</v>
      </c>
      <c r="D4798" s="8">
        <f ca="1">IFERROR(__xludf.DUMMYFUNCTION("""COMPUTED_VALUE"""),1)</f>
        <v>1</v>
      </c>
      <c r="E4798" s="2">
        <f ca="1">IFERROR(__xludf.DUMMYFUNCTION("""COMPUTED_VALUE"""),1)</f>
        <v>1</v>
      </c>
    </row>
    <row r="4799" spans="1:5" ht="13">
      <c r="A4799" s="2" t="str">
        <f ca="1">IFERROR(__xludf.DUMMYFUNCTION("""COMPUTED_VALUE"""),"Lazic, Dejan")</f>
        <v>Lazic, Dejan</v>
      </c>
      <c r="B4799" s="3">
        <f ca="1">IFERROR(__xludf.DUMMYFUNCTION("""COMPUTED_VALUE"""),1)</f>
        <v>1</v>
      </c>
      <c r="C4799" s="7">
        <f ca="1">IFERROR(__xludf.DUMMYFUNCTION("""COMPUTED_VALUE"""),1)</f>
        <v>1</v>
      </c>
      <c r="D4799" s="8">
        <f ca="1">IFERROR(__xludf.DUMMYFUNCTION("""COMPUTED_VALUE"""),1)</f>
        <v>1</v>
      </c>
      <c r="E4799" s="2">
        <f ca="1">IFERROR(__xludf.DUMMYFUNCTION("""COMPUTED_VALUE"""),1)</f>
        <v>1</v>
      </c>
    </row>
    <row r="4800" spans="1:5" ht="13">
      <c r="A4800" s="2" t="str">
        <f ca="1">IFERROR(__xludf.DUMMYFUNCTION("""COMPUTED_VALUE"""),"Lazić, Dejan")</f>
        <v>Lazić, Dejan</v>
      </c>
      <c r="B4800" s="3">
        <f ca="1">IFERROR(__xludf.DUMMYFUNCTION("""COMPUTED_VALUE"""),1)</f>
        <v>1</v>
      </c>
      <c r="C4800" s="7">
        <f ca="1">IFERROR(__xludf.DUMMYFUNCTION("""COMPUTED_VALUE"""),1)</f>
        <v>1</v>
      </c>
      <c r="D4800" s="8">
        <f ca="1">IFERROR(__xludf.DUMMYFUNCTION("""COMPUTED_VALUE"""),1)</f>
        <v>1</v>
      </c>
      <c r="E4800" s="2">
        <f ca="1">IFERROR(__xludf.DUMMYFUNCTION("""COMPUTED_VALUE"""),1)</f>
        <v>1</v>
      </c>
    </row>
    <row r="4801" spans="1:5" ht="13">
      <c r="A4801" s="2" t="str">
        <f ca="1">IFERROR(__xludf.DUMMYFUNCTION("""COMPUTED_VALUE"""),"Lazorchak, Graham")</f>
        <v>Lazorchak, Graham</v>
      </c>
      <c r="B4801" s="2">
        <f ca="1">IFERROR(__xludf.DUMMYFUNCTION("""COMPUTED_VALUE"""),1)</f>
        <v>1</v>
      </c>
      <c r="C4801" s="2">
        <f ca="1">IFERROR(__xludf.DUMMYFUNCTION("""COMPUTED_VALUE"""),1)</f>
        <v>1</v>
      </c>
      <c r="D4801" s="8">
        <f ca="1">IFERROR(__xludf.DUMMYFUNCTION("""COMPUTED_VALUE"""),1)</f>
        <v>1</v>
      </c>
      <c r="E4801" s="2">
        <f ca="1">IFERROR(__xludf.DUMMYFUNCTION("""COMPUTED_VALUE"""),1)</f>
        <v>1</v>
      </c>
    </row>
    <row r="4802" spans="1:5" ht="13">
      <c r="A4802" s="2" t="str">
        <f ca="1">IFERROR(__xludf.DUMMYFUNCTION("""COMPUTED_VALUE"""),"Le Blanc, D.")</f>
        <v>Le Blanc, D.</v>
      </c>
      <c r="B4802" s="3">
        <f ca="1">IFERROR(__xludf.DUMMYFUNCTION("""COMPUTED_VALUE"""),1)</f>
        <v>1</v>
      </c>
      <c r="C4802" s="7">
        <f ca="1">IFERROR(__xludf.DUMMYFUNCTION("""COMPUTED_VALUE"""),1)</f>
        <v>1</v>
      </c>
      <c r="D4802" s="8">
        <f ca="1">IFERROR(__xludf.DUMMYFUNCTION("""COMPUTED_VALUE"""),5)</f>
        <v>5</v>
      </c>
      <c r="E4802" s="2">
        <f ca="1">IFERROR(__xludf.DUMMYFUNCTION("""COMPUTED_VALUE"""),2)</f>
        <v>2</v>
      </c>
    </row>
    <row r="4803" spans="1:5" ht="13">
      <c r="A4803" s="2" t="str">
        <f ca="1">IFERROR(__xludf.DUMMYFUNCTION("""COMPUTED_VALUE"""),"Le Boeuf, Pascal")</f>
        <v>Le Boeuf, Pascal</v>
      </c>
      <c r="B4803" s="3">
        <f ca="1">IFERROR(__xludf.DUMMYFUNCTION("""COMPUTED_VALUE"""),1)</f>
        <v>1</v>
      </c>
      <c r="C4803" s="7">
        <f ca="1">IFERROR(__xludf.DUMMYFUNCTION("""COMPUTED_VALUE"""),1)</f>
        <v>1</v>
      </c>
      <c r="D4803" s="8">
        <f ca="1">IFERROR(__xludf.DUMMYFUNCTION("""COMPUTED_VALUE"""),1)</f>
        <v>1</v>
      </c>
      <c r="E4803" s="2">
        <f ca="1">IFERROR(__xludf.DUMMYFUNCTION("""COMPUTED_VALUE"""),1)</f>
        <v>1</v>
      </c>
    </row>
    <row r="4804" spans="1:5" ht="13">
      <c r="A4804" s="2" t="str">
        <f ca="1">IFERROR(__xludf.DUMMYFUNCTION("""COMPUTED_VALUE"""),"Le Huray, Peter")</f>
        <v>Le Huray, Peter</v>
      </c>
      <c r="B4804" s="2">
        <f ca="1">IFERROR(__xludf.DUMMYFUNCTION("""COMPUTED_VALUE"""),1)</f>
        <v>1</v>
      </c>
      <c r="C4804" s="2">
        <f ca="1">IFERROR(__xludf.DUMMYFUNCTION("""COMPUTED_VALUE"""),1)</f>
        <v>1</v>
      </c>
      <c r="D4804" s="8">
        <f ca="1">IFERROR(__xludf.DUMMYFUNCTION("""COMPUTED_VALUE"""),5)</f>
        <v>5</v>
      </c>
      <c r="E4804" s="2">
        <f ca="1">IFERROR(__xludf.DUMMYFUNCTION("""COMPUTED_VALUE"""),2)</f>
        <v>2</v>
      </c>
    </row>
    <row r="4805" spans="1:5" ht="13">
      <c r="A4805" s="8" t="str">
        <f ca="1">IFERROR(__xludf.DUMMYFUNCTION("""COMPUTED_VALUE"""),"Le Jeune, Claude")</f>
        <v>Le Jeune, Claude</v>
      </c>
      <c r="B4805" s="2">
        <f ca="1">IFERROR(__xludf.DUMMYFUNCTION("""COMPUTED_VALUE"""),1)</f>
        <v>1</v>
      </c>
      <c r="C4805" s="7">
        <f ca="1">IFERROR(__xludf.DUMMYFUNCTION("""COMPUTED_VALUE"""),1)</f>
        <v>1</v>
      </c>
      <c r="D4805" s="8">
        <f ca="1">IFERROR(__xludf.DUMMYFUNCTION("""COMPUTED_VALUE"""),5)</f>
        <v>5</v>
      </c>
      <c r="E4805" s="2">
        <f ca="1">IFERROR(__xludf.DUMMYFUNCTION("""COMPUTED_VALUE"""),2)</f>
        <v>2</v>
      </c>
    </row>
    <row r="4806" spans="1:5" ht="13">
      <c r="A4806" s="2" t="str">
        <f ca="1">IFERROR(__xludf.DUMMYFUNCTION("""COMPUTED_VALUE"""),"le Juene, Claude")</f>
        <v>le Juene, Claude</v>
      </c>
      <c r="B4806" s="3">
        <f ca="1">IFERROR(__xludf.DUMMYFUNCTION("""COMPUTED_VALUE"""),1)</f>
        <v>1</v>
      </c>
      <c r="C4806" s="7">
        <f ca="1">IFERROR(__xludf.DUMMYFUNCTION("""COMPUTED_VALUE"""),1)</f>
        <v>1</v>
      </c>
      <c r="D4806" s="8">
        <f ca="1">IFERROR(__xludf.DUMMYFUNCTION("""COMPUTED_VALUE"""),5)</f>
        <v>5</v>
      </c>
      <c r="E4806" s="2">
        <f ca="1">IFERROR(__xludf.DUMMYFUNCTION("""COMPUTED_VALUE"""),2)</f>
        <v>2</v>
      </c>
    </row>
    <row r="4807" spans="1:5" ht="13">
      <c r="A4807" s="2" t="str">
        <f ca="1">IFERROR(__xludf.DUMMYFUNCTION("""COMPUTED_VALUE"""),"Leaf, Robert")</f>
        <v>Leaf, Robert</v>
      </c>
      <c r="B4807" s="3">
        <f ca="1">IFERROR(__xludf.DUMMYFUNCTION("""COMPUTED_VALUE"""),1)</f>
        <v>1</v>
      </c>
      <c r="C4807" s="7">
        <f ca="1">IFERROR(__xludf.DUMMYFUNCTION("""COMPUTED_VALUE"""),1)</f>
        <v>1</v>
      </c>
      <c r="D4807" s="8">
        <f ca="1">IFERROR(__xludf.DUMMYFUNCTION("""COMPUTED_VALUE"""),5)</f>
        <v>5</v>
      </c>
      <c r="E4807" s="2">
        <f ca="1">IFERROR(__xludf.DUMMYFUNCTION("""COMPUTED_VALUE"""),2)</f>
        <v>2</v>
      </c>
    </row>
    <row r="4808" spans="1:5" ht="13">
      <c r="A4808" s="2" t="str">
        <f ca="1">IFERROR(__xludf.DUMMYFUNCTION("""COMPUTED_VALUE"""),"League, Michael")</f>
        <v>League, Michael</v>
      </c>
      <c r="B4808" s="2">
        <f ca="1">IFERROR(__xludf.DUMMYFUNCTION("""COMPUTED_VALUE"""),1)</f>
        <v>1</v>
      </c>
      <c r="C4808" s="7">
        <f ca="1">IFERROR(__xludf.DUMMYFUNCTION("""COMPUTED_VALUE"""),1)</f>
        <v>1</v>
      </c>
      <c r="D4808" s="8">
        <f ca="1">IFERROR(__xludf.DUMMYFUNCTION("""COMPUTED_VALUE"""),1)</f>
        <v>1</v>
      </c>
      <c r="E4808" s="2">
        <f ca="1">IFERROR(__xludf.DUMMYFUNCTION("""COMPUTED_VALUE"""),1)</f>
        <v>1</v>
      </c>
    </row>
    <row r="4809" spans="1:5" ht="13">
      <c r="A4809" s="2" t="str">
        <f ca="1">IFERROR(__xludf.DUMMYFUNCTION("""COMPUTED_VALUE"""),"Leaman, Scott")</f>
        <v>Leaman, Scott</v>
      </c>
      <c r="B4809" s="3">
        <f ca="1">IFERROR(__xludf.DUMMYFUNCTION("""COMPUTED_VALUE"""),1)</f>
        <v>1</v>
      </c>
      <c r="C4809" s="7">
        <f ca="1">IFERROR(__xludf.DUMMYFUNCTION("""COMPUTED_VALUE"""),1)</f>
        <v>1</v>
      </c>
      <c r="D4809" s="8">
        <f ca="1">IFERROR(__xludf.DUMMYFUNCTION("""COMPUTED_VALUE"""),1)</f>
        <v>1</v>
      </c>
      <c r="E4809" s="2">
        <f ca="1">IFERROR(__xludf.DUMMYFUNCTION("""COMPUTED_VALUE"""),1)</f>
        <v>1</v>
      </c>
    </row>
    <row r="4810" spans="1:5" ht="13">
      <c r="A4810" s="8" t="str">
        <f ca="1">IFERROR(__xludf.DUMMYFUNCTION("""COMPUTED_VALUE"""),"Leavitt, John")</f>
        <v>Leavitt, John</v>
      </c>
      <c r="B4810" s="3">
        <f ca="1">IFERROR(__xludf.DUMMYFUNCTION("""COMPUTED_VALUE"""),1)</f>
        <v>1</v>
      </c>
      <c r="C4810" s="7">
        <f ca="1">IFERROR(__xludf.DUMMYFUNCTION("""COMPUTED_VALUE"""),1)</f>
        <v>1</v>
      </c>
      <c r="D4810" s="8">
        <f ca="1">IFERROR(__xludf.DUMMYFUNCTION("""COMPUTED_VALUE"""),1)</f>
        <v>1</v>
      </c>
      <c r="E4810" s="2">
        <f ca="1">IFERROR(__xludf.DUMMYFUNCTION("""COMPUTED_VALUE"""),1)</f>
        <v>1</v>
      </c>
    </row>
    <row r="4811" spans="1:5" ht="13">
      <c r="A4811" s="8" t="str">
        <f ca="1">IFERROR(__xludf.DUMMYFUNCTION("""COMPUTED_VALUE"""),"Lebedev, Alexey")</f>
        <v>Lebedev, Alexey</v>
      </c>
      <c r="B4811" s="3">
        <f ca="1">IFERROR(__xludf.DUMMYFUNCTION("""COMPUTED_VALUE"""),1)</f>
        <v>1</v>
      </c>
      <c r="C4811" s="7">
        <f ca="1">IFERROR(__xludf.DUMMYFUNCTION("""COMPUTED_VALUE"""),1)</f>
        <v>1</v>
      </c>
      <c r="D4811" s="8">
        <f ca="1">IFERROR(__xludf.DUMMYFUNCTION("""COMPUTED_VALUE"""),5)</f>
        <v>5</v>
      </c>
      <c r="E4811" s="2">
        <f ca="1">IFERROR(__xludf.DUMMYFUNCTION("""COMPUTED_VALUE"""),2)</f>
        <v>2</v>
      </c>
    </row>
    <row r="4812" spans="1:5" ht="13">
      <c r="A4812" s="2" t="str">
        <f ca="1">IFERROR(__xludf.DUMMYFUNCTION("""COMPUTED_VALUE"""),"Lebermann, Walter")</f>
        <v>Lebermann, Walter</v>
      </c>
      <c r="B4812" s="3">
        <f ca="1">IFERROR(__xludf.DUMMYFUNCTION("""COMPUTED_VALUE"""),1)</f>
        <v>1</v>
      </c>
      <c r="C4812" s="7">
        <f ca="1">IFERROR(__xludf.DUMMYFUNCTION("""COMPUTED_VALUE"""),1)</f>
        <v>1</v>
      </c>
      <c r="D4812" s="8">
        <f ca="1">IFERROR(__xludf.DUMMYFUNCTION("""COMPUTED_VALUE"""),5)</f>
        <v>5</v>
      </c>
      <c r="E4812" s="2">
        <f ca="1">IFERROR(__xludf.DUMMYFUNCTION("""COMPUTED_VALUE"""),2)</f>
        <v>2</v>
      </c>
    </row>
    <row r="4813" spans="1:5" ht="13">
      <c r="A4813" s="2" t="str">
        <f ca="1">IFERROR(__xludf.DUMMYFUNCTION("""COMPUTED_VALUE"""),"Lebic, Lojze")</f>
        <v>Lebic, Lojze</v>
      </c>
      <c r="B4813" s="3">
        <f ca="1">IFERROR(__xludf.DUMMYFUNCTION("""COMPUTED_VALUE"""),1)</f>
        <v>1</v>
      </c>
      <c r="C4813" s="7">
        <f ca="1">IFERROR(__xludf.DUMMYFUNCTION("""COMPUTED_VALUE"""),1)</f>
        <v>1</v>
      </c>
      <c r="D4813" s="8">
        <f ca="1">IFERROR(__xludf.DUMMYFUNCTION("""COMPUTED_VALUE"""),1)</f>
        <v>1</v>
      </c>
      <c r="E4813" s="2">
        <f ca="1">IFERROR(__xludf.DUMMYFUNCTION("""COMPUTED_VALUE"""),1)</f>
        <v>1</v>
      </c>
    </row>
    <row r="4814" spans="1:5" ht="13">
      <c r="A4814" s="2" t="str">
        <f ca="1">IFERROR(__xludf.DUMMYFUNCTION("""COMPUTED_VALUE"""),"Lebieg, Earl")</f>
        <v>Lebieg, Earl</v>
      </c>
      <c r="B4814" s="3">
        <f ca="1">IFERROR(__xludf.DUMMYFUNCTION("""COMPUTED_VALUE"""),1)</f>
        <v>1</v>
      </c>
      <c r="C4814" s="7">
        <f ca="1">IFERROR(__xludf.DUMMYFUNCTION("""COMPUTED_VALUE"""),1)</f>
        <v>1</v>
      </c>
      <c r="D4814" s="8">
        <f ca="1">IFERROR(__xludf.DUMMYFUNCTION("""COMPUTED_VALUE"""),5)</f>
        <v>5</v>
      </c>
      <c r="E4814" s="2">
        <f ca="1">IFERROR(__xludf.DUMMYFUNCTION("""COMPUTED_VALUE"""),2)</f>
        <v>2</v>
      </c>
    </row>
    <row r="4815" spans="1:5" ht="13">
      <c r="A4815" s="8" t="str">
        <f ca="1">IFERROR(__xludf.DUMMYFUNCTION("""COMPUTED_VALUE"""),"Lebon, Jim")</f>
        <v>Lebon, Jim</v>
      </c>
      <c r="B4815" s="3">
        <f ca="1">IFERROR(__xludf.DUMMYFUNCTION("""COMPUTED_VALUE"""),1)</f>
        <v>1</v>
      </c>
      <c r="C4815" s="7">
        <f ca="1">IFERROR(__xludf.DUMMYFUNCTION("""COMPUTED_VALUE"""),1)</f>
        <v>1</v>
      </c>
      <c r="D4815" s="8">
        <f ca="1">IFERROR(__xludf.DUMMYFUNCTION("""COMPUTED_VALUE"""),1)</f>
        <v>1</v>
      </c>
      <c r="E4815" s="2">
        <f ca="1">IFERROR(__xludf.DUMMYFUNCTION("""COMPUTED_VALUE"""),1)</f>
        <v>1</v>
      </c>
    </row>
    <row r="4816" spans="1:5" ht="13">
      <c r="A4816" s="2" t="str">
        <f ca="1">IFERROR(__xludf.DUMMYFUNCTION("""COMPUTED_VALUE"""),"Lebrun, Ludwig August")</f>
        <v>Lebrun, Ludwig August</v>
      </c>
      <c r="B4816" s="3">
        <f ca="1">IFERROR(__xludf.DUMMYFUNCTION("""COMPUTED_VALUE"""),1)</f>
        <v>1</v>
      </c>
      <c r="C4816" s="7">
        <f ca="1">IFERROR(__xludf.DUMMYFUNCTION("""COMPUTED_VALUE"""),1)</f>
        <v>1</v>
      </c>
      <c r="D4816" s="8">
        <f ca="1">IFERROR(__xludf.DUMMYFUNCTION("""COMPUTED_VALUE"""),5)</f>
        <v>5</v>
      </c>
      <c r="E4816" s="2">
        <f ca="1">IFERROR(__xludf.DUMMYFUNCTION("""COMPUTED_VALUE"""),2)</f>
        <v>2</v>
      </c>
    </row>
    <row r="4817" spans="1:5" ht="13">
      <c r="A4817" s="2" t="str">
        <f ca="1">IFERROR(__xludf.DUMMYFUNCTION("""COMPUTED_VALUE"""),"Lechliter, Eric")</f>
        <v>Lechliter, Eric</v>
      </c>
      <c r="B4817" s="2">
        <f ca="1">IFERROR(__xludf.DUMMYFUNCTION("""COMPUTED_VALUE"""),1)</f>
        <v>1</v>
      </c>
      <c r="C4817" s="7">
        <f ca="1">IFERROR(__xludf.DUMMYFUNCTION("""COMPUTED_VALUE"""),1)</f>
        <v>1</v>
      </c>
      <c r="D4817" s="8">
        <f ca="1">IFERROR(__xludf.DUMMYFUNCTION("""COMPUTED_VALUE"""),1)</f>
        <v>1</v>
      </c>
      <c r="E4817" s="2">
        <f ca="1">IFERROR(__xludf.DUMMYFUNCTION("""COMPUTED_VALUE"""),1)</f>
        <v>1</v>
      </c>
    </row>
    <row r="4818" spans="1:5" ht="13">
      <c r="A4818" s="2" t="str">
        <f ca="1">IFERROR(__xludf.DUMMYFUNCTION("""COMPUTED_VALUE"""),"Lechner, Adam")</f>
        <v>Lechner, Adam</v>
      </c>
      <c r="B4818" s="3">
        <f ca="1">IFERROR(__xludf.DUMMYFUNCTION("""COMPUTED_VALUE"""),1)</f>
        <v>1</v>
      </c>
      <c r="C4818" s="7">
        <f ca="1">IFERROR(__xludf.DUMMYFUNCTION("""COMPUTED_VALUE"""),1)</f>
        <v>1</v>
      </c>
      <c r="D4818" s="8">
        <f ca="1">IFERROR(__xludf.DUMMYFUNCTION("""COMPUTED_VALUE"""),1)</f>
        <v>1</v>
      </c>
      <c r="E4818" s="2">
        <f ca="1">IFERROR(__xludf.DUMMYFUNCTION("""COMPUTED_VALUE"""),1)</f>
        <v>1</v>
      </c>
    </row>
    <row r="4819" spans="1:5" ht="13">
      <c r="A4819" s="2" t="str">
        <f ca="1">IFERROR(__xludf.DUMMYFUNCTION("""COMPUTED_VALUE"""),"Lechner, Leonhard")</f>
        <v>Lechner, Leonhard</v>
      </c>
      <c r="B4819" s="2">
        <f ca="1">IFERROR(__xludf.DUMMYFUNCTION("""COMPUTED_VALUE"""),1)</f>
        <v>1</v>
      </c>
      <c r="C4819" s="7">
        <f ca="1">IFERROR(__xludf.DUMMYFUNCTION("""COMPUTED_VALUE"""),1)</f>
        <v>1</v>
      </c>
      <c r="D4819" s="8">
        <f ca="1">IFERROR(__xludf.DUMMYFUNCTION("""COMPUTED_VALUE"""),5)</f>
        <v>5</v>
      </c>
      <c r="E4819" s="2">
        <f ca="1">IFERROR(__xludf.DUMMYFUNCTION("""COMPUTED_VALUE"""),2)</f>
        <v>2</v>
      </c>
    </row>
    <row r="4820" spans="1:5" ht="13">
      <c r="A4820" s="2" t="str">
        <f ca="1">IFERROR(__xludf.DUMMYFUNCTION("""COMPUTED_VALUE"""),"Leck, Henry")</f>
        <v>Leck, Henry</v>
      </c>
      <c r="B4820" s="3">
        <f ca="1">IFERROR(__xludf.DUMMYFUNCTION("""COMPUTED_VALUE"""),1)</f>
        <v>1</v>
      </c>
      <c r="C4820" s="7">
        <f ca="1">IFERROR(__xludf.DUMMYFUNCTION("""COMPUTED_VALUE"""),1)</f>
        <v>1</v>
      </c>
      <c r="D4820" s="8">
        <f ca="1">IFERROR(__xludf.DUMMYFUNCTION("""COMPUTED_VALUE"""),1)</f>
        <v>1</v>
      </c>
      <c r="E4820" s="2">
        <f ca="1">IFERROR(__xludf.DUMMYFUNCTION("""COMPUTED_VALUE"""),1)</f>
        <v>1</v>
      </c>
    </row>
    <row r="4821" spans="1:5" ht="13">
      <c r="A4821" s="2" t="str">
        <f ca="1">IFERROR(__xludf.DUMMYFUNCTION("""COMPUTED_VALUE"""),"Leck, Henry / Crocker Dean")</f>
        <v>Leck, Henry / Crocker Dean</v>
      </c>
      <c r="B4821" s="3">
        <f ca="1">IFERROR(__xludf.DUMMYFUNCTION("""COMPUTED_VALUE"""),1)</f>
        <v>1</v>
      </c>
      <c r="C4821" s="7">
        <f ca="1">IFERROR(__xludf.DUMMYFUNCTION("""COMPUTED_VALUE"""),1)</f>
        <v>1</v>
      </c>
      <c r="D4821" s="8">
        <f ca="1">IFERROR(__xludf.DUMMYFUNCTION("""COMPUTED_VALUE"""),1)</f>
        <v>1</v>
      </c>
      <c r="E4821" s="2">
        <f ca="1">IFERROR(__xludf.DUMMYFUNCTION("""COMPUTED_VALUE"""),1)</f>
        <v>1</v>
      </c>
    </row>
    <row r="4822" spans="1:5" ht="13">
      <c r="A4822" s="2" t="str">
        <f ca="1">IFERROR(__xludf.DUMMYFUNCTION("""COMPUTED_VALUE"""),"Leck, Henry / Ellis, Martin")</f>
        <v>Leck, Henry / Ellis, Martin</v>
      </c>
      <c r="B4822" s="3">
        <f ca="1">IFERROR(__xludf.DUMMYFUNCTION("""COMPUTED_VALUE"""),1)</f>
        <v>1</v>
      </c>
      <c r="C4822" s="7">
        <f ca="1">IFERROR(__xludf.DUMMYFUNCTION("""COMPUTED_VALUE"""),1)</f>
        <v>1</v>
      </c>
      <c r="D4822" s="8">
        <f ca="1">IFERROR(__xludf.DUMMYFUNCTION("""COMPUTED_VALUE"""),1)</f>
        <v>1</v>
      </c>
      <c r="E4822" s="2">
        <f ca="1">IFERROR(__xludf.DUMMYFUNCTION("""COMPUTED_VALUE"""),1)</f>
        <v>1</v>
      </c>
    </row>
    <row r="4823" spans="1:5" ht="13">
      <c r="A4823" s="2" t="str">
        <f ca="1">IFERROR(__xludf.DUMMYFUNCTION("""COMPUTED_VALUE"""),"Leckrone, Michael")</f>
        <v>Leckrone, Michael</v>
      </c>
      <c r="B4823" s="3">
        <f ca="1">IFERROR(__xludf.DUMMYFUNCTION("""COMPUTED_VALUE"""),1)</f>
        <v>1</v>
      </c>
      <c r="C4823" s="7">
        <f ca="1">IFERROR(__xludf.DUMMYFUNCTION("""COMPUTED_VALUE"""),1)</f>
        <v>1</v>
      </c>
      <c r="D4823" s="8">
        <f ca="1">IFERROR(__xludf.DUMMYFUNCTION("""COMPUTED_VALUE"""),1)</f>
        <v>1</v>
      </c>
      <c r="E4823" s="2">
        <f ca="1">IFERROR(__xludf.DUMMYFUNCTION("""COMPUTED_VALUE"""),1)</f>
        <v>1</v>
      </c>
    </row>
    <row r="4824" spans="1:5" ht="13">
      <c r="A4824" s="2" t="str">
        <f ca="1">IFERROR(__xludf.DUMMYFUNCTION("""COMPUTED_VALUE"""),"Leclair, Jean-Marie")</f>
        <v>Leclair, Jean-Marie</v>
      </c>
      <c r="B4824" s="3">
        <f ca="1">IFERROR(__xludf.DUMMYFUNCTION("""COMPUTED_VALUE"""),1)</f>
        <v>1</v>
      </c>
      <c r="C4824" s="7">
        <f ca="1">IFERROR(__xludf.DUMMYFUNCTION("""COMPUTED_VALUE"""),1)</f>
        <v>1</v>
      </c>
      <c r="D4824" s="8">
        <f ca="1">IFERROR(__xludf.DUMMYFUNCTION("""COMPUTED_VALUE"""),5)</f>
        <v>5</v>
      </c>
      <c r="E4824" s="2">
        <f ca="1">IFERROR(__xludf.DUMMYFUNCTION("""COMPUTED_VALUE"""),2)</f>
        <v>2</v>
      </c>
    </row>
    <row r="4825" spans="1:5" ht="13">
      <c r="A4825" s="8" t="str">
        <f ca="1">IFERROR(__xludf.DUMMYFUNCTION("""COMPUTED_VALUE"""),"Lecomte, Fabrice")</f>
        <v>Lecomte, Fabrice</v>
      </c>
      <c r="B4825" s="3">
        <f ca="1">IFERROR(__xludf.DUMMYFUNCTION("""COMPUTED_VALUE"""),1)</f>
        <v>1</v>
      </c>
      <c r="C4825" s="7">
        <f ca="1">IFERROR(__xludf.DUMMYFUNCTION("""COMPUTED_VALUE"""),1)</f>
        <v>1</v>
      </c>
      <c r="D4825" s="8">
        <f ca="1">IFERROR(__xludf.DUMMYFUNCTION("""COMPUTED_VALUE"""),1)</f>
        <v>1</v>
      </c>
      <c r="E4825" s="2">
        <f ca="1">IFERROR(__xludf.DUMMYFUNCTION("""COMPUTED_VALUE"""),1)</f>
        <v>1</v>
      </c>
    </row>
    <row r="4826" spans="1:5" ht="13">
      <c r="A4826" s="2" t="str">
        <f ca="1">IFERROR(__xludf.DUMMYFUNCTION("""COMPUTED_VALUE"""),"Lecoq, Charles")</f>
        <v>Lecoq, Charles</v>
      </c>
      <c r="B4826" s="2">
        <f ca="1">IFERROR(__xludf.DUMMYFUNCTION("""COMPUTED_VALUE"""),1)</f>
        <v>1</v>
      </c>
      <c r="C4826" s="7">
        <f ca="1">IFERROR(__xludf.DUMMYFUNCTION("""COMPUTED_VALUE"""),1)</f>
        <v>1</v>
      </c>
      <c r="D4826" s="8">
        <f ca="1">IFERROR(__xludf.DUMMYFUNCTION("""COMPUTED_VALUE"""),5)</f>
        <v>5</v>
      </c>
      <c r="E4826" s="2">
        <f ca="1">IFERROR(__xludf.DUMMYFUNCTION("""COMPUTED_VALUE"""),2)</f>
        <v>2</v>
      </c>
    </row>
    <row r="4827" spans="1:5" ht="13">
      <c r="A4827" s="2" t="str">
        <f ca="1">IFERROR(__xludf.DUMMYFUNCTION("""COMPUTED_VALUE"""),"Leder, Eli")</f>
        <v>Leder, Eli</v>
      </c>
      <c r="B4827" s="3">
        <f ca="1">IFERROR(__xludf.DUMMYFUNCTION("""COMPUTED_VALUE"""),1)</f>
        <v>1</v>
      </c>
      <c r="C4827" s="7">
        <f ca="1">IFERROR(__xludf.DUMMYFUNCTION("""COMPUTED_VALUE"""),1)</f>
        <v>1</v>
      </c>
      <c r="D4827" s="8">
        <f ca="1">IFERROR(__xludf.DUMMYFUNCTION("""COMPUTED_VALUE"""),1)</f>
        <v>1</v>
      </c>
      <c r="E4827" s="2">
        <f ca="1">IFERROR(__xludf.DUMMYFUNCTION("""COMPUTED_VALUE"""),1)</f>
        <v>1</v>
      </c>
    </row>
    <row r="4828" spans="1:5" ht="13">
      <c r="A4828" s="2" t="str">
        <f ca="1">IFERROR(__xludf.DUMMYFUNCTION("""COMPUTED_VALUE"""),"Ledger, Phillip")</f>
        <v>Ledger, Phillip</v>
      </c>
      <c r="B4828" s="3">
        <f ca="1">IFERROR(__xludf.DUMMYFUNCTION("""COMPUTED_VALUE"""),1)</f>
        <v>1</v>
      </c>
      <c r="C4828" s="7">
        <f ca="1">IFERROR(__xludf.DUMMYFUNCTION("""COMPUTED_VALUE"""),1)</f>
        <v>1</v>
      </c>
      <c r="D4828" s="8">
        <f ca="1">IFERROR(__xludf.DUMMYFUNCTION("""COMPUTED_VALUE"""),5)</f>
        <v>5</v>
      </c>
      <c r="E4828" s="2">
        <f ca="1">IFERROR(__xludf.DUMMYFUNCTION("""COMPUTED_VALUE"""),2)</f>
        <v>2</v>
      </c>
    </row>
    <row r="4829" spans="1:5" ht="13">
      <c r="A4829" s="2" t="str">
        <f ca="1">IFERROR(__xludf.DUMMYFUNCTION("""COMPUTED_VALUE"""),"Lee, Ben")</f>
        <v>Lee, Ben</v>
      </c>
      <c r="B4829" s="3">
        <f ca="1">IFERROR(__xludf.DUMMYFUNCTION("""COMPUTED_VALUE"""),1)</f>
        <v>1</v>
      </c>
      <c r="C4829" s="7">
        <f ca="1">IFERROR(__xludf.DUMMYFUNCTION("""COMPUTED_VALUE"""),1)</f>
        <v>1</v>
      </c>
      <c r="D4829" s="8">
        <f ca="1">IFERROR(__xludf.DUMMYFUNCTION("""COMPUTED_VALUE"""),1)</f>
        <v>1</v>
      </c>
      <c r="E4829" s="2">
        <f ca="1">IFERROR(__xludf.DUMMYFUNCTION("""COMPUTED_VALUE"""),1)</f>
        <v>1</v>
      </c>
    </row>
    <row r="4830" spans="1:5" ht="13">
      <c r="A4830" s="2" t="str">
        <f ca="1">IFERROR(__xludf.DUMMYFUNCTION("""COMPUTED_VALUE"""),"Lee, Johnson")</f>
        <v>Lee, Johnson</v>
      </c>
      <c r="B4830" s="3">
        <f ca="1">IFERROR(__xludf.DUMMYFUNCTION("""COMPUTED_VALUE"""),1)</f>
        <v>1</v>
      </c>
      <c r="C4830" s="7">
        <f ca="1">IFERROR(__xludf.DUMMYFUNCTION("""COMPUTED_VALUE"""),1)</f>
        <v>1</v>
      </c>
      <c r="D4830" s="8">
        <f ca="1">IFERROR(__xludf.DUMMYFUNCTION("""COMPUTED_VALUE"""),1)</f>
        <v>1</v>
      </c>
      <c r="E4830" s="2">
        <f ca="1">IFERROR(__xludf.DUMMYFUNCTION("""COMPUTED_VALUE"""),1)</f>
        <v>1</v>
      </c>
    </row>
    <row r="4831" spans="1:5" ht="13">
      <c r="A4831" s="2" t="str">
        <f ca="1">IFERROR(__xludf.DUMMYFUNCTION("""COMPUTED_VALUE"""),"Lee, Robert L.")</f>
        <v>Lee, Robert L.</v>
      </c>
      <c r="B4831" s="2">
        <f ca="1">IFERROR(__xludf.DUMMYFUNCTION("""COMPUTED_VALUE"""),1)</f>
        <v>1</v>
      </c>
      <c r="C4831" s="7">
        <f ca="1">IFERROR(__xludf.DUMMYFUNCTION("""COMPUTED_VALUE"""),1)</f>
        <v>1</v>
      </c>
      <c r="D4831" s="8">
        <f ca="1">IFERROR(__xludf.DUMMYFUNCTION("""COMPUTED_VALUE"""),1)</f>
        <v>1</v>
      </c>
      <c r="E4831" s="2">
        <f ca="1">IFERROR(__xludf.DUMMYFUNCTION("""COMPUTED_VALUE"""),1)</f>
        <v>1</v>
      </c>
    </row>
    <row r="4832" spans="1:5" ht="13">
      <c r="A4832" s="8" t="str">
        <f ca="1">IFERROR(__xludf.DUMMYFUNCTION("""COMPUTED_VALUE"""),"Lee, Scott")</f>
        <v>Lee, Scott</v>
      </c>
      <c r="B4832" s="3">
        <f ca="1">IFERROR(__xludf.DUMMYFUNCTION("""COMPUTED_VALUE"""),1)</f>
        <v>1</v>
      </c>
      <c r="C4832" s="7">
        <f ca="1">IFERROR(__xludf.DUMMYFUNCTION("""COMPUTED_VALUE"""),1)</f>
        <v>1</v>
      </c>
      <c r="D4832" s="8">
        <f ca="1">IFERROR(__xludf.DUMMYFUNCTION("""COMPUTED_VALUE"""),1)</f>
        <v>1</v>
      </c>
      <c r="E4832" s="2">
        <f ca="1">IFERROR(__xludf.DUMMYFUNCTION("""COMPUTED_VALUE"""),1)</f>
        <v>1</v>
      </c>
    </row>
    <row r="4833" spans="1:5" ht="13">
      <c r="A4833" s="2" t="str">
        <f ca="1">IFERROR(__xludf.DUMMYFUNCTION("""COMPUTED_VALUE"""),"Leek, Stephen")</f>
        <v>Leek, Stephen</v>
      </c>
      <c r="B4833" s="2">
        <f ca="1">IFERROR(__xludf.DUMMYFUNCTION("""COMPUTED_VALUE"""),1)</f>
        <v>1</v>
      </c>
      <c r="C4833" s="7">
        <f ca="1">IFERROR(__xludf.DUMMYFUNCTION("""COMPUTED_VALUE"""),1)</f>
        <v>1</v>
      </c>
      <c r="D4833" s="8">
        <f ca="1">IFERROR(__xludf.DUMMYFUNCTION("""COMPUTED_VALUE"""),1)</f>
        <v>1</v>
      </c>
      <c r="E4833" s="2">
        <f ca="1">IFERROR(__xludf.DUMMYFUNCTION("""COMPUTED_VALUE"""),1)</f>
        <v>1</v>
      </c>
    </row>
    <row r="4834" spans="1:5" ht="13">
      <c r="A4834" s="2" t="str">
        <f ca="1">IFERROR(__xludf.DUMMYFUNCTION("""COMPUTED_VALUE"""),"Leemans, Pierre")</f>
        <v>Leemans, Pierre</v>
      </c>
      <c r="B4834" s="3">
        <f ca="1">IFERROR(__xludf.DUMMYFUNCTION("""COMPUTED_VALUE"""),1)</f>
        <v>1</v>
      </c>
      <c r="C4834" s="7">
        <f ca="1">IFERROR(__xludf.DUMMYFUNCTION("""COMPUTED_VALUE"""),1)</f>
        <v>1</v>
      </c>
      <c r="D4834" s="8">
        <f ca="1">IFERROR(__xludf.DUMMYFUNCTION("""COMPUTED_VALUE"""),5)</f>
        <v>5</v>
      </c>
      <c r="E4834" s="3">
        <f ca="1">IFERROR(__xludf.DUMMYFUNCTION("""COMPUTED_VALUE"""),2)</f>
        <v>2</v>
      </c>
    </row>
    <row r="4835" spans="1:5" ht="13">
      <c r="A4835" s="2" t="str">
        <f ca="1">IFERROR(__xludf.DUMMYFUNCTION("""COMPUTED_VALUE"""),"Leemans, Pieter")</f>
        <v>Leemans, Pieter</v>
      </c>
      <c r="B4835" s="3">
        <f ca="1">IFERROR(__xludf.DUMMYFUNCTION("""COMPUTED_VALUE"""),1)</f>
        <v>1</v>
      </c>
      <c r="C4835" s="7">
        <f ca="1">IFERROR(__xludf.DUMMYFUNCTION("""COMPUTED_VALUE"""),1)</f>
        <v>1</v>
      </c>
      <c r="D4835" s="8">
        <f ca="1">IFERROR(__xludf.DUMMYFUNCTION("""COMPUTED_VALUE"""),5)</f>
        <v>5</v>
      </c>
      <c r="E4835" s="2">
        <f ca="1">IFERROR(__xludf.DUMMYFUNCTION("""COMPUTED_VALUE"""),2)</f>
        <v>2</v>
      </c>
    </row>
    <row r="4836" spans="1:5" ht="13">
      <c r="A4836" s="2" t="str">
        <f ca="1">IFERROR(__xludf.DUMMYFUNCTION("""COMPUTED_VALUE"""),"Lefebvre, Channing")</f>
        <v>Lefebvre, Channing</v>
      </c>
      <c r="B4836" s="3">
        <f ca="1">IFERROR(__xludf.DUMMYFUNCTION("""COMPUTED_VALUE"""),1)</f>
        <v>1</v>
      </c>
      <c r="C4836" s="7">
        <f ca="1">IFERROR(__xludf.DUMMYFUNCTION("""COMPUTED_VALUE"""),1)</f>
        <v>1</v>
      </c>
      <c r="D4836" s="8">
        <f ca="1">IFERROR(__xludf.DUMMYFUNCTION("""COMPUTED_VALUE"""),5)</f>
        <v>5</v>
      </c>
      <c r="E4836" s="2">
        <f ca="1">IFERROR(__xludf.DUMMYFUNCTION("""COMPUTED_VALUE"""),2)</f>
        <v>2</v>
      </c>
    </row>
    <row r="4837" spans="1:5" ht="13">
      <c r="A4837" s="2" t="str">
        <f ca="1">IFERROR(__xludf.DUMMYFUNCTION("""COMPUTED_VALUE"""),"LeFebvre, Charles")</f>
        <v>LeFebvre, Charles</v>
      </c>
      <c r="B4837" s="3">
        <f ca="1">IFERROR(__xludf.DUMMYFUNCTION("""COMPUTED_VALUE"""),1)</f>
        <v>1</v>
      </c>
      <c r="C4837" s="7">
        <f ca="1">IFERROR(__xludf.DUMMYFUNCTION("""COMPUTED_VALUE"""),1)</f>
        <v>1</v>
      </c>
      <c r="D4837" s="8">
        <f ca="1">IFERROR(__xludf.DUMMYFUNCTION("""COMPUTED_VALUE"""),5)</f>
        <v>5</v>
      </c>
      <c r="E4837" s="2">
        <f ca="1">IFERROR(__xludf.DUMMYFUNCTION("""COMPUTED_VALUE"""),2)</f>
        <v>2</v>
      </c>
    </row>
    <row r="4838" spans="1:5" ht="13">
      <c r="A4838" s="2" t="str">
        <f ca="1">IFERROR(__xludf.DUMMYFUNCTION("""COMPUTED_VALUE"""),"Legge, Philip")</f>
        <v>Legge, Philip</v>
      </c>
      <c r="B4838" s="3">
        <f ca="1">IFERROR(__xludf.DUMMYFUNCTION("""COMPUTED_VALUE"""),1)</f>
        <v>1</v>
      </c>
      <c r="C4838" s="7">
        <f ca="1">IFERROR(__xludf.DUMMYFUNCTION("""COMPUTED_VALUE"""),1)</f>
        <v>1</v>
      </c>
      <c r="D4838" s="8">
        <f ca="1">IFERROR(__xludf.DUMMYFUNCTION("""COMPUTED_VALUE"""),1)</f>
        <v>1</v>
      </c>
      <c r="E4838" s="2">
        <f ca="1">IFERROR(__xludf.DUMMYFUNCTION("""COMPUTED_VALUE"""),1)</f>
        <v>1</v>
      </c>
    </row>
    <row r="4839" spans="1:5" ht="13">
      <c r="A4839" s="2" t="str">
        <f ca="1">IFERROR(__xludf.DUMMYFUNCTION("""COMPUTED_VALUE"""),"Legrady, Thomas")</f>
        <v>Legrady, Thomas</v>
      </c>
      <c r="B4839" s="2">
        <f ca="1">IFERROR(__xludf.DUMMYFUNCTION("""COMPUTED_VALUE"""),1)</f>
        <v>1</v>
      </c>
      <c r="C4839" s="7">
        <f ca="1">IFERROR(__xludf.DUMMYFUNCTION("""COMPUTED_VALUE"""),1)</f>
        <v>1</v>
      </c>
      <c r="D4839" s="8">
        <f ca="1">IFERROR(__xludf.DUMMYFUNCTION("""COMPUTED_VALUE"""),5)</f>
        <v>5</v>
      </c>
      <c r="E4839" s="2">
        <f ca="1">IFERROR(__xludf.DUMMYFUNCTION("""COMPUTED_VALUE"""),2)</f>
        <v>2</v>
      </c>
    </row>
    <row r="4840" spans="1:5" ht="13">
      <c r="A4840" s="2" t="str">
        <f ca="1">IFERROR(__xludf.DUMMYFUNCTION("""COMPUTED_VALUE"""),"Legrand, Michel")</f>
        <v>Legrand, Michel</v>
      </c>
      <c r="B4840" s="3">
        <f ca="1">IFERROR(__xludf.DUMMYFUNCTION("""COMPUTED_VALUE"""),1)</f>
        <v>1</v>
      </c>
      <c r="C4840" s="7">
        <f ca="1">IFERROR(__xludf.DUMMYFUNCTION("""COMPUTED_VALUE"""),1)</f>
        <v>1</v>
      </c>
      <c r="D4840" s="8">
        <f ca="1">IFERROR(__xludf.DUMMYFUNCTION("""COMPUTED_VALUE"""),5)</f>
        <v>5</v>
      </c>
      <c r="E4840" s="2">
        <f ca="1">IFERROR(__xludf.DUMMYFUNCTION("""COMPUTED_VALUE"""),2)</f>
        <v>2</v>
      </c>
    </row>
    <row r="4841" spans="1:5" ht="13">
      <c r="A4841" s="2" t="str">
        <f ca="1">IFERROR(__xludf.DUMMYFUNCTION("""COMPUTED_VALUE"""),"Legrenzi, Giovanni")</f>
        <v>Legrenzi, Giovanni</v>
      </c>
      <c r="B4841" s="3">
        <f ca="1">IFERROR(__xludf.DUMMYFUNCTION("""COMPUTED_VALUE"""),1)</f>
        <v>1</v>
      </c>
      <c r="C4841" s="7">
        <f ca="1">IFERROR(__xludf.DUMMYFUNCTION("""COMPUTED_VALUE"""),1)</f>
        <v>1</v>
      </c>
      <c r="D4841" s="8">
        <f ca="1">IFERROR(__xludf.DUMMYFUNCTION("""COMPUTED_VALUE"""),5)</f>
        <v>5</v>
      </c>
      <c r="E4841" s="2">
        <f ca="1">IFERROR(__xludf.DUMMYFUNCTION("""COMPUTED_VALUE"""),2)</f>
        <v>2</v>
      </c>
    </row>
    <row r="4842" spans="1:5" ht="13">
      <c r="A4842" s="2" t="str">
        <f ca="1">IFERROR(__xludf.DUMMYFUNCTION("""COMPUTED_VALUE"""),"LeGrove, John")</f>
        <v>LeGrove, John</v>
      </c>
      <c r="B4842" s="3">
        <f ca="1">IFERROR(__xludf.DUMMYFUNCTION("""COMPUTED_VALUE"""),1)</f>
        <v>1</v>
      </c>
      <c r="C4842" s="7">
        <f ca="1">IFERROR(__xludf.DUMMYFUNCTION("""COMPUTED_VALUE"""),1)</f>
        <v>1</v>
      </c>
      <c r="D4842" s="8">
        <f ca="1">IFERROR(__xludf.DUMMYFUNCTION("""COMPUTED_VALUE"""),1)</f>
        <v>1</v>
      </c>
      <c r="E4842" s="2">
        <f ca="1">IFERROR(__xludf.DUMMYFUNCTION("""COMPUTED_VALUE"""),1)</f>
        <v>1</v>
      </c>
    </row>
    <row r="4843" spans="1:5" ht="13">
      <c r="A4843" s="2" t="str">
        <f ca="1">IFERROR(__xludf.DUMMYFUNCTION("""COMPUTED_VALUE"""),"Lehar, Franz")</f>
        <v>Lehar, Franz</v>
      </c>
      <c r="B4843" s="3">
        <f ca="1">IFERROR(__xludf.DUMMYFUNCTION("""COMPUTED_VALUE"""),1)</f>
        <v>1</v>
      </c>
      <c r="C4843" s="7">
        <f ca="1">IFERROR(__xludf.DUMMYFUNCTION("""COMPUTED_VALUE"""),1)</f>
        <v>1</v>
      </c>
      <c r="D4843" s="8">
        <f ca="1">IFERROR(__xludf.DUMMYFUNCTION("""COMPUTED_VALUE"""),5)</f>
        <v>5</v>
      </c>
      <c r="E4843" s="2">
        <f ca="1">IFERROR(__xludf.DUMMYFUNCTION("""COMPUTED_VALUE"""),2)</f>
        <v>2</v>
      </c>
    </row>
    <row r="4844" spans="1:5" ht="13">
      <c r="A4844" s="2" t="str">
        <f ca="1">IFERROR(__xludf.DUMMYFUNCTION("""COMPUTED_VALUE"""),"Lehár, Franz")</f>
        <v>Lehár, Franz</v>
      </c>
      <c r="B4844" s="3">
        <f ca="1">IFERROR(__xludf.DUMMYFUNCTION("""COMPUTED_VALUE"""),1)</f>
        <v>1</v>
      </c>
      <c r="C4844" s="7">
        <f ca="1">IFERROR(__xludf.DUMMYFUNCTION("""COMPUTED_VALUE"""),1)</f>
        <v>1</v>
      </c>
      <c r="D4844" s="8">
        <f ca="1">IFERROR(__xludf.DUMMYFUNCTION("""COMPUTED_VALUE"""),5)</f>
        <v>5</v>
      </c>
      <c r="E4844" s="2">
        <f ca="1">IFERROR(__xludf.DUMMYFUNCTION("""COMPUTED_VALUE"""),2)</f>
        <v>2</v>
      </c>
    </row>
    <row r="4845" spans="1:5" ht="13">
      <c r="A4845" s="2" t="str">
        <f ca="1">IFERROR(__xludf.DUMMYFUNCTION("""COMPUTED_VALUE"""),"Lehmeier, Jerry")</f>
        <v>Lehmeier, Jerry</v>
      </c>
      <c r="B4845" s="3">
        <f ca="1">IFERROR(__xludf.DUMMYFUNCTION("""COMPUTED_VALUE"""),1)</f>
        <v>1</v>
      </c>
      <c r="C4845" s="7">
        <f ca="1">IFERROR(__xludf.DUMMYFUNCTION("""COMPUTED_VALUE"""),1)</f>
        <v>1</v>
      </c>
      <c r="D4845" s="8">
        <f ca="1">IFERROR(__xludf.DUMMYFUNCTION("""COMPUTED_VALUE"""),5)</f>
        <v>5</v>
      </c>
      <c r="E4845" s="2">
        <f ca="1">IFERROR(__xludf.DUMMYFUNCTION("""COMPUTED_VALUE"""),2)</f>
        <v>2</v>
      </c>
    </row>
    <row r="4846" spans="1:5" ht="13">
      <c r="A4846" s="2" t="str">
        <f ca="1">IFERROR(__xludf.DUMMYFUNCTION("""COMPUTED_VALUE"""),"Lehnhardt, Julius")</f>
        <v>Lehnhardt, Julius</v>
      </c>
      <c r="B4846" s="3">
        <f ca="1">IFERROR(__xludf.DUMMYFUNCTION("""COMPUTED_VALUE"""),1)</f>
        <v>1</v>
      </c>
      <c r="C4846" s="7">
        <f ca="1">IFERROR(__xludf.DUMMYFUNCTION("""COMPUTED_VALUE"""),1)</f>
        <v>1</v>
      </c>
      <c r="D4846" s="8">
        <f ca="1">IFERROR(__xludf.DUMMYFUNCTION("""COMPUTED_VALUE"""),5)</f>
        <v>5</v>
      </c>
      <c r="E4846" s="2">
        <f ca="1">IFERROR(__xludf.DUMMYFUNCTION("""COMPUTED_VALUE"""),2)</f>
        <v>2</v>
      </c>
    </row>
    <row r="4847" spans="1:5" ht="13">
      <c r="A4847" s="2" t="str">
        <f ca="1">IFERROR(__xludf.DUMMYFUNCTION("""COMPUTED_VALUE"""),"Leidhecker, Jeremy")</f>
        <v>Leidhecker, Jeremy</v>
      </c>
      <c r="B4847" s="2">
        <f ca="1">IFERROR(__xludf.DUMMYFUNCTION("""COMPUTED_VALUE"""),1)</f>
        <v>1</v>
      </c>
      <c r="C4847" s="7">
        <f ca="1">IFERROR(__xludf.DUMMYFUNCTION("""COMPUTED_VALUE"""),1)</f>
        <v>1</v>
      </c>
      <c r="D4847" s="8">
        <f ca="1">IFERROR(__xludf.DUMMYFUNCTION("""COMPUTED_VALUE"""),1)</f>
        <v>1</v>
      </c>
      <c r="E4847" s="2">
        <f ca="1">IFERROR(__xludf.DUMMYFUNCTION("""COMPUTED_VALUE"""),1)</f>
        <v>1</v>
      </c>
    </row>
    <row r="4848" spans="1:5" ht="13">
      <c r="A4848" s="2" t="str">
        <f ca="1">IFERROR(__xludf.DUMMYFUNCTION("""COMPUTED_VALUE"""),"Leidig, Vernon")</f>
        <v>Leidig, Vernon</v>
      </c>
      <c r="B4848" s="2">
        <f ca="1">IFERROR(__xludf.DUMMYFUNCTION("""COMPUTED_VALUE"""),1)</f>
        <v>1</v>
      </c>
      <c r="C4848" s="7">
        <f ca="1">IFERROR(__xludf.DUMMYFUNCTION("""COMPUTED_VALUE"""),1)</f>
        <v>1</v>
      </c>
      <c r="D4848" s="8">
        <f ca="1">IFERROR(__xludf.DUMMYFUNCTION("""COMPUTED_VALUE"""),5)</f>
        <v>5</v>
      </c>
      <c r="E4848" s="2">
        <f ca="1">IFERROR(__xludf.DUMMYFUNCTION("""COMPUTED_VALUE"""),2)</f>
        <v>2</v>
      </c>
    </row>
    <row r="4849" spans="1:5" ht="13">
      <c r="A4849" s="2" t="str">
        <f ca="1">IFERROR(__xludf.DUMMYFUNCTION("""COMPUTED_VALUE"""),"Leidzén, Erik")</f>
        <v>Leidzén, Erik</v>
      </c>
      <c r="B4849" s="3">
        <f ca="1">IFERROR(__xludf.DUMMYFUNCTION("""COMPUTED_VALUE"""),1)</f>
        <v>1</v>
      </c>
      <c r="C4849" s="7">
        <f ca="1">IFERROR(__xludf.DUMMYFUNCTION("""COMPUTED_VALUE"""),1)</f>
        <v>1</v>
      </c>
      <c r="D4849" s="8">
        <f ca="1">IFERROR(__xludf.DUMMYFUNCTION("""COMPUTED_VALUE"""),5)</f>
        <v>5</v>
      </c>
      <c r="E4849" s="2">
        <f ca="1">IFERROR(__xludf.DUMMYFUNCTION("""COMPUTED_VALUE"""),2)</f>
        <v>2</v>
      </c>
    </row>
    <row r="4850" spans="1:5" ht="13">
      <c r="A4850" s="2" t="str">
        <f ca="1">IFERROR(__xludf.DUMMYFUNCTION("""COMPUTED_VALUE"""),"Leifs, Jón")</f>
        <v>Leifs, Jón</v>
      </c>
      <c r="B4850" s="3">
        <f ca="1">IFERROR(__xludf.DUMMYFUNCTION("""COMPUTED_VALUE"""),1)</f>
        <v>1</v>
      </c>
      <c r="C4850" s="7">
        <f ca="1">IFERROR(__xludf.DUMMYFUNCTION("""COMPUTED_VALUE"""),1)</f>
        <v>1</v>
      </c>
      <c r="D4850" s="8">
        <f ca="1">IFERROR(__xludf.DUMMYFUNCTION("""COMPUTED_VALUE"""),5)</f>
        <v>5</v>
      </c>
      <c r="E4850" s="2">
        <f ca="1">IFERROR(__xludf.DUMMYFUNCTION("""COMPUTED_VALUE"""),2)</f>
        <v>2</v>
      </c>
    </row>
    <row r="4851" spans="1:5" ht="13">
      <c r="A4851" s="2" t="str">
        <f ca="1">IFERROR(__xludf.DUMMYFUNCTION("""COMPUTED_VALUE"""),"Leigh, Mitch")</f>
        <v>Leigh, Mitch</v>
      </c>
      <c r="B4851" s="3">
        <f ca="1">IFERROR(__xludf.DUMMYFUNCTION("""COMPUTED_VALUE"""),1)</f>
        <v>1</v>
      </c>
      <c r="C4851" s="7">
        <f ca="1">IFERROR(__xludf.DUMMYFUNCTION("""COMPUTED_VALUE"""),1)</f>
        <v>1</v>
      </c>
      <c r="D4851" s="8">
        <f ca="1">IFERROR(__xludf.DUMMYFUNCTION("""COMPUTED_VALUE"""),5)</f>
        <v>5</v>
      </c>
      <c r="E4851" s="2">
        <f ca="1">IFERROR(__xludf.DUMMYFUNCTION("""COMPUTED_VALUE"""),2)</f>
        <v>2</v>
      </c>
    </row>
    <row r="4852" spans="1:5" ht="13">
      <c r="A4852" s="2" t="str">
        <f ca="1">IFERROR(__xludf.DUMMYFUNCTION("""COMPUTED_VALUE"""),"Leigh, Walter")</f>
        <v>Leigh, Walter</v>
      </c>
      <c r="B4852" s="3">
        <f ca="1">IFERROR(__xludf.DUMMYFUNCTION("""COMPUTED_VALUE"""),1)</f>
        <v>1</v>
      </c>
      <c r="C4852" s="7">
        <f ca="1">IFERROR(__xludf.DUMMYFUNCTION("""COMPUTED_VALUE"""),1)</f>
        <v>1</v>
      </c>
      <c r="D4852" s="8">
        <f ca="1">IFERROR(__xludf.DUMMYFUNCTION("""COMPUTED_VALUE"""),5)</f>
        <v>5</v>
      </c>
      <c r="E4852" s="2">
        <f ca="1">IFERROR(__xludf.DUMMYFUNCTION("""COMPUTED_VALUE"""),2)</f>
        <v>2</v>
      </c>
    </row>
    <row r="4853" spans="1:5" ht="13">
      <c r="A4853" s="2" t="str">
        <f ca="1">IFERROR(__xludf.DUMMYFUNCTION("""COMPUTED_VALUE"""),"Leighton, Kenneth")</f>
        <v>Leighton, Kenneth</v>
      </c>
      <c r="B4853" s="3">
        <f ca="1">IFERROR(__xludf.DUMMYFUNCTION("""COMPUTED_VALUE"""),1)</f>
        <v>1</v>
      </c>
      <c r="C4853" s="7">
        <f ca="1">IFERROR(__xludf.DUMMYFUNCTION("""COMPUTED_VALUE"""),1)</f>
        <v>1</v>
      </c>
      <c r="D4853" s="8">
        <f ca="1">IFERROR(__xludf.DUMMYFUNCTION("""COMPUTED_VALUE"""),5)</f>
        <v>5</v>
      </c>
      <c r="E4853" s="2">
        <f ca="1">IFERROR(__xludf.DUMMYFUNCTION("""COMPUTED_VALUE"""),2)</f>
        <v>2</v>
      </c>
    </row>
    <row r="4854" spans="1:5" ht="13">
      <c r="A4854" s="8" t="str">
        <f ca="1">IFERROR(__xludf.DUMMYFUNCTION("""COMPUTED_VALUE"""),"Leininger, Jim")</f>
        <v>Leininger, Jim</v>
      </c>
      <c r="B4854" s="3">
        <f ca="1">IFERROR(__xludf.DUMMYFUNCTION("""COMPUTED_VALUE"""),1)</f>
        <v>1</v>
      </c>
      <c r="C4854" s="7">
        <f ca="1">IFERROR(__xludf.DUMMYFUNCTION("""COMPUTED_VALUE"""),1)</f>
        <v>1</v>
      </c>
      <c r="D4854" s="8">
        <f ca="1">IFERROR(__xludf.DUMMYFUNCTION("""COMPUTED_VALUE"""),1)</f>
        <v>1</v>
      </c>
      <c r="E4854" s="2">
        <f ca="1">IFERROR(__xludf.DUMMYFUNCTION("""COMPUTED_VALUE"""),1)</f>
        <v>1</v>
      </c>
    </row>
    <row r="4855" spans="1:5" ht="13">
      <c r="A4855" s="8" t="str">
        <f ca="1">IFERROR(__xludf.DUMMYFUNCTION("""COMPUTED_VALUE"""),"Leinsdorf, Erich")</f>
        <v>Leinsdorf, Erich</v>
      </c>
      <c r="B4855" s="3">
        <f ca="1">IFERROR(__xludf.DUMMYFUNCTION("""COMPUTED_VALUE"""),1)</f>
        <v>1</v>
      </c>
      <c r="C4855" s="7">
        <f ca="1">IFERROR(__xludf.DUMMYFUNCTION("""COMPUTED_VALUE"""),1)</f>
        <v>1</v>
      </c>
      <c r="D4855" s="8">
        <f ca="1">IFERROR(__xludf.DUMMYFUNCTION("""COMPUTED_VALUE"""),5)</f>
        <v>5</v>
      </c>
      <c r="E4855" s="2">
        <f ca="1">IFERROR(__xludf.DUMMYFUNCTION("""COMPUTED_VALUE"""),2)</f>
        <v>2</v>
      </c>
    </row>
    <row r="4856" spans="1:5" ht="13">
      <c r="A4856" s="8" t="str">
        <f ca="1">IFERROR(__xludf.DUMMYFUNCTION("""COMPUTED_VALUE"""),"Leisring, Volkmar")</f>
        <v>Leisring, Volkmar</v>
      </c>
      <c r="B4856" s="3">
        <f ca="1">IFERROR(__xludf.DUMMYFUNCTION("""COMPUTED_VALUE"""),1)</f>
        <v>1</v>
      </c>
      <c r="C4856" s="7">
        <f ca="1">IFERROR(__xludf.DUMMYFUNCTION("""COMPUTED_VALUE"""),1)</f>
        <v>1</v>
      </c>
      <c r="D4856" s="8">
        <f ca="1">IFERROR(__xludf.DUMMYFUNCTION("""COMPUTED_VALUE"""),5)</f>
        <v>5</v>
      </c>
      <c r="E4856" s="2">
        <f ca="1">IFERROR(__xludf.DUMMYFUNCTION("""COMPUTED_VALUE"""),2)</f>
        <v>2</v>
      </c>
    </row>
    <row r="4857" spans="1:5" ht="13">
      <c r="A4857" s="2" t="str">
        <f ca="1">IFERROR(__xludf.DUMMYFUNCTION("""COMPUTED_VALUE"""),"Leist, Robert")</f>
        <v>Leist, Robert</v>
      </c>
      <c r="B4857" s="3">
        <f ca="1">IFERROR(__xludf.DUMMYFUNCTION("""COMPUTED_VALUE"""),1)</f>
        <v>1</v>
      </c>
      <c r="C4857" s="7">
        <f ca="1">IFERROR(__xludf.DUMMYFUNCTION("""COMPUTED_VALUE"""),1)</f>
        <v>1</v>
      </c>
      <c r="D4857" s="8">
        <f ca="1">IFERROR(__xludf.DUMMYFUNCTION("""COMPUTED_VALUE"""),5)</f>
        <v>5</v>
      </c>
      <c r="E4857" s="2">
        <f ca="1">IFERROR(__xludf.DUMMYFUNCTION("""COMPUTED_VALUE"""),2)</f>
        <v>2</v>
      </c>
    </row>
    <row r="4858" spans="1:5" ht="13">
      <c r="A4858" s="8" t="str">
        <f ca="1">IFERROR(__xludf.DUMMYFUNCTION("""COMPUTED_VALUE"""),"Leith, Oliver")</f>
        <v>Leith, Oliver</v>
      </c>
      <c r="B4858" s="3">
        <f ca="1">IFERROR(__xludf.DUMMYFUNCTION("""COMPUTED_VALUE"""),1)</f>
        <v>1</v>
      </c>
      <c r="C4858" s="7">
        <f ca="1">IFERROR(__xludf.DUMMYFUNCTION("""COMPUTED_VALUE"""),1)</f>
        <v>1</v>
      </c>
      <c r="D4858" s="8">
        <f ca="1">IFERROR(__xludf.DUMMYFUNCTION("""COMPUTED_VALUE"""),1)</f>
        <v>1</v>
      </c>
      <c r="E4858" s="2">
        <f ca="1">IFERROR(__xludf.DUMMYFUNCTION("""COMPUTED_VALUE"""),1)</f>
        <v>1</v>
      </c>
    </row>
    <row r="4859" spans="1:5" ht="13">
      <c r="A4859" s="8" t="str">
        <f ca="1">IFERROR(__xludf.DUMMYFUNCTION("""COMPUTED_VALUE"""),"Lekberg, Sven")</f>
        <v>Lekberg, Sven</v>
      </c>
      <c r="B4859" s="3">
        <f ca="1">IFERROR(__xludf.DUMMYFUNCTION("""COMPUTED_VALUE"""),1)</f>
        <v>1</v>
      </c>
      <c r="C4859" s="7">
        <f ca="1">IFERROR(__xludf.DUMMYFUNCTION("""COMPUTED_VALUE"""),1)</f>
        <v>1</v>
      </c>
      <c r="D4859" s="8">
        <f ca="1">IFERROR(__xludf.DUMMYFUNCTION("""COMPUTED_VALUE"""),5)</f>
        <v>5</v>
      </c>
      <c r="E4859" s="2">
        <f ca="1">IFERROR(__xludf.DUMMYFUNCTION("""COMPUTED_VALUE"""),2)</f>
        <v>2</v>
      </c>
    </row>
    <row r="4860" spans="1:5" ht="13">
      <c r="A4860" s="2" t="str">
        <f ca="1">IFERROR(__xludf.DUMMYFUNCTION("""COMPUTED_VALUE"""),"Lekeu, Guillaume")</f>
        <v>Lekeu, Guillaume</v>
      </c>
      <c r="B4860" s="3">
        <f ca="1">IFERROR(__xludf.DUMMYFUNCTION("""COMPUTED_VALUE"""),1)</f>
        <v>1</v>
      </c>
      <c r="C4860" s="7">
        <f ca="1">IFERROR(__xludf.DUMMYFUNCTION("""COMPUTED_VALUE"""),1)</f>
        <v>1</v>
      </c>
      <c r="D4860" s="8">
        <f ca="1">IFERROR(__xludf.DUMMYFUNCTION("""COMPUTED_VALUE"""),5)</f>
        <v>5</v>
      </c>
      <c r="E4860" s="2">
        <f ca="1">IFERROR(__xludf.DUMMYFUNCTION("""COMPUTED_VALUE"""),2)</f>
        <v>2</v>
      </c>
    </row>
    <row r="4861" spans="1:5" ht="13">
      <c r="A4861" s="2" t="str">
        <f ca="1">IFERROR(__xludf.DUMMYFUNCTION("""COMPUTED_VALUE"""),"Leland, John")</f>
        <v>Leland, John</v>
      </c>
      <c r="B4861" s="3">
        <f ca="1">IFERROR(__xludf.DUMMYFUNCTION("""COMPUTED_VALUE"""),1)</f>
        <v>1</v>
      </c>
      <c r="C4861" s="7">
        <f ca="1">IFERROR(__xludf.DUMMYFUNCTION("""COMPUTED_VALUE"""),1)</f>
        <v>1</v>
      </c>
      <c r="D4861" s="8">
        <f ca="1">IFERROR(__xludf.DUMMYFUNCTION("""COMPUTED_VALUE"""),5)</f>
        <v>5</v>
      </c>
      <c r="E4861" s="2">
        <f ca="1">IFERROR(__xludf.DUMMYFUNCTION("""COMPUTED_VALUE"""),2)</f>
        <v>2</v>
      </c>
    </row>
    <row r="4862" spans="1:5" ht="13">
      <c r="A4862" s="2" t="str">
        <f ca="1">IFERROR(__xludf.DUMMYFUNCTION("""COMPUTED_VALUE"""),"Lemley, Ed")</f>
        <v>Lemley, Ed</v>
      </c>
      <c r="B4862" s="3">
        <f ca="1">IFERROR(__xludf.DUMMYFUNCTION("""COMPUTED_VALUE"""),1)</f>
        <v>1</v>
      </c>
      <c r="C4862" s="7">
        <f ca="1">IFERROR(__xludf.DUMMYFUNCTION("""COMPUTED_VALUE"""),1)</f>
        <v>1</v>
      </c>
      <c r="D4862" s="8">
        <f ca="1">IFERROR(__xludf.DUMMYFUNCTION("""COMPUTED_VALUE"""),1)</f>
        <v>1</v>
      </c>
      <c r="E4862" s="2">
        <f ca="1">IFERROR(__xludf.DUMMYFUNCTION("""COMPUTED_VALUE"""),1)</f>
        <v>1</v>
      </c>
    </row>
    <row r="4863" spans="1:5" ht="13">
      <c r="A4863" s="2" t="str">
        <f ca="1">IFERROR(__xludf.DUMMYFUNCTION("""COMPUTED_VALUE"""),"Lemlin, Lorenz")</f>
        <v>Lemlin, Lorenz</v>
      </c>
      <c r="B4863" s="2">
        <f ca="1">IFERROR(__xludf.DUMMYFUNCTION("""COMPUTED_VALUE"""),1)</f>
        <v>1</v>
      </c>
      <c r="C4863" s="7">
        <f ca="1">IFERROR(__xludf.DUMMYFUNCTION("""COMPUTED_VALUE"""),1)</f>
        <v>1</v>
      </c>
      <c r="D4863" s="8">
        <f ca="1">IFERROR(__xludf.DUMMYFUNCTION("""COMPUTED_VALUE"""),5)</f>
        <v>5</v>
      </c>
      <c r="E4863" s="2">
        <f ca="1">IFERROR(__xludf.DUMMYFUNCTION("""COMPUTED_VALUE"""),2)</f>
        <v>2</v>
      </c>
    </row>
    <row r="4864" spans="1:5" ht="13">
      <c r="A4864" s="2" t="str">
        <f ca="1">IFERROR(__xludf.DUMMYFUNCTION("""COMPUTED_VALUE"""),"Lendt, Gavin")</f>
        <v>Lendt, Gavin</v>
      </c>
      <c r="B4864" s="3">
        <f ca="1">IFERROR(__xludf.DUMMYFUNCTION("""COMPUTED_VALUE"""),1)</f>
        <v>1</v>
      </c>
      <c r="C4864" s="7">
        <f ca="1">IFERROR(__xludf.DUMMYFUNCTION("""COMPUTED_VALUE"""),1)</f>
        <v>1</v>
      </c>
      <c r="D4864" s="8">
        <f ca="1">IFERROR(__xludf.DUMMYFUNCTION("""COMPUTED_VALUE"""),1)</f>
        <v>1</v>
      </c>
      <c r="E4864" s="2">
        <f ca="1">IFERROR(__xludf.DUMMYFUNCTION("""COMPUTED_VALUE"""),1)</f>
        <v>1</v>
      </c>
    </row>
    <row r="4865" spans="1:5" ht="13">
      <c r="A4865" s="2" t="str">
        <f ca="1">IFERROR(__xludf.DUMMYFUNCTION("""COMPUTED_VALUE"""),"Lendvay, Kamillo")</f>
        <v>Lendvay, Kamillo</v>
      </c>
      <c r="B4865" s="3">
        <f ca="1">IFERROR(__xludf.DUMMYFUNCTION("""COMPUTED_VALUE"""),1)</f>
        <v>1</v>
      </c>
      <c r="C4865" s="7">
        <f ca="1">IFERROR(__xludf.DUMMYFUNCTION("""COMPUTED_VALUE"""),1)</f>
        <v>1</v>
      </c>
      <c r="D4865" s="8">
        <f ca="1">IFERROR(__xludf.DUMMYFUNCTION("""COMPUTED_VALUE"""),1)</f>
        <v>1</v>
      </c>
      <c r="E4865" s="2">
        <f ca="1">IFERROR(__xludf.DUMMYFUNCTION("""COMPUTED_VALUE"""),1)</f>
        <v>1</v>
      </c>
    </row>
    <row r="4866" spans="1:5" ht="13">
      <c r="A4866" s="2" t="str">
        <f ca="1">IFERROR(__xludf.DUMMYFUNCTION("""COMPUTED_VALUE"""),"Lenel, Ludwig")</f>
        <v>Lenel, Ludwig</v>
      </c>
      <c r="B4866" s="3">
        <f ca="1">IFERROR(__xludf.DUMMYFUNCTION("""COMPUTED_VALUE"""),1)</f>
        <v>1</v>
      </c>
      <c r="C4866" s="7">
        <f ca="1">IFERROR(__xludf.DUMMYFUNCTION("""COMPUTED_VALUE"""),1)</f>
        <v>1</v>
      </c>
      <c r="D4866" s="8">
        <f ca="1">IFERROR(__xludf.DUMMYFUNCTION("""COMPUTED_VALUE"""),5)</f>
        <v>5</v>
      </c>
      <c r="E4866" s="2">
        <f ca="1">IFERROR(__xludf.DUMMYFUNCTION("""COMPUTED_VALUE"""),2)</f>
        <v>2</v>
      </c>
    </row>
    <row r="4867" spans="1:5" ht="13">
      <c r="A4867" s="2" t="str">
        <f ca="1">IFERROR(__xludf.DUMMYFUNCTION("""COMPUTED_VALUE"""),"Lennon, John / McCartney, Paul")</f>
        <v>Lennon, John / McCartney, Paul</v>
      </c>
      <c r="B4867" s="3">
        <f ca="1">IFERROR(__xludf.DUMMYFUNCTION("""COMPUTED_VALUE"""),1)</f>
        <v>1</v>
      </c>
      <c r="C4867" s="7">
        <f ca="1">IFERROR(__xludf.DUMMYFUNCTION("""COMPUTED_VALUE"""),1)</f>
        <v>1</v>
      </c>
      <c r="D4867" s="8">
        <f ca="1">IFERROR(__xludf.DUMMYFUNCTION("""COMPUTED_VALUE"""),5)</f>
        <v>5</v>
      </c>
      <c r="E4867" s="2">
        <f ca="1">IFERROR(__xludf.DUMMYFUNCTION("""COMPUTED_VALUE"""),2)</f>
        <v>2</v>
      </c>
    </row>
    <row r="4868" spans="1:5" ht="13">
      <c r="A4868" s="2" t="str">
        <f ca="1">IFERROR(__xludf.DUMMYFUNCTION("""COMPUTED_VALUE"""),"Lennon, John Anthony")</f>
        <v>Lennon, John Anthony</v>
      </c>
      <c r="B4868" s="3">
        <f ca="1">IFERROR(__xludf.DUMMYFUNCTION("""COMPUTED_VALUE"""),1)</f>
        <v>1</v>
      </c>
      <c r="C4868" s="7">
        <f ca="1">IFERROR(__xludf.DUMMYFUNCTION("""COMPUTED_VALUE"""),1)</f>
        <v>1</v>
      </c>
      <c r="D4868" s="8">
        <f ca="1">IFERROR(__xludf.DUMMYFUNCTION("""COMPUTED_VALUE"""),5)</f>
        <v>5</v>
      </c>
      <c r="E4868" s="2">
        <f ca="1">IFERROR(__xludf.DUMMYFUNCTION("""COMPUTED_VALUE"""),2)</f>
        <v>2</v>
      </c>
    </row>
    <row r="4869" spans="1:5" ht="13">
      <c r="A4869" s="2" t="str">
        <f ca="1">IFERROR(__xludf.DUMMYFUNCTION("""COMPUTED_VALUE"""),"Lenox, Kevin")</f>
        <v>Lenox, Kevin</v>
      </c>
      <c r="B4869" s="3">
        <f ca="1">IFERROR(__xludf.DUMMYFUNCTION("""COMPUTED_VALUE"""),1)</f>
        <v>1</v>
      </c>
      <c r="C4869" s="7">
        <f ca="1">IFERROR(__xludf.DUMMYFUNCTION("""COMPUTED_VALUE"""),1)</f>
        <v>1</v>
      </c>
      <c r="D4869" s="8">
        <f ca="1">IFERROR(__xludf.DUMMYFUNCTION("""COMPUTED_VALUE"""),1)</f>
        <v>1</v>
      </c>
      <c r="E4869" s="2">
        <f ca="1">IFERROR(__xludf.DUMMYFUNCTION("""COMPUTED_VALUE"""),1)</f>
        <v>1</v>
      </c>
    </row>
    <row r="4870" spans="1:5" ht="13">
      <c r="A4870" s="2" t="str">
        <f ca="1">IFERROR(__xludf.DUMMYFUNCTION("""COMPUTED_VALUE"""),"Lentz, George")</f>
        <v>Lentz, George</v>
      </c>
      <c r="B4870" s="3">
        <f ca="1">IFERROR(__xludf.DUMMYFUNCTION("""COMPUTED_VALUE"""),1)</f>
        <v>1</v>
      </c>
      <c r="C4870" s="7">
        <f ca="1">IFERROR(__xludf.DUMMYFUNCTION("""COMPUTED_VALUE"""),1)</f>
        <v>1</v>
      </c>
      <c r="D4870" s="8">
        <f ca="1">IFERROR(__xludf.DUMMYFUNCTION("""COMPUTED_VALUE"""),1)</f>
        <v>1</v>
      </c>
      <c r="E4870" s="2">
        <f ca="1">IFERROR(__xludf.DUMMYFUNCTION("""COMPUTED_VALUE"""),1)</f>
        <v>1</v>
      </c>
    </row>
    <row r="4871" spans="1:5" ht="13">
      <c r="A4871" s="2" t="str">
        <f ca="1">IFERROR(__xludf.DUMMYFUNCTION("""COMPUTED_VALUE"""),"Lentz, Georges")</f>
        <v>Lentz, Georges</v>
      </c>
      <c r="B4871" s="3">
        <f ca="1">IFERROR(__xludf.DUMMYFUNCTION("""COMPUTED_VALUE"""),1)</f>
        <v>1</v>
      </c>
      <c r="C4871" s="7">
        <f ca="1">IFERROR(__xludf.DUMMYFUNCTION("""COMPUTED_VALUE"""),1)</f>
        <v>1</v>
      </c>
      <c r="D4871" s="8">
        <f ca="1">IFERROR(__xludf.DUMMYFUNCTION("""COMPUTED_VALUE"""),1)</f>
        <v>1</v>
      </c>
      <c r="E4871" s="2">
        <f ca="1">IFERROR(__xludf.DUMMYFUNCTION("""COMPUTED_VALUE"""),1)</f>
        <v>1</v>
      </c>
    </row>
    <row r="4872" spans="1:5" ht="13">
      <c r="A4872" s="2" t="str">
        <f ca="1">IFERROR(__xludf.DUMMYFUNCTION("""COMPUTED_VALUE"""),"Lenz, Patrick")</f>
        <v>Lenz, Patrick</v>
      </c>
      <c r="B4872" s="3">
        <f ca="1">IFERROR(__xludf.DUMMYFUNCTION("""COMPUTED_VALUE"""),1)</f>
        <v>1</v>
      </c>
      <c r="C4872" s="7">
        <f ca="1">IFERROR(__xludf.DUMMYFUNCTION("""COMPUTED_VALUE"""),1)</f>
        <v>1</v>
      </c>
      <c r="D4872" s="8">
        <f ca="1">IFERROR(__xludf.DUMMYFUNCTION("""COMPUTED_VALUE"""),1)</f>
        <v>1</v>
      </c>
      <c r="E4872" s="2">
        <f ca="1">IFERROR(__xludf.DUMMYFUNCTION("""COMPUTED_VALUE"""),1)</f>
        <v>1</v>
      </c>
    </row>
    <row r="4873" spans="1:5" ht="13">
      <c r="A4873" s="2" t="str">
        <f ca="1">IFERROR(__xludf.DUMMYFUNCTION("""COMPUTED_VALUE"""),"Leo, Daniel")</f>
        <v>Leo, Daniel</v>
      </c>
      <c r="B4873" s="3">
        <f ca="1">IFERROR(__xludf.DUMMYFUNCTION("""COMPUTED_VALUE"""),1)</f>
        <v>1</v>
      </c>
      <c r="C4873" s="7">
        <f ca="1">IFERROR(__xludf.DUMMYFUNCTION("""COMPUTED_VALUE"""),1)</f>
        <v>1</v>
      </c>
      <c r="D4873" s="8">
        <f ca="1">IFERROR(__xludf.DUMMYFUNCTION("""COMPUTED_VALUE"""),1)</f>
        <v>1</v>
      </c>
      <c r="E4873" s="2">
        <f ca="1">IFERROR(__xludf.DUMMYFUNCTION("""COMPUTED_VALUE"""),1)</f>
        <v>1</v>
      </c>
    </row>
    <row r="4874" spans="1:5" ht="13">
      <c r="A4874" s="2" t="str">
        <f ca="1">IFERROR(__xludf.DUMMYFUNCTION("""COMPUTED_VALUE"""),"Leo, Leonardo")</f>
        <v>Leo, Leonardo</v>
      </c>
      <c r="B4874" s="3">
        <f ca="1">IFERROR(__xludf.DUMMYFUNCTION("""COMPUTED_VALUE"""),1)</f>
        <v>1</v>
      </c>
      <c r="C4874" s="7">
        <f ca="1">IFERROR(__xludf.DUMMYFUNCTION("""COMPUTED_VALUE"""),1)</f>
        <v>1</v>
      </c>
      <c r="D4874" s="8">
        <f ca="1">IFERROR(__xludf.DUMMYFUNCTION("""COMPUTED_VALUE"""),5)</f>
        <v>5</v>
      </c>
      <c r="E4874" s="2">
        <f ca="1">IFERROR(__xludf.DUMMYFUNCTION("""COMPUTED_VALUE"""),2)</f>
        <v>2</v>
      </c>
    </row>
    <row r="4875" spans="1:5" ht="13">
      <c r="A4875" s="2" t="str">
        <f ca="1">IFERROR(__xludf.DUMMYFUNCTION("""COMPUTED_VALUE"""),"Leonarda, Isabella")</f>
        <v>Leonarda, Isabella</v>
      </c>
      <c r="B4875" s="3">
        <f ca="1">IFERROR(__xludf.DUMMYFUNCTION("""COMPUTED_VALUE"""),1)</f>
        <v>1</v>
      </c>
      <c r="C4875" s="7">
        <f ca="1">IFERROR(__xludf.DUMMYFUNCTION("""COMPUTED_VALUE"""),1)</f>
        <v>1</v>
      </c>
      <c r="D4875" s="8">
        <f ca="1">IFERROR(__xludf.DUMMYFUNCTION("""COMPUTED_VALUE"""),5)</f>
        <v>5</v>
      </c>
      <c r="E4875" s="2">
        <f ca="1">IFERROR(__xludf.DUMMYFUNCTION("""COMPUTED_VALUE"""),2)</f>
        <v>2</v>
      </c>
    </row>
    <row r="4876" spans="1:5" ht="13">
      <c r="A4876" s="2" t="str">
        <f ca="1">IFERROR(__xludf.DUMMYFUNCTION("""COMPUTED_VALUE"""),"Leoncavallo, Ruggero")</f>
        <v>Leoncavallo, Ruggero</v>
      </c>
      <c r="B4876" s="3">
        <f ca="1">IFERROR(__xludf.DUMMYFUNCTION("""COMPUTED_VALUE"""),1)</f>
        <v>1</v>
      </c>
      <c r="C4876" s="7">
        <f ca="1">IFERROR(__xludf.DUMMYFUNCTION("""COMPUTED_VALUE"""),1)</f>
        <v>1</v>
      </c>
      <c r="D4876" s="8">
        <f ca="1">IFERROR(__xludf.DUMMYFUNCTION("""COMPUTED_VALUE"""),5)</f>
        <v>5</v>
      </c>
      <c r="E4876" s="2">
        <f ca="1">IFERROR(__xludf.DUMMYFUNCTION("""COMPUTED_VALUE"""),2)</f>
        <v>2</v>
      </c>
    </row>
    <row r="4877" spans="1:5" ht="13">
      <c r="A4877" s="2" t="str">
        <f ca="1">IFERROR(__xludf.DUMMYFUNCTION("""COMPUTED_VALUE"""),"Leoni, Chester")</f>
        <v>Leoni, Chester</v>
      </c>
      <c r="B4877" s="3">
        <f ca="1">IFERROR(__xludf.DUMMYFUNCTION("""COMPUTED_VALUE"""),1)</f>
        <v>1</v>
      </c>
      <c r="C4877" s="7">
        <f ca="1">IFERROR(__xludf.DUMMYFUNCTION("""COMPUTED_VALUE"""),1)</f>
        <v>1</v>
      </c>
      <c r="D4877" s="8">
        <f ca="1">IFERROR(__xludf.DUMMYFUNCTION("""COMPUTED_VALUE"""),1)</f>
        <v>1</v>
      </c>
      <c r="E4877" s="2">
        <f ca="1">IFERROR(__xludf.DUMMYFUNCTION("""COMPUTED_VALUE"""),1)</f>
        <v>1</v>
      </c>
    </row>
    <row r="4878" spans="1:5" ht="13">
      <c r="A4878" s="2" t="str">
        <f ca="1">IFERROR(__xludf.DUMMYFUNCTION("""COMPUTED_VALUE"""),"Leoni, Franco")</f>
        <v>Leoni, Franco</v>
      </c>
      <c r="B4878" s="3">
        <f ca="1">IFERROR(__xludf.DUMMYFUNCTION("""COMPUTED_VALUE"""),1)</f>
        <v>1</v>
      </c>
      <c r="C4878" s="7">
        <f ca="1">IFERROR(__xludf.DUMMYFUNCTION("""COMPUTED_VALUE"""),1)</f>
        <v>1</v>
      </c>
      <c r="D4878" s="8">
        <f ca="1">IFERROR(__xludf.DUMMYFUNCTION("""COMPUTED_VALUE"""),5)</f>
        <v>5</v>
      </c>
      <c r="E4878" s="3">
        <f ca="1">IFERROR(__xludf.DUMMYFUNCTION("""COMPUTED_VALUE"""),2)</f>
        <v>2</v>
      </c>
    </row>
    <row r="4879" spans="1:5" ht="13">
      <c r="A4879" s="2" t="str">
        <f ca="1">IFERROR(__xludf.DUMMYFUNCTION("""COMPUTED_VALUE"""),"Leoni, Leone")</f>
        <v>Leoni, Leone</v>
      </c>
      <c r="B4879" s="3">
        <f ca="1">IFERROR(__xludf.DUMMYFUNCTION("""COMPUTED_VALUE"""),1)</f>
        <v>1</v>
      </c>
      <c r="C4879" s="7">
        <f ca="1">IFERROR(__xludf.DUMMYFUNCTION("""COMPUTED_VALUE"""),1)</f>
        <v>1</v>
      </c>
      <c r="D4879" s="8">
        <f ca="1">IFERROR(__xludf.DUMMYFUNCTION("""COMPUTED_VALUE"""),5)</f>
        <v>5</v>
      </c>
      <c r="E4879" s="3">
        <f ca="1">IFERROR(__xludf.DUMMYFUNCTION("""COMPUTED_VALUE"""),2)</f>
        <v>2</v>
      </c>
    </row>
    <row r="4880" spans="1:5" ht="13">
      <c r="A4880" s="2" t="str">
        <f ca="1">IFERROR(__xludf.DUMMYFUNCTION("""COMPUTED_VALUE"""),"Leonov, Teo")</f>
        <v>Leonov, Teo</v>
      </c>
      <c r="B4880" s="3">
        <f ca="1">IFERROR(__xludf.DUMMYFUNCTION("""COMPUTED_VALUE"""),1)</f>
        <v>1</v>
      </c>
      <c r="C4880" s="7">
        <f ca="1">IFERROR(__xludf.DUMMYFUNCTION("""COMPUTED_VALUE"""),1)</f>
        <v>1</v>
      </c>
      <c r="D4880" s="8">
        <f ca="1">IFERROR(__xludf.DUMMYFUNCTION("""COMPUTED_VALUE"""),1)</f>
        <v>1</v>
      </c>
      <c r="E4880" s="2">
        <f ca="1">IFERROR(__xludf.DUMMYFUNCTION("""COMPUTED_VALUE"""),1)</f>
        <v>1</v>
      </c>
    </row>
    <row r="4881" spans="1:5" ht="13">
      <c r="A4881" s="2" t="str">
        <f ca="1">IFERROR(__xludf.DUMMYFUNCTION("""COMPUTED_VALUE"""),"Leontovich, Mykola")</f>
        <v>Leontovich, Mykola</v>
      </c>
      <c r="B4881" s="2">
        <f ca="1">IFERROR(__xludf.DUMMYFUNCTION("""COMPUTED_VALUE"""),1)</f>
        <v>1</v>
      </c>
      <c r="C4881" s="7">
        <f ca="1">IFERROR(__xludf.DUMMYFUNCTION("""COMPUTED_VALUE"""),1)</f>
        <v>1</v>
      </c>
      <c r="D4881" s="8">
        <f ca="1">IFERROR(__xludf.DUMMYFUNCTION("""COMPUTED_VALUE"""),5)</f>
        <v>5</v>
      </c>
      <c r="E4881" s="2">
        <f ca="1">IFERROR(__xludf.DUMMYFUNCTION("""COMPUTED_VALUE"""),2)</f>
        <v>2</v>
      </c>
    </row>
    <row r="4882" spans="1:5" ht="13">
      <c r="A4882" s="2" t="str">
        <f ca="1">IFERROR(__xludf.DUMMYFUNCTION("""COMPUTED_VALUE"""),"Leontovych, Mykola")</f>
        <v>Leontovych, Mykola</v>
      </c>
      <c r="B4882" s="2">
        <f ca="1">IFERROR(__xludf.DUMMYFUNCTION("""COMPUTED_VALUE"""),1)</f>
        <v>1</v>
      </c>
      <c r="C4882" s="7">
        <f ca="1">IFERROR(__xludf.DUMMYFUNCTION("""COMPUTED_VALUE"""),1)</f>
        <v>1</v>
      </c>
      <c r="D4882" s="8">
        <f ca="1">IFERROR(__xludf.DUMMYFUNCTION("""COMPUTED_VALUE"""),5)</f>
        <v>5</v>
      </c>
      <c r="E4882" s="2">
        <f ca="1">IFERROR(__xludf.DUMMYFUNCTION("""COMPUTED_VALUE"""),2)</f>
        <v>2</v>
      </c>
    </row>
    <row r="4883" spans="1:5" ht="13">
      <c r="A4883" s="8" t="str">
        <f ca="1">IFERROR(__xludf.DUMMYFUNCTION("""COMPUTED_VALUE"""),"Leontovych, Mykola / Wilhousky, Peter")</f>
        <v>Leontovych, Mykola / Wilhousky, Peter</v>
      </c>
      <c r="B4883" s="3">
        <f ca="1">IFERROR(__xludf.DUMMYFUNCTION("""COMPUTED_VALUE"""),1)</f>
        <v>1</v>
      </c>
      <c r="C4883" s="7">
        <f ca="1">IFERROR(__xludf.DUMMYFUNCTION("""COMPUTED_VALUE"""),1)</f>
        <v>1</v>
      </c>
      <c r="D4883" s="8">
        <f ca="1">IFERROR(__xludf.DUMMYFUNCTION("""COMPUTED_VALUE"""),5)</f>
        <v>5</v>
      </c>
      <c r="E4883" s="2">
        <f ca="1">IFERROR(__xludf.DUMMYFUNCTION("""COMPUTED_VALUE"""),2)</f>
        <v>2</v>
      </c>
    </row>
    <row r="4884" spans="1:5" ht="13">
      <c r="A4884" s="2" t="str">
        <f ca="1">IFERROR(__xludf.DUMMYFUNCTION("""COMPUTED_VALUE"""),"Leontovych, Mykola D.")</f>
        <v>Leontovych, Mykola D.</v>
      </c>
      <c r="B4884" s="2">
        <f ca="1">IFERROR(__xludf.DUMMYFUNCTION("""COMPUTED_VALUE"""),1)</f>
        <v>1</v>
      </c>
      <c r="C4884" s="7">
        <f ca="1">IFERROR(__xludf.DUMMYFUNCTION("""COMPUTED_VALUE"""),1)</f>
        <v>1</v>
      </c>
      <c r="D4884" s="8">
        <f ca="1">IFERROR(__xludf.DUMMYFUNCTION("""COMPUTED_VALUE"""),5)</f>
        <v>5</v>
      </c>
      <c r="E4884" s="2">
        <f ca="1">IFERROR(__xludf.DUMMYFUNCTION("""COMPUTED_VALUE"""),2)</f>
        <v>2</v>
      </c>
    </row>
    <row r="4885" spans="1:5" ht="13">
      <c r="A4885" s="2" t="str">
        <f ca="1">IFERROR(__xludf.DUMMYFUNCTION("""COMPUTED_VALUE"""),"Lerner, Alan Jay / Lane, Burton")</f>
        <v>Lerner, Alan Jay / Lane, Burton</v>
      </c>
      <c r="B4885" s="3">
        <f ca="1">IFERROR(__xludf.DUMMYFUNCTION("""COMPUTED_VALUE"""),1)</f>
        <v>1</v>
      </c>
      <c r="C4885" s="7">
        <f ca="1">IFERROR(__xludf.DUMMYFUNCTION("""COMPUTED_VALUE"""),1)</f>
        <v>1</v>
      </c>
      <c r="D4885" s="8">
        <f ca="1">IFERROR(__xludf.DUMMYFUNCTION("""COMPUTED_VALUE"""),5)</f>
        <v>5</v>
      </c>
      <c r="E4885" s="2">
        <f ca="1">IFERROR(__xludf.DUMMYFUNCTION("""COMPUTED_VALUE"""),2)</f>
        <v>2</v>
      </c>
    </row>
    <row r="4886" spans="1:5" ht="13">
      <c r="A4886" s="2" t="str">
        <f ca="1">IFERROR(__xludf.DUMMYFUNCTION("""COMPUTED_VALUE"""),"Lerner, Alan Jay / Lowe, Frederick")</f>
        <v>Lerner, Alan Jay / Lowe, Frederick</v>
      </c>
      <c r="B4886" s="3">
        <f ca="1">IFERROR(__xludf.DUMMYFUNCTION("""COMPUTED_VALUE"""),1)</f>
        <v>1</v>
      </c>
      <c r="C4886" s="7">
        <f ca="1">IFERROR(__xludf.DUMMYFUNCTION("""COMPUTED_VALUE"""),1)</f>
        <v>1</v>
      </c>
      <c r="D4886" s="8">
        <f ca="1">IFERROR(__xludf.DUMMYFUNCTION("""COMPUTED_VALUE"""),5)</f>
        <v>5</v>
      </c>
      <c r="E4886" s="2">
        <f ca="1">IFERROR(__xludf.DUMMYFUNCTION("""COMPUTED_VALUE"""),2)</f>
        <v>2</v>
      </c>
    </row>
    <row r="4887" spans="1:5" ht="13">
      <c r="A4887" s="2" t="str">
        <f ca="1">IFERROR(__xludf.DUMMYFUNCTION("""COMPUTED_VALUE"""),"Lerner, Sammy / Marks, Gerald / Caesar, Irving")</f>
        <v>Lerner, Sammy / Marks, Gerald / Caesar, Irving</v>
      </c>
      <c r="B4887" s="3">
        <f ca="1">IFERROR(__xludf.DUMMYFUNCTION("""COMPUTED_VALUE"""),1)</f>
        <v>1</v>
      </c>
      <c r="C4887" s="7">
        <f ca="1">IFERROR(__xludf.DUMMYFUNCTION("""COMPUTED_VALUE"""),1)</f>
        <v>1</v>
      </c>
      <c r="D4887" s="8">
        <f ca="1">IFERROR(__xludf.DUMMYFUNCTION("""COMPUTED_VALUE"""),5)</f>
        <v>5</v>
      </c>
      <c r="E4887" s="2">
        <f ca="1">IFERROR(__xludf.DUMMYFUNCTION("""COMPUTED_VALUE"""),2)</f>
        <v>2</v>
      </c>
    </row>
    <row r="4888" spans="1:5" ht="13">
      <c r="A4888" s="2" t="str">
        <f ca="1">IFERROR(__xludf.DUMMYFUNCTION("""COMPUTED_VALUE"""),"Leshnoff, Jonathan")</f>
        <v>Leshnoff, Jonathan</v>
      </c>
      <c r="B4888" s="3">
        <f ca="1">IFERROR(__xludf.DUMMYFUNCTION("""COMPUTED_VALUE"""),1)</f>
        <v>1</v>
      </c>
      <c r="C4888" s="7">
        <f ca="1">IFERROR(__xludf.DUMMYFUNCTION("""COMPUTED_VALUE"""),1)</f>
        <v>1</v>
      </c>
      <c r="D4888" s="8">
        <f ca="1">IFERROR(__xludf.DUMMYFUNCTION("""COMPUTED_VALUE"""),1)</f>
        <v>1</v>
      </c>
      <c r="E4888" s="2">
        <f ca="1">IFERROR(__xludf.DUMMYFUNCTION("""COMPUTED_VALUE"""),1)</f>
        <v>1</v>
      </c>
    </row>
    <row r="4889" spans="1:5" ht="13">
      <c r="A4889" s="2" t="str">
        <f ca="1">IFERROR(__xludf.DUMMYFUNCTION("""COMPUTED_VALUE"""),"Lesick, Andrew")</f>
        <v>Lesick, Andrew</v>
      </c>
      <c r="B4889" s="3">
        <f ca="1">IFERROR(__xludf.DUMMYFUNCTION("""COMPUTED_VALUE"""),1)</f>
        <v>1</v>
      </c>
      <c r="C4889" s="7">
        <f ca="1">IFERROR(__xludf.DUMMYFUNCTION("""COMPUTED_VALUE"""),1)</f>
        <v>1</v>
      </c>
      <c r="D4889" s="8">
        <f ca="1">IFERROR(__xludf.DUMMYFUNCTION("""COMPUTED_VALUE"""),1)</f>
        <v>1</v>
      </c>
      <c r="E4889" s="2">
        <f ca="1">IFERROR(__xludf.DUMMYFUNCTION("""COMPUTED_VALUE"""),1)</f>
        <v>1</v>
      </c>
    </row>
    <row r="4890" spans="1:5" ht="13">
      <c r="A4890" s="2" t="str">
        <f ca="1">IFERROR(__xludf.DUMMYFUNCTION("""COMPUTED_VALUE"""),"Leslie, Henry")</f>
        <v>Leslie, Henry</v>
      </c>
      <c r="B4890" s="3">
        <f ca="1">IFERROR(__xludf.DUMMYFUNCTION("""COMPUTED_VALUE"""),1)</f>
        <v>1</v>
      </c>
      <c r="C4890" s="7">
        <f ca="1">IFERROR(__xludf.DUMMYFUNCTION("""COMPUTED_VALUE"""),1)</f>
        <v>1</v>
      </c>
      <c r="D4890" s="8">
        <f ca="1">IFERROR(__xludf.DUMMYFUNCTION("""COMPUTED_VALUE"""),5)</f>
        <v>5</v>
      </c>
      <c r="E4890" s="2">
        <f ca="1">IFERROR(__xludf.DUMMYFUNCTION("""COMPUTED_VALUE"""),2)</f>
        <v>2</v>
      </c>
    </row>
    <row r="4891" spans="1:5" ht="13">
      <c r="A4891" s="2" t="str">
        <f ca="1">IFERROR(__xludf.DUMMYFUNCTION("""COMPUTED_VALUE"""),"Leslie, Kenneth")</f>
        <v>Leslie, Kenneth</v>
      </c>
      <c r="B4891" s="3">
        <f ca="1">IFERROR(__xludf.DUMMYFUNCTION("""COMPUTED_VALUE"""),1)</f>
        <v>1</v>
      </c>
      <c r="C4891" s="7">
        <f ca="1">IFERROR(__xludf.DUMMYFUNCTION("""COMPUTED_VALUE"""),1)</f>
        <v>1</v>
      </c>
      <c r="D4891" s="8">
        <f ca="1">IFERROR(__xludf.DUMMYFUNCTION("""COMPUTED_VALUE"""),5)</f>
        <v>5</v>
      </c>
      <c r="E4891" s="2">
        <f ca="1">IFERROR(__xludf.DUMMYFUNCTION("""COMPUTED_VALUE"""),2)</f>
        <v>2</v>
      </c>
    </row>
    <row r="4892" spans="1:5" ht="13">
      <c r="A4892" s="2" t="str">
        <f ca="1">IFERROR(__xludf.DUMMYFUNCTION("""COMPUTED_VALUE"""),"Leszczynski, John")</f>
        <v>Leszczynski, John</v>
      </c>
      <c r="B4892" s="2">
        <f ca="1">IFERROR(__xludf.DUMMYFUNCTION("""COMPUTED_VALUE"""),1)</f>
        <v>1</v>
      </c>
      <c r="C4892" s="7">
        <f ca="1">IFERROR(__xludf.DUMMYFUNCTION("""COMPUTED_VALUE"""),1)</f>
        <v>1</v>
      </c>
      <c r="D4892" s="8">
        <f ca="1">IFERROR(__xludf.DUMMYFUNCTION("""COMPUTED_VALUE"""),1)</f>
        <v>1</v>
      </c>
      <c r="E4892" s="2">
        <f ca="1">IFERROR(__xludf.DUMMYFUNCTION("""COMPUTED_VALUE"""),1)</f>
        <v>1</v>
      </c>
    </row>
    <row r="4893" spans="1:5" ht="13">
      <c r="A4893" s="2" t="str">
        <f ca="1">IFERROR(__xludf.DUMMYFUNCTION("""COMPUTED_VALUE"""),"Leuner, Karl")</f>
        <v>Leuner, Karl</v>
      </c>
      <c r="B4893" s="3">
        <f ca="1">IFERROR(__xludf.DUMMYFUNCTION("""COMPUTED_VALUE"""),1)</f>
        <v>1</v>
      </c>
      <c r="C4893" s="7">
        <f ca="1">IFERROR(__xludf.DUMMYFUNCTION("""COMPUTED_VALUE"""),1)</f>
        <v>1</v>
      </c>
      <c r="D4893" s="8">
        <f ca="1">IFERROR(__xludf.DUMMYFUNCTION("""COMPUTED_VALUE"""),1)</f>
        <v>1</v>
      </c>
      <c r="E4893" s="2">
        <f ca="1">IFERROR(__xludf.DUMMYFUNCTION("""COMPUTED_VALUE"""),1)</f>
        <v>1</v>
      </c>
    </row>
    <row r="4894" spans="1:5" ht="13">
      <c r="A4894" s="8" t="str">
        <f ca="1">IFERROR(__xludf.DUMMYFUNCTION("""COMPUTED_VALUE"""),"Leuning, Otto")</f>
        <v>Leuning, Otto</v>
      </c>
      <c r="B4894" s="3">
        <f ca="1">IFERROR(__xludf.DUMMYFUNCTION("""COMPUTED_VALUE"""),1)</f>
        <v>1</v>
      </c>
      <c r="C4894" s="7">
        <f ca="1">IFERROR(__xludf.DUMMYFUNCTION("""COMPUTED_VALUE"""),1)</f>
        <v>1</v>
      </c>
      <c r="D4894" s="8">
        <f ca="1">IFERROR(__xludf.DUMMYFUNCTION("""COMPUTED_VALUE"""),5)</f>
        <v>5</v>
      </c>
      <c r="E4894" s="2">
        <f ca="1">IFERROR(__xludf.DUMMYFUNCTION("""COMPUTED_VALUE"""),2)</f>
        <v>2</v>
      </c>
    </row>
    <row r="4895" spans="1:5" ht="13">
      <c r="A4895" s="8" t="str">
        <f ca="1">IFERROR(__xludf.DUMMYFUNCTION("""COMPUTED_VALUE"""),"Levenson, David")</f>
        <v>Levenson, David</v>
      </c>
      <c r="B4895" s="3">
        <f ca="1">IFERROR(__xludf.DUMMYFUNCTION("""COMPUTED_VALUE"""),1)</f>
        <v>1</v>
      </c>
      <c r="C4895" s="7">
        <f ca="1">IFERROR(__xludf.DUMMYFUNCTION("""COMPUTED_VALUE"""),1)</f>
        <v>1</v>
      </c>
      <c r="D4895" s="8">
        <f ca="1">IFERROR(__xludf.DUMMYFUNCTION("""COMPUTED_VALUE"""),1)</f>
        <v>1</v>
      </c>
      <c r="E4895" s="2">
        <f ca="1">IFERROR(__xludf.DUMMYFUNCTION("""COMPUTED_VALUE"""),1)</f>
        <v>1</v>
      </c>
    </row>
    <row r="4896" spans="1:5" ht="13">
      <c r="A4896" s="2" t="str">
        <f ca="1">IFERROR(__xludf.DUMMYFUNCTION("""COMPUTED_VALUE"""),"Levente, Gyögyösi")</f>
        <v>Levente, Gyögyösi</v>
      </c>
      <c r="B4896" s="2">
        <f ca="1">IFERROR(__xludf.DUMMYFUNCTION("""COMPUTED_VALUE"""),1)</f>
        <v>1</v>
      </c>
      <c r="C4896" s="7">
        <f ca="1">IFERROR(__xludf.DUMMYFUNCTION("""COMPUTED_VALUE"""),1)</f>
        <v>1</v>
      </c>
      <c r="D4896" s="8">
        <f ca="1">IFERROR(__xludf.DUMMYFUNCTION("""COMPUTED_VALUE"""),1)</f>
        <v>1</v>
      </c>
      <c r="E4896" s="2">
        <f ca="1">IFERROR(__xludf.DUMMYFUNCTION("""COMPUTED_VALUE"""),1)</f>
        <v>1</v>
      </c>
    </row>
    <row r="4897" spans="1:5" ht="13">
      <c r="A4897" s="2" t="str">
        <f ca="1">IFERROR(__xludf.DUMMYFUNCTION("""COMPUTED_VALUE"""),"Leverette, Gabriel")</f>
        <v>Leverette, Gabriel</v>
      </c>
      <c r="B4897" s="3">
        <f ca="1">IFERROR(__xludf.DUMMYFUNCTION("""COMPUTED_VALUE"""),1)</f>
        <v>1</v>
      </c>
      <c r="C4897" s="7">
        <f ca="1">IFERROR(__xludf.DUMMYFUNCTION("""COMPUTED_VALUE"""),1)</f>
        <v>1</v>
      </c>
      <c r="D4897" s="8">
        <f ca="1">IFERROR(__xludf.DUMMYFUNCTION("""COMPUTED_VALUE"""),1)</f>
        <v>1</v>
      </c>
      <c r="E4897" s="2">
        <f ca="1">IFERROR(__xludf.DUMMYFUNCTION("""COMPUTED_VALUE"""),1)</f>
        <v>1</v>
      </c>
    </row>
    <row r="4898" spans="1:5" ht="13">
      <c r="A4898" s="2" t="str">
        <f ca="1">IFERROR(__xludf.DUMMYFUNCTION("""COMPUTED_VALUE"""),"Leveridge, Richard")</f>
        <v>Leveridge, Richard</v>
      </c>
      <c r="B4898" s="3">
        <f ca="1">IFERROR(__xludf.DUMMYFUNCTION("""COMPUTED_VALUE"""),1)</f>
        <v>1</v>
      </c>
      <c r="C4898" s="7">
        <f ca="1">IFERROR(__xludf.DUMMYFUNCTION("""COMPUTED_VALUE"""),1)</f>
        <v>1</v>
      </c>
      <c r="D4898" s="8">
        <f ca="1">IFERROR(__xludf.DUMMYFUNCTION("""COMPUTED_VALUE"""),5)</f>
        <v>5</v>
      </c>
      <c r="E4898" s="2">
        <f ca="1">IFERROR(__xludf.DUMMYFUNCTION("""COMPUTED_VALUE"""),2)</f>
        <v>2</v>
      </c>
    </row>
    <row r="4899" spans="1:5" ht="13">
      <c r="A4899" s="8" t="str">
        <f ca="1">IFERROR(__xludf.DUMMYFUNCTION("""COMPUTED_VALUE"""),"Levesque, Craig")</f>
        <v>Levesque, Craig</v>
      </c>
      <c r="B4899" s="3">
        <f ca="1">IFERROR(__xludf.DUMMYFUNCTION("""COMPUTED_VALUE"""),1)</f>
        <v>1</v>
      </c>
      <c r="C4899" s="7">
        <f ca="1">IFERROR(__xludf.DUMMYFUNCTION("""COMPUTED_VALUE"""),1)</f>
        <v>1</v>
      </c>
      <c r="D4899" s="8">
        <f ca="1">IFERROR(__xludf.DUMMYFUNCTION("""COMPUTED_VALUE"""),1)</f>
        <v>1</v>
      </c>
      <c r="E4899" s="2">
        <f ca="1">IFERROR(__xludf.DUMMYFUNCTION("""COMPUTED_VALUE"""),1)</f>
        <v>1</v>
      </c>
    </row>
    <row r="4900" spans="1:5" ht="13">
      <c r="A4900" s="2" t="str">
        <f ca="1">IFERROR(__xludf.DUMMYFUNCTION("""COMPUTED_VALUE"""),"Levey, Joseph")</f>
        <v>Levey, Joseph</v>
      </c>
      <c r="B4900" s="3">
        <f ca="1">IFERROR(__xludf.DUMMYFUNCTION("""COMPUTED_VALUE"""),1)</f>
        <v>1</v>
      </c>
      <c r="C4900" s="7">
        <f ca="1">IFERROR(__xludf.DUMMYFUNCTION("""COMPUTED_VALUE"""),1)</f>
        <v>1</v>
      </c>
      <c r="D4900" s="8">
        <f ca="1">IFERROR(__xludf.DUMMYFUNCTION("""COMPUTED_VALUE"""),5)</f>
        <v>5</v>
      </c>
      <c r="E4900" s="2">
        <f ca="1">IFERROR(__xludf.DUMMYFUNCTION("""COMPUTED_VALUE"""),2)</f>
        <v>2</v>
      </c>
    </row>
    <row r="4901" spans="1:5" ht="13">
      <c r="A4901" s="8" t="str">
        <f ca="1">IFERROR(__xludf.DUMMYFUNCTION("""COMPUTED_VALUE"""),"Levi, Michael")</f>
        <v>Levi, Michael</v>
      </c>
      <c r="B4901" s="3">
        <f ca="1">IFERROR(__xludf.DUMMYFUNCTION("""COMPUTED_VALUE"""),1)</f>
        <v>1</v>
      </c>
      <c r="C4901" s="7">
        <f ca="1">IFERROR(__xludf.DUMMYFUNCTION("""COMPUTED_VALUE"""),1)</f>
        <v>1</v>
      </c>
      <c r="D4901" s="8">
        <f ca="1">IFERROR(__xludf.DUMMYFUNCTION("""COMPUTED_VALUE"""),1)</f>
        <v>1</v>
      </c>
      <c r="E4901" s="2">
        <f ca="1">IFERROR(__xludf.DUMMYFUNCTION("""COMPUTED_VALUE"""),1)</f>
        <v>1</v>
      </c>
    </row>
    <row r="4902" spans="1:5" ht="13">
      <c r="A4902" s="2" t="str">
        <f ca="1">IFERROR(__xludf.DUMMYFUNCTION("""COMPUTED_VALUE"""),"Levin, Andrew")</f>
        <v>Levin, Andrew</v>
      </c>
      <c r="B4902" s="3">
        <f ca="1">IFERROR(__xludf.DUMMYFUNCTION("""COMPUTED_VALUE"""),1)</f>
        <v>1</v>
      </c>
      <c r="C4902" s="7">
        <f ca="1">IFERROR(__xludf.DUMMYFUNCTION("""COMPUTED_VALUE"""),1)</f>
        <v>1</v>
      </c>
      <c r="D4902" s="8">
        <f ca="1">IFERROR(__xludf.DUMMYFUNCTION("""COMPUTED_VALUE"""),1)</f>
        <v>1</v>
      </c>
      <c r="E4902" s="2">
        <f ca="1">IFERROR(__xludf.DUMMYFUNCTION("""COMPUTED_VALUE"""),1)</f>
        <v>1</v>
      </c>
    </row>
    <row r="4903" spans="1:5" ht="13">
      <c r="A4903" s="2" t="str">
        <f ca="1">IFERROR(__xludf.DUMMYFUNCTION("""COMPUTED_VALUE"""),"Levin, Robert")</f>
        <v>Levin, Robert</v>
      </c>
      <c r="B4903" s="3">
        <f ca="1">IFERROR(__xludf.DUMMYFUNCTION("""COMPUTED_VALUE"""),1)</f>
        <v>1</v>
      </c>
      <c r="C4903" s="7">
        <f ca="1">IFERROR(__xludf.DUMMYFUNCTION("""COMPUTED_VALUE"""),1)</f>
        <v>1</v>
      </c>
      <c r="D4903" s="8">
        <f ca="1">IFERROR(__xludf.DUMMYFUNCTION("""COMPUTED_VALUE"""),1)</f>
        <v>1</v>
      </c>
      <c r="E4903" s="2">
        <f ca="1">IFERROR(__xludf.DUMMYFUNCTION("""COMPUTED_VALUE"""),1)</f>
        <v>1</v>
      </c>
    </row>
    <row r="4904" spans="1:5" ht="13">
      <c r="A4904" s="2" t="str">
        <f ca="1">IFERROR(__xludf.DUMMYFUNCTION("""COMPUTED_VALUE"""),"Levin, Todd")</f>
        <v>Levin, Todd</v>
      </c>
      <c r="B4904" s="3">
        <f ca="1">IFERROR(__xludf.DUMMYFUNCTION("""COMPUTED_VALUE"""),1)</f>
        <v>1</v>
      </c>
      <c r="C4904" s="7">
        <f ca="1">IFERROR(__xludf.DUMMYFUNCTION("""COMPUTED_VALUE"""),1)</f>
        <v>1</v>
      </c>
      <c r="D4904" s="8">
        <f ca="1">IFERROR(__xludf.DUMMYFUNCTION("""COMPUTED_VALUE"""),1)</f>
        <v>1</v>
      </c>
      <c r="E4904" s="2">
        <f ca="1">IFERROR(__xludf.DUMMYFUNCTION("""COMPUTED_VALUE"""),1)</f>
        <v>1</v>
      </c>
    </row>
    <row r="4905" spans="1:5" ht="13">
      <c r="A4905" s="2" t="str">
        <f ca="1">IFERROR(__xludf.DUMMYFUNCTION("""COMPUTED_VALUE"""),"Levine, Elliot")</f>
        <v>Levine, Elliot</v>
      </c>
      <c r="B4905" s="3">
        <f ca="1">IFERROR(__xludf.DUMMYFUNCTION("""COMPUTED_VALUE"""),1)</f>
        <v>1</v>
      </c>
      <c r="C4905" s="7">
        <f ca="1">IFERROR(__xludf.DUMMYFUNCTION("""COMPUTED_VALUE"""),1)</f>
        <v>1</v>
      </c>
      <c r="D4905" s="8">
        <f ca="1">IFERROR(__xludf.DUMMYFUNCTION("""COMPUTED_VALUE"""),1)</f>
        <v>1</v>
      </c>
      <c r="E4905" s="2">
        <f ca="1">IFERROR(__xludf.DUMMYFUNCTION("""COMPUTED_VALUE"""),1)</f>
        <v>1</v>
      </c>
    </row>
    <row r="4906" spans="1:5" ht="13">
      <c r="A4906" s="2" t="str">
        <f ca="1">IFERROR(__xludf.DUMMYFUNCTION("""COMPUTED_VALUE"""),"Levine, Mark")</f>
        <v>Levine, Mark</v>
      </c>
      <c r="B4906" s="3">
        <f ca="1">IFERROR(__xludf.DUMMYFUNCTION("""COMPUTED_VALUE"""),1)</f>
        <v>1</v>
      </c>
      <c r="C4906" s="7">
        <f ca="1">IFERROR(__xludf.DUMMYFUNCTION("""COMPUTED_VALUE"""),1)</f>
        <v>1</v>
      </c>
      <c r="D4906" s="8">
        <f ca="1">IFERROR(__xludf.DUMMYFUNCTION("""COMPUTED_VALUE"""),1)</f>
        <v>1</v>
      </c>
      <c r="E4906" s="2">
        <f ca="1">IFERROR(__xludf.DUMMYFUNCTION("""COMPUTED_VALUE"""),1)</f>
        <v>1</v>
      </c>
    </row>
    <row r="4907" spans="1:5" ht="13">
      <c r="A4907" s="2" t="str">
        <f ca="1">IFERROR(__xludf.DUMMYFUNCTION("""COMPUTED_VALUE"""),"Levine, Matthew")</f>
        <v>Levine, Matthew</v>
      </c>
      <c r="B4907" s="3">
        <f ca="1">IFERROR(__xludf.DUMMYFUNCTION("""COMPUTED_VALUE"""),1)</f>
        <v>1</v>
      </c>
      <c r="C4907" s="7">
        <f ca="1">IFERROR(__xludf.DUMMYFUNCTION("""COMPUTED_VALUE"""),1)</f>
        <v>1</v>
      </c>
      <c r="D4907" s="8">
        <f ca="1">IFERROR(__xludf.DUMMYFUNCTION("""COMPUTED_VALUE"""),1)</f>
        <v>1</v>
      </c>
      <c r="E4907" s="2">
        <f ca="1">IFERROR(__xludf.DUMMYFUNCTION("""COMPUTED_VALUE"""),1)</f>
        <v>1</v>
      </c>
    </row>
    <row r="4908" spans="1:5" ht="13">
      <c r="A4908" s="2" t="str">
        <f ca="1">IFERROR(__xludf.DUMMYFUNCTION("""COMPUTED_VALUE"""),"Levinson, Gerald")</f>
        <v>Levinson, Gerald</v>
      </c>
      <c r="B4908" s="3">
        <f ca="1">IFERROR(__xludf.DUMMYFUNCTION("""COMPUTED_VALUE"""),1)</f>
        <v>1</v>
      </c>
      <c r="C4908" s="7">
        <f ca="1">IFERROR(__xludf.DUMMYFUNCTION("""COMPUTED_VALUE"""),1)</f>
        <v>1</v>
      </c>
      <c r="D4908" s="8">
        <f ca="1">IFERROR(__xludf.DUMMYFUNCTION("""COMPUTED_VALUE"""),1)</f>
        <v>1</v>
      </c>
      <c r="E4908" s="2">
        <f ca="1">IFERROR(__xludf.DUMMYFUNCTION("""COMPUTED_VALUE"""),1)</f>
        <v>1</v>
      </c>
    </row>
    <row r="4909" spans="1:5" ht="13">
      <c r="A4909" s="2" t="str">
        <f ca="1">IFERROR(__xludf.DUMMYFUNCTION("""COMPUTED_VALUE"""),"Levinson, Ilya")</f>
        <v>Levinson, Ilya</v>
      </c>
      <c r="B4909" s="3">
        <f ca="1">IFERROR(__xludf.DUMMYFUNCTION("""COMPUTED_VALUE"""),1)</f>
        <v>1</v>
      </c>
      <c r="C4909" s="7">
        <f ca="1">IFERROR(__xludf.DUMMYFUNCTION("""COMPUTED_VALUE"""),1)</f>
        <v>1</v>
      </c>
      <c r="D4909" s="8">
        <f ca="1">IFERROR(__xludf.DUMMYFUNCTION("""COMPUTED_VALUE"""),1)</f>
        <v>1</v>
      </c>
      <c r="E4909" s="2">
        <f ca="1">IFERROR(__xludf.DUMMYFUNCTION("""COMPUTED_VALUE"""),1)</f>
        <v>1</v>
      </c>
    </row>
    <row r="4910" spans="1:5" ht="13">
      <c r="A4910" s="2" t="str">
        <f ca="1">IFERROR(__xludf.DUMMYFUNCTION("""COMPUTED_VALUE"""),"Levinson, Jerry / Symes, Marty / Neiburg, Al")</f>
        <v>Levinson, Jerry / Symes, Marty / Neiburg, Al</v>
      </c>
      <c r="B4910" s="3">
        <f ca="1">IFERROR(__xludf.DUMMYFUNCTION("""COMPUTED_VALUE"""),1)</f>
        <v>1</v>
      </c>
      <c r="C4910" s="7">
        <f ca="1">IFERROR(__xludf.DUMMYFUNCTION("""COMPUTED_VALUE"""),1)</f>
        <v>1</v>
      </c>
      <c r="D4910" s="8">
        <f ca="1">IFERROR(__xludf.DUMMYFUNCTION("""COMPUTED_VALUE"""),1)</f>
        <v>1</v>
      </c>
      <c r="E4910" s="2">
        <f ca="1">IFERROR(__xludf.DUMMYFUNCTION("""COMPUTED_VALUE"""),1)</f>
        <v>1</v>
      </c>
    </row>
    <row r="4911" spans="1:5" ht="13">
      <c r="A4911" s="2" t="str">
        <f ca="1">IFERROR(__xludf.DUMMYFUNCTION("""COMPUTED_VALUE"""),"Levitan, Daniel")</f>
        <v>Levitan, Daniel</v>
      </c>
      <c r="B4911" s="2">
        <f ca="1">IFERROR(__xludf.DUMMYFUNCTION("""COMPUTED_VALUE"""),1)</f>
        <v>1</v>
      </c>
      <c r="C4911" s="7">
        <f ca="1">IFERROR(__xludf.DUMMYFUNCTION("""COMPUTED_VALUE"""),1)</f>
        <v>1</v>
      </c>
      <c r="D4911" s="8">
        <f ca="1">IFERROR(__xludf.DUMMYFUNCTION("""COMPUTED_VALUE"""),1)</f>
        <v>1</v>
      </c>
      <c r="E4911" s="2">
        <f ca="1">IFERROR(__xludf.DUMMYFUNCTION("""COMPUTED_VALUE"""),1)</f>
        <v>1</v>
      </c>
    </row>
    <row r="4912" spans="1:5" ht="13">
      <c r="A4912" s="2" t="str">
        <f ca="1">IFERROR(__xludf.DUMMYFUNCTION("""COMPUTED_VALUE"""),"Levy, Hank")</f>
        <v>Levy, Hank</v>
      </c>
      <c r="B4912" s="2">
        <f ca="1">IFERROR(__xludf.DUMMYFUNCTION("""COMPUTED_VALUE"""),1)</f>
        <v>1</v>
      </c>
      <c r="C4912" s="7">
        <f ca="1">IFERROR(__xludf.DUMMYFUNCTION("""COMPUTED_VALUE"""),1)</f>
        <v>1</v>
      </c>
      <c r="D4912" s="8">
        <f ca="1">IFERROR(__xludf.DUMMYFUNCTION("""COMPUTED_VALUE"""),5)</f>
        <v>5</v>
      </c>
      <c r="E4912" s="2">
        <f ca="1">IFERROR(__xludf.DUMMYFUNCTION("""COMPUTED_VALUE"""),2)</f>
        <v>2</v>
      </c>
    </row>
    <row r="4913" spans="1:5" ht="13">
      <c r="A4913" s="2" t="str">
        <f ca="1">IFERROR(__xludf.DUMMYFUNCTION("""COMPUTED_VALUE"""),"Levy, Joshua")</f>
        <v>Levy, Joshua</v>
      </c>
      <c r="B4913" s="3">
        <f ca="1">IFERROR(__xludf.DUMMYFUNCTION("""COMPUTED_VALUE"""),1)</f>
        <v>1</v>
      </c>
      <c r="C4913" s="7">
        <f ca="1">IFERROR(__xludf.DUMMYFUNCTION("""COMPUTED_VALUE"""),1)</f>
        <v>1</v>
      </c>
      <c r="D4913" s="8">
        <f ca="1">IFERROR(__xludf.DUMMYFUNCTION("""COMPUTED_VALUE"""),1)</f>
        <v>1</v>
      </c>
      <c r="E4913" s="2">
        <f ca="1">IFERROR(__xludf.DUMMYFUNCTION("""COMPUTED_VALUE"""),1)</f>
        <v>1</v>
      </c>
    </row>
    <row r="4914" spans="1:5" ht="13">
      <c r="A4914" s="2" t="str">
        <f ca="1">IFERROR(__xludf.DUMMYFUNCTION("""COMPUTED_VALUE"""),"Levy, Marvin")</f>
        <v>Levy, Marvin</v>
      </c>
      <c r="B4914" s="3">
        <f ca="1">IFERROR(__xludf.DUMMYFUNCTION("""COMPUTED_VALUE"""),1)</f>
        <v>1</v>
      </c>
      <c r="C4914" s="7">
        <f ca="1">IFERROR(__xludf.DUMMYFUNCTION("""COMPUTED_VALUE"""),1)</f>
        <v>1</v>
      </c>
      <c r="D4914" s="8">
        <f ca="1">IFERROR(__xludf.DUMMYFUNCTION("""COMPUTED_VALUE"""),5)</f>
        <v>5</v>
      </c>
      <c r="E4914" s="2">
        <f ca="1">IFERROR(__xludf.DUMMYFUNCTION("""COMPUTED_VALUE"""),2)</f>
        <v>2</v>
      </c>
    </row>
    <row r="4915" spans="1:5" ht="13">
      <c r="A4915" s="2" t="str">
        <f ca="1">IFERROR(__xludf.DUMMYFUNCTION("""COMPUTED_VALUE"""),"Levy, Micah")</f>
        <v>Levy, Micah</v>
      </c>
      <c r="B4915" s="3">
        <f ca="1">IFERROR(__xludf.DUMMYFUNCTION("""COMPUTED_VALUE"""),1)</f>
        <v>1</v>
      </c>
      <c r="C4915" s="7">
        <f ca="1">IFERROR(__xludf.DUMMYFUNCTION("""COMPUTED_VALUE"""),1)</f>
        <v>1</v>
      </c>
      <c r="D4915" s="8">
        <f ca="1">IFERROR(__xludf.DUMMYFUNCTION("""COMPUTED_VALUE"""),1)</f>
        <v>1</v>
      </c>
      <c r="E4915" s="2">
        <f ca="1">IFERROR(__xludf.DUMMYFUNCTION("""COMPUTED_VALUE"""),1)</f>
        <v>1</v>
      </c>
    </row>
    <row r="4916" spans="1:5" ht="13">
      <c r="A4916" s="8" t="str">
        <f ca="1">IFERROR(__xludf.DUMMYFUNCTION("""COMPUTED_VALUE"""),"Lewandowski, Louis")</f>
        <v>Lewandowski, Louis</v>
      </c>
      <c r="B4916" s="3">
        <f ca="1">IFERROR(__xludf.DUMMYFUNCTION("""COMPUTED_VALUE"""),1)</f>
        <v>1</v>
      </c>
      <c r="C4916" s="7">
        <f ca="1">IFERROR(__xludf.DUMMYFUNCTION("""COMPUTED_VALUE"""),1)</f>
        <v>1</v>
      </c>
      <c r="D4916" s="8">
        <f ca="1">IFERROR(__xludf.DUMMYFUNCTION("""COMPUTED_VALUE"""),5)</f>
        <v>5</v>
      </c>
      <c r="E4916" s="2">
        <f ca="1">IFERROR(__xludf.DUMMYFUNCTION("""COMPUTED_VALUE"""),2)</f>
        <v>2</v>
      </c>
    </row>
    <row r="4917" spans="1:5" ht="13">
      <c r="A4917" s="2" t="str">
        <f ca="1">IFERROR(__xludf.DUMMYFUNCTION("""COMPUTED_VALUE"""),"Lewers, John")</f>
        <v>Lewers, John</v>
      </c>
      <c r="B4917" s="3">
        <f ca="1">IFERROR(__xludf.DUMMYFUNCTION("""COMPUTED_VALUE"""),1)</f>
        <v>1</v>
      </c>
      <c r="C4917" s="7">
        <f ca="1">IFERROR(__xludf.DUMMYFUNCTION("""COMPUTED_VALUE"""),1)</f>
        <v>1</v>
      </c>
      <c r="D4917" s="8">
        <f ca="1">IFERROR(__xludf.DUMMYFUNCTION("""COMPUTED_VALUE"""),1)</f>
        <v>1</v>
      </c>
      <c r="E4917" s="2">
        <f ca="1">IFERROR(__xludf.DUMMYFUNCTION("""COMPUTED_VALUE"""),1)</f>
        <v>1</v>
      </c>
    </row>
    <row r="4918" spans="1:5" ht="13">
      <c r="A4918" s="2" t="str">
        <f ca="1">IFERROR(__xludf.DUMMYFUNCTION("""COMPUTED_VALUE"""),"Lewis, Aden G.")</f>
        <v>Lewis, Aden G.</v>
      </c>
      <c r="B4918" s="3">
        <f ca="1">IFERROR(__xludf.DUMMYFUNCTION("""COMPUTED_VALUE"""),1)</f>
        <v>1</v>
      </c>
      <c r="C4918" s="7">
        <f ca="1">IFERROR(__xludf.DUMMYFUNCTION("""COMPUTED_VALUE"""),1)</f>
        <v>1</v>
      </c>
      <c r="D4918" s="8">
        <f ca="1">IFERROR(__xludf.DUMMYFUNCTION("""COMPUTED_VALUE"""),5)</f>
        <v>5</v>
      </c>
      <c r="E4918" s="2">
        <f ca="1">IFERROR(__xludf.DUMMYFUNCTION("""COMPUTED_VALUE"""),2)</f>
        <v>2</v>
      </c>
    </row>
    <row r="4919" spans="1:5" ht="13">
      <c r="A4919" s="2" t="str">
        <f ca="1">IFERROR(__xludf.DUMMYFUNCTION("""COMPUTED_VALUE"""),"Lewis, Al")</f>
        <v>Lewis, Al</v>
      </c>
      <c r="B4919" s="2">
        <f ca="1">IFERROR(__xludf.DUMMYFUNCTION("""COMPUTED_VALUE"""),1)</f>
        <v>1</v>
      </c>
      <c r="C4919" s="7">
        <f ca="1">IFERROR(__xludf.DUMMYFUNCTION("""COMPUTED_VALUE"""),1)</f>
        <v>1</v>
      </c>
      <c r="D4919" s="8">
        <f ca="1">IFERROR(__xludf.DUMMYFUNCTION("""COMPUTED_VALUE"""),5)</f>
        <v>5</v>
      </c>
      <c r="E4919" s="2">
        <f ca="1">IFERROR(__xludf.DUMMYFUNCTION("""COMPUTED_VALUE"""),2)</f>
        <v>2</v>
      </c>
    </row>
    <row r="4920" spans="1:5" ht="13">
      <c r="A4920" s="8" t="str">
        <f ca="1">IFERROR(__xludf.DUMMYFUNCTION("""COMPUTED_VALUE"""),"Lewis, Anthony")</f>
        <v>Lewis, Anthony</v>
      </c>
      <c r="B4920" s="2">
        <f ca="1">IFERROR(__xludf.DUMMYFUNCTION("""COMPUTED_VALUE"""),1)</f>
        <v>1</v>
      </c>
      <c r="C4920" s="7">
        <f ca="1">IFERROR(__xludf.DUMMYFUNCTION("""COMPUTED_VALUE"""),1)</f>
        <v>1</v>
      </c>
      <c r="D4920" s="8">
        <f ca="1">IFERROR(__xludf.DUMMYFUNCTION("""COMPUTED_VALUE"""),5)</f>
        <v>5</v>
      </c>
      <c r="E4920" s="2">
        <f ca="1">IFERROR(__xludf.DUMMYFUNCTION("""COMPUTED_VALUE"""),2)</f>
        <v>2</v>
      </c>
    </row>
    <row r="4921" spans="1:5" ht="13">
      <c r="A4921" s="2" t="str">
        <f ca="1">IFERROR(__xludf.DUMMYFUNCTION("""COMPUTED_VALUE"""),"Lewis, Brian")</f>
        <v>Lewis, Brian</v>
      </c>
      <c r="B4921" s="3">
        <f ca="1">IFERROR(__xludf.DUMMYFUNCTION("""COMPUTED_VALUE"""),1)</f>
        <v>1</v>
      </c>
      <c r="C4921" s="7">
        <f ca="1">IFERROR(__xludf.DUMMYFUNCTION("""COMPUTED_VALUE"""),1)</f>
        <v>1</v>
      </c>
      <c r="D4921" s="8">
        <f ca="1">IFERROR(__xludf.DUMMYFUNCTION("""COMPUTED_VALUE"""),1)</f>
        <v>1</v>
      </c>
      <c r="E4921" s="2">
        <f ca="1">IFERROR(__xludf.DUMMYFUNCTION("""COMPUTED_VALUE"""),1)</f>
        <v>1</v>
      </c>
    </row>
    <row r="4922" spans="1:5" ht="13">
      <c r="A4922" s="2" t="str">
        <f ca="1">IFERROR(__xludf.DUMMYFUNCTION("""COMPUTED_VALUE"""),"Lewis, Christopher T.")</f>
        <v>Lewis, Christopher T.</v>
      </c>
      <c r="B4922" s="3">
        <f ca="1">IFERROR(__xludf.DUMMYFUNCTION("""COMPUTED_VALUE"""),1)</f>
        <v>1</v>
      </c>
      <c r="C4922" s="7">
        <f ca="1">IFERROR(__xludf.DUMMYFUNCTION("""COMPUTED_VALUE"""),1)</f>
        <v>1</v>
      </c>
      <c r="D4922" s="8">
        <f ca="1">IFERROR(__xludf.DUMMYFUNCTION("""COMPUTED_VALUE"""),1)</f>
        <v>1</v>
      </c>
      <c r="E4922" s="2">
        <f ca="1">IFERROR(__xludf.DUMMYFUNCTION("""COMPUTED_VALUE"""),1)</f>
        <v>1</v>
      </c>
    </row>
    <row r="4923" spans="1:5" ht="13">
      <c r="A4923" s="2" t="str">
        <f ca="1">IFERROR(__xludf.DUMMYFUNCTION("""COMPUTED_VALUE"""),"Lewis, Gary")</f>
        <v>Lewis, Gary</v>
      </c>
      <c r="B4923" s="3">
        <f ca="1">IFERROR(__xludf.DUMMYFUNCTION("""COMPUTED_VALUE"""),1)</f>
        <v>1</v>
      </c>
      <c r="C4923" s="7">
        <f ca="1">IFERROR(__xludf.DUMMYFUNCTION("""COMPUTED_VALUE"""),1)</f>
        <v>1</v>
      </c>
      <c r="D4923" s="8">
        <f ca="1">IFERROR(__xludf.DUMMYFUNCTION("""COMPUTED_VALUE"""),1)</f>
        <v>1</v>
      </c>
      <c r="E4923" s="2">
        <f ca="1">IFERROR(__xludf.DUMMYFUNCTION("""COMPUTED_VALUE"""),1)</f>
        <v>1</v>
      </c>
    </row>
    <row r="4924" spans="1:5" ht="13">
      <c r="A4924" s="2" t="str">
        <f ca="1">IFERROR(__xludf.DUMMYFUNCTION("""COMPUTED_VALUE"""),"Lewis, Leonard Mark")</f>
        <v>Lewis, Leonard Mark</v>
      </c>
      <c r="B4924" s="3">
        <f ca="1">IFERROR(__xludf.DUMMYFUNCTION("""COMPUTED_VALUE"""),1)</f>
        <v>1</v>
      </c>
      <c r="C4924" s="7">
        <f ca="1">IFERROR(__xludf.DUMMYFUNCTION("""COMPUTED_VALUE"""),1)</f>
        <v>1</v>
      </c>
      <c r="D4924" s="8">
        <f ca="1">IFERROR(__xludf.DUMMYFUNCTION("""COMPUTED_VALUE"""),1)</f>
        <v>1</v>
      </c>
      <c r="E4924" s="2">
        <f ca="1">IFERROR(__xludf.DUMMYFUNCTION("""COMPUTED_VALUE"""),1)</f>
        <v>1</v>
      </c>
    </row>
    <row r="4925" spans="1:5" ht="13">
      <c r="A4925" s="2" t="str">
        <f ca="1">IFERROR(__xludf.DUMMYFUNCTION("""COMPUTED_VALUE"""),"Lewis, Mike")</f>
        <v>Lewis, Mike</v>
      </c>
      <c r="B4925" s="3">
        <f ca="1">IFERROR(__xludf.DUMMYFUNCTION("""COMPUTED_VALUE"""),1)</f>
        <v>1</v>
      </c>
      <c r="C4925" s="7">
        <f ca="1">IFERROR(__xludf.DUMMYFUNCTION("""COMPUTED_VALUE"""),1)</f>
        <v>1</v>
      </c>
      <c r="D4925" s="8">
        <f ca="1">IFERROR(__xludf.DUMMYFUNCTION("""COMPUTED_VALUE"""),1)</f>
        <v>1</v>
      </c>
      <c r="E4925" s="2">
        <f ca="1">IFERROR(__xludf.DUMMYFUNCTION("""COMPUTED_VALUE"""),1)</f>
        <v>1</v>
      </c>
    </row>
    <row r="4926" spans="1:5" ht="13">
      <c r="A4926" s="2" t="str">
        <f ca="1">IFERROR(__xludf.DUMMYFUNCTION("""COMPUTED_VALUE"""),"Lewis, Paul")</f>
        <v>Lewis, Paul</v>
      </c>
      <c r="B4926" s="3">
        <f ca="1">IFERROR(__xludf.DUMMYFUNCTION("""COMPUTED_VALUE"""),1)</f>
        <v>1</v>
      </c>
      <c r="C4926" s="7">
        <f ca="1">IFERROR(__xludf.DUMMYFUNCTION("""COMPUTED_VALUE"""),1)</f>
        <v>1</v>
      </c>
      <c r="D4926" s="8">
        <f ca="1">IFERROR(__xludf.DUMMYFUNCTION("""COMPUTED_VALUE"""),1)</f>
        <v>1</v>
      </c>
      <c r="E4926" s="2">
        <f ca="1">IFERROR(__xludf.DUMMYFUNCTION("""COMPUTED_VALUE"""),1)</f>
        <v>1</v>
      </c>
    </row>
    <row r="4927" spans="1:5" ht="13">
      <c r="A4927" s="2" t="str">
        <f ca="1">IFERROR(__xludf.DUMMYFUNCTION("""COMPUTED_VALUE"""),"Lewis, W. Rees")</f>
        <v>Lewis, W. Rees</v>
      </c>
      <c r="B4927" s="3">
        <f ca="1">IFERROR(__xludf.DUMMYFUNCTION("""COMPUTED_VALUE"""),1)</f>
        <v>1</v>
      </c>
      <c r="C4927" s="7">
        <f ca="1">IFERROR(__xludf.DUMMYFUNCTION("""COMPUTED_VALUE"""),1)</f>
        <v>1</v>
      </c>
      <c r="D4927" s="8">
        <f ca="1">IFERROR(__xludf.DUMMYFUNCTION("""COMPUTED_VALUE"""),5)</f>
        <v>5</v>
      </c>
      <c r="E4927" s="2">
        <f ca="1">IFERROR(__xludf.DUMMYFUNCTION("""COMPUTED_VALUE"""),2)</f>
        <v>2</v>
      </c>
    </row>
    <row r="4928" spans="1:5" ht="13">
      <c r="A4928" s="2" t="str">
        <f ca="1">IFERROR(__xludf.DUMMYFUNCTION("""COMPUTED_VALUE"""),"Leyda, Joshua")</f>
        <v>Leyda, Joshua</v>
      </c>
      <c r="B4928" s="3">
        <f ca="1">IFERROR(__xludf.DUMMYFUNCTION("""COMPUTED_VALUE"""),1)</f>
        <v>1</v>
      </c>
      <c r="C4928" s="7">
        <f ca="1">IFERROR(__xludf.DUMMYFUNCTION("""COMPUTED_VALUE"""),1)</f>
        <v>1</v>
      </c>
      <c r="D4928" s="8">
        <f ca="1">IFERROR(__xludf.DUMMYFUNCTION("""COMPUTED_VALUE"""),1)</f>
        <v>1</v>
      </c>
      <c r="E4928" s="2">
        <f ca="1">IFERROR(__xludf.DUMMYFUNCTION("""COMPUTED_VALUE"""),1)</f>
        <v>1</v>
      </c>
    </row>
    <row r="4929" spans="1:5" ht="13">
      <c r="A4929" s="8" t="str">
        <f ca="1">IFERROR(__xludf.DUMMYFUNCTION("""COMPUTED_VALUE"""),"Leyda, Joshua / Ulrich, Scott")</f>
        <v>Leyda, Joshua / Ulrich, Scott</v>
      </c>
      <c r="B4929" s="3">
        <f ca="1">IFERROR(__xludf.DUMMYFUNCTION("""COMPUTED_VALUE"""),1)</f>
        <v>1</v>
      </c>
      <c r="C4929" s="7">
        <f ca="1">IFERROR(__xludf.DUMMYFUNCTION("""COMPUTED_VALUE"""),1)</f>
        <v>1</v>
      </c>
      <c r="D4929" s="8">
        <f ca="1">IFERROR(__xludf.DUMMYFUNCTION("""COMPUTED_VALUE"""),1)</f>
        <v>1</v>
      </c>
      <c r="E4929" s="2">
        <f ca="1">IFERROR(__xludf.DUMMYFUNCTION("""COMPUTED_VALUE"""),1)</f>
        <v>1</v>
      </c>
    </row>
    <row r="4930" spans="1:5" ht="13">
      <c r="A4930" s="8" t="str">
        <f ca="1">IFERROR(__xludf.DUMMYFUNCTION("""COMPUTED_VALUE"""),"Leyden, Norman")</f>
        <v>Leyden, Norman</v>
      </c>
      <c r="B4930" s="3">
        <f ca="1">IFERROR(__xludf.DUMMYFUNCTION("""COMPUTED_VALUE"""),1)</f>
        <v>1</v>
      </c>
      <c r="C4930" s="7">
        <f ca="1">IFERROR(__xludf.DUMMYFUNCTION("""COMPUTED_VALUE"""),1)</f>
        <v>1</v>
      </c>
      <c r="D4930" s="8">
        <f ca="1">IFERROR(__xludf.DUMMYFUNCTION("""COMPUTED_VALUE"""),5)</f>
        <v>5</v>
      </c>
      <c r="E4930" s="2">
        <f ca="1">IFERROR(__xludf.DUMMYFUNCTION("""COMPUTED_VALUE"""),2)</f>
        <v>2</v>
      </c>
    </row>
    <row r="4931" spans="1:5" ht="13">
      <c r="A4931" s="2" t="str">
        <f ca="1">IFERROR(__xludf.DUMMYFUNCTION("""COMPUTED_VALUE"""),"Lheritier, Jean")</f>
        <v>Lheritier, Jean</v>
      </c>
      <c r="B4931" s="3">
        <f ca="1">IFERROR(__xludf.DUMMYFUNCTION("""COMPUTED_VALUE"""),1)</f>
        <v>1</v>
      </c>
      <c r="C4931" s="7">
        <f ca="1">IFERROR(__xludf.DUMMYFUNCTION("""COMPUTED_VALUE"""),1)</f>
        <v>1</v>
      </c>
      <c r="D4931" s="8">
        <f ca="1">IFERROR(__xludf.DUMMYFUNCTION("""COMPUTED_VALUE"""),5)</f>
        <v>5</v>
      </c>
      <c r="E4931" s="2">
        <f ca="1">IFERROR(__xludf.DUMMYFUNCTION("""COMPUTED_VALUE"""),2)</f>
        <v>2</v>
      </c>
    </row>
    <row r="4932" spans="1:5" ht="13">
      <c r="A4932" s="2" t="str">
        <f ca="1">IFERROR(__xludf.DUMMYFUNCTION("""COMPUTED_VALUE"""),"Liadov, Anatoly")</f>
        <v>Liadov, Anatoly</v>
      </c>
      <c r="B4932" s="2">
        <f ca="1">IFERROR(__xludf.DUMMYFUNCTION("""COMPUTED_VALUE"""),1)</f>
        <v>1</v>
      </c>
      <c r="C4932" s="7">
        <f ca="1">IFERROR(__xludf.DUMMYFUNCTION("""COMPUTED_VALUE"""),1)</f>
        <v>1</v>
      </c>
      <c r="D4932" s="8">
        <f ca="1">IFERROR(__xludf.DUMMYFUNCTION("""COMPUTED_VALUE"""),5)</f>
        <v>5</v>
      </c>
      <c r="E4932" s="2">
        <f ca="1">IFERROR(__xludf.DUMMYFUNCTION("""COMPUTED_VALUE"""),2)</f>
        <v>2</v>
      </c>
    </row>
    <row r="4933" spans="1:5" ht="13">
      <c r="A4933" s="2" t="str">
        <f ca="1">IFERROR(__xludf.DUMMYFUNCTION("""COMPUTED_VALUE"""),"Liapounov, Sergei")</f>
        <v>Liapounov, Sergei</v>
      </c>
      <c r="B4933" s="2">
        <f ca="1">IFERROR(__xludf.DUMMYFUNCTION("""COMPUTED_VALUE"""),1)</f>
        <v>1</v>
      </c>
      <c r="C4933" s="7">
        <f ca="1">IFERROR(__xludf.DUMMYFUNCTION("""COMPUTED_VALUE"""),1)</f>
        <v>1</v>
      </c>
      <c r="D4933" s="8">
        <f ca="1">IFERROR(__xludf.DUMMYFUNCTION("""COMPUTED_VALUE"""),5)</f>
        <v>5</v>
      </c>
      <c r="E4933" s="2">
        <f ca="1">IFERROR(__xludf.DUMMYFUNCTION("""COMPUTED_VALUE"""),2)</f>
        <v>2</v>
      </c>
    </row>
    <row r="4934" spans="1:5" ht="13">
      <c r="A4934" s="2" t="str">
        <f ca="1">IFERROR(__xludf.DUMMYFUNCTION("""COMPUTED_VALUE"""),"Lias, Stephen")</f>
        <v>Lias, Stephen</v>
      </c>
      <c r="B4934" s="3">
        <f ca="1">IFERROR(__xludf.DUMMYFUNCTION("""COMPUTED_VALUE"""),1)</f>
        <v>1</v>
      </c>
      <c r="C4934" s="7">
        <f ca="1">IFERROR(__xludf.DUMMYFUNCTION("""COMPUTED_VALUE"""),1)</f>
        <v>1</v>
      </c>
      <c r="D4934" s="8">
        <f ca="1">IFERROR(__xludf.DUMMYFUNCTION("""COMPUTED_VALUE"""),1)</f>
        <v>1</v>
      </c>
      <c r="E4934" s="2">
        <f ca="1">IFERROR(__xludf.DUMMYFUNCTION("""COMPUTED_VALUE"""),1)</f>
        <v>1</v>
      </c>
    </row>
    <row r="4935" spans="1:5" ht="13">
      <c r="A4935" s="2" t="str">
        <f ca="1">IFERROR(__xludf.DUMMYFUNCTION("""COMPUTED_VALUE"""),"Librande, Jason")</f>
        <v>Librande, Jason</v>
      </c>
      <c r="B4935" s="3">
        <f ca="1">IFERROR(__xludf.DUMMYFUNCTION("""COMPUTED_VALUE"""),1)</f>
        <v>1</v>
      </c>
      <c r="C4935" s="7">
        <f ca="1">IFERROR(__xludf.DUMMYFUNCTION("""COMPUTED_VALUE"""),1)</f>
        <v>1</v>
      </c>
      <c r="D4935" s="8">
        <f ca="1">IFERROR(__xludf.DUMMYFUNCTION("""COMPUTED_VALUE"""),1)</f>
        <v>1</v>
      </c>
      <c r="E4935" s="2">
        <f ca="1">IFERROR(__xludf.DUMMYFUNCTION("""COMPUTED_VALUE"""),1)</f>
        <v>1</v>
      </c>
    </row>
    <row r="4936" spans="1:5" ht="13">
      <c r="A4936" s="2" t="str">
        <f ca="1">IFERROR(__xludf.DUMMYFUNCTION("""COMPUTED_VALUE"""),"Lichfield, H.")</f>
        <v>Lichfield, H.</v>
      </c>
      <c r="B4936" s="2">
        <f ca="1">IFERROR(__xludf.DUMMYFUNCTION("""COMPUTED_VALUE"""),1)</f>
        <v>1</v>
      </c>
      <c r="C4936" s="7">
        <f ca="1">IFERROR(__xludf.DUMMYFUNCTION("""COMPUTED_VALUE"""),1)</f>
        <v>1</v>
      </c>
      <c r="D4936" s="8">
        <f ca="1">IFERROR(__xludf.DUMMYFUNCTION("""COMPUTED_VALUE"""),5)</f>
        <v>5</v>
      </c>
      <c r="E4936" s="2">
        <f ca="1">IFERROR(__xludf.DUMMYFUNCTION("""COMPUTED_VALUE"""),2)</f>
        <v>2</v>
      </c>
    </row>
    <row r="4937" spans="1:5" ht="13">
      <c r="A4937" s="8" t="str">
        <f ca="1">IFERROR(__xludf.DUMMYFUNCTION("""COMPUTED_VALUE"""),"Lichner, Heinrich")</f>
        <v>Lichner, Heinrich</v>
      </c>
      <c r="B4937" s="3">
        <f ca="1">IFERROR(__xludf.DUMMYFUNCTION("""COMPUTED_VALUE"""),1)</f>
        <v>1</v>
      </c>
      <c r="C4937" s="7">
        <f ca="1">IFERROR(__xludf.DUMMYFUNCTION("""COMPUTED_VALUE"""),1)</f>
        <v>1</v>
      </c>
      <c r="D4937" s="8">
        <f ca="1">IFERROR(__xludf.DUMMYFUNCTION("""COMPUTED_VALUE"""),5)</f>
        <v>5</v>
      </c>
      <c r="E4937" s="2">
        <f ca="1">IFERROR(__xludf.DUMMYFUNCTION("""COMPUTED_VALUE"""),2)</f>
        <v>2</v>
      </c>
    </row>
    <row r="4938" spans="1:5" ht="13">
      <c r="A4938" s="8" t="str">
        <f ca="1">IFERROR(__xludf.DUMMYFUNCTION("""COMPUTED_VALUE"""),"Lichter, Charles")</f>
        <v>Lichter, Charles</v>
      </c>
      <c r="B4938" s="3">
        <f ca="1">IFERROR(__xludf.DUMMYFUNCTION("""COMPUTED_VALUE"""),1)</f>
        <v>1</v>
      </c>
      <c r="C4938" s="7">
        <f ca="1">IFERROR(__xludf.DUMMYFUNCTION("""COMPUTED_VALUE"""),1)</f>
        <v>1</v>
      </c>
      <c r="D4938" s="8">
        <f ca="1">IFERROR(__xludf.DUMMYFUNCTION("""COMPUTED_VALUE"""),5)</f>
        <v>5</v>
      </c>
      <c r="E4938" s="2">
        <f ca="1">IFERROR(__xludf.DUMMYFUNCTION("""COMPUTED_VALUE"""),2)</f>
        <v>2</v>
      </c>
    </row>
    <row r="4939" spans="1:5" ht="13">
      <c r="A4939" s="2" t="str">
        <f ca="1">IFERROR(__xludf.DUMMYFUNCTION("""COMPUTED_VALUE"""),"Liddle, Samuel")</f>
        <v>Liddle, Samuel</v>
      </c>
      <c r="B4939" s="3">
        <f ca="1">IFERROR(__xludf.DUMMYFUNCTION("""COMPUTED_VALUE"""),1)</f>
        <v>1</v>
      </c>
      <c r="C4939" s="7">
        <f ca="1">IFERROR(__xludf.DUMMYFUNCTION("""COMPUTED_VALUE"""),1)</f>
        <v>1</v>
      </c>
      <c r="D4939" s="8">
        <f ca="1">IFERROR(__xludf.DUMMYFUNCTION("""COMPUTED_VALUE"""),5)</f>
        <v>5</v>
      </c>
      <c r="E4939" s="2">
        <f ca="1">IFERROR(__xludf.DUMMYFUNCTION("""COMPUTED_VALUE"""),2)</f>
        <v>2</v>
      </c>
    </row>
    <row r="4940" spans="1:5" ht="13">
      <c r="A4940" s="2" t="str">
        <f ca="1">IFERROR(__xludf.DUMMYFUNCTION("""COMPUTED_VALUE"""),"Lidholm, Ingvar")</f>
        <v>Lidholm, Ingvar</v>
      </c>
      <c r="B4940" s="2">
        <f ca="1">IFERROR(__xludf.DUMMYFUNCTION("""COMPUTED_VALUE"""),1)</f>
        <v>1</v>
      </c>
      <c r="C4940" s="7">
        <f ca="1">IFERROR(__xludf.DUMMYFUNCTION("""COMPUTED_VALUE"""),1)</f>
        <v>1</v>
      </c>
      <c r="D4940" s="8">
        <f ca="1">IFERROR(__xludf.DUMMYFUNCTION("""COMPUTED_VALUE"""),5)</f>
        <v>5</v>
      </c>
      <c r="E4940" s="2">
        <f ca="1">IFERROR(__xludf.DUMMYFUNCTION("""COMPUTED_VALUE"""),2)</f>
        <v>2</v>
      </c>
    </row>
    <row r="4941" spans="1:5" ht="13">
      <c r="A4941" s="2" t="str">
        <f ca="1">IFERROR(__xludf.DUMMYFUNCTION("""COMPUTED_VALUE"""),"Lie, Sigurd")</f>
        <v>Lie, Sigurd</v>
      </c>
      <c r="B4941" s="2">
        <f ca="1">IFERROR(__xludf.DUMMYFUNCTION("""COMPUTED_VALUE"""),1)</f>
        <v>1</v>
      </c>
      <c r="C4941" s="7">
        <f ca="1">IFERROR(__xludf.DUMMYFUNCTION("""COMPUTED_VALUE"""),1)</f>
        <v>1</v>
      </c>
      <c r="D4941" s="8">
        <f ca="1">IFERROR(__xludf.DUMMYFUNCTION("""COMPUTED_VALUE"""),5)</f>
        <v>5</v>
      </c>
      <c r="E4941" s="2">
        <f ca="1">IFERROR(__xludf.DUMMYFUNCTION("""COMPUTED_VALUE"""),2)</f>
        <v>2</v>
      </c>
    </row>
    <row r="4942" spans="1:5" ht="13">
      <c r="A4942" s="2" t="str">
        <f ca="1">IFERROR(__xludf.DUMMYFUNCTION("""COMPUTED_VALUE"""),"Liebergen, Patrick")</f>
        <v>Liebergen, Patrick</v>
      </c>
      <c r="B4942" s="3">
        <f ca="1">IFERROR(__xludf.DUMMYFUNCTION("""COMPUTED_VALUE"""),1)</f>
        <v>1</v>
      </c>
      <c r="C4942" s="7">
        <f ca="1">IFERROR(__xludf.DUMMYFUNCTION("""COMPUTED_VALUE"""),1)</f>
        <v>1</v>
      </c>
      <c r="D4942" s="8">
        <f ca="1">IFERROR(__xludf.DUMMYFUNCTION("""COMPUTED_VALUE"""),1)</f>
        <v>1</v>
      </c>
      <c r="E4942" s="2">
        <f ca="1">IFERROR(__xludf.DUMMYFUNCTION("""COMPUTED_VALUE"""),1)</f>
        <v>1</v>
      </c>
    </row>
    <row r="4943" spans="1:5" ht="13">
      <c r="A4943" s="2" t="str">
        <f ca="1">IFERROR(__xludf.DUMMYFUNCTION("""COMPUTED_VALUE"""),"Liebermann, Lowell")</f>
        <v>Liebermann, Lowell</v>
      </c>
      <c r="B4943" s="3">
        <f ca="1">IFERROR(__xludf.DUMMYFUNCTION("""COMPUTED_VALUE"""),1)</f>
        <v>1</v>
      </c>
      <c r="C4943" s="7">
        <f ca="1">IFERROR(__xludf.DUMMYFUNCTION("""COMPUTED_VALUE"""),1)</f>
        <v>1</v>
      </c>
      <c r="D4943" s="8">
        <f ca="1">IFERROR(__xludf.DUMMYFUNCTION("""COMPUTED_VALUE"""),1)</f>
        <v>1</v>
      </c>
      <c r="E4943" s="2">
        <f ca="1">IFERROR(__xludf.DUMMYFUNCTION("""COMPUTED_VALUE"""),1)</f>
        <v>1</v>
      </c>
    </row>
    <row r="4944" spans="1:5" ht="13">
      <c r="A4944" s="2" t="str">
        <f ca="1">IFERROR(__xludf.DUMMYFUNCTION("""COMPUTED_VALUE"""),"Lieberson, Peter")</f>
        <v>Lieberson, Peter</v>
      </c>
      <c r="B4944" s="3">
        <f ca="1">IFERROR(__xludf.DUMMYFUNCTION("""COMPUTED_VALUE"""),1)</f>
        <v>1</v>
      </c>
      <c r="C4944" s="7">
        <f ca="1">IFERROR(__xludf.DUMMYFUNCTION("""COMPUTED_VALUE"""),1)</f>
        <v>1</v>
      </c>
      <c r="D4944" s="8">
        <f ca="1">IFERROR(__xludf.DUMMYFUNCTION("""COMPUTED_VALUE"""),5)</f>
        <v>5</v>
      </c>
      <c r="E4944" s="2">
        <f ca="1">IFERROR(__xludf.DUMMYFUNCTION("""COMPUTED_VALUE"""),2)</f>
        <v>2</v>
      </c>
    </row>
    <row r="4945" spans="1:5" ht="13">
      <c r="A4945" s="2" t="str">
        <f ca="1">IFERROR(__xludf.DUMMYFUNCTION("""COMPUTED_VALUE"""),"Lieuwen, Peter")</f>
        <v>Lieuwen, Peter</v>
      </c>
      <c r="B4945" s="3">
        <f ca="1">IFERROR(__xludf.DUMMYFUNCTION("""COMPUTED_VALUE"""),1)</f>
        <v>1</v>
      </c>
      <c r="C4945" s="7">
        <f ca="1">IFERROR(__xludf.DUMMYFUNCTION("""COMPUTED_VALUE"""),1)</f>
        <v>1</v>
      </c>
      <c r="D4945" s="8">
        <f ca="1">IFERROR(__xludf.DUMMYFUNCTION("""COMPUTED_VALUE"""),1)</f>
        <v>1</v>
      </c>
      <c r="E4945" s="2">
        <f ca="1">IFERROR(__xludf.DUMMYFUNCTION("""COMPUTED_VALUE"""),1)</f>
        <v>1</v>
      </c>
    </row>
    <row r="4946" spans="1:5" ht="13">
      <c r="A4946" s="2" t="str">
        <f ca="1">IFERROR(__xludf.DUMMYFUNCTION("""COMPUTED_VALUE"""),"Ligeti, György")</f>
        <v>Ligeti, György</v>
      </c>
      <c r="B4946" s="3">
        <f ca="1">IFERROR(__xludf.DUMMYFUNCTION("""COMPUTED_VALUE"""),1)</f>
        <v>1</v>
      </c>
      <c r="C4946" s="7">
        <f ca="1">IFERROR(__xludf.DUMMYFUNCTION("""COMPUTED_VALUE"""),1)</f>
        <v>1</v>
      </c>
      <c r="D4946" s="8">
        <f ca="1">IFERROR(__xludf.DUMMYFUNCTION("""COMPUTED_VALUE"""),5)</f>
        <v>5</v>
      </c>
      <c r="E4946" s="2">
        <f ca="1">IFERROR(__xludf.DUMMYFUNCTION("""COMPUTED_VALUE"""),2)</f>
        <v>2</v>
      </c>
    </row>
    <row r="4947" spans="1:5" ht="13">
      <c r="A4947" s="2" t="str">
        <f ca="1">IFERROR(__xludf.DUMMYFUNCTION("""COMPUTED_VALUE"""),"Ligon, Bert")</f>
        <v>Ligon, Bert</v>
      </c>
      <c r="B4947" s="3">
        <f ca="1">IFERROR(__xludf.DUMMYFUNCTION("""COMPUTED_VALUE"""),1)</f>
        <v>1</v>
      </c>
      <c r="C4947" s="7">
        <f ca="1">IFERROR(__xludf.DUMMYFUNCTION("""COMPUTED_VALUE"""),1)</f>
        <v>1</v>
      </c>
      <c r="D4947" s="8">
        <f ca="1">IFERROR(__xludf.DUMMYFUNCTION("""COMPUTED_VALUE"""),1)</f>
        <v>1</v>
      </c>
      <c r="E4947" s="2">
        <f ca="1">IFERROR(__xludf.DUMMYFUNCTION("""COMPUTED_VALUE"""),1)</f>
        <v>1</v>
      </c>
    </row>
    <row r="4948" spans="1:5" ht="13">
      <c r="A4948" s="2" t="str">
        <f ca="1">IFERROR(__xludf.DUMMYFUNCTION("""COMPUTED_VALUE"""),"Lijnschooten, Henk van")</f>
        <v>Lijnschooten, Henk van</v>
      </c>
      <c r="B4948" s="3">
        <f ca="1">IFERROR(__xludf.DUMMYFUNCTION("""COMPUTED_VALUE"""),1)</f>
        <v>1</v>
      </c>
      <c r="C4948" s="7">
        <f ca="1">IFERROR(__xludf.DUMMYFUNCTION("""COMPUTED_VALUE"""),1)</f>
        <v>1</v>
      </c>
      <c r="D4948" s="8">
        <f ca="1">IFERROR(__xludf.DUMMYFUNCTION("""COMPUTED_VALUE"""),5)</f>
        <v>5</v>
      </c>
      <c r="E4948" s="2">
        <f ca="1">IFERROR(__xludf.DUMMYFUNCTION("""COMPUTED_VALUE"""),2)</f>
        <v>2</v>
      </c>
    </row>
    <row r="4949" spans="1:5" ht="13">
      <c r="A4949" s="2" t="str">
        <f ca="1">IFERROR(__xludf.DUMMYFUNCTION("""COMPUTED_VALUE"""),"Lilburn, Douglas")</f>
        <v>Lilburn, Douglas</v>
      </c>
      <c r="B4949" s="3">
        <f ca="1">IFERROR(__xludf.DUMMYFUNCTION("""COMPUTED_VALUE"""),1)</f>
        <v>1</v>
      </c>
      <c r="C4949" s="7">
        <f ca="1">IFERROR(__xludf.DUMMYFUNCTION("""COMPUTED_VALUE"""),1)</f>
        <v>1</v>
      </c>
      <c r="D4949" s="8">
        <f ca="1">IFERROR(__xludf.DUMMYFUNCTION("""COMPUTED_VALUE"""),5)</f>
        <v>5</v>
      </c>
      <c r="E4949" s="2">
        <f ca="1">IFERROR(__xludf.DUMMYFUNCTION("""COMPUTED_VALUE"""),2)</f>
        <v>2</v>
      </c>
    </row>
    <row r="4950" spans="1:5" ht="13">
      <c r="A4950" s="2" t="str">
        <f ca="1">IFERROR(__xludf.DUMMYFUNCTION("""COMPUTED_VALUE"""),"Liles, Joe")</f>
        <v>Liles, Joe</v>
      </c>
      <c r="B4950" s="2">
        <f ca="1">IFERROR(__xludf.DUMMYFUNCTION("""COMPUTED_VALUE"""),1)</f>
        <v>1</v>
      </c>
      <c r="C4950" s="7">
        <f ca="1">IFERROR(__xludf.DUMMYFUNCTION("""COMPUTED_VALUE"""),1)</f>
        <v>1</v>
      </c>
      <c r="D4950" s="8">
        <f ca="1">IFERROR(__xludf.DUMMYFUNCTION("""COMPUTED_VALUE"""),5)</f>
        <v>5</v>
      </c>
      <c r="E4950" s="2">
        <f ca="1">IFERROR(__xludf.DUMMYFUNCTION("""COMPUTED_VALUE"""),2)</f>
        <v>2</v>
      </c>
    </row>
    <row r="4951" spans="1:5" ht="13">
      <c r="A4951" s="2" t="str">
        <f ca="1">IFERROR(__xludf.DUMMYFUNCTION("""COMPUTED_VALUE"""),"Liljestrand, Paul")</f>
        <v>Liljestrand, Paul</v>
      </c>
      <c r="B4951" s="3">
        <f ca="1">IFERROR(__xludf.DUMMYFUNCTION("""COMPUTED_VALUE"""),1)</f>
        <v>1</v>
      </c>
      <c r="C4951" s="7">
        <f ca="1">IFERROR(__xludf.DUMMYFUNCTION("""COMPUTED_VALUE"""),1)</f>
        <v>1</v>
      </c>
      <c r="D4951" s="8">
        <f ca="1">IFERROR(__xludf.DUMMYFUNCTION("""COMPUTED_VALUE"""),5)</f>
        <v>5</v>
      </c>
      <c r="E4951" s="2">
        <f ca="1">IFERROR(__xludf.DUMMYFUNCTION("""COMPUTED_VALUE"""),2)</f>
        <v>2</v>
      </c>
    </row>
    <row r="4952" spans="1:5" ht="13">
      <c r="A4952" s="2" t="str">
        <f ca="1">IFERROR(__xludf.DUMMYFUNCTION("""COMPUTED_VALUE"""),"Lillya, Clifford")</f>
        <v>Lillya, Clifford</v>
      </c>
      <c r="B4952" s="2">
        <f ca="1">IFERROR(__xludf.DUMMYFUNCTION("""COMPUTED_VALUE"""),1)</f>
        <v>1</v>
      </c>
      <c r="C4952" s="7">
        <f ca="1">IFERROR(__xludf.DUMMYFUNCTION("""COMPUTED_VALUE"""),1)</f>
        <v>1</v>
      </c>
      <c r="D4952" s="8">
        <f ca="1">IFERROR(__xludf.DUMMYFUNCTION("""COMPUTED_VALUE"""),5)</f>
        <v>5</v>
      </c>
      <c r="E4952" s="2">
        <f ca="1">IFERROR(__xludf.DUMMYFUNCTION("""COMPUTED_VALUE"""),2)</f>
        <v>2</v>
      </c>
    </row>
    <row r="4953" spans="1:5" ht="13">
      <c r="A4953" s="2" t="str">
        <f ca="1">IFERROR(__xludf.DUMMYFUNCTION("""COMPUTED_VALUE"""),"Lillya, Clifford / Issac, Merle")</f>
        <v>Lillya, Clifford / Issac, Merle</v>
      </c>
      <c r="B4953" s="3">
        <f ca="1">IFERROR(__xludf.DUMMYFUNCTION("""COMPUTED_VALUE"""),1)</f>
        <v>1</v>
      </c>
      <c r="C4953" s="7">
        <f ca="1">IFERROR(__xludf.DUMMYFUNCTION("""COMPUTED_VALUE"""),1)</f>
        <v>1</v>
      </c>
      <c r="D4953" s="8">
        <f ca="1">IFERROR(__xludf.DUMMYFUNCTION("""COMPUTED_VALUE"""),5)</f>
        <v>5</v>
      </c>
      <c r="E4953" s="3">
        <f ca="1">IFERROR(__xludf.DUMMYFUNCTION("""COMPUTED_VALUE"""),2)</f>
        <v>2</v>
      </c>
    </row>
    <row r="4954" spans="1:5" ht="13">
      <c r="A4954" s="2" t="str">
        <f ca="1">IFERROR(__xludf.DUMMYFUNCTION("""COMPUTED_VALUE"""),"Lincke, Paul")</f>
        <v>Lincke, Paul</v>
      </c>
      <c r="B4954" s="2">
        <f ca="1">IFERROR(__xludf.DUMMYFUNCTION("""COMPUTED_VALUE"""),1)</f>
        <v>1</v>
      </c>
      <c r="C4954" s="7">
        <f ca="1">IFERROR(__xludf.DUMMYFUNCTION("""COMPUTED_VALUE"""),1)</f>
        <v>1</v>
      </c>
      <c r="D4954" s="8">
        <f ca="1">IFERROR(__xludf.DUMMYFUNCTION("""COMPUTED_VALUE"""),5)</f>
        <v>5</v>
      </c>
      <c r="E4954" s="2">
        <f ca="1">IFERROR(__xludf.DUMMYFUNCTION("""COMPUTED_VALUE"""),2)</f>
        <v>2</v>
      </c>
    </row>
    <row r="4955" spans="1:5" ht="13">
      <c r="A4955" s="2" t="str">
        <f ca="1">IFERROR(__xludf.DUMMYFUNCTION("""COMPUTED_VALUE"""),"Lincoln, Harry")</f>
        <v>Lincoln, Harry</v>
      </c>
      <c r="B4955" s="3">
        <f ca="1">IFERROR(__xludf.DUMMYFUNCTION("""COMPUTED_VALUE"""),1)</f>
        <v>1</v>
      </c>
      <c r="C4955" s="7">
        <f ca="1">IFERROR(__xludf.DUMMYFUNCTION("""COMPUTED_VALUE"""),1)</f>
        <v>1</v>
      </c>
      <c r="D4955" s="8">
        <f ca="1">IFERROR(__xludf.DUMMYFUNCTION("""COMPUTED_VALUE"""),5)</f>
        <v>5</v>
      </c>
      <c r="E4955" s="2">
        <f ca="1">IFERROR(__xludf.DUMMYFUNCTION("""COMPUTED_VALUE"""),2)</f>
        <v>2</v>
      </c>
    </row>
    <row r="4956" spans="1:5" ht="13">
      <c r="A4956" s="2" t="str">
        <f ca="1">IFERROR(__xludf.DUMMYFUNCTION("""COMPUTED_VALUE"""),"Lincoln, Harry J.")</f>
        <v>Lincoln, Harry J.</v>
      </c>
      <c r="B4956" s="3">
        <f ca="1">IFERROR(__xludf.DUMMYFUNCTION("""COMPUTED_VALUE"""),1)</f>
        <v>1</v>
      </c>
      <c r="C4956" s="7">
        <f ca="1">IFERROR(__xludf.DUMMYFUNCTION("""COMPUTED_VALUE"""),1)</f>
        <v>1</v>
      </c>
      <c r="D4956" s="8">
        <f ca="1">IFERROR(__xludf.DUMMYFUNCTION("""COMPUTED_VALUE"""),5)</f>
        <v>5</v>
      </c>
      <c r="E4956" s="2">
        <f ca="1">IFERROR(__xludf.DUMMYFUNCTION("""COMPUTED_VALUE"""),2)</f>
        <v>2</v>
      </c>
    </row>
    <row r="4957" spans="1:5" ht="13">
      <c r="A4957" s="2" t="str">
        <f ca="1">IFERROR(__xludf.DUMMYFUNCTION("""COMPUTED_VALUE"""),"Lindberg, Christian")</f>
        <v>Lindberg, Christian</v>
      </c>
      <c r="B4957" s="3">
        <f ca="1">IFERROR(__xludf.DUMMYFUNCTION("""COMPUTED_VALUE"""),1)</f>
        <v>1</v>
      </c>
      <c r="C4957" s="7">
        <f ca="1">IFERROR(__xludf.DUMMYFUNCTION("""COMPUTED_VALUE"""),1)</f>
        <v>1</v>
      </c>
      <c r="D4957" s="8">
        <f ca="1">IFERROR(__xludf.DUMMYFUNCTION("""COMPUTED_VALUE"""),1)</f>
        <v>1</v>
      </c>
      <c r="E4957" s="2">
        <f ca="1">IFERROR(__xludf.DUMMYFUNCTION("""COMPUTED_VALUE"""),1)</f>
        <v>1</v>
      </c>
    </row>
    <row r="4958" spans="1:5" ht="13">
      <c r="A4958" s="2" t="str">
        <f ca="1">IFERROR(__xludf.DUMMYFUNCTION("""COMPUTED_VALUE"""),"Lindberg, Magnus")</f>
        <v>Lindberg, Magnus</v>
      </c>
      <c r="B4958" s="3">
        <f ca="1">IFERROR(__xludf.DUMMYFUNCTION("""COMPUTED_VALUE"""),1)</f>
        <v>1</v>
      </c>
      <c r="C4958" s="7">
        <f ca="1">IFERROR(__xludf.DUMMYFUNCTION("""COMPUTED_VALUE"""),1)</f>
        <v>1</v>
      </c>
      <c r="D4958" s="8">
        <f ca="1">IFERROR(__xludf.DUMMYFUNCTION("""COMPUTED_VALUE"""),1)</f>
        <v>1</v>
      </c>
      <c r="E4958" s="2">
        <f ca="1">IFERROR(__xludf.DUMMYFUNCTION("""COMPUTED_VALUE"""),1)</f>
        <v>1</v>
      </c>
    </row>
    <row r="4959" spans="1:5" ht="13">
      <c r="A4959" s="2" t="str">
        <f ca="1">IFERROR(__xludf.DUMMYFUNCTION("""COMPUTED_VALUE"""),"Lindberg, Nils")</f>
        <v>Lindberg, Nils</v>
      </c>
      <c r="B4959" s="3">
        <f ca="1">IFERROR(__xludf.DUMMYFUNCTION("""COMPUTED_VALUE"""),1)</f>
        <v>1</v>
      </c>
      <c r="C4959" s="7">
        <f ca="1">IFERROR(__xludf.DUMMYFUNCTION("""COMPUTED_VALUE"""),1)</f>
        <v>1</v>
      </c>
      <c r="D4959" s="8">
        <f ca="1">IFERROR(__xludf.DUMMYFUNCTION("""COMPUTED_VALUE"""),5)</f>
        <v>5</v>
      </c>
      <c r="E4959" s="2">
        <f ca="1">IFERROR(__xludf.DUMMYFUNCTION("""COMPUTED_VALUE"""),2)</f>
        <v>2</v>
      </c>
    </row>
    <row r="4960" spans="1:5" ht="13">
      <c r="A4960" s="2" t="str">
        <f ca="1">IFERROR(__xludf.DUMMYFUNCTION("""COMPUTED_VALUE"""),"Lindberg, Oskar")</f>
        <v>Lindberg, Oskar</v>
      </c>
      <c r="B4960" s="3">
        <f ca="1">IFERROR(__xludf.DUMMYFUNCTION("""COMPUTED_VALUE"""),1)</f>
        <v>1</v>
      </c>
      <c r="C4960" s="7">
        <f ca="1">IFERROR(__xludf.DUMMYFUNCTION("""COMPUTED_VALUE"""),1)</f>
        <v>1</v>
      </c>
      <c r="D4960" s="8">
        <f ca="1">IFERROR(__xludf.DUMMYFUNCTION("""COMPUTED_VALUE"""),5)</f>
        <v>5</v>
      </c>
      <c r="E4960" s="2">
        <f ca="1">IFERROR(__xludf.DUMMYFUNCTION("""COMPUTED_VALUE"""),2)</f>
        <v>2</v>
      </c>
    </row>
    <row r="4961" spans="1:5" ht="13">
      <c r="A4961" s="2" t="str">
        <f ca="1">IFERROR(__xludf.DUMMYFUNCTION("""COMPUTED_VALUE"""),"Lindh, Jody")</f>
        <v>Lindh, Jody</v>
      </c>
      <c r="B4961" s="3">
        <f ca="1">IFERROR(__xludf.DUMMYFUNCTION("""COMPUTED_VALUE"""),1)</f>
        <v>1</v>
      </c>
      <c r="C4961" s="7">
        <f ca="1">IFERROR(__xludf.DUMMYFUNCTION("""COMPUTED_VALUE"""),1)</f>
        <v>1</v>
      </c>
      <c r="D4961" s="8">
        <f ca="1">IFERROR(__xludf.DUMMYFUNCTION("""COMPUTED_VALUE"""),5)</f>
        <v>5</v>
      </c>
      <c r="E4961" s="2">
        <f ca="1">IFERROR(__xludf.DUMMYFUNCTION("""COMPUTED_VALUE"""),2)</f>
        <v>2</v>
      </c>
    </row>
    <row r="4962" spans="1:5" ht="13">
      <c r="A4962" s="2" t="str">
        <f ca="1">IFERROR(__xludf.DUMMYFUNCTION("""COMPUTED_VALUE"""),"Lindley, Simon")</f>
        <v>Lindley, Simon</v>
      </c>
      <c r="B4962" s="3">
        <f ca="1">IFERROR(__xludf.DUMMYFUNCTION("""COMPUTED_VALUE"""),1)</f>
        <v>1</v>
      </c>
      <c r="C4962" s="7">
        <f ca="1">IFERROR(__xludf.DUMMYFUNCTION("""COMPUTED_VALUE"""),1)</f>
        <v>1</v>
      </c>
      <c r="D4962" s="8">
        <f ca="1">IFERROR(__xludf.DUMMYFUNCTION("""COMPUTED_VALUE"""),1)</f>
        <v>1</v>
      </c>
      <c r="E4962" s="2">
        <f ca="1">IFERROR(__xludf.DUMMYFUNCTION("""COMPUTED_VALUE"""),1)</f>
        <v>1</v>
      </c>
    </row>
    <row r="4963" spans="1:5" ht="13">
      <c r="A4963" s="2" t="str">
        <f ca="1">IFERROR(__xludf.DUMMYFUNCTION("""COMPUTED_VALUE"""),"Lindroth, Scott")</f>
        <v>Lindroth, Scott</v>
      </c>
      <c r="B4963" s="3">
        <f ca="1">IFERROR(__xludf.DUMMYFUNCTION("""COMPUTED_VALUE"""),1)</f>
        <v>1</v>
      </c>
      <c r="C4963" s="7">
        <f ca="1">IFERROR(__xludf.DUMMYFUNCTION("""COMPUTED_VALUE"""),1)</f>
        <v>1</v>
      </c>
      <c r="D4963" s="8">
        <f ca="1">IFERROR(__xludf.DUMMYFUNCTION("""COMPUTED_VALUE"""),1)</f>
        <v>1</v>
      </c>
      <c r="E4963" s="2">
        <f ca="1">IFERROR(__xludf.DUMMYFUNCTION("""COMPUTED_VALUE"""),1)</f>
        <v>1</v>
      </c>
    </row>
    <row r="4964" spans="1:5" ht="13">
      <c r="A4964" s="2" t="str">
        <f ca="1">IFERROR(__xludf.DUMMYFUNCTION("""COMPUTED_VALUE"""),"Lindsay, Brett")</f>
        <v>Lindsay, Brett</v>
      </c>
      <c r="B4964" s="2">
        <f ca="1">IFERROR(__xludf.DUMMYFUNCTION("""COMPUTED_VALUE"""),1)</f>
        <v>1</v>
      </c>
      <c r="C4964" s="2">
        <f ca="1">IFERROR(__xludf.DUMMYFUNCTION("""COMPUTED_VALUE"""),1)</f>
        <v>1</v>
      </c>
      <c r="D4964" s="8">
        <f ca="1">IFERROR(__xludf.DUMMYFUNCTION("""COMPUTED_VALUE"""),1)</f>
        <v>1</v>
      </c>
      <c r="E4964" s="2">
        <f ca="1">IFERROR(__xludf.DUMMYFUNCTION("""COMPUTED_VALUE"""),1)</f>
        <v>1</v>
      </c>
    </row>
    <row r="4965" spans="1:5" ht="13">
      <c r="A4965" s="2" t="str">
        <f ca="1">IFERROR(__xludf.DUMMYFUNCTION("""COMPUTED_VALUE"""),"Lindstrom, G. Mikael")</f>
        <v>Lindstrom, G. Mikael</v>
      </c>
      <c r="B4965" s="3">
        <f ca="1">IFERROR(__xludf.DUMMYFUNCTION("""COMPUTED_VALUE"""),1)</f>
        <v>1</v>
      </c>
      <c r="C4965" s="7">
        <f ca="1">IFERROR(__xludf.DUMMYFUNCTION("""COMPUTED_VALUE"""),1)</f>
        <v>1</v>
      </c>
      <c r="D4965" s="8">
        <f ca="1">IFERROR(__xludf.DUMMYFUNCTION("""COMPUTED_VALUE"""),1)</f>
        <v>1</v>
      </c>
      <c r="E4965" s="2">
        <f ca="1">IFERROR(__xludf.DUMMYFUNCTION("""COMPUTED_VALUE"""),1)</f>
        <v>1</v>
      </c>
    </row>
    <row r="4966" spans="1:5" ht="13">
      <c r="A4966" s="2" t="str">
        <f ca="1">IFERROR(__xludf.DUMMYFUNCTION("""COMPUTED_VALUE"""),"Lindveit, Ryan")</f>
        <v>Lindveit, Ryan</v>
      </c>
      <c r="B4966" s="3">
        <f ca="1">IFERROR(__xludf.DUMMYFUNCTION("""COMPUTED_VALUE"""),1)</f>
        <v>1</v>
      </c>
      <c r="C4966" s="7">
        <f ca="1">IFERROR(__xludf.DUMMYFUNCTION("""COMPUTED_VALUE"""),1)</f>
        <v>1</v>
      </c>
      <c r="D4966" s="8">
        <f ca="1">IFERROR(__xludf.DUMMYFUNCTION("""COMPUTED_VALUE"""),1)</f>
        <v>1</v>
      </c>
      <c r="E4966" s="2">
        <f ca="1">IFERROR(__xludf.DUMMYFUNCTION("""COMPUTED_VALUE"""),1)</f>
        <v>1</v>
      </c>
    </row>
    <row r="4967" spans="1:5" ht="13">
      <c r="A4967" s="2" t="str">
        <f ca="1">IFERROR(__xludf.DUMMYFUNCTION("""COMPUTED_VALUE"""),"Lindvelt, Ryan")</f>
        <v>Lindvelt, Ryan</v>
      </c>
      <c r="B4967" s="2">
        <f ca="1">IFERROR(__xludf.DUMMYFUNCTION("""COMPUTED_VALUE"""),1)</f>
        <v>1</v>
      </c>
      <c r="C4967" s="7">
        <f ca="1">IFERROR(__xludf.DUMMYFUNCTION("""COMPUTED_VALUE"""),1)</f>
        <v>1</v>
      </c>
      <c r="D4967" s="8">
        <f ca="1">IFERROR(__xludf.DUMMYFUNCTION("""COMPUTED_VALUE"""),1)</f>
        <v>1</v>
      </c>
      <c r="E4967" s="2">
        <f ca="1">IFERROR(__xludf.DUMMYFUNCTION("""COMPUTED_VALUE"""),1)</f>
        <v>1</v>
      </c>
    </row>
    <row r="4968" spans="1:5" ht="13">
      <c r="A4968" s="2" t="str">
        <f ca="1">IFERROR(__xludf.DUMMYFUNCTION("""COMPUTED_VALUE"""),"Linek, Georg Ignaz (Jirí Ignác)")</f>
        <v>Linek, Georg Ignaz (Jirí Ignác)</v>
      </c>
      <c r="B4968" s="3">
        <f ca="1">IFERROR(__xludf.DUMMYFUNCTION("""COMPUTED_VALUE"""),1)</f>
        <v>1</v>
      </c>
      <c r="C4968" s="7">
        <f ca="1">IFERROR(__xludf.DUMMYFUNCTION("""COMPUTED_VALUE"""),1)</f>
        <v>1</v>
      </c>
      <c r="D4968" s="8">
        <f ca="1">IFERROR(__xludf.DUMMYFUNCTION("""COMPUTED_VALUE"""),5)</f>
        <v>5</v>
      </c>
      <c r="E4968" s="2">
        <f ca="1">IFERROR(__xludf.DUMMYFUNCTION("""COMPUTED_VALUE"""),2)</f>
        <v>2</v>
      </c>
    </row>
    <row r="4969" spans="1:5" ht="13">
      <c r="A4969" s="2" t="str">
        <f ca="1">IFERROR(__xludf.DUMMYFUNCTION("""COMPUTED_VALUE"""),"Lington, Aaron")</f>
        <v>Lington, Aaron</v>
      </c>
      <c r="B4969" s="3">
        <f ca="1">IFERROR(__xludf.DUMMYFUNCTION("""COMPUTED_VALUE"""),1)</f>
        <v>1</v>
      </c>
      <c r="C4969" s="7">
        <f ca="1">IFERROR(__xludf.DUMMYFUNCTION("""COMPUTED_VALUE"""),1)</f>
        <v>1</v>
      </c>
      <c r="D4969" s="8">
        <f ca="1">IFERROR(__xludf.DUMMYFUNCTION("""COMPUTED_VALUE"""),1)</f>
        <v>1</v>
      </c>
      <c r="E4969" s="2">
        <f ca="1">IFERROR(__xludf.DUMMYFUNCTION("""COMPUTED_VALUE"""),1)</f>
        <v>1</v>
      </c>
    </row>
    <row r="4970" spans="1:5" ht="13">
      <c r="A4970" s="2" t="str">
        <f ca="1">IFERROR(__xludf.DUMMYFUNCTION("""COMPUTED_VALUE"""),"Linklater, Fraser")</f>
        <v>Linklater, Fraser</v>
      </c>
      <c r="B4970" s="3">
        <f ca="1">IFERROR(__xludf.DUMMYFUNCTION("""COMPUTED_VALUE"""),1)</f>
        <v>1</v>
      </c>
      <c r="C4970" s="7">
        <f ca="1">IFERROR(__xludf.DUMMYFUNCTION("""COMPUTED_VALUE"""),1)</f>
        <v>1</v>
      </c>
      <c r="D4970" s="8">
        <f ca="1">IFERROR(__xludf.DUMMYFUNCTION("""COMPUTED_VALUE"""),1)</f>
        <v>1</v>
      </c>
      <c r="E4970" s="2">
        <f ca="1">IFERROR(__xludf.DUMMYFUNCTION("""COMPUTED_VALUE"""),1)</f>
        <v>1</v>
      </c>
    </row>
    <row r="4971" spans="1:5" ht="13">
      <c r="A4971" s="8" t="str">
        <f ca="1">IFERROR(__xludf.DUMMYFUNCTION("""COMPUTED_VALUE"""),"Linley, Thomas")</f>
        <v>Linley, Thomas</v>
      </c>
      <c r="B4971" s="3">
        <f ca="1">IFERROR(__xludf.DUMMYFUNCTION("""COMPUTED_VALUE"""),1)</f>
        <v>1</v>
      </c>
      <c r="C4971" s="7">
        <f ca="1">IFERROR(__xludf.DUMMYFUNCTION("""COMPUTED_VALUE"""),1)</f>
        <v>1</v>
      </c>
      <c r="D4971" s="8">
        <f ca="1">IFERROR(__xludf.DUMMYFUNCTION("""COMPUTED_VALUE"""),5)</f>
        <v>5</v>
      </c>
      <c r="E4971" s="2">
        <f ca="1">IFERROR(__xludf.DUMMYFUNCTION("""COMPUTED_VALUE"""),2)</f>
        <v>2</v>
      </c>
    </row>
    <row r="4972" spans="1:5" ht="13">
      <c r="A4972" s="2" t="str">
        <f ca="1">IFERROR(__xludf.DUMMYFUNCTION("""COMPUTED_VALUE"""),"Linn, Robert")</f>
        <v>Linn, Robert</v>
      </c>
      <c r="B4972" s="3">
        <f ca="1">IFERROR(__xludf.DUMMYFUNCTION("""COMPUTED_VALUE"""),1)</f>
        <v>1</v>
      </c>
      <c r="C4972" s="7">
        <f ca="1">IFERROR(__xludf.DUMMYFUNCTION("""COMPUTED_VALUE"""),1)</f>
        <v>1</v>
      </c>
      <c r="D4972" s="8">
        <f ca="1">IFERROR(__xludf.DUMMYFUNCTION("""COMPUTED_VALUE"""),5)</f>
        <v>5</v>
      </c>
      <c r="E4972" s="3">
        <f ca="1">IFERROR(__xludf.DUMMYFUNCTION("""COMPUTED_VALUE"""),2)</f>
        <v>2</v>
      </c>
    </row>
    <row r="4973" spans="1:5" ht="13">
      <c r="A4973" s="2" t="str">
        <f ca="1">IFERROR(__xludf.DUMMYFUNCTION("""COMPUTED_VALUE"""),"Linnehan, Len")</f>
        <v>Linnehan, Len</v>
      </c>
      <c r="B4973" s="3">
        <f ca="1">IFERROR(__xludf.DUMMYFUNCTION("""COMPUTED_VALUE"""),1)</f>
        <v>1</v>
      </c>
      <c r="C4973" s="7">
        <f ca="1">IFERROR(__xludf.DUMMYFUNCTION("""COMPUTED_VALUE"""),1)</f>
        <v>1</v>
      </c>
      <c r="D4973" s="8">
        <f ca="1">IFERROR(__xludf.DUMMYFUNCTION("""COMPUTED_VALUE"""),1)</f>
        <v>1</v>
      </c>
      <c r="E4973" s="2">
        <f ca="1">IFERROR(__xludf.DUMMYFUNCTION("""COMPUTED_VALUE"""),1)</f>
        <v>1</v>
      </c>
    </row>
    <row r="4974" spans="1:5" ht="13">
      <c r="A4974" s="2" t="str">
        <f ca="1">IFERROR(__xludf.DUMMYFUNCTION("""COMPUTED_VALUE"""),"Linton, Richard")</f>
        <v>Linton, Richard</v>
      </c>
      <c r="B4974" s="3">
        <f ca="1">IFERROR(__xludf.DUMMYFUNCTION("""COMPUTED_VALUE"""),1)</f>
        <v>1</v>
      </c>
      <c r="C4974" s="7">
        <f ca="1">IFERROR(__xludf.DUMMYFUNCTION("""COMPUTED_VALUE"""),1)</f>
        <v>1</v>
      </c>
      <c r="D4974" s="8">
        <f ca="1">IFERROR(__xludf.DUMMYFUNCTION("""COMPUTED_VALUE"""),1)</f>
        <v>1</v>
      </c>
      <c r="E4974" s="2">
        <f ca="1">IFERROR(__xludf.DUMMYFUNCTION("""COMPUTED_VALUE"""),1)</f>
        <v>1</v>
      </c>
    </row>
    <row r="4975" spans="1:5" ht="13">
      <c r="A4975" s="2" t="str">
        <f ca="1">IFERROR(__xludf.DUMMYFUNCTION("""COMPUTED_VALUE"""),"Lipkis, Larry")</f>
        <v>Lipkis, Larry</v>
      </c>
      <c r="B4975" s="3">
        <f ca="1">IFERROR(__xludf.DUMMYFUNCTION("""COMPUTED_VALUE"""),1)</f>
        <v>1</v>
      </c>
      <c r="C4975" s="7">
        <f ca="1">IFERROR(__xludf.DUMMYFUNCTION("""COMPUTED_VALUE"""),1)</f>
        <v>1</v>
      </c>
      <c r="D4975" s="8">
        <f ca="1">IFERROR(__xludf.DUMMYFUNCTION("""COMPUTED_VALUE"""),5)</f>
        <v>5</v>
      </c>
      <c r="E4975" s="2">
        <f ca="1">IFERROR(__xludf.DUMMYFUNCTION("""COMPUTED_VALUE"""),2)</f>
        <v>2</v>
      </c>
    </row>
    <row r="4976" spans="1:5" ht="13">
      <c r="A4976" s="2" t="str">
        <f ca="1">IFERROR(__xludf.DUMMYFUNCTION("""COMPUTED_VALUE"""),"Lipman, Sam")</f>
        <v>Lipman, Sam</v>
      </c>
      <c r="B4976" s="2">
        <f ca="1">IFERROR(__xludf.DUMMYFUNCTION("""COMPUTED_VALUE"""),1)</f>
        <v>1</v>
      </c>
      <c r="C4976" s="2">
        <f ca="1">IFERROR(__xludf.DUMMYFUNCTION("""COMPUTED_VALUE"""),1)</f>
        <v>1</v>
      </c>
      <c r="D4976" s="8">
        <f ca="1">IFERROR(__xludf.DUMMYFUNCTION("""COMPUTED_VALUE"""),1)</f>
        <v>1</v>
      </c>
      <c r="E4976" s="2">
        <f ca="1">IFERROR(__xludf.DUMMYFUNCTION("""COMPUTED_VALUE"""),1)</f>
        <v>1</v>
      </c>
    </row>
    <row r="4977" spans="1:5" ht="13">
      <c r="A4977" s="2" t="str">
        <f ca="1">IFERROR(__xludf.DUMMYFUNCTION("""COMPUTED_VALUE"""),"Lipner, Arthur")</f>
        <v>Lipner, Arthur</v>
      </c>
      <c r="B4977" s="3">
        <f ca="1">IFERROR(__xludf.DUMMYFUNCTION("""COMPUTED_VALUE"""),1)</f>
        <v>1</v>
      </c>
      <c r="C4977" s="7">
        <f ca="1">IFERROR(__xludf.DUMMYFUNCTION("""COMPUTED_VALUE"""),1)</f>
        <v>1</v>
      </c>
      <c r="D4977" s="8">
        <f ca="1">IFERROR(__xludf.DUMMYFUNCTION("""COMPUTED_VALUE"""),1)</f>
        <v>1</v>
      </c>
      <c r="E4977" s="2">
        <f ca="1">IFERROR(__xludf.DUMMYFUNCTION("""COMPUTED_VALUE"""),1)</f>
        <v>1</v>
      </c>
    </row>
    <row r="4978" spans="1:5" ht="13">
      <c r="A4978" s="2" t="str">
        <f ca="1">IFERROR(__xludf.DUMMYFUNCTION("""COMPUTED_VALUE"""),"Lippa, Andrew")</f>
        <v>Lippa, Andrew</v>
      </c>
      <c r="B4978" s="3">
        <f ca="1">IFERROR(__xludf.DUMMYFUNCTION("""COMPUTED_VALUE"""),1)</f>
        <v>1</v>
      </c>
      <c r="C4978" s="7">
        <f ca="1">IFERROR(__xludf.DUMMYFUNCTION("""COMPUTED_VALUE"""),1)</f>
        <v>1</v>
      </c>
      <c r="D4978" s="8">
        <f ca="1">IFERROR(__xludf.DUMMYFUNCTION("""COMPUTED_VALUE"""),1)</f>
        <v>1</v>
      </c>
      <c r="E4978" s="2">
        <f ca="1">IFERROR(__xludf.DUMMYFUNCTION("""COMPUTED_VALUE"""),1)</f>
        <v>1</v>
      </c>
    </row>
    <row r="4979" spans="1:5" ht="13">
      <c r="A4979" s="2" t="str">
        <f ca="1">IFERROR(__xludf.DUMMYFUNCTION("""COMPUTED_VALUE"""),"Lippman, Sidney")</f>
        <v>Lippman, Sidney</v>
      </c>
      <c r="B4979" s="3">
        <f ca="1">IFERROR(__xludf.DUMMYFUNCTION("""COMPUTED_VALUE"""),1)</f>
        <v>1</v>
      </c>
      <c r="C4979" s="7">
        <f ca="1">IFERROR(__xludf.DUMMYFUNCTION("""COMPUTED_VALUE"""),1)</f>
        <v>1</v>
      </c>
      <c r="D4979" s="8">
        <f ca="1">IFERROR(__xludf.DUMMYFUNCTION("""COMPUTED_VALUE"""),5)</f>
        <v>5</v>
      </c>
      <c r="E4979" s="2">
        <f ca="1">IFERROR(__xludf.DUMMYFUNCTION("""COMPUTED_VALUE"""),2)</f>
        <v>2</v>
      </c>
    </row>
    <row r="4980" spans="1:5" ht="13">
      <c r="A4980" s="2" t="str">
        <f ca="1">IFERROR(__xludf.DUMMYFUNCTION("""COMPUTED_VALUE"""),"Lipten, David")</f>
        <v>Lipten, David</v>
      </c>
      <c r="B4980" s="3">
        <f ca="1">IFERROR(__xludf.DUMMYFUNCTION("""COMPUTED_VALUE"""),1)</f>
        <v>1</v>
      </c>
      <c r="C4980" s="7">
        <f ca="1">IFERROR(__xludf.DUMMYFUNCTION("""COMPUTED_VALUE"""),1)</f>
        <v>1</v>
      </c>
      <c r="D4980" s="8">
        <f ca="1">IFERROR(__xludf.DUMMYFUNCTION("""COMPUTED_VALUE"""),1)</f>
        <v>1</v>
      </c>
      <c r="E4980" s="2">
        <f ca="1">IFERROR(__xludf.DUMMYFUNCTION("""COMPUTED_VALUE"""),1)</f>
        <v>1</v>
      </c>
    </row>
    <row r="4981" spans="1:5" ht="13">
      <c r="A4981" s="2" t="str">
        <f ca="1">IFERROR(__xludf.DUMMYFUNCTION("""COMPUTED_VALUE"""),"Lipton, Bob")</f>
        <v>Lipton, Bob</v>
      </c>
      <c r="B4981" s="3">
        <f ca="1">IFERROR(__xludf.DUMMYFUNCTION("""COMPUTED_VALUE"""),1)</f>
        <v>1</v>
      </c>
      <c r="C4981" s="7">
        <f ca="1">IFERROR(__xludf.DUMMYFUNCTION("""COMPUTED_VALUE"""),1)</f>
        <v>1</v>
      </c>
      <c r="D4981" s="8">
        <f ca="1">IFERROR(__xludf.DUMMYFUNCTION("""COMPUTED_VALUE"""),1)</f>
        <v>1</v>
      </c>
      <c r="E4981" s="2">
        <f ca="1">IFERROR(__xludf.DUMMYFUNCTION("""COMPUTED_VALUE"""),1)</f>
        <v>1</v>
      </c>
    </row>
    <row r="4982" spans="1:5" ht="13">
      <c r="A4982" s="2" t="str">
        <f ca="1">IFERROR(__xludf.DUMMYFUNCTION("""COMPUTED_VALUE"""),"Lisenko, Mykola / Steadman")</f>
        <v>Lisenko, Mykola / Steadman</v>
      </c>
      <c r="B4982" s="3">
        <f ca="1">IFERROR(__xludf.DUMMYFUNCTION("""COMPUTED_VALUE"""),1)</f>
        <v>1</v>
      </c>
      <c r="C4982" s="7">
        <f ca="1">IFERROR(__xludf.DUMMYFUNCTION("""COMPUTED_VALUE"""),1)</f>
        <v>1</v>
      </c>
      <c r="D4982" s="8">
        <f ca="1">IFERROR(__xludf.DUMMYFUNCTION("""COMPUTED_VALUE"""),5)</f>
        <v>5</v>
      </c>
      <c r="E4982" s="2">
        <f ca="1">IFERROR(__xludf.DUMMYFUNCTION("""COMPUTED_VALUE"""),2)</f>
        <v>2</v>
      </c>
    </row>
    <row r="4983" spans="1:5" ht="13">
      <c r="A4983" s="8" t="str">
        <f ca="1">IFERROR(__xludf.DUMMYFUNCTION("""COMPUTED_VALUE"""),"Lishinsky, Karl")</f>
        <v>Lishinsky, Karl</v>
      </c>
      <c r="B4983" s="3">
        <f ca="1">IFERROR(__xludf.DUMMYFUNCTION("""COMPUTED_VALUE"""),1)</f>
        <v>1</v>
      </c>
      <c r="C4983" s="7">
        <f ca="1">IFERROR(__xludf.DUMMYFUNCTION("""COMPUTED_VALUE"""),1)</f>
        <v>1</v>
      </c>
      <c r="D4983" s="8">
        <f ca="1">IFERROR(__xludf.DUMMYFUNCTION("""COMPUTED_VALUE"""),5)</f>
        <v>5</v>
      </c>
      <c r="E4983" s="2">
        <f ca="1">IFERROR(__xludf.DUMMYFUNCTION("""COMPUTED_VALUE"""),2)</f>
        <v>2</v>
      </c>
    </row>
    <row r="4984" spans="1:5" ht="13">
      <c r="A4984" s="2" t="str">
        <f ca="1">IFERROR(__xludf.DUMMYFUNCTION("""COMPUTED_VALUE"""),"Lisk, Edward")</f>
        <v>Lisk, Edward</v>
      </c>
      <c r="B4984" s="3">
        <f ca="1">IFERROR(__xludf.DUMMYFUNCTION("""COMPUTED_VALUE"""),1)</f>
        <v>1</v>
      </c>
      <c r="C4984" s="7">
        <f ca="1">IFERROR(__xludf.DUMMYFUNCTION("""COMPUTED_VALUE"""),1)</f>
        <v>1</v>
      </c>
      <c r="D4984" s="8">
        <f ca="1">IFERROR(__xludf.DUMMYFUNCTION("""COMPUTED_VALUE"""),1)</f>
        <v>1</v>
      </c>
      <c r="E4984" s="2">
        <f ca="1">IFERROR(__xludf.DUMMYFUNCTION("""COMPUTED_VALUE"""),1)</f>
        <v>1</v>
      </c>
    </row>
    <row r="4985" spans="1:5" ht="13">
      <c r="A4985" s="2" t="str">
        <f ca="1">IFERROR(__xludf.DUMMYFUNCTION("""COMPUTED_VALUE"""),"Lisley, John")</f>
        <v>Lisley, John</v>
      </c>
      <c r="B4985" s="2">
        <f ca="1">IFERROR(__xludf.DUMMYFUNCTION("""COMPUTED_VALUE"""),1)</f>
        <v>1</v>
      </c>
      <c r="C4985" s="7">
        <f ca="1">IFERROR(__xludf.DUMMYFUNCTION("""COMPUTED_VALUE"""),1)</f>
        <v>1</v>
      </c>
      <c r="D4985" s="8">
        <f ca="1">IFERROR(__xludf.DUMMYFUNCTION("""COMPUTED_VALUE"""),5)</f>
        <v>5</v>
      </c>
      <c r="E4985" s="2">
        <f ca="1">IFERROR(__xludf.DUMMYFUNCTION("""COMPUTED_VALUE"""),2)</f>
        <v>2</v>
      </c>
    </row>
    <row r="4986" spans="1:5" ht="13">
      <c r="A4986" s="8" t="str">
        <f ca="1">IFERROR(__xludf.DUMMYFUNCTION("""COMPUTED_VALUE"""),"Liston, Bill")</f>
        <v>Liston, Bill</v>
      </c>
      <c r="B4986" s="2">
        <f ca="1">IFERROR(__xludf.DUMMYFUNCTION("""COMPUTED_VALUE"""),1)</f>
        <v>1</v>
      </c>
      <c r="C4986" s="7">
        <f ca="1">IFERROR(__xludf.DUMMYFUNCTION("""COMPUTED_VALUE"""),1)</f>
        <v>1</v>
      </c>
      <c r="D4986" s="8">
        <f ca="1">IFERROR(__xludf.DUMMYFUNCTION("""COMPUTED_VALUE"""),1)</f>
        <v>1</v>
      </c>
      <c r="E4986" s="2">
        <f ca="1">IFERROR(__xludf.DUMMYFUNCTION("""COMPUTED_VALUE"""),1)</f>
        <v>1</v>
      </c>
    </row>
    <row r="4987" spans="1:5" ht="13">
      <c r="A4987" s="2" t="str">
        <f ca="1">IFERROR(__xludf.DUMMYFUNCTION("""COMPUTED_VALUE"""),"Liszt, Franz")</f>
        <v>Liszt, Franz</v>
      </c>
      <c r="B4987" s="3">
        <f ca="1">IFERROR(__xludf.DUMMYFUNCTION("""COMPUTED_VALUE"""),1)</f>
        <v>1</v>
      </c>
      <c r="C4987" s="7">
        <f ca="1">IFERROR(__xludf.DUMMYFUNCTION("""COMPUTED_VALUE"""),1)</f>
        <v>1</v>
      </c>
      <c r="D4987" s="8">
        <f ca="1">IFERROR(__xludf.DUMMYFUNCTION("""COMPUTED_VALUE"""),5)</f>
        <v>5</v>
      </c>
      <c r="E4987" s="2">
        <f ca="1">IFERROR(__xludf.DUMMYFUNCTION("""COMPUTED_VALUE"""),2)</f>
        <v>2</v>
      </c>
    </row>
    <row r="4988" spans="1:5" ht="13">
      <c r="A4988" s="2" t="str">
        <f ca="1">IFERROR(__xludf.DUMMYFUNCTION("""COMPUTED_VALUE"""),"Liszt, Franz / Stroud")</f>
        <v>Liszt, Franz / Stroud</v>
      </c>
      <c r="B4988" s="3">
        <f ca="1">IFERROR(__xludf.DUMMYFUNCTION("""COMPUTED_VALUE"""),1)</f>
        <v>1</v>
      </c>
      <c r="C4988" s="7">
        <f ca="1">IFERROR(__xludf.DUMMYFUNCTION("""COMPUTED_VALUE"""),1)</f>
        <v>1</v>
      </c>
      <c r="D4988" s="8">
        <f ca="1">IFERROR(__xludf.DUMMYFUNCTION("""COMPUTED_VALUE"""),5)</f>
        <v>5</v>
      </c>
      <c r="E4988" s="2">
        <f ca="1">IFERROR(__xludf.DUMMYFUNCTION("""COMPUTED_VALUE"""),2)</f>
        <v>2</v>
      </c>
    </row>
    <row r="4989" spans="1:5" ht="13">
      <c r="A4989" s="2" t="str">
        <f ca="1">IFERROR(__xludf.DUMMYFUNCTION("""COMPUTED_VALUE"""),"Lithgow, Alex")</f>
        <v>Lithgow, Alex</v>
      </c>
      <c r="B4989" s="3">
        <f ca="1">IFERROR(__xludf.DUMMYFUNCTION("""COMPUTED_VALUE"""),1)</f>
        <v>1</v>
      </c>
      <c r="C4989" s="7">
        <f ca="1">IFERROR(__xludf.DUMMYFUNCTION("""COMPUTED_VALUE"""),1)</f>
        <v>1</v>
      </c>
      <c r="D4989" s="8">
        <f ca="1">IFERROR(__xludf.DUMMYFUNCTION("""COMPUTED_VALUE"""),5)</f>
        <v>5</v>
      </c>
      <c r="E4989" s="2">
        <f ca="1">IFERROR(__xludf.DUMMYFUNCTION("""COMPUTED_VALUE"""),2)</f>
        <v>2</v>
      </c>
    </row>
    <row r="4990" spans="1:5" ht="13">
      <c r="A4990" s="2" t="str">
        <f ca="1">IFERROR(__xludf.DUMMYFUNCTION("""COMPUTED_VALUE"""),"Litkei, Irvin")</f>
        <v>Litkei, Irvin</v>
      </c>
      <c r="B4990" s="2">
        <f ca="1">IFERROR(__xludf.DUMMYFUNCTION("""COMPUTED_VALUE"""),1)</f>
        <v>1</v>
      </c>
      <c r="C4990" s="7">
        <f ca="1">IFERROR(__xludf.DUMMYFUNCTION("""COMPUTED_VALUE"""),1)</f>
        <v>1</v>
      </c>
      <c r="D4990" s="8">
        <f ca="1">IFERROR(__xludf.DUMMYFUNCTION("""COMPUTED_VALUE"""),1)</f>
        <v>1</v>
      </c>
      <c r="E4990" s="2">
        <f ca="1">IFERROR(__xludf.DUMMYFUNCTION("""COMPUTED_VALUE"""),1)</f>
        <v>1</v>
      </c>
    </row>
    <row r="4991" spans="1:5" ht="13">
      <c r="A4991" s="2" t="str">
        <f ca="1">IFERROR(__xludf.DUMMYFUNCTION("""COMPUTED_VALUE"""),"Litolff, Henry C.")</f>
        <v>Litolff, Henry C.</v>
      </c>
      <c r="B4991" s="3">
        <f ca="1">IFERROR(__xludf.DUMMYFUNCTION("""COMPUTED_VALUE"""),1)</f>
        <v>1</v>
      </c>
      <c r="C4991" s="7">
        <f ca="1">IFERROR(__xludf.DUMMYFUNCTION("""COMPUTED_VALUE"""),1)</f>
        <v>1</v>
      </c>
      <c r="D4991" s="8">
        <f ca="1">IFERROR(__xludf.DUMMYFUNCTION("""COMPUTED_VALUE"""),5)</f>
        <v>5</v>
      </c>
      <c r="E4991" s="2">
        <f ca="1">IFERROR(__xludf.DUMMYFUNCTION("""COMPUTED_VALUE"""),2)</f>
        <v>2</v>
      </c>
    </row>
    <row r="4992" spans="1:5" ht="13">
      <c r="A4992" s="2" t="str">
        <f ca="1">IFERROR(__xludf.DUMMYFUNCTION("""COMPUTED_VALUE"""),"Little, David T.")</f>
        <v>Little, David T.</v>
      </c>
      <c r="B4992" s="3">
        <f ca="1">IFERROR(__xludf.DUMMYFUNCTION("""COMPUTED_VALUE"""),1)</f>
        <v>1</v>
      </c>
      <c r="C4992" s="7">
        <f ca="1">IFERROR(__xludf.DUMMYFUNCTION("""COMPUTED_VALUE"""),1)</f>
        <v>1</v>
      </c>
      <c r="D4992" s="8">
        <f ca="1">IFERROR(__xludf.DUMMYFUNCTION("""COMPUTED_VALUE"""),1)</f>
        <v>1</v>
      </c>
      <c r="E4992" s="2">
        <f ca="1">IFERROR(__xludf.DUMMYFUNCTION("""COMPUTED_VALUE"""),1)</f>
        <v>1</v>
      </c>
    </row>
    <row r="4993" spans="1:5" ht="13">
      <c r="A4993" s="2" t="str">
        <f ca="1">IFERROR(__xludf.DUMMYFUNCTION("""COMPUTED_VALUE"""),"Littlemore, Philip")</f>
        <v>Littlemore, Philip</v>
      </c>
      <c r="B4993" s="3">
        <f ca="1">IFERROR(__xludf.DUMMYFUNCTION("""COMPUTED_VALUE"""),1)</f>
        <v>1</v>
      </c>
      <c r="C4993" s="7">
        <f ca="1">IFERROR(__xludf.DUMMYFUNCTION("""COMPUTED_VALUE"""),1)</f>
        <v>1</v>
      </c>
      <c r="D4993" s="8">
        <f ca="1">IFERROR(__xludf.DUMMYFUNCTION("""COMPUTED_VALUE"""),1)</f>
        <v>1</v>
      </c>
      <c r="E4993" s="2">
        <f ca="1">IFERROR(__xludf.DUMMYFUNCTION("""COMPUTED_VALUE"""),1)</f>
        <v>1</v>
      </c>
    </row>
    <row r="4994" spans="1:5" ht="13">
      <c r="A4994" s="2" t="str">
        <f ca="1">IFERROR(__xludf.DUMMYFUNCTION("""COMPUTED_VALUE"""),"Littlemore, Phillip")</f>
        <v>Littlemore, Phillip</v>
      </c>
      <c r="B4994" s="3">
        <f ca="1">IFERROR(__xludf.DUMMYFUNCTION("""COMPUTED_VALUE"""),1)</f>
        <v>1</v>
      </c>
      <c r="C4994" s="7">
        <f ca="1">IFERROR(__xludf.DUMMYFUNCTION("""COMPUTED_VALUE"""),1)</f>
        <v>1</v>
      </c>
      <c r="D4994" s="8">
        <f ca="1">IFERROR(__xludf.DUMMYFUNCTION("""COMPUTED_VALUE"""),1)</f>
        <v>1</v>
      </c>
      <c r="E4994" s="2">
        <f ca="1">IFERROR(__xludf.DUMMYFUNCTION("""COMPUTED_VALUE"""),1)</f>
        <v>1</v>
      </c>
    </row>
    <row r="4995" spans="1:5" ht="13">
      <c r="A4995" s="2" t="str">
        <f ca="1">IFERROR(__xludf.DUMMYFUNCTION("""COMPUTED_VALUE"""),"Litton, Robert")</f>
        <v>Litton, Robert</v>
      </c>
      <c r="B4995" s="3">
        <f ca="1">IFERROR(__xludf.DUMMYFUNCTION("""COMPUTED_VALUE"""),1)</f>
        <v>1</v>
      </c>
      <c r="C4995" s="7">
        <f ca="1">IFERROR(__xludf.DUMMYFUNCTION("""COMPUTED_VALUE"""),1)</f>
        <v>1</v>
      </c>
      <c r="D4995" s="8">
        <f ca="1">IFERROR(__xludf.DUMMYFUNCTION("""COMPUTED_VALUE"""),1)</f>
        <v>1</v>
      </c>
      <c r="E4995" s="2">
        <f ca="1">IFERROR(__xludf.DUMMYFUNCTION("""COMPUTED_VALUE"""),1)</f>
        <v>1</v>
      </c>
    </row>
    <row r="4996" spans="1:5" ht="13">
      <c r="A4996" s="2" t="str">
        <f ca="1">IFERROR(__xludf.DUMMYFUNCTION("""COMPUTED_VALUE"""),"Livgren, Kerry")</f>
        <v>Livgren, Kerry</v>
      </c>
      <c r="B4996" s="3">
        <f ca="1">IFERROR(__xludf.DUMMYFUNCTION("""COMPUTED_VALUE"""),1)</f>
        <v>1</v>
      </c>
      <c r="C4996" s="7">
        <f ca="1">IFERROR(__xludf.DUMMYFUNCTION("""COMPUTED_VALUE"""),1)</f>
        <v>1</v>
      </c>
      <c r="D4996" s="8">
        <f ca="1">IFERROR(__xludf.DUMMYFUNCTION("""COMPUTED_VALUE"""),1)</f>
        <v>1</v>
      </c>
      <c r="E4996" s="2">
        <f ca="1">IFERROR(__xludf.DUMMYFUNCTION("""COMPUTED_VALUE"""),1)</f>
        <v>1</v>
      </c>
    </row>
    <row r="4997" spans="1:5" ht="13">
      <c r="A4997" s="2" t="str">
        <f ca="1">IFERROR(__xludf.DUMMYFUNCTION("""COMPUTED_VALUE"""),"Livingston, David")</f>
        <v>Livingston, David</v>
      </c>
      <c r="B4997" s="2">
        <f ca="1">IFERROR(__xludf.DUMMYFUNCTION("""COMPUTED_VALUE"""),1)</f>
        <v>1</v>
      </c>
      <c r="C4997" s="7">
        <f ca="1">IFERROR(__xludf.DUMMYFUNCTION("""COMPUTED_VALUE"""),1)</f>
        <v>1</v>
      </c>
      <c r="D4997" s="8">
        <f ca="1">IFERROR(__xludf.DUMMYFUNCTION("""COMPUTED_VALUE"""),5)</f>
        <v>5</v>
      </c>
      <c r="E4997" s="2">
        <f ca="1">IFERROR(__xludf.DUMMYFUNCTION("""COMPUTED_VALUE"""),2)</f>
        <v>2</v>
      </c>
    </row>
    <row r="4998" spans="1:5" ht="13">
      <c r="A4998" s="2" t="str">
        <f ca="1">IFERROR(__xludf.DUMMYFUNCTION("""COMPUTED_VALUE"""),"Livingston, Samuel A.")</f>
        <v>Livingston, Samuel A.</v>
      </c>
      <c r="B4998" s="3">
        <f ca="1">IFERROR(__xludf.DUMMYFUNCTION("""COMPUTED_VALUE"""),1)</f>
        <v>1</v>
      </c>
      <c r="C4998" s="7">
        <f ca="1">IFERROR(__xludf.DUMMYFUNCTION("""COMPUTED_VALUE"""),1)</f>
        <v>1</v>
      </c>
      <c r="D4998" s="8">
        <f ca="1">IFERROR(__xludf.DUMMYFUNCTION("""COMPUTED_VALUE"""),1)</f>
        <v>1</v>
      </c>
      <c r="E4998" s="2">
        <f ca="1">IFERROR(__xludf.DUMMYFUNCTION("""COMPUTED_VALUE"""),1)</f>
        <v>1</v>
      </c>
    </row>
    <row r="4999" spans="1:5" ht="13">
      <c r="A4999" s="2" t="str">
        <f ca="1">IFERROR(__xludf.DUMMYFUNCTION("""COMPUTED_VALUE"""),"Livingston, Samuel S.")</f>
        <v>Livingston, Samuel S.</v>
      </c>
      <c r="B4999" s="3">
        <f ca="1">IFERROR(__xludf.DUMMYFUNCTION("""COMPUTED_VALUE"""),1)</f>
        <v>1</v>
      </c>
      <c r="C4999" s="7">
        <f ca="1">IFERROR(__xludf.DUMMYFUNCTION("""COMPUTED_VALUE"""),1)</f>
        <v>1</v>
      </c>
      <c r="D4999" s="8">
        <f ca="1">IFERROR(__xludf.DUMMYFUNCTION("""COMPUTED_VALUE"""),1)</f>
        <v>1</v>
      </c>
      <c r="E4999" s="2">
        <f ca="1">IFERROR(__xludf.DUMMYFUNCTION("""COMPUTED_VALUE"""),1)</f>
        <v>1</v>
      </c>
    </row>
    <row r="5000" spans="1:5" ht="13">
      <c r="A5000" s="8" t="str">
        <f ca="1">IFERROR(__xludf.DUMMYFUNCTION("""COMPUTED_VALUE"""),"Livingston, Wayne")</f>
        <v>Livingston, Wayne</v>
      </c>
      <c r="B5000" s="3">
        <f ca="1">IFERROR(__xludf.DUMMYFUNCTION("""COMPUTED_VALUE"""),1)</f>
        <v>1</v>
      </c>
      <c r="C5000" s="7">
        <f ca="1">IFERROR(__xludf.DUMMYFUNCTION("""COMPUTED_VALUE"""),1)</f>
        <v>1</v>
      </c>
      <c r="D5000" s="8">
        <f ca="1">IFERROR(__xludf.DUMMYFUNCTION("""COMPUTED_VALUE"""),1)</f>
        <v>1</v>
      </c>
      <c r="E5000" s="2">
        <f ca="1">IFERROR(__xludf.DUMMYFUNCTION("""COMPUTED_VALUE"""),1)</f>
        <v>1</v>
      </c>
    </row>
    <row r="5001" spans="1:5" ht="13">
      <c r="A5001" s="8" t="str">
        <f ca="1">IFERROR(__xludf.DUMMYFUNCTION("""COMPUTED_VALUE"""),"Livingston, William")</f>
        <v>Livingston, William</v>
      </c>
      <c r="B5001" s="3">
        <f ca="1">IFERROR(__xludf.DUMMYFUNCTION("""COMPUTED_VALUE"""),1)</f>
        <v>1</v>
      </c>
      <c r="C5001" s="7">
        <f ca="1">IFERROR(__xludf.DUMMYFUNCTION("""COMPUTED_VALUE"""),1)</f>
        <v>1</v>
      </c>
      <c r="D5001" s="8">
        <f ca="1">IFERROR(__xludf.DUMMYFUNCTION("""COMPUTED_VALUE"""),5)</f>
        <v>5</v>
      </c>
      <c r="E5001" s="2">
        <f ca="1">IFERROR(__xludf.DUMMYFUNCTION("""COMPUTED_VALUE"""),2)</f>
        <v>2</v>
      </c>
    </row>
    <row r="5002" spans="1:5" ht="13">
      <c r="A5002" s="8" t="str">
        <f ca="1">IFERROR(__xludf.DUMMYFUNCTION("""COMPUTED_VALUE"""),"Ljova")</f>
        <v>Ljova</v>
      </c>
      <c r="B5002" s="3">
        <f ca="1">IFERROR(__xludf.DUMMYFUNCTION("""COMPUTED_VALUE"""),1)</f>
        <v>1</v>
      </c>
      <c r="C5002" s="7">
        <f ca="1">IFERROR(__xludf.DUMMYFUNCTION("""COMPUTED_VALUE"""),1)</f>
        <v>1</v>
      </c>
      <c r="D5002" s="8">
        <f ca="1">IFERROR(__xludf.DUMMYFUNCTION("""COMPUTED_VALUE"""),1)</f>
        <v>1</v>
      </c>
      <c r="E5002" s="2">
        <f ca="1">IFERROR(__xludf.DUMMYFUNCTION("""COMPUTED_VALUE"""),1)</f>
        <v>1</v>
      </c>
    </row>
    <row r="5003" spans="1:5" ht="13">
      <c r="A5003" s="2" t="str">
        <f ca="1">IFERROR(__xludf.DUMMYFUNCTION("""COMPUTED_VALUE"""),"Lloyd-Jones, David")</f>
        <v>Lloyd-Jones, David</v>
      </c>
      <c r="B5003" s="2">
        <f ca="1">IFERROR(__xludf.DUMMYFUNCTION("""COMPUTED_VALUE"""),1)</f>
        <v>1</v>
      </c>
      <c r="C5003" s="7">
        <f ca="1">IFERROR(__xludf.DUMMYFUNCTION("""COMPUTED_VALUE"""),1)</f>
        <v>1</v>
      </c>
      <c r="D5003" s="8">
        <f ca="1">IFERROR(__xludf.DUMMYFUNCTION("""COMPUTED_VALUE"""),5)</f>
        <v>5</v>
      </c>
      <c r="E5003" s="2">
        <f ca="1">IFERROR(__xludf.DUMMYFUNCTION("""COMPUTED_VALUE"""),2)</f>
        <v>2</v>
      </c>
    </row>
    <row r="5004" spans="1:5" ht="13">
      <c r="A5004" s="2" t="str">
        <f ca="1">IFERROR(__xludf.DUMMYFUNCTION("""COMPUTED_VALUE"""),"Lloyd, George")</f>
        <v>Lloyd, George</v>
      </c>
      <c r="B5004" s="3">
        <f ca="1">IFERROR(__xludf.DUMMYFUNCTION("""COMPUTED_VALUE"""),1)</f>
        <v>1</v>
      </c>
      <c r="C5004" s="7">
        <f ca="1">IFERROR(__xludf.DUMMYFUNCTION("""COMPUTED_VALUE"""),1)</f>
        <v>1</v>
      </c>
      <c r="D5004" s="8">
        <f ca="1">IFERROR(__xludf.DUMMYFUNCTION("""COMPUTED_VALUE"""),5)</f>
        <v>5</v>
      </c>
      <c r="E5004" s="2">
        <f ca="1">IFERROR(__xludf.DUMMYFUNCTION("""COMPUTED_VALUE"""),2)</f>
        <v>2</v>
      </c>
    </row>
    <row r="5005" spans="1:5" ht="13">
      <c r="A5005" s="2" t="str">
        <f ca="1">IFERROR(__xludf.DUMMYFUNCTION("""COMPUTED_VALUE"""),"Lloyd, Graham")</f>
        <v>Lloyd, Graham</v>
      </c>
      <c r="B5005" s="3">
        <f ca="1">IFERROR(__xludf.DUMMYFUNCTION("""COMPUTED_VALUE"""),1)</f>
        <v>1</v>
      </c>
      <c r="C5005" s="7">
        <f ca="1">IFERROR(__xludf.DUMMYFUNCTION("""COMPUTED_VALUE"""),1)</f>
        <v>1</v>
      </c>
      <c r="D5005" s="8">
        <f ca="1">IFERROR(__xludf.DUMMYFUNCTION("""COMPUTED_VALUE"""),1)</f>
        <v>1</v>
      </c>
      <c r="E5005" s="2">
        <f ca="1">IFERROR(__xludf.DUMMYFUNCTION("""COMPUTED_VALUE"""),1)</f>
        <v>1</v>
      </c>
    </row>
    <row r="5006" spans="1:5" ht="13">
      <c r="A5006" s="2" t="str">
        <f ca="1">IFERROR(__xludf.DUMMYFUNCTION("""COMPUTED_VALUE"""),"Lloyd, John")</f>
        <v>Lloyd, John</v>
      </c>
      <c r="B5006" s="3">
        <f ca="1">IFERROR(__xludf.DUMMYFUNCTION("""COMPUTED_VALUE"""),1)</f>
        <v>1</v>
      </c>
      <c r="C5006" s="7">
        <f ca="1">IFERROR(__xludf.DUMMYFUNCTION("""COMPUTED_VALUE"""),1)</f>
        <v>1</v>
      </c>
      <c r="D5006" s="8">
        <f ca="1">IFERROR(__xludf.DUMMYFUNCTION("""COMPUTED_VALUE"""),1)</f>
        <v>1</v>
      </c>
      <c r="E5006" s="2">
        <f ca="1">IFERROR(__xludf.DUMMYFUNCTION("""COMPUTED_VALUE"""),1)</f>
        <v>1</v>
      </c>
    </row>
    <row r="5007" spans="1:5" ht="13">
      <c r="A5007" s="2" t="str">
        <f ca="1">IFERROR(__xludf.DUMMYFUNCTION("""COMPUTED_VALUE"""),"Lloyd, Norman")</f>
        <v>Lloyd, Norman</v>
      </c>
      <c r="B5007" s="2">
        <f ca="1">IFERROR(__xludf.DUMMYFUNCTION("""COMPUTED_VALUE"""),1)</f>
        <v>1</v>
      </c>
      <c r="C5007" s="7">
        <f ca="1">IFERROR(__xludf.DUMMYFUNCTION("""COMPUTED_VALUE"""),1)</f>
        <v>1</v>
      </c>
      <c r="D5007" s="8">
        <f ca="1">IFERROR(__xludf.DUMMYFUNCTION("""COMPUTED_VALUE"""),5)</f>
        <v>5</v>
      </c>
      <c r="E5007" s="2">
        <f ca="1">IFERROR(__xludf.DUMMYFUNCTION("""COMPUTED_VALUE"""),2)</f>
        <v>2</v>
      </c>
    </row>
    <row r="5008" spans="1:5" ht="13">
      <c r="A5008" s="2" t="str">
        <f ca="1">IFERROR(__xludf.DUMMYFUNCTION("""COMPUTED_VALUE"""),"Lloyd, Thomas")</f>
        <v>Lloyd, Thomas</v>
      </c>
      <c r="B5008" s="3">
        <f ca="1">IFERROR(__xludf.DUMMYFUNCTION("""COMPUTED_VALUE"""),1)</f>
        <v>1</v>
      </c>
      <c r="C5008" s="7">
        <f ca="1">IFERROR(__xludf.DUMMYFUNCTION("""COMPUTED_VALUE"""),1)</f>
        <v>1</v>
      </c>
      <c r="D5008" s="8">
        <f ca="1">IFERROR(__xludf.DUMMYFUNCTION("""COMPUTED_VALUE"""),1)</f>
        <v>1</v>
      </c>
      <c r="E5008" s="2">
        <f ca="1">IFERROR(__xludf.DUMMYFUNCTION("""COMPUTED_VALUE"""),1)</f>
        <v>1</v>
      </c>
    </row>
    <row r="5009" spans="1:5" ht="13">
      <c r="A5009" s="2" t="str">
        <f ca="1">IFERROR(__xludf.DUMMYFUNCTION("""COMPUTED_VALUE"""),"Lo Presti, Ronald")</f>
        <v>Lo Presti, Ronald</v>
      </c>
      <c r="B5009" s="3">
        <f ca="1">IFERROR(__xludf.DUMMYFUNCTION("""COMPUTED_VALUE"""),1)</f>
        <v>1</v>
      </c>
      <c r="C5009" s="7">
        <f ca="1">IFERROR(__xludf.DUMMYFUNCTION("""COMPUTED_VALUE"""),1)</f>
        <v>1</v>
      </c>
      <c r="D5009" s="8">
        <f ca="1">IFERROR(__xludf.DUMMYFUNCTION("""COMPUTED_VALUE"""),5)</f>
        <v>5</v>
      </c>
      <c r="E5009" s="2">
        <f ca="1">IFERROR(__xludf.DUMMYFUNCTION("""COMPUTED_VALUE"""),2)</f>
        <v>2</v>
      </c>
    </row>
    <row r="5010" spans="1:5" ht="13">
      <c r="A5010" s="2" t="str">
        <f ca="1">IFERROR(__xludf.DUMMYFUNCTION("""COMPUTED_VALUE"""),"Loan, Paul van")</f>
        <v>Loan, Paul van</v>
      </c>
      <c r="B5010" s="3">
        <f ca="1">IFERROR(__xludf.DUMMYFUNCTION("""COMPUTED_VALUE"""),1)</f>
        <v>1</v>
      </c>
      <c r="C5010" s="7">
        <f ca="1">IFERROR(__xludf.DUMMYFUNCTION("""COMPUTED_VALUE"""),1)</f>
        <v>1</v>
      </c>
      <c r="D5010" s="8">
        <f ca="1">IFERROR(__xludf.DUMMYFUNCTION("""COMPUTED_VALUE"""),5)</f>
        <v>5</v>
      </c>
      <c r="E5010" s="2">
        <f ca="1">IFERROR(__xludf.DUMMYFUNCTION("""COMPUTED_VALUE"""),2)</f>
        <v>2</v>
      </c>
    </row>
    <row r="5011" spans="1:5" ht="13">
      <c r="A5011" s="2" t="str">
        <f ca="1">IFERROR(__xludf.DUMMYFUNCTION("""COMPUTED_VALUE"""),"Locatelli, Pietro")</f>
        <v>Locatelli, Pietro</v>
      </c>
      <c r="B5011" s="3">
        <f ca="1">IFERROR(__xludf.DUMMYFUNCTION("""COMPUTED_VALUE"""),1)</f>
        <v>1</v>
      </c>
      <c r="C5011" s="7">
        <f ca="1">IFERROR(__xludf.DUMMYFUNCTION("""COMPUTED_VALUE"""),1)</f>
        <v>1</v>
      </c>
      <c r="D5011" s="8">
        <f ca="1">IFERROR(__xludf.DUMMYFUNCTION("""COMPUTED_VALUE"""),5)</f>
        <v>5</v>
      </c>
      <c r="E5011" s="2">
        <f ca="1">IFERROR(__xludf.DUMMYFUNCTION("""COMPUTED_VALUE"""),2)</f>
        <v>2</v>
      </c>
    </row>
    <row r="5012" spans="1:5" ht="13">
      <c r="A5012" s="2" t="str">
        <f ca="1">IFERROR(__xludf.DUMMYFUNCTION("""COMPUTED_VALUE"""),"Locatelli, Pietro Antonio")</f>
        <v>Locatelli, Pietro Antonio</v>
      </c>
      <c r="B5012" s="3">
        <f ca="1">IFERROR(__xludf.DUMMYFUNCTION("""COMPUTED_VALUE"""),1)</f>
        <v>1</v>
      </c>
      <c r="C5012" s="7">
        <f ca="1">IFERROR(__xludf.DUMMYFUNCTION("""COMPUTED_VALUE"""),1)</f>
        <v>1</v>
      </c>
      <c r="D5012" s="8">
        <f ca="1">IFERROR(__xludf.DUMMYFUNCTION("""COMPUTED_VALUE"""),5)</f>
        <v>5</v>
      </c>
      <c r="E5012" s="2">
        <f ca="1">IFERROR(__xludf.DUMMYFUNCTION("""COMPUTED_VALUE"""),2)</f>
        <v>2</v>
      </c>
    </row>
    <row r="5013" spans="1:5" ht="13">
      <c r="A5013" s="2" t="str">
        <f ca="1">IFERROR(__xludf.DUMMYFUNCTION("""COMPUTED_VALUE"""),"Lock, William")</f>
        <v>Lock, William</v>
      </c>
      <c r="B5013" s="3">
        <f ca="1">IFERROR(__xludf.DUMMYFUNCTION("""COMPUTED_VALUE"""),1)</f>
        <v>1</v>
      </c>
      <c r="C5013" s="7">
        <f ca="1">IFERROR(__xludf.DUMMYFUNCTION("""COMPUTED_VALUE"""),1)</f>
        <v>1</v>
      </c>
      <c r="D5013" s="8">
        <f ca="1">IFERROR(__xludf.DUMMYFUNCTION("""COMPUTED_VALUE"""),1)</f>
        <v>1</v>
      </c>
      <c r="E5013" s="2">
        <f ca="1">IFERROR(__xludf.DUMMYFUNCTION("""COMPUTED_VALUE"""),1)</f>
        <v>1</v>
      </c>
    </row>
    <row r="5014" spans="1:5" ht="13">
      <c r="A5014" s="2" t="str">
        <f ca="1">IFERROR(__xludf.DUMMYFUNCTION("""COMPUTED_VALUE"""),"Locke, Matthew")</f>
        <v>Locke, Matthew</v>
      </c>
      <c r="B5014" s="3">
        <f ca="1">IFERROR(__xludf.DUMMYFUNCTION("""COMPUTED_VALUE"""),1)</f>
        <v>1</v>
      </c>
      <c r="C5014" s="7">
        <f ca="1">IFERROR(__xludf.DUMMYFUNCTION("""COMPUTED_VALUE"""),1)</f>
        <v>1</v>
      </c>
      <c r="D5014" s="8">
        <f ca="1">IFERROR(__xludf.DUMMYFUNCTION("""COMPUTED_VALUE"""),5)</f>
        <v>5</v>
      </c>
      <c r="E5014" s="2">
        <f ca="1">IFERROR(__xludf.DUMMYFUNCTION("""COMPUTED_VALUE"""),2)</f>
        <v>2</v>
      </c>
    </row>
    <row r="5015" spans="1:5" ht="13">
      <c r="A5015" s="2" t="str">
        <f ca="1">IFERROR(__xludf.DUMMYFUNCTION("""COMPUTED_VALUE"""),"Locke, Miles")</f>
        <v>Locke, Miles</v>
      </c>
      <c r="B5015" s="3">
        <f ca="1">IFERROR(__xludf.DUMMYFUNCTION("""COMPUTED_VALUE"""),1)</f>
        <v>1</v>
      </c>
      <c r="C5015" s="7">
        <f ca="1">IFERROR(__xludf.DUMMYFUNCTION("""COMPUTED_VALUE"""),1)</f>
        <v>1</v>
      </c>
      <c r="D5015" s="8">
        <f ca="1">IFERROR(__xludf.DUMMYFUNCTION("""COMPUTED_VALUE"""),1)</f>
        <v>1</v>
      </c>
      <c r="E5015" s="2">
        <f ca="1">IFERROR(__xludf.DUMMYFUNCTION("""COMPUTED_VALUE"""),1)</f>
        <v>1</v>
      </c>
    </row>
    <row r="5016" spans="1:5" ht="13">
      <c r="A5016" s="2" t="str">
        <f ca="1">IFERROR(__xludf.DUMMYFUNCTION("""COMPUTED_VALUE"""),"Lockington, David")</f>
        <v>Lockington, David</v>
      </c>
      <c r="B5016" s="3">
        <f ca="1">IFERROR(__xludf.DUMMYFUNCTION("""COMPUTED_VALUE"""),1)</f>
        <v>1</v>
      </c>
      <c r="C5016" s="7">
        <f ca="1">IFERROR(__xludf.DUMMYFUNCTION("""COMPUTED_VALUE"""),1)</f>
        <v>1</v>
      </c>
      <c r="D5016" s="8">
        <f ca="1">IFERROR(__xludf.DUMMYFUNCTION("""COMPUTED_VALUE"""),1)</f>
        <v>1</v>
      </c>
      <c r="E5016" s="2">
        <f ca="1">IFERROR(__xludf.DUMMYFUNCTION("""COMPUTED_VALUE"""),1)</f>
        <v>1</v>
      </c>
    </row>
    <row r="5017" spans="1:5" ht="13">
      <c r="A5017" s="2" t="str">
        <f ca="1">IFERROR(__xludf.DUMMYFUNCTION("""COMPUTED_VALUE"""),"Locklair, Dan")</f>
        <v>Locklair, Dan</v>
      </c>
      <c r="B5017" s="3">
        <f ca="1">IFERROR(__xludf.DUMMYFUNCTION("""COMPUTED_VALUE"""),1)</f>
        <v>1</v>
      </c>
      <c r="C5017" s="7">
        <f ca="1">IFERROR(__xludf.DUMMYFUNCTION("""COMPUTED_VALUE"""),1)</f>
        <v>1</v>
      </c>
      <c r="D5017" s="8">
        <f ca="1">IFERROR(__xludf.DUMMYFUNCTION("""COMPUTED_VALUE"""),1)</f>
        <v>1</v>
      </c>
      <c r="E5017" s="2">
        <f ca="1">IFERROR(__xludf.DUMMYFUNCTION("""COMPUTED_VALUE"""),1)</f>
        <v>1</v>
      </c>
    </row>
    <row r="5018" spans="1:5" ht="13">
      <c r="A5018" s="2" t="str">
        <f ca="1">IFERROR(__xludf.DUMMYFUNCTION("""COMPUTED_VALUE"""),"Locklear, Bill")</f>
        <v>Locklear, Bill</v>
      </c>
      <c r="B5018" s="3">
        <f ca="1">IFERROR(__xludf.DUMMYFUNCTION("""COMPUTED_VALUE"""),1)</f>
        <v>1</v>
      </c>
      <c r="C5018" s="7">
        <f ca="1">IFERROR(__xludf.DUMMYFUNCTION("""COMPUTED_VALUE"""),1)</f>
        <v>1</v>
      </c>
      <c r="D5018" s="8">
        <f ca="1">IFERROR(__xludf.DUMMYFUNCTION("""COMPUTED_VALUE"""),1)</f>
        <v>1</v>
      </c>
      <c r="E5018" s="2">
        <f ca="1">IFERROR(__xludf.DUMMYFUNCTION("""COMPUTED_VALUE"""),1)</f>
        <v>1</v>
      </c>
    </row>
    <row r="5019" spans="1:5" ht="13">
      <c r="A5019" s="2" t="str">
        <f ca="1">IFERROR(__xludf.DUMMYFUNCTION("""COMPUTED_VALUE"""),"Loeffert, Jeffrey")</f>
        <v>Loeffert, Jeffrey</v>
      </c>
      <c r="B5019" s="3">
        <f ca="1">IFERROR(__xludf.DUMMYFUNCTION("""COMPUTED_VALUE"""),1)</f>
        <v>1</v>
      </c>
      <c r="C5019" s="7">
        <f ca="1">IFERROR(__xludf.DUMMYFUNCTION("""COMPUTED_VALUE"""),1)</f>
        <v>1</v>
      </c>
      <c r="D5019" s="8">
        <f ca="1">IFERROR(__xludf.DUMMYFUNCTION("""COMPUTED_VALUE"""),1)</f>
        <v>1</v>
      </c>
      <c r="E5019" s="2">
        <f ca="1">IFERROR(__xludf.DUMMYFUNCTION("""COMPUTED_VALUE"""),1)</f>
        <v>1</v>
      </c>
    </row>
    <row r="5020" spans="1:5" ht="13">
      <c r="A5020" s="2" t="str">
        <f ca="1">IFERROR(__xludf.DUMMYFUNCTION("""COMPUTED_VALUE"""),"Loeffler, Charles Martin")</f>
        <v>Loeffler, Charles Martin</v>
      </c>
      <c r="B5020" s="2">
        <f ca="1">IFERROR(__xludf.DUMMYFUNCTION("""COMPUTED_VALUE"""),1)</f>
        <v>1</v>
      </c>
      <c r="C5020" s="7">
        <f ca="1">IFERROR(__xludf.DUMMYFUNCTION("""COMPUTED_VALUE"""),1)</f>
        <v>1</v>
      </c>
      <c r="D5020" s="8">
        <f ca="1">IFERROR(__xludf.DUMMYFUNCTION("""COMPUTED_VALUE"""),5)</f>
        <v>5</v>
      </c>
      <c r="E5020" s="2">
        <f ca="1">IFERROR(__xludf.DUMMYFUNCTION("""COMPUTED_VALUE"""),2)</f>
        <v>2</v>
      </c>
    </row>
    <row r="5021" spans="1:5" ht="13">
      <c r="A5021" s="2" t="str">
        <f ca="1">IFERROR(__xludf.DUMMYFUNCTION("""COMPUTED_VALUE"""),"Loeser, Frank")</f>
        <v>Loeser, Frank</v>
      </c>
      <c r="B5021" s="3">
        <f ca="1">IFERROR(__xludf.DUMMYFUNCTION("""COMPUTED_VALUE"""),1)</f>
        <v>1</v>
      </c>
      <c r="C5021" s="7">
        <f ca="1">IFERROR(__xludf.DUMMYFUNCTION("""COMPUTED_VALUE"""),1)</f>
        <v>1</v>
      </c>
      <c r="D5021" s="8">
        <f ca="1">IFERROR(__xludf.DUMMYFUNCTION("""COMPUTED_VALUE"""),5)</f>
        <v>5</v>
      </c>
      <c r="E5021" s="2">
        <f ca="1">IFERROR(__xludf.DUMMYFUNCTION("""COMPUTED_VALUE"""),2)</f>
        <v>2</v>
      </c>
    </row>
    <row r="5022" spans="1:5" ht="13">
      <c r="A5022" s="2" t="str">
        <f ca="1">IFERROR(__xludf.DUMMYFUNCTION("""COMPUTED_VALUE"""),"Loesser, Frank")</f>
        <v>Loesser, Frank</v>
      </c>
      <c r="B5022" s="3">
        <f ca="1">IFERROR(__xludf.DUMMYFUNCTION("""COMPUTED_VALUE"""),1)</f>
        <v>1</v>
      </c>
      <c r="C5022" s="7">
        <f ca="1">IFERROR(__xludf.DUMMYFUNCTION("""COMPUTED_VALUE"""),1)</f>
        <v>1</v>
      </c>
      <c r="D5022" s="8">
        <f ca="1">IFERROR(__xludf.DUMMYFUNCTION("""COMPUTED_VALUE"""),5)</f>
        <v>5</v>
      </c>
      <c r="E5022" s="2">
        <f ca="1">IFERROR(__xludf.DUMMYFUNCTION("""COMPUTED_VALUE"""),2)</f>
        <v>2</v>
      </c>
    </row>
    <row r="5023" spans="1:5" ht="13">
      <c r="A5023" s="2" t="str">
        <f ca="1">IFERROR(__xludf.DUMMYFUNCTION("""COMPUTED_VALUE"""),"Loesser, Frank / McHugh, Jimmy")</f>
        <v>Loesser, Frank / McHugh, Jimmy</v>
      </c>
      <c r="B5023" s="2">
        <f ca="1">IFERROR(__xludf.DUMMYFUNCTION("""COMPUTED_VALUE"""),1)</f>
        <v>1</v>
      </c>
      <c r="C5023" s="7">
        <f ca="1">IFERROR(__xludf.DUMMYFUNCTION("""COMPUTED_VALUE"""),1)</f>
        <v>1</v>
      </c>
      <c r="D5023" s="8">
        <f ca="1">IFERROR(__xludf.DUMMYFUNCTION("""COMPUTED_VALUE"""),5)</f>
        <v>5</v>
      </c>
      <c r="E5023" s="2">
        <f ca="1">IFERROR(__xludf.DUMMYFUNCTION("""COMPUTED_VALUE"""),2)</f>
        <v>2</v>
      </c>
    </row>
    <row r="5024" spans="1:5" ht="13">
      <c r="A5024" s="2" t="str">
        <f ca="1">IFERROR(__xludf.DUMMYFUNCTION("""COMPUTED_VALUE"""),"Loest, Timothy")</f>
        <v>Loest, Timothy</v>
      </c>
      <c r="B5024" s="3">
        <f ca="1">IFERROR(__xludf.DUMMYFUNCTION("""COMPUTED_VALUE"""),1)</f>
        <v>1</v>
      </c>
      <c r="C5024" s="7">
        <f ca="1">IFERROR(__xludf.DUMMYFUNCTION("""COMPUTED_VALUE"""),1)</f>
        <v>1</v>
      </c>
      <c r="D5024" s="8">
        <f ca="1">IFERROR(__xludf.DUMMYFUNCTION("""COMPUTED_VALUE"""),1)</f>
        <v>1</v>
      </c>
      <c r="E5024" s="2">
        <f ca="1">IFERROR(__xludf.DUMMYFUNCTION("""COMPUTED_VALUE"""),1)</f>
        <v>1</v>
      </c>
    </row>
    <row r="5025" spans="1:5" ht="13">
      <c r="A5025" s="2" t="str">
        <f ca="1">IFERROR(__xludf.DUMMYFUNCTION("""COMPUTED_VALUE"""),"Loewe von Eisenach, Johann")</f>
        <v>Loewe von Eisenach, Johann</v>
      </c>
      <c r="B5025" s="3">
        <f ca="1">IFERROR(__xludf.DUMMYFUNCTION("""COMPUTED_VALUE"""),1)</f>
        <v>1</v>
      </c>
      <c r="C5025" s="7">
        <f ca="1">IFERROR(__xludf.DUMMYFUNCTION("""COMPUTED_VALUE"""),1)</f>
        <v>1</v>
      </c>
      <c r="D5025" s="8">
        <f ca="1">IFERROR(__xludf.DUMMYFUNCTION("""COMPUTED_VALUE"""),5)</f>
        <v>5</v>
      </c>
      <c r="E5025" s="2">
        <f ca="1">IFERROR(__xludf.DUMMYFUNCTION("""COMPUTED_VALUE"""),2)</f>
        <v>2</v>
      </c>
    </row>
    <row r="5026" spans="1:5" ht="13">
      <c r="A5026" s="2" t="str">
        <f ca="1">IFERROR(__xludf.DUMMYFUNCTION("""COMPUTED_VALUE"""),"Loewe, Carl")</f>
        <v>Loewe, Carl</v>
      </c>
      <c r="B5026" s="3">
        <f ca="1">IFERROR(__xludf.DUMMYFUNCTION("""COMPUTED_VALUE"""),1)</f>
        <v>1</v>
      </c>
      <c r="C5026" s="7">
        <f ca="1">IFERROR(__xludf.DUMMYFUNCTION("""COMPUTED_VALUE"""),1)</f>
        <v>1</v>
      </c>
      <c r="D5026" s="8">
        <f ca="1">IFERROR(__xludf.DUMMYFUNCTION("""COMPUTED_VALUE"""),5)</f>
        <v>5</v>
      </c>
      <c r="E5026" s="2">
        <f ca="1">IFERROR(__xludf.DUMMYFUNCTION("""COMPUTED_VALUE"""),2)</f>
        <v>2</v>
      </c>
    </row>
    <row r="5027" spans="1:5" ht="13">
      <c r="A5027" s="2" t="str">
        <f ca="1">IFERROR(__xludf.DUMMYFUNCTION("""COMPUTED_VALUE"""),"Loewe, Frederick")</f>
        <v>Loewe, Frederick</v>
      </c>
      <c r="B5027" s="3">
        <f ca="1">IFERROR(__xludf.DUMMYFUNCTION("""COMPUTED_VALUE"""),1)</f>
        <v>1</v>
      </c>
      <c r="C5027" s="7">
        <f ca="1">IFERROR(__xludf.DUMMYFUNCTION("""COMPUTED_VALUE"""),1)</f>
        <v>1</v>
      </c>
      <c r="D5027" s="8">
        <f ca="1">IFERROR(__xludf.DUMMYFUNCTION("""COMPUTED_VALUE"""),5)</f>
        <v>5</v>
      </c>
      <c r="E5027" s="2">
        <f ca="1">IFERROR(__xludf.DUMMYFUNCTION("""COMPUTED_VALUE"""),2)</f>
        <v>2</v>
      </c>
    </row>
    <row r="5028" spans="1:5" ht="13">
      <c r="A5028" s="2" t="str">
        <f ca="1">IFERROR(__xludf.DUMMYFUNCTION("""COMPUTED_VALUE"""),"Loewen, Philip")</f>
        <v>Loewen, Philip</v>
      </c>
      <c r="B5028" s="3">
        <f ca="1">IFERROR(__xludf.DUMMYFUNCTION("""COMPUTED_VALUE"""),1)</f>
        <v>1</v>
      </c>
      <c r="C5028" s="7">
        <f ca="1">IFERROR(__xludf.DUMMYFUNCTION("""COMPUTED_VALUE"""),1)</f>
        <v>1</v>
      </c>
      <c r="D5028" s="8">
        <f ca="1">IFERROR(__xludf.DUMMYFUNCTION("""COMPUTED_VALUE"""),1)</f>
        <v>1</v>
      </c>
      <c r="E5028" s="2">
        <f ca="1">IFERROR(__xludf.DUMMYFUNCTION("""COMPUTED_VALUE"""),1)</f>
        <v>1</v>
      </c>
    </row>
    <row r="5029" spans="1:5" ht="13">
      <c r="A5029" s="2" t="str">
        <f ca="1">IFERROR(__xludf.DUMMYFUNCTION("""COMPUTED_VALUE"""),"Loftis, Keith")</f>
        <v>Loftis, Keith</v>
      </c>
      <c r="B5029" s="3">
        <f ca="1">IFERROR(__xludf.DUMMYFUNCTION("""COMPUTED_VALUE"""),1)</f>
        <v>1</v>
      </c>
      <c r="C5029" s="7">
        <f ca="1">IFERROR(__xludf.DUMMYFUNCTION("""COMPUTED_VALUE"""),1)</f>
        <v>1</v>
      </c>
      <c r="D5029" s="8">
        <f ca="1">IFERROR(__xludf.DUMMYFUNCTION("""COMPUTED_VALUE"""),1)</f>
        <v>1</v>
      </c>
      <c r="E5029" s="2">
        <f ca="1">IFERROR(__xludf.DUMMYFUNCTION("""COMPUTED_VALUE"""),1)</f>
        <v>1</v>
      </c>
    </row>
    <row r="5030" spans="1:5" ht="13">
      <c r="A5030" s="2" t="str">
        <f ca="1">IFERROR(__xludf.DUMMYFUNCTION("""COMPUTED_VALUE"""),"Logan, Robert")</f>
        <v>Logan, Robert</v>
      </c>
      <c r="B5030" s="3">
        <f ca="1">IFERROR(__xludf.DUMMYFUNCTION("""COMPUTED_VALUE"""),1)</f>
        <v>1</v>
      </c>
      <c r="C5030" s="7">
        <f ca="1">IFERROR(__xludf.DUMMYFUNCTION("""COMPUTED_VALUE"""),1)</f>
        <v>1</v>
      </c>
      <c r="D5030" s="8">
        <f ca="1">IFERROR(__xludf.DUMMYFUNCTION("""COMPUTED_VALUE"""),1)</f>
        <v>1</v>
      </c>
      <c r="E5030" s="2">
        <f ca="1">IFERROR(__xludf.DUMMYFUNCTION("""COMPUTED_VALUE"""),1)</f>
        <v>1</v>
      </c>
    </row>
    <row r="5031" spans="1:5" ht="13">
      <c r="A5031" s="2" t="str">
        <f ca="1">IFERROR(__xludf.DUMMYFUNCTION("""COMPUTED_VALUE"""),"Lohman, Paul")</f>
        <v>Lohman, Paul</v>
      </c>
      <c r="B5031" s="3">
        <f ca="1">IFERROR(__xludf.DUMMYFUNCTION("""COMPUTED_VALUE"""),1)</f>
        <v>1</v>
      </c>
      <c r="C5031" s="7">
        <f ca="1">IFERROR(__xludf.DUMMYFUNCTION("""COMPUTED_VALUE"""),1)</f>
        <v>1</v>
      </c>
      <c r="D5031" s="8">
        <f ca="1">IFERROR(__xludf.DUMMYFUNCTION("""COMPUTED_VALUE"""),1)</f>
        <v>1</v>
      </c>
      <c r="E5031" s="2">
        <f ca="1">IFERROR(__xludf.DUMMYFUNCTION("""COMPUTED_VALUE"""),1)</f>
        <v>1</v>
      </c>
    </row>
    <row r="5032" spans="1:5" ht="13">
      <c r="A5032" s="8" t="str">
        <f ca="1">IFERROR(__xludf.DUMMYFUNCTION("""COMPUTED_VALUE"""),"Lojeski, Ed")</f>
        <v>Lojeski, Ed</v>
      </c>
      <c r="B5032" s="3">
        <f ca="1">IFERROR(__xludf.DUMMYFUNCTION("""COMPUTED_VALUE"""),1)</f>
        <v>1</v>
      </c>
      <c r="C5032" s="7">
        <f ca="1">IFERROR(__xludf.DUMMYFUNCTION("""COMPUTED_VALUE"""),1)</f>
        <v>1</v>
      </c>
      <c r="D5032" s="8">
        <f ca="1">IFERROR(__xludf.DUMMYFUNCTION("""COMPUTED_VALUE"""),1)</f>
        <v>1</v>
      </c>
      <c r="E5032" s="2">
        <f ca="1">IFERROR(__xludf.DUMMYFUNCTION("""COMPUTED_VALUE"""),1)</f>
        <v>1</v>
      </c>
    </row>
    <row r="5033" spans="1:5" ht="13">
      <c r="A5033" s="2" t="str">
        <f ca="1">IFERROR(__xludf.DUMMYFUNCTION("""COMPUTED_VALUE"""),"Lombard, Louis")</f>
        <v>Lombard, Louis</v>
      </c>
      <c r="B5033" s="3">
        <f ca="1">IFERROR(__xludf.DUMMYFUNCTION("""COMPUTED_VALUE"""),1)</f>
        <v>1</v>
      </c>
      <c r="C5033" s="7">
        <f ca="1">IFERROR(__xludf.DUMMYFUNCTION("""COMPUTED_VALUE"""),1)</f>
        <v>1</v>
      </c>
      <c r="D5033" s="8">
        <f ca="1">IFERROR(__xludf.DUMMYFUNCTION("""COMPUTED_VALUE"""),5)</f>
        <v>5</v>
      </c>
      <c r="E5033" s="2">
        <f ca="1">IFERROR(__xludf.DUMMYFUNCTION("""COMPUTED_VALUE"""),2)</f>
        <v>2</v>
      </c>
    </row>
    <row r="5034" spans="1:5" ht="13">
      <c r="A5034" s="2" t="str">
        <f ca="1">IFERROR(__xludf.DUMMYFUNCTION("""COMPUTED_VALUE"""),"Lombardo, Robert")</f>
        <v>Lombardo, Robert</v>
      </c>
      <c r="B5034" s="3">
        <f ca="1">IFERROR(__xludf.DUMMYFUNCTION("""COMPUTED_VALUE"""),1)</f>
        <v>1</v>
      </c>
      <c r="C5034" s="7">
        <f ca="1">IFERROR(__xludf.DUMMYFUNCTION("""COMPUTED_VALUE"""),1)</f>
        <v>1</v>
      </c>
      <c r="D5034" s="8">
        <f ca="1">IFERROR(__xludf.DUMMYFUNCTION("""COMPUTED_VALUE"""),1)</f>
        <v>1</v>
      </c>
      <c r="E5034" s="2">
        <f ca="1">IFERROR(__xludf.DUMMYFUNCTION("""COMPUTED_VALUE"""),1)</f>
        <v>1</v>
      </c>
    </row>
    <row r="5035" spans="1:5" ht="13">
      <c r="A5035" s="2" t="str">
        <f ca="1">IFERROR(__xludf.DUMMYFUNCTION("""COMPUTED_VALUE"""),"Londeix, Jean-Marie")</f>
        <v>Londeix, Jean-Marie</v>
      </c>
      <c r="B5035" s="3">
        <f ca="1">IFERROR(__xludf.DUMMYFUNCTION("""COMPUTED_VALUE"""),1)</f>
        <v>1</v>
      </c>
      <c r="C5035" s="7">
        <f ca="1">IFERROR(__xludf.DUMMYFUNCTION("""COMPUTED_VALUE"""),1)</f>
        <v>1</v>
      </c>
      <c r="D5035" s="8">
        <f ca="1">IFERROR(__xludf.DUMMYFUNCTION("""COMPUTED_VALUE"""),5)</f>
        <v>5</v>
      </c>
      <c r="E5035" s="2">
        <f ca="1">IFERROR(__xludf.DUMMYFUNCTION("""COMPUTED_VALUE"""),2)</f>
        <v>2</v>
      </c>
    </row>
    <row r="5036" spans="1:5" ht="13">
      <c r="A5036" s="2" t="str">
        <f ca="1">IFERROR(__xludf.DUMMYFUNCTION("""COMPUTED_VALUE"""),"Long, David J.")</f>
        <v>Long, David J.</v>
      </c>
      <c r="B5036" s="3">
        <f ca="1">IFERROR(__xludf.DUMMYFUNCTION("""COMPUTED_VALUE"""),1)</f>
        <v>1</v>
      </c>
      <c r="C5036" s="7">
        <f ca="1">IFERROR(__xludf.DUMMYFUNCTION("""COMPUTED_VALUE"""),1)</f>
        <v>1</v>
      </c>
      <c r="D5036" s="8">
        <f ca="1">IFERROR(__xludf.DUMMYFUNCTION("""COMPUTED_VALUE"""),1)</f>
        <v>1</v>
      </c>
      <c r="E5036" s="2">
        <f ca="1">IFERROR(__xludf.DUMMYFUNCTION("""COMPUTED_VALUE"""),1)</f>
        <v>1</v>
      </c>
    </row>
    <row r="5037" spans="1:5" ht="13">
      <c r="A5037" s="2" t="str">
        <f ca="1">IFERROR(__xludf.DUMMYFUNCTION("""COMPUTED_VALUE"""),"Long, Newell")</f>
        <v>Long, Newell</v>
      </c>
      <c r="B5037" s="3">
        <f ca="1">IFERROR(__xludf.DUMMYFUNCTION("""COMPUTED_VALUE"""),1)</f>
        <v>1</v>
      </c>
      <c r="C5037" s="7">
        <f ca="1">IFERROR(__xludf.DUMMYFUNCTION("""COMPUTED_VALUE"""),1)</f>
        <v>1</v>
      </c>
      <c r="D5037" s="8">
        <f ca="1">IFERROR(__xludf.DUMMYFUNCTION("""COMPUTED_VALUE"""),5)</f>
        <v>5</v>
      </c>
      <c r="E5037" s="2">
        <f ca="1">IFERROR(__xludf.DUMMYFUNCTION("""COMPUTED_VALUE"""),2)</f>
        <v>2</v>
      </c>
    </row>
    <row r="5038" spans="1:5" ht="13">
      <c r="A5038" s="2" t="str">
        <f ca="1">IFERROR(__xludf.DUMMYFUNCTION("""COMPUTED_VALUE"""),"Long, Newell H.")</f>
        <v>Long, Newell H.</v>
      </c>
      <c r="B5038" s="3">
        <f ca="1">IFERROR(__xludf.DUMMYFUNCTION("""COMPUTED_VALUE"""),1)</f>
        <v>1</v>
      </c>
      <c r="C5038" s="7">
        <f ca="1">IFERROR(__xludf.DUMMYFUNCTION("""COMPUTED_VALUE"""),1)</f>
        <v>1</v>
      </c>
      <c r="D5038" s="8">
        <f ca="1">IFERROR(__xludf.DUMMYFUNCTION("""COMPUTED_VALUE"""),5)</f>
        <v>5</v>
      </c>
      <c r="E5038" s="2">
        <f ca="1">IFERROR(__xludf.DUMMYFUNCTION("""COMPUTED_VALUE"""),2)</f>
        <v>2</v>
      </c>
    </row>
    <row r="5039" spans="1:5" ht="13">
      <c r="A5039" s="2" t="str">
        <f ca="1">IFERROR(__xludf.DUMMYFUNCTION("""COMPUTED_VALUE"""),"Long, Patrick")</f>
        <v>Long, Patrick</v>
      </c>
      <c r="B5039" s="3">
        <f ca="1">IFERROR(__xludf.DUMMYFUNCTION("""COMPUTED_VALUE"""),1)</f>
        <v>1</v>
      </c>
      <c r="C5039" s="7">
        <f ca="1">IFERROR(__xludf.DUMMYFUNCTION("""COMPUTED_VALUE"""),1)</f>
        <v>1</v>
      </c>
      <c r="D5039" s="8">
        <f ca="1">IFERROR(__xludf.DUMMYFUNCTION("""COMPUTED_VALUE"""),1)</f>
        <v>1</v>
      </c>
      <c r="E5039" s="2">
        <f ca="1">IFERROR(__xludf.DUMMYFUNCTION("""COMPUTED_VALUE"""),1)</f>
        <v>1</v>
      </c>
    </row>
    <row r="5040" spans="1:5" ht="13">
      <c r="A5040" s="2" t="str">
        <f ca="1">IFERROR(__xludf.DUMMYFUNCTION("""COMPUTED_VALUE"""),"Longfield, Robert")</f>
        <v>Longfield, Robert</v>
      </c>
      <c r="B5040" s="3">
        <f ca="1">IFERROR(__xludf.DUMMYFUNCTION("""COMPUTED_VALUE"""),1)</f>
        <v>1</v>
      </c>
      <c r="C5040" s="7">
        <f ca="1">IFERROR(__xludf.DUMMYFUNCTION("""COMPUTED_VALUE"""),1)</f>
        <v>1</v>
      </c>
      <c r="D5040" s="8">
        <f ca="1">IFERROR(__xludf.DUMMYFUNCTION("""COMPUTED_VALUE"""),1)</f>
        <v>1</v>
      </c>
      <c r="E5040" s="2">
        <f ca="1">IFERROR(__xludf.DUMMYFUNCTION("""COMPUTED_VALUE"""),1)</f>
        <v>1</v>
      </c>
    </row>
    <row r="5041" spans="1:5" ht="13">
      <c r="A5041" s="8" t="str">
        <f ca="1">IFERROR(__xludf.DUMMYFUNCTION("""COMPUTED_VALUE"""),"Longhurst, John")</f>
        <v>Longhurst, John</v>
      </c>
      <c r="B5041" s="3">
        <f ca="1">IFERROR(__xludf.DUMMYFUNCTION("""COMPUTED_VALUE"""),1)</f>
        <v>1</v>
      </c>
      <c r="C5041" s="7">
        <f ca="1">IFERROR(__xludf.DUMMYFUNCTION("""COMPUTED_VALUE"""),1)</f>
        <v>1</v>
      </c>
      <c r="D5041" s="8">
        <f ca="1">IFERROR(__xludf.DUMMYFUNCTION("""COMPUTED_VALUE"""),1)</f>
        <v>1</v>
      </c>
      <c r="E5041" s="2">
        <f ca="1">IFERROR(__xludf.DUMMYFUNCTION("""COMPUTED_VALUE"""),1)</f>
        <v>1</v>
      </c>
    </row>
    <row r="5042" spans="1:5" ht="13">
      <c r="A5042" s="2" t="str">
        <f ca="1">IFERROR(__xludf.DUMMYFUNCTION("""COMPUTED_VALUE"""),"Longshore, Terry &amp; Longshore, Max")</f>
        <v>Longshore, Terry &amp; Longshore, Max</v>
      </c>
      <c r="B5042" s="3">
        <f ca="1">IFERROR(__xludf.DUMMYFUNCTION("""COMPUTED_VALUE"""),1)</f>
        <v>1</v>
      </c>
      <c r="C5042" s="7">
        <f ca="1">IFERROR(__xludf.DUMMYFUNCTION("""COMPUTED_VALUE"""),1)</f>
        <v>1</v>
      </c>
      <c r="D5042" s="8">
        <f ca="1">IFERROR(__xludf.DUMMYFUNCTION("""COMPUTED_VALUE"""),1)</f>
        <v>1</v>
      </c>
      <c r="E5042" s="2">
        <f ca="1">IFERROR(__xludf.DUMMYFUNCTION("""COMPUTED_VALUE"""),1)</f>
        <v>1</v>
      </c>
    </row>
    <row r="5043" spans="1:5" ht="13">
      <c r="A5043" s="2" t="str">
        <f ca="1">IFERROR(__xludf.DUMMYFUNCTION("""COMPUTED_VALUE"""),"Longueval, Antoine de")</f>
        <v>Longueval, Antoine de</v>
      </c>
      <c r="B5043" s="3">
        <f ca="1">IFERROR(__xludf.DUMMYFUNCTION("""COMPUTED_VALUE"""),1)</f>
        <v>1</v>
      </c>
      <c r="C5043" s="7">
        <f ca="1">IFERROR(__xludf.DUMMYFUNCTION("""COMPUTED_VALUE"""),1)</f>
        <v>1</v>
      </c>
      <c r="D5043" s="8">
        <f ca="1">IFERROR(__xludf.DUMMYFUNCTION("""COMPUTED_VALUE"""),5)</f>
        <v>5</v>
      </c>
      <c r="E5043" s="2">
        <f ca="1">IFERROR(__xludf.DUMMYFUNCTION("""COMPUTED_VALUE"""),2)</f>
        <v>2</v>
      </c>
    </row>
    <row r="5044" spans="1:5" ht="13">
      <c r="A5044" s="2" t="str">
        <f ca="1">IFERROR(__xludf.DUMMYFUNCTION("""COMPUTED_VALUE"""),"Loosemore, Henry")</f>
        <v>Loosemore, Henry</v>
      </c>
      <c r="B5044" s="3">
        <f ca="1">IFERROR(__xludf.DUMMYFUNCTION("""COMPUTED_VALUE"""),1)</f>
        <v>1</v>
      </c>
      <c r="C5044" s="7">
        <f ca="1">IFERROR(__xludf.DUMMYFUNCTION("""COMPUTED_VALUE"""),1)</f>
        <v>1</v>
      </c>
      <c r="D5044" s="8">
        <f ca="1">IFERROR(__xludf.DUMMYFUNCTION("""COMPUTED_VALUE"""),5)</f>
        <v>5</v>
      </c>
      <c r="E5044" s="2">
        <f ca="1">IFERROR(__xludf.DUMMYFUNCTION("""COMPUTED_VALUE"""),2)</f>
        <v>2</v>
      </c>
    </row>
    <row r="5045" spans="1:5" ht="13">
      <c r="A5045" s="2" t="str">
        <f ca="1">IFERROR(__xludf.DUMMYFUNCTION("""COMPUTED_VALUE"""),"Lopatnikoff, Nikolai")</f>
        <v>Lopatnikoff, Nikolai</v>
      </c>
      <c r="B5045" s="3">
        <f ca="1">IFERROR(__xludf.DUMMYFUNCTION("""COMPUTED_VALUE"""),1)</f>
        <v>1</v>
      </c>
      <c r="C5045" s="7">
        <f ca="1">IFERROR(__xludf.DUMMYFUNCTION("""COMPUTED_VALUE"""),1)</f>
        <v>1</v>
      </c>
      <c r="D5045" s="8">
        <f ca="1">IFERROR(__xludf.DUMMYFUNCTION("""COMPUTED_VALUE"""),5)</f>
        <v>5</v>
      </c>
      <c r="E5045" s="2">
        <f ca="1">IFERROR(__xludf.DUMMYFUNCTION("""COMPUTED_VALUE"""),2)</f>
        <v>2</v>
      </c>
    </row>
    <row r="5046" spans="1:5" ht="13">
      <c r="A5046" s="2" t="str">
        <f ca="1">IFERROR(__xludf.DUMMYFUNCTION("""COMPUTED_VALUE"""),"Lope, Santiago")</f>
        <v>Lope, Santiago</v>
      </c>
      <c r="B5046" s="3">
        <f ca="1">IFERROR(__xludf.DUMMYFUNCTION("""COMPUTED_VALUE"""),1)</f>
        <v>1</v>
      </c>
      <c r="C5046" s="7">
        <f ca="1">IFERROR(__xludf.DUMMYFUNCTION("""COMPUTED_VALUE"""),1)</f>
        <v>1</v>
      </c>
      <c r="D5046" s="8">
        <f ca="1">IFERROR(__xludf.DUMMYFUNCTION("""COMPUTED_VALUE"""),5)</f>
        <v>5</v>
      </c>
      <c r="E5046" s="2">
        <f ca="1">IFERROR(__xludf.DUMMYFUNCTION("""COMPUTED_VALUE"""),2)</f>
        <v>2</v>
      </c>
    </row>
    <row r="5047" spans="1:5" ht="13">
      <c r="A5047" s="2" t="str">
        <f ca="1">IFERROR(__xludf.DUMMYFUNCTION("""COMPUTED_VALUE"""),"López Sánchez, Pedro Angel")</f>
        <v>López Sánchez, Pedro Angel</v>
      </c>
      <c r="B5047" s="3">
        <f ca="1">IFERROR(__xludf.DUMMYFUNCTION("""COMPUTED_VALUE"""),1)</f>
        <v>1</v>
      </c>
      <c r="C5047" s="7">
        <f ca="1">IFERROR(__xludf.DUMMYFUNCTION("""COMPUTED_VALUE"""),1)</f>
        <v>1</v>
      </c>
      <c r="D5047" s="8">
        <f ca="1">IFERROR(__xludf.DUMMYFUNCTION("""COMPUTED_VALUE"""),1)</f>
        <v>1</v>
      </c>
      <c r="E5047" s="2">
        <f ca="1">IFERROR(__xludf.DUMMYFUNCTION("""COMPUTED_VALUE"""),1)</f>
        <v>1</v>
      </c>
    </row>
    <row r="5048" spans="1:5" ht="13">
      <c r="A5048" s="2" t="str">
        <f ca="1">IFERROR(__xludf.DUMMYFUNCTION("""COMPUTED_VALUE"""),"Lopez-Hanshaw, Robert")</f>
        <v>Lopez-Hanshaw, Robert</v>
      </c>
      <c r="B5048" s="3">
        <f ca="1">IFERROR(__xludf.DUMMYFUNCTION("""COMPUTED_VALUE"""),1)</f>
        <v>1</v>
      </c>
      <c r="C5048" s="7">
        <f ca="1">IFERROR(__xludf.DUMMYFUNCTION("""COMPUTED_VALUE"""),1)</f>
        <v>1</v>
      </c>
      <c r="D5048" s="8">
        <f ca="1">IFERROR(__xludf.DUMMYFUNCTION("""COMPUTED_VALUE"""),1)</f>
        <v>1</v>
      </c>
      <c r="E5048" s="2">
        <f ca="1">IFERROR(__xludf.DUMMYFUNCTION("""COMPUTED_VALUE"""),1)</f>
        <v>1</v>
      </c>
    </row>
    <row r="5049" spans="1:5" ht="13">
      <c r="A5049" s="2" t="str">
        <f ca="1">IFERROR(__xludf.DUMMYFUNCTION("""COMPUTED_VALUE"""),"López, Alfredo Javaloyes")</f>
        <v>López, Alfredo Javaloyes</v>
      </c>
      <c r="B5049" s="3">
        <f ca="1">IFERROR(__xludf.DUMMYFUNCTION("""COMPUTED_VALUE"""),1)</f>
        <v>1</v>
      </c>
      <c r="C5049" s="7">
        <f ca="1">IFERROR(__xludf.DUMMYFUNCTION("""COMPUTED_VALUE"""),1)</f>
        <v>1</v>
      </c>
      <c r="D5049" s="8">
        <f ca="1">IFERROR(__xludf.DUMMYFUNCTION("""COMPUTED_VALUE"""),5)</f>
        <v>5</v>
      </c>
      <c r="E5049" s="2">
        <f ca="1">IFERROR(__xludf.DUMMYFUNCTION("""COMPUTED_VALUE"""),2)</f>
        <v>2</v>
      </c>
    </row>
    <row r="5050" spans="1:5" ht="13">
      <c r="A5050" s="2" t="str">
        <f ca="1">IFERROR(__xludf.DUMMYFUNCTION("""COMPUTED_VALUE"""),"López, José Susi")</f>
        <v>López, José Susi</v>
      </c>
      <c r="B5050" s="3">
        <f ca="1">IFERROR(__xludf.DUMMYFUNCTION("""COMPUTED_VALUE"""),1)</f>
        <v>1</v>
      </c>
      <c r="C5050" s="7">
        <f ca="1">IFERROR(__xludf.DUMMYFUNCTION("""COMPUTED_VALUE"""),1)</f>
        <v>1</v>
      </c>
      <c r="D5050" s="8">
        <f ca="1">IFERROR(__xludf.DUMMYFUNCTION("""COMPUTED_VALUE"""),1)</f>
        <v>1</v>
      </c>
      <c r="E5050" s="2">
        <f ca="1">IFERROR(__xludf.DUMMYFUNCTION("""COMPUTED_VALUE"""),1)</f>
        <v>1</v>
      </c>
    </row>
    <row r="5051" spans="1:5" ht="13">
      <c r="A5051" s="2" t="str">
        <f ca="1">IFERROR(__xludf.DUMMYFUNCTION("""COMPUTED_VALUE"""),"Lord, Jon")</f>
        <v>Lord, Jon</v>
      </c>
      <c r="B5051" s="3">
        <f ca="1">IFERROR(__xludf.DUMMYFUNCTION("""COMPUTED_VALUE"""),1)</f>
        <v>1</v>
      </c>
      <c r="C5051" s="7">
        <f ca="1">IFERROR(__xludf.DUMMYFUNCTION("""COMPUTED_VALUE"""),1)</f>
        <v>1</v>
      </c>
      <c r="D5051" s="8">
        <f ca="1">IFERROR(__xludf.DUMMYFUNCTION("""COMPUTED_VALUE"""),5)</f>
        <v>5</v>
      </c>
      <c r="E5051" s="2">
        <f ca="1">IFERROR(__xludf.DUMMYFUNCTION("""COMPUTED_VALUE"""),2)</f>
        <v>2</v>
      </c>
    </row>
    <row r="5052" spans="1:5" ht="13">
      <c r="A5052" s="2" t="str">
        <f ca="1">IFERROR(__xludf.DUMMYFUNCTION("""COMPUTED_VALUE"""),"Lorenziti, Joseph Antonio")</f>
        <v>Lorenziti, Joseph Antonio</v>
      </c>
      <c r="B5052" s="3">
        <f ca="1">IFERROR(__xludf.DUMMYFUNCTION("""COMPUTED_VALUE"""),1)</f>
        <v>1</v>
      </c>
      <c r="C5052" s="7">
        <f ca="1">IFERROR(__xludf.DUMMYFUNCTION("""COMPUTED_VALUE"""),1)</f>
        <v>1</v>
      </c>
      <c r="D5052" s="8">
        <f ca="1">IFERROR(__xludf.DUMMYFUNCTION("""COMPUTED_VALUE"""),5)</f>
        <v>5</v>
      </c>
      <c r="E5052" s="2">
        <f ca="1">IFERROR(__xludf.DUMMYFUNCTION("""COMPUTED_VALUE"""),2)</f>
        <v>2</v>
      </c>
    </row>
    <row r="5053" spans="1:5" ht="13">
      <c r="A5053" s="2" t="str">
        <f ca="1">IFERROR(__xludf.DUMMYFUNCTION("""COMPUTED_VALUE"""),"Lorenzo, Benjamin")</f>
        <v>Lorenzo, Benjamin</v>
      </c>
      <c r="B5053" s="3">
        <f ca="1">IFERROR(__xludf.DUMMYFUNCTION("""COMPUTED_VALUE"""),1)</f>
        <v>1</v>
      </c>
      <c r="C5053" s="7">
        <f ca="1">IFERROR(__xludf.DUMMYFUNCTION("""COMPUTED_VALUE"""),1)</f>
        <v>1</v>
      </c>
      <c r="D5053" s="8">
        <f ca="1">IFERROR(__xludf.DUMMYFUNCTION("""COMPUTED_VALUE"""),1)</f>
        <v>1</v>
      </c>
      <c r="E5053" s="2">
        <f ca="1">IFERROR(__xludf.DUMMYFUNCTION("""COMPUTED_VALUE"""),1)</f>
        <v>1</v>
      </c>
    </row>
    <row r="5054" spans="1:5" ht="13">
      <c r="A5054" s="2" t="str">
        <f ca="1">IFERROR(__xludf.DUMMYFUNCTION("""COMPUTED_VALUE"""),"Lortz, Mark")</f>
        <v>Lortz, Mark</v>
      </c>
      <c r="B5054" s="3">
        <f ca="1">IFERROR(__xludf.DUMMYFUNCTION("""COMPUTED_VALUE"""),1)</f>
        <v>1</v>
      </c>
      <c r="C5054" s="7">
        <f ca="1">IFERROR(__xludf.DUMMYFUNCTION("""COMPUTED_VALUE"""),1)</f>
        <v>1</v>
      </c>
      <c r="D5054" s="8">
        <f ca="1">IFERROR(__xludf.DUMMYFUNCTION("""COMPUTED_VALUE"""),1)</f>
        <v>1</v>
      </c>
      <c r="E5054" s="2">
        <f ca="1">IFERROR(__xludf.DUMMYFUNCTION("""COMPUTED_VALUE"""),1)</f>
        <v>1</v>
      </c>
    </row>
    <row r="5055" spans="1:5" ht="13">
      <c r="A5055" s="2" t="str">
        <f ca="1">IFERROR(__xludf.DUMMYFUNCTION("""COMPUTED_VALUE"""),"Lortzing, Albert")</f>
        <v>Lortzing, Albert</v>
      </c>
      <c r="B5055" s="3">
        <f ca="1">IFERROR(__xludf.DUMMYFUNCTION("""COMPUTED_VALUE"""),1)</f>
        <v>1</v>
      </c>
      <c r="C5055" s="7">
        <f ca="1">IFERROR(__xludf.DUMMYFUNCTION("""COMPUTED_VALUE"""),1)</f>
        <v>1</v>
      </c>
      <c r="D5055" s="8">
        <f ca="1">IFERROR(__xludf.DUMMYFUNCTION("""COMPUTED_VALUE"""),5)</f>
        <v>5</v>
      </c>
      <c r="E5055" s="2">
        <f ca="1">IFERROR(__xludf.DUMMYFUNCTION("""COMPUTED_VALUE"""),2)</f>
        <v>2</v>
      </c>
    </row>
    <row r="5056" spans="1:5" ht="13">
      <c r="A5056" s="2" t="str">
        <f ca="1">IFERROR(__xludf.DUMMYFUNCTION("""COMPUTED_VALUE"""),"Losey, F. H")</f>
        <v>Losey, F. H</v>
      </c>
      <c r="B5056" s="2">
        <f ca="1">IFERROR(__xludf.DUMMYFUNCTION("""COMPUTED_VALUE"""),1)</f>
        <v>1</v>
      </c>
      <c r="C5056" s="7">
        <f ca="1">IFERROR(__xludf.DUMMYFUNCTION("""COMPUTED_VALUE"""),1)</f>
        <v>1</v>
      </c>
      <c r="D5056" s="8">
        <f ca="1">IFERROR(__xludf.DUMMYFUNCTION("""COMPUTED_VALUE"""),5)</f>
        <v>5</v>
      </c>
      <c r="E5056" s="2">
        <f ca="1">IFERROR(__xludf.DUMMYFUNCTION("""COMPUTED_VALUE"""),2)</f>
        <v>2</v>
      </c>
    </row>
    <row r="5057" spans="1:5" ht="13">
      <c r="A5057" s="2" t="str">
        <f ca="1">IFERROR(__xludf.DUMMYFUNCTION("""COMPUTED_VALUE"""),"Losey, Frank Hoyt")</f>
        <v>Losey, Frank Hoyt</v>
      </c>
      <c r="B5057" s="3">
        <f ca="1">IFERROR(__xludf.DUMMYFUNCTION("""COMPUTED_VALUE"""),1)</f>
        <v>1</v>
      </c>
      <c r="C5057" s="7">
        <f ca="1">IFERROR(__xludf.DUMMYFUNCTION("""COMPUTED_VALUE"""),1)</f>
        <v>1</v>
      </c>
      <c r="D5057" s="8">
        <f ca="1">IFERROR(__xludf.DUMMYFUNCTION("""COMPUTED_VALUE"""),5)</f>
        <v>5</v>
      </c>
      <c r="E5057" s="2">
        <f ca="1">IFERROR(__xludf.DUMMYFUNCTION("""COMPUTED_VALUE"""),2)</f>
        <v>2</v>
      </c>
    </row>
    <row r="5058" spans="1:5" ht="13">
      <c r="A5058" s="8" t="str">
        <f ca="1">IFERROR(__xludf.DUMMYFUNCTION("""COMPUTED_VALUE"""),"Lotter, Adolf")</f>
        <v>Lotter, Adolf</v>
      </c>
      <c r="B5058" s="2">
        <f ca="1">IFERROR(__xludf.DUMMYFUNCTION("""COMPUTED_VALUE"""),1)</f>
        <v>1</v>
      </c>
      <c r="C5058" s="7">
        <f ca="1">IFERROR(__xludf.DUMMYFUNCTION("""COMPUTED_VALUE"""),1)</f>
        <v>1</v>
      </c>
      <c r="D5058" s="8">
        <f ca="1">IFERROR(__xludf.DUMMYFUNCTION("""COMPUTED_VALUE"""),5)</f>
        <v>5</v>
      </c>
      <c r="E5058" s="2">
        <f ca="1">IFERROR(__xludf.DUMMYFUNCTION("""COMPUTED_VALUE"""),2)</f>
        <v>2</v>
      </c>
    </row>
    <row r="5059" spans="1:5" ht="13">
      <c r="A5059" s="2" t="str">
        <f ca="1">IFERROR(__xludf.DUMMYFUNCTION("""COMPUTED_VALUE"""),"Lotti, Antonio")</f>
        <v>Lotti, Antonio</v>
      </c>
      <c r="B5059" s="3">
        <f ca="1">IFERROR(__xludf.DUMMYFUNCTION("""COMPUTED_VALUE"""),1)</f>
        <v>1</v>
      </c>
      <c r="C5059" s="7">
        <f ca="1">IFERROR(__xludf.DUMMYFUNCTION("""COMPUTED_VALUE"""),1)</f>
        <v>1</v>
      </c>
      <c r="D5059" s="8">
        <f ca="1">IFERROR(__xludf.DUMMYFUNCTION("""COMPUTED_VALUE"""),5)</f>
        <v>5</v>
      </c>
      <c r="E5059" s="2">
        <f ca="1">IFERROR(__xludf.DUMMYFUNCTION("""COMPUTED_VALUE"""),2)</f>
        <v>2</v>
      </c>
    </row>
    <row r="5060" spans="1:5" ht="13">
      <c r="A5060" s="2" t="str">
        <f ca="1">IFERROR(__xludf.DUMMYFUNCTION("""COMPUTED_VALUE"""),"Loucheur, Raymond")</f>
        <v>Loucheur, Raymond</v>
      </c>
      <c r="B5060" s="3">
        <f ca="1">IFERROR(__xludf.DUMMYFUNCTION("""COMPUTED_VALUE"""),1)</f>
        <v>1</v>
      </c>
      <c r="C5060" s="7">
        <f ca="1">IFERROR(__xludf.DUMMYFUNCTION("""COMPUTED_VALUE"""),1)</f>
        <v>1</v>
      </c>
      <c r="D5060" s="8">
        <f ca="1">IFERROR(__xludf.DUMMYFUNCTION("""COMPUTED_VALUE"""),5)</f>
        <v>5</v>
      </c>
      <c r="E5060" s="2">
        <f ca="1">IFERROR(__xludf.DUMMYFUNCTION("""COMPUTED_VALUE"""),2)</f>
        <v>2</v>
      </c>
    </row>
    <row r="5061" spans="1:5" ht="13">
      <c r="A5061" s="2" t="str">
        <f ca="1">IFERROR(__xludf.DUMMYFUNCTION("""COMPUTED_VALUE"""),"Loucks Jr., Richard N.")</f>
        <v>Loucks Jr., Richard N.</v>
      </c>
      <c r="B5061" s="3">
        <f ca="1">IFERROR(__xludf.DUMMYFUNCTION("""COMPUTED_VALUE"""),1)</f>
        <v>1</v>
      </c>
      <c r="C5061" s="7">
        <f ca="1">IFERROR(__xludf.DUMMYFUNCTION("""COMPUTED_VALUE"""),1)</f>
        <v>1</v>
      </c>
      <c r="D5061" s="8">
        <f ca="1">IFERROR(__xludf.DUMMYFUNCTION("""COMPUTED_VALUE"""),5)</f>
        <v>5</v>
      </c>
      <c r="E5061" s="2">
        <f ca="1">IFERROR(__xludf.DUMMYFUNCTION("""COMPUTED_VALUE"""),2)</f>
        <v>2</v>
      </c>
    </row>
    <row r="5062" spans="1:5" ht="13">
      <c r="A5062" s="2" t="str">
        <f ca="1">IFERROR(__xludf.DUMMYFUNCTION("""COMPUTED_VALUE"""),"Louiguy / Kiekenapp")</f>
        <v>Louiguy / Kiekenapp</v>
      </c>
      <c r="B5062" s="3">
        <f ca="1">IFERROR(__xludf.DUMMYFUNCTION("""COMPUTED_VALUE"""),1)</f>
        <v>1</v>
      </c>
      <c r="C5062" s="7">
        <f ca="1">IFERROR(__xludf.DUMMYFUNCTION("""COMPUTED_VALUE"""),1)</f>
        <v>1</v>
      </c>
      <c r="D5062" s="8">
        <f ca="1">IFERROR(__xludf.DUMMYFUNCTION("""COMPUTED_VALUE"""),5)</f>
        <v>5</v>
      </c>
      <c r="E5062" s="2">
        <f ca="1">IFERROR(__xludf.DUMMYFUNCTION("""COMPUTED_VALUE"""),2)</f>
        <v>2</v>
      </c>
    </row>
    <row r="5063" spans="1:5" ht="13">
      <c r="A5063" s="2" t="str">
        <f ca="1">IFERROR(__xludf.DUMMYFUNCTION("""COMPUTED_VALUE"""),"Louiguy, Marcel")</f>
        <v>Louiguy, Marcel</v>
      </c>
      <c r="B5063" s="2">
        <f ca="1">IFERROR(__xludf.DUMMYFUNCTION("""COMPUTED_VALUE"""),1)</f>
        <v>1</v>
      </c>
      <c r="C5063" s="7">
        <f ca="1">IFERROR(__xludf.DUMMYFUNCTION("""COMPUTED_VALUE"""),1)</f>
        <v>1</v>
      </c>
      <c r="D5063" s="8">
        <f ca="1">IFERROR(__xludf.DUMMYFUNCTION("""COMPUTED_VALUE"""),5)</f>
        <v>5</v>
      </c>
      <c r="E5063" s="2">
        <f ca="1">IFERROR(__xludf.DUMMYFUNCTION("""COMPUTED_VALUE"""),2)</f>
        <v>2</v>
      </c>
    </row>
    <row r="5064" spans="1:5" ht="13">
      <c r="A5064" s="2" t="str">
        <f ca="1">IFERROR(__xludf.DUMMYFUNCTION("""COMPUTED_VALUE"""),"Lounsbrough, Stephen")</f>
        <v>Lounsbrough, Stephen</v>
      </c>
      <c r="B5064" s="3">
        <f ca="1">IFERROR(__xludf.DUMMYFUNCTION("""COMPUTED_VALUE"""),1)</f>
        <v>1</v>
      </c>
      <c r="C5064" s="7">
        <f ca="1">IFERROR(__xludf.DUMMYFUNCTION("""COMPUTED_VALUE"""),1)</f>
        <v>1</v>
      </c>
      <c r="D5064" s="8">
        <f ca="1">IFERROR(__xludf.DUMMYFUNCTION("""COMPUTED_VALUE"""),1)</f>
        <v>1</v>
      </c>
      <c r="E5064" s="2">
        <f ca="1">IFERROR(__xludf.DUMMYFUNCTION("""COMPUTED_VALUE"""),1)</f>
        <v>1</v>
      </c>
    </row>
    <row r="5065" spans="1:5" ht="13">
      <c r="A5065" s="2" t="str">
        <f ca="1">IFERROR(__xludf.DUMMYFUNCTION("""COMPUTED_VALUE"""),"Lovatt-Cooper, Paul")</f>
        <v>Lovatt-Cooper, Paul</v>
      </c>
      <c r="B5065" s="3">
        <f ca="1">IFERROR(__xludf.DUMMYFUNCTION("""COMPUTED_VALUE"""),1)</f>
        <v>1</v>
      </c>
      <c r="C5065" s="7">
        <f ca="1">IFERROR(__xludf.DUMMYFUNCTION("""COMPUTED_VALUE"""),1)</f>
        <v>1</v>
      </c>
      <c r="D5065" s="8">
        <f ca="1">IFERROR(__xludf.DUMMYFUNCTION("""COMPUTED_VALUE"""),1)</f>
        <v>1</v>
      </c>
      <c r="E5065" s="2">
        <f ca="1">IFERROR(__xludf.DUMMYFUNCTION("""COMPUTED_VALUE"""),1)</f>
        <v>1</v>
      </c>
    </row>
    <row r="5066" spans="1:5" ht="13">
      <c r="A5066" s="2" t="str">
        <f ca="1">IFERROR(__xludf.DUMMYFUNCTION("""COMPUTED_VALUE"""),"Love, Joel")</f>
        <v>Love, Joel</v>
      </c>
      <c r="B5066" s="3">
        <f ca="1">IFERROR(__xludf.DUMMYFUNCTION("""COMPUTED_VALUE"""),1)</f>
        <v>1</v>
      </c>
      <c r="C5066" s="7">
        <f ca="1">IFERROR(__xludf.DUMMYFUNCTION("""COMPUTED_VALUE"""),1)</f>
        <v>1</v>
      </c>
      <c r="D5066" s="8">
        <f ca="1">IFERROR(__xludf.DUMMYFUNCTION("""COMPUTED_VALUE"""),1)</f>
        <v>1</v>
      </c>
      <c r="E5066" s="2">
        <f ca="1">IFERROR(__xludf.DUMMYFUNCTION("""COMPUTED_VALUE"""),1)</f>
        <v>1</v>
      </c>
    </row>
    <row r="5067" spans="1:5" ht="13">
      <c r="A5067" s="2" t="str">
        <f ca="1">IFERROR(__xludf.DUMMYFUNCTION("""COMPUTED_VALUE"""),"Love, Shelton Ridge")</f>
        <v>Love, Shelton Ridge</v>
      </c>
      <c r="B5067" s="3">
        <f ca="1">IFERROR(__xludf.DUMMYFUNCTION("""COMPUTED_VALUE"""),1)</f>
        <v>1</v>
      </c>
      <c r="C5067" s="7">
        <f ca="1">IFERROR(__xludf.DUMMYFUNCTION("""COMPUTED_VALUE"""),1)</f>
        <v>1</v>
      </c>
      <c r="D5067" s="8">
        <f ca="1">IFERROR(__xludf.DUMMYFUNCTION("""COMPUTED_VALUE"""),1)</f>
        <v>1</v>
      </c>
      <c r="E5067" s="2">
        <f ca="1">IFERROR(__xludf.DUMMYFUNCTION("""COMPUTED_VALUE"""),1)</f>
        <v>1</v>
      </c>
    </row>
    <row r="5068" spans="1:5" ht="13">
      <c r="A5068" s="2" t="str">
        <f ca="1">IFERROR(__xludf.DUMMYFUNCTION("""COMPUTED_VALUE"""),"Lovelace, Austin")</f>
        <v>Lovelace, Austin</v>
      </c>
      <c r="B5068" s="3">
        <f ca="1">IFERROR(__xludf.DUMMYFUNCTION("""COMPUTED_VALUE"""),1)</f>
        <v>1</v>
      </c>
      <c r="C5068" s="7">
        <f ca="1">IFERROR(__xludf.DUMMYFUNCTION("""COMPUTED_VALUE"""),1)</f>
        <v>1</v>
      </c>
      <c r="D5068" s="8">
        <f ca="1">IFERROR(__xludf.DUMMYFUNCTION("""COMPUTED_VALUE"""),5)</f>
        <v>5</v>
      </c>
      <c r="E5068" s="2">
        <f ca="1">IFERROR(__xludf.DUMMYFUNCTION("""COMPUTED_VALUE"""),2)</f>
        <v>2</v>
      </c>
    </row>
    <row r="5069" spans="1:5" ht="13">
      <c r="A5069" s="2" t="str">
        <f ca="1">IFERROR(__xludf.DUMMYFUNCTION("""COMPUTED_VALUE"""),"Loveless, Mike")</f>
        <v>Loveless, Mike</v>
      </c>
      <c r="B5069" s="3">
        <f ca="1">IFERROR(__xludf.DUMMYFUNCTION("""COMPUTED_VALUE"""),1)</f>
        <v>1</v>
      </c>
      <c r="C5069" s="7">
        <f ca="1">IFERROR(__xludf.DUMMYFUNCTION("""COMPUTED_VALUE"""),1)</f>
        <v>1</v>
      </c>
      <c r="D5069" s="8">
        <f ca="1">IFERROR(__xludf.DUMMYFUNCTION("""COMPUTED_VALUE"""),1)</f>
        <v>1</v>
      </c>
      <c r="E5069" s="2">
        <f ca="1">IFERROR(__xludf.DUMMYFUNCTION("""COMPUTED_VALUE"""),1)</f>
        <v>1</v>
      </c>
    </row>
    <row r="5070" spans="1:5" ht="13">
      <c r="A5070" s="2" t="str">
        <f ca="1">IFERROR(__xludf.DUMMYFUNCTION("""COMPUTED_VALUE"""),"Lovell, Walt")</f>
        <v>Lovell, Walt</v>
      </c>
      <c r="B5070" s="3">
        <f ca="1">IFERROR(__xludf.DUMMYFUNCTION("""COMPUTED_VALUE"""),1)</f>
        <v>1</v>
      </c>
      <c r="C5070" s="7">
        <f ca="1">IFERROR(__xludf.DUMMYFUNCTION("""COMPUTED_VALUE"""),1)</f>
        <v>1</v>
      </c>
      <c r="D5070" s="8">
        <f ca="1">IFERROR(__xludf.DUMMYFUNCTION("""COMPUTED_VALUE"""),1)</f>
        <v>1</v>
      </c>
      <c r="E5070" s="2">
        <f ca="1">IFERROR(__xludf.DUMMYFUNCTION("""COMPUTED_VALUE"""),1)</f>
        <v>1</v>
      </c>
    </row>
    <row r="5071" spans="1:5" ht="13">
      <c r="A5071" s="2" t="str">
        <f ca="1">IFERROR(__xludf.DUMMYFUNCTION("""COMPUTED_VALUE"""),"Lovinski, Theodore")</f>
        <v>Lovinski, Theodore</v>
      </c>
      <c r="B5071" s="2">
        <f ca="1">IFERROR(__xludf.DUMMYFUNCTION("""COMPUTED_VALUE"""),1)</f>
        <v>1</v>
      </c>
      <c r="C5071" s="2">
        <f ca="1">IFERROR(__xludf.DUMMYFUNCTION("""COMPUTED_VALUE"""),1)</f>
        <v>1</v>
      </c>
      <c r="D5071" s="8">
        <f ca="1">IFERROR(__xludf.DUMMYFUNCTION("""COMPUTED_VALUE"""),1)</f>
        <v>1</v>
      </c>
      <c r="E5071" s="2">
        <f ca="1">IFERROR(__xludf.DUMMYFUNCTION("""COMPUTED_VALUE"""),1)</f>
        <v>1</v>
      </c>
    </row>
    <row r="5072" spans="1:5" ht="13">
      <c r="A5072" s="2" t="str">
        <f ca="1">IFERROR(__xludf.DUMMYFUNCTION("""COMPUTED_VALUE"""),"Løvland, Rolf")</f>
        <v>Løvland, Rolf</v>
      </c>
      <c r="B5072" s="2">
        <f ca="1">IFERROR(__xludf.DUMMYFUNCTION("""COMPUTED_VALUE"""),1)</f>
        <v>1</v>
      </c>
      <c r="C5072" s="2">
        <f ca="1">IFERROR(__xludf.DUMMYFUNCTION("""COMPUTED_VALUE"""),1)</f>
        <v>1</v>
      </c>
      <c r="D5072" s="8">
        <f ca="1">IFERROR(__xludf.DUMMYFUNCTION("""COMPUTED_VALUE"""),1)</f>
        <v>1</v>
      </c>
      <c r="E5072" s="2">
        <f ca="1">IFERROR(__xludf.DUMMYFUNCTION("""COMPUTED_VALUE"""),1)</f>
        <v>1</v>
      </c>
    </row>
    <row r="5073" spans="1:5" ht="13">
      <c r="A5073" s="2" t="str">
        <f ca="1">IFERROR(__xludf.DUMMYFUNCTION("""COMPUTED_VALUE"""),"Lovrien, David")</f>
        <v>Lovrien, David</v>
      </c>
      <c r="B5073" s="3">
        <f ca="1">IFERROR(__xludf.DUMMYFUNCTION("""COMPUTED_VALUE"""),1)</f>
        <v>1</v>
      </c>
      <c r="C5073" s="7">
        <f ca="1">IFERROR(__xludf.DUMMYFUNCTION("""COMPUTED_VALUE"""),1)</f>
        <v>1</v>
      </c>
      <c r="D5073" s="8">
        <f ca="1">IFERROR(__xludf.DUMMYFUNCTION("""COMPUTED_VALUE"""),1)</f>
        <v>1</v>
      </c>
      <c r="E5073" s="2">
        <f ca="1">IFERROR(__xludf.DUMMYFUNCTION("""COMPUTED_VALUE"""),1)</f>
        <v>1</v>
      </c>
    </row>
    <row r="5074" spans="1:5" ht="13">
      <c r="A5074" s="2" t="str">
        <f ca="1">IFERROR(__xludf.DUMMYFUNCTION("""COMPUTED_VALUE"""),"Lowden, Bob")</f>
        <v>Lowden, Bob</v>
      </c>
      <c r="B5074" s="3">
        <f ca="1">IFERROR(__xludf.DUMMYFUNCTION("""COMPUTED_VALUE"""),1)</f>
        <v>1</v>
      </c>
      <c r="C5074" s="7">
        <f ca="1">IFERROR(__xludf.DUMMYFUNCTION("""COMPUTED_VALUE"""),1)</f>
        <v>1</v>
      </c>
      <c r="D5074" s="8">
        <f ca="1">IFERROR(__xludf.DUMMYFUNCTION("""COMPUTED_VALUE"""),5)</f>
        <v>5</v>
      </c>
      <c r="E5074" s="2">
        <f ca="1">IFERROR(__xludf.DUMMYFUNCTION("""COMPUTED_VALUE"""),2)</f>
        <v>2</v>
      </c>
    </row>
    <row r="5075" spans="1:5" ht="13">
      <c r="A5075" s="2" t="str">
        <f ca="1">IFERROR(__xludf.DUMMYFUNCTION("""COMPUTED_VALUE"""),"Lowden, Robert")</f>
        <v>Lowden, Robert</v>
      </c>
      <c r="B5075" s="3">
        <f ca="1">IFERROR(__xludf.DUMMYFUNCTION("""COMPUTED_VALUE"""),1)</f>
        <v>1</v>
      </c>
      <c r="C5075" s="7">
        <f ca="1">IFERROR(__xludf.DUMMYFUNCTION("""COMPUTED_VALUE"""),1)</f>
        <v>1</v>
      </c>
      <c r="D5075" s="8">
        <f ca="1">IFERROR(__xludf.DUMMYFUNCTION("""COMPUTED_VALUE"""),5)</f>
        <v>5</v>
      </c>
      <c r="E5075" s="2">
        <f ca="1">IFERROR(__xludf.DUMMYFUNCTION("""COMPUTED_VALUE"""),2)</f>
        <v>2</v>
      </c>
    </row>
    <row r="5076" spans="1:5" ht="13">
      <c r="A5076" s="2" t="str">
        <f ca="1">IFERROR(__xludf.DUMMYFUNCTION("""COMPUTED_VALUE"""),"Lowe, Thomas")</f>
        <v>Lowe, Thomas</v>
      </c>
      <c r="B5076" s="2">
        <f ca="1">IFERROR(__xludf.DUMMYFUNCTION("""COMPUTED_VALUE"""),1)</f>
        <v>1</v>
      </c>
      <c r="C5076" s="7">
        <f ca="1">IFERROR(__xludf.DUMMYFUNCTION("""COMPUTED_VALUE"""),1)</f>
        <v>1</v>
      </c>
      <c r="D5076" s="8">
        <f ca="1">IFERROR(__xludf.DUMMYFUNCTION("""COMPUTED_VALUE"""),5)</f>
        <v>5</v>
      </c>
      <c r="E5076" s="2">
        <f ca="1">IFERROR(__xludf.DUMMYFUNCTION("""COMPUTED_VALUE"""),2)</f>
        <v>2</v>
      </c>
    </row>
    <row r="5077" spans="1:5" ht="13">
      <c r="A5077" s="2" t="str">
        <f ca="1">IFERROR(__xludf.DUMMYFUNCTION("""COMPUTED_VALUE"""),"Lowens, Irving")</f>
        <v>Lowens, Irving</v>
      </c>
      <c r="B5077" s="3">
        <f ca="1">IFERROR(__xludf.DUMMYFUNCTION("""COMPUTED_VALUE"""),1)</f>
        <v>1</v>
      </c>
      <c r="C5077" s="7">
        <f ca="1">IFERROR(__xludf.DUMMYFUNCTION("""COMPUTED_VALUE"""),1)</f>
        <v>1</v>
      </c>
      <c r="D5077" s="8">
        <f ca="1">IFERROR(__xludf.DUMMYFUNCTION("""COMPUTED_VALUE"""),5)</f>
        <v>5</v>
      </c>
      <c r="E5077" s="2">
        <f ca="1">IFERROR(__xludf.DUMMYFUNCTION("""COMPUTED_VALUE"""),2)</f>
        <v>2</v>
      </c>
    </row>
    <row r="5078" spans="1:5" ht="13">
      <c r="A5078" s="2" t="str">
        <f ca="1">IFERROR(__xludf.DUMMYFUNCTION("""COMPUTED_VALUE"""),"Lowenstein, Marc")</f>
        <v>Lowenstein, Marc</v>
      </c>
      <c r="B5078" s="3">
        <f ca="1">IFERROR(__xludf.DUMMYFUNCTION("""COMPUTED_VALUE"""),1)</f>
        <v>1</v>
      </c>
      <c r="C5078" s="7">
        <f ca="1">IFERROR(__xludf.DUMMYFUNCTION("""COMPUTED_VALUE"""),1)</f>
        <v>1</v>
      </c>
      <c r="D5078" s="8">
        <f ca="1">IFERROR(__xludf.DUMMYFUNCTION("""COMPUTED_VALUE"""),1)</f>
        <v>1</v>
      </c>
      <c r="E5078" s="2">
        <f ca="1">IFERROR(__xludf.DUMMYFUNCTION("""COMPUTED_VALUE"""),1)</f>
        <v>1</v>
      </c>
    </row>
    <row r="5079" spans="1:5" ht="13">
      <c r="A5079" s="2" t="str">
        <f ca="1">IFERROR(__xludf.DUMMYFUNCTION("""COMPUTED_VALUE"""),"Lowry, Christopher")</f>
        <v>Lowry, Christopher</v>
      </c>
      <c r="B5079" s="2">
        <f ca="1">IFERROR(__xludf.DUMMYFUNCTION("""COMPUTED_VALUE"""),1)</f>
        <v>1</v>
      </c>
      <c r="C5079" s="7">
        <f ca="1">IFERROR(__xludf.DUMMYFUNCTION("""COMPUTED_VALUE"""),1)</f>
        <v>1</v>
      </c>
      <c r="D5079" s="8">
        <f ca="1">IFERROR(__xludf.DUMMYFUNCTION("""COMPUTED_VALUE"""),1)</f>
        <v>1</v>
      </c>
      <c r="E5079" s="2">
        <f ca="1">IFERROR(__xludf.DUMMYFUNCTION("""COMPUTED_VALUE"""),1)</f>
        <v>1</v>
      </c>
    </row>
    <row r="5080" spans="1:5" ht="13">
      <c r="A5080" s="2" t="str">
        <f ca="1">IFERROR(__xludf.DUMMYFUNCTION("""COMPUTED_VALUE"""),"Lowry, Douglas")</f>
        <v>Lowry, Douglas</v>
      </c>
      <c r="B5080" s="3">
        <f ca="1">IFERROR(__xludf.DUMMYFUNCTION("""COMPUTED_VALUE"""),1)</f>
        <v>1</v>
      </c>
      <c r="C5080" s="7">
        <f ca="1">IFERROR(__xludf.DUMMYFUNCTION("""COMPUTED_VALUE"""),1)</f>
        <v>1</v>
      </c>
      <c r="D5080" s="8">
        <f ca="1">IFERROR(__xludf.DUMMYFUNCTION("""COMPUTED_VALUE"""),5)</f>
        <v>5</v>
      </c>
      <c r="E5080" s="2">
        <f ca="1">IFERROR(__xludf.DUMMYFUNCTION("""COMPUTED_VALUE"""),2)</f>
        <v>2</v>
      </c>
    </row>
    <row r="5081" spans="1:5" ht="13">
      <c r="A5081" s="2" t="str">
        <f ca="1">IFERROR(__xludf.DUMMYFUNCTION("""COMPUTED_VALUE"""),"Lowry, Mark / Greene, Buddy")</f>
        <v>Lowry, Mark / Greene, Buddy</v>
      </c>
      <c r="B5081" s="3">
        <f ca="1">IFERROR(__xludf.DUMMYFUNCTION("""COMPUTED_VALUE"""),1)</f>
        <v>1</v>
      </c>
      <c r="C5081" s="7">
        <f ca="1">IFERROR(__xludf.DUMMYFUNCTION("""COMPUTED_VALUE"""),1)</f>
        <v>1</v>
      </c>
      <c r="D5081" s="8">
        <f ca="1">IFERROR(__xludf.DUMMYFUNCTION("""COMPUTED_VALUE"""),1)</f>
        <v>1</v>
      </c>
      <c r="E5081" s="2">
        <f ca="1">IFERROR(__xludf.DUMMYFUNCTION("""COMPUTED_VALUE"""),1)</f>
        <v>1</v>
      </c>
    </row>
    <row r="5082" spans="1:5" ht="13">
      <c r="A5082" s="2" t="str">
        <f ca="1">IFERROR(__xludf.DUMMYFUNCTION("""COMPUTED_VALUE"""),"Lowry, Robert")</f>
        <v>Lowry, Robert</v>
      </c>
      <c r="B5082" s="3">
        <f ca="1">IFERROR(__xludf.DUMMYFUNCTION("""COMPUTED_VALUE"""),1)</f>
        <v>1</v>
      </c>
      <c r="C5082" s="7">
        <f ca="1">IFERROR(__xludf.DUMMYFUNCTION("""COMPUTED_VALUE"""),1)</f>
        <v>1</v>
      </c>
      <c r="D5082" s="8">
        <f ca="1">IFERROR(__xludf.DUMMYFUNCTION("""COMPUTED_VALUE"""),5)</f>
        <v>5</v>
      </c>
      <c r="E5082" s="2">
        <f ca="1">IFERROR(__xludf.DUMMYFUNCTION("""COMPUTED_VALUE"""),2)</f>
        <v>2</v>
      </c>
    </row>
    <row r="5083" spans="1:5" ht="13">
      <c r="A5083" s="2" t="str">
        <f ca="1">IFERROR(__xludf.DUMMYFUNCTION("""COMPUTED_VALUE"""),"Luboff, Norman")</f>
        <v>Luboff, Norman</v>
      </c>
      <c r="B5083" s="3">
        <f ca="1">IFERROR(__xludf.DUMMYFUNCTION("""COMPUTED_VALUE"""),1)</f>
        <v>1</v>
      </c>
      <c r="C5083" s="7">
        <f ca="1">IFERROR(__xludf.DUMMYFUNCTION("""COMPUTED_VALUE"""),1)</f>
        <v>1</v>
      </c>
      <c r="D5083" s="8">
        <f ca="1">IFERROR(__xludf.DUMMYFUNCTION("""COMPUTED_VALUE"""),5)</f>
        <v>5</v>
      </c>
      <c r="E5083" s="2">
        <f ca="1">IFERROR(__xludf.DUMMYFUNCTION("""COMPUTED_VALUE"""),2)</f>
        <v>2</v>
      </c>
    </row>
    <row r="5084" spans="1:5" ht="13">
      <c r="A5084" s="2" t="str">
        <f ca="1">IFERROR(__xludf.DUMMYFUNCTION("""COMPUTED_VALUE"""),"Lucas, Michael / Houston, Jim")</f>
        <v>Lucas, Michael / Houston, Jim</v>
      </c>
      <c r="B5084" s="3">
        <f ca="1">IFERROR(__xludf.DUMMYFUNCTION("""COMPUTED_VALUE"""),1)</f>
        <v>1</v>
      </c>
      <c r="C5084" s="7">
        <f ca="1">IFERROR(__xludf.DUMMYFUNCTION("""COMPUTED_VALUE"""),1)</f>
        <v>1</v>
      </c>
      <c r="D5084" s="8">
        <f ca="1">IFERROR(__xludf.DUMMYFUNCTION("""COMPUTED_VALUE"""),1)</f>
        <v>1</v>
      </c>
      <c r="E5084" s="2">
        <f ca="1">IFERROR(__xludf.DUMMYFUNCTION("""COMPUTED_VALUE"""),1)</f>
        <v>1</v>
      </c>
    </row>
    <row r="5085" spans="1:5" ht="13">
      <c r="A5085" s="2" t="str">
        <f ca="1">IFERROR(__xludf.DUMMYFUNCTION("""COMPUTED_VALUE"""),"Lucas, William")</f>
        <v>Lucas, William</v>
      </c>
      <c r="B5085" s="3">
        <f ca="1">IFERROR(__xludf.DUMMYFUNCTION("""COMPUTED_VALUE"""),1)</f>
        <v>1</v>
      </c>
      <c r="C5085" s="7">
        <f ca="1">IFERROR(__xludf.DUMMYFUNCTION("""COMPUTED_VALUE"""),1)</f>
        <v>1</v>
      </c>
      <c r="D5085" s="8">
        <f ca="1">IFERROR(__xludf.DUMMYFUNCTION("""COMPUTED_VALUE"""),1)</f>
        <v>1</v>
      </c>
      <c r="E5085" s="2">
        <f ca="1">IFERROR(__xludf.DUMMYFUNCTION("""COMPUTED_VALUE"""),1)</f>
        <v>1</v>
      </c>
    </row>
    <row r="5086" spans="1:5" ht="13">
      <c r="A5086" s="2" t="str">
        <f ca="1">IFERROR(__xludf.DUMMYFUNCTION("""COMPUTED_VALUE"""),"Luckhardt, Jerry")</f>
        <v>Luckhardt, Jerry</v>
      </c>
      <c r="B5086" s="3">
        <f ca="1">IFERROR(__xludf.DUMMYFUNCTION("""COMPUTED_VALUE"""),1)</f>
        <v>1</v>
      </c>
      <c r="C5086" s="7">
        <f ca="1">IFERROR(__xludf.DUMMYFUNCTION("""COMPUTED_VALUE"""),1)</f>
        <v>1</v>
      </c>
      <c r="D5086" s="8">
        <f ca="1">IFERROR(__xludf.DUMMYFUNCTION("""COMPUTED_VALUE"""),1)</f>
        <v>1</v>
      </c>
      <c r="E5086" s="2">
        <f ca="1">IFERROR(__xludf.DUMMYFUNCTION("""COMPUTED_VALUE"""),1)</f>
        <v>1</v>
      </c>
    </row>
    <row r="5087" spans="1:5" ht="13">
      <c r="A5087" s="2" t="str">
        <f ca="1">IFERROR(__xludf.DUMMYFUNCTION("""COMPUTED_VALUE"""),"Luders, Gustav")</f>
        <v>Luders, Gustav</v>
      </c>
      <c r="B5087" s="3">
        <f ca="1">IFERROR(__xludf.DUMMYFUNCTION("""COMPUTED_VALUE"""),1)</f>
        <v>1</v>
      </c>
      <c r="C5087" s="7">
        <f ca="1">IFERROR(__xludf.DUMMYFUNCTION("""COMPUTED_VALUE"""),1)</f>
        <v>1</v>
      </c>
      <c r="D5087" s="8">
        <f ca="1">IFERROR(__xludf.DUMMYFUNCTION("""COMPUTED_VALUE"""),5)</f>
        <v>5</v>
      </c>
      <c r="E5087" s="2">
        <f ca="1">IFERROR(__xludf.DUMMYFUNCTION("""COMPUTED_VALUE"""),2)</f>
        <v>2</v>
      </c>
    </row>
    <row r="5088" spans="1:5" ht="13">
      <c r="A5088" s="2" t="str">
        <f ca="1">IFERROR(__xludf.DUMMYFUNCTION("""COMPUTED_VALUE"""),"Ludwig, David")</f>
        <v>Ludwig, David</v>
      </c>
      <c r="B5088" s="3">
        <f ca="1">IFERROR(__xludf.DUMMYFUNCTION("""COMPUTED_VALUE"""),1)</f>
        <v>1</v>
      </c>
      <c r="C5088" s="7">
        <f ca="1">IFERROR(__xludf.DUMMYFUNCTION("""COMPUTED_VALUE"""),1)</f>
        <v>1</v>
      </c>
      <c r="D5088" s="8">
        <f ca="1">IFERROR(__xludf.DUMMYFUNCTION("""COMPUTED_VALUE"""),1)</f>
        <v>1</v>
      </c>
      <c r="E5088" s="2">
        <f ca="1">IFERROR(__xludf.DUMMYFUNCTION("""COMPUTED_VALUE"""),1)</f>
        <v>1</v>
      </c>
    </row>
    <row r="5089" spans="1:5" ht="13">
      <c r="A5089" s="2" t="str">
        <f ca="1">IFERROR(__xludf.DUMMYFUNCTION("""COMPUTED_VALUE"""),"Luening, Otto")</f>
        <v>Luening, Otto</v>
      </c>
      <c r="B5089" s="3">
        <f ca="1">IFERROR(__xludf.DUMMYFUNCTION("""COMPUTED_VALUE"""),1)</f>
        <v>1</v>
      </c>
      <c r="C5089" s="7">
        <f ca="1">IFERROR(__xludf.DUMMYFUNCTION("""COMPUTED_VALUE"""),1)</f>
        <v>1</v>
      </c>
      <c r="D5089" s="8">
        <f ca="1">IFERROR(__xludf.DUMMYFUNCTION("""COMPUTED_VALUE"""),5)</f>
        <v>5</v>
      </c>
      <c r="E5089" s="2">
        <f ca="1">IFERROR(__xludf.DUMMYFUNCTION("""COMPUTED_VALUE"""),2)</f>
        <v>2</v>
      </c>
    </row>
    <row r="5090" spans="1:5" ht="13">
      <c r="A5090" s="2" t="str">
        <f ca="1">IFERROR(__xludf.DUMMYFUNCTION("""COMPUTED_VALUE"""),"Luft, Heinrich")</f>
        <v>Luft, Heinrich</v>
      </c>
      <c r="B5090" s="3">
        <f ca="1">IFERROR(__xludf.DUMMYFUNCTION("""COMPUTED_VALUE"""),1)</f>
        <v>1</v>
      </c>
      <c r="C5090" s="7">
        <f ca="1">IFERROR(__xludf.DUMMYFUNCTION("""COMPUTED_VALUE"""),1)</f>
        <v>1</v>
      </c>
      <c r="D5090" s="8">
        <f ca="1">IFERROR(__xludf.DUMMYFUNCTION("""COMPUTED_VALUE"""),5)</f>
        <v>5</v>
      </c>
      <c r="E5090" s="2">
        <f ca="1">IFERROR(__xludf.DUMMYFUNCTION("""COMPUTED_VALUE"""),2)</f>
        <v>2</v>
      </c>
    </row>
    <row r="5091" spans="1:5" ht="13">
      <c r="A5091" s="2" t="str">
        <f ca="1">IFERROR(__xludf.DUMMYFUNCTION("""COMPUTED_VALUE"""),"Luigini, Alexandre")</f>
        <v>Luigini, Alexandre</v>
      </c>
      <c r="B5091" s="3">
        <f ca="1">IFERROR(__xludf.DUMMYFUNCTION("""COMPUTED_VALUE"""),1)</f>
        <v>1</v>
      </c>
      <c r="C5091" s="7">
        <f ca="1">IFERROR(__xludf.DUMMYFUNCTION("""COMPUTED_VALUE"""),1)</f>
        <v>1</v>
      </c>
      <c r="D5091" s="8">
        <f ca="1">IFERROR(__xludf.DUMMYFUNCTION("""COMPUTED_VALUE"""),5)</f>
        <v>5</v>
      </c>
      <c r="E5091" s="3">
        <f ca="1">IFERROR(__xludf.DUMMYFUNCTION("""COMPUTED_VALUE"""),2)</f>
        <v>2</v>
      </c>
    </row>
    <row r="5092" spans="1:5" ht="13">
      <c r="A5092" s="2" t="str">
        <f ca="1">IFERROR(__xludf.DUMMYFUNCTION("""COMPUTED_VALUE"""),"Lukáš, Zdeněk")</f>
        <v>Lukáš, Zdeněk</v>
      </c>
      <c r="B5092" s="2">
        <f ca="1">IFERROR(__xludf.DUMMYFUNCTION("""COMPUTED_VALUE"""),1)</f>
        <v>1</v>
      </c>
      <c r="C5092" s="7">
        <f ca="1">IFERROR(__xludf.DUMMYFUNCTION("""COMPUTED_VALUE"""),1)</f>
        <v>1</v>
      </c>
      <c r="D5092" s="8">
        <f ca="1">IFERROR(__xludf.DUMMYFUNCTION("""COMPUTED_VALUE"""),5)</f>
        <v>5</v>
      </c>
      <c r="E5092" s="2">
        <f ca="1">IFERROR(__xludf.DUMMYFUNCTION("""COMPUTED_VALUE"""),2)</f>
        <v>2</v>
      </c>
    </row>
    <row r="5093" spans="1:5" ht="13">
      <c r="A5093" s="2" t="str">
        <f ca="1">IFERROR(__xludf.DUMMYFUNCTION("""COMPUTED_VALUE"""),"Lukaszewski, Marcin")</f>
        <v>Lukaszewski, Marcin</v>
      </c>
      <c r="B5093" s="3">
        <f ca="1">IFERROR(__xludf.DUMMYFUNCTION("""COMPUTED_VALUE"""),1)</f>
        <v>1</v>
      </c>
      <c r="C5093" s="7">
        <f ca="1">IFERROR(__xludf.DUMMYFUNCTION("""COMPUTED_VALUE"""),1)</f>
        <v>1</v>
      </c>
      <c r="D5093" s="8">
        <f ca="1">IFERROR(__xludf.DUMMYFUNCTION("""COMPUTED_VALUE"""),1)</f>
        <v>1</v>
      </c>
      <c r="E5093" s="2">
        <f ca="1">IFERROR(__xludf.DUMMYFUNCTION("""COMPUTED_VALUE"""),1)</f>
        <v>1</v>
      </c>
    </row>
    <row r="5094" spans="1:5" ht="13">
      <c r="A5094" s="2" t="str">
        <f ca="1">IFERROR(__xludf.DUMMYFUNCTION("""COMPUTED_VALUE"""),"Łukaszewski, Paweł")</f>
        <v>Łukaszewski, Paweł</v>
      </c>
      <c r="B5094" s="3">
        <f ca="1">IFERROR(__xludf.DUMMYFUNCTION("""COMPUTED_VALUE"""),1)</f>
        <v>1</v>
      </c>
      <c r="C5094" s="7">
        <f ca="1">IFERROR(__xludf.DUMMYFUNCTION("""COMPUTED_VALUE"""),1)</f>
        <v>1</v>
      </c>
      <c r="D5094" s="8">
        <f ca="1">IFERROR(__xludf.DUMMYFUNCTION("""COMPUTED_VALUE"""),1)</f>
        <v>1</v>
      </c>
      <c r="E5094" s="2">
        <f ca="1">IFERROR(__xludf.DUMMYFUNCTION("""COMPUTED_VALUE"""),1)</f>
        <v>1</v>
      </c>
    </row>
    <row r="5095" spans="1:5" ht="13">
      <c r="A5095" s="8" t="str">
        <f ca="1">IFERROR(__xludf.DUMMYFUNCTION("""COMPUTED_VALUE"""),"Luke, Jeff")</f>
        <v>Luke, Jeff</v>
      </c>
      <c r="B5095" s="3">
        <f ca="1">IFERROR(__xludf.DUMMYFUNCTION("""COMPUTED_VALUE"""),1)</f>
        <v>1</v>
      </c>
      <c r="C5095" s="7">
        <f ca="1">IFERROR(__xludf.DUMMYFUNCTION("""COMPUTED_VALUE"""),1)</f>
        <v>1</v>
      </c>
      <c r="D5095" s="8">
        <f ca="1">IFERROR(__xludf.DUMMYFUNCTION("""COMPUTED_VALUE"""),1)</f>
        <v>1</v>
      </c>
      <c r="E5095" s="2">
        <f ca="1">IFERROR(__xludf.DUMMYFUNCTION("""COMPUTED_VALUE"""),1)</f>
        <v>1</v>
      </c>
    </row>
    <row r="5096" spans="1:5" ht="13">
      <c r="A5096" s="2" t="str">
        <f ca="1">IFERROR(__xludf.DUMMYFUNCTION("""COMPUTED_VALUE"""),"Luke, Ray")</f>
        <v>Luke, Ray</v>
      </c>
      <c r="B5096" s="2">
        <f ca="1">IFERROR(__xludf.DUMMYFUNCTION("""COMPUTED_VALUE"""),1)</f>
        <v>1</v>
      </c>
      <c r="C5096" s="7">
        <f ca="1">IFERROR(__xludf.DUMMYFUNCTION("""COMPUTED_VALUE"""),1)</f>
        <v>1</v>
      </c>
      <c r="D5096" s="8">
        <f ca="1">IFERROR(__xludf.DUMMYFUNCTION("""COMPUTED_VALUE"""),5)</f>
        <v>5</v>
      </c>
      <c r="E5096" s="2">
        <f ca="1">IFERROR(__xludf.DUMMYFUNCTION("""COMPUTED_VALUE"""),2)</f>
        <v>2</v>
      </c>
    </row>
    <row r="5097" spans="1:5" ht="13">
      <c r="A5097" s="8" t="str">
        <f ca="1">IFERROR(__xludf.DUMMYFUNCTION("""COMPUTED_VALUE"""),"Lukin, Gabor")</f>
        <v>Lukin, Gabor</v>
      </c>
      <c r="B5097" s="3">
        <f ca="1">IFERROR(__xludf.DUMMYFUNCTION("""COMPUTED_VALUE"""),1)</f>
        <v>1</v>
      </c>
      <c r="C5097" s="7">
        <f ca="1">IFERROR(__xludf.DUMMYFUNCTION("""COMPUTED_VALUE"""),1)</f>
        <v>1</v>
      </c>
      <c r="D5097" s="8">
        <f ca="1">IFERROR(__xludf.DUMMYFUNCTION("""COMPUTED_VALUE"""),1)</f>
        <v>1</v>
      </c>
      <c r="E5097" s="2">
        <f ca="1">IFERROR(__xludf.DUMMYFUNCTION("""COMPUTED_VALUE"""),1)</f>
        <v>1</v>
      </c>
    </row>
    <row r="5098" spans="1:5" ht="13">
      <c r="A5098" s="2" t="str">
        <f ca="1">IFERROR(__xludf.DUMMYFUNCTION("""COMPUTED_VALUE"""),"Lully, Jean-Baptiste")</f>
        <v>Lully, Jean-Baptiste</v>
      </c>
      <c r="B5098" s="3">
        <f ca="1">IFERROR(__xludf.DUMMYFUNCTION("""COMPUTED_VALUE"""),1)</f>
        <v>1</v>
      </c>
      <c r="C5098" s="7">
        <f ca="1">IFERROR(__xludf.DUMMYFUNCTION("""COMPUTED_VALUE"""),1)</f>
        <v>1</v>
      </c>
      <c r="D5098" s="8">
        <f ca="1">IFERROR(__xludf.DUMMYFUNCTION("""COMPUTED_VALUE"""),5)</f>
        <v>5</v>
      </c>
      <c r="E5098" s="2">
        <f ca="1">IFERROR(__xludf.DUMMYFUNCTION("""COMPUTED_VALUE"""),2)</f>
        <v>2</v>
      </c>
    </row>
    <row r="5099" spans="1:5" ht="13">
      <c r="A5099" s="2" t="str">
        <f ca="1">IFERROR(__xludf.DUMMYFUNCTION("""COMPUTED_VALUE"""),"Lumbye, Hans Christian")</f>
        <v>Lumbye, Hans Christian</v>
      </c>
      <c r="B5099" s="2">
        <f ca="1">IFERROR(__xludf.DUMMYFUNCTION("""COMPUTED_VALUE"""),1)</f>
        <v>1</v>
      </c>
      <c r="C5099" s="7">
        <f ca="1">IFERROR(__xludf.DUMMYFUNCTION("""COMPUTED_VALUE"""),1)</f>
        <v>1</v>
      </c>
      <c r="D5099" s="8">
        <f ca="1">IFERROR(__xludf.DUMMYFUNCTION("""COMPUTED_VALUE"""),5)</f>
        <v>5</v>
      </c>
      <c r="E5099" s="2">
        <f ca="1">IFERROR(__xludf.DUMMYFUNCTION("""COMPUTED_VALUE"""),2)</f>
        <v>2</v>
      </c>
    </row>
    <row r="5100" spans="1:5" ht="13">
      <c r="A5100" s="2" t="str">
        <f ca="1">IFERROR(__xludf.DUMMYFUNCTION("""COMPUTED_VALUE"""),"Lund, John R.")</f>
        <v>Lund, John R.</v>
      </c>
      <c r="B5100" s="2">
        <f ca="1">IFERROR(__xludf.DUMMYFUNCTION("""COMPUTED_VALUE"""),1)</f>
        <v>1</v>
      </c>
      <c r="C5100" s="7">
        <f ca="1">IFERROR(__xludf.DUMMYFUNCTION("""COMPUTED_VALUE"""),1)</f>
        <v>1</v>
      </c>
      <c r="D5100" s="8">
        <f ca="1">IFERROR(__xludf.DUMMYFUNCTION("""COMPUTED_VALUE"""),5)</f>
        <v>5</v>
      </c>
      <c r="E5100" s="2">
        <f ca="1">IFERROR(__xludf.DUMMYFUNCTION("""COMPUTED_VALUE"""),2)</f>
        <v>2</v>
      </c>
    </row>
    <row r="5101" spans="1:5" ht="13">
      <c r="A5101" s="2" t="str">
        <f ca="1">IFERROR(__xludf.DUMMYFUNCTION("""COMPUTED_VALUE"""),"Lundquist, Matthew N.")</f>
        <v>Lundquist, Matthew N.</v>
      </c>
      <c r="B5101" s="2">
        <f ca="1">IFERROR(__xludf.DUMMYFUNCTION("""COMPUTED_VALUE"""),1)</f>
        <v>1</v>
      </c>
      <c r="C5101" s="2">
        <f ca="1">IFERROR(__xludf.DUMMYFUNCTION("""COMPUTED_VALUE"""),1)</f>
        <v>1</v>
      </c>
      <c r="D5101" s="8">
        <f ca="1">IFERROR(__xludf.DUMMYFUNCTION("""COMPUTED_VALUE"""),5)</f>
        <v>5</v>
      </c>
      <c r="E5101" s="2">
        <f ca="1">IFERROR(__xludf.DUMMYFUNCTION("""COMPUTED_VALUE"""),2)</f>
        <v>2</v>
      </c>
    </row>
    <row r="5102" spans="1:5" ht="13">
      <c r="A5102" s="2" t="str">
        <f ca="1">IFERROR(__xludf.DUMMYFUNCTION("""COMPUTED_VALUE"""),"Lundvik, Hildor")</f>
        <v>Lundvik, Hildor</v>
      </c>
      <c r="B5102" s="3">
        <f ca="1">IFERROR(__xludf.DUMMYFUNCTION("""COMPUTED_VALUE"""),1)</f>
        <v>1</v>
      </c>
      <c r="C5102" s="7">
        <f ca="1">IFERROR(__xludf.DUMMYFUNCTION("""COMPUTED_VALUE"""),1)</f>
        <v>1</v>
      </c>
      <c r="D5102" s="8">
        <f ca="1">IFERROR(__xludf.DUMMYFUNCTION("""COMPUTED_VALUE"""),5)</f>
        <v>5</v>
      </c>
      <c r="E5102" s="2">
        <f ca="1">IFERROR(__xludf.DUMMYFUNCTION("""COMPUTED_VALUE"""),2)</f>
        <v>2</v>
      </c>
    </row>
    <row r="5103" spans="1:5" ht="13">
      <c r="A5103" s="2" t="str">
        <f ca="1">IFERROR(__xludf.DUMMYFUNCTION("""COMPUTED_VALUE"""),"Lunn, John")</f>
        <v>Lunn, John</v>
      </c>
      <c r="B5103" s="3">
        <f ca="1">IFERROR(__xludf.DUMMYFUNCTION("""COMPUTED_VALUE"""),1)</f>
        <v>1</v>
      </c>
      <c r="C5103" s="7">
        <f ca="1">IFERROR(__xludf.DUMMYFUNCTION("""COMPUTED_VALUE"""),1)</f>
        <v>1</v>
      </c>
      <c r="D5103" s="8">
        <f ca="1">IFERROR(__xludf.DUMMYFUNCTION("""COMPUTED_VALUE"""),1)</f>
        <v>1</v>
      </c>
      <c r="E5103" s="2">
        <f ca="1">IFERROR(__xludf.DUMMYFUNCTION("""COMPUTED_VALUE"""),1)</f>
        <v>1</v>
      </c>
    </row>
    <row r="5104" spans="1:5" ht="13">
      <c r="A5104" s="8" t="str">
        <f ca="1">IFERROR(__xludf.DUMMYFUNCTION("""COMPUTED_VALUE"""),"Lunn, Robert")</f>
        <v>Lunn, Robert</v>
      </c>
      <c r="B5104" s="3">
        <f ca="1">IFERROR(__xludf.DUMMYFUNCTION("""COMPUTED_VALUE"""),1)</f>
        <v>1</v>
      </c>
      <c r="C5104" s="7">
        <f ca="1">IFERROR(__xludf.DUMMYFUNCTION("""COMPUTED_VALUE"""),1)</f>
        <v>1</v>
      </c>
      <c r="D5104" s="8">
        <f ca="1">IFERROR(__xludf.DUMMYFUNCTION("""COMPUTED_VALUE"""),1)</f>
        <v>1</v>
      </c>
      <c r="E5104" s="2">
        <f ca="1">IFERROR(__xludf.DUMMYFUNCTION("""COMPUTED_VALUE"""),1)</f>
        <v>1</v>
      </c>
    </row>
    <row r="5105" spans="1:5" ht="13">
      <c r="A5105" s="8" t="str">
        <f ca="1">IFERROR(__xludf.DUMMYFUNCTION("""COMPUTED_VALUE"""),"Lunow, Albert")</f>
        <v>Lunow, Albert</v>
      </c>
      <c r="B5105" s="3">
        <f ca="1">IFERROR(__xludf.DUMMYFUNCTION("""COMPUTED_VALUE"""),1)</f>
        <v>1</v>
      </c>
      <c r="C5105" s="7">
        <f ca="1">IFERROR(__xludf.DUMMYFUNCTION("""COMPUTED_VALUE"""),1)</f>
        <v>1</v>
      </c>
      <c r="D5105" s="8">
        <f ca="1">IFERROR(__xludf.DUMMYFUNCTION("""COMPUTED_VALUE"""),5)</f>
        <v>5</v>
      </c>
      <c r="E5105" s="2">
        <f ca="1">IFERROR(__xludf.DUMMYFUNCTION("""COMPUTED_VALUE"""),2)</f>
        <v>2</v>
      </c>
    </row>
    <row r="5106" spans="1:5" ht="13">
      <c r="A5106" s="8" t="str">
        <f ca="1">IFERROR(__xludf.DUMMYFUNCTION("""COMPUTED_VALUE"""),"Lussier, Mathieu")</f>
        <v>Lussier, Mathieu</v>
      </c>
      <c r="B5106" s="3">
        <f ca="1">IFERROR(__xludf.DUMMYFUNCTION("""COMPUTED_VALUE"""),1)</f>
        <v>1</v>
      </c>
      <c r="C5106" s="7">
        <f ca="1">IFERROR(__xludf.DUMMYFUNCTION("""COMPUTED_VALUE"""),1)</f>
        <v>1</v>
      </c>
      <c r="D5106" s="8">
        <f ca="1">IFERROR(__xludf.DUMMYFUNCTION("""COMPUTED_VALUE"""),1)</f>
        <v>1</v>
      </c>
      <c r="E5106" s="2">
        <f ca="1">IFERROR(__xludf.DUMMYFUNCTION("""COMPUTED_VALUE"""),1)</f>
        <v>1</v>
      </c>
    </row>
    <row r="5107" spans="1:5" ht="13">
      <c r="A5107" s="2" t="str">
        <f ca="1">IFERROR(__xludf.DUMMYFUNCTION("""COMPUTED_VALUE"""),"Luther Adams, John")</f>
        <v>Luther Adams, John</v>
      </c>
      <c r="B5107" s="3">
        <f ca="1">IFERROR(__xludf.DUMMYFUNCTION("""COMPUTED_VALUE"""),1)</f>
        <v>1</v>
      </c>
      <c r="C5107" s="7">
        <f ca="1">IFERROR(__xludf.DUMMYFUNCTION("""COMPUTED_VALUE"""),1)</f>
        <v>1</v>
      </c>
      <c r="D5107" s="8">
        <f ca="1">IFERROR(__xludf.DUMMYFUNCTION("""COMPUTED_VALUE"""),1)</f>
        <v>1</v>
      </c>
      <c r="E5107" s="2">
        <f ca="1">IFERROR(__xludf.DUMMYFUNCTION("""COMPUTED_VALUE"""),1)</f>
        <v>1</v>
      </c>
    </row>
    <row r="5108" spans="1:5" ht="13">
      <c r="A5108" s="2" t="str">
        <f ca="1">IFERROR(__xludf.DUMMYFUNCTION("""COMPUTED_VALUE"""),"Luther, Martin")</f>
        <v>Luther, Martin</v>
      </c>
      <c r="B5108" s="3">
        <f ca="1">IFERROR(__xludf.DUMMYFUNCTION("""COMPUTED_VALUE"""),1)</f>
        <v>1</v>
      </c>
      <c r="C5108" s="7">
        <f ca="1">IFERROR(__xludf.DUMMYFUNCTION("""COMPUTED_VALUE"""),1)</f>
        <v>1</v>
      </c>
      <c r="D5108" s="8">
        <f ca="1">IFERROR(__xludf.DUMMYFUNCTION("""COMPUTED_VALUE"""),5)</f>
        <v>5</v>
      </c>
      <c r="E5108" s="2">
        <f ca="1">IFERROR(__xludf.DUMMYFUNCTION("""COMPUTED_VALUE"""),2)</f>
        <v>2</v>
      </c>
    </row>
    <row r="5109" spans="1:5" ht="13">
      <c r="A5109" s="8" t="str">
        <f ca="1">IFERROR(__xludf.DUMMYFUNCTION("""COMPUTED_VALUE"""),"Luthold, Ernst")</f>
        <v>Luthold, Ernst</v>
      </c>
      <c r="B5109" s="3">
        <f ca="1">IFERROR(__xludf.DUMMYFUNCTION("""COMPUTED_VALUE"""),1)</f>
        <v>1</v>
      </c>
      <c r="C5109" s="7">
        <f ca="1">IFERROR(__xludf.DUMMYFUNCTION("""COMPUTED_VALUE"""),1)</f>
        <v>1</v>
      </c>
      <c r="D5109" s="8">
        <f ca="1">IFERROR(__xludf.DUMMYFUNCTION("""COMPUTED_VALUE"""),5)</f>
        <v>5</v>
      </c>
      <c r="E5109" s="2">
        <f ca="1">IFERROR(__xludf.DUMMYFUNCTION("""COMPUTED_VALUE"""),2)</f>
        <v>2</v>
      </c>
    </row>
    <row r="5110" spans="1:5" ht="13">
      <c r="A5110" s="2" t="str">
        <f ca="1">IFERROR(__xludf.DUMMYFUNCTION("""COMPUTED_VALUE"""),"Lutkin, Peter")</f>
        <v>Lutkin, Peter</v>
      </c>
      <c r="B5110" s="3">
        <f ca="1">IFERROR(__xludf.DUMMYFUNCTION("""COMPUTED_VALUE"""),1)</f>
        <v>1</v>
      </c>
      <c r="C5110" s="7">
        <f ca="1">IFERROR(__xludf.DUMMYFUNCTION("""COMPUTED_VALUE"""),1)</f>
        <v>1</v>
      </c>
      <c r="D5110" s="8">
        <f ca="1">IFERROR(__xludf.DUMMYFUNCTION("""COMPUTED_VALUE"""),5)</f>
        <v>5</v>
      </c>
      <c r="E5110" s="2">
        <f ca="1">IFERROR(__xludf.DUMMYFUNCTION("""COMPUTED_VALUE"""),2)</f>
        <v>2</v>
      </c>
    </row>
    <row r="5111" spans="1:5" ht="13">
      <c r="A5111" s="2" t="str">
        <f ca="1">IFERROR(__xludf.DUMMYFUNCTION("""COMPUTED_VALUE"""),"Lutosławski, Witold")</f>
        <v>Lutosławski, Witold</v>
      </c>
      <c r="B5111" s="3">
        <f ca="1">IFERROR(__xludf.DUMMYFUNCTION("""COMPUTED_VALUE"""),1)</f>
        <v>1</v>
      </c>
      <c r="C5111" s="7">
        <f ca="1">IFERROR(__xludf.DUMMYFUNCTION("""COMPUTED_VALUE"""),1)</f>
        <v>1</v>
      </c>
      <c r="D5111" s="8">
        <f ca="1">IFERROR(__xludf.DUMMYFUNCTION("""COMPUTED_VALUE"""),5)</f>
        <v>5</v>
      </c>
      <c r="E5111" s="2">
        <f ca="1">IFERROR(__xludf.DUMMYFUNCTION("""COMPUTED_VALUE"""),2)</f>
        <v>2</v>
      </c>
    </row>
    <row r="5112" spans="1:5" ht="13">
      <c r="A5112" s="2" t="str">
        <f ca="1">IFERROR(__xludf.DUMMYFUNCTION("""COMPUTED_VALUE"""),"Luvaas, Morten")</f>
        <v>Luvaas, Morten</v>
      </c>
      <c r="B5112" s="3">
        <f ca="1">IFERROR(__xludf.DUMMYFUNCTION("""COMPUTED_VALUE"""),1)</f>
        <v>1</v>
      </c>
      <c r="C5112" s="7">
        <f ca="1">IFERROR(__xludf.DUMMYFUNCTION("""COMPUTED_VALUE"""),1)</f>
        <v>1</v>
      </c>
      <c r="D5112" s="8">
        <f ca="1">IFERROR(__xludf.DUMMYFUNCTION("""COMPUTED_VALUE"""),5)</f>
        <v>5</v>
      </c>
      <c r="E5112" s="2">
        <f ca="1">IFERROR(__xludf.DUMMYFUNCTION("""COMPUTED_VALUE"""),2)</f>
        <v>2</v>
      </c>
    </row>
    <row r="5113" spans="1:5" ht="13">
      <c r="A5113" s="2" t="str">
        <f ca="1">IFERROR(__xludf.DUMMYFUNCTION("""COMPUTED_VALUE"""),"Luzzaschi, Luzzasco")</f>
        <v>Luzzaschi, Luzzasco</v>
      </c>
      <c r="B5113" s="3">
        <f ca="1">IFERROR(__xludf.DUMMYFUNCTION("""COMPUTED_VALUE"""),1)</f>
        <v>1</v>
      </c>
      <c r="C5113" s="7">
        <f ca="1">IFERROR(__xludf.DUMMYFUNCTION("""COMPUTED_VALUE"""),1)</f>
        <v>1</v>
      </c>
      <c r="D5113" s="8">
        <f ca="1">IFERROR(__xludf.DUMMYFUNCTION("""COMPUTED_VALUE"""),5)</f>
        <v>5</v>
      </c>
      <c r="E5113" s="2">
        <f ca="1">IFERROR(__xludf.DUMMYFUNCTION("""COMPUTED_VALUE"""),2)</f>
        <v>2</v>
      </c>
    </row>
    <row r="5114" spans="1:5" ht="13">
      <c r="A5114" s="2" t="str">
        <f ca="1">IFERROR(__xludf.DUMMYFUNCTION("""COMPUTED_VALUE"""),"Lyadov, Anatoly")</f>
        <v>Lyadov, Anatoly</v>
      </c>
      <c r="B5114" s="3">
        <f ca="1">IFERROR(__xludf.DUMMYFUNCTION("""COMPUTED_VALUE"""),1)</f>
        <v>1</v>
      </c>
      <c r="C5114" s="7">
        <f ca="1">IFERROR(__xludf.DUMMYFUNCTION("""COMPUTED_VALUE"""),1)</f>
        <v>1</v>
      </c>
      <c r="D5114" s="8">
        <f ca="1">IFERROR(__xludf.DUMMYFUNCTION("""COMPUTED_VALUE"""),5)</f>
        <v>5</v>
      </c>
      <c r="E5114" s="2">
        <f ca="1">IFERROR(__xludf.DUMMYFUNCTION("""COMPUTED_VALUE"""),2)</f>
        <v>2</v>
      </c>
    </row>
    <row r="5115" spans="1:5" ht="13">
      <c r="A5115" s="2" t="str">
        <f ca="1">IFERROR(__xludf.DUMMYFUNCTION("""COMPUTED_VALUE"""),"Lyatoshynsky, Borys")</f>
        <v>Lyatoshynsky, Borys</v>
      </c>
      <c r="B5115" s="3">
        <f ca="1">IFERROR(__xludf.DUMMYFUNCTION("""COMPUTED_VALUE"""),1)</f>
        <v>1</v>
      </c>
      <c r="C5115" s="7">
        <f ca="1">IFERROR(__xludf.DUMMYFUNCTION("""COMPUTED_VALUE"""),1)</f>
        <v>1</v>
      </c>
      <c r="D5115" s="8">
        <f ca="1">IFERROR(__xludf.DUMMYFUNCTION("""COMPUTED_VALUE"""),5)</f>
        <v>5</v>
      </c>
      <c r="E5115" s="2">
        <f ca="1">IFERROR(__xludf.DUMMYFUNCTION("""COMPUTED_VALUE"""),2)</f>
        <v>2</v>
      </c>
    </row>
    <row r="5116" spans="1:5" ht="13">
      <c r="A5116" s="8" t="str">
        <f ca="1">IFERROR(__xludf.DUMMYFUNCTION("""COMPUTED_VALUE"""),"Lyle, J.B.")</f>
        <v>Lyle, J.B.</v>
      </c>
      <c r="B5116" s="3">
        <f ca="1">IFERROR(__xludf.DUMMYFUNCTION("""COMPUTED_VALUE"""),1)</f>
        <v>1</v>
      </c>
      <c r="C5116" s="7">
        <f ca="1">IFERROR(__xludf.DUMMYFUNCTION("""COMPUTED_VALUE"""),1)</f>
        <v>1</v>
      </c>
      <c r="D5116" s="8">
        <f ca="1">IFERROR(__xludf.DUMMYFUNCTION("""COMPUTED_VALUE"""),5)</f>
        <v>5</v>
      </c>
      <c r="E5116" s="2">
        <f ca="1">IFERROR(__xludf.DUMMYFUNCTION("""COMPUTED_VALUE"""),2)</f>
        <v>2</v>
      </c>
    </row>
    <row r="5117" spans="1:5" ht="13">
      <c r="A5117" s="2" t="str">
        <f ca="1">IFERROR(__xludf.DUMMYFUNCTION("""COMPUTED_VALUE"""),"Lynch, John P.")</f>
        <v>Lynch, John P.</v>
      </c>
      <c r="B5117" s="3">
        <f ca="1">IFERROR(__xludf.DUMMYFUNCTION("""COMPUTED_VALUE"""),1)</f>
        <v>1</v>
      </c>
      <c r="C5117" s="7">
        <f ca="1">IFERROR(__xludf.DUMMYFUNCTION("""COMPUTED_VALUE"""),1)</f>
        <v>1</v>
      </c>
      <c r="D5117" s="8">
        <f ca="1">IFERROR(__xludf.DUMMYFUNCTION("""COMPUTED_VALUE"""),1)</f>
        <v>1</v>
      </c>
      <c r="E5117" s="2">
        <f ca="1">IFERROR(__xludf.DUMMYFUNCTION("""COMPUTED_VALUE"""),1)</f>
        <v>1</v>
      </c>
    </row>
    <row r="5118" spans="1:5" ht="13">
      <c r="A5118" s="2" t="str">
        <f ca="1">IFERROR(__xludf.DUMMYFUNCTION("""COMPUTED_VALUE"""),"Lynd, Albert")</f>
        <v>Lynd, Albert</v>
      </c>
      <c r="B5118" s="3">
        <f ca="1">IFERROR(__xludf.DUMMYFUNCTION("""COMPUTED_VALUE"""),1)</f>
        <v>1</v>
      </c>
      <c r="C5118" s="7">
        <f ca="1">IFERROR(__xludf.DUMMYFUNCTION("""COMPUTED_VALUE"""),1)</f>
        <v>1</v>
      </c>
      <c r="D5118" s="8">
        <f ca="1">IFERROR(__xludf.DUMMYFUNCTION("""COMPUTED_VALUE"""),5)</f>
        <v>5</v>
      </c>
      <c r="E5118" s="2">
        <f ca="1">IFERROR(__xludf.DUMMYFUNCTION("""COMPUTED_VALUE"""),2)</f>
        <v>2</v>
      </c>
    </row>
    <row r="5119" spans="1:5" ht="13">
      <c r="A5119" s="2" t="str">
        <f ca="1">IFERROR(__xludf.DUMMYFUNCTION("""COMPUTED_VALUE"""),"Lyondev, Peter")</f>
        <v>Lyondev, Peter</v>
      </c>
      <c r="B5119" s="2">
        <f ca="1">IFERROR(__xludf.DUMMYFUNCTION("""COMPUTED_VALUE"""),1)</f>
        <v>1</v>
      </c>
      <c r="C5119" s="7">
        <f ca="1">IFERROR(__xludf.DUMMYFUNCTION("""COMPUTED_VALUE"""),1)</f>
        <v>1</v>
      </c>
      <c r="D5119" s="8">
        <f ca="1">IFERROR(__xludf.DUMMYFUNCTION("""COMPUTED_VALUE"""),1)</f>
        <v>1</v>
      </c>
      <c r="E5119" s="2">
        <f ca="1">IFERROR(__xludf.DUMMYFUNCTION("""COMPUTED_VALUE"""),1)</f>
        <v>1</v>
      </c>
    </row>
    <row r="5120" spans="1:5" ht="13">
      <c r="A5120" s="8" t="str">
        <f ca="1">IFERROR(__xludf.DUMMYFUNCTION("""COMPUTED_VALUE"""),"Lysenko, Mykola")</f>
        <v>Lysenko, Mykola</v>
      </c>
      <c r="B5120" s="3">
        <f ca="1">IFERROR(__xludf.DUMMYFUNCTION("""COMPUTED_VALUE"""),1)</f>
        <v>1</v>
      </c>
      <c r="C5120" s="7">
        <f ca="1">IFERROR(__xludf.DUMMYFUNCTION("""COMPUTED_VALUE"""),1)</f>
        <v>1</v>
      </c>
      <c r="D5120" s="8">
        <f ca="1">IFERROR(__xludf.DUMMYFUNCTION("""COMPUTED_VALUE"""),5)</f>
        <v>5</v>
      </c>
      <c r="E5120" s="2">
        <f ca="1">IFERROR(__xludf.DUMMYFUNCTION("""COMPUTED_VALUE"""),2)</f>
        <v>2</v>
      </c>
    </row>
    <row r="5121" spans="1:5" ht="13">
      <c r="A5121" s="2" t="str">
        <f ca="1">IFERROR(__xludf.DUMMYFUNCTION("""COMPUTED_VALUE"""),"Lyte, Henry Francis")</f>
        <v>Lyte, Henry Francis</v>
      </c>
      <c r="B5121" s="2">
        <f ca="1">IFERROR(__xludf.DUMMYFUNCTION("""COMPUTED_VALUE"""),1)</f>
        <v>1</v>
      </c>
      <c r="C5121" s="7">
        <f ca="1">IFERROR(__xludf.DUMMYFUNCTION("""COMPUTED_VALUE"""),1)</f>
        <v>1</v>
      </c>
      <c r="D5121" s="8">
        <f ca="1">IFERROR(__xludf.DUMMYFUNCTION("""COMPUTED_VALUE"""),5)</f>
        <v>5</v>
      </c>
      <c r="E5121" s="2">
        <f ca="1">IFERROR(__xludf.DUMMYFUNCTION("""COMPUTED_VALUE"""),2)</f>
        <v>2</v>
      </c>
    </row>
    <row r="5122" spans="1:5" ht="13">
      <c r="A5122" s="2" t="str">
        <f ca="1">IFERROR(__xludf.DUMMYFUNCTION("""COMPUTED_VALUE"""),"Maahs, Brandon")</f>
        <v>Maahs, Brandon</v>
      </c>
      <c r="B5122" s="3">
        <f ca="1">IFERROR(__xludf.DUMMYFUNCTION("""COMPUTED_VALUE"""),1)</f>
        <v>1</v>
      </c>
      <c r="C5122" s="7">
        <f ca="1">IFERROR(__xludf.DUMMYFUNCTION("""COMPUTED_VALUE"""),1)</f>
        <v>1</v>
      </c>
      <c r="D5122" s="8">
        <f ca="1">IFERROR(__xludf.DUMMYFUNCTION("""COMPUTED_VALUE"""),1)</f>
        <v>1</v>
      </c>
      <c r="E5122" s="2">
        <f ca="1">IFERROR(__xludf.DUMMYFUNCTION("""COMPUTED_VALUE"""),1)</f>
        <v>1</v>
      </c>
    </row>
    <row r="5123" spans="1:5" ht="13">
      <c r="A5123" s="2" t="str">
        <f ca="1">IFERROR(__xludf.DUMMYFUNCTION("""COMPUTED_VALUE"""),"Mabry, George L.")</f>
        <v>Mabry, George L.</v>
      </c>
      <c r="B5123" s="3">
        <f ca="1">IFERROR(__xludf.DUMMYFUNCTION("""COMPUTED_VALUE"""),1)</f>
        <v>1</v>
      </c>
      <c r="C5123" s="7">
        <f ca="1">IFERROR(__xludf.DUMMYFUNCTION("""COMPUTED_VALUE"""),1)</f>
        <v>1</v>
      </c>
      <c r="D5123" s="8">
        <f ca="1">IFERROR(__xludf.DUMMYFUNCTION("""COMPUTED_VALUE"""),1)</f>
        <v>1</v>
      </c>
      <c r="E5123" s="2">
        <f ca="1">IFERROR(__xludf.DUMMYFUNCTION("""COMPUTED_VALUE"""),1)</f>
        <v>1</v>
      </c>
    </row>
    <row r="5124" spans="1:5" ht="13">
      <c r="A5124" s="2" t="str">
        <f ca="1">IFERROR(__xludf.DUMMYFUNCTION("""COMPUTED_VALUE"""),"Mac Huff")</f>
        <v>Mac Huff</v>
      </c>
      <c r="B5124" s="3">
        <f ca="1">IFERROR(__xludf.DUMMYFUNCTION("""COMPUTED_VALUE"""),1)</f>
        <v>1</v>
      </c>
      <c r="C5124" s="7">
        <f ca="1">IFERROR(__xludf.DUMMYFUNCTION("""COMPUTED_VALUE"""),1)</f>
        <v>1</v>
      </c>
      <c r="D5124" s="8">
        <f ca="1">IFERROR(__xludf.DUMMYFUNCTION("""COMPUTED_VALUE"""),5)</f>
        <v>5</v>
      </c>
      <c r="E5124" s="2">
        <f ca="1">IFERROR(__xludf.DUMMYFUNCTION("""COMPUTED_VALUE"""),2)</f>
        <v>2</v>
      </c>
    </row>
    <row r="5125" spans="1:5" ht="13">
      <c r="A5125" s="2" t="str">
        <f ca="1">IFERROR(__xludf.DUMMYFUNCTION("""COMPUTED_VALUE"""),"MacBeth, James (aka John Kinyon)")</f>
        <v>MacBeth, James (aka John Kinyon)</v>
      </c>
      <c r="B5125" s="2">
        <f ca="1">IFERROR(__xludf.DUMMYFUNCTION("""COMPUTED_VALUE"""),1)</f>
        <v>1</v>
      </c>
      <c r="C5125" s="7">
        <f ca="1">IFERROR(__xludf.DUMMYFUNCTION("""COMPUTED_VALUE"""),1)</f>
        <v>1</v>
      </c>
      <c r="D5125" s="8">
        <f ca="1">IFERROR(__xludf.DUMMYFUNCTION("""COMPUTED_VALUE"""),5)</f>
        <v>5</v>
      </c>
      <c r="E5125" s="2">
        <f ca="1">IFERROR(__xludf.DUMMYFUNCTION("""COMPUTED_VALUE"""),2)</f>
        <v>2</v>
      </c>
    </row>
    <row r="5126" spans="1:5" ht="13">
      <c r="A5126" s="2" t="str">
        <f ca="1">IFERROR(__xludf.DUMMYFUNCTION("""COMPUTED_VALUE"""),"MacCunn, Hamish")</f>
        <v>MacCunn, Hamish</v>
      </c>
      <c r="B5126" s="3">
        <f ca="1">IFERROR(__xludf.DUMMYFUNCTION("""COMPUTED_VALUE"""),1)</f>
        <v>1</v>
      </c>
      <c r="C5126" s="7">
        <f ca="1">IFERROR(__xludf.DUMMYFUNCTION("""COMPUTED_VALUE"""),1)</f>
        <v>1</v>
      </c>
      <c r="D5126" s="8">
        <f ca="1">IFERROR(__xludf.DUMMYFUNCTION("""COMPUTED_VALUE"""),5)</f>
        <v>5</v>
      </c>
      <c r="E5126" s="2">
        <f ca="1">IFERROR(__xludf.DUMMYFUNCTION("""COMPUTED_VALUE"""),2)</f>
        <v>2</v>
      </c>
    </row>
    <row r="5127" spans="1:5" ht="13">
      <c r="A5127" s="8" t="str">
        <f ca="1">IFERROR(__xludf.DUMMYFUNCTION("""COMPUTED_VALUE"""),"Macdermot, Galt")</f>
        <v>Macdermot, Galt</v>
      </c>
      <c r="B5127" s="3">
        <f ca="1">IFERROR(__xludf.DUMMYFUNCTION("""COMPUTED_VALUE"""),1)</f>
        <v>1</v>
      </c>
      <c r="C5127" s="7">
        <f ca="1">IFERROR(__xludf.DUMMYFUNCTION("""COMPUTED_VALUE"""),1)</f>
        <v>1</v>
      </c>
      <c r="D5127" s="8">
        <f ca="1">IFERROR(__xludf.DUMMYFUNCTION("""COMPUTED_VALUE"""),5)</f>
        <v>5</v>
      </c>
      <c r="E5127" s="2">
        <f ca="1">IFERROR(__xludf.DUMMYFUNCTION("""COMPUTED_VALUE"""),2)</f>
        <v>2</v>
      </c>
    </row>
    <row r="5128" spans="1:5" ht="13">
      <c r="A5128" s="2" t="str">
        <f ca="1">IFERROR(__xludf.DUMMYFUNCTION("""COMPUTED_VALUE"""),"MacDonald, Dan")</f>
        <v>MacDonald, Dan</v>
      </c>
      <c r="B5128" s="3">
        <f ca="1">IFERROR(__xludf.DUMMYFUNCTION("""COMPUTED_VALUE"""),1)</f>
        <v>1</v>
      </c>
      <c r="C5128" s="7">
        <f ca="1">IFERROR(__xludf.DUMMYFUNCTION("""COMPUTED_VALUE"""),1)</f>
        <v>1</v>
      </c>
      <c r="D5128" s="8">
        <f ca="1">IFERROR(__xludf.DUMMYFUNCTION("""COMPUTED_VALUE"""),5)</f>
        <v>5</v>
      </c>
      <c r="E5128" s="2">
        <f ca="1">IFERROR(__xludf.DUMMYFUNCTION("""COMPUTED_VALUE"""),2)</f>
        <v>2</v>
      </c>
    </row>
    <row r="5129" spans="1:5" ht="13">
      <c r="A5129" s="2" t="str">
        <f ca="1">IFERROR(__xludf.DUMMYFUNCTION("""COMPUTED_VALUE"""),"MacDonald, Don")</f>
        <v>MacDonald, Don</v>
      </c>
      <c r="B5129" s="3">
        <f ca="1">IFERROR(__xludf.DUMMYFUNCTION("""COMPUTED_VALUE"""),1)</f>
        <v>1</v>
      </c>
      <c r="C5129" s="7">
        <f ca="1">IFERROR(__xludf.DUMMYFUNCTION("""COMPUTED_VALUE"""),1)</f>
        <v>1</v>
      </c>
      <c r="D5129" s="8">
        <f ca="1">IFERROR(__xludf.DUMMYFUNCTION("""COMPUTED_VALUE"""),1)</f>
        <v>1</v>
      </c>
      <c r="E5129" s="2">
        <f ca="1">IFERROR(__xludf.DUMMYFUNCTION("""COMPUTED_VALUE"""),1)</f>
        <v>1</v>
      </c>
    </row>
    <row r="5130" spans="1:5" ht="13">
      <c r="A5130" s="2" t="str">
        <f ca="1">IFERROR(__xludf.DUMMYFUNCTION("""COMPUTED_VALUE"""),"MacDowell, Edward")</f>
        <v>MacDowell, Edward</v>
      </c>
      <c r="B5130" s="3">
        <f ca="1">IFERROR(__xludf.DUMMYFUNCTION("""COMPUTED_VALUE"""),1)</f>
        <v>1</v>
      </c>
      <c r="C5130" s="7">
        <f ca="1">IFERROR(__xludf.DUMMYFUNCTION("""COMPUTED_VALUE"""),1)</f>
        <v>1</v>
      </c>
      <c r="D5130" s="8">
        <f ca="1">IFERROR(__xludf.DUMMYFUNCTION("""COMPUTED_VALUE"""),5)</f>
        <v>5</v>
      </c>
      <c r="E5130" s="2">
        <f ca="1">IFERROR(__xludf.DUMMYFUNCTION("""COMPUTED_VALUE"""),2)</f>
        <v>2</v>
      </c>
    </row>
    <row r="5131" spans="1:5" ht="13">
      <c r="A5131" s="2" t="str">
        <f ca="1">IFERROR(__xludf.DUMMYFUNCTION("""COMPUTED_VALUE"""),"MacFarren, Walter")</f>
        <v>MacFarren, Walter</v>
      </c>
      <c r="B5131" s="3">
        <f ca="1">IFERROR(__xludf.DUMMYFUNCTION("""COMPUTED_VALUE"""),1)</f>
        <v>1</v>
      </c>
      <c r="C5131" s="7">
        <f ca="1">IFERROR(__xludf.DUMMYFUNCTION("""COMPUTED_VALUE"""),1)</f>
        <v>1</v>
      </c>
      <c r="D5131" s="8">
        <f ca="1">IFERROR(__xludf.DUMMYFUNCTION("""COMPUTED_VALUE"""),5)</f>
        <v>5</v>
      </c>
      <c r="E5131" s="2">
        <f ca="1">IFERROR(__xludf.DUMMYFUNCTION("""COMPUTED_VALUE"""),2)</f>
        <v>2</v>
      </c>
    </row>
    <row r="5132" spans="1:5" ht="13">
      <c r="A5132" s="8" t="str">
        <f ca="1">IFERROR(__xludf.DUMMYFUNCTION("""COMPUTED_VALUE"""),"MacGillivray, Allister")</f>
        <v>MacGillivray, Allister</v>
      </c>
      <c r="B5132" s="3">
        <f ca="1">IFERROR(__xludf.DUMMYFUNCTION("""COMPUTED_VALUE"""),1)</f>
        <v>1</v>
      </c>
      <c r="C5132" s="7">
        <f ca="1">IFERROR(__xludf.DUMMYFUNCTION("""COMPUTED_VALUE"""),1)</f>
        <v>1</v>
      </c>
      <c r="D5132" s="8">
        <f ca="1">IFERROR(__xludf.DUMMYFUNCTION("""COMPUTED_VALUE"""),1)</f>
        <v>1</v>
      </c>
      <c r="E5132" s="2">
        <f ca="1">IFERROR(__xludf.DUMMYFUNCTION("""COMPUTED_VALUE"""),1)</f>
        <v>1</v>
      </c>
    </row>
    <row r="5133" spans="1:5" ht="13">
      <c r="A5133" s="2" t="str">
        <f ca="1">IFERROR(__xludf.DUMMYFUNCTION("""COMPUTED_VALUE"""),"MacGillvray, Allister")</f>
        <v>MacGillvray, Allister</v>
      </c>
      <c r="B5133" s="3">
        <f ca="1">IFERROR(__xludf.DUMMYFUNCTION("""COMPUTED_VALUE"""),1)</f>
        <v>1</v>
      </c>
      <c r="C5133" s="7">
        <f ca="1">IFERROR(__xludf.DUMMYFUNCTION("""COMPUTED_VALUE"""),1)</f>
        <v>1</v>
      </c>
      <c r="D5133" s="8">
        <f ca="1">IFERROR(__xludf.DUMMYFUNCTION("""COMPUTED_VALUE"""),1)</f>
        <v>1</v>
      </c>
      <c r="E5133" s="2">
        <f ca="1">IFERROR(__xludf.DUMMYFUNCTION("""COMPUTED_VALUE"""),1)</f>
        <v>1</v>
      </c>
    </row>
    <row r="5134" spans="1:5" ht="13">
      <c r="A5134" s="2" t="str">
        <f ca="1">IFERROR(__xludf.DUMMYFUNCTION("""COMPUTED_VALUE"""),"MacGimsey, Robert")</f>
        <v>MacGimsey, Robert</v>
      </c>
      <c r="B5134" s="2">
        <f ca="1">IFERROR(__xludf.DUMMYFUNCTION("""COMPUTED_VALUE"""),1)</f>
        <v>1</v>
      </c>
      <c r="C5134" s="7">
        <f ca="1">IFERROR(__xludf.DUMMYFUNCTION("""COMPUTED_VALUE"""),1)</f>
        <v>1</v>
      </c>
      <c r="D5134" s="8">
        <f ca="1">IFERROR(__xludf.DUMMYFUNCTION("""COMPUTED_VALUE"""),5)</f>
        <v>5</v>
      </c>
      <c r="E5134" s="2">
        <f ca="1">IFERROR(__xludf.DUMMYFUNCTION("""COMPUTED_VALUE"""),2)</f>
        <v>2</v>
      </c>
    </row>
    <row r="5135" spans="1:5" ht="13">
      <c r="A5135" s="8" t="str">
        <f ca="1">IFERROR(__xludf.DUMMYFUNCTION("""COMPUTED_VALUE"""),"Macha, Otmar")</f>
        <v>Macha, Otmar</v>
      </c>
      <c r="B5135" s="3">
        <f ca="1">IFERROR(__xludf.DUMMYFUNCTION("""COMPUTED_VALUE"""),1)</f>
        <v>1</v>
      </c>
      <c r="C5135" s="7">
        <f ca="1">IFERROR(__xludf.DUMMYFUNCTION("""COMPUTED_VALUE"""),1)</f>
        <v>1</v>
      </c>
      <c r="D5135" s="8">
        <f ca="1">IFERROR(__xludf.DUMMYFUNCTION("""COMPUTED_VALUE"""),1)</f>
        <v>1</v>
      </c>
      <c r="E5135" s="2">
        <f ca="1">IFERROR(__xludf.DUMMYFUNCTION("""COMPUTED_VALUE"""),1)</f>
        <v>1</v>
      </c>
    </row>
    <row r="5136" spans="1:5" ht="13">
      <c r="A5136" s="2" t="str">
        <f ca="1">IFERROR(__xludf.DUMMYFUNCTION("""COMPUTED_VALUE"""),"Machado y Ruiz, Antonio")</f>
        <v>Machado y Ruiz, Antonio</v>
      </c>
      <c r="B5136" s="3">
        <f ca="1">IFERROR(__xludf.DUMMYFUNCTION("""COMPUTED_VALUE"""),1)</f>
        <v>1</v>
      </c>
      <c r="C5136" s="7">
        <f ca="1">IFERROR(__xludf.DUMMYFUNCTION("""COMPUTED_VALUE"""),1)</f>
        <v>1</v>
      </c>
      <c r="D5136" s="8">
        <f ca="1">IFERROR(__xludf.DUMMYFUNCTION("""COMPUTED_VALUE"""),5)</f>
        <v>5</v>
      </c>
      <c r="E5136" s="2">
        <f ca="1">IFERROR(__xludf.DUMMYFUNCTION("""COMPUTED_VALUE"""),2)</f>
        <v>2</v>
      </c>
    </row>
    <row r="5137" spans="1:5" ht="13">
      <c r="A5137" s="8" t="str">
        <f ca="1">IFERROR(__xludf.DUMMYFUNCTION("""COMPUTED_VALUE"""),"Machan, Derek")</f>
        <v>Machan, Derek</v>
      </c>
      <c r="B5137" s="3">
        <f ca="1">IFERROR(__xludf.DUMMYFUNCTION("""COMPUTED_VALUE"""),1)</f>
        <v>1</v>
      </c>
      <c r="C5137" s="7">
        <f ca="1">IFERROR(__xludf.DUMMYFUNCTION("""COMPUTED_VALUE"""),1)</f>
        <v>1</v>
      </c>
      <c r="D5137" s="8">
        <f ca="1">IFERROR(__xludf.DUMMYFUNCTION("""COMPUTED_VALUE"""),1)</f>
        <v>1</v>
      </c>
      <c r="E5137" s="2">
        <f ca="1">IFERROR(__xludf.DUMMYFUNCTION("""COMPUTED_VALUE"""),1)</f>
        <v>1</v>
      </c>
    </row>
    <row r="5138" spans="1:5" ht="13">
      <c r="A5138" s="2" t="str">
        <f ca="1">IFERROR(__xludf.DUMMYFUNCTION("""COMPUTED_VALUE"""),"Machan, James")</f>
        <v>Machan, James</v>
      </c>
      <c r="B5138" s="3">
        <f ca="1">IFERROR(__xludf.DUMMYFUNCTION("""COMPUTED_VALUE"""),1)</f>
        <v>1</v>
      </c>
      <c r="C5138" s="7">
        <f ca="1">IFERROR(__xludf.DUMMYFUNCTION("""COMPUTED_VALUE"""),1)</f>
        <v>1</v>
      </c>
      <c r="D5138" s="8">
        <f ca="1">IFERROR(__xludf.DUMMYFUNCTION("""COMPUTED_VALUE"""),5)</f>
        <v>5</v>
      </c>
      <c r="E5138" s="2">
        <f ca="1">IFERROR(__xludf.DUMMYFUNCTION("""COMPUTED_VALUE"""),2)</f>
        <v>2</v>
      </c>
    </row>
    <row r="5139" spans="1:5" ht="13">
      <c r="A5139" s="2" t="str">
        <f ca="1">IFERROR(__xludf.DUMMYFUNCTION("""COMPUTED_VALUE"""),"Machaut, Guillaume de")</f>
        <v>Machaut, Guillaume de</v>
      </c>
      <c r="B5139" s="3">
        <f ca="1">IFERROR(__xludf.DUMMYFUNCTION("""COMPUTED_VALUE"""),1)</f>
        <v>1</v>
      </c>
      <c r="C5139" s="7">
        <f ca="1">IFERROR(__xludf.DUMMYFUNCTION("""COMPUTED_VALUE"""),1)</f>
        <v>1</v>
      </c>
      <c r="D5139" s="8">
        <f ca="1">IFERROR(__xludf.DUMMYFUNCTION("""COMPUTED_VALUE"""),5)</f>
        <v>5</v>
      </c>
      <c r="E5139" s="2">
        <f ca="1">IFERROR(__xludf.DUMMYFUNCTION("""COMPUTED_VALUE"""),2)</f>
        <v>2</v>
      </c>
    </row>
    <row r="5140" spans="1:5" ht="13">
      <c r="A5140" s="8" t="str">
        <f ca="1">IFERROR(__xludf.DUMMYFUNCTION("""COMPUTED_VALUE"""),"Machavariani, Aleksi")</f>
        <v>Machavariani, Aleksi</v>
      </c>
      <c r="B5140" s="3">
        <f ca="1">IFERROR(__xludf.DUMMYFUNCTION("""COMPUTED_VALUE"""),1)</f>
        <v>1</v>
      </c>
      <c r="C5140" s="7">
        <f ca="1">IFERROR(__xludf.DUMMYFUNCTION("""COMPUTED_VALUE"""),1)</f>
        <v>1</v>
      </c>
      <c r="D5140" s="8">
        <f ca="1">IFERROR(__xludf.DUMMYFUNCTION("""COMPUTED_VALUE"""),5)</f>
        <v>5</v>
      </c>
      <c r="E5140" s="2">
        <f ca="1">IFERROR(__xludf.DUMMYFUNCTION("""COMPUTED_VALUE"""),2)</f>
        <v>2</v>
      </c>
    </row>
    <row r="5141" spans="1:5" ht="13">
      <c r="A5141" s="2" t="str">
        <f ca="1">IFERROR(__xludf.DUMMYFUNCTION("""COMPUTED_VALUE"""),"Machover, Ted")</f>
        <v>Machover, Ted</v>
      </c>
      <c r="B5141" s="3">
        <f ca="1">IFERROR(__xludf.DUMMYFUNCTION("""COMPUTED_VALUE"""),1)</f>
        <v>1</v>
      </c>
      <c r="C5141" s="7">
        <f ca="1">IFERROR(__xludf.DUMMYFUNCTION("""COMPUTED_VALUE"""),1)</f>
        <v>1</v>
      </c>
      <c r="D5141" s="8">
        <f ca="1">IFERROR(__xludf.DUMMYFUNCTION("""COMPUTED_VALUE"""),1)</f>
        <v>1</v>
      </c>
      <c r="E5141" s="2">
        <f ca="1">IFERROR(__xludf.DUMMYFUNCTION("""COMPUTED_VALUE"""),1)</f>
        <v>1</v>
      </c>
    </row>
    <row r="5142" spans="1:5" ht="13">
      <c r="A5142" s="2" t="str">
        <f ca="1">IFERROR(__xludf.DUMMYFUNCTION("""COMPUTED_VALUE"""),"Machover, Tod")</f>
        <v>Machover, Tod</v>
      </c>
      <c r="B5142" s="3">
        <f ca="1">IFERROR(__xludf.DUMMYFUNCTION("""COMPUTED_VALUE"""),1)</f>
        <v>1</v>
      </c>
      <c r="C5142" s="7">
        <f ca="1">IFERROR(__xludf.DUMMYFUNCTION("""COMPUTED_VALUE"""),1)</f>
        <v>1</v>
      </c>
      <c r="D5142" s="8">
        <f ca="1">IFERROR(__xludf.DUMMYFUNCTION("""COMPUTED_VALUE"""),1)</f>
        <v>1</v>
      </c>
      <c r="E5142" s="2">
        <f ca="1">IFERROR(__xludf.DUMMYFUNCTION("""COMPUTED_VALUE"""),1)</f>
        <v>1</v>
      </c>
    </row>
    <row r="5143" spans="1:5" ht="13">
      <c r="A5143" s="2" t="str">
        <f ca="1">IFERROR(__xludf.DUMMYFUNCTION("""COMPUTED_VALUE"""),"MacIntyre, David")</f>
        <v>MacIntyre, David</v>
      </c>
      <c r="B5143" s="3">
        <f ca="1">IFERROR(__xludf.DUMMYFUNCTION("""COMPUTED_VALUE"""),1)</f>
        <v>1</v>
      </c>
      <c r="C5143" s="7">
        <f ca="1">IFERROR(__xludf.DUMMYFUNCTION("""COMPUTED_VALUE"""),1)</f>
        <v>1</v>
      </c>
      <c r="D5143" s="8">
        <f ca="1">IFERROR(__xludf.DUMMYFUNCTION("""COMPUTED_VALUE"""),1)</f>
        <v>1</v>
      </c>
      <c r="E5143" s="2">
        <f ca="1">IFERROR(__xludf.DUMMYFUNCTION("""COMPUTED_VALUE"""),1)</f>
        <v>1</v>
      </c>
    </row>
    <row r="5144" spans="1:5" ht="13">
      <c r="A5144" s="2" t="str">
        <f ca="1">IFERROR(__xludf.DUMMYFUNCTION("""COMPUTED_VALUE"""),"Mack, Andrew")</f>
        <v>Mack, Andrew</v>
      </c>
      <c r="B5144" s="3">
        <f ca="1">IFERROR(__xludf.DUMMYFUNCTION("""COMPUTED_VALUE"""),1)</f>
        <v>1</v>
      </c>
      <c r="C5144" s="7">
        <f ca="1">IFERROR(__xludf.DUMMYFUNCTION("""COMPUTED_VALUE"""),1)</f>
        <v>1</v>
      </c>
      <c r="D5144" s="8">
        <f ca="1">IFERROR(__xludf.DUMMYFUNCTION("""COMPUTED_VALUE"""),5)</f>
        <v>5</v>
      </c>
      <c r="E5144" s="2">
        <f ca="1">IFERROR(__xludf.DUMMYFUNCTION("""COMPUTED_VALUE"""),2)</f>
        <v>2</v>
      </c>
    </row>
    <row r="5145" spans="1:5" ht="13">
      <c r="A5145" s="2" t="str">
        <f ca="1">IFERROR(__xludf.DUMMYFUNCTION("""COMPUTED_VALUE"""),"Mack, David / Hoffman, David / Livingston, Jerry")</f>
        <v>Mack, David / Hoffman, David / Livingston, Jerry</v>
      </c>
      <c r="B5145" s="3">
        <f ca="1">IFERROR(__xludf.DUMMYFUNCTION("""COMPUTED_VALUE"""),1)</f>
        <v>1</v>
      </c>
      <c r="C5145" s="7">
        <f ca="1">IFERROR(__xludf.DUMMYFUNCTION("""COMPUTED_VALUE"""),1)</f>
        <v>1</v>
      </c>
      <c r="D5145" s="8">
        <f ca="1">IFERROR(__xludf.DUMMYFUNCTION("""COMPUTED_VALUE"""),5)</f>
        <v>5</v>
      </c>
      <c r="E5145" s="2">
        <f ca="1">IFERROR(__xludf.DUMMYFUNCTION("""COMPUTED_VALUE"""),2)</f>
        <v>2</v>
      </c>
    </row>
    <row r="5146" spans="1:5" ht="13">
      <c r="A5146" s="2" t="str">
        <f ca="1">IFERROR(__xludf.DUMMYFUNCTION("""COMPUTED_VALUE"""),"Mack, Edward")</f>
        <v>Mack, Edward</v>
      </c>
      <c r="B5146" s="3">
        <f ca="1">IFERROR(__xludf.DUMMYFUNCTION("""COMPUTED_VALUE"""),1)</f>
        <v>1</v>
      </c>
      <c r="C5146" s="7">
        <f ca="1">IFERROR(__xludf.DUMMYFUNCTION("""COMPUTED_VALUE"""),1)</f>
        <v>1</v>
      </c>
      <c r="D5146" s="8">
        <f ca="1">IFERROR(__xludf.DUMMYFUNCTION("""COMPUTED_VALUE"""),5)</f>
        <v>5</v>
      </c>
      <c r="E5146" s="2">
        <f ca="1">IFERROR(__xludf.DUMMYFUNCTION("""COMPUTED_VALUE"""),2)</f>
        <v>2</v>
      </c>
    </row>
    <row r="5147" spans="1:5" ht="13">
      <c r="A5147" s="2" t="str">
        <f ca="1">IFERROR(__xludf.DUMMYFUNCTION("""COMPUTED_VALUE"""),"Mack, Evan")</f>
        <v>Mack, Evan</v>
      </c>
      <c r="B5147" s="3">
        <f ca="1">IFERROR(__xludf.DUMMYFUNCTION("""COMPUTED_VALUE"""),1)</f>
        <v>1</v>
      </c>
      <c r="C5147" s="7">
        <f ca="1">IFERROR(__xludf.DUMMYFUNCTION("""COMPUTED_VALUE"""),1)</f>
        <v>1</v>
      </c>
      <c r="D5147" s="8">
        <f ca="1">IFERROR(__xludf.DUMMYFUNCTION("""COMPUTED_VALUE"""),1)</f>
        <v>1</v>
      </c>
      <c r="E5147" s="2">
        <f ca="1">IFERROR(__xludf.DUMMYFUNCTION("""COMPUTED_VALUE"""),1)</f>
        <v>1</v>
      </c>
    </row>
    <row r="5148" spans="1:5" ht="13">
      <c r="A5148" s="2" t="str">
        <f ca="1">IFERROR(__xludf.DUMMYFUNCTION("""COMPUTED_VALUE"""),"Mackenzie, Sir Alexander")</f>
        <v>Mackenzie, Sir Alexander</v>
      </c>
      <c r="B5148" s="3">
        <f ca="1">IFERROR(__xludf.DUMMYFUNCTION("""COMPUTED_VALUE"""),1)</f>
        <v>1</v>
      </c>
      <c r="C5148" s="7">
        <f ca="1">IFERROR(__xludf.DUMMYFUNCTION("""COMPUTED_VALUE"""),1)</f>
        <v>1</v>
      </c>
      <c r="D5148" s="8">
        <f ca="1">IFERROR(__xludf.DUMMYFUNCTION("""COMPUTED_VALUE"""),5)</f>
        <v>5</v>
      </c>
      <c r="E5148" s="2">
        <f ca="1">IFERROR(__xludf.DUMMYFUNCTION("""COMPUTED_VALUE"""),2)</f>
        <v>2</v>
      </c>
    </row>
    <row r="5149" spans="1:5" ht="13">
      <c r="A5149" s="2" t="str">
        <f ca="1">IFERROR(__xludf.DUMMYFUNCTION("""COMPUTED_VALUE"""),"Mackerras, Charles")</f>
        <v>Mackerras, Charles</v>
      </c>
      <c r="B5149" s="3">
        <f ca="1">IFERROR(__xludf.DUMMYFUNCTION("""COMPUTED_VALUE"""),1)</f>
        <v>1</v>
      </c>
      <c r="C5149" s="7">
        <f ca="1">IFERROR(__xludf.DUMMYFUNCTION("""COMPUTED_VALUE"""),1)</f>
        <v>1</v>
      </c>
      <c r="D5149" s="8">
        <f ca="1">IFERROR(__xludf.DUMMYFUNCTION("""COMPUTED_VALUE"""),5)</f>
        <v>5</v>
      </c>
      <c r="E5149" s="2">
        <f ca="1">IFERROR(__xludf.DUMMYFUNCTION("""COMPUTED_VALUE"""),2)</f>
        <v>2</v>
      </c>
    </row>
    <row r="5150" spans="1:5" ht="13">
      <c r="A5150" s="2" t="str">
        <f ca="1">IFERROR(__xludf.DUMMYFUNCTION("""COMPUTED_VALUE"""),"Mackerras, Charles / Duthoit, William James")</f>
        <v>Mackerras, Charles / Duthoit, William James</v>
      </c>
      <c r="B5150" s="3">
        <f ca="1">IFERROR(__xludf.DUMMYFUNCTION("""COMPUTED_VALUE"""),1)</f>
        <v>1</v>
      </c>
      <c r="C5150" s="7">
        <f ca="1">IFERROR(__xludf.DUMMYFUNCTION("""COMPUTED_VALUE"""),1)</f>
        <v>1</v>
      </c>
      <c r="D5150" s="8">
        <f ca="1">IFERROR(__xludf.DUMMYFUNCTION("""COMPUTED_VALUE"""),5)</f>
        <v>5</v>
      </c>
      <c r="E5150" s="2">
        <f ca="1">IFERROR(__xludf.DUMMYFUNCTION("""COMPUTED_VALUE"""),2)</f>
        <v>2</v>
      </c>
    </row>
    <row r="5151" spans="1:5" ht="13">
      <c r="A5151" s="2" t="str">
        <f ca="1">IFERROR(__xludf.DUMMYFUNCTION("""COMPUTED_VALUE"""),"Mackey, John")</f>
        <v>Mackey, John</v>
      </c>
      <c r="B5151" s="3">
        <f ca="1">IFERROR(__xludf.DUMMYFUNCTION("""COMPUTED_VALUE"""),1)</f>
        <v>1</v>
      </c>
      <c r="C5151" s="7">
        <f ca="1">IFERROR(__xludf.DUMMYFUNCTION("""COMPUTED_VALUE"""),1)</f>
        <v>1</v>
      </c>
      <c r="D5151" s="8">
        <f ca="1">IFERROR(__xludf.DUMMYFUNCTION("""COMPUTED_VALUE"""),1)</f>
        <v>1</v>
      </c>
      <c r="E5151" s="2">
        <f ca="1">IFERROR(__xludf.DUMMYFUNCTION("""COMPUTED_VALUE"""),1)</f>
        <v>1</v>
      </c>
    </row>
    <row r="5152" spans="1:5" ht="13">
      <c r="A5152" s="2" t="str">
        <f ca="1">IFERROR(__xludf.DUMMYFUNCTION("""COMPUTED_VALUE"""),"Mackey, Steven")</f>
        <v>Mackey, Steven</v>
      </c>
      <c r="B5152" s="3">
        <f ca="1">IFERROR(__xludf.DUMMYFUNCTION("""COMPUTED_VALUE"""),1)</f>
        <v>1</v>
      </c>
      <c r="C5152" s="7">
        <f ca="1">IFERROR(__xludf.DUMMYFUNCTION("""COMPUTED_VALUE"""),1)</f>
        <v>1</v>
      </c>
      <c r="D5152" s="8">
        <f ca="1">IFERROR(__xludf.DUMMYFUNCTION("""COMPUTED_VALUE"""),1)</f>
        <v>1</v>
      </c>
      <c r="E5152" s="2">
        <f ca="1">IFERROR(__xludf.DUMMYFUNCTION("""COMPUTED_VALUE"""),1)</f>
        <v>1</v>
      </c>
    </row>
    <row r="5153" spans="1:5" ht="13">
      <c r="A5153" s="2" t="str">
        <f ca="1">IFERROR(__xludf.DUMMYFUNCTION("""COMPUTED_VALUE"""),"Macklin, Hall")</f>
        <v>Macklin, Hall</v>
      </c>
      <c r="B5153" s="3">
        <f ca="1">IFERROR(__xludf.DUMMYFUNCTION("""COMPUTED_VALUE"""),1)</f>
        <v>1</v>
      </c>
      <c r="C5153" s="7">
        <f ca="1">IFERROR(__xludf.DUMMYFUNCTION("""COMPUTED_VALUE"""),1)</f>
        <v>1</v>
      </c>
      <c r="D5153" s="8">
        <f ca="1">IFERROR(__xludf.DUMMYFUNCTION("""COMPUTED_VALUE"""),5)</f>
        <v>5</v>
      </c>
      <c r="E5153" s="2">
        <f ca="1">IFERROR(__xludf.DUMMYFUNCTION("""COMPUTED_VALUE"""),2)</f>
        <v>2</v>
      </c>
    </row>
    <row r="5154" spans="1:5" ht="13">
      <c r="A5154" s="2" t="str">
        <f ca="1">IFERROR(__xludf.DUMMYFUNCTION("""COMPUTED_VALUE"""),"MacLaughlan, Arnold")</f>
        <v>MacLaughlan, Arnold</v>
      </c>
      <c r="B5154" s="2">
        <f ca="1">IFERROR(__xludf.DUMMYFUNCTION("""COMPUTED_VALUE"""),1)</f>
        <v>1</v>
      </c>
      <c r="C5154" s="7">
        <f ca="1">IFERROR(__xludf.DUMMYFUNCTION("""COMPUTED_VALUE"""),1)</f>
        <v>1</v>
      </c>
      <c r="D5154" s="8">
        <f ca="1">IFERROR(__xludf.DUMMYFUNCTION("""COMPUTED_VALUE"""),5)</f>
        <v>5</v>
      </c>
      <c r="E5154" s="2">
        <f ca="1">IFERROR(__xludf.DUMMYFUNCTION("""COMPUTED_VALUE"""),2)</f>
        <v>2</v>
      </c>
    </row>
    <row r="5155" spans="1:5" ht="13">
      <c r="A5155" s="2" t="str">
        <f ca="1">IFERROR(__xludf.DUMMYFUNCTION("""COMPUTED_VALUE"""),"MacLean, Dougie")</f>
        <v>MacLean, Dougie</v>
      </c>
      <c r="B5155" s="2">
        <f ca="1">IFERROR(__xludf.DUMMYFUNCTION("""COMPUTED_VALUE"""),1)</f>
        <v>1</v>
      </c>
      <c r="C5155" s="7">
        <f ca="1">IFERROR(__xludf.DUMMYFUNCTION("""COMPUTED_VALUE"""),1)</f>
        <v>1</v>
      </c>
      <c r="D5155" s="8">
        <f ca="1">IFERROR(__xludf.DUMMYFUNCTION("""COMPUTED_VALUE"""),1)</f>
        <v>1</v>
      </c>
      <c r="E5155" s="2">
        <f ca="1">IFERROR(__xludf.DUMMYFUNCTION("""COMPUTED_VALUE"""),1)</f>
        <v>1</v>
      </c>
    </row>
    <row r="5156" spans="1:5" ht="13">
      <c r="A5156" s="2" t="str">
        <f ca="1">IFERROR(__xludf.DUMMYFUNCTION("""COMPUTED_VALUE"""),"MacMillan, James")</f>
        <v>MacMillan, James</v>
      </c>
      <c r="B5156" s="3">
        <f ca="1">IFERROR(__xludf.DUMMYFUNCTION("""COMPUTED_VALUE"""),1)</f>
        <v>1</v>
      </c>
      <c r="C5156" s="7">
        <f ca="1">IFERROR(__xludf.DUMMYFUNCTION("""COMPUTED_VALUE"""),1)</f>
        <v>1</v>
      </c>
      <c r="D5156" s="8">
        <f ca="1">IFERROR(__xludf.DUMMYFUNCTION("""COMPUTED_VALUE"""),1)</f>
        <v>1</v>
      </c>
      <c r="E5156" s="2">
        <f ca="1">IFERROR(__xludf.DUMMYFUNCTION("""COMPUTED_VALUE"""),1)</f>
        <v>1</v>
      </c>
    </row>
    <row r="5157" spans="1:5" ht="13">
      <c r="A5157" s="2" t="str">
        <f ca="1">IFERROR(__xludf.DUMMYFUNCTION("""COMPUTED_VALUE"""),"Macpherson, Ian")</f>
        <v>Macpherson, Ian</v>
      </c>
      <c r="B5157" s="3">
        <f ca="1">IFERROR(__xludf.DUMMYFUNCTION("""COMPUTED_VALUE"""),1)</f>
        <v>1</v>
      </c>
      <c r="C5157" s="7">
        <f ca="1">IFERROR(__xludf.DUMMYFUNCTION("""COMPUTED_VALUE"""),1)</f>
        <v>1</v>
      </c>
      <c r="D5157" s="8">
        <f ca="1">IFERROR(__xludf.DUMMYFUNCTION("""COMPUTED_VALUE"""),1)</f>
        <v>1</v>
      </c>
      <c r="E5157" s="2">
        <f ca="1">IFERROR(__xludf.DUMMYFUNCTION("""COMPUTED_VALUE"""),1)</f>
        <v>1</v>
      </c>
    </row>
    <row r="5158" spans="1:5" ht="13">
      <c r="A5158" s="8" t="str">
        <f ca="1">IFERROR(__xludf.DUMMYFUNCTION("""COMPUTED_VALUE"""),"MacPherson, Scott")</f>
        <v>MacPherson, Scott</v>
      </c>
      <c r="B5158" s="3">
        <f ca="1">IFERROR(__xludf.DUMMYFUNCTION("""COMPUTED_VALUE"""),1)</f>
        <v>1</v>
      </c>
      <c r="C5158" s="7">
        <f ca="1">IFERROR(__xludf.DUMMYFUNCTION("""COMPUTED_VALUE"""),1)</f>
        <v>1</v>
      </c>
      <c r="D5158" s="8">
        <f ca="1">IFERROR(__xludf.DUMMYFUNCTION("""COMPUTED_VALUE"""),1)</f>
        <v>1</v>
      </c>
      <c r="E5158" s="2">
        <f ca="1">IFERROR(__xludf.DUMMYFUNCTION("""COMPUTED_VALUE"""),1)</f>
        <v>1</v>
      </c>
    </row>
    <row r="5159" spans="1:5" ht="13">
      <c r="A5159" s="2" t="str">
        <f ca="1">IFERROR(__xludf.DUMMYFUNCTION("""COMPUTED_VALUE"""),"Macque, Giovanni")</f>
        <v>Macque, Giovanni</v>
      </c>
      <c r="B5159" s="3">
        <f ca="1">IFERROR(__xludf.DUMMYFUNCTION("""COMPUTED_VALUE"""),1)</f>
        <v>1</v>
      </c>
      <c r="C5159" s="7">
        <f ca="1">IFERROR(__xludf.DUMMYFUNCTION("""COMPUTED_VALUE"""),1)</f>
        <v>1</v>
      </c>
      <c r="D5159" s="8">
        <f ca="1">IFERROR(__xludf.DUMMYFUNCTION("""COMPUTED_VALUE"""),5)</f>
        <v>5</v>
      </c>
      <c r="E5159" s="2">
        <f ca="1">IFERROR(__xludf.DUMMYFUNCTION("""COMPUTED_VALUE"""),2)</f>
        <v>2</v>
      </c>
    </row>
    <row r="5160" spans="1:5" ht="13">
      <c r="A5160" s="2" t="str">
        <f ca="1">IFERROR(__xludf.DUMMYFUNCTION("""COMPUTED_VALUE"""),"MacTaggart, Larry")</f>
        <v>MacTaggart, Larry</v>
      </c>
      <c r="B5160" s="3">
        <f ca="1">IFERROR(__xludf.DUMMYFUNCTION("""COMPUTED_VALUE"""),1)</f>
        <v>1</v>
      </c>
      <c r="C5160" s="7">
        <f ca="1">IFERROR(__xludf.DUMMYFUNCTION("""COMPUTED_VALUE"""),1)</f>
        <v>1</v>
      </c>
      <c r="D5160" s="8">
        <f ca="1">IFERROR(__xludf.DUMMYFUNCTION("""COMPUTED_VALUE"""),1)</f>
        <v>1</v>
      </c>
      <c r="E5160" s="2">
        <f ca="1">IFERROR(__xludf.DUMMYFUNCTION("""COMPUTED_VALUE"""),1)</f>
        <v>1</v>
      </c>
    </row>
    <row r="5161" spans="1:5" ht="13">
      <c r="A5161" s="2" t="str">
        <f ca="1">IFERROR(__xludf.DUMMYFUNCTION("""COMPUTED_VALUE"""),"Macura, Nebojsa")</f>
        <v>Macura, Nebojsa</v>
      </c>
      <c r="B5161" s="3">
        <f ca="1">IFERROR(__xludf.DUMMYFUNCTION("""COMPUTED_VALUE"""),1)</f>
        <v>1</v>
      </c>
      <c r="C5161" s="7">
        <f ca="1">IFERROR(__xludf.DUMMYFUNCTION("""COMPUTED_VALUE"""),1)</f>
        <v>1</v>
      </c>
      <c r="D5161" s="8">
        <f ca="1">IFERROR(__xludf.DUMMYFUNCTION("""COMPUTED_VALUE"""),1)</f>
        <v>1</v>
      </c>
      <c r="E5161" s="2">
        <f ca="1">IFERROR(__xludf.DUMMYFUNCTION("""COMPUTED_VALUE"""),1)</f>
        <v>1</v>
      </c>
    </row>
    <row r="5162" spans="1:5" ht="13">
      <c r="A5162" s="2" t="str">
        <f ca="1">IFERROR(__xludf.DUMMYFUNCTION("""COMPUTED_VALUE"""),"Madden, Edward")</f>
        <v>Madden, Edward</v>
      </c>
      <c r="B5162" s="3">
        <f ca="1">IFERROR(__xludf.DUMMYFUNCTION("""COMPUTED_VALUE"""),1)</f>
        <v>1</v>
      </c>
      <c r="C5162" s="7">
        <f ca="1">IFERROR(__xludf.DUMMYFUNCTION("""COMPUTED_VALUE"""),1)</f>
        <v>1</v>
      </c>
      <c r="D5162" s="8">
        <f ca="1">IFERROR(__xludf.DUMMYFUNCTION("""COMPUTED_VALUE"""),1)</f>
        <v>1</v>
      </c>
      <c r="E5162" s="2">
        <f ca="1">IFERROR(__xludf.DUMMYFUNCTION("""COMPUTED_VALUE"""),1)</f>
        <v>1</v>
      </c>
    </row>
    <row r="5163" spans="1:5" ht="13">
      <c r="A5163" s="2" t="str">
        <f ca="1">IFERROR(__xludf.DUMMYFUNCTION("""COMPUTED_VALUE"""),"Madden, Edward / Edwards, Gus")</f>
        <v>Madden, Edward / Edwards, Gus</v>
      </c>
      <c r="B5163" s="2">
        <f ca="1">IFERROR(__xludf.DUMMYFUNCTION("""COMPUTED_VALUE"""),1)</f>
        <v>1</v>
      </c>
      <c r="C5163" s="7">
        <f ca="1">IFERROR(__xludf.DUMMYFUNCTION("""COMPUTED_VALUE"""),1)</f>
        <v>1</v>
      </c>
      <c r="D5163" s="8">
        <f ca="1">IFERROR(__xludf.DUMMYFUNCTION("""COMPUTED_VALUE"""),5)</f>
        <v>5</v>
      </c>
      <c r="E5163" s="2">
        <f ca="1">IFERROR(__xludf.DUMMYFUNCTION("""COMPUTED_VALUE"""),2)</f>
        <v>2</v>
      </c>
    </row>
    <row r="5164" spans="1:5" ht="13">
      <c r="A5164" s="2" t="str">
        <f ca="1">IFERROR(__xludf.DUMMYFUNCTION("""COMPUTED_VALUE"""),"Maddigan, Kristofer")</f>
        <v>Maddigan, Kristofer</v>
      </c>
      <c r="B5164" s="2">
        <f ca="1">IFERROR(__xludf.DUMMYFUNCTION("""COMPUTED_VALUE"""),1)</f>
        <v>1</v>
      </c>
      <c r="C5164" s="7">
        <f ca="1">IFERROR(__xludf.DUMMYFUNCTION("""COMPUTED_VALUE"""),1)</f>
        <v>1</v>
      </c>
      <c r="D5164" s="8">
        <f ca="1">IFERROR(__xludf.DUMMYFUNCTION("""COMPUTED_VALUE"""),1)</f>
        <v>1</v>
      </c>
      <c r="E5164" s="2">
        <f ca="1">IFERROR(__xludf.DUMMYFUNCTION("""COMPUTED_VALUE"""),1)</f>
        <v>1</v>
      </c>
    </row>
    <row r="5165" spans="1:5" ht="13">
      <c r="A5165" s="2" t="str">
        <f ca="1">IFERROR(__xludf.DUMMYFUNCTION("""COMPUTED_VALUE"""),"Maddux, David")</f>
        <v>Maddux, David</v>
      </c>
      <c r="B5165" s="3">
        <f ca="1">IFERROR(__xludf.DUMMYFUNCTION("""COMPUTED_VALUE"""),1)</f>
        <v>1</v>
      </c>
      <c r="C5165" s="7">
        <f ca="1">IFERROR(__xludf.DUMMYFUNCTION("""COMPUTED_VALUE"""),1)</f>
        <v>1</v>
      </c>
      <c r="D5165" s="8">
        <f ca="1">IFERROR(__xludf.DUMMYFUNCTION("""COMPUTED_VALUE"""),1)</f>
        <v>1</v>
      </c>
      <c r="E5165" s="2">
        <f ca="1">IFERROR(__xludf.DUMMYFUNCTION("""COMPUTED_VALUE"""),1)</f>
        <v>1</v>
      </c>
    </row>
    <row r="5166" spans="1:5" ht="13">
      <c r="A5166" s="2" t="str">
        <f ca="1">IFERROR(__xludf.DUMMYFUNCTION("""COMPUTED_VALUE"""),"Maddy, Joseph")</f>
        <v>Maddy, Joseph</v>
      </c>
      <c r="B5166" s="2">
        <f ca="1">IFERROR(__xludf.DUMMYFUNCTION("""COMPUTED_VALUE"""),1)</f>
        <v>1</v>
      </c>
      <c r="C5166" s="2">
        <f ca="1">IFERROR(__xludf.DUMMYFUNCTION("""COMPUTED_VALUE"""),1)</f>
        <v>1</v>
      </c>
      <c r="D5166" s="8">
        <f ca="1">IFERROR(__xludf.DUMMYFUNCTION("""COMPUTED_VALUE"""),5)</f>
        <v>5</v>
      </c>
      <c r="E5166" s="2">
        <f ca="1">IFERROR(__xludf.DUMMYFUNCTION("""COMPUTED_VALUE"""),2)</f>
        <v>2</v>
      </c>
    </row>
    <row r="5167" spans="1:5" ht="13">
      <c r="A5167" s="2" t="str">
        <f ca="1">IFERROR(__xludf.DUMMYFUNCTION("""COMPUTED_VALUE"""),"Madeira, Paul / Dorsey, Jimmy")</f>
        <v>Madeira, Paul / Dorsey, Jimmy</v>
      </c>
      <c r="B5167" s="3">
        <f ca="1">IFERROR(__xludf.DUMMYFUNCTION("""COMPUTED_VALUE"""),1)</f>
        <v>1</v>
      </c>
      <c r="C5167" s="7">
        <f ca="1">IFERROR(__xludf.DUMMYFUNCTION("""COMPUTED_VALUE"""),1)</f>
        <v>1</v>
      </c>
      <c r="D5167" s="8">
        <f ca="1">IFERROR(__xludf.DUMMYFUNCTION("""COMPUTED_VALUE"""),5)</f>
        <v>5</v>
      </c>
      <c r="E5167" s="2">
        <f ca="1">IFERROR(__xludf.DUMMYFUNCTION("""COMPUTED_VALUE"""),2)</f>
        <v>2</v>
      </c>
    </row>
    <row r="5168" spans="1:5" ht="13">
      <c r="A5168" s="2" t="str">
        <f ca="1">IFERROR(__xludf.DUMMYFUNCTION("""COMPUTED_VALUE"""),"Mader, Carl")</f>
        <v>Mader, Carl</v>
      </c>
      <c r="B5168" s="3">
        <f ca="1">IFERROR(__xludf.DUMMYFUNCTION("""COMPUTED_VALUE"""),1)</f>
        <v>1</v>
      </c>
      <c r="C5168" s="7">
        <f ca="1">IFERROR(__xludf.DUMMYFUNCTION("""COMPUTED_VALUE"""),1)</f>
        <v>1</v>
      </c>
      <c r="D5168" s="8">
        <f ca="1">IFERROR(__xludf.DUMMYFUNCTION("""COMPUTED_VALUE"""),5)</f>
        <v>5</v>
      </c>
      <c r="E5168" s="2">
        <f ca="1">IFERROR(__xludf.DUMMYFUNCTION("""COMPUTED_VALUE"""),2)</f>
        <v>2</v>
      </c>
    </row>
    <row r="5169" spans="1:5" ht="13">
      <c r="A5169" s="2" t="str">
        <f ca="1">IFERROR(__xludf.DUMMYFUNCTION("""COMPUTED_VALUE"""),"Madison, Billy")</f>
        <v>Madison, Billy</v>
      </c>
      <c r="B5169" s="3">
        <f ca="1">IFERROR(__xludf.DUMMYFUNCTION("""COMPUTED_VALUE"""),1)</f>
        <v>1</v>
      </c>
      <c r="C5169" s="7">
        <f ca="1">IFERROR(__xludf.DUMMYFUNCTION("""COMPUTED_VALUE"""),1)</f>
        <v>1</v>
      </c>
      <c r="D5169" s="8">
        <f ca="1">IFERROR(__xludf.DUMMYFUNCTION("""COMPUTED_VALUE"""),1)</f>
        <v>1</v>
      </c>
      <c r="E5169" s="2">
        <f ca="1">IFERROR(__xludf.DUMMYFUNCTION("""COMPUTED_VALUE"""),1)</f>
        <v>1</v>
      </c>
    </row>
    <row r="5170" spans="1:5" ht="13">
      <c r="A5170" s="2" t="str">
        <f ca="1">IFERROR(__xludf.DUMMYFUNCTION("""COMPUTED_VALUE"""),"Maganini, Quinto")</f>
        <v>Maganini, Quinto</v>
      </c>
      <c r="B5170" s="3">
        <f ca="1">IFERROR(__xludf.DUMMYFUNCTION("""COMPUTED_VALUE"""),1)</f>
        <v>1</v>
      </c>
      <c r="C5170" s="7">
        <f ca="1">IFERROR(__xludf.DUMMYFUNCTION("""COMPUTED_VALUE"""),1)</f>
        <v>1</v>
      </c>
      <c r="D5170" s="8">
        <f ca="1">IFERROR(__xludf.DUMMYFUNCTION("""COMPUTED_VALUE"""),5)</f>
        <v>5</v>
      </c>
      <c r="E5170" s="2">
        <f ca="1">IFERROR(__xludf.DUMMYFUNCTION("""COMPUTED_VALUE"""),2)</f>
        <v>2</v>
      </c>
    </row>
    <row r="5171" spans="1:5" ht="13">
      <c r="A5171" s="2" t="str">
        <f ca="1">IFERROR(__xludf.DUMMYFUNCTION("""COMPUTED_VALUE"""),"Magdeburg, Joachim / Bach, J. S.")</f>
        <v>Magdeburg, Joachim / Bach, J. S.</v>
      </c>
      <c r="B5171" s="3">
        <f ca="1">IFERROR(__xludf.DUMMYFUNCTION("""COMPUTED_VALUE"""),1)</f>
        <v>1</v>
      </c>
      <c r="C5171" s="7">
        <f ca="1">IFERROR(__xludf.DUMMYFUNCTION("""COMPUTED_VALUE"""),1)</f>
        <v>1</v>
      </c>
      <c r="D5171" s="8">
        <f ca="1">IFERROR(__xludf.DUMMYFUNCTION("""COMPUTED_VALUE"""),5)</f>
        <v>5</v>
      </c>
      <c r="E5171" s="2">
        <f ca="1">IFERROR(__xludf.DUMMYFUNCTION("""COMPUTED_VALUE"""),2)</f>
        <v>2</v>
      </c>
    </row>
    <row r="5172" spans="1:5" ht="13">
      <c r="A5172" s="2" t="str">
        <f ca="1">IFERROR(__xludf.DUMMYFUNCTION("""COMPUTED_VALUE"""),"Magee, Chris")</f>
        <v>Magee, Chris</v>
      </c>
      <c r="B5172" s="3">
        <f ca="1">IFERROR(__xludf.DUMMYFUNCTION("""COMPUTED_VALUE"""),1)</f>
        <v>1</v>
      </c>
      <c r="C5172" s="7">
        <f ca="1">IFERROR(__xludf.DUMMYFUNCTION("""COMPUTED_VALUE"""),1)</f>
        <v>1</v>
      </c>
      <c r="D5172" s="8">
        <f ca="1">IFERROR(__xludf.DUMMYFUNCTION("""COMPUTED_VALUE"""),1)</f>
        <v>1</v>
      </c>
      <c r="E5172" s="2">
        <f ca="1">IFERROR(__xludf.DUMMYFUNCTION("""COMPUTED_VALUE"""),1)</f>
        <v>1</v>
      </c>
    </row>
    <row r="5173" spans="1:5" ht="13">
      <c r="A5173" s="2" t="str">
        <f ca="1">IFERROR(__xludf.DUMMYFUNCTION("""COMPUTED_VALUE"""),"Maggio, Robert")</f>
        <v>Maggio, Robert</v>
      </c>
      <c r="B5173" s="3">
        <f ca="1">IFERROR(__xludf.DUMMYFUNCTION("""COMPUTED_VALUE"""),1)</f>
        <v>1</v>
      </c>
      <c r="C5173" s="7">
        <f ca="1">IFERROR(__xludf.DUMMYFUNCTION("""COMPUTED_VALUE"""),1)</f>
        <v>1</v>
      </c>
      <c r="D5173" s="8">
        <f ca="1">IFERROR(__xludf.DUMMYFUNCTION("""COMPUTED_VALUE"""),1)</f>
        <v>1</v>
      </c>
      <c r="E5173" s="2">
        <f ca="1">IFERROR(__xludf.DUMMYFUNCTION("""COMPUTED_VALUE"""),1)</f>
        <v>1</v>
      </c>
    </row>
    <row r="5174" spans="1:5" ht="13">
      <c r="A5174" s="2" t="str">
        <f ca="1">IFERROR(__xludf.DUMMYFUNCTION("""COMPUTED_VALUE"""),"Magill, Eugene")</f>
        <v>Magill, Eugene</v>
      </c>
      <c r="B5174" s="2">
        <f ca="1">IFERROR(__xludf.DUMMYFUNCTION("""COMPUTED_VALUE"""),1)</f>
        <v>1</v>
      </c>
      <c r="C5174" s="7">
        <f ca="1">IFERROR(__xludf.DUMMYFUNCTION("""COMPUTED_VALUE"""),1)</f>
        <v>1</v>
      </c>
      <c r="D5174" s="8">
        <f ca="1">IFERROR(__xludf.DUMMYFUNCTION("""COMPUTED_VALUE"""),5)</f>
        <v>5</v>
      </c>
      <c r="E5174" s="2">
        <f ca="1">IFERROR(__xludf.DUMMYFUNCTION("""COMPUTED_VALUE"""),2)</f>
        <v>2</v>
      </c>
    </row>
    <row r="5175" spans="1:5" ht="13">
      <c r="A5175" s="2" t="str">
        <f ca="1">IFERROR(__xludf.DUMMYFUNCTION("""COMPUTED_VALUE"""),"Magnard, Alberic")</f>
        <v>Magnard, Alberic</v>
      </c>
      <c r="B5175" s="3">
        <f ca="1">IFERROR(__xludf.DUMMYFUNCTION("""COMPUTED_VALUE"""),1)</f>
        <v>1</v>
      </c>
      <c r="C5175" s="7">
        <f ca="1">IFERROR(__xludf.DUMMYFUNCTION("""COMPUTED_VALUE"""),1)</f>
        <v>1</v>
      </c>
      <c r="D5175" s="8">
        <f ca="1">IFERROR(__xludf.DUMMYFUNCTION("""COMPUTED_VALUE"""),5)</f>
        <v>5</v>
      </c>
      <c r="E5175" s="2">
        <f ca="1">IFERROR(__xludf.DUMMYFUNCTION("""COMPUTED_VALUE"""),2)</f>
        <v>2</v>
      </c>
    </row>
    <row r="5176" spans="1:5" ht="13">
      <c r="A5176" s="2" t="str">
        <f ca="1">IFERROR(__xludf.DUMMYFUNCTION("""COMPUTED_VALUE"""),"Magnard, Albéric")</f>
        <v>Magnard, Albéric</v>
      </c>
      <c r="B5176" s="3">
        <f ca="1">IFERROR(__xludf.DUMMYFUNCTION("""COMPUTED_VALUE"""),1)</f>
        <v>1</v>
      </c>
      <c r="C5176" s="7">
        <f ca="1">IFERROR(__xludf.DUMMYFUNCTION("""COMPUTED_VALUE"""),1)</f>
        <v>1</v>
      </c>
      <c r="D5176" s="8">
        <f ca="1">IFERROR(__xludf.DUMMYFUNCTION("""COMPUTED_VALUE"""),1)</f>
        <v>1</v>
      </c>
      <c r="E5176" s="2">
        <f ca="1">IFERROR(__xludf.DUMMYFUNCTION("""COMPUTED_VALUE"""),1)</f>
        <v>1</v>
      </c>
    </row>
    <row r="5177" spans="1:5" ht="13">
      <c r="A5177" s="2" t="str">
        <f ca="1">IFERROR(__xludf.DUMMYFUNCTION("""COMPUTED_VALUE"""),"Magnuson, Phillip")</f>
        <v>Magnuson, Phillip</v>
      </c>
      <c r="B5177" s="3">
        <f ca="1">IFERROR(__xludf.DUMMYFUNCTION("""COMPUTED_VALUE"""),1)</f>
        <v>1</v>
      </c>
      <c r="C5177" s="7">
        <f ca="1">IFERROR(__xludf.DUMMYFUNCTION("""COMPUTED_VALUE"""),1)</f>
        <v>1</v>
      </c>
      <c r="D5177" s="8">
        <f ca="1">IFERROR(__xludf.DUMMYFUNCTION("""COMPUTED_VALUE"""),5)</f>
        <v>5</v>
      </c>
      <c r="E5177" s="2">
        <f ca="1">IFERROR(__xludf.DUMMYFUNCTION("""COMPUTED_VALUE"""),2)</f>
        <v>2</v>
      </c>
    </row>
    <row r="5178" spans="1:5" ht="13">
      <c r="A5178" s="2" t="str">
        <f ca="1">IFERROR(__xludf.DUMMYFUNCTION("""COMPUTED_VALUE"""),"Magnuson, Roy")</f>
        <v>Magnuson, Roy</v>
      </c>
      <c r="B5178" s="3">
        <f ca="1">IFERROR(__xludf.DUMMYFUNCTION("""COMPUTED_VALUE"""),1)</f>
        <v>1</v>
      </c>
      <c r="C5178" s="7">
        <f ca="1">IFERROR(__xludf.DUMMYFUNCTION("""COMPUTED_VALUE"""),1)</f>
        <v>1</v>
      </c>
      <c r="D5178" s="8">
        <f ca="1">IFERROR(__xludf.DUMMYFUNCTION("""COMPUTED_VALUE"""),1)</f>
        <v>1</v>
      </c>
      <c r="E5178" s="2">
        <f ca="1">IFERROR(__xludf.DUMMYFUNCTION("""COMPUTED_VALUE"""),1)</f>
        <v>1</v>
      </c>
    </row>
    <row r="5179" spans="1:5" ht="13">
      <c r="A5179" s="8" t="str">
        <f ca="1">IFERROR(__xludf.DUMMYFUNCTION("""COMPUTED_VALUE"""),"Magnussen, Jon")</f>
        <v>Magnussen, Jon</v>
      </c>
      <c r="B5179" s="3">
        <f ca="1">IFERROR(__xludf.DUMMYFUNCTION("""COMPUTED_VALUE"""),1)</f>
        <v>1</v>
      </c>
      <c r="C5179" s="7">
        <f ca="1">IFERROR(__xludf.DUMMYFUNCTION("""COMPUTED_VALUE"""),1)</f>
        <v>1</v>
      </c>
      <c r="D5179" s="8">
        <f ca="1">IFERROR(__xludf.DUMMYFUNCTION("""COMPUTED_VALUE"""),1)</f>
        <v>1</v>
      </c>
      <c r="E5179" s="2">
        <f ca="1">IFERROR(__xludf.DUMMYFUNCTION("""COMPUTED_VALUE"""),1)</f>
        <v>1</v>
      </c>
    </row>
    <row r="5180" spans="1:5" ht="13">
      <c r="A5180" s="8" t="str">
        <f ca="1">IFERROR(__xludf.DUMMYFUNCTION("""COMPUTED_VALUE"""),"Magnusson, Daniel")</f>
        <v>Magnusson, Daniel</v>
      </c>
      <c r="B5180" s="3">
        <f ca="1">IFERROR(__xludf.DUMMYFUNCTION("""COMPUTED_VALUE"""),1)</f>
        <v>1</v>
      </c>
      <c r="C5180" s="7">
        <f ca="1">IFERROR(__xludf.DUMMYFUNCTION("""COMPUTED_VALUE"""),1)</f>
        <v>1</v>
      </c>
      <c r="D5180" s="8">
        <f ca="1">IFERROR(__xludf.DUMMYFUNCTION("""COMPUTED_VALUE"""),1)</f>
        <v>1</v>
      </c>
      <c r="E5180" s="2">
        <f ca="1">IFERROR(__xludf.DUMMYFUNCTION("""COMPUTED_VALUE"""),1)</f>
        <v>1</v>
      </c>
    </row>
    <row r="5181" spans="1:5" ht="13">
      <c r="A5181" s="2" t="str">
        <f ca="1">IFERROR(__xludf.DUMMYFUNCTION("""COMPUTED_VALUE"""),"Mahaffey, Jim")</f>
        <v>Mahaffey, Jim</v>
      </c>
      <c r="B5181" s="3">
        <f ca="1">IFERROR(__xludf.DUMMYFUNCTION("""COMPUTED_VALUE"""),1)</f>
        <v>1</v>
      </c>
      <c r="C5181" s="7">
        <f ca="1">IFERROR(__xludf.DUMMYFUNCTION("""COMPUTED_VALUE"""),1)</f>
        <v>1</v>
      </c>
      <c r="D5181" s="8">
        <f ca="1">IFERROR(__xludf.DUMMYFUNCTION("""COMPUTED_VALUE"""),1)</f>
        <v>1</v>
      </c>
      <c r="E5181" s="2">
        <f ca="1">IFERROR(__xludf.DUMMYFUNCTION("""COMPUTED_VALUE"""),1)</f>
        <v>1</v>
      </c>
    </row>
    <row r="5182" spans="1:5" ht="13">
      <c r="A5182" s="2" t="str">
        <f ca="1">IFERROR(__xludf.DUMMYFUNCTION("""COMPUTED_VALUE"""),"Mahiet")</f>
        <v>Mahiet</v>
      </c>
      <c r="B5182" s="2">
        <f ca="1">IFERROR(__xludf.DUMMYFUNCTION("""COMPUTED_VALUE"""),1)</f>
        <v>1</v>
      </c>
      <c r="C5182" s="7">
        <f ca="1">IFERROR(__xludf.DUMMYFUNCTION("""COMPUTED_VALUE"""),1)</f>
        <v>1</v>
      </c>
      <c r="D5182" s="8">
        <f ca="1">IFERROR(__xludf.DUMMYFUNCTION("""COMPUTED_VALUE"""),5)</f>
        <v>5</v>
      </c>
      <c r="E5182" s="2">
        <f ca="1">IFERROR(__xludf.DUMMYFUNCTION("""COMPUTED_VALUE"""),2)</f>
        <v>2</v>
      </c>
    </row>
    <row r="5183" spans="1:5" ht="13">
      <c r="A5183" s="2" t="str">
        <f ca="1">IFERROR(__xludf.DUMMYFUNCTION("""COMPUTED_VALUE"""),"Mahler, Gustav")</f>
        <v>Mahler, Gustav</v>
      </c>
      <c r="B5183" s="3">
        <f ca="1">IFERROR(__xludf.DUMMYFUNCTION("""COMPUTED_VALUE"""),1)</f>
        <v>1</v>
      </c>
      <c r="C5183" s="7">
        <f ca="1">IFERROR(__xludf.DUMMYFUNCTION("""COMPUTED_VALUE"""),1)</f>
        <v>1</v>
      </c>
      <c r="D5183" s="8">
        <f ca="1">IFERROR(__xludf.DUMMYFUNCTION("""COMPUTED_VALUE"""),5)</f>
        <v>5</v>
      </c>
      <c r="E5183" s="2">
        <f ca="1">IFERROR(__xludf.DUMMYFUNCTION("""COMPUTED_VALUE"""),2)</f>
        <v>2</v>
      </c>
    </row>
    <row r="5184" spans="1:5" ht="13">
      <c r="A5184" s="2" t="str">
        <f ca="1">IFERROR(__xludf.DUMMYFUNCTION("""COMPUTED_VALUE"""),"Mahler, Gustav / Cooke")</f>
        <v>Mahler, Gustav / Cooke</v>
      </c>
      <c r="B5184" s="3">
        <f ca="1">IFERROR(__xludf.DUMMYFUNCTION("""COMPUTED_VALUE"""),1)</f>
        <v>1</v>
      </c>
      <c r="C5184" s="7">
        <f ca="1">IFERROR(__xludf.DUMMYFUNCTION("""COMPUTED_VALUE"""),1)</f>
        <v>1</v>
      </c>
      <c r="D5184" s="8">
        <f ca="1">IFERROR(__xludf.DUMMYFUNCTION("""COMPUTED_VALUE"""),5)</f>
        <v>5</v>
      </c>
      <c r="E5184" s="2">
        <f ca="1">IFERROR(__xludf.DUMMYFUNCTION("""COMPUTED_VALUE"""),2)</f>
        <v>2</v>
      </c>
    </row>
    <row r="5185" spans="1:5" ht="13">
      <c r="A5185" s="2" t="str">
        <f ca="1">IFERROR(__xludf.DUMMYFUNCTION("""COMPUTED_VALUE"""),"Mahoney, Shafer")</f>
        <v>Mahoney, Shafer</v>
      </c>
      <c r="B5185" s="3">
        <f ca="1">IFERROR(__xludf.DUMMYFUNCTION("""COMPUTED_VALUE"""),1)</f>
        <v>1</v>
      </c>
      <c r="C5185" s="7">
        <f ca="1">IFERROR(__xludf.DUMMYFUNCTION("""COMPUTED_VALUE"""),1)</f>
        <v>1</v>
      </c>
      <c r="D5185" s="8">
        <f ca="1">IFERROR(__xludf.DUMMYFUNCTION("""COMPUTED_VALUE"""),1)</f>
        <v>1</v>
      </c>
      <c r="E5185" s="2">
        <f ca="1">IFERROR(__xludf.DUMMYFUNCTION("""COMPUTED_VALUE"""),1)</f>
        <v>1</v>
      </c>
    </row>
    <row r="5186" spans="1:5" ht="13">
      <c r="A5186" s="2" t="str">
        <f ca="1">IFERROR(__xludf.DUMMYFUNCTION("""COMPUTED_VALUE"""),"Mahpar, Steven")</f>
        <v>Mahpar, Steven</v>
      </c>
      <c r="B5186" s="3">
        <f ca="1">IFERROR(__xludf.DUMMYFUNCTION("""COMPUTED_VALUE"""),1)</f>
        <v>1</v>
      </c>
      <c r="C5186" s="7">
        <f ca="1">IFERROR(__xludf.DUMMYFUNCTION("""COMPUTED_VALUE"""),1)</f>
        <v>1</v>
      </c>
      <c r="D5186" s="8">
        <f ca="1">IFERROR(__xludf.DUMMYFUNCTION("""COMPUTED_VALUE"""),1)</f>
        <v>1</v>
      </c>
      <c r="E5186" s="2">
        <f ca="1">IFERROR(__xludf.DUMMYFUNCTION("""COMPUTED_VALUE"""),1)</f>
        <v>1</v>
      </c>
    </row>
    <row r="5187" spans="1:5" ht="13">
      <c r="A5187" s="2" t="str">
        <f ca="1">IFERROR(__xludf.DUMMYFUNCTION("""COMPUTED_VALUE"""),"Mahr, Timothy")</f>
        <v>Mahr, Timothy</v>
      </c>
      <c r="B5187" s="3">
        <f ca="1">IFERROR(__xludf.DUMMYFUNCTION("""COMPUTED_VALUE"""),1)</f>
        <v>1</v>
      </c>
      <c r="C5187" s="7">
        <f ca="1">IFERROR(__xludf.DUMMYFUNCTION("""COMPUTED_VALUE"""),1)</f>
        <v>1</v>
      </c>
      <c r="D5187" s="8">
        <f ca="1">IFERROR(__xludf.DUMMYFUNCTION("""COMPUTED_VALUE"""),1)</f>
        <v>1</v>
      </c>
      <c r="E5187" s="2">
        <f ca="1">IFERROR(__xludf.DUMMYFUNCTION("""COMPUTED_VALUE"""),1)</f>
        <v>1</v>
      </c>
    </row>
    <row r="5188" spans="1:5" ht="13">
      <c r="A5188" s="2" t="str">
        <f ca="1">IFERROR(__xludf.DUMMYFUNCTION("""COMPUTED_VALUE"""),"Mahy, Kenneth")</f>
        <v>Mahy, Kenneth</v>
      </c>
      <c r="B5188" s="3">
        <f ca="1">IFERROR(__xludf.DUMMYFUNCTION("""COMPUTED_VALUE"""),1)</f>
        <v>1</v>
      </c>
      <c r="C5188" s="7">
        <f ca="1">IFERROR(__xludf.DUMMYFUNCTION("""COMPUTED_VALUE"""),1)</f>
        <v>1</v>
      </c>
      <c r="D5188" s="8">
        <f ca="1">IFERROR(__xludf.DUMMYFUNCTION("""COMPUTED_VALUE"""),1)</f>
        <v>1</v>
      </c>
      <c r="E5188" s="2">
        <f ca="1">IFERROR(__xludf.DUMMYFUNCTION("""COMPUTED_VALUE"""),1)</f>
        <v>1</v>
      </c>
    </row>
    <row r="5189" spans="1:5" ht="13">
      <c r="A5189" s="2" t="str">
        <f ca="1">IFERROR(__xludf.DUMMYFUNCTION("""COMPUTED_VALUE"""),"Maiden, Willie")</f>
        <v>Maiden, Willie</v>
      </c>
      <c r="B5189" s="3">
        <f ca="1">IFERROR(__xludf.DUMMYFUNCTION("""COMPUTED_VALUE"""),1)</f>
        <v>1</v>
      </c>
      <c r="C5189" s="7">
        <f ca="1">IFERROR(__xludf.DUMMYFUNCTION("""COMPUTED_VALUE"""),1)</f>
        <v>1</v>
      </c>
      <c r="D5189" s="8">
        <f ca="1">IFERROR(__xludf.DUMMYFUNCTION("""COMPUTED_VALUE"""),5)</f>
        <v>5</v>
      </c>
      <c r="E5189" s="2">
        <f ca="1">IFERROR(__xludf.DUMMYFUNCTION("""COMPUTED_VALUE"""),2)</f>
        <v>2</v>
      </c>
    </row>
    <row r="5190" spans="1:5" ht="13">
      <c r="A5190" s="2" t="str">
        <f ca="1">IFERROR(__xludf.DUMMYFUNCTION("""COMPUTED_VALUE"""),"Maiello, Anthony")</f>
        <v>Maiello, Anthony</v>
      </c>
      <c r="B5190" s="3">
        <f ca="1">IFERROR(__xludf.DUMMYFUNCTION("""COMPUTED_VALUE"""),1)</f>
        <v>1</v>
      </c>
      <c r="C5190" s="7">
        <f ca="1">IFERROR(__xludf.DUMMYFUNCTION("""COMPUTED_VALUE"""),1)</f>
        <v>1</v>
      </c>
      <c r="D5190" s="8">
        <f ca="1">IFERROR(__xludf.DUMMYFUNCTION("""COMPUTED_VALUE"""),1)</f>
        <v>1</v>
      </c>
      <c r="E5190" s="2">
        <f ca="1">IFERROR(__xludf.DUMMYFUNCTION("""COMPUTED_VALUE"""),1)</f>
        <v>1</v>
      </c>
    </row>
    <row r="5191" spans="1:5" ht="13">
      <c r="A5191" s="2" t="str">
        <f ca="1">IFERROR(__xludf.DUMMYFUNCTION("""COMPUTED_VALUE"""),"Maillart, Louis-Aimé")</f>
        <v>Maillart, Louis-Aimé</v>
      </c>
      <c r="B5191" s="3">
        <f ca="1">IFERROR(__xludf.DUMMYFUNCTION("""COMPUTED_VALUE"""),1)</f>
        <v>1</v>
      </c>
      <c r="C5191" s="7">
        <f ca="1">IFERROR(__xludf.DUMMYFUNCTION("""COMPUTED_VALUE"""),1)</f>
        <v>1</v>
      </c>
      <c r="D5191" s="8">
        <f ca="1">IFERROR(__xludf.DUMMYFUNCTION("""COMPUTED_VALUE"""),5)</f>
        <v>5</v>
      </c>
      <c r="E5191" s="3">
        <f ca="1">IFERROR(__xludf.DUMMYFUNCTION("""COMPUTED_VALUE"""),2)</f>
        <v>2</v>
      </c>
    </row>
    <row r="5192" spans="1:5" ht="13">
      <c r="A5192" s="2" t="str">
        <f ca="1">IFERROR(__xludf.DUMMYFUNCTION("""COMPUTED_VALUE"""),"Mailman, Martin")</f>
        <v>Mailman, Martin</v>
      </c>
      <c r="B5192" s="3">
        <f ca="1">IFERROR(__xludf.DUMMYFUNCTION("""COMPUTED_VALUE"""),1)</f>
        <v>1</v>
      </c>
      <c r="C5192" s="7">
        <f ca="1">IFERROR(__xludf.DUMMYFUNCTION("""COMPUTED_VALUE"""),1)</f>
        <v>1</v>
      </c>
      <c r="D5192" s="8">
        <f ca="1">IFERROR(__xludf.DUMMYFUNCTION("""COMPUTED_VALUE"""),1)</f>
        <v>1</v>
      </c>
      <c r="E5192" s="2">
        <f ca="1">IFERROR(__xludf.DUMMYFUNCTION("""COMPUTED_VALUE"""),1)</f>
        <v>1</v>
      </c>
    </row>
    <row r="5193" spans="1:5" ht="13">
      <c r="A5193" s="2" t="str">
        <f ca="1">IFERROR(__xludf.DUMMYFUNCTION("""COMPUTED_VALUE"""),"Main, Ryan")</f>
        <v>Main, Ryan</v>
      </c>
      <c r="B5193" s="2">
        <f ca="1">IFERROR(__xludf.DUMMYFUNCTION("""COMPUTED_VALUE"""),1)</f>
        <v>1</v>
      </c>
      <c r="C5193" s="7">
        <f ca="1">IFERROR(__xludf.DUMMYFUNCTION("""COMPUTED_VALUE"""),1)</f>
        <v>1</v>
      </c>
      <c r="D5193" s="8">
        <f ca="1">IFERROR(__xludf.DUMMYFUNCTION("""COMPUTED_VALUE"""),1)</f>
        <v>1</v>
      </c>
      <c r="E5193" s="2">
        <f ca="1">IFERROR(__xludf.DUMMYFUNCTION("""COMPUTED_VALUE"""),1)</f>
        <v>1</v>
      </c>
    </row>
    <row r="5194" spans="1:5" ht="13">
      <c r="A5194" s="2" t="str">
        <f ca="1">IFERROR(__xludf.DUMMYFUNCTION("""COMPUTED_VALUE"""),"Main, Stephen")</f>
        <v>Main, Stephen</v>
      </c>
      <c r="B5194" s="3">
        <f ca="1">IFERROR(__xludf.DUMMYFUNCTION("""COMPUTED_VALUE"""),1)</f>
        <v>1</v>
      </c>
      <c r="C5194" s="7">
        <f ca="1">IFERROR(__xludf.DUMMYFUNCTION("""COMPUTED_VALUE"""),1)</f>
        <v>1</v>
      </c>
      <c r="D5194" s="8">
        <f ca="1">IFERROR(__xludf.DUMMYFUNCTION("""COMPUTED_VALUE"""),1)</f>
        <v>1</v>
      </c>
      <c r="E5194" s="2">
        <f ca="1">IFERROR(__xludf.DUMMYFUNCTION("""COMPUTED_VALUE"""),1)</f>
        <v>1</v>
      </c>
    </row>
    <row r="5195" spans="1:5" ht="13">
      <c r="A5195" s="2" t="str">
        <f ca="1">IFERROR(__xludf.DUMMYFUNCTION("""COMPUTED_VALUE"""),"Mainieri, Mike")</f>
        <v>Mainieri, Mike</v>
      </c>
      <c r="B5195" s="3">
        <f ca="1">IFERROR(__xludf.DUMMYFUNCTION("""COMPUTED_VALUE"""),1)</f>
        <v>1</v>
      </c>
      <c r="C5195" s="7">
        <f ca="1">IFERROR(__xludf.DUMMYFUNCTION("""COMPUTED_VALUE"""),1)</f>
        <v>1</v>
      </c>
      <c r="D5195" s="8">
        <f ca="1">IFERROR(__xludf.DUMMYFUNCTION("""COMPUTED_VALUE"""),1)</f>
        <v>1</v>
      </c>
      <c r="E5195" s="2">
        <f ca="1">IFERROR(__xludf.DUMMYFUNCTION("""COMPUTED_VALUE"""),1)</f>
        <v>1</v>
      </c>
    </row>
    <row r="5196" spans="1:5" ht="13">
      <c r="A5196" s="2" t="str">
        <f ca="1">IFERROR(__xludf.DUMMYFUNCTION("""COMPUTED_VALUE"""),"Mairs, David")</f>
        <v>Mairs, David</v>
      </c>
      <c r="B5196" s="3">
        <f ca="1">IFERROR(__xludf.DUMMYFUNCTION("""COMPUTED_VALUE"""),1)</f>
        <v>1</v>
      </c>
      <c r="C5196" s="7">
        <f ca="1">IFERROR(__xludf.DUMMYFUNCTION("""COMPUTED_VALUE"""),1)</f>
        <v>1</v>
      </c>
      <c r="D5196" s="8">
        <f ca="1">IFERROR(__xludf.DUMMYFUNCTION("""COMPUTED_VALUE"""),1)</f>
        <v>1</v>
      </c>
      <c r="E5196" s="2">
        <f ca="1">IFERROR(__xludf.DUMMYFUNCTION("""COMPUTED_VALUE"""),1)</f>
        <v>1</v>
      </c>
    </row>
    <row r="5197" spans="1:5" ht="13">
      <c r="A5197" s="2" t="str">
        <f ca="1">IFERROR(__xludf.DUMMYFUNCTION("""COMPUTED_VALUE"""),"Maki, Theodore")</f>
        <v>Maki, Theodore</v>
      </c>
      <c r="B5197" s="3">
        <f ca="1">IFERROR(__xludf.DUMMYFUNCTION("""COMPUTED_VALUE"""),1)</f>
        <v>1</v>
      </c>
      <c r="C5197" s="7">
        <f ca="1">IFERROR(__xludf.DUMMYFUNCTION("""COMPUTED_VALUE"""),1)</f>
        <v>1</v>
      </c>
      <c r="D5197" s="8">
        <f ca="1">IFERROR(__xludf.DUMMYFUNCTION("""COMPUTED_VALUE"""),5)</f>
        <v>5</v>
      </c>
      <c r="E5197" s="2">
        <f ca="1">IFERROR(__xludf.DUMMYFUNCTION("""COMPUTED_VALUE"""),2)</f>
        <v>2</v>
      </c>
    </row>
    <row r="5198" spans="1:5" ht="13">
      <c r="A5198" s="2" t="str">
        <f ca="1">IFERROR(__xludf.DUMMYFUNCTION("""COMPUTED_VALUE"""),"Makris, Andreas")</f>
        <v>Makris, Andreas</v>
      </c>
      <c r="B5198" s="3">
        <f ca="1">IFERROR(__xludf.DUMMYFUNCTION("""COMPUTED_VALUE"""),1)</f>
        <v>1</v>
      </c>
      <c r="C5198" s="7">
        <f ca="1">IFERROR(__xludf.DUMMYFUNCTION("""COMPUTED_VALUE"""),1)</f>
        <v>1</v>
      </c>
      <c r="D5198" s="8">
        <f ca="1">IFERROR(__xludf.DUMMYFUNCTION("""COMPUTED_VALUE"""),1)</f>
        <v>1</v>
      </c>
      <c r="E5198" s="2">
        <f ca="1">IFERROR(__xludf.DUMMYFUNCTION("""COMPUTED_VALUE"""),1)</f>
        <v>1</v>
      </c>
    </row>
    <row r="5199" spans="1:5" ht="13">
      <c r="A5199" s="2" t="str">
        <f ca="1">IFERROR(__xludf.DUMMYFUNCTION("""COMPUTED_VALUE"""),"Malando, Arie")</f>
        <v>Malando, Arie</v>
      </c>
      <c r="B5199" s="3">
        <f ca="1">IFERROR(__xludf.DUMMYFUNCTION("""COMPUTED_VALUE"""),1)</f>
        <v>1</v>
      </c>
      <c r="C5199" s="7">
        <f ca="1">IFERROR(__xludf.DUMMYFUNCTION("""COMPUTED_VALUE"""),1)</f>
        <v>1</v>
      </c>
      <c r="D5199" s="8">
        <f ca="1">IFERROR(__xludf.DUMMYFUNCTION("""COMPUTED_VALUE"""),5)</f>
        <v>5</v>
      </c>
      <c r="E5199" s="2">
        <f ca="1">IFERROR(__xludf.DUMMYFUNCTION("""COMPUTED_VALUE"""),2)</f>
        <v>2</v>
      </c>
    </row>
    <row r="5200" spans="1:5" ht="13">
      <c r="A5200" s="2" t="str">
        <f ca="1">IFERROR(__xludf.DUMMYFUNCTION("""COMPUTED_VALUE"""),"Maldere, Pierre")</f>
        <v>Maldere, Pierre</v>
      </c>
      <c r="B5200" s="3">
        <f ca="1">IFERROR(__xludf.DUMMYFUNCTION("""COMPUTED_VALUE"""),1)</f>
        <v>1</v>
      </c>
      <c r="C5200" s="7">
        <f ca="1">IFERROR(__xludf.DUMMYFUNCTION("""COMPUTED_VALUE"""),1)</f>
        <v>1</v>
      </c>
      <c r="D5200" s="8">
        <f ca="1">IFERROR(__xludf.DUMMYFUNCTION("""COMPUTED_VALUE"""),5)</f>
        <v>5</v>
      </c>
      <c r="E5200" s="2">
        <f ca="1">IFERROR(__xludf.DUMMYFUNCTION("""COMPUTED_VALUE"""),2)</f>
        <v>2</v>
      </c>
    </row>
    <row r="5201" spans="1:5" ht="13">
      <c r="A5201" s="8" t="str">
        <f ca="1">IFERROR(__xludf.DUMMYFUNCTION("""COMPUTED_VALUE"""),"Malecki, Maciej")</f>
        <v>Malecki, Maciej</v>
      </c>
      <c r="B5201" s="3">
        <f ca="1">IFERROR(__xludf.DUMMYFUNCTION("""COMPUTED_VALUE"""),1)</f>
        <v>1</v>
      </c>
      <c r="C5201" s="7">
        <f ca="1">IFERROR(__xludf.DUMMYFUNCTION("""COMPUTED_VALUE"""),1)</f>
        <v>1</v>
      </c>
      <c r="D5201" s="8">
        <f ca="1">IFERROR(__xludf.DUMMYFUNCTION("""COMPUTED_VALUE"""),1)</f>
        <v>1</v>
      </c>
      <c r="E5201" s="2">
        <f ca="1">IFERROR(__xludf.DUMMYFUNCTION("""COMPUTED_VALUE"""),1)</f>
        <v>1</v>
      </c>
    </row>
    <row r="5202" spans="1:5" ht="13">
      <c r="A5202" s="2" t="str">
        <f ca="1">IFERROR(__xludf.DUMMYFUNCTION("""COMPUTED_VALUE"""),"Malicoate, Todd")</f>
        <v>Malicoate, Todd</v>
      </c>
      <c r="B5202" s="3">
        <f ca="1">IFERROR(__xludf.DUMMYFUNCTION("""COMPUTED_VALUE"""),1)</f>
        <v>1</v>
      </c>
      <c r="C5202" s="7">
        <f ca="1">IFERROR(__xludf.DUMMYFUNCTION("""COMPUTED_VALUE"""),1)</f>
        <v>1</v>
      </c>
      <c r="D5202" s="8">
        <f ca="1">IFERROR(__xludf.DUMMYFUNCTION("""COMPUTED_VALUE"""),1)</f>
        <v>1</v>
      </c>
      <c r="E5202" s="2">
        <f ca="1">IFERROR(__xludf.DUMMYFUNCTION("""COMPUTED_VALUE"""),1)</f>
        <v>1</v>
      </c>
    </row>
    <row r="5203" spans="1:5" ht="13">
      <c r="A5203" s="8" t="str">
        <f ca="1">IFERROR(__xludf.DUMMYFUNCTION("""COMPUTED_VALUE"""),"Malin, Don")</f>
        <v>Malin, Don</v>
      </c>
      <c r="B5203" s="3">
        <f ca="1">IFERROR(__xludf.DUMMYFUNCTION("""COMPUTED_VALUE"""),1)</f>
        <v>1</v>
      </c>
      <c r="C5203" s="7">
        <f ca="1">IFERROR(__xludf.DUMMYFUNCTION("""COMPUTED_VALUE"""),1)</f>
        <v>1</v>
      </c>
      <c r="D5203" s="8">
        <f ca="1">IFERROR(__xludf.DUMMYFUNCTION("""COMPUTED_VALUE"""),5)</f>
        <v>5</v>
      </c>
      <c r="E5203" s="2">
        <f ca="1">IFERROR(__xludf.DUMMYFUNCTION("""COMPUTED_VALUE"""),2)</f>
        <v>2</v>
      </c>
    </row>
    <row r="5204" spans="1:5" ht="13">
      <c r="A5204" s="2" t="str">
        <f ca="1">IFERROR(__xludf.DUMMYFUNCTION("""COMPUTED_VALUE"""),"Malina, Zev")</f>
        <v>Malina, Zev</v>
      </c>
      <c r="B5204" s="3">
        <f ca="1">IFERROR(__xludf.DUMMYFUNCTION("""COMPUTED_VALUE"""),1)</f>
        <v>1</v>
      </c>
      <c r="C5204" s="7">
        <f ca="1">IFERROR(__xludf.DUMMYFUNCTION("""COMPUTED_VALUE"""),1)</f>
        <v>1</v>
      </c>
      <c r="D5204" s="8">
        <f ca="1">IFERROR(__xludf.DUMMYFUNCTION("""COMPUTED_VALUE"""),1)</f>
        <v>1</v>
      </c>
      <c r="E5204" s="2">
        <f ca="1">IFERROR(__xludf.DUMMYFUNCTION("""COMPUTED_VALUE"""),1)</f>
        <v>1</v>
      </c>
    </row>
    <row r="5205" spans="1:5" ht="13">
      <c r="A5205" s="2" t="str">
        <f ca="1">IFERROR(__xludf.DUMMYFUNCTION("""COMPUTED_VALUE"""),"Malinowski, Anthony")</f>
        <v>Malinowski, Anthony</v>
      </c>
      <c r="B5205" s="2">
        <f ca="1">IFERROR(__xludf.DUMMYFUNCTION("""COMPUTED_VALUE"""),1)</f>
        <v>1</v>
      </c>
      <c r="C5205" s="2">
        <f ca="1">IFERROR(__xludf.DUMMYFUNCTION("""COMPUTED_VALUE"""),1)</f>
        <v>1</v>
      </c>
      <c r="D5205" s="8">
        <f ca="1">IFERROR(__xludf.DUMMYFUNCTION("""COMPUTED_VALUE"""),1)</f>
        <v>1</v>
      </c>
      <c r="E5205" s="2">
        <f ca="1">IFERROR(__xludf.DUMMYFUNCTION("""COMPUTED_VALUE"""),1)</f>
        <v>1</v>
      </c>
    </row>
    <row r="5206" spans="1:5" ht="13">
      <c r="A5206" s="2" t="str">
        <f ca="1">IFERROR(__xludf.DUMMYFUNCTION("""COMPUTED_VALUE"""),"Malipiero, Gian Francesco")</f>
        <v>Malipiero, Gian Francesco</v>
      </c>
      <c r="B5206" s="3">
        <f ca="1">IFERROR(__xludf.DUMMYFUNCTION("""COMPUTED_VALUE"""),1)</f>
        <v>1</v>
      </c>
      <c r="C5206" s="7">
        <f ca="1">IFERROR(__xludf.DUMMYFUNCTION("""COMPUTED_VALUE"""),1)</f>
        <v>1</v>
      </c>
      <c r="D5206" s="8">
        <f ca="1">IFERROR(__xludf.DUMMYFUNCTION("""COMPUTED_VALUE"""),5)</f>
        <v>5</v>
      </c>
      <c r="E5206" s="2">
        <f ca="1">IFERROR(__xludf.DUMMYFUNCTION("""COMPUTED_VALUE"""),2)</f>
        <v>2</v>
      </c>
    </row>
    <row r="5207" spans="1:5" ht="13">
      <c r="A5207" s="2" t="str">
        <f ca="1">IFERROR(__xludf.DUMMYFUNCTION("""COMPUTED_VALUE"""),"Malmquist, Eric")</f>
        <v>Malmquist, Eric</v>
      </c>
      <c r="B5207" s="3">
        <f ca="1">IFERROR(__xludf.DUMMYFUNCTION("""COMPUTED_VALUE"""),1)</f>
        <v>1</v>
      </c>
      <c r="C5207" s="7">
        <f ca="1">IFERROR(__xludf.DUMMYFUNCTION("""COMPUTED_VALUE"""),1)</f>
        <v>1</v>
      </c>
      <c r="D5207" s="8">
        <f ca="1">IFERROR(__xludf.DUMMYFUNCTION("""COMPUTED_VALUE"""),1)</f>
        <v>1</v>
      </c>
      <c r="E5207" s="2">
        <f ca="1">IFERROR(__xludf.DUMMYFUNCTION("""COMPUTED_VALUE"""),1)</f>
        <v>1</v>
      </c>
    </row>
    <row r="5208" spans="1:5" ht="13">
      <c r="A5208" s="2" t="str">
        <f ca="1">IFERROR(__xludf.DUMMYFUNCTION("""COMPUTED_VALUE"""),"Malneck, Matt")</f>
        <v>Malneck, Matt</v>
      </c>
      <c r="B5208" s="2">
        <f ca="1">IFERROR(__xludf.DUMMYFUNCTION("""COMPUTED_VALUE"""),1)</f>
        <v>1</v>
      </c>
      <c r="C5208" s="7">
        <f ca="1">IFERROR(__xludf.DUMMYFUNCTION("""COMPUTED_VALUE"""),1)</f>
        <v>1</v>
      </c>
      <c r="D5208" s="8">
        <f ca="1">IFERROR(__xludf.DUMMYFUNCTION("""COMPUTED_VALUE"""),5)</f>
        <v>5</v>
      </c>
      <c r="E5208" s="2">
        <f ca="1">IFERROR(__xludf.DUMMYFUNCTION("""COMPUTED_VALUE"""),2)</f>
        <v>2</v>
      </c>
    </row>
    <row r="5209" spans="1:5" ht="13">
      <c r="A5209" s="2" t="str">
        <f ca="1">IFERROR(__xludf.DUMMYFUNCTION("""COMPUTED_VALUE"""),"Malneck, Matt / Livingston, Fud / Kahn, Gus")</f>
        <v>Malneck, Matt / Livingston, Fud / Kahn, Gus</v>
      </c>
      <c r="B5209" s="2">
        <f ca="1">IFERROR(__xludf.DUMMYFUNCTION("""COMPUTED_VALUE"""),1)</f>
        <v>1</v>
      </c>
      <c r="C5209" s="7">
        <f ca="1">IFERROR(__xludf.DUMMYFUNCTION("""COMPUTED_VALUE"""),1)</f>
        <v>1</v>
      </c>
      <c r="D5209" s="8">
        <f ca="1">IFERROR(__xludf.DUMMYFUNCTION("""COMPUTED_VALUE"""),5)</f>
        <v>5</v>
      </c>
      <c r="E5209" s="2">
        <f ca="1">IFERROR(__xludf.DUMMYFUNCTION("""COMPUTED_VALUE"""),2)</f>
        <v>2</v>
      </c>
    </row>
    <row r="5210" spans="1:5" ht="13">
      <c r="A5210" s="2" t="str">
        <f ca="1">IFERROR(__xludf.DUMMYFUNCTION("""COMPUTED_VALUE"""),"Malotte, Albert Hay")</f>
        <v>Malotte, Albert Hay</v>
      </c>
      <c r="B5210" s="2">
        <f ca="1">IFERROR(__xludf.DUMMYFUNCTION("""COMPUTED_VALUE"""),1)</f>
        <v>1</v>
      </c>
      <c r="C5210" s="7">
        <f ca="1">IFERROR(__xludf.DUMMYFUNCTION("""COMPUTED_VALUE"""),1)</f>
        <v>1</v>
      </c>
      <c r="D5210" s="8">
        <f ca="1">IFERROR(__xludf.DUMMYFUNCTION("""COMPUTED_VALUE"""),5)</f>
        <v>5</v>
      </c>
      <c r="E5210" s="2">
        <f ca="1">IFERROR(__xludf.DUMMYFUNCTION("""COMPUTED_VALUE"""),2)</f>
        <v>2</v>
      </c>
    </row>
    <row r="5211" spans="1:5" ht="13">
      <c r="A5211" s="2" t="str">
        <f ca="1">IFERROR(__xludf.DUMMYFUNCTION("""COMPUTED_VALUE"""),"Maltby, Richard")</f>
        <v>Maltby, Richard</v>
      </c>
      <c r="B5211" s="3">
        <f ca="1">IFERROR(__xludf.DUMMYFUNCTION("""COMPUTED_VALUE"""),1)</f>
        <v>1</v>
      </c>
      <c r="C5211" s="7">
        <f ca="1">IFERROR(__xludf.DUMMYFUNCTION("""COMPUTED_VALUE"""),1)</f>
        <v>1</v>
      </c>
      <c r="D5211" s="8">
        <f ca="1">IFERROR(__xludf.DUMMYFUNCTION("""COMPUTED_VALUE"""),5)</f>
        <v>5</v>
      </c>
      <c r="E5211" s="2">
        <f ca="1">IFERROR(__xludf.DUMMYFUNCTION("""COMPUTED_VALUE"""),2)</f>
        <v>2</v>
      </c>
    </row>
    <row r="5212" spans="1:5" ht="13">
      <c r="A5212" s="8" t="str">
        <f ca="1">IFERROR(__xludf.DUMMYFUNCTION("""COMPUTED_VALUE"""),"Maltese, Matt")</f>
        <v>Maltese, Matt</v>
      </c>
      <c r="B5212" s="3">
        <f ca="1">IFERROR(__xludf.DUMMYFUNCTION("""COMPUTED_VALUE"""),1)</f>
        <v>1</v>
      </c>
      <c r="C5212" s="7">
        <f ca="1">IFERROR(__xludf.DUMMYFUNCTION("""COMPUTED_VALUE"""),1)</f>
        <v>1</v>
      </c>
      <c r="D5212" s="8">
        <f ca="1">IFERROR(__xludf.DUMMYFUNCTION("""COMPUTED_VALUE"""),1)</f>
        <v>1</v>
      </c>
      <c r="E5212" s="2">
        <f ca="1">IFERROR(__xludf.DUMMYFUNCTION("""COMPUTED_VALUE"""),1)</f>
        <v>1</v>
      </c>
    </row>
    <row r="5213" spans="1:5" ht="13">
      <c r="A5213" s="2" t="str">
        <f ca="1">IFERROR(__xludf.DUMMYFUNCTION("""COMPUTED_VALUE"""),"Mancini, David")</f>
        <v>Mancini, David</v>
      </c>
      <c r="B5213" s="3">
        <f ca="1">IFERROR(__xludf.DUMMYFUNCTION("""COMPUTED_VALUE"""),1)</f>
        <v>1</v>
      </c>
      <c r="C5213" s="7">
        <f ca="1">IFERROR(__xludf.DUMMYFUNCTION("""COMPUTED_VALUE"""),1)</f>
        <v>1</v>
      </c>
      <c r="D5213" s="8">
        <f ca="1">IFERROR(__xludf.DUMMYFUNCTION("""COMPUTED_VALUE"""),1)</f>
        <v>1</v>
      </c>
      <c r="E5213" s="2">
        <f ca="1">IFERROR(__xludf.DUMMYFUNCTION("""COMPUTED_VALUE"""),1)</f>
        <v>1</v>
      </c>
    </row>
    <row r="5214" spans="1:5" ht="13">
      <c r="A5214" s="2" t="str">
        <f ca="1">IFERROR(__xludf.DUMMYFUNCTION("""COMPUTED_VALUE"""),"Mancini, Henry")</f>
        <v>Mancini, Henry</v>
      </c>
      <c r="B5214" s="3">
        <f ca="1">IFERROR(__xludf.DUMMYFUNCTION("""COMPUTED_VALUE"""),1)</f>
        <v>1</v>
      </c>
      <c r="C5214" s="7">
        <f ca="1">IFERROR(__xludf.DUMMYFUNCTION("""COMPUTED_VALUE"""),1)</f>
        <v>1</v>
      </c>
      <c r="D5214" s="8">
        <f ca="1">IFERROR(__xludf.DUMMYFUNCTION("""COMPUTED_VALUE"""),5)</f>
        <v>5</v>
      </c>
      <c r="E5214" s="2">
        <f ca="1">IFERROR(__xludf.DUMMYFUNCTION("""COMPUTED_VALUE"""),2)</f>
        <v>2</v>
      </c>
    </row>
    <row r="5215" spans="1:5" ht="13">
      <c r="A5215" s="2" t="str">
        <f ca="1">IFERROR(__xludf.DUMMYFUNCTION("""COMPUTED_VALUE"""),"Mancini, Henry / Mercer, Johnny")</f>
        <v>Mancini, Henry / Mercer, Johnny</v>
      </c>
      <c r="B5215" s="2">
        <f ca="1">IFERROR(__xludf.DUMMYFUNCTION("""COMPUTED_VALUE"""),1)</f>
        <v>1</v>
      </c>
      <c r="C5215" s="7">
        <f ca="1">IFERROR(__xludf.DUMMYFUNCTION("""COMPUTED_VALUE"""),1)</f>
        <v>1</v>
      </c>
      <c r="D5215" s="8">
        <f ca="1">IFERROR(__xludf.DUMMYFUNCTION("""COMPUTED_VALUE"""),5)</f>
        <v>5</v>
      </c>
      <c r="E5215" s="2">
        <f ca="1">IFERROR(__xludf.DUMMYFUNCTION("""COMPUTED_VALUE"""),2)</f>
        <v>2</v>
      </c>
    </row>
    <row r="5216" spans="1:5" ht="13">
      <c r="A5216" s="2" t="str">
        <f ca="1">IFERROR(__xludf.DUMMYFUNCTION("""COMPUTED_VALUE"""),"Mandat, Eric")</f>
        <v>Mandat, Eric</v>
      </c>
      <c r="B5216" s="3">
        <f ca="1">IFERROR(__xludf.DUMMYFUNCTION("""COMPUTED_VALUE"""),1)</f>
        <v>1</v>
      </c>
      <c r="C5216" s="7">
        <f ca="1">IFERROR(__xludf.DUMMYFUNCTION("""COMPUTED_VALUE"""),1)</f>
        <v>1</v>
      </c>
      <c r="D5216" s="8">
        <f ca="1">IFERROR(__xludf.DUMMYFUNCTION("""COMPUTED_VALUE"""),1)</f>
        <v>1</v>
      </c>
      <c r="E5216" s="2">
        <f ca="1">IFERROR(__xludf.DUMMYFUNCTION("""COMPUTED_VALUE"""),1)</f>
        <v>1</v>
      </c>
    </row>
    <row r="5217" spans="1:5" ht="13">
      <c r="A5217" s="2" t="str">
        <f ca="1">IFERROR(__xludf.DUMMYFUNCTION("""COMPUTED_VALUE"""),"Mandel, Johnny")</f>
        <v>Mandel, Johnny</v>
      </c>
      <c r="B5217" s="2">
        <f ca="1">IFERROR(__xludf.DUMMYFUNCTION("""COMPUTED_VALUE"""),1)</f>
        <v>1</v>
      </c>
      <c r="C5217" s="7">
        <f ca="1">IFERROR(__xludf.DUMMYFUNCTION("""COMPUTED_VALUE"""),1)</f>
        <v>1</v>
      </c>
      <c r="D5217" s="8">
        <f ca="1">IFERROR(__xludf.DUMMYFUNCTION("""COMPUTED_VALUE"""),5)</f>
        <v>5</v>
      </c>
      <c r="E5217" s="2">
        <f ca="1">IFERROR(__xludf.DUMMYFUNCTION("""COMPUTED_VALUE"""),2)</f>
        <v>2</v>
      </c>
    </row>
    <row r="5218" spans="1:5" ht="13">
      <c r="A5218" s="2" t="str">
        <f ca="1">IFERROR(__xludf.DUMMYFUNCTION("""COMPUTED_VALUE"""),"Mandel, Johnny / Mercer, Johnny")</f>
        <v>Mandel, Johnny / Mercer, Johnny</v>
      </c>
      <c r="B5218" s="2">
        <f ca="1">IFERROR(__xludf.DUMMYFUNCTION("""COMPUTED_VALUE"""),1)</f>
        <v>1</v>
      </c>
      <c r="C5218" s="7">
        <f ca="1">IFERROR(__xludf.DUMMYFUNCTION("""COMPUTED_VALUE"""),1)</f>
        <v>1</v>
      </c>
      <c r="D5218" s="8">
        <f ca="1">IFERROR(__xludf.DUMMYFUNCTION("""COMPUTED_VALUE"""),5)</f>
        <v>5</v>
      </c>
      <c r="E5218" s="2">
        <f ca="1">IFERROR(__xludf.DUMMYFUNCTION("""COMPUTED_VALUE"""),2)</f>
        <v>2</v>
      </c>
    </row>
    <row r="5219" spans="1:5" ht="13">
      <c r="A5219" s="2" t="str">
        <f ca="1">IFERROR(__xludf.DUMMYFUNCTION("""COMPUTED_VALUE"""),"Manente, Giuseppe")</f>
        <v>Manente, Giuseppe</v>
      </c>
      <c r="B5219" s="3">
        <f ca="1">IFERROR(__xludf.DUMMYFUNCTION("""COMPUTED_VALUE"""),1)</f>
        <v>1</v>
      </c>
      <c r="C5219" s="7">
        <f ca="1">IFERROR(__xludf.DUMMYFUNCTION("""COMPUTED_VALUE"""),1)</f>
        <v>1</v>
      </c>
      <c r="D5219" s="8">
        <f ca="1">IFERROR(__xludf.DUMMYFUNCTION("""COMPUTED_VALUE"""),5)</f>
        <v>5</v>
      </c>
      <c r="E5219" s="2">
        <f ca="1">IFERROR(__xludf.DUMMYFUNCTION("""COMPUTED_VALUE"""),2)</f>
        <v>2</v>
      </c>
    </row>
    <row r="5220" spans="1:5" ht="13">
      <c r="A5220" s="2" t="str">
        <f ca="1">IFERROR(__xludf.DUMMYFUNCTION("""COMPUTED_VALUE"""),"Manfredini, Francesco")</f>
        <v>Manfredini, Francesco</v>
      </c>
      <c r="B5220" s="3">
        <f ca="1">IFERROR(__xludf.DUMMYFUNCTION("""COMPUTED_VALUE"""),1)</f>
        <v>1</v>
      </c>
      <c r="C5220" s="7">
        <f ca="1">IFERROR(__xludf.DUMMYFUNCTION("""COMPUTED_VALUE"""),1)</f>
        <v>1</v>
      </c>
      <c r="D5220" s="8">
        <f ca="1">IFERROR(__xludf.DUMMYFUNCTION("""COMPUTED_VALUE"""),5)</f>
        <v>5</v>
      </c>
      <c r="E5220" s="2">
        <f ca="1">IFERROR(__xludf.DUMMYFUNCTION("""COMPUTED_VALUE"""),2)</f>
        <v>2</v>
      </c>
    </row>
    <row r="5221" spans="1:5" ht="13">
      <c r="A5221" s="2" t="str">
        <f ca="1">IFERROR(__xludf.DUMMYFUNCTION("""COMPUTED_VALUE"""),"Manfredini, Francessco")</f>
        <v>Manfredini, Francessco</v>
      </c>
      <c r="B5221" s="3">
        <f ca="1">IFERROR(__xludf.DUMMYFUNCTION("""COMPUTED_VALUE"""),1)</f>
        <v>1</v>
      </c>
      <c r="C5221" s="7">
        <f ca="1">IFERROR(__xludf.DUMMYFUNCTION("""COMPUTED_VALUE"""),1)</f>
        <v>1</v>
      </c>
      <c r="D5221" s="8">
        <f ca="1">IFERROR(__xludf.DUMMYFUNCTION("""COMPUTED_VALUE"""),5)</f>
        <v>5</v>
      </c>
      <c r="E5221" s="2">
        <f ca="1">IFERROR(__xludf.DUMMYFUNCTION("""COMPUTED_VALUE"""),2)</f>
        <v>2</v>
      </c>
    </row>
    <row r="5222" spans="1:5" ht="13">
      <c r="A5222" s="2" t="str">
        <f ca="1">IFERROR(__xludf.DUMMYFUNCTION("""COMPUTED_VALUE"""),"Mangani, Michele")</f>
        <v>Mangani, Michele</v>
      </c>
      <c r="B5222" s="3">
        <f ca="1">IFERROR(__xludf.DUMMYFUNCTION("""COMPUTED_VALUE"""),1)</f>
        <v>1</v>
      </c>
      <c r="C5222" s="7">
        <f ca="1">IFERROR(__xludf.DUMMYFUNCTION("""COMPUTED_VALUE"""),1)</f>
        <v>1</v>
      </c>
      <c r="D5222" s="8">
        <f ca="1">IFERROR(__xludf.DUMMYFUNCTION("""COMPUTED_VALUE"""),1)</f>
        <v>1</v>
      </c>
      <c r="E5222" s="2">
        <f ca="1">IFERROR(__xludf.DUMMYFUNCTION("""COMPUTED_VALUE"""),1)</f>
        <v>1</v>
      </c>
    </row>
    <row r="5223" spans="1:5" ht="13">
      <c r="A5223" s="2" t="str">
        <f ca="1">IFERROR(__xludf.DUMMYFUNCTION("""COMPUTED_VALUE"""),"Mangione, Chuck")</f>
        <v>Mangione, Chuck</v>
      </c>
      <c r="B5223" s="3">
        <f ca="1">IFERROR(__xludf.DUMMYFUNCTION("""COMPUTED_VALUE"""),1)</f>
        <v>1</v>
      </c>
      <c r="C5223" s="7">
        <f ca="1">IFERROR(__xludf.DUMMYFUNCTION("""COMPUTED_VALUE"""),1)</f>
        <v>1</v>
      </c>
      <c r="D5223" s="8">
        <f ca="1">IFERROR(__xludf.DUMMYFUNCTION("""COMPUTED_VALUE"""),1)</f>
        <v>1</v>
      </c>
      <c r="E5223" s="2">
        <f ca="1">IFERROR(__xludf.DUMMYFUNCTION("""COMPUTED_VALUE"""),1)</f>
        <v>1</v>
      </c>
    </row>
    <row r="5224" spans="1:5" ht="13">
      <c r="A5224" s="2" t="str">
        <f ca="1">IFERROR(__xludf.DUMMYFUNCTION("""COMPUTED_VALUE"""),"Mangum, Buck")</f>
        <v>Mangum, Buck</v>
      </c>
      <c r="B5224" s="3">
        <f ca="1">IFERROR(__xludf.DUMMYFUNCTION("""COMPUTED_VALUE"""),1)</f>
        <v>1</v>
      </c>
      <c r="C5224" s="7">
        <f ca="1">IFERROR(__xludf.DUMMYFUNCTION("""COMPUTED_VALUE"""),1)</f>
        <v>1</v>
      </c>
      <c r="D5224" s="8">
        <f ca="1">IFERROR(__xludf.DUMMYFUNCTION("""COMPUTED_VALUE"""),1)</f>
        <v>1</v>
      </c>
      <c r="E5224" s="2">
        <f ca="1">IFERROR(__xludf.DUMMYFUNCTION("""COMPUTED_VALUE"""),1)</f>
        <v>1</v>
      </c>
    </row>
    <row r="5225" spans="1:5" ht="13">
      <c r="A5225" s="2" t="str">
        <f ca="1">IFERROR(__xludf.DUMMYFUNCTION("""COMPUTED_VALUE"""),"Manilow, Barry / Mercer, Johnny")</f>
        <v>Manilow, Barry / Mercer, Johnny</v>
      </c>
      <c r="B5225" s="2">
        <f ca="1">IFERROR(__xludf.DUMMYFUNCTION("""COMPUTED_VALUE"""),1)</f>
        <v>1</v>
      </c>
      <c r="C5225" s="7">
        <f ca="1">IFERROR(__xludf.DUMMYFUNCTION("""COMPUTED_VALUE"""),1)</f>
        <v>1</v>
      </c>
      <c r="D5225" s="8">
        <f ca="1">IFERROR(__xludf.DUMMYFUNCTION("""COMPUTED_VALUE"""),5)</f>
        <v>5</v>
      </c>
      <c r="E5225" s="2">
        <f ca="1">IFERROR(__xludf.DUMMYFUNCTION("""COMPUTED_VALUE"""),2)</f>
        <v>2</v>
      </c>
    </row>
    <row r="5226" spans="1:5" ht="13">
      <c r="A5226" s="2" t="str">
        <f ca="1">IFERROR(__xludf.DUMMYFUNCTION("""COMPUTED_VALUE"""),"Mann, David / Hilliard, Bob")</f>
        <v>Mann, David / Hilliard, Bob</v>
      </c>
      <c r="B5226" s="2">
        <f ca="1">IFERROR(__xludf.DUMMYFUNCTION("""COMPUTED_VALUE"""),1)</f>
        <v>1</v>
      </c>
      <c r="C5226" s="7">
        <f ca="1">IFERROR(__xludf.DUMMYFUNCTION("""COMPUTED_VALUE"""),1)</f>
        <v>1</v>
      </c>
      <c r="D5226" s="8">
        <f ca="1">IFERROR(__xludf.DUMMYFUNCTION("""COMPUTED_VALUE"""),5)</f>
        <v>5</v>
      </c>
      <c r="E5226" s="2">
        <f ca="1">IFERROR(__xludf.DUMMYFUNCTION("""COMPUTED_VALUE"""),2)</f>
        <v>2</v>
      </c>
    </row>
    <row r="5227" spans="1:5" ht="13">
      <c r="A5227" s="2" t="str">
        <f ca="1">IFERROR(__xludf.DUMMYFUNCTION("""COMPUTED_VALUE"""),"Mannheim Steamroller")</f>
        <v>Mannheim Steamroller</v>
      </c>
      <c r="B5227" s="3">
        <f ca="1">IFERROR(__xludf.DUMMYFUNCTION("""COMPUTED_VALUE"""),1)</f>
        <v>1</v>
      </c>
      <c r="C5227" s="7">
        <f ca="1">IFERROR(__xludf.DUMMYFUNCTION("""COMPUTED_VALUE"""),1)</f>
        <v>1</v>
      </c>
      <c r="D5227" s="8">
        <f ca="1">IFERROR(__xludf.DUMMYFUNCTION("""COMPUTED_VALUE"""),1)</f>
        <v>1</v>
      </c>
      <c r="E5227" s="2">
        <f ca="1">IFERROR(__xludf.DUMMYFUNCTION("""COMPUTED_VALUE"""),1)</f>
        <v>1</v>
      </c>
    </row>
    <row r="5228" spans="1:5" ht="13">
      <c r="A5228" s="2" t="str">
        <f ca="1">IFERROR(__xludf.DUMMYFUNCTION("""COMPUTED_VALUE"""),"Manoury, Philippe")</f>
        <v>Manoury, Philippe</v>
      </c>
      <c r="B5228" s="3">
        <f ca="1">IFERROR(__xludf.DUMMYFUNCTION("""COMPUTED_VALUE"""),1)</f>
        <v>1</v>
      </c>
      <c r="C5228" s="7">
        <f ca="1">IFERROR(__xludf.DUMMYFUNCTION("""COMPUTED_VALUE"""),1)</f>
        <v>1</v>
      </c>
      <c r="D5228" s="8">
        <f ca="1">IFERROR(__xludf.DUMMYFUNCTION("""COMPUTED_VALUE"""),1)</f>
        <v>1</v>
      </c>
      <c r="E5228" s="2">
        <f ca="1">IFERROR(__xludf.DUMMYFUNCTION("""COMPUTED_VALUE"""),1)</f>
        <v>1</v>
      </c>
    </row>
    <row r="5229" spans="1:5" ht="13">
      <c r="A5229" s="2" t="str">
        <f ca="1">IFERROR(__xludf.DUMMYFUNCTION("""COMPUTED_VALUE"""),"Mantia, simone")</f>
        <v>Mantia, simone</v>
      </c>
      <c r="B5229" s="2">
        <f ca="1">IFERROR(__xludf.DUMMYFUNCTION("""COMPUTED_VALUE"""),1)</f>
        <v>1</v>
      </c>
      <c r="C5229" s="7">
        <f ca="1">IFERROR(__xludf.DUMMYFUNCTION("""COMPUTED_VALUE"""),1)</f>
        <v>1</v>
      </c>
      <c r="D5229" s="8">
        <f ca="1">IFERROR(__xludf.DUMMYFUNCTION("""COMPUTED_VALUE"""),5)</f>
        <v>5</v>
      </c>
      <c r="E5229" s="2">
        <f ca="1">IFERROR(__xludf.DUMMYFUNCTION("""COMPUTED_VALUE"""),2)</f>
        <v>2</v>
      </c>
    </row>
    <row r="5230" spans="1:5" ht="13">
      <c r="A5230" s="2" t="str">
        <f ca="1">IFERROR(__xludf.DUMMYFUNCTION("""COMPUTED_VALUE"""),"Mantooth, Frank")</f>
        <v>Mantooth, Frank</v>
      </c>
      <c r="B5230" s="2">
        <f ca="1">IFERROR(__xludf.DUMMYFUNCTION("""COMPUTED_VALUE"""),1)</f>
        <v>1</v>
      </c>
      <c r="C5230" s="7">
        <f ca="1">IFERROR(__xludf.DUMMYFUNCTION("""COMPUTED_VALUE"""),1)</f>
        <v>1</v>
      </c>
      <c r="D5230" s="8">
        <f ca="1">IFERROR(__xludf.DUMMYFUNCTION("""COMPUTED_VALUE"""),5)</f>
        <v>5</v>
      </c>
      <c r="E5230" s="2">
        <f ca="1">IFERROR(__xludf.DUMMYFUNCTION("""COMPUTED_VALUE"""),2)</f>
        <v>2</v>
      </c>
    </row>
    <row r="5231" spans="1:5" ht="13">
      <c r="A5231" s="2" t="str">
        <f ca="1">IFERROR(__xludf.DUMMYFUNCTION("""COMPUTED_VALUE"""),"Mantovani, Annunzio")</f>
        <v>Mantovani, Annunzio</v>
      </c>
      <c r="B5231" s="3">
        <f ca="1">IFERROR(__xludf.DUMMYFUNCTION("""COMPUTED_VALUE"""),1)</f>
        <v>1</v>
      </c>
      <c r="C5231" s="7">
        <f ca="1">IFERROR(__xludf.DUMMYFUNCTION("""COMPUTED_VALUE"""),1)</f>
        <v>1</v>
      </c>
      <c r="D5231" s="8">
        <f ca="1">IFERROR(__xludf.DUMMYFUNCTION("""COMPUTED_VALUE"""),5)</f>
        <v>5</v>
      </c>
      <c r="E5231" s="2">
        <f ca="1">IFERROR(__xludf.DUMMYFUNCTION("""COMPUTED_VALUE"""),2)</f>
        <v>2</v>
      </c>
    </row>
    <row r="5232" spans="1:5" ht="13">
      <c r="A5232" s="2" t="str">
        <f ca="1">IFERROR(__xludf.DUMMYFUNCTION("""COMPUTED_VALUE"""),"Mantovani, Bruno")</f>
        <v>Mantovani, Bruno</v>
      </c>
      <c r="B5232" s="3">
        <f ca="1">IFERROR(__xludf.DUMMYFUNCTION("""COMPUTED_VALUE"""),1)</f>
        <v>1</v>
      </c>
      <c r="C5232" s="7">
        <f ca="1">IFERROR(__xludf.DUMMYFUNCTION("""COMPUTED_VALUE"""),1)</f>
        <v>1</v>
      </c>
      <c r="D5232" s="8">
        <f ca="1">IFERROR(__xludf.DUMMYFUNCTION("""COMPUTED_VALUE"""),1)</f>
        <v>1</v>
      </c>
      <c r="E5232" s="2">
        <f ca="1">IFERROR(__xludf.DUMMYFUNCTION("""COMPUTED_VALUE"""),1)</f>
        <v>1</v>
      </c>
    </row>
    <row r="5233" spans="1:5" ht="13">
      <c r="A5233" s="2" t="str">
        <f ca="1">IFERROR(__xludf.DUMMYFUNCTION("""COMPUTED_VALUE"""),"Mantua, Jacques of")</f>
        <v>Mantua, Jacques of</v>
      </c>
      <c r="B5233" s="3">
        <f ca="1">IFERROR(__xludf.DUMMYFUNCTION("""COMPUTED_VALUE"""),1)</f>
        <v>1</v>
      </c>
      <c r="C5233" s="7">
        <f ca="1">IFERROR(__xludf.DUMMYFUNCTION("""COMPUTED_VALUE"""),1)</f>
        <v>1</v>
      </c>
      <c r="D5233" s="8">
        <f ca="1">IFERROR(__xludf.DUMMYFUNCTION("""COMPUTED_VALUE"""),5)</f>
        <v>5</v>
      </c>
      <c r="E5233" s="2">
        <f ca="1">IFERROR(__xludf.DUMMYFUNCTION("""COMPUTED_VALUE"""),2)</f>
        <v>2</v>
      </c>
    </row>
    <row r="5234" spans="1:5" ht="13">
      <c r="A5234" s="2" t="str">
        <f ca="1">IFERROR(__xludf.DUMMYFUNCTION("""COMPUTED_VALUE"""),"Mantyjarvi, Jaakko")</f>
        <v>Mantyjarvi, Jaakko</v>
      </c>
      <c r="B5234" s="3">
        <f ca="1">IFERROR(__xludf.DUMMYFUNCTION("""COMPUTED_VALUE"""),1)</f>
        <v>1</v>
      </c>
      <c r="C5234" s="7">
        <f ca="1">IFERROR(__xludf.DUMMYFUNCTION("""COMPUTED_VALUE"""),1)</f>
        <v>1</v>
      </c>
      <c r="D5234" s="8">
        <f ca="1">IFERROR(__xludf.DUMMYFUNCTION("""COMPUTED_VALUE"""),1)</f>
        <v>1</v>
      </c>
      <c r="E5234" s="2">
        <f ca="1">IFERROR(__xludf.DUMMYFUNCTION("""COMPUTED_VALUE"""),1)</f>
        <v>1</v>
      </c>
    </row>
    <row r="5235" spans="1:5" ht="13">
      <c r="A5235" s="2" t="str">
        <f ca="1">IFERROR(__xludf.DUMMYFUNCTION("""COMPUTED_VALUE"""),"Mäntyjärvi, Jaakko")</f>
        <v>Mäntyjärvi, Jaakko</v>
      </c>
      <c r="B5235" s="3">
        <f ca="1">IFERROR(__xludf.DUMMYFUNCTION("""COMPUTED_VALUE"""),1)</f>
        <v>1</v>
      </c>
      <c r="C5235" s="7">
        <f ca="1">IFERROR(__xludf.DUMMYFUNCTION("""COMPUTED_VALUE"""),1)</f>
        <v>1</v>
      </c>
      <c r="D5235" s="8">
        <f ca="1">IFERROR(__xludf.DUMMYFUNCTION("""COMPUTED_VALUE"""),1)</f>
        <v>1</v>
      </c>
      <c r="E5235" s="2">
        <f ca="1">IFERROR(__xludf.DUMMYFUNCTION("""COMPUTED_VALUE"""),1)</f>
        <v>1</v>
      </c>
    </row>
    <row r="5236" spans="1:5" ht="13">
      <c r="A5236" s="2" t="str">
        <f ca="1">IFERROR(__xludf.DUMMYFUNCTION("""COMPUTED_VALUE"""),"Manuel, Ralph")</f>
        <v>Manuel, Ralph</v>
      </c>
      <c r="B5236" s="3">
        <f ca="1">IFERROR(__xludf.DUMMYFUNCTION("""COMPUTED_VALUE"""),1)</f>
        <v>1</v>
      </c>
      <c r="C5236" s="7">
        <f ca="1">IFERROR(__xludf.DUMMYFUNCTION("""COMPUTED_VALUE"""),1)</f>
        <v>1</v>
      </c>
      <c r="D5236" s="8">
        <f ca="1">IFERROR(__xludf.DUMMYFUNCTION("""COMPUTED_VALUE"""),1)</f>
        <v>1</v>
      </c>
      <c r="E5236" s="2">
        <f ca="1">IFERROR(__xludf.DUMMYFUNCTION("""COMPUTED_VALUE"""),1)</f>
        <v>1</v>
      </c>
    </row>
    <row r="5237" spans="1:5" ht="13">
      <c r="A5237" s="2" t="str">
        <f ca="1">IFERROR(__xludf.DUMMYFUNCTION("""COMPUTED_VALUE"""),"Manz, Paul")</f>
        <v>Manz, Paul</v>
      </c>
      <c r="B5237" s="3">
        <f ca="1">IFERROR(__xludf.DUMMYFUNCTION("""COMPUTED_VALUE"""),1)</f>
        <v>1</v>
      </c>
      <c r="C5237" s="7">
        <f ca="1">IFERROR(__xludf.DUMMYFUNCTION("""COMPUTED_VALUE"""),1)</f>
        <v>1</v>
      </c>
      <c r="D5237" s="8">
        <f ca="1">IFERROR(__xludf.DUMMYFUNCTION("""COMPUTED_VALUE"""),5)</f>
        <v>5</v>
      </c>
      <c r="E5237" s="2">
        <f ca="1">IFERROR(__xludf.DUMMYFUNCTION("""COMPUTED_VALUE"""),2)</f>
        <v>2</v>
      </c>
    </row>
    <row r="5238" spans="1:5" ht="13">
      <c r="A5238" s="2" t="str">
        <f ca="1">IFERROR(__xludf.DUMMYFUNCTION("""COMPUTED_VALUE"""),"Marais, Marin")</f>
        <v>Marais, Marin</v>
      </c>
      <c r="B5238" s="3">
        <f ca="1">IFERROR(__xludf.DUMMYFUNCTION("""COMPUTED_VALUE"""),1)</f>
        <v>1</v>
      </c>
      <c r="C5238" s="7">
        <f ca="1">IFERROR(__xludf.DUMMYFUNCTION("""COMPUTED_VALUE"""),1)</f>
        <v>1</v>
      </c>
      <c r="D5238" s="8">
        <f ca="1">IFERROR(__xludf.DUMMYFUNCTION("""COMPUTED_VALUE"""),5)</f>
        <v>5</v>
      </c>
      <c r="E5238" s="2">
        <f ca="1">IFERROR(__xludf.DUMMYFUNCTION("""COMPUTED_VALUE"""),2)</f>
        <v>2</v>
      </c>
    </row>
    <row r="5239" spans="1:5" ht="13">
      <c r="A5239" s="2" t="str">
        <f ca="1">IFERROR(__xludf.DUMMYFUNCTION("""COMPUTED_VALUE"""),"Marceau, Thomas R.")</f>
        <v>Marceau, Thomas R.</v>
      </c>
      <c r="B5239" s="3">
        <f ca="1">IFERROR(__xludf.DUMMYFUNCTION("""COMPUTED_VALUE"""),1)</f>
        <v>1</v>
      </c>
      <c r="C5239" s="7">
        <f ca="1">IFERROR(__xludf.DUMMYFUNCTION("""COMPUTED_VALUE"""),1)</f>
        <v>1</v>
      </c>
      <c r="D5239" s="8">
        <f ca="1">IFERROR(__xludf.DUMMYFUNCTION("""COMPUTED_VALUE"""),1)</f>
        <v>1</v>
      </c>
      <c r="E5239" s="2">
        <f ca="1">IFERROR(__xludf.DUMMYFUNCTION("""COMPUTED_VALUE"""),1)</f>
        <v>1</v>
      </c>
    </row>
    <row r="5240" spans="1:5" ht="13">
      <c r="A5240" s="2" t="str">
        <f ca="1">IFERROR(__xludf.DUMMYFUNCTION("""COMPUTED_VALUE"""),"Marcelli, Nino")</f>
        <v>Marcelli, Nino</v>
      </c>
      <c r="B5240" s="3">
        <f ca="1">IFERROR(__xludf.DUMMYFUNCTION("""COMPUTED_VALUE"""),1)</f>
        <v>1</v>
      </c>
      <c r="C5240" s="7">
        <f ca="1">IFERROR(__xludf.DUMMYFUNCTION("""COMPUTED_VALUE"""),1)</f>
        <v>1</v>
      </c>
      <c r="D5240" s="8">
        <f ca="1">IFERROR(__xludf.DUMMYFUNCTION("""COMPUTED_VALUE"""),5)</f>
        <v>5</v>
      </c>
      <c r="E5240" s="2">
        <f ca="1">IFERROR(__xludf.DUMMYFUNCTION("""COMPUTED_VALUE"""),2)</f>
        <v>2</v>
      </c>
    </row>
    <row r="5241" spans="1:5" ht="13">
      <c r="A5241" s="2" t="str">
        <f ca="1">IFERROR(__xludf.DUMMYFUNCTION("""COMPUTED_VALUE"""),"Marcello, Alessandro")</f>
        <v>Marcello, Alessandro</v>
      </c>
      <c r="B5241" s="3">
        <f ca="1">IFERROR(__xludf.DUMMYFUNCTION("""COMPUTED_VALUE"""),1)</f>
        <v>1</v>
      </c>
      <c r="C5241" s="7">
        <f ca="1">IFERROR(__xludf.DUMMYFUNCTION("""COMPUTED_VALUE"""),1)</f>
        <v>1</v>
      </c>
      <c r="D5241" s="8">
        <f ca="1">IFERROR(__xludf.DUMMYFUNCTION("""COMPUTED_VALUE"""),5)</f>
        <v>5</v>
      </c>
      <c r="E5241" s="2">
        <f ca="1">IFERROR(__xludf.DUMMYFUNCTION("""COMPUTED_VALUE"""),2)</f>
        <v>2</v>
      </c>
    </row>
    <row r="5242" spans="1:5" ht="13">
      <c r="A5242" s="2" t="str">
        <f ca="1">IFERROR(__xludf.DUMMYFUNCTION("""COMPUTED_VALUE"""),"Marcello, Benedetto")</f>
        <v>Marcello, Benedetto</v>
      </c>
      <c r="B5242" s="3">
        <f ca="1">IFERROR(__xludf.DUMMYFUNCTION("""COMPUTED_VALUE"""),1)</f>
        <v>1</v>
      </c>
      <c r="C5242" s="7">
        <f ca="1">IFERROR(__xludf.DUMMYFUNCTION("""COMPUTED_VALUE"""),1)</f>
        <v>1</v>
      </c>
      <c r="D5242" s="8">
        <f ca="1">IFERROR(__xludf.DUMMYFUNCTION("""COMPUTED_VALUE"""),5)</f>
        <v>5</v>
      </c>
      <c r="E5242" s="2">
        <f ca="1">IFERROR(__xludf.DUMMYFUNCTION("""COMPUTED_VALUE"""),2)</f>
        <v>2</v>
      </c>
    </row>
    <row r="5243" spans="1:5" ht="13">
      <c r="A5243" s="2" t="str">
        <f ca="1">IFERROR(__xludf.DUMMYFUNCTION("""COMPUTED_VALUE"""),"March, Andrew")</f>
        <v>March, Andrew</v>
      </c>
      <c r="B5243" s="3">
        <f ca="1">IFERROR(__xludf.DUMMYFUNCTION("""COMPUTED_VALUE"""),1)</f>
        <v>1</v>
      </c>
      <c r="C5243" s="7">
        <f ca="1">IFERROR(__xludf.DUMMYFUNCTION("""COMPUTED_VALUE"""),1)</f>
        <v>1</v>
      </c>
      <c r="D5243" s="8">
        <f ca="1">IFERROR(__xludf.DUMMYFUNCTION("""COMPUTED_VALUE"""),1)</f>
        <v>1</v>
      </c>
      <c r="E5243" s="2">
        <f ca="1">IFERROR(__xludf.DUMMYFUNCTION("""COMPUTED_VALUE"""),1)</f>
        <v>1</v>
      </c>
    </row>
    <row r="5244" spans="1:5" ht="13">
      <c r="A5244" s="2" t="str">
        <f ca="1">IFERROR(__xludf.DUMMYFUNCTION("""COMPUTED_VALUE"""),"Marchetti, Filippo")</f>
        <v>Marchetti, Filippo</v>
      </c>
      <c r="B5244" s="3">
        <f ca="1">IFERROR(__xludf.DUMMYFUNCTION("""COMPUTED_VALUE"""),1)</f>
        <v>1</v>
      </c>
      <c r="C5244" s="7">
        <f ca="1">IFERROR(__xludf.DUMMYFUNCTION("""COMPUTED_VALUE"""),1)</f>
        <v>1</v>
      </c>
      <c r="D5244" s="8">
        <f ca="1">IFERROR(__xludf.DUMMYFUNCTION("""COMPUTED_VALUE"""),5)</f>
        <v>5</v>
      </c>
      <c r="E5244" s="2">
        <f ca="1">IFERROR(__xludf.DUMMYFUNCTION("""COMPUTED_VALUE"""),2)</f>
        <v>2</v>
      </c>
    </row>
    <row r="5245" spans="1:5" ht="13">
      <c r="A5245" s="2" t="str">
        <f ca="1">IFERROR(__xludf.DUMMYFUNCTION("""COMPUTED_VALUE"""),"Marciniak, Szymon")</f>
        <v>Marciniak, Szymon</v>
      </c>
      <c r="B5245" s="3">
        <f ca="1">IFERROR(__xludf.DUMMYFUNCTION("""COMPUTED_VALUE"""),1)</f>
        <v>1</v>
      </c>
      <c r="C5245" s="7">
        <f ca="1">IFERROR(__xludf.DUMMYFUNCTION("""COMPUTED_VALUE"""),1)</f>
        <v>1</v>
      </c>
      <c r="D5245" s="8">
        <f ca="1">IFERROR(__xludf.DUMMYFUNCTION("""COMPUTED_VALUE"""),1)</f>
        <v>1</v>
      </c>
      <c r="E5245" s="2">
        <f ca="1">IFERROR(__xludf.DUMMYFUNCTION("""COMPUTED_VALUE"""),1)</f>
        <v>1</v>
      </c>
    </row>
    <row r="5246" spans="1:5" ht="13">
      <c r="A5246" s="2" t="str">
        <f ca="1">IFERROR(__xludf.DUMMYFUNCTION("""COMPUTED_VALUE"""),"Marco, Sano / Erickson, Jack")</f>
        <v>Marco, Sano / Erickson, Jack</v>
      </c>
      <c r="B5246" s="2">
        <f ca="1">IFERROR(__xludf.DUMMYFUNCTION("""COMPUTED_VALUE"""),1)</f>
        <v>1</v>
      </c>
      <c r="C5246" s="7">
        <f ca="1">IFERROR(__xludf.DUMMYFUNCTION("""COMPUTED_VALUE"""),1)</f>
        <v>1</v>
      </c>
      <c r="D5246" s="8">
        <f ca="1">IFERROR(__xludf.DUMMYFUNCTION("""COMPUTED_VALUE"""),5)</f>
        <v>5</v>
      </c>
      <c r="E5246" s="2">
        <f ca="1">IFERROR(__xludf.DUMMYFUNCTION("""COMPUTED_VALUE"""),2)</f>
        <v>2</v>
      </c>
    </row>
    <row r="5247" spans="1:5" ht="13">
      <c r="A5247" s="2" t="str">
        <f ca="1">IFERROR(__xludf.DUMMYFUNCTION("""COMPUTED_VALUE"""),"Marcy, Kirk")</f>
        <v>Marcy, Kirk</v>
      </c>
      <c r="B5247" s="3">
        <f ca="1">IFERROR(__xludf.DUMMYFUNCTION("""COMPUTED_VALUE"""),1)</f>
        <v>1</v>
      </c>
      <c r="C5247" s="7">
        <f ca="1">IFERROR(__xludf.DUMMYFUNCTION("""COMPUTED_VALUE"""),1)</f>
        <v>1</v>
      </c>
      <c r="D5247" s="8">
        <f ca="1">IFERROR(__xludf.DUMMYFUNCTION("""COMPUTED_VALUE"""),1)</f>
        <v>1</v>
      </c>
      <c r="E5247" s="2">
        <f ca="1">IFERROR(__xludf.DUMMYFUNCTION("""COMPUTED_VALUE"""),1)</f>
        <v>1</v>
      </c>
    </row>
    <row r="5248" spans="1:5" ht="13">
      <c r="A5248" s="2" t="str">
        <f ca="1">IFERROR(__xludf.DUMMYFUNCTION("""COMPUTED_VALUE"""),"Marenzio, Luca")</f>
        <v>Marenzio, Luca</v>
      </c>
      <c r="B5248" s="3">
        <f ca="1">IFERROR(__xludf.DUMMYFUNCTION("""COMPUTED_VALUE"""),1)</f>
        <v>1</v>
      </c>
      <c r="C5248" s="7">
        <f ca="1">IFERROR(__xludf.DUMMYFUNCTION("""COMPUTED_VALUE"""),1)</f>
        <v>1</v>
      </c>
      <c r="D5248" s="8">
        <f ca="1">IFERROR(__xludf.DUMMYFUNCTION("""COMPUTED_VALUE"""),5)</f>
        <v>5</v>
      </c>
      <c r="E5248" s="2">
        <f ca="1">IFERROR(__xludf.DUMMYFUNCTION("""COMPUTED_VALUE"""),2)</f>
        <v>2</v>
      </c>
    </row>
    <row r="5249" spans="1:5" ht="13">
      <c r="A5249" s="2" t="str">
        <f ca="1">IFERROR(__xludf.DUMMYFUNCTION("""COMPUTED_VALUE"""),"Maresz, Yan")</f>
        <v>Maresz, Yan</v>
      </c>
      <c r="B5249" s="3">
        <f ca="1">IFERROR(__xludf.DUMMYFUNCTION("""COMPUTED_VALUE"""),1)</f>
        <v>1</v>
      </c>
      <c r="C5249" s="7">
        <f ca="1">IFERROR(__xludf.DUMMYFUNCTION("""COMPUTED_VALUE"""),1)</f>
        <v>1</v>
      </c>
      <c r="D5249" s="8">
        <f ca="1">IFERROR(__xludf.DUMMYFUNCTION("""COMPUTED_VALUE"""),1)</f>
        <v>1</v>
      </c>
      <c r="E5249" s="2">
        <f ca="1">IFERROR(__xludf.DUMMYFUNCTION("""COMPUTED_VALUE"""),1)</f>
        <v>1</v>
      </c>
    </row>
    <row r="5250" spans="1:5" ht="13">
      <c r="A5250" s="2" t="str">
        <f ca="1">IFERROR(__xludf.DUMMYFUNCTION("""COMPUTED_VALUE"""),"Margola, Franco")</f>
        <v>Margola, Franco</v>
      </c>
      <c r="B5250" s="2">
        <f ca="1">IFERROR(__xludf.DUMMYFUNCTION("""COMPUTED_VALUE"""),1)</f>
        <v>1</v>
      </c>
      <c r="C5250" s="7">
        <f ca="1">IFERROR(__xludf.DUMMYFUNCTION("""COMPUTED_VALUE"""),1)</f>
        <v>1</v>
      </c>
      <c r="D5250" s="8">
        <f ca="1">IFERROR(__xludf.DUMMYFUNCTION("""COMPUTED_VALUE"""),5)</f>
        <v>5</v>
      </c>
      <c r="E5250" s="2">
        <f ca="1">IFERROR(__xludf.DUMMYFUNCTION("""COMPUTED_VALUE"""),2)</f>
        <v>2</v>
      </c>
    </row>
    <row r="5251" spans="1:5" ht="13">
      <c r="A5251" s="2" t="str">
        <f ca="1">IFERROR(__xludf.DUMMYFUNCTION("""COMPUTED_VALUE"""),"Margolis, Bob")</f>
        <v>Margolis, Bob</v>
      </c>
      <c r="B5251" s="3">
        <f ca="1">IFERROR(__xludf.DUMMYFUNCTION("""COMPUTED_VALUE"""),1)</f>
        <v>1</v>
      </c>
      <c r="C5251" s="7">
        <f ca="1">IFERROR(__xludf.DUMMYFUNCTION("""COMPUTED_VALUE"""),1)</f>
        <v>1</v>
      </c>
      <c r="D5251" s="8">
        <f ca="1">IFERROR(__xludf.DUMMYFUNCTION("""COMPUTED_VALUE"""),1)</f>
        <v>1</v>
      </c>
      <c r="E5251" s="2">
        <f ca="1">IFERROR(__xludf.DUMMYFUNCTION("""COMPUTED_VALUE"""),1)</f>
        <v>1</v>
      </c>
    </row>
    <row r="5252" spans="1:5" ht="13">
      <c r="A5252" s="2" t="str">
        <f ca="1">IFERROR(__xludf.DUMMYFUNCTION("""COMPUTED_VALUE"""),"Marhulets, Wlad")</f>
        <v>Marhulets, Wlad</v>
      </c>
      <c r="B5252" s="3">
        <f ca="1">IFERROR(__xludf.DUMMYFUNCTION("""COMPUTED_VALUE"""),1)</f>
        <v>1</v>
      </c>
      <c r="C5252" s="7">
        <f ca="1">IFERROR(__xludf.DUMMYFUNCTION("""COMPUTED_VALUE"""),1)</f>
        <v>1</v>
      </c>
      <c r="D5252" s="8">
        <f ca="1">IFERROR(__xludf.DUMMYFUNCTION("""COMPUTED_VALUE"""),1)</f>
        <v>1</v>
      </c>
      <c r="E5252" s="2">
        <f ca="1">IFERROR(__xludf.DUMMYFUNCTION("""COMPUTED_VALUE"""),1)</f>
        <v>1</v>
      </c>
    </row>
    <row r="5253" spans="1:5" ht="13">
      <c r="A5253" s="8" t="str">
        <f ca="1">IFERROR(__xludf.DUMMYFUNCTION("""COMPUTED_VALUE"""),"Marianelli, Dario")</f>
        <v>Marianelli, Dario</v>
      </c>
      <c r="B5253" s="3">
        <f ca="1">IFERROR(__xludf.DUMMYFUNCTION("""COMPUTED_VALUE"""),1)</f>
        <v>1</v>
      </c>
      <c r="C5253" s="7">
        <f ca="1">IFERROR(__xludf.DUMMYFUNCTION("""COMPUTED_VALUE"""),1)</f>
        <v>1</v>
      </c>
      <c r="D5253" s="8">
        <f ca="1">IFERROR(__xludf.DUMMYFUNCTION("""COMPUTED_VALUE"""),1)</f>
        <v>1</v>
      </c>
      <c r="E5253" s="2">
        <f ca="1">IFERROR(__xludf.DUMMYFUNCTION("""COMPUTED_VALUE"""),1)</f>
        <v>1</v>
      </c>
    </row>
    <row r="5254" spans="1:5" ht="13">
      <c r="A5254" s="2" t="str">
        <f ca="1">IFERROR(__xludf.DUMMYFUNCTION("""COMPUTED_VALUE"""),"Marini, Lou")</f>
        <v>Marini, Lou</v>
      </c>
      <c r="B5254" s="3">
        <f ca="1">IFERROR(__xludf.DUMMYFUNCTION("""COMPUTED_VALUE"""),1)</f>
        <v>1</v>
      </c>
      <c r="C5254" s="7">
        <f ca="1">IFERROR(__xludf.DUMMYFUNCTION("""COMPUTED_VALUE"""),1)</f>
        <v>1</v>
      </c>
      <c r="D5254" s="8">
        <f ca="1">IFERROR(__xludf.DUMMYFUNCTION("""COMPUTED_VALUE"""),1)</f>
        <v>1</v>
      </c>
      <c r="E5254" s="2">
        <f ca="1">IFERROR(__xludf.DUMMYFUNCTION("""COMPUTED_VALUE"""),1)</f>
        <v>1</v>
      </c>
    </row>
    <row r="5255" spans="1:5" ht="13">
      <c r="A5255" s="2" t="str">
        <f ca="1">IFERROR(__xludf.DUMMYFUNCTION("""COMPUTED_VALUE"""),"Marino, Amerigo")</f>
        <v>Marino, Amerigo</v>
      </c>
      <c r="B5255" s="2">
        <f ca="1">IFERROR(__xludf.DUMMYFUNCTION("""COMPUTED_VALUE"""),1)</f>
        <v>1</v>
      </c>
      <c r="C5255" s="2">
        <f ca="1">IFERROR(__xludf.DUMMYFUNCTION("""COMPUTED_VALUE"""),1)</f>
        <v>1</v>
      </c>
      <c r="D5255" s="8">
        <f ca="1">IFERROR(__xludf.DUMMYFUNCTION("""COMPUTED_VALUE"""),5)</f>
        <v>5</v>
      </c>
      <c r="E5255" s="2">
        <f ca="1">IFERROR(__xludf.DUMMYFUNCTION("""COMPUTED_VALUE"""),2)</f>
        <v>2</v>
      </c>
    </row>
    <row r="5256" spans="1:5" ht="13">
      <c r="A5256" s="2" t="str">
        <f ca="1">IFERROR(__xludf.DUMMYFUNCTION("""COMPUTED_VALUE"""),"Mark Lewis, Leonard")</f>
        <v>Mark Lewis, Leonard</v>
      </c>
      <c r="B5256" s="2">
        <f ca="1">IFERROR(__xludf.DUMMYFUNCTION("""COMPUTED_VALUE"""),1)</f>
        <v>1</v>
      </c>
      <c r="C5256" s="7">
        <f ca="1">IFERROR(__xludf.DUMMYFUNCTION("""COMPUTED_VALUE"""),1)</f>
        <v>1</v>
      </c>
      <c r="D5256" s="8">
        <f ca="1">IFERROR(__xludf.DUMMYFUNCTION("""COMPUTED_VALUE"""),1)</f>
        <v>1</v>
      </c>
      <c r="E5256" s="2">
        <f ca="1">IFERROR(__xludf.DUMMYFUNCTION("""COMPUTED_VALUE"""),1)</f>
        <v>1</v>
      </c>
    </row>
    <row r="5257" spans="1:5" ht="13">
      <c r="A5257" s="2" t="str">
        <f ca="1">IFERROR(__xludf.DUMMYFUNCTION("""COMPUTED_VALUE"""),"Markel, Andrew")</f>
        <v>Markel, Andrew</v>
      </c>
      <c r="B5257" s="2">
        <f ca="1">IFERROR(__xludf.DUMMYFUNCTION("""COMPUTED_VALUE"""),1)</f>
        <v>1</v>
      </c>
      <c r="C5257" s="7">
        <f ca="1">IFERROR(__xludf.DUMMYFUNCTION("""COMPUTED_VALUE"""),1)</f>
        <v>1</v>
      </c>
      <c r="D5257" s="8">
        <f ca="1">IFERROR(__xludf.DUMMYFUNCTION("""COMPUTED_VALUE"""),1)</f>
        <v>1</v>
      </c>
      <c r="E5257" s="2">
        <f ca="1">IFERROR(__xludf.DUMMYFUNCTION("""COMPUTED_VALUE"""),1)</f>
        <v>1</v>
      </c>
    </row>
    <row r="5258" spans="1:5" ht="13">
      <c r="A5258" s="2" t="str">
        <f ca="1">IFERROR(__xludf.DUMMYFUNCTION("""COMPUTED_VALUE"""),"Markes, Larry / Charles, Dick")</f>
        <v>Markes, Larry / Charles, Dick</v>
      </c>
      <c r="B5258" s="2">
        <f ca="1">IFERROR(__xludf.DUMMYFUNCTION("""COMPUTED_VALUE"""),1)</f>
        <v>1</v>
      </c>
      <c r="C5258" s="7">
        <f ca="1">IFERROR(__xludf.DUMMYFUNCTION("""COMPUTED_VALUE"""),1)</f>
        <v>1</v>
      </c>
      <c r="D5258" s="8">
        <f ca="1">IFERROR(__xludf.DUMMYFUNCTION("""COMPUTED_VALUE"""),5)</f>
        <v>5</v>
      </c>
      <c r="E5258" s="2">
        <f ca="1">IFERROR(__xludf.DUMMYFUNCTION("""COMPUTED_VALUE"""),2)</f>
        <v>2</v>
      </c>
    </row>
    <row r="5259" spans="1:5" ht="13">
      <c r="A5259" s="2" t="str">
        <f ca="1">IFERROR(__xludf.DUMMYFUNCTION("""COMPUTED_VALUE"""),"Markley, Ben")</f>
        <v>Markley, Ben</v>
      </c>
      <c r="B5259" s="3">
        <f ca="1">IFERROR(__xludf.DUMMYFUNCTION("""COMPUTED_VALUE"""),1)</f>
        <v>1</v>
      </c>
      <c r="C5259" s="7">
        <f ca="1">IFERROR(__xludf.DUMMYFUNCTION("""COMPUTED_VALUE"""),1)</f>
        <v>1</v>
      </c>
      <c r="D5259" s="8">
        <f ca="1">IFERROR(__xludf.DUMMYFUNCTION("""COMPUTED_VALUE"""),5)</f>
        <v>5</v>
      </c>
      <c r="E5259" s="2">
        <f ca="1">IFERROR(__xludf.DUMMYFUNCTION("""COMPUTED_VALUE"""),2)</f>
        <v>2</v>
      </c>
    </row>
    <row r="5260" spans="1:5" ht="13">
      <c r="A5260" s="8" t="str">
        <f ca="1">IFERROR(__xludf.DUMMYFUNCTION("""COMPUTED_VALUE"""),"Markley, Joe")</f>
        <v>Markley, Joe</v>
      </c>
      <c r="B5260" s="3">
        <f ca="1">IFERROR(__xludf.DUMMYFUNCTION("""COMPUTED_VALUE"""),1)</f>
        <v>1</v>
      </c>
      <c r="C5260" s="7">
        <f ca="1">IFERROR(__xludf.DUMMYFUNCTION("""COMPUTED_VALUE"""),1)</f>
        <v>1</v>
      </c>
      <c r="D5260" s="8">
        <f ca="1">IFERROR(__xludf.DUMMYFUNCTION("""COMPUTED_VALUE"""),1)</f>
        <v>1</v>
      </c>
      <c r="E5260" s="2">
        <f ca="1">IFERROR(__xludf.DUMMYFUNCTION("""COMPUTED_VALUE"""),1)</f>
        <v>1</v>
      </c>
    </row>
    <row r="5261" spans="1:5" ht="13">
      <c r="A5261" s="2" t="str">
        <f ca="1">IFERROR(__xludf.DUMMYFUNCTION("""COMPUTED_VALUE"""),"Markowski, Michael")</f>
        <v>Markowski, Michael</v>
      </c>
      <c r="B5261" s="3">
        <f ca="1">IFERROR(__xludf.DUMMYFUNCTION("""COMPUTED_VALUE"""),1)</f>
        <v>1</v>
      </c>
      <c r="C5261" s="7">
        <f ca="1">IFERROR(__xludf.DUMMYFUNCTION("""COMPUTED_VALUE"""),1)</f>
        <v>1</v>
      </c>
      <c r="D5261" s="8">
        <f ca="1">IFERROR(__xludf.DUMMYFUNCTION("""COMPUTED_VALUE"""),1)</f>
        <v>1</v>
      </c>
      <c r="E5261" s="2">
        <f ca="1">IFERROR(__xludf.DUMMYFUNCTION("""COMPUTED_VALUE"""),1)</f>
        <v>1</v>
      </c>
    </row>
    <row r="5262" spans="1:5" ht="13">
      <c r="A5262" s="2" t="str">
        <f ca="1">IFERROR(__xludf.DUMMYFUNCTION("""COMPUTED_VALUE"""),"Marks, Gerald / Simons, Seymour")</f>
        <v>Marks, Gerald / Simons, Seymour</v>
      </c>
      <c r="B5262" s="2">
        <f ca="1">IFERROR(__xludf.DUMMYFUNCTION("""COMPUTED_VALUE"""),1)</f>
        <v>1</v>
      </c>
      <c r="C5262" s="7">
        <f ca="1">IFERROR(__xludf.DUMMYFUNCTION("""COMPUTED_VALUE"""),1)</f>
        <v>1</v>
      </c>
      <c r="D5262" s="8">
        <f ca="1">IFERROR(__xludf.DUMMYFUNCTION("""COMPUTED_VALUE"""),5)</f>
        <v>5</v>
      </c>
      <c r="E5262" s="2">
        <f ca="1">IFERROR(__xludf.DUMMYFUNCTION("""COMPUTED_VALUE"""),2)</f>
        <v>2</v>
      </c>
    </row>
    <row r="5263" spans="1:5" ht="13">
      <c r="A5263" s="2" t="str">
        <f ca="1">IFERROR(__xludf.DUMMYFUNCTION("""COMPUTED_VALUE"""),"Marks, Johnny")</f>
        <v>Marks, Johnny</v>
      </c>
      <c r="B5263" s="2">
        <f ca="1">IFERROR(__xludf.DUMMYFUNCTION("""COMPUTED_VALUE"""),1)</f>
        <v>1</v>
      </c>
      <c r="C5263" s="7">
        <f ca="1">IFERROR(__xludf.DUMMYFUNCTION("""COMPUTED_VALUE"""),1)</f>
        <v>1</v>
      </c>
      <c r="D5263" s="8">
        <f ca="1">IFERROR(__xludf.DUMMYFUNCTION("""COMPUTED_VALUE"""),5)</f>
        <v>5</v>
      </c>
      <c r="E5263" s="2">
        <f ca="1">IFERROR(__xludf.DUMMYFUNCTION("""COMPUTED_VALUE"""),2)</f>
        <v>2</v>
      </c>
    </row>
    <row r="5264" spans="1:5" ht="13">
      <c r="A5264" s="2" t="str">
        <f ca="1">IFERROR(__xludf.DUMMYFUNCTION("""COMPUTED_VALUE"""),"Marlatt, David")</f>
        <v>Marlatt, David</v>
      </c>
      <c r="B5264" s="3">
        <f ca="1">IFERROR(__xludf.DUMMYFUNCTION("""COMPUTED_VALUE"""),1)</f>
        <v>1</v>
      </c>
      <c r="C5264" s="7">
        <f ca="1">IFERROR(__xludf.DUMMYFUNCTION("""COMPUTED_VALUE"""),1)</f>
        <v>1</v>
      </c>
      <c r="D5264" s="8">
        <f ca="1">IFERROR(__xludf.DUMMYFUNCTION("""COMPUTED_VALUE"""),1)</f>
        <v>1</v>
      </c>
      <c r="E5264" s="2">
        <f ca="1">IFERROR(__xludf.DUMMYFUNCTION("""COMPUTED_VALUE"""),1)</f>
        <v>1</v>
      </c>
    </row>
    <row r="5265" spans="1:5" ht="13">
      <c r="A5265" s="2" t="str">
        <f ca="1">IFERROR(__xludf.DUMMYFUNCTION("""COMPUTED_VALUE"""),"Maroney, Marcus")</f>
        <v>Maroney, Marcus</v>
      </c>
      <c r="B5265" s="3">
        <f ca="1">IFERROR(__xludf.DUMMYFUNCTION("""COMPUTED_VALUE"""),1)</f>
        <v>1</v>
      </c>
      <c r="C5265" s="7">
        <f ca="1">IFERROR(__xludf.DUMMYFUNCTION("""COMPUTED_VALUE"""),1)</f>
        <v>1</v>
      </c>
      <c r="D5265" s="8">
        <f ca="1">IFERROR(__xludf.DUMMYFUNCTION("""COMPUTED_VALUE"""),1)</f>
        <v>1</v>
      </c>
      <c r="E5265" s="2">
        <f ca="1">IFERROR(__xludf.DUMMYFUNCTION("""COMPUTED_VALUE"""),1)</f>
        <v>1</v>
      </c>
    </row>
    <row r="5266" spans="1:5" ht="13">
      <c r="A5266" s="8" t="str">
        <f ca="1">IFERROR(__xludf.DUMMYFUNCTION("""COMPUTED_VALUE"""),"Maros, Rudolf")</f>
        <v>Maros, Rudolf</v>
      </c>
      <c r="B5266" s="3">
        <f ca="1">IFERROR(__xludf.DUMMYFUNCTION("""COMPUTED_VALUE"""),1)</f>
        <v>1</v>
      </c>
      <c r="C5266" s="7">
        <f ca="1">IFERROR(__xludf.DUMMYFUNCTION("""COMPUTED_VALUE"""),1)</f>
        <v>1</v>
      </c>
      <c r="D5266" s="8">
        <f ca="1">IFERROR(__xludf.DUMMYFUNCTION("""COMPUTED_VALUE"""),5)</f>
        <v>5</v>
      </c>
      <c r="E5266" s="2">
        <f ca="1">IFERROR(__xludf.DUMMYFUNCTION("""COMPUTED_VALUE"""),2)</f>
        <v>2</v>
      </c>
    </row>
    <row r="5267" spans="1:5" ht="13">
      <c r="A5267" s="8" t="str">
        <f ca="1">IFERROR(__xludf.DUMMYFUNCTION("""COMPUTED_VALUE"""),"Marpurg, Friedrich W.")</f>
        <v>Marpurg, Friedrich W.</v>
      </c>
      <c r="B5267" s="2">
        <f ca="1">IFERROR(__xludf.DUMMYFUNCTION("""COMPUTED_VALUE"""),1)</f>
        <v>1</v>
      </c>
      <c r="C5267" s="7">
        <f ca="1">IFERROR(__xludf.DUMMYFUNCTION("""COMPUTED_VALUE"""),1)</f>
        <v>1</v>
      </c>
      <c r="D5267" s="8">
        <f ca="1">IFERROR(__xludf.DUMMYFUNCTION("""COMPUTED_VALUE"""),5)</f>
        <v>5</v>
      </c>
      <c r="E5267" s="2">
        <f ca="1">IFERROR(__xludf.DUMMYFUNCTION("""COMPUTED_VALUE"""),2)</f>
        <v>2</v>
      </c>
    </row>
    <row r="5268" spans="1:5" ht="13">
      <c r="A5268" s="2" t="str">
        <f ca="1">IFERROR(__xludf.DUMMYFUNCTION("""COMPUTED_VALUE"""),"Marques, Carlos")</f>
        <v>Marques, Carlos</v>
      </c>
      <c r="B5268" s="3">
        <f ca="1">IFERROR(__xludf.DUMMYFUNCTION("""COMPUTED_VALUE"""),1)</f>
        <v>1</v>
      </c>
      <c r="C5268" s="7">
        <f ca="1">IFERROR(__xludf.DUMMYFUNCTION("""COMPUTED_VALUE"""),1)</f>
        <v>1</v>
      </c>
      <c r="D5268" s="8">
        <f ca="1">IFERROR(__xludf.DUMMYFUNCTION("""COMPUTED_VALUE"""),1)</f>
        <v>1</v>
      </c>
      <c r="E5268" s="2">
        <f ca="1">IFERROR(__xludf.DUMMYFUNCTION("""COMPUTED_VALUE"""),1)</f>
        <v>1</v>
      </c>
    </row>
    <row r="5269" spans="1:5" ht="13">
      <c r="A5269" s="2" t="str">
        <f ca="1">IFERROR(__xludf.DUMMYFUNCTION("""COMPUTED_VALUE"""),"Marquina, Pascual")</f>
        <v>Marquina, Pascual</v>
      </c>
      <c r="B5269" s="3">
        <f ca="1">IFERROR(__xludf.DUMMYFUNCTION("""COMPUTED_VALUE"""),1)</f>
        <v>1</v>
      </c>
      <c r="C5269" s="7">
        <f ca="1">IFERROR(__xludf.DUMMYFUNCTION("""COMPUTED_VALUE"""),1)</f>
        <v>1</v>
      </c>
      <c r="D5269" s="8">
        <f ca="1">IFERROR(__xludf.DUMMYFUNCTION("""COMPUTED_VALUE"""),5)</f>
        <v>5</v>
      </c>
      <c r="E5269" s="2">
        <f ca="1">IFERROR(__xludf.DUMMYFUNCTION("""COMPUTED_VALUE"""),2)</f>
        <v>2</v>
      </c>
    </row>
    <row r="5270" spans="1:5" ht="13">
      <c r="A5270" s="2" t="str">
        <f ca="1">IFERROR(__xludf.DUMMYFUNCTION("""COMPUTED_VALUE"""),"Marschner, Adolf")</f>
        <v>Marschner, Adolf</v>
      </c>
      <c r="B5270" s="3">
        <f ca="1">IFERROR(__xludf.DUMMYFUNCTION("""COMPUTED_VALUE"""),1)</f>
        <v>1</v>
      </c>
      <c r="C5270" s="7">
        <f ca="1">IFERROR(__xludf.DUMMYFUNCTION("""COMPUTED_VALUE"""),1)</f>
        <v>1</v>
      </c>
      <c r="D5270" s="8">
        <f ca="1">IFERROR(__xludf.DUMMYFUNCTION("""COMPUTED_VALUE"""),5)</f>
        <v>5</v>
      </c>
      <c r="E5270" s="2">
        <f ca="1">IFERROR(__xludf.DUMMYFUNCTION("""COMPUTED_VALUE"""),2)</f>
        <v>2</v>
      </c>
    </row>
    <row r="5271" spans="1:5" ht="13">
      <c r="A5271" s="2" t="str">
        <f ca="1">IFERROR(__xludf.DUMMYFUNCTION("""COMPUTED_VALUE"""),"Marsena, Paul")</f>
        <v>Marsena, Paul</v>
      </c>
      <c r="B5271" s="3">
        <f ca="1">IFERROR(__xludf.DUMMYFUNCTION("""COMPUTED_VALUE"""),1)</f>
        <v>1</v>
      </c>
      <c r="C5271" s="7">
        <f ca="1">IFERROR(__xludf.DUMMYFUNCTION("""COMPUTED_VALUE"""),1)</f>
        <v>1</v>
      </c>
      <c r="D5271" s="8">
        <f ca="1">IFERROR(__xludf.DUMMYFUNCTION("""COMPUTED_VALUE"""),5)</f>
        <v>5</v>
      </c>
      <c r="E5271" s="2">
        <f ca="1">IFERROR(__xludf.DUMMYFUNCTION("""COMPUTED_VALUE"""),2)</f>
        <v>2</v>
      </c>
    </row>
    <row r="5272" spans="1:5" ht="13">
      <c r="A5272" s="2" t="str">
        <f ca="1">IFERROR(__xludf.DUMMYFUNCTION("""COMPUTED_VALUE"""),"Marsh, Carl")</f>
        <v>Marsh, Carl</v>
      </c>
      <c r="B5272" s="3">
        <f ca="1">IFERROR(__xludf.DUMMYFUNCTION("""COMPUTED_VALUE"""),1)</f>
        <v>1</v>
      </c>
      <c r="C5272" s="7">
        <f ca="1">IFERROR(__xludf.DUMMYFUNCTION("""COMPUTED_VALUE"""),1)</f>
        <v>1</v>
      </c>
      <c r="D5272" s="8">
        <f ca="1">IFERROR(__xludf.DUMMYFUNCTION("""COMPUTED_VALUE"""),1)</f>
        <v>1</v>
      </c>
      <c r="E5272" s="2">
        <f ca="1">IFERROR(__xludf.DUMMYFUNCTION("""COMPUTED_VALUE"""),1)</f>
        <v>1</v>
      </c>
    </row>
    <row r="5273" spans="1:5" ht="13">
      <c r="A5273" s="2" t="str">
        <f ca="1">IFERROR(__xludf.DUMMYFUNCTION("""COMPUTED_VALUE"""),"Marsh, Don")</f>
        <v>Marsh, Don</v>
      </c>
      <c r="B5273" s="3">
        <f ca="1">IFERROR(__xludf.DUMMYFUNCTION("""COMPUTED_VALUE"""),1)</f>
        <v>1</v>
      </c>
      <c r="C5273" s="7">
        <f ca="1">IFERROR(__xludf.DUMMYFUNCTION("""COMPUTED_VALUE"""),1)</f>
        <v>1</v>
      </c>
      <c r="D5273" s="8">
        <f ca="1">IFERROR(__xludf.DUMMYFUNCTION("""COMPUTED_VALUE"""),5)</f>
        <v>5</v>
      </c>
      <c r="E5273" s="2">
        <f ca="1">IFERROR(__xludf.DUMMYFUNCTION("""COMPUTED_VALUE"""),2)</f>
        <v>2</v>
      </c>
    </row>
    <row r="5274" spans="1:5" ht="13">
      <c r="A5274" s="2" t="str">
        <f ca="1">IFERROR(__xludf.DUMMYFUNCTION("""COMPUTED_VALUE"""),"Marsh, Gerry Jon")</f>
        <v>Marsh, Gerry Jon</v>
      </c>
      <c r="B5274" s="3">
        <f ca="1">IFERROR(__xludf.DUMMYFUNCTION("""COMPUTED_VALUE"""),1)</f>
        <v>1</v>
      </c>
      <c r="C5274" s="7">
        <f ca="1">IFERROR(__xludf.DUMMYFUNCTION("""COMPUTED_VALUE"""),1)</f>
        <v>1</v>
      </c>
      <c r="D5274" s="8">
        <f ca="1">IFERROR(__xludf.DUMMYFUNCTION("""COMPUTED_VALUE"""),1)</f>
        <v>1</v>
      </c>
      <c r="E5274" s="2">
        <f ca="1">IFERROR(__xludf.DUMMYFUNCTION("""COMPUTED_VALUE"""),1)</f>
        <v>1</v>
      </c>
    </row>
    <row r="5275" spans="1:5" ht="13">
      <c r="A5275" s="2" t="str">
        <f ca="1">IFERROR(__xludf.DUMMYFUNCTION("""COMPUTED_VALUE"""),"Marsh, John")</f>
        <v>Marsh, John</v>
      </c>
      <c r="B5275" s="3">
        <f ca="1">IFERROR(__xludf.DUMMYFUNCTION("""COMPUTED_VALUE"""),1)</f>
        <v>1</v>
      </c>
      <c r="C5275" s="7">
        <f ca="1">IFERROR(__xludf.DUMMYFUNCTION("""COMPUTED_VALUE"""),1)</f>
        <v>1</v>
      </c>
      <c r="D5275" s="8">
        <f ca="1">IFERROR(__xludf.DUMMYFUNCTION("""COMPUTED_VALUE"""),5)</f>
        <v>5</v>
      </c>
      <c r="E5275" s="2">
        <f ca="1">IFERROR(__xludf.DUMMYFUNCTION("""COMPUTED_VALUE"""),2)</f>
        <v>2</v>
      </c>
    </row>
    <row r="5276" spans="1:5" ht="13">
      <c r="A5276" s="2" t="str">
        <f ca="1">IFERROR(__xludf.DUMMYFUNCTION("""COMPUTED_VALUE"""),"Marshall, Christopher")</f>
        <v>Marshall, Christopher</v>
      </c>
      <c r="B5276" s="3">
        <f ca="1">IFERROR(__xludf.DUMMYFUNCTION("""COMPUTED_VALUE"""),1)</f>
        <v>1</v>
      </c>
      <c r="C5276" s="7">
        <f ca="1">IFERROR(__xludf.DUMMYFUNCTION("""COMPUTED_VALUE"""),1)</f>
        <v>1</v>
      </c>
      <c r="D5276" s="8">
        <f ca="1">IFERROR(__xludf.DUMMYFUNCTION("""COMPUTED_VALUE"""),1)</f>
        <v>1</v>
      </c>
      <c r="E5276" s="2">
        <f ca="1">IFERROR(__xludf.DUMMYFUNCTION("""COMPUTED_VALUE"""),1)</f>
        <v>1</v>
      </c>
    </row>
    <row r="5277" spans="1:5" ht="13">
      <c r="A5277" s="2" t="str">
        <f ca="1">IFERROR(__xludf.DUMMYFUNCTION("""COMPUTED_VALUE"""),"Marshall, Henry")</f>
        <v>Marshall, Henry</v>
      </c>
      <c r="B5277" s="2">
        <f ca="1">IFERROR(__xludf.DUMMYFUNCTION("""COMPUTED_VALUE"""),1)</f>
        <v>1</v>
      </c>
      <c r="C5277" s="7">
        <f ca="1">IFERROR(__xludf.DUMMYFUNCTION("""COMPUTED_VALUE"""),1)</f>
        <v>1</v>
      </c>
      <c r="D5277" s="8">
        <f ca="1">IFERROR(__xludf.DUMMYFUNCTION("""COMPUTED_VALUE"""),5)</f>
        <v>5</v>
      </c>
      <c r="E5277" s="2">
        <f ca="1">IFERROR(__xludf.DUMMYFUNCTION("""COMPUTED_VALUE"""),2)</f>
        <v>2</v>
      </c>
    </row>
    <row r="5278" spans="1:5" ht="13">
      <c r="A5278" s="2" t="str">
        <f ca="1">IFERROR(__xludf.DUMMYFUNCTION("""COMPUTED_VALUE"""),"Marshall, Henry / Murphy, Stanley")</f>
        <v>Marshall, Henry / Murphy, Stanley</v>
      </c>
      <c r="B5278" s="2">
        <f ca="1">IFERROR(__xludf.DUMMYFUNCTION("""COMPUTED_VALUE"""),1)</f>
        <v>1</v>
      </c>
      <c r="C5278" s="7">
        <f ca="1">IFERROR(__xludf.DUMMYFUNCTION("""COMPUTED_VALUE"""),1)</f>
        <v>1</v>
      </c>
      <c r="D5278" s="8">
        <f ca="1">IFERROR(__xludf.DUMMYFUNCTION("""COMPUTED_VALUE"""),5)</f>
        <v>5</v>
      </c>
      <c r="E5278" s="2">
        <f ca="1">IFERROR(__xludf.DUMMYFUNCTION("""COMPUTED_VALUE"""),2)</f>
        <v>2</v>
      </c>
    </row>
    <row r="5279" spans="1:5" ht="13">
      <c r="A5279" s="2" t="str">
        <f ca="1">IFERROR(__xludf.DUMMYFUNCTION("""COMPUTED_VALUE"""),"Marshall, Ingram")</f>
        <v>Marshall, Ingram</v>
      </c>
      <c r="B5279" s="3">
        <f ca="1">IFERROR(__xludf.DUMMYFUNCTION("""COMPUTED_VALUE"""),1)</f>
        <v>1</v>
      </c>
      <c r="C5279" s="7">
        <f ca="1">IFERROR(__xludf.DUMMYFUNCTION("""COMPUTED_VALUE"""),1)</f>
        <v>1</v>
      </c>
      <c r="D5279" s="8">
        <f ca="1">IFERROR(__xludf.DUMMYFUNCTION("""COMPUTED_VALUE"""),1)</f>
        <v>1</v>
      </c>
      <c r="E5279" s="2">
        <f ca="1">IFERROR(__xludf.DUMMYFUNCTION("""COMPUTED_VALUE"""),1)</f>
        <v>1</v>
      </c>
    </row>
    <row r="5280" spans="1:5" ht="13">
      <c r="A5280" s="8" t="str">
        <f ca="1">IFERROR(__xludf.DUMMYFUNCTION("""COMPUTED_VALUE"""),"Martens, Mason")</f>
        <v>Martens, Mason</v>
      </c>
      <c r="B5280" s="3">
        <f ca="1">IFERROR(__xludf.DUMMYFUNCTION("""COMPUTED_VALUE"""),1)</f>
        <v>1</v>
      </c>
      <c r="C5280" s="7">
        <f ca="1">IFERROR(__xludf.DUMMYFUNCTION("""COMPUTED_VALUE"""),1)</f>
        <v>1</v>
      </c>
      <c r="D5280" s="8">
        <f ca="1">IFERROR(__xludf.DUMMYFUNCTION("""COMPUTED_VALUE"""),1)</f>
        <v>1</v>
      </c>
      <c r="E5280" s="2">
        <f ca="1">IFERROR(__xludf.DUMMYFUNCTION("""COMPUTED_VALUE"""),1)</f>
        <v>1</v>
      </c>
    </row>
    <row r="5281" spans="1:5" ht="13">
      <c r="A5281" s="2" t="str">
        <f ca="1">IFERROR(__xludf.DUMMYFUNCTION("""COMPUTED_VALUE"""),"Martens, Mason / Leavitt, John")</f>
        <v>Martens, Mason / Leavitt, John</v>
      </c>
      <c r="B5281" s="3">
        <f ca="1">IFERROR(__xludf.DUMMYFUNCTION("""COMPUTED_VALUE"""),1)</f>
        <v>1</v>
      </c>
      <c r="C5281" s="7">
        <f ca="1">IFERROR(__xludf.DUMMYFUNCTION("""COMPUTED_VALUE"""),1)</f>
        <v>1</v>
      </c>
      <c r="D5281" s="8">
        <f ca="1">IFERROR(__xludf.DUMMYFUNCTION("""COMPUTED_VALUE"""),1)</f>
        <v>1</v>
      </c>
      <c r="E5281" s="2">
        <f ca="1">IFERROR(__xludf.DUMMYFUNCTION("""COMPUTED_VALUE"""),1)</f>
        <v>1</v>
      </c>
    </row>
    <row r="5282" spans="1:5" ht="13">
      <c r="A5282" s="2" t="str">
        <f ca="1">IFERROR(__xludf.DUMMYFUNCTION("""COMPUTED_VALUE"""),"Martín Y Coll, Antonio")</f>
        <v>Martín Y Coll, Antonio</v>
      </c>
      <c r="B5282" s="3">
        <f ca="1">IFERROR(__xludf.DUMMYFUNCTION("""COMPUTED_VALUE"""),1)</f>
        <v>1</v>
      </c>
      <c r="C5282" s="7">
        <f ca="1">IFERROR(__xludf.DUMMYFUNCTION("""COMPUTED_VALUE"""),1)</f>
        <v>1</v>
      </c>
      <c r="D5282" s="8">
        <f ca="1">IFERROR(__xludf.DUMMYFUNCTION("""COMPUTED_VALUE"""),5)</f>
        <v>5</v>
      </c>
      <c r="E5282" s="2">
        <f ca="1">IFERROR(__xludf.DUMMYFUNCTION("""COMPUTED_VALUE"""),2)</f>
        <v>2</v>
      </c>
    </row>
    <row r="5283" spans="1:5" ht="13">
      <c r="A5283" s="2" t="str">
        <f ca="1">IFERROR(__xludf.DUMMYFUNCTION("""COMPUTED_VALUE"""),"Martín y Soler, Vicente")</f>
        <v>Martín y Soler, Vicente</v>
      </c>
      <c r="B5283" s="3">
        <f ca="1">IFERROR(__xludf.DUMMYFUNCTION("""COMPUTED_VALUE"""),1)</f>
        <v>1</v>
      </c>
      <c r="C5283" s="7">
        <f ca="1">IFERROR(__xludf.DUMMYFUNCTION("""COMPUTED_VALUE"""),1)</f>
        <v>1</v>
      </c>
      <c r="D5283" s="8">
        <f ca="1">IFERROR(__xludf.DUMMYFUNCTION("""COMPUTED_VALUE"""),5)</f>
        <v>5</v>
      </c>
      <c r="E5283" s="2">
        <f ca="1">IFERROR(__xludf.DUMMYFUNCTION("""COMPUTED_VALUE"""),2)</f>
        <v>2</v>
      </c>
    </row>
    <row r="5284" spans="1:5" ht="13">
      <c r="A5284" s="2" t="str">
        <f ca="1">IFERROR(__xludf.DUMMYFUNCTION("""COMPUTED_VALUE"""),"Martin, Casey")</f>
        <v>Martin, Casey</v>
      </c>
      <c r="B5284" s="3">
        <f ca="1">IFERROR(__xludf.DUMMYFUNCTION("""COMPUTED_VALUE"""),1)</f>
        <v>1</v>
      </c>
      <c r="C5284" s="7">
        <f ca="1">IFERROR(__xludf.DUMMYFUNCTION("""COMPUTED_VALUE"""),1)</f>
        <v>1</v>
      </c>
      <c r="D5284" s="8">
        <f ca="1">IFERROR(__xludf.DUMMYFUNCTION("""COMPUTED_VALUE"""),1)</f>
        <v>1</v>
      </c>
      <c r="E5284" s="2">
        <f ca="1">IFERROR(__xludf.DUMMYFUNCTION("""COMPUTED_VALUE"""),1)</f>
        <v>1</v>
      </c>
    </row>
    <row r="5285" spans="1:5" ht="13">
      <c r="A5285" s="2" t="str">
        <f ca="1">IFERROR(__xludf.DUMMYFUNCTION("""COMPUTED_VALUE"""),"Martin, David M.")</f>
        <v>Martin, David M.</v>
      </c>
      <c r="B5285" s="3">
        <f ca="1">IFERROR(__xludf.DUMMYFUNCTION("""COMPUTED_VALUE"""),1)</f>
        <v>1</v>
      </c>
      <c r="C5285" s="7">
        <f ca="1">IFERROR(__xludf.DUMMYFUNCTION("""COMPUTED_VALUE"""),1)</f>
        <v>1</v>
      </c>
      <c r="D5285" s="8">
        <f ca="1">IFERROR(__xludf.DUMMYFUNCTION("""COMPUTED_VALUE"""),1)</f>
        <v>1</v>
      </c>
      <c r="E5285" s="2">
        <f ca="1">IFERROR(__xludf.DUMMYFUNCTION("""COMPUTED_VALUE"""),1)</f>
        <v>1</v>
      </c>
    </row>
    <row r="5286" spans="1:5" ht="13">
      <c r="A5286" s="2" t="str">
        <f ca="1">IFERROR(__xludf.DUMMYFUNCTION("""COMPUTED_VALUE"""),"Martin, Easthope")</f>
        <v>Martin, Easthope</v>
      </c>
      <c r="B5286" s="3">
        <f ca="1">IFERROR(__xludf.DUMMYFUNCTION("""COMPUTED_VALUE"""),1)</f>
        <v>1</v>
      </c>
      <c r="C5286" s="7">
        <f ca="1">IFERROR(__xludf.DUMMYFUNCTION("""COMPUTED_VALUE"""),1)</f>
        <v>1</v>
      </c>
      <c r="D5286" s="8">
        <f ca="1">IFERROR(__xludf.DUMMYFUNCTION("""COMPUTED_VALUE"""),5)</f>
        <v>5</v>
      </c>
      <c r="E5286" s="2">
        <f ca="1">IFERROR(__xludf.DUMMYFUNCTION("""COMPUTED_VALUE"""),2)</f>
        <v>2</v>
      </c>
    </row>
    <row r="5287" spans="1:5" ht="13">
      <c r="A5287" s="2" t="str">
        <f ca="1">IFERROR(__xludf.DUMMYFUNCTION("""COMPUTED_VALUE"""),"Martin, Frank")</f>
        <v>Martin, Frank</v>
      </c>
      <c r="B5287" s="3">
        <f ca="1">IFERROR(__xludf.DUMMYFUNCTION("""COMPUTED_VALUE"""),1)</f>
        <v>1</v>
      </c>
      <c r="C5287" s="7">
        <f ca="1">IFERROR(__xludf.DUMMYFUNCTION("""COMPUTED_VALUE"""),1)</f>
        <v>1</v>
      </c>
      <c r="D5287" s="8">
        <f ca="1">IFERROR(__xludf.DUMMYFUNCTION("""COMPUTED_VALUE"""),5)</f>
        <v>5</v>
      </c>
      <c r="E5287" s="2">
        <f ca="1">IFERROR(__xludf.DUMMYFUNCTION("""COMPUTED_VALUE"""),2)</f>
        <v>2</v>
      </c>
    </row>
    <row r="5288" spans="1:5" ht="13">
      <c r="A5288" s="2" t="str">
        <f ca="1">IFERROR(__xludf.DUMMYFUNCTION("""COMPUTED_VALUE"""),"Martin, Gilbert")</f>
        <v>Martin, Gilbert</v>
      </c>
      <c r="B5288" s="3">
        <f ca="1">IFERROR(__xludf.DUMMYFUNCTION("""COMPUTED_VALUE"""),1)</f>
        <v>1</v>
      </c>
      <c r="C5288" s="7">
        <f ca="1">IFERROR(__xludf.DUMMYFUNCTION("""COMPUTED_VALUE"""),1)</f>
        <v>1</v>
      </c>
      <c r="D5288" s="8">
        <f ca="1">IFERROR(__xludf.DUMMYFUNCTION("""COMPUTED_VALUE"""),1)</f>
        <v>1</v>
      </c>
      <c r="E5288" s="2">
        <f ca="1">IFERROR(__xludf.DUMMYFUNCTION("""COMPUTED_VALUE"""),1)</f>
        <v>1</v>
      </c>
    </row>
    <row r="5289" spans="1:5" ht="13">
      <c r="A5289" s="2" t="str">
        <f ca="1">IFERROR(__xludf.DUMMYFUNCTION("""COMPUTED_VALUE"""),"Martin, Hugh / Blane, Ralph")</f>
        <v>Martin, Hugh / Blane, Ralph</v>
      </c>
      <c r="B5289" s="3">
        <f ca="1">IFERROR(__xludf.DUMMYFUNCTION("""COMPUTED_VALUE"""),1)</f>
        <v>1</v>
      </c>
      <c r="C5289" s="7">
        <f ca="1">IFERROR(__xludf.DUMMYFUNCTION("""COMPUTED_VALUE"""),1)</f>
        <v>1</v>
      </c>
      <c r="D5289" s="8">
        <f ca="1">IFERROR(__xludf.DUMMYFUNCTION("""COMPUTED_VALUE"""),5)</f>
        <v>5</v>
      </c>
      <c r="E5289" s="2">
        <f ca="1">IFERROR(__xludf.DUMMYFUNCTION("""COMPUTED_VALUE"""),2)</f>
        <v>2</v>
      </c>
    </row>
    <row r="5290" spans="1:5" ht="13">
      <c r="A5290" s="2" t="str">
        <f ca="1">IFERROR(__xludf.DUMMYFUNCTION("""COMPUTED_VALUE"""),"Martin, Hugh and Blane, Ralph")</f>
        <v>Martin, Hugh and Blane, Ralph</v>
      </c>
      <c r="B5290" s="3">
        <f ca="1">IFERROR(__xludf.DUMMYFUNCTION("""COMPUTED_VALUE"""),1)</f>
        <v>1</v>
      </c>
      <c r="C5290" s="7">
        <f ca="1">IFERROR(__xludf.DUMMYFUNCTION("""COMPUTED_VALUE"""),1)</f>
        <v>1</v>
      </c>
      <c r="D5290" s="8">
        <f ca="1">IFERROR(__xludf.DUMMYFUNCTION("""COMPUTED_VALUE"""),5)</f>
        <v>5</v>
      </c>
      <c r="E5290" s="2">
        <f ca="1">IFERROR(__xludf.DUMMYFUNCTION("""COMPUTED_VALUE"""),2)</f>
        <v>2</v>
      </c>
    </row>
    <row r="5291" spans="1:5" ht="13">
      <c r="A5291" s="2" t="str">
        <f ca="1">IFERROR(__xludf.DUMMYFUNCTION("""COMPUTED_VALUE"""),"Martin, Ivor")</f>
        <v>Martin, Ivor</v>
      </c>
      <c r="B5291" s="3">
        <f ca="1">IFERROR(__xludf.DUMMYFUNCTION("""COMPUTED_VALUE"""),1)</f>
        <v>1</v>
      </c>
      <c r="C5291" s="7">
        <f ca="1">IFERROR(__xludf.DUMMYFUNCTION("""COMPUTED_VALUE"""),1)</f>
        <v>1</v>
      </c>
      <c r="D5291" s="8">
        <f ca="1">IFERROR(__xludf.DUMMYFUNCTION("""COMPUTED_VALUE"""),1)</f>
        <v>1</v>
      </c>
      <c r="E5291" s="2">
        <f ca="1">IFERROR(__xludf.DUMMYFUNCTION("""COMPUTED_VALUE"""),1)</f>
        <v>1</v>
      </c>
    </row>
    <row r="5292" spans="1:5" ht="13">
      <c r="A5292" s="2" t="str">
        <f ca="1">IFERROR(__xludf.DUMMYFUNCTION("""COMPUTED_VALUE"""),"Martin, Jeff")</f>
        <v>Martin, Jeff</v>
      </c>
      <c r="B5292" s="3">
        <f ca="1">IFERROR(__xludf.DUMMYFUNCTION("""COMPUTED_VALUE"""),1)</f>
        <v>1</v>
      </c>
      <c r="C5292" s="7">
        <f ca="1">IFERROR(__xludf.DUMMYFUNCTION("""COMPUTED_VALUE"""),1)</f>
        <v>1</v>
      </c>
      <c r="D5292" s="8">
        <f ca="1">IFERROR(__xludf.DUMMYFUNCTION("""COMPUTED_VALUE"""),1)</f>
        <v>1</v>
      </c>
      <c r="E5292" s="2">
        <f ca="1">IFERROR(__xludf.DUMMYFUNCTION("""COMPUTED_VALUE"""),1)</f>
        <v>1</v>
      </c>
    </row>
    <row r="5293" spans="1:5" ht="13">
      <c r="A5293" s="2" t="str">
        <f ca="1">IFERROR(__xludf.DUMMYFUNCTION("""COMPUTED_VALUE"""),"Martin, Jeremy")</f>
        <v>Martin, Jeremy</v>
      </c>
      <c r="B5293" s="3">
        <f ca="1">IFERROR(__xludf.DUMMYFUNCTION("""COMPUTED_VALUE"""),1)</f>
        <v>1</v>
      </c>
      <c r="C5293" s="7">
        <f ca="1">IFERROR(__xludf.DUMMYFUNCTION("""COMPUTED_VALUE"""),1)</f>
        <v>1</v>
      </c>
      <c r="D5293" s="8">
        <f ca="1">IFERROR(__xludf.DUMMYFUNCTION("""COMPUTED_VALUE"""),1)</f>
        <v>1</v>
      </c>
      <c r="E5293" s="2">
        <f ca="1">IFERROR(__xludf.DUMMYFUNCTION("""COMPUTED_VALUE"""),1)</f>
        <v>1</v>
      </c>
    </row>
    <row r="5294" spans="1:5" ht="13">
      <c r="A5294" s="2" t="str">
        <f ca="1">IFERROR(__xludf.DUMMYFUNCTION("""COMPUTED_VALUE"""),"Martin, Jeremy S.")</f>
        <v>Martin, Jeremy S.</v>
      </c>
      <c r="B5294" s="3">
        <f ca="1">IFERROR(__xludf.DUMMYFUNCTION("""COMPUTED_VALUE"""),1)</f>
        <v>1</v>
      </c>
      <c r="C5294" s="7">
        <f ca="1">IFERROR(__xludf.DUMMYFUNCTION("""COMPUTED_VALUE"""),1)</f>
        <v>1</v>
      </c>
      <c r="D5294" s="8">
        <f ca="1">IFERROR(__xludf.DUMMYFUNCTION("""COMPUTED_VALUE"""),1)</f>
        <v>1</v>
      </c>
      <c r="E5294" s="2">
        <f ca="1">IFERROR(__xludf.DUMMYFUNCTION("""COMPUTED_VALUE"""),1)</f>
        <v>1</v>
      </c>
    </row>
    <row r="5295" spans="1:5" ht="13">
      <c r="A5295" s="2" t="str">
        <f ca="1">IFERROR(__xludf.DUMMYFUNCTION("""COMPUTED_VALUE"""),"Martin, Jim")</f>
        <v>Martin, Jim</v>
      </c>
      <c r="B5295" s="3">
        <f ca="1">IFERROR(__xludf.DUMMYFUNCTION("""COMPUTED_VALUE"""),1)</f>
        <v>1</v>
      </c>
      <c r="C5295" s="7">
        <f ca="1">IFERROR(__xludf.DUMMYFUNCTION("""COMPUTED_VALUE"""),1)</f>
        <v>1</v>
      </c>
      <c r="D5295" s="8">
        <f ca="1">IFERROR(__xludf.DUMMYFUNCTION("""COMPUTED_VALUE"""),1)</f>
        <v>1</v>
      </c>
      <c r="E5295" s="2">
        <f ca="1">IFERROR(__xludf.DUMMYFUNCTION("""COMPUTED_VALUE"""),1)</f>
        <v>1</v>
      </c>
    </row>
    <row r="5296" spans="1:5" ht="13">
      <c r="A5296" s="2" t="str">
        <f ca="1">IFERROR(__xludf.DUMMYFUNCTION("""COMPUTED_VALUE"""),"Martin, Joseph")</f>
        <v>Martin, Joseph</v>
      </c>
      <c r="B5296" s="3">
        <f ca="1">IFERROR(__xludf.DUMMYFUNCTION("""COMPUTED_VALUE"""),1)</f>
        <v>1</v>
      </c>
      <c r="C5296" s="7">
        <f ca="1">IFERROR(__xludf.DUMMYFUNCTION("""COMPUTED_VALUE"""),1)</f>
        <v>1</v>
      </c>
      <c r="D5296" s="8">
        <f ca="1">IFERROR(__xludf.DUMMYFUNCTION("""COMPUTED_VALUE"""),1)</f>
        <v>1</v>
      </c>
      <c r="E5296" s="2">
        <f ca="1">IFERROR(__xludf.DUMMYFUNCTION("""COMPUTED_VALUE"""),1)</f>
        <v>1</v>
      </c>
    </row>
    <row r="5297" spans="1:5" ht="13">
      <c r="A5297" s="2" t="str">
        <f ca="1">IFERROR(__xludf.DUMMYFUNCTION("""COMPUTED_VALUE"""),"Martin, Joseph / Parker, John")</f>
        <v>Martin, Joseph / Parker, John</v>
      </c>
      <c r="B5297" s="3">
        <f ca="1">IFERROR(__xludf.DUMMYFUNCTION("""COMPUTED_VALUE"""),1)</f>
        <v>1</v>
      </c>
      <c r="C5297" s="7">
        <f ca="1">IFERROR(__xludf.DUMMYFUNCTION("""COMPUTED_VALUE"""),1)</f>
        <v>1</v>
      </c>
      <c r="D5297" s="8">
        <f ca="1">IFERROR(__xludf.DUMMYFUNCTION("""COMPUTED_VALUE"""),5)</f>
        <v>5</v>
      </c>
      <c r="E5297" s="2">
        <f ca="1">IFERROR(__xludf.DUMMYFUNCTION("""COMPUTED_VALUE"""),2)</f>
        <v>2</v>
      </c>
    </row>
    <row r="5298" spans="1:5" ht="13">
      <c r="A5298" s="8" t="str">
        <f ca="1">IFERROR(__xludf.DUMMYFUNCTION("""COMPUTED_VALUE"""),"Martin, Joseph H.")</f>
        <v>Martin, Joseph H.</v>
      </c>
      <c r="B5298" s="3">
        <f ca="1">IFERROR(__xludf.DUMMYFUNCTION("""COMPUTED_VALUE"""),1)</f>
        <v>1</v>
      </c>
      <c r="C5298" s="7">
        <f ca="1">IFERROR(__xludf.DUMMYFUNCTION("""COMPUTED_VALUE"""),1)</f>
        <v>1</v>
      </c>
      <c r="D5298" s="8">
        <f ca="1">IFERROR(__xludf.DUMMYFUNCTION("""COMPUTED_VALUE"""),1)</f>
        <v>1</v>
      </c>
      <c r="E5298" s="2">
        <f ca="1">IFERROR(__xludf.DUMMYFUNCTION("""COMPUTED_VALUE"""),1)</f>
        <v>1</v>
      </c>
    </row>
    <row r="5299" spans="1:5" ht="13">
      <c r="A5299" s="2" t="str">
        <f ca="1">IFERROR(__xludf.DUMMYFUNCTION("""COMPUTED_VALUE"""),"Martin, Joseph M.")</f>
        <v>Martin, Joseph M.</v>
      </c>
      <c r="B5299" s="3">
        <f ca="1">IFERROR(__xludf.DUMMYFUNCTION("""COMPUTED_VALUE"""),1)</f>
        <v>1</v>
      </c>
      <c r="C5299" s="7">
        <f ca="1">IFERROR(__xludf.DUMMYFUNCTION("""COMPUTED_VALUE"""),1)</f>
        <v>1</v>
      </c>
      <c r="D5299" s="8">
        <f ca="1">IFERROR(__xludf.DUMMYFUNCTION("""COMPUTED_VALUE"""),1)</f>
        <v>1</v>
      </c>
      <c r="E5299" s="2">
        <f ca="1">IFERROR(__xludf.DUMMYFUNCTION("""COMPUTED_VALUE"""),1)</f>
        <v>1</v>
      </c>
    </row>
    <row r="5300" spans="1:5" ht="13">
      <c r="A5300" s="2" t="str">
        <f ca="1">IFERROR(__xludf.DUMMYFUNCTION("""COMPUTED_VALUE"""),"Martin, Larry")</f>
        <v>Martin, Larry</v>
      </c>
      <c r="B5300" s="3">
        <f ca="1">IFERROR(__xludf.DUMMYFUNCTION("""COMPUTED_VALUE"""),1)</f>
        <v>1</v>
      </c>
      <c r="C5300" s="7">
        <f ca="1">IFERROR(__xludf.DUMMYFUNCTION("""COMPUTED_VALUE"""),1)</f>
        <v>1</v>
      </c>
      <c r="D5300" s="8">
        <f ca="1">IFERROR(__xludf.DUMMYFUNCTION("""COMPUTED_VALUE"""),1)</f>
        <v>1</v>
      </c>
      <c r="E5300" s="2">
        <f ca="1">IFERROR(__xludf.DUMMYFUNCTION("""COMPUTED_VALUE"""),1)</f>
        <v>1</v>
      </c>
    </row>
    <row r="5301" spans="1:5" ht="13">
      <c r="A5301" s="2" t="str">
        <f ca="1">IFERROR(__xludf.DUMMYFUNCTION("""COMPUTED_VALUE"""),"Martin, Matthew")</f>
        <v>Martin, Matthew</v>
      </c>
      <c r="B5301" s="3">
        <f ca="1">IFERROR(__xludf.DUMMYFUNCTION("""COMPUTED_VALUE"""),1)</f>
        <v>1</v>
      </c>
      <c r="C5301" s="7">
        <f ca="1">IFERROR(__xludf.DUMMYFUNCTION("""COMPUTED_VALUE"""),1)</f>
        <v>1</v>
      </c>
      <c r="D5301" s="8">
        <f ca="1">IFERROR(__xludf.DUMMYFUNCTION("""COMPUTED_VALUE"""),1)</f>
        <v>1</v>
      </c>
      <c r="E5301" s="2">
        <f ca="1">IFERROR(__xludf.DUMMYFUNCTION("""COMPUTED_VALUE"""),1)</f>
        <v>1</v>
      </c>
    </row>
    <row r="5302" spans="1:5" ht="13">
      <c r="A5302" s="2" t="str">
        <f ca="1">IFERROR(__xludf.DUMMYFUNCTION("""COMPUTED_VALUE"""),"Martin, Michael")</f>
        <v>Martin, Michael</v>
      </c>
      <c r="B5302" s="3">
        <f ca="1">IFERROR(__xludf.DUMMYFUNCTION("""COMPUTED_VALUE"""),1)</f>
        <v>1</v>
      </c>
      <c r="C5302" s="7">
        <f ca="1">IFERROR(__xludf.DUMMYFUNCTION("""COMPUTED_VALUE"""),1)</f>
        <v>1</v>
      </c>
      <c r="D5302" s="8">
        <f ca="1">IFERROR(__xludf.DUMMYFUNCTION("""COMPUTED_VALUE"""),1)</f>
        <v>1</v>
      </c>
      <c r="E5302" s="2">
        <f ca="1">IFERROR(__xludf.DUMMYFUNCTION("""COMPUTED_VALUE"""),1)</f>
        <v>1</v>
      </c>
    </row>
    <row r="5303" spans="1:5" ht="13">
      <c r="A5303" s="2" t="str">
        <f ca="1">IFERROR(__xludf.DUMMYFUNCTION("""COMPUTED_VALUE"""),"Martin, Peter Stanley")</f>
        <v>Martin, Peter Stanley</v>
      </c>
      <c r="B5303" s="3">
        <f ca="1">IFERROR(__xludf.DUMMYFUNCTION("""COMPUTED_VALUE"""),1)</f>
        <v>1</v>
      </c>
      <c r="C5303" s="7">
        <f ca="1">IFERROR(__xludf.DUMMYFUNCTION("""COMPUTED_VALUE"""),1)</f>
        <v>1</v>
      </c>
      <c r="D5303" s="8">
        <f ca="1">IFERROR(__xludf.DUMMYFUNCTION("""COMPUTED_VALUE"""),1)</f>
        <v>1</v>
      </c>
      <c r="E5303" s="2">
        <f ca="1">IFERROR(__xludf.DUMMYFUNCTION("""COMPUTED_VALUE"""),1)</f>
        <v>1</v>
      </c>
    </row>
    <row r="5304" spans="1:5" ht="13">
      <c r="A5304" s="2" t="str">
        <f ca="1">IFERROR(__xludf.DUMMYFUNCTION("""COMPUTED_VALUE"""),"Martin, Phil")</f>
        <v>Martin, Phil</v>
      </c>
      <c r="B5304" s="3">
        <f ca="1">IFERROR(__xludf.DUMMYFUNCTION("""COMPUTED_VALUE"""),1)</f>
        <v>1</v>
      </c>
      <c r="C5304" s="7">
        <f ca="1">IFERROR(__xludf.DUMMYFUNCTION("""COMPUTED_VALUE"""),1)</f>
        <v>1</v>
      </c>
      <c r="D5304" s="8">
        <f ca="1">IFERROR(__xludf.DUMMYFUNCTION("""COMPUTED_VALUE"""),1)</f>
        <v>1</v>
      </c>
      <c r="E5304" s="2">
        <f ca="1">IFERROR(__xludf.DUMMYFUNCTION("""COMPUTED_VALUE"""),1)</f>
        <v>1</v>
      </c>
    </row>
    <row r="5305" spans="1:5" ht="13">
      <c r="A5305" s="2" t="str">
        <f ca="1">IFERROR(__xludf.DUMMYFUNCTION("""COMPUTED_VALUE"""),"Martin, Steve")</f>
        <v>Martin, Steve</v>
      </c>
      <c r="B5305" s="3">
        <f ca="1">IFERROR(__xludf.DUMMYFUNCTION("""COMPUTED_VALUE"""),1)</f>
        <v>1</v>
      </c>
      <c r="C5305" s="7">
        <f ca="1">IFERROR(__xludf.DUMMYFUNCTION("""COMPUTED_VALUE"""),1)</f>
        <v>1</v>
      </c>
      <c r="D5305" s="8">
        <f ca="1">IFERROR(__xludf.DUMMYFUNCTION("""COMPUTED_VALUE"""),1)</f>
        <v>1</v>
      </c>
      <c r="E5305" s="2">
        <f ca="1">IFERROR(__xludf.DUMMYFUNCTION("""COMPUTED_VALUE"""),1)</f>
        <v>1</v>
      </c>
    </row>
    <row r="5306" spans="1:5" ht="13">
      <c r="A5306" s="2" t="str">
        <f ca="1">IFERROR(__xludf.DUMMYFUNCTION("""COMPUTED_VALUE"""),"Martin, Steve (orch. Jantsch)")</f>
        <v>Martin, Steve (orch. Jantsch)</v>
      </c>
      <c r="B5306" s="3">
        <f ca="1">IFERROR(__xludf.DUMMYFUNCTION("""COMPUTED_VALUE"""),1)</f>
        <v>1</v>
      </c>
      <c r="C5306" s="7">
        <f ca="1">IFERROR(__xludf.DUMMYFUNCTION("""COMPUTED_VALUE"""),1)</f>
        <v>1</v>
      </c>
      <c r="D5306" s="8">
        <f ca="1">IFERROR(__xludf.DUMMYFUNCTION("""COMPUTED_VALUE"""),1)</f>
        <v>1</v>
      </c>
      <c r="E5306" s="2">
        <f ca="1">IFERROR(__xludf.DUMMYFUNCTION("""COMPUTED_VALUE"""),1)</f>
        <v>1</v>
      </c>
    </row>
    <row r="5307" spans="1:5" ht="13">
      <c r="A5307" s="2" t="str">
        <f ca="1">IFERROR(__xludf.DUMMYFUNCTION("""COMPUTED_VALUE"""),"Martin, Warren")</f>
        <v>Martin, Warren</v>
      </c>
      <c r="B5307" s="2">
        <f ca="1">IFERROR(__xludf.DUMMYFUNCTION("""COMPUTED_VALUE"""),1)</f>
        <v>1</v>
      </c>
      <c r="C5307" s="7">
        <f ca="1">IFERROR(__xludf.DUMMYFUNCTION("""COMPUTED_VALUE"""),1)</f>
        <v>1</v>
      </c>
      <c r="D5307" s="8">
        <f ca="1">IFERROR(__xludf.DUMMYFUNCTION("""COMPUTED_VALUE"""),5)</f>
        <v>5</v>
      </c>
      <c r="E5307" s="2">
        <f ca="1">IFERROR(__xludf.DUMMYFUNCTION("""COMPUTED_VALUE"""),2)</f>
        <v>2</v>
      </c>
    </row>
    <row r="5308" spans="1:5" ht="13">
      <c r="A5308" s="2" t="str">
        <f ca="1">IFERROR(__xludf.DUMMYFUNCTION("""COMPUTED_VALUE"""),"Martine, Pascal")</f>
        <v>Martine, Pascal</v>
      </c>
      <c r="B5308" s="3">
        <f ca="1">IFERROR(__xludf.DUMMYFUNCTION("""COMPUTED_VALUE"""),1)</f>
        <v>1</v>
      </c>
      <c r="C5308" s="7">
        <f ca="1">IFERROR(__xludf.DUMMYFUNCTION("""COMPUTED_VALUE"""),1)</f>
        <v>1</v>
      </c>
      <c r="D5308" s="8">
        <f ca="1">IFERROR(__xludf.DUMMYFUNCTION("""COMPUTED_VALUE"""),1)</f>
        <v>1</v>
      </c>
      <c r="E5308" s="2">
        <f ca="1">IFERROR(__xludf.DUMMYFUNCTION("""COMPUTED_VALUE"""),1)</f>
        <v>1</v>
      </c>
    </row>
    <row r="5309" spans="1:5" ht="13">
      <c r="A5309" s="2" t="str">
        <f ca="1">IFERROR(__xludf.DUMMYFUNCTION("""COMPUTED_VALUE"""),"Martinet, Leigh")</f>
        <v>Martinet, Leigh</v>
      </c>
      <c r="B5309" s="3">
        <f ca="1">IFERROR(__xludf.DUMMYFUNCTION("""COMPUTED_VALUE"""),1)</f>
        <v>1</v>
      </c>
      <c r="C5309" s="7">
        <f ca="1">IFERROR(__xludf.DUMMYFUNCTION("""COMPUTED_VALUE"""),1)</f>
        <v>1</v>
      </c>
      <c r="D5309" s="8">
        <f ca="1">IFERROR(__xludf.DUMMYFUNCTION("""COMPUTED_VALUE"""),5)</f>
        <v>5</v>
      </c>
      <c r="E5309" s="2">
        <f ca="1">IFERROR(__xludf.DUMMYFUNCTION("""COMPUTED_VALUE"""),2)</f>
        <v>2</v>
      </c>
    </row>
    <row r="5310" spans="1:5" ht="13">
      <c r="A5310" s="2" t="str">
        <f ca="1">IFERROR(__xludf.DUMMYFUNCTION("""COMPUTED_VALUE"""),"Martini, Giovanni")</f>
        <v>Martini, Giovanni</v>
      </c>
      <c r="B5310" s="3">
        <f ca="1">IFERROR(__xludf.DUMMYFUNCTION("""COMPUTED_VALUE"""),1)</f>
        <v>1</v>
      </c>
      <c r="C5310" s="7">
        <f ca="1">IFERROR(__xludf.DUMMYFUNCTION("""COMPUTED_VALUE"""),1)</f>
        <v>1</v>
      </c>
      <c r="D5310" s="8">
        <f ca="1">IFERROR(__xludf.DUMMYFUNCTION("""COMPUTED_VALUE"""),5)</f>
        <v>5</v>
      </c>
      <c r="E5310" s="2">
        <f ca="1">IFERROR(__xludf.DUMMYFUNCTION("""COMPUTED_VALUE"""),2)</f>
        <v>2</v>
      </c>
    </row>
    <row r="5311" spans="1:5" ht="13">
      <c r="A5311" s="8" t="str">
        <f ca="1">IFERROR(__xludf.DUMMYFUNCTION("""COMPUTED_VALUE"""),"Martini, Giovanni Battista")</f>
        <v>Martini, Giovanni Battista</v>
      </c>
      <c r="B5311" s="3">
        <f ca="1">IFERROR(__xludf.DUMMYFUNCTION("""COMPUTED_VALUE"""),1)</f>
        <v>1</v>
      </c>
      <c r="C5311" s="7">
        <f ca="1">IFERROR(__xludf.DUMMYFUNCTION("""COMPUTED_VALUE"""),1)</f>
        <v>1</v>
      </c>
      <c r="D5311" s="8">
        <f ca="1">IFERROR(__xludf.DUMMYFUNCTION("""COMPUTED_VALUE"""),5)</f>
        <v>5</v>
      </c>
      <c r="E5311" s="2">
        <f ca="1">IFERROR(__xludf.DUMMYFUNCTION("""COMPUTED_VALUE"""),2)</f>
        <v>2</v>
      </c>
    </row>
    <row r="5312" spans="1:5" ht="13">
      <c r="A5312" s="2" t="str">
        <f ca="1">IFERROR(__xludf.DUMMYFUNCTION("""COMPUTED_VALUE"""),"Martino, Bruno")</f>
        <v>Martino, Bruno</v>
      </c>
      <c r="B5312" s="3">
        <f ca="1">IFERROR(__xludf.DUMMYFUNCTION("""COMPUTED_VALUE"""),1)</f>
        <v>1</v>
      </c>
      <c r="C5312" s="7">
        <f ca="1">IFERROR(__xludf.DUMMYFUNCTION("""COMPUTED_VALUE"""),1)</f>
        <v>1</v>
      </c>
      <c r="D5312" s="8">
        <f ca="1">IFERROR(__xludf.DUMMYFUNCTION("""COMPUTED_VALUE"""),5)</f>
        <v>5</v>
      </c>
      <c r="E5312" s="2">
        <f ca="1">IFERROR(__xludf.DUMMYFUNCTION("""COMPUTED_VALUE"""),2)</f>
        <v>2</v>
      </c>
    </row>
    <row r="5313" spans="1:5" ht="13">
      <c r="A5313" s="8" t="str">
        <f ca="1">IFERROR(__xludf.DUMMYFUNCTION("""COMPUTED_VALUE"""),"Martino, Donald")</f>
        <v>Martino, Donald</v>
      </c>
      <c r="B5313" s="3">
        <f ca="1">IFERROR(__xludf.DUMMYFUNCTION("""COMPUTED_VALUE"""),1)</f>
        <v>1</v>
      </c>
      <c r="C5313" s="7">
        <f ca="1">IFERROR(__xludf.DUMMYFUNCTION("""COMPUTED_VALUE"""),1)</f>
        <v>1</v>
      </c>
      <c r="D5313" s="8">
        <f ca="1">IFERROR(__xludf.DUMMYFUNCTION("""COMPUTED_VALUE"""),5)</f>
        <v>5</v>
      </c>
      <c r="E5313" s="2">
        <f ca="1">IFERROR(__xludf.DUMMYFUNCTION("""COMPUTED_VALUE"""),2)</f>
        <v>2</v>
      </c>
    </row>
    <row r="5314" spans="1:5" ht="13">
      <c r="A5314" s="2" t="str">
        <f ca="1">IFERROR(__xludf.DUMMYFUNCTION("""COMPUTED_VALUE"""),"Martinson, Joel")</f>
        <v>Martinson, Joel</v>
      </c>
      <c r="B5314" s="3">
        <f ca="1">IFERROR(__xludf.DUMMYFUNCTION("""COMPUTED_VALUE"""),1)</f>
        <v>1</v>
      </c>
      <c r="C5314" s="7">
        <f ca="1">IFERROR(__xludf.DUMMYFUNCTION("""COMPUTED_VALUE"""),1)</f>
        <v>1</v>
      </c>
      <c r="D5314" s="8">
        <f ca="1">IFERROR(__xludf.DUMMYFUNCTION("""COMPUTED_VALUE"""),1)</f>
        <v>1</v>
      </c>
      <c r="E5314" s="2">
        <f ca="1">IFERROR(__xludf.DUMMYFUNCTION("""COMPUTED_VALUE"""),1)</f>
        <v>1</v>
      </c>
    </row>
    <row r="5315" spans="1:5" ht="13">
      <c r="A5315" s="8" t="str">
        <f ca="1">IFERROR(__xludf.DUMMYFUNCTION("""COMPUTED_VALUE"""),"Martinsson, Rolf")</f>
        <v>Martinsson, Rolf</v>
      </c>
      <c r="B5315" s="3">
        <f ca="1">IFERROR(__xludf.DUMMYFUNCTION("""COMPUTED_VALUE"""),1)</f>
        <v>1</v>
      </c>
      <c r="C5315" s="7">
        <f ca="1">IFERROR(__xludf.DUMMYFUNCTION("""COMPUTED_VALUE"""),1)</f>
        <v>1</v>
      </c>
      <c r="D5315" s="8">
        <f ca="1">IFERROR(__xludf.DUMMYFUNCTION("""COMPUTED_VALUE"""),1)</f>
        <v>1</v>
      </c>
      <c r="E5315" s="2">
        <f ca="1">IFERROR(__xludf.DUMMYFUNCTION("""COMPUTED_VALUE"""),1)</f>
        <v>1</v>
      </c>
    </row>
    <row r="5316" spans="1:5" ht="13">
      <c r="A5316" s="2" t="str">
        <f ca="1">IFERROR(__xludf.DUMMYFUNCTION("""COMPUTED_VALUE"""),"Martinů, Bohuslav")</f>
        <v>Martinů, Bohuslav</v>
      </c>
      <c r="B5316" s="3">
        <f ca="1">IFERROR(__xludf.DUMMYFUNCTION("""COMPUTED_VALUE"""),1)</f>
        <v>1</v>
      </c>
      <c r="C5316" s="7">
        <f ca="1">IFERROR(__xludf.DUMMYFUNCTION("""COMPUTED_VALUE"""),1)</f>
        <v>1</v>
      </c>
      <c r="D5316" s="8">
        <f ca="1">IFERROR(__xludf.DUMMYFUNCTION("""COMPUTED_VALUE"""),5)</f>
        <v>5</v>
      </c>
      <c r="E5316" s="2">
        <f ca="1">IFERROR(__xludf.DUMMYFUNCTION("""COMPUTED_VALUE"""),2)</f>
        <v>2</v>
      </c>
    </row>
    <row r="5317" spans="1:5" ht="13">
      <c r="A5317" s="2" t="str">
        <f ca="1">IFERROR(__xludf.DUMMYFUNCTION("""COMPUTED_VALUE"""),"Martirano, Salvatore")</f>
        <v>Martirano, Salvatore</v>
      </c>
      <c r="B5317" s="3">
        <f ca="1">IFERROR(__xludf.DUMMYFUNCTION("""COMPUTED_VALUE"""),1)</f>
        <v>1</v>
      </c>
      <c r="C5317" s="7">
        <f ca="1">IFERROR(__xludf.DUMMYFUNCTION("""COMPUTED_VALUE"""),1)</f>
        <v>1</v>
      </c>
      <c r="D5317" s="8">
        <f ca="1">IFERROR(__xludf.DUMMYFUNCTION("""COMPUTED_VALUE"""),5)</f>
        <v>5</v>
      </c>
      <c r="E5317" s="2">
        <f ca="1">IFERROR(__xludf.DUMMYFUNCTION("""COMPUTED_VALUE"""),2)</f>
        <v>2</v>
      </c>
    </row>
    <row r="5318" spans="1:5" ht="13">
      <c r="A5318" s="8" t="str">
        <f ca="1">IFERROR(__xludf.DUMMYFUNCTION("""COMPUTED_VALUE"""),"Martland, Steve")</f>
        <v>Martland, Steve</v>
      </c>
      <c r="B5318" s="3">
        <f ca="1">IFERROR(__xludf.DUMMYFUNCTION("""COMPUTED_VALUE"""),1)</f>
        <v>1</v>
      </c>
      <c r="C5318" s="7">
        <f ca="1">IFERROR(__xludf.DUMMYFUNCTION("""COMPUTED_VALUE"""),1)</f>
        <v>1</v>
      </c>
      <c r="D5318" s="8">
        <f ca="1">IFERROR(__xludf.DUMMYFUNCTION("""COMPUTED_VALUE"""),5)</f>
        <v>5</v>
      </c>
      <c r="E5318" s="2">
        <f ca="1">IFERROR(__xludf.DUMMYFUNCTION("""COMPUTED_VALUE"""),2)</f>
        <v>2</v>
      </c>
    </row>
    <row r="5319" spans="1:5" ht="13">
      <c r="A5319" s="2" t="str">
        <f ca="1">IFERROR(__xludf.DUMMYFUNCTION("""COMPUTED_VALUE"""),"Martlatt, David")</f>
        <v>Martlatt, David</v>
      </c>
      <c r="B5319" s="3">
        <f ca="1">IFERROR(__xludf.DUMMYFUNCTION("""COMPUTED_VALUE"""),1)</f>
        <v>1</v>
      </c>
      <c r="C5319" s="7">
        <f ca="1">IFERROR(__xludf.DUMMYFUNCTION("""COMPUTED_VALUE"""),1)</f>
        <v>1</v>
      </c>
      <c r="D5319" s="8">
        <f ca="1">IFERROR(__xludf.DUMMYFUNCTION("""COMPUTED_VALUE"""),1)</f>
        <v>1</v>
      </c>
      <c r="E5319" s="2">
        <f ca="1">IFERROR(__xludf.DUMMYFUNCTION("""COMPUTED_VALUE"""),1)</f>
        <v>1</v>
      </c>
    </row>
    <row r="5320" spans="1:5" ht="13">
      <c r="A5320" s="2" t="str">
        <f ca="1">IFERROR(__xludf.DUMMYFUNCTION("""COMPUTED_VALUE"""),"Martucci, Giuseppe")</f>
        <v>Martucci, Giuseppe</v>
      </c>
      <c r="B5320" s="3">
        <f ca="1">IFERROR(__xludf.DUMMYFUNCTION("""COMPUTED_VALUE"""),1)</f>
        <v>1</v>
      </c>
      <c r="C5320" s="7">
        <f ca="1">IFERROR(__xludf.DUMMYFUNCTION("""COMPUTED_VALUE"""),1)</f>
        <v>1</v>
      </c>
      <c r="D5320" s="8">
        <f ca="1">IFERROR(__xludf.DUMMYFUNCTION("""COMPUTED_VALUE"""),5)</f>
        <v>5</v>
      </c>
      <c r="E5320" s="2">
        <f ca="1">IFERROR(__xludf.DUMMYFUNCTION("""COMPUTED_VALUE"""),2)</f>
        <v>2</v>
      </c>
    </row>
    <row r="5321" spans="1:5" ht="13">
      <c r="A5321" s="8" t="str">
        <f ca="1">IFERROR(__xludf.DUMMYFUNCTION("""COMPUTED_VALUE"""),"Martyn, David")</f>
        <v>Martyn, David</v>
      </c>
      <c r="B5321" s="3">
        <f ca="1">IFERROR(__xludf.DUMMYFUNCTION("""COMPUTED_VALUE"""),1)</f>
        <v>1</v>
      </c>
      <c r="C5321" s="7">
        <f ca="1">IFERROR(__xludf.DUMMYFUNCTION("""COMPUTED_VALUE"""),1)</f>
        <v>1</v>
      </c>
      <c r="D5321" s="8">
        <f ca="1">IFERROR(__xludf.DUMMYFUNCTION("""COMPUTED_VALUE"""),1)</f>
        <v>1</v>
      </c>
      <c r="E5321" s="2">
        <f ca="1">IFERROR(__xludf.DUMMYFUNCTION("""COMPUTED_VALUE"""),1)</f>
        <v>1</v>
      </c>
    </row>
    <row r="5322" spans="1:5" ht="13">
      <c r="A5322" s="8" t="str">
        <f ca="1">IFERROR(__xludf.DUMMYFUNCTION("""COMPUTED_VALUE"""),"Martz, Walker")</f>
        <v>Martz, Walker</v>
      </c>
      <c r="B5322" s="3">
        <f ca="1">IFERROR(__xludf.DUMMYFUNCTION("""COMPUTED_VALUE"""),1)</f>
        <v>1</v>
      </c>
      <c r="C5322" s="7">
        <f ca="1">IFERROR(__xludf.DUMMYFUNCTION("""COMPUTED_VALUE"""),1)</f>
        <v>1</v>
      </c>
      <c r="D5322" s="8">
        <f ca="1">IFERROR(__xludf.DUMMYFUNCTION("""COMPUTED_VALUE"""),1)</f>
        <v>1</v>
      </c>
      <c r="E5322" s="2">
        <f ca="1">IFERROR(__xludf.DUMMYFUNCTION("""COMPUTED_VALUE"""),1)</f>
        <v>1</v>
      </c>
    </row>
    <row r="5323" spans="1:5" ht="13">
      <c r="A5323" s="8" t="str">
        <f ca="1">IFERROR(__xludf.DUMMYFUNCTION("""COMPUTED_VALUE"""),"Marvin, Jameson")</f>
        <v>Marvin, Jameson</v>
      </c>
      <c r="B5323" s="3">
        <f ca="1">IFERROR(__xludf.DUMMYFUNCTION("""COMPUTED_VALUE"""),1)</f>
        <v>1</v>
      </c>
      <c r="C5323" s="7">
        <f ca="1">IFERROR(__xludf.DUMMYFUNCTION("""COMPUTED_VALUE"""),1)</f>
        <v>1</v>
      </c>
      <c r="D5323" s="8">
        <f ca="1">IFERROR(__xludf.DUMMYFUNCTION("""COMPUTED_VALUE"""),1)</f>
        <v>1</v>
      </c>
      <c r="E5323" s="2">
        <f ca="1">IFERROR(__xludf.DUMMYFUNCTION("""COMPUTED_VALUE"""),1)</f>
        <v>1</v>
      </c>
    </row>
    <row r="5324" spans="1:5" ht="13">
      <c r="A5324" s="2" t="str">
        <f ca="1">IFERROR(__xludf.DUMMYFUNCTION("""COMPUTED_VALUE"""),"Marx, Joseph")</f>
        <v>Marx, Joseph</v>
      </c>
      <c r="B5324" s="2">
        <f ca="1">IFERROR(__xludf.DUMMYFUNCTION("""COMPUTED_VALUE"""),1)</f>
        <v>1</v>
      </c>
      <c r="C5324" s="2">
        <f ca="1">IFERROR(__xludf.DUMMYFUNCTION("""COMPUTED_VALUE"""),1)</f>
        <v>1</v>
      </c>
      <c r="D5324" s="8">
        <f ca="1">IFERROR(__xludf.DUMMYFUNCTION("""COMPUTED_VALUE"""),5)</f>
        <v>5</v>
      </c>
      <c r="E5324" s="2">
        <f ca="1">IFERROR(__xludf.DUMMYFUNCTION("""COMPUTED_VALUE"""),2)</f>
        <v>2</v>
      </c>
    </row>
    <row r="5325" spans="1:5" ht="13">
      <c r="A5325" s="2" t="str">
        <f ca="1">IFERROR(__xludf.DUMMYFUNCTION("""COMPUTED_VALUE"""),"Marzocco, Frank")</f>
        <v>Marzocco, Frank</v>
      </c>
      <c r="B5325" s="2">
        <f ca="1">IFERROR(__xludf.DUMMYFUNCTION("""COMPUTED_VALUE"""),1)</f>
        <v>1</v>
      </c>
      <c r="C5325" s="7">
        <f ca="1">IFERROR(__xludf.DUMMYFUNCTION("""COMPUTED_VALUE"""),1)</f>
        <v>1</v>
      </c>
      <c r="D5325" s="8">
        <f ca="1">IFERROR(__xludf.DUMMYFUNCTION("""COMPUTED_VALUE"""),5)</f>
        <v>5</v>
      </c>
      <c r="E5325" s="2">
        <f ca="1">IFERROR(__xludf.DUMMYFUNCTION("""COMPUTED_VALUE"""),2)</f>
        <v>2</v>
      </c>
    </row>
    <row r="5326" spans="1:5" ht="13">
      <c r="A5326" s="2" t="str">
        <f ca="1">IFERROR(__xludf.DUMMYFUNCTION("""COMPUTED_VALUE"""),"Mas Quiles, Juan Vicente")</f>
        <v>Mas Quiles, Juan Vicente</v>
      </c>
      <c r="B5326" s="2">
        <f ca="1">IFERROR(__xludf.DUMMYFUNCTION("""COMPUTED_VALUE"""),1)</f>
        <v>1</v>
      </c>
      <c r="C5326" s="2">
        <f ca="1">IFERROR(__xludf.DUMMYFUNCTION("""COMPUTED_VALUE"""),1)</f>
        <v>1</v>
      </c>
      <c r="D5326" s="8">
        <f ca="1">IFERROR(__xludf.DUMMYFUNCTION("""COMPUTED_VALUE"""),1)</f>
        <v>1</v>
      </c>
      <c r="E5326" s="2">
        <f ca="1">IFERROR(__xludf.DUMMYFUNCTION("""COMPUTED_VALUE"""),1)</f>
        <v>1</v>
      </c>
    </row>
    <row r="5327" spans="1:5" ht="13">
      <c r="A5327" s="2" t="str">
        <f ca="1">IFERROR(__xludf.DUMMYFUNCTION("""COMPUTED_VALUE"""),"Mascagni, Pietro")</f>
        <v>Mascagni, Pietro</v>
      </c>
      <c r="B5327" s="3">
        <f ca="1">IFERROR(__xludf.DUMMYFUNCTION("""COMPUTED_VALUE"""),1)</f>
        <v>1</v>
      </c>
      <c r="C5327" s="7">
        <f ca="1">IFERROR(__xludf.DUMMYFUNCTION("""COMPUTED_VALUE"""),1)</f>
        <v>1</v>
      </c>
      <c r="D5327" s="8">
        <f ca="1">IFERROR(__xludf.DUMMYFUNCTION("""COMPUTED_VALUE"""),5)</f>
        <v>5</v>
      </c>
      <c r="E5327" s="2">
        <f ca="1">IFERROR(__xludf.DUMMYFUNCTION("""COMPUTED_VALUE"""),2)</f>
        <v>2</v>
      </c>
    </row>
    <row r="5328" spans="1:5" ht="13">
      <c r="A5328" s="2" t="str">
        <f ca="1">IFERROR(__xludf.DUMMYFUNCTION("""COMPUTED_VALUE"""),"Maschera, Florentino")</f>
        <v>Maschera, Florentino</v>
      </c>
      <c r="B5328" s="3">
        <f ca="1">IFERROR(__xludf.DUMMYFUNCTION("""COMPUTED_VALUE"""),1)</f>
        <v>1</v>
      </c>
      <c r="C5328" s="7">
        <f ca="1">IFERROR(__xludf.DUMMYFUNCTION("""COMPUTED_VALUE"""),1)</f>
        <v>1</v>
      </c>
      <c r="D5328" s="8">
        <f ca="1">IFERROR(__xludf.DUMMYFUNCTION("""COMPUTED_VALUE"""),5)</f>
        <v>5</v>
      </c>
      <c r="E5328" s="2">
        <f ca="1">IFERROR(__xludf.DUMMYFUNCTION("""COMPUTED_VALUE"""),2)</f>
        <v>2</v>
      </c>
    </row>
    <row r="5329" spans="1:5" ht="13">
      <c r="A5329" s="2" t="str">
        <f ca="1">IFERROR(__xludf.DUMMYFUNCTION("""COMPUTED_VALUE"""),"Maskats, Arturs")</f>
        <v>Maskats, Arturs</v>
      </c>
      <c r="B5329" s="3">
        <f ca="1">IFERROR(__xludf.DUMMYFUNCTION("""COMPUTED_VALUE"""),1)</f>
        <v>1</v>
      </c>
      <c r="C5329" s="7">
        <f ca="1">IFERROR(__xludf.DUMMYFUNCTION("""COMPUTED_VALUE"""),1)</f>
        <v>1</v>
      </c>
      <c r="D5329" s="8">
        <f ca="1">IFERROR(__xludf.DUMMYFUNCTION("""COMPUTED_VALUE"""),1)</f>
        <v>1</v>
      </c>
      <c r="E5329" s="2">
        <f ca="1">IFERROR(__xludf.DUMMYFUNCTION("""COMPUTED_VALUE"""),1)</f>
        <v>1</v>
      </c>
    </row>
    <row r="5330" spans="1:5" ht="13">
      <c r="A5330" s="2" t="str">
        <f ca="1">IFERROR(__xludf.DUMMYFUNCTION("""COMPUTED_VALUE"""),"Maslanka, David")</f>
        <v>Maslanka, David</v>
      </c>
      <c r="B5330" s="3">
        <f ca="1">IFERROR(__xludf.DUMMYFUNCTION("""COMPUTED_VALUE"""),1)</f>
        <v>1</v>
      </c>
      <c r="C5330" s="7">
        <f ca="1">IFERROR(__xludf.DUMMYFUNCTION("""COMPUTED_VALUE"""),1)</f>
        <v>1</v>
      </c>
      <c r="D5330" s="8">
        <f ca="1">IFERROR(__xludf.DUMMYFUNCTION("""COMPUTED_VALUE"""),5)</f>
        <v>5</v>
      </c>
      <c r="E5330" s="2">
        <f ca="1">IFERROR(__xludf.DUMMYFUNCTION("""COMPUTED_VALUE"""),2)</f>
        <v>2</v>
      </c>
    </row>
    <row r="5331" spans="1:5" ht="13">
      <c r="A5331" s="2" t="str">
        <f ca="1">IFERROR(__xludf.DUMMYFUNCTION("""COMPUTED_VALUE"""),"Maslanka, David / Maslanka, Matthew")</f>
        <v>Maslanka, David / Maslanka, Matthew</v>
      </c>
      <c r="B5331" s="3">
        <f ca="1">IFERROR(__xludf.DUMMYFUNCTION("""COMPUTED_VALUE"""),1)</f>
        <v>1</v>
      </c>
      <c r="C5331" s="7">
        <f ca="1">IFERROR(__xludf.DUMMYFUNCTION("""COMPUTED_VALUE"""),1)</f>
        <v>1</v>
      </c>
      <c r="D5331" s="8" t="str">
        <f ca="1">IFERROR(__xludf.DUMMYFUNCTION("""COMPUTED_VALUE"""),"")</f>
        <v/>
      </c>
      <c r="E5331" s="2" t="str">
        <f ca="1">IFERROR(__xludf.DUMMYFUNCTION("""COMPUTED_VALUE"""),"1&amp;2")</f>
        <v>1&amp;2</v>
      </c>
    </row>
    <row r="5332" spans="1:5" ht="13">
      <c r="A5332" s="2" t="str">
        <f ca="1">IFERROR(__xludf.DUMMYFUNCTION("""COMPUTED_VALUE"""),"Masnelli, Paolo")</f>
        <v>Masnelli, Paolo</v>
      </c>
      <c r="B5332" s="2">
        <f ca="1">IFERROR(__xludf.DUMMYFUNCTION("""COMPUTED_VALUE"""),1)</f>
        <v>1</v>
      </c>
      <c r="C5332" s="7">
        <f ca="1">IFERROR(__xludf.DUMMYFUNCTION("""COMPUTED_VALUE"""),1)</f>
        <v>1</v>
      </c>
      <c r="D5332" s="8">
        <f ca="1">IFERROR(__xludf.DUMMYFUNCTION("""COMPUTED_VALUE"""),5)</f>
        <v>5</v>
      </c>
      <c r="E5332" s="2">
        <f ca="1">IFERROR(__xludf.DUMMYFUNCTION("""COMPUTED_VALUE"""),2)</f>
        <v>2</v>
      </c>
    </row>
    <row r="5333" spans="1:5" ht="13">
      <c r="A5333" s="2" t="str">
        <f ca="1">IFERROR(__xludf.DUMMYFUNCTION("""COMPUTED_VALUE"""),"Mason, Brian")</f>
        <v>Mason, Brian</v>
      </c>
      <c r="B5333" s="3">
        <f ca="1">IFERROR(__xludf.DUMMYFUNCTION("""COMPUTED_VALUE"""),1)</f>
        <v>1</v>
      </c>
      <c r="C5333" s="7">
        <f ca="1">IFERROR(__xludf.DUMMYFUNCTION("""COMPUTED_VALUE"""),1)</f>
        <v>1</v>
      </c>
      <c r="D5333" s="8">
        <f ca="1">IFERROR(__xludf.DUMMYFUNCTION("""COMPUTED_VALUE"""),1)</f>
        <v>1</v>
      </c>
      <c r="E5333" s="2">
        <f ca="1">IFERROR(__xludf.DUMMYFUNCTION("""COMPUTED_VALUE"""),1)</f>
        <v>1</v>
      </c>
    </row>
    <row r="5334" spans="1:5" ht="13">
      <c r="A5334" s="2" t="str">
        <f ca="1">IFERROR(__xludf.DUMMYFUNCTION("""COMPUTED_VALUE"""),"Mason, Jack")</f>
        <v>Mason, Jack</v>
      </c>
      <c r="B5334" s="3">
        <f ca="1">IFERROR(__xludf.DUMMYFUNCTION("""COMPUTED_VALUE"""),1)</f>
        <v>1</v>
      </c>
      <c r="C5334" s="7">
        <f ca="1">IFERROR(__xludf.DUMMYFUNCTION("""COMPUTED_VALUE"""),1)</f>
        <v>1</v>
      </c>
      <c r="D5334" s="8">
        <f ca="1">IFERROR(__xludf.DUMMYFUNCTION("""COMPUTED_VALUE"""),5)</f>
        <v>5</v>
      </c>
      <c r="E5334" s="2">
        <f ca="1">IFERROR(__xludf.DUMMYFUNCTION("""COMPUTED_VALUE"""),2)</f>
        <v>2</v>
      </c>
    </row>
    <row r="5335" spans="1:5" ht="13">
      <c r="A5335" s="2" t="str">
        <f ca="1">IFERROR(__xludf.DUMMYFUNCTION("""COMPUTED_VALUE"""),"Mason, Lowell")</f>
        <v>Mason, Lowell</v>
      </c>
      <c r="B5335" s="3">
        <f ca="1">IFERROR(__xludf.DUMMYFUNCTION("""COMPUTED_VALUE"""),1)</f>
        <v>1</v>
      </c>
      <c r="C5335" s="7">
        <f ca="1">IFERROR(__xludf.DUMMYFUNCTION("""COMPUTED_VALUE"""),1)</f>
        <v>1</v>
      </c>
      <c r="D5335" s="8">
        <f ca="1">IFERROR(__xludf.DUMMYFUNCTION("""COMPUTED_VALUE"""),5)</f>
        <v>5</v>
      </c>
      <c r="E5335" s="2">
        <f ca="1">IFERROR(__xludf.DUMMYFUNCTION("""COMPUTED_VALUE"""),2)</f>
        <v>2</v>
      </c>
    </row>
    <row r="5336" spans="1:5" ht="13">
      <c r="A5336" s="2" t="str">
        <f ca="1">IFERROR(__xludf.DUMMYFUNCTION("""COMPUTED_VALUE"""),"Mason, Luther Whiting")</f>
        <v>Mason, Luther Whiting</v>
      </c>
      <c r="B5336" s="3">
        <f ca="1">IFERROR(__xludf.DUMMYFUNCTION("""COMPUTED_VALUE"""),1)</f>
        <v>1</v>
      </c>
      <c r="C5336" s="7">
        <f ca="1">IFERROR(__xludf.DUMMYFUNCTION("""COMPUTED_VALUE"""),1)</f>
        <v>1</v>
      </c>
      <c r="D5336" s="8">
        <f ca="1">IFERROR(__xludf.DUMMYFUNCTION("""COMPUTED_VALUE"""),5)</f>
        <v>5</v>
      </c>
      <c r="E5336" s="2">
        <f ca="1">IFERROR(__xludf.DUMMYFUNCTION("""COMPUTED_VALUE"""),2)</f>
        <v>2</v>
      </c>
    </row>
    <row r="5337" spans="1:5" ht="13">
      <c r="A5337" s="2" t="str">
        <f ca="1">IFERROR(__xludf.DUMMYFUNCTION("""COMPUTED_VALUE"""),"Mason, Wyatt")</f>
        <v>Mason, Wyatt</v>
      </c>
      <c r="B5337" s="3">
        <f ca="1">IFERROR(__xludf.DUMMYFUNCTION("""COMPUTED_VALUE"""),1)</f>
        <v>1</v>
      </c>
      <c r="C5337" s="7">
        <f ca="1">IFERROR(__xludf.DUMMYFUNCTION("""COMPUTED_VALUE"""),1)</f>
        <v>1</v>
      </c>
      <c r="D5337" s="8">
        <f ca="1">IFERROR(__xludf.DUMMYFUNCTION("""COMPUTED_VALUE"""),1)</f>
        <v>1</v>
      </c>
      <c r="E5337" s="2">
        <f ca="1">IFERROR(__xludf.DUMMYFUNCTION("""COMPUTED_VALUE"""),1)</f>
        <v>1</v>
      </c>
    </row>
    <row r="5338" spans="1:5" ht="13">
      <c r="A5338" s="2" t="str">
        <f ca="1">IFERROR(__xludf.DUMMYFUNCTION("""COMPUTED_VALUE"""),"Massenet, Jules")</f>
        <v>Massenet, Jules</v>
      </c>
      <c r="B5338" s="3">
        <f ca="1">IFERROR(__xludf.DUMMYFUNCTION("""COMPUTED_VALUE"""),1)</f>
        <v>1</v>
      </c>
      <c r="C5338" s="7">
        <f ca="1">IFERROR(__xludf.DUMMYFUNCTION("""COMPUTED_VALUE"""),1)</f>
        <v>1</v>
      </c>
      <c r="D5338" s="8">
        <f ca="1">IFERROR(__xludf.DUMMYFUNCTION("""COMPUTED_VALUE"""),5)</f>
        <v>5</v>
      </c>
      <c r="E5338" s="2">
        <f ca="1">IFERROR(__xludf.DUMMYFUNCTION("""COMPUTED_VALUE"""),2)</f>
        <v>2</v>
      </c>
    </row>
    <row r="5339" spans="1:5" ht="13">
      <c r="A5339" s="2" t="str">
        <f ca="1">IFERROR(__xludf.DUMMYFUNCTION("""COMPUTED_VALUE"""),"Masser, Michael / Creed, Linda")</f>
        <v>Masser, Michael / Creed, Linda</v>
      </c>
      <c r="B5339" s="3">
        <f ca="1">IFERROR(__xludf.DUMMYFUNCTION("""COMPUTED_VALUE"""),1)</f>
        <v>1</v>
      </c>
      <c r="C5339" s="7">
        <f ca="1">IFERROR(__xludf.DUMMYFUNCTION("""COMPUTED_VALUE"""),1)</f>
        <v>1</v>
      </c>
      <c r="D5339" s="8">
        <f ca="1">IFERROR(__xludf.DUMMYFUNCTION("""COMPUTED_VALUE"""),5)</f>
        <v>5</v>
      </c>
      <c r="E5339" s="2">
        <f ca="1">IFERROR(__xludf.DUMMYFUNCTION("""COMPUTED_VALUE"""),2)</f>
        <v>2</v>
      </c>
    </row>
    <row r="5340" spans="1:5" ht="13">
      <c r="A5340" s="2" t="str">
        <f ca="1">IFERROR(__xludf.DUMMYFUNCTION("""COMPUTED_VALUE"""),"Másson, Askell")</f>
        <v>Másson, Askell</v>
      </c>
      <c r="B5340" s="3">
        <f ca="1">IFERROR(__xludf.DUMMYFUNCTION("""COMPUTED_VALUE"""),1)</f>
        <v>1</v>
      </c>
      <c r="C5340" s="7">
        <f ca="1">IFERROR(__xludf.DUMMYFUNCTION("""COMPUTED_VALUE"""),1)</f>
        <v>1</v>
      </c>
      <c r="D5340" s="8">
        <f ca="1">IFERROR(__xludf.DUMMYFUNCTION("""COMPUTED_VALUE"""),1)</f>
        <v>1</v>
      </c>
      <c r="E5340" s="2">
        <f ca="1">IFERROR(__xludf.DUMMYFUNCTION("""COMPUTED_VALUE"""),1)</f>
        <v>1</v>
      </c>
    </row>
    <row r="5341" spans="1:5" ht="13">
      <c r="A5341" s="2" t="str">
        <f ca="1">IFERROR(__xludf.DUMMYFUNCTION("""COMPUTED_VALUE"""),"Másson, Áskell")</f>
        <v>Másson, Áskell</v>
      </c>
      <c r="B5341" s="3">
        <f ca="1">IFERROR(__xludf.DUMMYFUNCTION("""COMPUTED_VALUE"""),1)</f>
        <v>1</v>
      </c>
      <c r="C5341" s="7">
        <f ca="1">IFERROR(__xludf.DUMMYFUNCTION("""COMPUTED_VALUE"""),1)</f>
        <v>1</v>
      </c>
      <c r="D5341" s="8">
        <f ca="1">IFERROR(__xludf.DUMMYFUNCTION("""COMPUTED_VALUE"""),1)</f>
        <v>1</v>
      </c>
      <c r="E5341" s="2">
        <f ca="1">IFERROR(__xludf.DUMMYFUNCTION("""COMPUTED_VALUE"""),1)</f>
        <v>1</v>
      </c>
    </row>
    <row r="5342" spans="1:5" ht="13">
      <c r="A5342" s="8" t="str">
        <f ca="1">IFERROR(__xludf.DUMMYFUNCTION("""COMPUTED_VALUE"""),"Mâsson, Áskell")</f>
        <v>Mâsson, Áskell</v>
      </c>
      <c r="B5342" s="3">
        <f ca="1">IFERROR(__xludf.DUMMYFUNCTION("""COMPUTED_VALUE"""),1)</f>
        <v>1</v>
      </c>
      <c r="C5342" s="7">
        <f ca="1">IFERROR(__xludf.DUMMYFUNCTION("""COMPUTED_VALUE"""),1)</f>
        <v>1</v>
      </c>
      <c r="D5342" s="8">
        <f ca="1">IFERROR(__xludf.DUMMYFUNCTION("""COMPUTED_VALUE"""),1)</f>
        <v>1</v>
      </c>
      <c r="E5342" s="2">
        <f ca="1">IFERROR(__xludf.DUMMYFUNCTION("""COMPUTED_VALUE"""),1)</f>
        <v>1</v>
      </c>
    </row>
    <row r="5343" spans="1:5" ht="13">
      <c r="A5343" s="2" t="str">
        <f ca="1">IFERROR(__xludf.DUMMYFUNCTION("""COMPUTED_VALUE"""),"Masters, Andy")</f>
        <v>Masters, Andy</v>
      </c>
      <c r="B5343" s="3">
        <f ca="1">IFERROR(__xludf.DUMMYFUNCTION("""COMPUTED_VALUE"""),1)</f>
        <v>1</v>
      </c>
      <c r="C5343" s="7">
        <f ca="1">IFERROR(__xludf.DUMMYFUNCTION("""COMPUTED_VALUE"""),1)</f>
        <v>1</v>
      </c>
      <c r="D5343" s="8">
        <f ca="1">IFERROR(__xludf.DUMMYFUNCTION("""COMPUTED_VALUE"""),1)</f>
        <v>1</v>
      </c>
      <c r="E5343" s="2">
        <f ca="1">IFERROR(__xludf.DUMMYFUNCTION("""COMPUTED_VALUE"""),1)</f>
        <v>1</v>
      </c>
    </row>
    <row r="5344" spans="1:5" ht="13">
      <c r="A5344" s="2" t="str">
        <f ca="1">IFERROR(__xludf.DUMMYFUNCTION("""COMPUTED_VALUE"""),"Masters, Joel / Andy")</f>
        <v>Masters, Joel / Andy</v>
      </c>
      <c r="B5344" s="3">
        <f ca="1">IFERROR(__xludf.DUMMYFUNCTION("""COMPUTED_VALUE"""),1)</f>
        <v>1</v>
      </c>
      <c r="C5344" s="7">
        <f ca="1">IFERROR(__xludf.DUMMYFUNCTION("""COMPUTED_VALUE"""),1)</f>
        <v>1</v>
      </c>
      <c r="D5344" s="8">
        <f ca="1">IFERROR(__xludf.DUMMYFUNCTION("""COMPUTED_VALUE"""),1)</f>
        <v>1</v>
      </c>
      <c r="E5344" s="2">
        <f ca="1">IFERROR(__xludf.DUMMYFUNCTION("""COMPUTED_VALUE"""),1)</f>
        <v>1</v>
      </c>
    </row>
    <row r="5345" spans="1:5" ht="13">
      <c r="A5345" s="2" t="str">
        <f ca="1">IFERROR(__xludf.DUMMYFUNCTION("""COMPUTED_VALUE"""),"Matchavariani, Alexi")</f>
        <v>Matchavariani, Alexi</v>
      </c>
      <c r="B5345" s="3">
        <f ca="1">IFERROR(__xludf.DUMMYFUNCTION("""COMPUTED_VALUE"""),1)</f>
        <v>1</v>
      </c>
      <c r="C5345" s="7">
        <f ca="1">IFERROR(__xludf.DUMMYFUNCTION("""COMPUTED_VALUE"""),1)</f>
        <v>1</v>
      </c>
      <c r="D5345" s="8">
        <f ca="1">IFERROR(__xludf.DUMMYFUNCTION("""COMPUTED_VALUE"""),5)</f>
        <v>5</v>
      </c>
      <c r="E5345" s="2">
        <f ca="1">IFERROR(__xludf.DUMMYFUNCTION("""COMPUTED_VALUE"""),2)</f>
        <v>2</v>
      </c>
    </row>
    <row r="5346" spans="1:5" ht="13">
      <c r="A5346" s="2" t="str">
        <f ca="1">IFERROR(__xludf.DUMMYFUNCTION("""COMPUTED_VALUE"""),"Matesky, Ralph")</f>
        <v>Matesky, Ralph</v>
      </c>
      <c r="B5346" s="3">
        <f ca="1">IFERROR(__xludf.DUMMYFUNCTION("""COMPUTED_VALUE"""),1)</f>
        <v>1</v>
      </c>
      <c r="C5346" s="7">
        <f ca="1">IFERROR(__xludf.DUMMYFUNCTION("""COMPUTED_VALUE"""),1)</f>
        <v>1</v>
      </c>
      <c r="D5346" s="8">
        <f ca="1">IFERROR(__xludf.DUMMYFUNCTION("""COMPUTED_VALUE"""),5)</f>
        <v>5</v>
      </c>
      <c r="E5346" s="2">
        <f ca="1">IFERROR(__xludf.DUMMYFUNCTION("""COMPUTED_VALUE"""),2)</f>
        <v>2</v>
      </c>
    </row>
    <row r="5347" spans="1:5" ht="13">
      <c r="A5347" s="2" t="str">
        <f ca="1">IFERROR(__xludf.DUMMYFUNCTION("""COMPUTED_VALUE"""),"Mathais, William")</f>
        <v>Mathais, William</v>
      </c>
      <c r="B5347" s="3">
        <f ca="1">IFERROR(__xludf.DUMMYFUNCTION("""COMPUTED_VALUE"""),1)</f>
        <v>1</v>
      </c>
      <c r="C5347" s="7">
        <f ca="1">IFERROR(__xludf.DUMMYFUNCTION("""COMPUTED_VALUE"""),1)</f>
        <v>1</v>
      </c>
      <c r="D5347" s="8">
        <f ca="1">IFERROR(__xludf.DUMMYFUNCTION("""COMPUTED_VALUE"""),5)</f>
        <v>5</v>
      </c>
      <c r="E5347" s="2">
        <f ca="1">IFERROR(__xludf.DUMMYFUNCTION("""COMPUTED_VALUE"""),2)</f>
        <v>2</v>
      </c>
    </row>
    <row r="5348" spans="1:5" ht="13">
      <c r="A5348" s="2" t="str">
        <f ca="1">IFERROR(__xludf.DUMMYFUNCTION("""COMPUTED_VALUE"""),"Matheson, James")</f>
        <v>Matheson, James</v>
      </c>
      <c r="B5348" s="3">
        <f ca="1">IFERROR(__xludf.DUMMYFUNCTION("""COMPUTED_VALUE"""),1)</f>
        <v>1</v>
      </c>
      <c r="C5348" s="7">
        <f ca="1">IFERROR(__xludf.DUMMYFUNCTION("""COMPUTED_VALUE"""),1)</f>
        <v>1</v>
      </c>
      <c r="D5348" s="8">
        <f ca="1">IFERROR(__xludf.DUMMYFUNCTION("""COMPUTED_VALUE"""),1)</f>
        <v>1</v>
      </c>
      <c r="E5348" s="2">
        <f ca="1">IFERROR(__xludf.DUMMYFUNCTION("""COMPUTED_VALUE"""),1)</f>
        <v>1</v>
      </c>
    </row>
    <row r="5349" spans="1:5" ht="13">
      <c r="A5349" s="2" t="str">
        <f ca="1">IFERROR(__xludf.DUMMYFUNCTION("""COMPUTED_VALUE"""),"Mathews, Bob")</f>
        <v>Mathews, Bob</v>
      </c>
      <c r="B5349" s="3">
        <f ca="1">IFERROR(__xludf.DUMMYFUNCTION("""COMPUTED_VALUE"""),1)</f>
        <v>1</v>
      </c>
      <c r="C5349" s="7">
        <f ca="1">IFERROR(__xludf.DUMMYFUNCTION("""COMPUTED_VALUE"""),1)</f>
        <v>1</v>
      </c>
      <c r="D5349" s="8">
        <f ca="1">IFERROR(__xludf.DUMMYFUNCTION("""COMPUTED_VALUE"""),1)</f>
        <v>1</v>
      </c>
      <c r="E5349" s="2">
        <f ca="1">IFERROR(__xludf.DUMMYFUNCTION("""COMPUTED_VALUE"""),1)</f>
        <v>1</v>
      </c>
    </row>
    <row r="5350" spans="1:5" ht="13">
      <c r="A5350" s="2" t="str">
        <f ca="1">IFERROR(__xludf.DUMMYFUNCTION("""COMPUTED_VALUE"""),"Mathews, Peter")</f>
        <v>Mathews, Peter</v>
      </c>
      <c r="B5350" s="3">
        <f ca="1">IFERROR(__xludf.DUMMYFUNCTION("""COMPUTED_VALUE"""),1)</f>
        <v>1</v>
      </c>
      <c r="C5350" s="7">
        <f ca="1">IFERROR(__xludf.DUMMYFUNCTION("""COMPUTED_VALUE"""),1)</f>
        <v>1</v>
      </c>
      <c r="D5350" s="8">
        <f ca="1">IFERROR(__xludf.DUMMYFUNCTION("""COMPUTED_VALUE"""),1)</f>
        <v>1</v>
      </c>
      <c r="E5350" s="2">
        <f ca="1">IFERROR(__xludf.DUMMYFUNCTION("""COMPUTED_VALUE"""),1)</f>
        <v>1</v>
      </c>
    </row>
    <row r="5351" spans="1:5" ht="13">
      <c r="A5351" s="2" t="str">
        <f ca="1">IFERROR(__xludf.DUMMYFUNCTION("""COMPUTED_VALUE"""),"Mathias, William")</f>
        <v>Mathias, William</v>
      </c>
      <c r="B5351" s="3">
        <f ca="1">IFERROR(__xludf.DUMMYFUNCTION("""COMPUTED_VALUE"""),1)</f>
        <v>1</v>
      </c>
      <c r="C5351" s="7">
        <f ca="1">IFERROR(__xludf.DUMMYFUNCTION("""COMPUTED_VALUE"""),1)</f>
        <v>1</v>
      </c>
      <c r="D5351" s="8">
        <f ca="1">IFERROR(__xludf.DUMMYFUNCTION("""COMPUTED_VALUE"""),5)</f>
        <v>5</v>
      </c>
      <c r="E5351" s="2">
        <f ca="1">IFERROR(__xludf.DUMMYFUNCTION("""COMPUTED_VALUE"""),2)</f>
        <v>2</v>
      </c>
    </row>
    <row r="5352" spans="1:5" ht="13">
      <c r="A5352" s="8" t="str">
        <f ca="1">IFERROR(__xludf.DUMMYFUNCTION("""COMPUTED_VALUE"""),"Mathieson, Muir")</f>
        <v>Mathieson, Muir</v>
      </c>
      <c r="B5352" s="3">
        <f ca="1">IFERROR(__xludf.DUMMYFUNCTION("""COMPUTED_VALUE"""),1)</f>
        <v>1</v>
      </c>
      <c r="C5352" s="7">
        <f ca="1">IFERROR(__xludf.DUMMYFUNCTION("""COMPUTED_VALUE"""),1)</f>
        <v>1</v>
      </c>
      <c r="D5352" s="8">
        <f ca="1">IFERROR(__xludf.DUMMYFUNCTION("""COMPUTED_VALUE"""),5)</f>
        <v>5</v>
      </c>
      <c r="E5352" s="2">
        <f ca="1">IFERROR(__xludf.DUMMYFUNCTION("""COMPUTED_VALUE"""),2)</f>
        <v>2</v>
      </c>
    </row>
    <row r="5353" spans="1:5" ht="13">
      <c r="A5353" s="2" t="str">
        <f ca="1">IFERROR(__xludf.DUMMYFUNCTION("""COMPUTED_VALUE"""),"Mathieu, Andre")</f>
        <v>Mathieu, Andre</v>
      </c>
      <c r="B5353" s="3">
        <f ca="1">IFERROR(__xludf.DUMMYFUNCTION("""COMPUTED_VALUE"""),1)</f>
        <v>1</v>
      </c>
      <c r="C5353" s="7">
        <f ca="1">IFERROR(__xludf.DUMMYFUNCTION("""COMPUTED_VALUE"""),1)</f>
        <v>1</v>
      </c>
      <c r="D5353" s="8">
        <f ca="1">IFERROR(__xludf.DUMMYFUNCTION("""COMPUTED_VALUE"""),5)</f>
        <v>5</v>
      </c>
      <c r="E5353" s="2">
        <f ca="1">IFERROR(__xludf.DUMMYFUNCTION("""COMPUTED_VALUE"""),2)</f>
        <v>2</v>
      </c>
    </row>
    <row r="5354" spans="1:5" ht="13">
      <c r="A5354" s="2" t="str">
        <f ca="1">IFERROR(__xludf.DUMMYFUNCTION("""COMPUTED_VALUE"""),"Mathieu, André")</f>
        <v>Mathieu, André</v>
      </c>
      <c r="B5354" s="3">
        <f ca="1">IFERROR(__xludf.DUMMYFUNCTION("""COMPUTED_VALUE"""),1)</f>
        <v>1</v>
      </c>
      <c r="C5354" s="7">
        <f ca="1">IFERROR(__xludf.DUMMYFUNCTION("""COMPUTED_VALUE"""),1)</f>
        <v>1</v>
      </c>
      <c r="D5354" s="8">
        <f ca="1">IFERROR(__xludf.DUMMYFUNCTION("""COMPUTED_VALUE"""),5)</f>
        <v>5</v>
      </c>
      <c r="E5354" s="2">
        <f ca="1">IFERROR(__xludf.DUMMYFUNCTION("""COMPUTED_VALUE"""),2)</f>
        <v>2</v>
      </c>
    </row>
    <row r="5355" spans="1:5" ht="13">
      <c r="A5355" s="2" t="str">
        <f ca="1">IFERROR(__xludf.DUMMYFUNCTION("""COMPUTED_VALUE"""),"Matitia, Jean (Christian Lauba)")</f>
        <v>Matitia, Jean (Christian Lauba)</v>
      </c>
      <c r="B5355" s="3">
        <f ca="1">IFERROR(__xludf.DUMMYFUNCTION("""COMPUTED_VALUE"""),1)</f>
        <v>1</v>
      </c>
      <c r="C5355" s="7">
        <f ca="1">IFERROR(__xludf.DUMMYFUNCTION("""COMPUTED_VALUE"""),1)</f>
        <v>1</v>
      </c>
      <c r="D5355" s="8">
        <f ca="1">IFERROR(__xludf.DUMMYFUNCTION("""COMPUTED_VALUE"""),5)</f>
        <v>5</v>
      </c>
      <c r="E5355" s="2">
        <f ca="1">IFERROR(__xludf.DUMMYFUNCTION("""COMPUTED_VALUE"""),2)</f>
        <v>2</v>
      </c>
    </row>
    <row r="5356" spans="1:5" ht="13">
      <c r="A5356" s="2" t="str">
        <f ca="1">IFERROR(__xludf.DUMMYFUNCTION("""COMPUTED_VALUE"""),"Matosinhos, Ricardo")</f>
        <v>Matosinhos, Ricardo</v>
      </c>
      <c r="B5356" s="3">
        <f ca="1">IFERROR(__xludf.DUMMYFUNCTION("""COMPUTED_VALUE"""),1)</f>
        <v>1</v>
      </c>
      <c r="C5356" s="7">
        <f ca="1">IFERROR(__xludf.DUMMYFUNCTION("""COMPUTED_VALUE"""),1)</f>
        <v>1</v>
      </c>
      <c r="D5356" s="8">
        <f ca="1">IFERROR(__xludf.DUMMYFUNCTION("""COMPUTED_VALUE"""),1)</f>
        <v>1</v>
      </c>
      <c r="E5356" s="2">
        <f ca="1">IFERROR(__xludf.DUMMYFUNCTION("""COMPUTED_VALUE"""),1)</f>
        <v>1</v>
      </c>
    </row>
    <row r="5357" spans="1:5" ht="13">
      <c r="A5357" s="2" t="str">
        <f ca="1">IFERROR(__xludf.DUMMYFUNCTION("""COMPUTED_VALUE"""),"Matre, Ørjan")</f>
        <v>Matre, Ørjan</v>
      </c>
      <c r="B5357" s="3">
        <f ca="1">IFERROR(__xludf.DUMMYFUNCTION("""COMPUTED_VALUE"""),1)</f>
        <v>1</v>
      </c>
      <c r="C5357" s="7">
        <f ca="1">IFERROR(__xludf.DUMMYFUNCTION("""COMPUTED_VALUE"""),1)</f>
        <v>1</v>
      </c>
      <c r="D5357" s="8">
        <f ca="1">IFERROR(__xludf.DUMMYFUNCTION("""COMPUTED_VALUE"""),1)</f>
        <v>1</v>
      </c>
      <c r="E5357" s="2">
        <f ca="1">IFERROR(__xludf.DUMMYFUNCTION("""COMPUTED_VALUE"""),1)</f>
        <v>1</v>
      </c>
    </row>
    <row r="5358" spans="1:5" ht="13">
      <c r="A5358" s="2" t="str">
        <f ca="1">IFERROR(__xludf.DUMMYFUNCTION("""COMPUTED_VALUE"""),"Matterling, George")</f>
        <v>Matterling, George</v>
      </c>
      <c r="B5358" s="3">
        <f ca="1">IFERROR(__xludf.DUMMYFUNCTION("""COMPUTED_VALUE"""),1)</f>
        <v>1</v>
      </c>
      <c r="C5358" s="7">
        <f ca="1">IFERROR(__xludf.DUMMYFUNCTION("""COMPUTED_VALUE"""),1)</f>
        <v>1</v>
      </c>
      <c r="D5358" s="8">
        <f ca="1">IFERROR(__xludf.DUMMYFUNCTION("""COMPUTED_VALUE"""),5)</f>
        <v>5</v>
      </c>
      <c r="E5358" s="2">
        <f ca="1">IFERROR(__xludf.DUMMYFUNCTION("""COMPUTED_VALUE"""),2)</f>
        <v>2</v>
      </c>
    </row>
    <row r="5359" spans="1:5" ht="13">
      <c r="A5359" s="2" t="str">
        <f ca="1">IFERROR(__xludf.DUMMYFUNCTION("""COMPUTED_VALUE"""),"Matteson, Rich")</f>
        <v>Matteson, Rich</v>
      </c>
      <c r="B5359" s="3">
        <f ca="1">IFERROR(__xludf.DUMMYFUNCTION("""COMPUTED_VALUE"""),1)</f>
        <v>1</v>
      </c>
      <c r="C5359" s="7">
        <f ca="1">IFERROR(__xludf.DUMMYFUNCTION("""COMPUTED_VALUE"""),1)</f>
        <v>1</v>
      </c>
      <c r="D5359" s="8">
        <f ca="1">IFERROR(__xludf.DUMMYFUNCTION("""COMPUTED_VALUE"""),5)</f>
        <v>5</v>
      </c>
      <c r="E5359" s="2">
        <f ca="1">IFERROR(__xludf.DUMMYFUNCTION("""COMPUTED_VALUE"""),2)</f>
        <v>2</v>
      </c>
    </row>
    <row r="5360" spans="1:5" ht="13">
      <c r="A5360" s="8" t="str">
        <f ca="1">IFERROR(__xludf.DUMMYFUNCTION("""COMPUTED_VALUE"""),"Matthews, Bob")</f>
        <v>Matthews, Bob</v>
      </c>
      <c r="B5360" s="3">
        <f ca="1">IFERROR(__xludf.DUMMYFUNCTION("""COMPUTED_VALUE"""),1)</f>
        <v>1</v>
      </c>
      <c r="C5360" s="7">
        <f ca="1">IFERROR(__xludf.DUMMYFUNCTION("""COMPUTED_VALUE"""),1)</f>
        <v>1</v>
      </c>
      <c r="D5360" s="8">
        <f ca="1">IFERROR(__xludf.DUMMYFUNCTION("""COMPUTED_VALUE"""),1)</f>
        <v>1</v>
      </c>
      <c r="E5360" s="2">
        <f ca="1">IFERROR(__xludf.DUMMYFUNCTION("""COMPUTED_VALUE"""),1)</f>
        <v>1</v>
      </c>
    </row>
    <row r="5361" spans="1:5" ht="13">
      <c r="A5361" s="8" t="str">
        <f ca="1">IFERROR(__xludf.DUMMYFUNCTION("""COMPUTED_VALUE"""),"Matthews, Christopher")</f>
        <v>Matthews, Christopher</v>
      </c>
      <c r="B5361" s="3">
        <f ca="1">IFERROR(__xludf.DUMMYFUNCTION("""COMPUTED_VALUE"""),1)</f>
        <v>1</v>
      </c>
      <c r="C5361" s="7">
        <f ca="1">IFERROR(__xludf.DUMMYFUNCTION("""COMPUTED_VALUE"""),1)</f>
        <v>1</v>
      </c>
      <c r="D5361" s="8">
        <f ca="1">IFERROR(__xludf.DUMMYFUNCTION("""COMPUTED_VALUE"""),1)</f>
        <v>1</v>
      </c>
      <c r="E5361" s="2">
        <f ca="1">IFERROR(__xludf.DUMMYFUNCTION("""COMPUTED_VALUE"""),1)</f>
        <v>1</v>
      </c>
    </row>
    <row r="5362" spans="1:5" ht="13">
      <c r="A5362" s="2" t="str">
        <f ca="1">IFERROR(__xludf.DUMMYFUNCTION("""COMPUTED_VALUE"""),"Matthews, Colin")</f>
        <v>Matthews, Colin</v>
      </c>
      <c r="B5362" s="3">
        <f ca="1">IFERROR(__xludf.DUMMYFUNCTION("""COMPUTED_VALUE"""),1)</f>
        <v>1</v>
      </c>
      <c r="C5362" s="7">
        <f ca="1">IFERROR(__xludf.DUMMYFUNCTION("""COMPUTED_VALUE"""),1)</f>
        <v>1</v>
      </c>
      <c r="D5362" s="8">
        <f ca="1">IFERROR(__xludf.DUMMYFUNCTION("""COMPUTED_VALUE"""),1)</f>
        <v>1</v>
      </c>
      <c r="E5362" s="2">
        <f ca="1">IFERROR(__xludf.DUMMYFUNCTION("""COMPUTED_VALUE"""),1)</f>
        <v>1</v>
      </c>
    </row>
    <row r="5363" spans="1:5" ht="13">
      <c r="A5363" s="8" t="str">
        <f ca="1">IFERROR(__xludf.DUMMYFUNCTION("""COMPUTED_VALUE"""),"Matthews, Dave")</f>
        <v>Matthews, Dave</v>
      </c>
      <c r="B5363" s="3">
        <f ca="1">IFERROR(__xludf.DUMMYFUNCTION("""COMPUTED_VALUE"""),1)</f>
        <v>1</v>
      </c>
      <c r="C5363" s="7">
        <f ca="1">IFERROR(__xludf.DUMMYFUNCTION("""COMPUTED_VALUE"""),1)</f>
        <v>1</v>
      </c>
      <c r="D5363" s="8">
        <f ca="1">IFERROR(__xludf.DUMMYFUNCTION("""COMPUTED_VALUE"""),1)</f>
        <v>1</v>
      </c>
      <c r="E5363" s="2">
        <f ca="1">IFERROR(__xludf.DUMMYFUNCTION("""COMPUTED_VALUE"""),1)</f>
        <v>1</v>
      </c>
    </row>
    <row r="5364" spans="1:5" ht="13">
      <c r="A5364" s="2" t="str">
        <f ca="1">IFERROR(__xludf.DUMMYFUNCTION("""COMPUTED_VALUE"""),"Matthews, David J.")</f>
        <v>Matthews, David J.</v>
      </c>
      <c r="B5364" s="3">
        <f ca="1">IFERROR(__xludf.DUMMYFUNCTION("""COMPUTED_VALUE"""),1)</f>
        <v>1</v>
      </c>
      <c r="C5364" s="7">
        <f ca="1">IFERROR(__xludf.DUMMYFUNCTION("""COMPUTED_VALUE"""),1)</f>
        <v>1</v>
      </c>
      <c r="D5364" s="8">
        <f ca="1">IFERROR(__xludf.DUMMYFUNCTION("""COMPUTED_VALUE"""),1)</f>
        <v>1</v>
      </c>
      <c r="E5364" s="2">
        <f ca="1">IFERROR(__xludf.DUMMYFUNCTION("""COMPUTED_VALUE"""),1)</f>
        <v>1</v>
      </c>
    </row>
    <row r="5365" spans="1:5" ht="13">
      <c r="A5365" s="8" t="str">
        <f ca="1">IFERROR(__xludf.DUMMYFUNCTION("""COMPUTED_VALUE"""),"Matthews, Paul")</f>
        <v>Matthews, Paul</v>
      </c>
      <c r="B5365" s="3">
        <f ca="1">IFERROR(__xludf.DUMMYFUNCTION("""COMPUTED_VALUE"""),1)</f>
        <v>1</v>
      </c>
      <c r="C5365" s="7">
        <f ca="1">IFERROR(__xludf.DUMMYFUNCTION("""COMPUTED_VALUE"""),1)</f>
        <v>1</v>
      </c>
      <c r="D5365" s="8">
        <f ca="1">IFERROR(__xludf.DUMMYFUNCTION("""COMPUTED_VALUE"""),1)</f>
        <v>1</v>
      </c>
      <c r="E5365" s="2">
        <f ca="1">IFERROR(__xludf.DUMMYFUNCTION("""COMPUTED_VALUE"""),1)</f>
        <v>1</v>
      </c>
    </row>
    <row r="5366" spans="1:5" ht="13">
      <c r="A5366" s="2" t="str">
        <f ca="1">IFERROR(__xludf.DUMMYFUNCTION("""COMPUTED_VALUE"""),"Matthews, Thomas")</f>
        <v>Matthews, Thomas</v>
      </c>
      <c r="B5366" s="3">
        <f ca="1">IFERROR(__xludf.DUMMYFUNCTION("""COMPUTED_VALUE"""),1)</f>
        <v>1</v>
      </c>
      <c r="C5366" s="7">
        <f ca="1">IFERROR(__xludf.DUMMYFUNCTION("""COMPUTED_VALUE"""),1)</f>
        <v>1</v>
      </c>
      <c r="D5366" s="8">
        <f ca="1">IFERROR(__xludf.DUMMYFUNCTION("""COMPUTED_VALUE"""),5)</f>
        <v>5</v>
      </c>
      <c r="E5366" s="2">
        <f ca="1">IFERROR(__xludf.DUMMYFUNCTION("""COMPUTED_VALUE"""),2)</f>
        <v>2</v>
      </c>
    </row>
    <row r="5367" spans="1:5" ht="13">
      <c r="A5367" s="8" t="str">
        <f ca="1">IFERROR(__xludf.DUMMYFUNCTION("""COMPUTED_VALUE"""),"Matthias, Wilhelm")</f>
        <v>Matthias, Wilhelm</v>
      </c>
      <c r="B5367" s="3">
        <f ca="1">IFERROR(__xludf.DUMMYFUNCTION("""COMPUTED_VALUE"""),1)</f>
        <v>1</v>
      </c>
      <c r="C5367" s="7">
        <f ca="1">IFERROR(__xludf.DUMMYFUNCTION("""COMPUTED_VALUE"""),1)</f>
        <v>1</v>
      </c>
      <c r="D5367" s="8">
        <f ca="1">IFERROR(__xludf.DUMMYFUNCTION("""COMPUTED_VALUE"""),5)</f>
        <v>5</v>
      </c>
      <c r="E5367" s="2">
        <f ca="1">IFERROR(__xludf.DUMMYFUNCTION("""COMPUTED_VALUE"""),2)</f>
        <v>2</v>
      </c>
    </row>
    <row r="5368" spans="1:5" ht="13">
      <c r="A5368" s="2" t="str">
        <f ca="1">IFERROR(__xludf.DUMMYFUNCTION("""COMPUTED_VALUE"""),"Matthus, Siegfried")</f>
        <v>Matthus, Siegfried</v>
      </c>
      <c r="B5368" s="3">
        <f ca="1">IFERROR(__xludf.DUMMYFUNCTION("""COMPUTED_VALUE"""),1)</f>
        <v>1</v>
      </c>
      <c r="C5368" s="7">
        <f ca="1">IFERROR(__xludf.DUMMYFUNCTION("""COMPUTED_VALUE"""),1)</f>
        <v>1</v>
      </c>
      <c r="D5368" s="8">
        <f ca="1">IFERROR(__xludf.DUMMYFUNCTION("""COMPUTED_VALUE"""),5)</f>
        <v>5</v>
      </c>
      <c r="E5368" s="2">
        <f ca="1">IFERROR(__xludf.DUMMYFUNCTION("""COMPUTED_VALUE"""),2)</f>
        <v>2</v>
      </c>
    </row>
    <row r="5369" spans="1:5" ht="13">
      <c r="A5369" s="2" t="str">
        <f ca="1">IFERROR(__xludf.DUMMYFUNCTION("""COMPUTED_VALUE"""),"Matthys, Joel")</f>
        <v>Matthys, Joel</v>
      </c>
      <c r="B5369" s="2">
        <f ca="1">IFERROR(__xludf.DUMMYFUNCTION("""COMPUTED_VALUE"""),1)</f>
        <v>1</v>
      </c>
      <c r="C5369" s="7">
        <f ca="1">IFERROR(__xludf.DUMMYFUNCTION("""COMPUTED_VALUE"""),1)</f>
        <v>1</v>
      </c>
      <c r="D5369" s="8">
        <f ca="1">IFERROR(__xludf.DUMMYFUNCTION("""COMPUTED_VALUE"""),1)</f>
        <v>1</v>
      </c>
      <c r="E5369" s="2">
        <f ca="1">IFERROR(__xludf.DUMMYFUNCTION("""COMPUTED_VALUE"""),1)</f>
        <v>1</v>
      </c>
    </row>
    <row r="5370" spans="1:5" ht="13">
      <c r="A5370" s="2" t="str">
        <f ca="1">IFERROR(__xludf.DUMMYFUNCTION("""COMPUTED_VALUE"""),"Mattson, Phil")</f>
        <v>Mattson, Phil</v>
      </c>
      <c r="B5370" s="3">
        <f ca="1">IFERROR(__xludf.DUMMYFUNCTION("""COMPUTED_VALUE"""),1)</f>
        <v>1</v>
      </c>
      <c r="C5370" s="7">
        <f ca="1">IFERROR(__xludf.DUMMYFUNCTION("""COMPUTED_VALUE"""),1)</f>
        <v>1</v>
      </c>
      <c r="D5370" s="8">
        <f ca="1">IFERROR(__xludf.DUMMYFUNCTION("""COMPUTED_VALUE"""),5)</f>
        <v>5</v>
      </c>
      <c r="E5370" s="2">
        <f ca="1">IFERROR(__xludf.DUMMYFUNCTION("""COMPUTED_VALUE"""),2)</f>
        <v>2</v>
      </c>
    </row>
    <row r="5371" spans="1:5" ht="13">
      <c r="A5371" s="2" t="str">
        <f ca="1">IFERROR(__xludf.DUMMYFUNCTION("""COMPUTED_VALUE"""),"Maugeri, Rudi / Barrett, Pat")</f>
        <v>Maugeri, Rudi / Barrett, Pat</v>
      </c>
      <c r="B5371" s="2">
        <f ca="1">IFERROR(__xludf.DUMMYFUNCTION("""COMPUTED_VALUE"""),1)</f>
        <v>1</v>
      </c>
      <c r="C5371" s="7">
        <f ca="1">IFERROR(__xludf.DUMMYFUNCTION("""COMPUTED_VALUE"""),1)</f>
        <v>1</v>
      </c>
      <c r="D5371" s="8">
        <f ca="1">IFERROR(__xludf.DUMMYFUNCTION("""COMPUTED_VALUE"""),5)</f>
        <v>5</v>
      </c>
      <c r="E5371" s="2">
        <f ca="1">IFERROR(__xludf.DUMMYFUNCTION("""COMPUTED_VALUE"""),2)</f>
        <v>2</v>
      </c>
    </row>
    <row r="5372" spans="1:5" ht="13">
      <c r="A5372" s="2" t="str">
        <f ca="1">IFERROR(__xludf.DUMMYFUNCTION("""COMPUTED_VALUE"""),"Mauldin, Michael")</f>
        <v>Mauldin, Michael</v>
      </c>
      <c r="B5372" s="3">
        <f ca="1">IFERROR(__xludf.DUMMYFUNCTION("""COMPUTED_VALUE"""),1)</f>
        <v>1</v>
      </c>
      <c r="C5372" s="7">
        <f ca="1">IFERROR(__xludf.DUMMYFUNCTION("""COMPUTED_VALUE"""),1)</f>
        <v>1</v>
      </c>
      <c r="D5372" s="8">
        <f ca="1">IFERROR(__xludf.DUMMYFUNCTION("""COMPUTED_VALUE"""),1)</f>
        <v>1</v>
      </c>
      <c r="E5372" s="2">
        <f ca="1">IFERROR(__xludf.DUMMYFUNCTION("""COMPUTED_VALUE"""),1)</f>
        <v>1</v>
      </c>
    </row>
    <row r="5373" spans="1:5" ht="13">
      <c r="A5373" s="2" t="str">
        <f ca="1">IFERROR(__xludf.DUMMYFUNCTION("""COMPUTED_VALUE"""),"Mauldin, Stan")</f>
        <v>Mauldin, Stan</v>
      </c>
      <c r="B5373" s="3">
        <f ca="1">IFERROR(__xludf.DUMMYFUNCTION("""COMPUTED_VALUE"""),1)</f>
        <v>1</v>
      </c>
      <c r="C5373" s="7">
        <f ca="1">IFERROR(__xludf.DUMMYFUNCTION("""COMPUTED_VALUE"""),1)</f>
        <v>1</v>
      </c>
      <c r="D5373" s="8">
        <f ca="1">IFERROR(__xludf.DUMMYFUNCTION("""COMPUTED_VALUE"""),1)</f>
        <v>1</v>
      </c>
      <c r="E5373" s="2">
        <f ca="1">IFERROR(__xludf.DUMMYFUNCTION("""COMPUTED_VALUE"""),1)</f>
        <v>1</v>
      </c>
    </row>
    <row r="5374" spans="1:5" ht="13">
      <c r="A5374" s="2" t="str">
        <f ca="1">IFERROR(__xludf.DUMMYFUNCTION("""COMPUTED_VALUE"""),"Maurer, Louis W.")</f>
        <v>Maurer, Louis W.</v>
      </c>
      <c r="B5374" s="2">
        <f ca="1">IFERROR(__xludf.DUMMYFUNCTION("""COMPUTED_VALUE"""),1)</f>
        <v>1</v>
      </c>
      <c r="C5374" s="7">
        <f ca="1">IFERROR(__xludf.DUMMYFUNCTION("""COMPUTED_VALUE"""),1)</f>
        <v>1</v>
      </c>
      <c r="D5374" s="8">
        <f ca="1">IFERROR(__xludf.DUMMYFUNCTION("""COMPUTED_VALUE"""),5)</f>
        <v>5</v>
      </c>
      <c r="E5374" s="2">
        <f ca="1">IFERROR(__xludf.DUMMYFUNCTION("""COMPUTED_VALUE"""),2)</f>
        <v>2</v>
      </c>
    </row>
    <row r="5375" spans="1:5" ht="13">
      <c r="A5375" s="2" t="str">
        <f ca="1">IFERROR(__xludf.DUMMYFUNCTION("""COMPUTED_VALUE"""),"Maw, Nicholas")</f>
        <v>Maw, Nicholas</v>
      </c>
      <c r="B5375" s="3">
        <f ca="1">IFERROR(__xludf.DUMMYFUNCTION("""COMPUTED_VALUE"""),1)</f>
        <v>1</v>
      </c>
      <c r="C5375" s="7">
        <f ca="1">IFERROR(__xludf.DUMMYFUNCTION("""COMPUTED_VALUE"""),1)</f>
        <v>1</v>
      </c>
      <c r="D5375" s="8">
        <f ca="1">IFERROR(__xludf.DUMMYFUNCTION("""COMPUTED_VALUE"""),1)</f>
        <v>1</v>
      </c>
      <c r="E5375" s="2">
        <f ca="1">IFERROR(__xludf.DUMMYFUNCTION("""COMPUTED_VALUE"""),1)</f>
        <v>1</v>
      </c>
    </row>
    <row r="5376" spans="1:5" ht="13">
      <c r="A5376" s="2" t="str">
        <f ca="1">IFERROR(__xludf.DUMMYFUNCTION("""COMPUTED_VALUE"""),"Maxfield, Andrew")</f>
        <v>Maxfield, Andrew</v>
      </c>
      <c r="B5376" s="3">
        <f ca="1">IFERROR(__xludf.DUMMYFUNCTION("""COMPUTED_VALUE"""),1)</f>
        <v>1</v>
      </c>
      <c r="C5376" s="7">
        <f ca="1">IFERROR(__xludf.DUMMYFUNCTION("""COMPUTED_VALUE"""),1)</f>
        <v>1</v>
      </c>
      <c r="D5376" s="8">
        <f ca="1">IFERROR(__xludf.DUMMYFUNCTION("""COMPUTED_VALUE"""),1)</f>
        <v>1</v>
      </c>
      <c r="E5376" s="2">
        <f ca="1">IFERROR(__xludf.DUMMYFUNCTION("""COMPUTED_VALUE"""),1)</f>
        <v>1</v>
      </c>
    </row>
    <row r="5377" spans="1:5" ht="13">
      <c r="A5377" s="2" t="str">
        <f ca="1">IFERROR(__xludf.DUMMYFUNCTION("""COMPUTED_VALUE"""),"Maxwell-Davies, Peter")</f>
        <v>Maxwell-Davies, Peter</v>
      </c>
      <c r="B5377" s="3">
        <f ca="1">IFERROR(__xludf.DUMMYFUNCTION("""COMPUTED_VALUE"""),1)</f>
        <v>1</v>
      </c>
      <c r="C5377" s="7">
        <f ca="1">IFERROR(__xludf.DUMMYFUNCTION("""COMPUTED_VALUE"""),1)</f>
        <v>1</v>
      </c>
      <c r="D5377" s="8">
        <f ca="1">IFERROR(__xludf.DUMMYFUNCTION("""COMPUTED_VALUE"""),5)</f>
        <v>5</v>
      </c>
      <c r="E5377" s="2">
        <f ca="1">IFERROR(__xludf.DUMMYFUNCTION("""COMPUTED_VALUE"""),2)</f>
        <v>2</v>
      </c>
    </row>
    <row r="5378" spans="1:5" ht="13">
      <c r="A5378" s="8" t="str">
        <f ca="1">IFERROR(__xludf.DUMMYFUNCTION("""COMPUTED_VALUE"""),"Maxwell, Everett")</f>
        <v>Maxwell, Everett</v>
      </c>
      <c r="B5378" s="3">
        <f ca="1">IFERROR(__xludf.DUMMYFUNCTION("""COMPUTED_VALUE"""),1)</f>
        <v>1</v>
      </c>
      <c r="C5378" s="7">
        <f ca="1">IFERROR(__xludf.DUMMYFUNCTION("""COMPUTED_VALUE"""),1)</f>
        <v>1</v>
      </c>
      <c r="D5378" s="8">
        <f ca="1">IFERROR(__xludf.DUMMYFUNCTION("""COMPUTED_VALUE"""),5)</f>
        <v>5</v>
      </c>
      <c r="E5378" s="2">
        <f ca="1">IFERROR(__xludf.DUMMYFUNCTION("""COMPUTED_VALUE"""),2)</f>
        <v>2</v>
      </c>
    </row>
    <row r="5379" spans="1:5" ht="13">
      <c r="A5379" s="2" t="str">
        <f ca="1">IFERROR(__xludf.DUMMYFUNCTION("""COMPUTED_VALUE"""),"Maxwell, Robert / Sigman, Carl")</f>
        <v>Maxwell, Robert / Sigman, Carl</v>
      </c>
      <c r="B5379" s="2">
        <f ca="1">IFERROR(__xludf.DUMMYFUNCTION("""COMPUTED_VALUE"""),1)</f>
        <v>1</v>
      </c>
      <c r="C5379" s="7">
        <f ca="1">IFERROR(__xludf.DUMMYFUNCTION("""COMPUTED_VALUE"""),1)</f>
        <v>1</v>
      </c>
      <c r="D5379" s="8">
        <f ca="1">IFERROR(__xludf.DUMMYFUNCTION("""COMPUTED_VALUE"""),5)</f>
        <v>5</v>
      </c>
      <c r="E5379" s="2">
        <f ca="1">IFERROR(__xludf.DUMMYFUNCTION("""COMPUTED_VALUE"""),2)</f>
        <v>2</v>
      </c>
    </row>
    <row r="5380" spans="1:5" ht="13">
      <c r="A5380" s="2" t="str">
        <f ca="1">IFERROR(__xludf.DUMMYFUNCTION("""COMPUTED_VALUE"""),"May, Ben")</f>
        <v>May, Ben</v>
      </c>
      <c r="B5380" s="2">
        <f ca="1">IFERROR(__xludf.DUMMYFUNCTION("""COMPUTED_VALUE"""),1)</f>
        <v>1</v>
      </c>
      <c r="C5380" s="7">
        <f ca="1">IFERROR(__xludf.DUMMYFUNCTION("""COMPUTED_VALUE"""),1)</f>
        <v>1</v>
      </c>
      <c r="D5380" s="8">
        <f ca="1">IFERROR(__xludf.DUMMYFUNCTION("""COMPUTED_VALUE"""),1)</f>
        <v>1</v>
      </c>
      <c r="E5380" s="2">
        <f ca="1">IFERROR(__xludf.DUMMYFUNCTION("""COMPUTED_VALUE"""),1)</f>
        <v>1</v>
      </c>
    </row>
    <row r="5381" spans="1:5" ht="13">
      <c r="A5381" s="8" t="str">
        <f ca="1">IFERROR(__xludf.DUMMYFUNCTION("""COMPUTED_VALUE"""),"May, Helmut")</f>
        <v>May, Helmut</v>
      </c>
      <c r="B5381" s="3">
        <f ca="1">IFERROR(__xludf.DUMMYFUNCTION("""COMPUTED_VALUE"""),1)</f>
        <v>1</v>
      </c>
      <c r="C5381" s="7">
        <f ca="1">IFERROR(__xludf.DUMMYFUNCTION("""COMPUTED_VALUE"""),1)</f>
        <v>1</v>
      </c>
      <c r="D5381" s="8">
        <f ca="1">IFERROR(__xludf.DUMMYFUNCTION("""COMPUTED_VALUE"""),5)</f>
        <v>5</v>
      </c>
      <c r="E5381" s="2">
        <f ca="1">IFERROR(__xludf.DUMMYFUNCTION("""COMPUTED_VALUE"""),2)</f>
        <v>2</v>
      </c>
    </row>
    <row r="5382" spans="1:5" ht="13">
      <c r="A5382" s="2" t="str">
        <f ca="1">IFERROR(__xludf.DUMMYFUNCTION("""COMPUTED_VALUE"""),"May, Tom")</f>
        <v>May, Tom</v>
      </c>
      <c r="B5382" s="3">
        <f ca="1">IFERROR(__xludf.DUMMYFUNCTION("""COMPUTED_VALUE"""),1)</f>
        <v>1</v>
      </c>
      <c r="C5382" s="7">
        <f ca="1">IFERROR(__xludf.DUMMYFUNCTION("""COMPUTED_VALUE"""),1)</f>
        <v>1</v>
      </c>
      <c r="D5382" s="8">
        <f ca="1">IFERROR(__xludf.DUMMYFUNCTION("""COMPUTED_VALUE"""),1)</f>
        <v>1</v>
      </c>
      <c r="E5382" s="2">
        <f ca="1">IFERROR(__xludf.DUMMYFUNCTION("""COMPUTED_VALUE"""),1)</f>
        <v>1</v>
      </c>
    </row>
    <row r="5383" spans="1:5" ht="13">
      <c r="A5383" s="2" t="str">
        <f ca="1">IFERROR(__xludf.DUMMYFUNCTION("""COMPUTED_VALUE"""),"Mayernik, Luke")</f>
        <v>Mayernik, Luke</v>
      </c>
      <c r="B5383" s="3">
        <f ca="1">IFERROR(__xludf.DUMMYFUNCTION("""COMPUTED_VALUE"""),1)</f>
        <v>1</v>
      </c>
      <c r="C5383" s="7">
        <f ca="1">IFERROR(__xludf.DUMMYFUNCTION("""COMPUTED_VALUE"""),1)</f>
        <v>1</v>
      </c>
      <c r="D5383" s="8">
        <f ca="1">IFERROR(__xludf.DUMMYFUNCTION("""COMPUTED_VALUE"""),1)</f>
        <v>1</v>
      </c>
      <c r="E5383" s="2">
        <f ca="1">IFERROR(__xludf.DUMMYFUNCTION("""COMPUTED_VALUE"""),1)</f>
        <v>1</v>
      </c>
    </row>
    <row r="5384" spans="1:5" ht="13">
      <c r="A5384" s="8" t="str">
        <f ca="1">IFERROR(__xludf.DUMMYFUNCTION("""COMPUTED_VALUE"""),"Mayes, Robert")</f>
        <v>Mayes, Robert</v>
      </c>
      <c r="B5384" s="2">
        <f ca="1">IFERROR(__xludf.DUMMYFUNCTION("""COMPUTED_VALUE"""),1)</f>
        <v>1</v>
      </c>
      <c r="C5384" s="7">
        <f ca="1">IFERROR(__xludf.DUMMYFUNCTION("""COMPUTED_VALUE"""),1)</f>
        <v>1</v>
      </c>
      <c r="D5384" s="8">
        <f ca="1">IFERROR(__xludf.DUMMYFUNCTION("""COMPUTED_VALUE"""),5)</f>
        <v>5</v>
      </c>
      <c r="E5384" s="2">
        <f ca="1">IFERROR(__xludf.DUMMYFUNCTION("""COMPUTED_VALUE"""),2)</f>
        <v>2</v>
      </c>
    </row>
    <row r="5385" spans="1:5" ht="13">
      <c r="A5385" s="2" t="str">
        <f ca="1">IFERROR(__xludf.DUMMYFUNCTION("""COMPUTED_VALUE"""),"Mayrand, Alain")</f>
        <v>Mayrand, Alain</v>
      </c>
      <c r="B5385" s="3">
        <f ca="1">IFERROR(__xludf.DUMMYFUNCTION("""COMPUTED_VALUE"""),1)</f>
        <v>1</v>
      </c>
      <c r="C5385" s="7">
        <f ca="1">IFERROR(__xludf.DUMMYFUNCTION("""COMPUTED_VALUE"""),1)</f>
        <v>1</v>
      </c>
      <c r="D5385" s="8">
        <f ca="1">IFERROR(__xludf.DUMMYFUNCTION("""COMPUTED_VALUE"""),1)</f>
        <v>1</v>
      </c>
      <c r="E5385" s="2">
        <f ca="1">IFERROR(__xludf.DUMMYFUNCTION("""COMPUTED_VALUE"""),1)</f>
        <v>1</v>
      </c>
    </row>
    <row r="5386" spans="1:5" ht="13">
      <c r="A5386" s="2" t="str">
        <f ca="1">IFERROR(__xludf.DUMMYFUNCTION("""COMPUTED_VALUE"""),"Mays, Lyle")</f>
        <v>Mays, Lyle</v>
      </c>
      <c r="B5386" s="3">
        <f ca="1">IFERROR(__xludf.DUMMYFUNCTION("""COMPUTED_VALUE"""),1)</f>
        <v>1</v>
      </c>
      <c r="C5386" s="7">
        <f ca="1">IFERROR(__xludf.DUMMYFUNCTION("""COMPUTED_VALUE"""),1)</f>
        <v>1</v>
      </c>
      <c r="D5386" s="8">
        <f ca="1">IFERROR(__xludf.DUMMYFUNCTION("""COMPUTED_VALUE"""),1)</f>
        <v>1</v>
      </c>
      <c r="E5386" s="2">
        <f ca="1">IFERROR(__xludf.DUMMYFUNCTION("""COMPUTED_VALUE"""),1)</f>
        <v>1</v>
      </c>
    </row>
    <row r="5387" spans="1:5" ht="13">
      <c r="A5387" s="2" t="str">
        <f ca="1">IFERROR(__xludf.DUMMYFUNCTION("""COMPUTED_VALUE"""),"Mays, Walter")</f>
        <v>Mays, Walter</v>
      </c>
      <c r="B5387" s="3">
        <f ca="1">IFERROR(__xludf.DUMMYFUNCTION("""COMPUTED_VALUE"""),1)</f>
        <v>1</v>
      </c>
      <c r="C5387" s="7">
        <f ca="1">IFERROR(__xludf.DUMMYFUNCTION("""COMPUTED_VALUE"""),1)</f>
        <v>1</v>
      </c>
      <c r="D5387" s="8">
        <f ca="1">IFERROR(__xludf.DUMMYFUNCTION("""COMPUTED_VALUE"""),1)</f>
        <v>1</v>
      </c>
      <c r="E5387" s="2">
        <f ca="1">IFERROR(__xludf.DUMMYFUNCTION("""COMPUTED_VALUE"""),1)</f>
        <v>1</v>
      </c>
    </row>
    <row r="5388" spans="1:5" ht="13">
      <c r="A5388" s="8" t="str">
        <f ca="1">IFERROR(__xludf.DUMMYFUNCTION("""COMPUTED_VALUE"""),"Mazas, Jacques Féréol")</f>
        <v>Mazas, Jacques Féréol</v>
      </c>
      <c r="B5388" s="3">
        <f ca="1">IFERROR(__xludf.DUMMYFUNCTION("""COMPUTED_VALUE"""),1)</f>
        <v>1</v>
      </c>
      <c r="C5388" s="7">
        <f ca="1">IFERROR(__xludf.DUMMYFUNCTION("""COMPUTED_VALUE"""),1)</f>
        <v>1</v>
      </c>
      <c r="D5388" s="8">
        <f ca="1">IFERROR(__xludf.DUMMYFUNCTION("""COMPUTED_VALUE"""),5)</f>
        <v>5</v>
      </c>
      <c r="E5388" s="2">
        <f ca="1">IFERROR(__xludf.DUMMYFUNCTION("""COMPUTED_VALUE"""),2)</f>
        <v>2</v>
      </c>
    </row>
    <row r="5389" spans="1:5" ht="13">
      <c r="A5389" s="8" t="str">
        <f ca="1">IFERROR(__xludf.DUMMYFUNCTION("""COMPUTED_VALUE"""),"Mazé, Philipe")</f>
        <v>Mazé, Philipe</v>
      </c>
      <c r="B5389" s="3">
        <f ca="1">IFERROR(__xludf.DUMMYFUNCTION("""COMPUTED_VALUE"""),1)</f>
        <v>1</v>
      </c>
      <c r="C5389" s="7">
        <f ca="1">IFERROR(__xludf.DUMMYFUNCTION("""COMPUTED_VALUE"""),1)</f>
        <v>1</v>
      </c>
      <c r="D5389" s="8">
        <f ca="1">IFERROR(__xludf.DUMMYFUNCTION("""COMPUTED_VALUE"""),1)</f>
        <v>1</v>
      </c>
      <c r="E5389" s="2">
        <f ca="1">IFERROR(__xludf.DUMMYFUNCTION("""COMPUTED_VALUE"""),1)</f>
        <v>1</v>
      </c>
    </row>
    <row r="5390" spans="1:5" ht="13">
      <c r="A5390" s="2" t="str">
        <f ca="1">IFERROR(__xludf.DUMMYFUNCTION("""COMPUTED_VALUE"""),"Mazone, Tyler")</f>
        <v>Mazone, Tyler</v>
      </c>
      <c r="B5390" s="3">
        <f ca="1">IFERROR(__xludf.DUMMYFUNCTION("""COMPUTED_VALUE"""),1)</f>
        <v>1</v>
      </c>
      <c r="C5390" s="7">
        <f ca="1">IFERROR(__xludf.DUMMYFUNCTION("""COMPUTED_VALUE"""),1)</f>
        <v>1</v>
      </c>
      <c r="D5390" s="8">
        <f ca="1">IFERROR(__xludf.DUMMYFUNCTION("""COMPUTED_VALUE"""),1)</f>
        <v>1</v>
      </c>
      <c r="E5390" s="2">
        <f ca="1">IFERROR(__xludf.DUMMYFUNCTION("""COMPUTED_VALUE"""),1)</f>
        <v>1</v>
      </c>
    </row>
    <row r="5391" spans="1:5" ht="13">
      <c r="A5391" s="2" t="str">
        <f ca="1">IFERROR(__xludf.DUMMYFUNCTION("""COMPUTED_VALUE"""),"Mazur, Mark")</f>
        <v>Mazur, Mark</v>
      </c>
      <c r="B5391" s="3">
        <f ca="1">IFERROR(__xludf.DUMMYFUNCTION("""COMPUTED_VALUE"""),1)</f>
        <v>1</v>
      </c>
      <c r="C5391" s="7">
        <f ca="1">IFERROR(__xludf.DUMMYFUNCTION("""COMPUTED_VALUE"""),1)</f>
        <v>1</v>
      </c>
      <c r="D5391" s="8">
        <f ca="1">IFERROR(__xludf.DUMMYFUNCTION("""COMPUTED_VALUE"""),1)</f>
        <v>1</v>
      </c>
      <c r="E5391" s="2">
        <f ca="1">IFERROR(__xludf.DUMMYFUNCTION("""COMPUTED_VALUE"""),1)</f>
        <v>1</v>
      </c>
    </row>
    <row r="5392" spans="1:5" ht="13">
      <c r="A5392" s="8" t="str">
        <f ca="1">IFERROR(__xludf.DUMMYFUNCTION("""COMPUTED_VALUE"""),"Mazzaferro, Joe")</f>
        <v>Mazzaferro, Joe</v>
      </c>
      <c r="B5392" s="3">
        <f ca="1">IFERROR(__xludf.DUMMYFUNCTION("""COMPUTED_VALUE"""),1)</f>
        <v>1</v>
      </c>
      <c r="C5392" s="7">
        <f ca="1">IFERROR(__xludf.DUMMYFUNCTION("""COMPUTED_VALUE"""),1)</f>
        <v>1</v>
      </c>
      <c r="D5392" s="8">
        <f ca="1">IFERROR(__xludf.DUMMYFUNCTION("""COMPUTED_VALUE"""),1)</f>
        <v>1</v>
      </c>
      <c r="E5392" s="2">
        <f ca="1">IFERROR(__xludf.DUMMYFUNCTION("""COMPUTED_VALUE"""),1)</f>
        <v>1</v>
      </c>
    </row>
    <row r="5393" spans="1:5" ht="13">
      <c r="A5393" s="2" t="str">
        <f ca="1">IFERROR(__xludf.DUMMYFUNCTION("""COMPUTED_VALUE"""),"Mazzoni, Antonio")</f>
        <v>Mazzoni, Antonio</v>
      </c>
      <c r="B5393" s="3">
        <f ca="1">IFERROR(__xludf.DUMMYFUNCTION("""COMPUTED_VALUE"""),1)</f>
        <v>1</v>
      </c>
      <c r="C5393" s="7">
        <f ca="1">IFERROR(__xludf.DUMMYFUNCTION("""COMPUTED_VALUE"""),1)</f>
        <v>1</v>
      </c>
      <c r="D5393" s="8">
        <f ca="1">IFERROR(__xludf.DUMMYFUNCTION("""COMPUTED_VALUE"""),5)</f>
        <v>5</v>
      </c>
      <c r="E5393" s="2">
        <f ca="1">IFERROR(__xludf.DUMMYFUNCTION("""COMPUTED_VALUE"""),2)</f>
        <v>2</v>
      </c>
    </row>
    <row r="5394" spans="1:5" ht="13">
      <c r="A5394" s="2" t="str">
        <f ca="1">IFERROR(__xludf.DUMMYFUNCTION("""COMPUTED_VALUE"""),"McAlexander, Patrick")</f>
        <v>McAlexander, Patrick</v>
      </c>
      <c r="B5394" s="3">
        <f ca="1">IFERROR(__xludf.DUMMYFUNCTION("""COMPUTED_VALUE"""),1)</f>
        <v>1</v>
      </c>
      <c r="C5394" s="7">
        <f ca="1">IFERROR(__xludf.DUMMYFUNCTION("""COMPUTED_VALUE"""),1)</f>
        <v>1</v>
      </c>
      <c r="D5394" s="8">
        <f ca="1">IFERROR(__xludf.DUMMYFUNCTION("""COMPUTED_VALUE"""),1)</f>
        <v>1</v>
      </c>
      <c r="E5394" s="2">
        <f ca="1">IFERROR(__xludf.DUMMYFUNCTION("""COMPUTED_VALUE"""),1)</f>
        <v>1</v>
      </c>
    </row>
    <row r="5395" spans="1:5" ht="13">
      <c r="A5395" s="8" t="str">
        <f ca="1">IFERROR(__xludf.DUMMYFUNCTION("""COMPUTED_VALUE"""),"McAlister, Clark")</f>
        <v>McAlister, Clark</v>
      </c>
      <c r="B5395" s="3">
        <f ca="1">IFERROR(__xludf.DUMMYFUNCTION("""COMPUTED_VALUE"""),1)</f>
        <v>1</v>
      </c>
      <c r="C5395" s="7">
        <f ca="1">IFERROR(__xludf.DUMMYFUNCTION("""COMPUTED_VALUE"""),1)</f>
        <v>1</v>
      </c>
      <c r="D5395" s="8">
        <f ca="1">IFERROR(__xludf.DUMMYFUNCTION("""COMPUTED_VALUE"""),1)</f>
        <v>1</v>
      </c>
      <c r="E5395" s="2">
        <f ca="1">IFERROR(__xludf.DUMMYFUNCTION("""COMPUTED_VALUE"""),1)</f>
        <v>1</v>
      </c>
    </row>
    <row r="5396" spans="1:5" ht="13">
      <c r="A5396" s="8" t="str">
        <f ca="1">IFERROR(__xludf.DUMMYFUNCTION("""COMPUTED_VALUE"""),"McAllister, Clark")</f>
        <v>McAllister, Clark</v>
      </c>
      <c r="B5396" s="3">
        <f ca="1">IFERROR(__xludf.DUMMYFUNCTION("""COMPUTED_VALUE"""),1)</f>
        <v>1</v>
      </c>
      <c r="C5396" s="7">
        <f ca="1">IFERROR(__xludf.DUMMYFUNCTION("""COMPUTED_VALUE"""),1)</f>
        <v>1</v>
      </c>
      <c r="D5396" s="8">
        <f ca="1">IFERROR(__xludf.DUMMYFUNCTION("""COMPUTED_VALUE"""),1)</f>
        <v>1</v>
      </c>
      <c r="E5396" s="2">
        <f ca="1">IFERROR(__xludf.DUMMYFUNCTION("""COMPUTED_VALUE"""),1)</f>
        <v>1</v>
      </c>
    </row>
    <row r="5397" spans="1:5" ht="13">
      <c r="A5397" s="2" t="str">
        <f ca="1">IFERROR(__xludf.DUMMYFUNCTION("""COMPUTED_VALUE"""),"McAllister, Clark / Fennell, Frederick")</f>
        <v>McAllister, Clark / Fennell, Frederick</v>
      </c>
      <c r="B5397" s="3">
        <f ca="1">IFERROR(__xludf.DUMMYFUNCTION("""COMPUTED_VALUE"""),1)</f>
        <v>1</v>
      </c>
      <c r="C5397" s="7">
        <f ca="1">IFERROR(__xludf.DUMMYFUNCTION("""COMPUTED_VALUE"""),1)</f>
        <v>1</v>
      </c>
      <c r="D5397" s="8">
        <f ca="1">IFERROR(__xludf.DUMMYFUNCTION("""COMPUTED_VALUE"""),1)</f>
        <v>1</v>
      </c>
      <c r="E5397" s="2">
        <f ca="1">IFERROR(__xludf.DUMMYFUNCTION("""COMPUTED_VALUE"""),1)</f>
        <v>1</v>
      </c>
    </row>
    <row r="5398" spans="1:5" ht="13">
      <c r="A5398" s="2" t="str">
        <f ca="1">IFERROR(__xludf.DUMMYFUNCTION("""COMPUTED_VALUE"""),"McAllister, Clark / Reed, Alfred")</f>
        <v>McAllister, Clark / Reed, Alfred</v>
      </c>
      <c r="B5398" s="3">
        <f ca="1">IFERROR(__xludf.DUMMYFUNCTION("""COMPUTED_VALUE"""),1)</f>
        <v>1</v>
      </c>
      <c r="C5398" s="7">
        <f ca="1">IFERROR(__xludf.DUMMYFUNCTION("""COMPUTED_VALUE"""),1)</f>
        <v>1</v>
      </c>
      <c r="D5398" s="8">
        <f ca="1">IFERROR(__xludf.DUMMYFUNCTION("""COMPUTED_VALUE"""),1)</f>
        <v>1</v>
      </c>
      <c r="E5398" s="2">
        <f ca="1">IFERROR(__xludf.DUMMYFUNCTION("""COMPUTED_VALUE"""),1)</f>
        <v>1</v>
      </c>
    </row>
    <row r="5399" spans="1:5" ht="13">
      <c r="A5399" s="2" t="str">
        <f ca="1">IFERROR(__xludf.DUMMYFUNCTION("""COMPUTED_VALUE"""),"McAllister, Eric")</f>
        <v>McAllister, Eric</v>
      </c>
      <c r="B5399" s="3">
        <f ca="1">IFERROR(__xludf.DUMMYFUNCTION("""COMPUTED_VALUE"""),1)</f>
        <v>1</v>
      </c>
      <c r="C5399" s="7">
        <f ca="1">IFERROR(__xludf.DUMMYFUNCTION("""COMPUTED_VALUE"""),1)</f>
        <v>1</v>
      </c>
      <c r="D5399" s="8">
        <f ca="1">IFERROR(__xludf.DUMMYFUNCTION("""COMPUTED_VALUE"""),1)</f>
        <v>1</v>
      </c>
      <c r="E5399" s="2">
        <f ca="1">IFERROR(__xludf.DUMMYFUNCTION("""COMPUTED_VALUE"""),1)</f>
        <v>1</v>
      </c>
    </row>
    <row r="5400" spans="1:5" ht="13">
      <c r="A5400" s="2" t="str">
        <f ca="1">IFERROR(__xludf.DUMMYFUNCTION("""COMPUTED_VALUE"""),"McAllister, Scott")</f>
        <v>McAllister, Scott</v>
      </c>
      <c r="B5400" s="3">
        <f ca="1">IFERROR(__xludf.DUMMYFUNCTION("""COMPUTED_VALUE"""),1)</f>
        <v>1</v>
      </c>
      <c r="C5400" s="7">
        <f ca="1">IFERROR(__xludf.DUMMYFUNCTION("""COMPUTED_VALUE"""),1)</f>
        <v>1</v>
      </c>
      <c r="D5400" s="8">
        <f ca="1">IFERROR(__xludf.DUMMYFUNCTION("""COMPUTED_VALUE"""),1)</f>
        <v>1</v>
      </c>
      <c r="E5400" s="2">
        <f ca="1">IFERROR(__xludf.DUMMYFUNCTION("""COMPUTED_VALUE"""),1)</f>
        <v>1</v>
      </c>
    </row>
    <row r="5401" spans="1:5" ht="13">
      <c r="A5401" s="2" t="str">
        <f ca="1">IFERROR(__xludf.DUMMYFUNCTION("""COMPUTED_VALUE"""),"McBeth, James (aka John Kinyon)")</f>
        <v>McBeth, James (aka John Kinyon)</v>
      </c>
      <c r="B5401" s="3">
        <f ca="1">IFERROR(__xludf.DUMMYFUNCTION("""COMPUTED_VALUE"""),1)</f>
        <v>1</v>
      </c>
      <c r="C5401" s="7">
        <f ca="1">IFERROR(__xludf.DUMMYFUNCTION("""COMPUTED_VALUE"""),1)</f>
        <v>1</v>
      </c>
      <c r="D5401" s="8">
        <f ca="1">IFERROR(__xludf.DUMMYFUNCTION("""COMPUTED_VALUE"""),5)</f>
        <v>5</v>
      </c>
      <c r="E5401" s="2">
        <f ca="1">IFERROR(__xludf.DUMMYFUNCTION("""COMPUTED_VALUE"""),2)</f>
        <v>2</v>
      </c>
    </row>
    <row r="5402" spans="1:5" ht="13">
      <c r="A5402" s="2" t="str">
        <f ca="1">IFERROR(__xludf.DUMMYFUNCTION("""COMPUTED_VALUE"""),"McBeth, W. Francis")</f>
        <v>McBeth, W. Francis</v>
      </c>
      <c r="B5402" s="3">
        <f ca="1">IFERROR(__xludf.DUMMYFUNCTION("""COMPUTED_VALUE"""),1)</f>
        <v>1</v>
      </c>
      <c r="C5402" s="7">
        <f ca="1">IFERROR(__xludf.DUMMYFUNCTION("""COMPUTED_VALUE"""),1)</f>
        <v>1</v>
      </c>
      <c r="D5402" s="8">
        <f ca="1">IFERROR(__xludf.DUMMYFUNCTION("""COMPUTED_VALUE"""),5)</f>
        <v>5</v>
      </c>
      <c r="E5402" s="2">
        <f ca="1">IFERROR(__xludf.DUMMYFUNCTION("""COMPUTED_VALUE"""),2)</f>
        <v>2</v>
      </c>
    </row>
    <row r="5403" spans="1:5" ht="13">
      <c r="A5403" s="2" t="str">
        <f ca="1">IFERROR(__xludf.DUMMYFUNCTION("""COMPUTED_VALUE"""),"McBride, Jonathan")</f>
        <v>McBride, Jonathan</v>
      </c>
      <c r="B5403" s="3">
        <f ca="1">IFERROR(__xludf.DUMMYFUNCTION("""COMPUTED_VALUE"""),1)</f>
        <v>1</v>
      </c>
      <c r="C5403" s="7">
        <f ca="1">IFERROR(__xludf.DUMMYFUNCTION("""COMPUTED_VALUE"""),1)</f>
        <v>1</v>
      </c>
      <c r="D5403" s="8">
        <f ca="1">IFERROR(__xludf.DUMMYFUNCTION("""COMPUTED_VALUE"""),1)</f>
        <v>1</v>
      </c>
      <c r="E5403" s="2">
        <f ca="1">IFERROR(__xludf.DUMMYFUNCTION("""COMPUTED_VALUE"""),1)</f>
        <v>1</v>
      </c>
    </row>
    <row r="5404" spans="1:5" ht="13">
      <c r="A5404" s="8" t="str">
        <f ca="1">IFERROR(__xludf.DUMMYFUNCTION("""COMPUTED_VALUE"""),"McBride, Robert")</f>
        <v>McBride, Robert</v>
      </c>
      <c r="B5404" s="3">
        <f ca="1">IFERROR(__xludf.DUMMYFUNCTION("""COMPUTED_VALUE"""),1)</f>
        <v>1</v>
      </c>
      <c r="C5404" s="7">
        <f ca="1">IFERROR(__xludf.DUMMYFUNCTION("""COMPUTED_VALUE"""),1)</f>
        <v>1</v>
      </c>
      <c r="D5404" s="8">
        <f ca="1">IFERROR(__xludf.DUMMYFUNCTION("""COMPUTED_VALUE"""),5)</f>
        <v>5</v>
      </c>
      <c r="E5404" s="2">
        <f ca="1">IFERROR(__xludf.DUMMYFUNCTION("""COMPUTED_VALUE"""),2)</f>
        <v>2</v>
      </c>
    </row>
    <row r="5405" spans="1:5" ht="13">
      <c r="A5405" s="8" t="str">
        <f ca="1">IFERROR(__xludf.DUMMYFUNCTION("""COMPUTED_VALUE"""),"McBrien, Brendan")</f>
        <v>McBrien, Brendan</v>
      </c>
      <c r="B5405" s="3">
        <f ca="1">IFERROR(__xludf.DUMMYFUNCTION("""COMPUTED_VALUE"""),1)</f>
        <v>1</v>
      </c>
      <c r="C5405" s="7">
        <f ca="1">IFERROR(__xludf.DUMMYFUNCTION("""COMPUTED_VALUE"""),1)</f>
        <v>1</v>
      </c>
      <c r="D5405" s="8">
        <f ca="1">IFERROR(__xludf.DUMMYFUNCTION("""COMPUTED_VALUE"""),1)</f>
        <v>1</v>
      </c>
      <c r="E5405" s="2">
        <f ca="1">IFERROR(__xludf.DUMMYFUNCTION("""COMPUTED_VALUE"""),1)</f>
        <v>1</v>
      </c>
    </row>
    <row r="5406" spans="1:5" ht="13">
      <c r="A5406" s="2" t="str">
        <f ca="1">IFERROR(__xludf.DUMMYFUNCTION("""COMPUTED_VALUE"""),"McCabe, John")</f>
        <v>McCabe, John</v>
      </c>
      <c r="B5406" s="3">
        <f ca="1">IFERROR(__xludf.DUMMYFUNCTION("""COMPUTED_VALUE"""),1)</f>
        <v>1</v>
      </c>
      <c r="C5406" s="7">
        <f ca="1">IFERROR(__xludf.DUMMYFUNCTION("""COMPUTED_VALUE"""),1)</f>
        <v>1</v>
      </c>
      <c r="D5406" s="8">
        <f ca="1">IFERROR(__xludf.DUMMYFUNCTION("""COMPUTED_VALUE"""),5)</f>
        <v>5</v>
      </c>
      <c r="E5406" s="2">
        <f ca="1">IFERROR(__xludf.DUMMYFUNCTION("""COMPUTED_VALUE"""),2)</f>
        <v>2</v>
      </c>
    </row>
    <row r="5407" spans="1:5" ht="13">
      <c r="A5407" s="8" t="str">
        <f ca="1">IFERROR(__xludf.DUMMYFUNCTION("""COMPUTED_VALUE"""),"McCaldin, Denis")</f>
        <v>McCaldin, Denis</v>
      </c>
      <c r="B5407" s="3">
        <f ca="1">IFERROR(__xludf.DUMMYFUNCTION("""COMPUTED_VALUE"""),1)</f>
        <v>1</v>
      </c>
      <c r="C5407" s="7">
        <f ca="1">IFERROR(__xludf.DUMMYFUNCTION("""COMPUTED_VALUE"""),1)</f>
        <v>1</v>
      </c>
      <c r="D5407" s="8">
        <f ca="1">IFERROR(__xludf.DUMMYFUNCTION("""COMPUTED_VALUE"""),5)</f>
        <v>5</v>
      </c>
      <c r="E5407" s="2">
        <f ca="1">IFERROR(__xludf.DUMMYFUNCTION("""COMPUTED_VALUE"""),2)</f>
        <v>2</v>
      </c>
    </row>
    <row r="5408" spans="1:5" ht="13">
      <c r="A5408" s="2" t="str">
        <f ca="1">IFERROR(__xludf.DUMMYFUNCTION("""COMPUTED_VALUE"""),"McCall, C.W.")</f>
        <v>McCall, C.W.</v>
      </c>
      <c r="B5408" s="3">
        <f ca="1">IFERROR(__xludf.DUMMYFUNCTION("""COMPUTED_VALUE"""),1)</f>
        <v>1</v>
      </c>
      <c r="C5408" s="7">
        <f ca="1">IFERROR(__xludf.DUMMYFUNCTION("""COMPUTED_VALUE"""),1)</f>
        <v>1</v>
      </c>
      <c r="D5408" s="8">
        <f ca="1">IFERROR(__xludf.DUMMYFUNCTION("""COMPUTED_VALUE"""),1)</f>
        <v>1</v>
      </c>
      <c r="E5408" s="2">
        <f ca="1">IFERROR(__xludf.DUMMYFUNCTION("""COMPUTED_VALUE"""),1)</f>
        <v>1</v>
      </c>
    </row>
    <row r="5409" spans="1:5" ht="13">
      <c r="A5409" s="2" t="str">
        <f ca="1">IFERROR(__xludf.DUMMYFUNCTION("""COMPUTED_VALUE"""),"McCarrick, Tim")</f>
        <v>McCarrick, Tim</v>
      </c>
      <c r="B5409" s="3">
        <f ca="1">IFERROR(__xludf.DUMMYFUNCTION("""COMPUTED_VALUE"""),1)</f>
        <v>1</v>
      </c>
      <c r="C5409" s="7">
        <f ca="1">IFERROR(__xludf.DUMMYFUNCTION("""COMPUTED_VALUE"""),1)</f>
        <v>1</v>
      </c>
      <c r="D5409" s="8">
        <f ca="1">IFERROR(__xludf.DUMMYFUNCTION("""COMPUTED_VALUE"""),5)</f>
        <v>5</v>
      </c>
      <c r="E5409" s="2">
        <f ca="1">IFERROR(__xludf.DUMMYFUNCTION("""COMPUTED_VALUE"""),2)</f>
        <v>2</v>
      </c>
    </row>
    <row r="5410" spans="1:5" ht="13">
      <c r="A5410" s="2" t="str">
        <f ca="1">IFERROR(__xludf.DUMMYFUNCTION("""COMPUTED_VALUE"""),"Mccartha, Charles")</f>
        <v>Mccartha, Charles</v>
      </c>
      <c r="B5410" s="3">
        <f ca="1">IFERROR(__xludf.DUMMYFUNCTION("""COMPUTED_VALUE"""),1)</f>
        <v>1</v>
      </c>
      <c r="C5410" s="7">
        <f ca="1">IFERROR(__xludf.DUMMYFUNCTION("""COMPUTED_VALUE"""),1)</f>
        <v>1</v>
      </c>
      <c r="D5410" s="8">
        <f ca="1">IFERROR(__xludf.DUMMYFUNCTION("""COMPUTED_VALUE"""),1)</f>
        <v>1</v>
      </c>
      <c r="E5410" s="2">
        <f ca="1">IFERROR(__xludf.DUMMYFUNCTION("""COMPUTED_VALUE"""),1)</f>
        <v>1</v>
      </c>
    </row>
    <row r="5411" spans="1:5" ht="13">
      <c r="A5411" s="2" t="str">
        <f ca="1">IFERROR(__xludf.DUMMYFUNCTION("""COMPUTED_VALUE"""),"McCarthy, Daniel")</f>
        <v>McCarthy, Daniel</v>
      </c>
      <c r="B5411" s="3">
        <f ca="1">IFERROR(__xludf.DUMMYFUNCTION("""COMPUTED_VALUE"""),1)</f>
        <v>1</v>
      </c>
      <c r="C5411" s="7">
        <f ca="1">IFERROR(__xludf.DUMMYFUNCTION("""COMPUTED_VALUE"""),1)</f>
        <v>1</v>
      </c>
      <c r="D5411" s="8">
        <f ca="1">IFERROR(__xludf.DUMMYFUNCTION("""COMPUTED_VALUE"""),1)</f>
        <v>1</v>
      </c>
      <c r="E5411" s="2">
        <f ca="1">IFERROR(__xludf.DUMMYFUNCTION("""COMPUTED_VALUE"""),1)</f>
        <v>1</v>
      </c>
    </row>
    <row r="5412" spans="1:5" ht="13">
      <c r="A5412" s="2" t="str">
        <f ca="1">IFERROR(__xludf.DUMMYFUNCTION("""COMPUTED_VALUE"""),"McCarthy, Joseph / Fisher, Fred")</f>
        <v>McCarthy, Joseph / Fisher, Fred</v>
      </c>
      <c r="B5412" s="2">
        <f ca="1">IFERROR(__xludf.DUMMYFUNCTION("""COMPUTED_VALUE"""),1)</f>
        <v>1</v>
      </c>
      <c r="C5412" s="7">
        <f ca="1">IFERROR(__xludf.DUMMYFUNCTION("""COMPUTED_VALUE"""),1)</f>
        <v>1</v>
      </c>
      <c r="D5412" s="8">
        <f ca="1">IFERROR(__xludf.DUMMYFUNCTION("""COMPUTED_VALUE"""),5)</f>
        <v>5</v>
      </c>
      <c r="E5412" s="2">
        <f ca="1">IFERROR(__xludf.DUMMYFUNCTION("""COMPUTED_VALUE"""),2)</f>
        <v>2</v>
      </c>
    </row>
    <row r="5413" spans="1:5" ht="13">
      <c r="A5413" s="2" t="str">
        <f ca="1">IFERROR(__xludf.DUMMYFUNCTION("""COMPUTED_VALUE"""),"McCarthy, Michael")</f>
        <v>McCarthy, Michael</v>
      </c>
      <c r="B5413" s="3">
        <f ca="1">IFERROR(__xludf.DUMMYFUNCTION("""COMPUTED_VALUE"""),1)</f>
        <v>1</v>
      </c>
      <c r="C5413" s="7">
        <f ca="1">IFERROR(__xludf.DUMMYFUNCTION("""COMPUTED_VALUE"""),1)</f>
        <v>1</v>
      </c>
      <c r="D5413" s="8">
        <f ca="1">IFERROR(__xludf.DUMMYFUNCTION("""COMPUTED_VALUE"""),1)</f>
        <v>1</v>
      </c>
      <c r="E5413" s="2">
        <f ca="1">IFERROR(__xludf.DUMMYFUNCTION("""COMPUTED_VALUE"""),1)</f>
        <v>1</v>
      </c>
    </row>
    <row r="5414" spans="1:5" ht="13">
      <c r="A5414" s="2" t="str">
        <f ca="1">IFERROR(__xludf.DUMMYFUNCTION("""COMPUTED_VALUE"""),"McCarthy, Robbie")</f>
        <v>McCarthy, Robbie</v>
      </c>
      <c r="B5414" s="3">
        <f ca="1">IFERROR(__xludf.DUMMYFUNCTION("""COMPUTED_VALUE"""),1)</f>
        <v>1</v>
      </c>
      <c r="C5414" s="7">
        <f ca="1">IFERROR(__xludf.DUMMYFUNCTION("""COMPUTED_VALUE"""),1)</f>
        <v>1</v>
      </c>
      <c r="D5414" s="8">
        <f ca="1">IFERROR(__xludf.DUMMYFUNCTION("""COMPUTED_VALUE"""),1)</f>
        <v>1</v>
      </c>
      <c r="E5414" s="2">
        <f ca="1">IFERROR(__xludf.DUMMYFUNCTION("""COMPUTED_VALUE"""),1)</f>
        <v>1</v>
      </c>
    </row>
    <row r="5415" spans="1:5" ht="13">
      <c r="A5415" s="2" t="str">
        <f ca="1">IFERROR(__xludf.DUMMYFUNCTION("""COMPUTED_VALUE"""),"McCartney, Paul")</f>
        <v>McCartney, Paul</v>
      </c>
      <c r="B5415" s="3">
        <f ca="1">IFERROR(__xludf.DUMMYFUNCTION("""COMPUTED_VALUE"""),1)</f>
        <v>1</v>
      </c>
      <c r="C5415" s="7">
        <f ca="1">IFERROR(__xludf.DUMMYFUNCTION("""COMPUTED_VALUE"""),1)</f>
        <v>1</v>
      </c>
      <c r="D5415" s="8">
        <f ca="1">IFERROR(__xludf.DUMMYFUNCTION("""COMPUTED_VALUE"""),1)</f>
        <v>1</v>
      </c>
      <c r="E5415" s="2">
        <f ca="1">IFERROR(__xludf.DUMMYFUNCTION("""COMPUTED_VALUE"""),1)</f>
        <v>1</v>
      </c>
    </row>
    <row r="5416" spans="1:5" ht="13">
      <c r="A5416" s="2" t="str">
        <f ca="1">IFERROR(__xludf.DUMMYFUNCTION("""COMPUTED_VALUE"""),"McCashin, Robert D.")</f>
        <v>McCashin, Robert D.</v>
      </c>
      <c r="B5416" s="2">
        <f ca="1">IFERROR(__xludf.DUMMYFUNCTION("""COMPUTED_VALUE"""),1)</f>
        <v>1</v>
      </c>
      <c r="C5416" s="7">
        <f ca="1">IFERROR(__xludf.DUMMYFUNCTION("""COMPUTED_VALUE"""),1)</f>
        <v>1</v>
      </c>
      <c r="D5416" s="8">
        <f ca="1">IFERROR(__xludf.DUMMYFUNCTION("""COMPUTED_VALUE"""),1)</f>
        <v>1</v>
      </c>
      <c r="E5416" s="2">
        <f ca="1">IFERROR(__xludf.DUMMYFUNCTION("""COMPUTED_VALUE"""),1)</f>
        <v>1</v>
      </c>
    </row>
    <row r="5417" spans="1:5" ht="13">
      <c r="A5417" s="2" t="str">
        <f ca="1">IFERROR(__xludf.DUMMYFUNCTION("""COMPUTED_VALUE"""),"McCauley, William")</f>
        <v>McCauley, William</v>
      </c>
      <c r="B5417" s="2">
        <f ca="1">IFERROR(__xludf.DUMMYFUNCTION("""COMPUTED_VALUE"""),1)</f>
        <v>1</v>
      </c>
      <c r="C5417" s="7">
        <f ca="1">IFERROR(__xludf.DUMMYFUNCTION("""COMPUTED_VALUE"""),1)</f>
        <v>1</v>
      </c>
      <c r="D5417" s="8">
        <f ca="1">IFERROR(__xludf.DUMMYFUNCTION("""COMPUTED_VALUE"""),5)</f>
        <v>5</v>
      </c>
      <c r="E5417" s="2">
        <f ca="1">IFERROR(__xludf.DUMMYFUNCTION("""COMPUTED_VALUE"""),2)</f>
        <v>2</v>
      </c>
    </row>
    <row r="5418" spans="1:5" ht="13">
      <c r="A5418" s="2" t="str">
        <f ca="1">IFERROR(__xludf.DUMMYFUNCTION("""COMPUTED_VALUE"""),"McClearn, Lon")</f>
        <v>McClearn, Lon</v>
      </c>
      <c r="B5418" s="3">
        <f ca="1">IFERROR(__xludf.DUMMYFUNCTION("""COMPUTED_VALUE"""),1)</f>
        <v>1</v>
      </c>
      <c r="C5418" s="7">
        <f ca="1">IFERROR(__xludf.DUMMYFUNCTION("""COMPUTED_VALUE"""),1)</f>
        <v>1</v>
      </c>
      <c r="D5418" s="8">
        <f ca="1">IFERROR(__xludf.DUMMYFUNCTION("""COMPUTED_VALUE"""),1)</f>
        <v>1</v>
      </c>
      <c r="E5418" s="2">
        <f ca="1">IFERROR(__xludf.DUMMYFUNCTION("""COMPUTED_VALUE"""),1)</f>
        <v>1</v>
      </c>
    </row>
    <row r="5419" spans="1:5" ht="13">
      <c r="A5419" s="2" t="str">
        <f ca="1">IFERROR(__xludf.DUMMYFUNCTION("""COMPUTED_VALUE"""),"McClosky, Brian")</f>
        <v>McClosky, Brian</v>
      </c>
      <c r="B5419" s="3">
        <f ca="1">IFERROR(__xludf.DUMMYFUNCTION("""COMPUTED_VALUE"""),1)</f>
        <v>1</v>
      </c>
      <c r="C5419" s="7">
        <f ca="1">IFERROR(__xludf.DUMMYFUNCTION("""COMPUTED_VALUE"""),1)</f>
        <v>1</v>
      </c>
      <c r="D5419" s="8">
        <f ca="1">IFERROR(__xludf.DUMMYFUNCTION("""COMPUTED_VALUE"""),1)</f>
        <v>1</v>
      </c>
      <c r="E5419" s="2">
        <f ca="1">IFERROR(__xludf.DUMMYFUNCTION("""COMPUTED_VALUE"""),1)</f>
        <v>1</v>
      </c>
    </row>
    <row r="5420" spans="1:5" ht="13">
      <c r="A5420" s="2" t="str">
        <f ca="1">IFERROR(__xludf.DUMMYFUNCTION("""COMPUTED_VALUE"""),"McClure, Barney")</f>
        <v>McClure, Barney</v>
      </c>
      <c r="B5420" s="3">
        <f ca="1">IFERROR(__xludf.DUMMYFUNCTION("""COMPUTED_VALUE"""),1)</f>
        <v>1</v>
      </c>
      <c r="C5420" s="7">
        <f ca="1">IFERROR(__xludf.DUMMYFUNCTION("""COMPUTED_VALUE"""),1)</f>
        <v>1</v>
      </c>
      <c r="D5420" s="8">
        <f ca="1">IFERROR(__xludf.DUMMYFUNCTION("""COMPUTED_VALUE"""),1)</f>
        <v>1</v>
      </c>
      <c r="E5420" s="2">
        <f ca="1">IFERROR(__xludf.DUMMYFUNCTION("""COMPUTED_VALUE"""),1)</f>
        <v>1</v>
      </c>
    </row>
    <row r="5421" spans="1:5" ht="13">
      <c r="A5421" s="8" t="str">
        <f ca="1">IFERROR(__xludf.DUMMYFUNCTION("""COMPUTED_VALUE"""),"McClure, Glenn")</f>
        <v>McClure, Glenn</v>
      </c>
      <c r="B5421" s="3">
        <f ca="1">IFERROR(__xludf.DUMMYFUNCTION("""COMPUTED_VALUE"""),1)</f>
        <v>1</v>
      </c>
      <c r="C5421" s="7">
        <f ca="1">IFERROR(__xludf.DUMMYFUNCTION("""COMPUTED_VALUE"""),1)</f>
        <v>1</v>
      </c>
      <c r="D5421" s="8">
        <f ca="1">IFERROR(__xludf.DUMMYFUNCTION("""COMPUTED_VALUE"""),1)</f>
        <v>1</v>
      </c>
      <c r="E5421" s="2">
        <f ca="1">IFERROR(__xludf.DUMMYFUNCTION("""COMPUTED_VALUE"""),1)</f>
        <v>1</v>
      </c>
    </row>
    <row r="5422" spans="1:5" ht="13">
      <c r="A5422" s="8" t="str">
        <f ca="1">IFERROR(__xludf.DUMMYFUNCTION("""COMPUTED_VALUE"""),"McClure, Rob")</f>
        <v>McClure, Rob</v>
      </c>
      <c r="B5422" s="3">
        <f ca="1">IFERROR(__xludf.DUMMYFUNCTION("""COMPUTED_VALUE"""),1)</f>
        <v>1</v>
      </c>
      <c r="C5422" s="7">
        <f ca="1">IFERROR(__xludf.DUMMYFUNCTION("""COMPUTED_VALUE"""),1)</f>
        <v>1</v>
      </c>
      <c r="D5422" s="8">
        <f ca="1">IFERROR(__xludf.DUMMYFUNCTION("""COMPUTED_VALUE"""),1)</f>
        <v>1</v>
      </c>
      <c r="E5422" s="2">
        <f ca="1">IFERROR(__xludf.DUMMYFUNCTION("""COMPUTED_VALUE"""),1)</f>
        <v>1</v>
      </c>
    </row>
    <row r="5423" spans="1:5" ht="13">
      <c r="A5423" s="2" t="str">
        <f ca="1">IFERROR(__xludf.DUMMYFUNCTION("""COMPUTED_VALUE"""),"McCollum, David")</f>
        <v>McCollum, David</v>
      </c>
      <c r="B5423" s="3">
        <f ca="1">IFERROR(__xludf.DUMMYFUNCTION("""COMPUTED_VALUE"""),1)</f>
        <v>1</v>
      </c>
      <c r="C5423" s="7">
        <f ca="1">IFERROR(__xludf.DUMMYFUNCTION("""COMPUTED_VALUE"""),1)</f>
        <v>1</v>
      </c>
      <c r="D5423" s="8">
        <f ca="1">IFERROR(__xludf.DUMMYFUNCTION("""COMPUTED_VALUE"""),1)</f>
        <v>1</v>
      </c>
      <c r="E5423" s="2">
        <f ca="1">IFERROR(__xludf.DUMMYFUNCTION("""COMPUTED_VALUE"""),1)</f>
        <v>1</v>
      </c>
    </row>
    <row r="5424" spans="1:5" ht="13">
      <c r="A5424" s="8" t="str">
        <f ca="1">IFERROR(__xludf.DUMMYFUNCTION("""COMPUTED_VALUE"""),"McCollum, Steven")</f>
        <v>McCollum, Steven</v>
      </c>
      <c r="B5424" s="3">
        <f ca="1">IFERROR(__xludf.DUMMYFUNCTION("""COMPUTED_VALUE"""),1)</f>
        <v>1</v>
      </c>
      <c r="C5424" s="7">
        <f ca="1">IFERROR(__xludf.DUMMYFUNCTION("""COMPUTED_VALUE"""),1)</f>
        <v>1</v>
      </c>
      <c r="D5424" s="8">
        <f ca="1">IFERROR(__xludf.DUMMYFUNCTION("""COMPUTED_VALUE"""),1)</f>
        <v>1</v>
      </c>
      <c r="E5424" s="2">
        <f ca="1">IFERROR(__xludf.DUMMYFUNCTION("""COMPUTED_VALUE"""),1)</f>
        <v>1</v>
      </c>
    </row>
    <row r="5425" spans="1:5" ht="13">
      <c r="A5425" s="2" t="str">
        <f ca="1">IFERROR(__xludf.DUMMYFUNCTION("""COMPUTED_VALUE"""),"McConnell, Rob")</f>
        <v>McConnell, Rob</v>
      </c>
      <c r="B5425" s="3">
        <f ca="1">IFERROR(__xludf.DUMMYFUNCTION("""COMPUTED_VALUE"""),1)</f>
        <v>1</v>
      </c>
      <c r="C5425" s="7">
        <f ca="1">IFERROR(__xludf.DUMMYFUNCTION("""COMPUTED_VALUE"""),1)</f>
        <v>1</v>
      </c>
      <c r="D5425" s="8">
        <f ca="1">IFERROR(__xludf.DUMMYFUNCTION("""COMPUTED_VALUE"""),5)</f>
        <v>5</v>
      </c>
      <c r="E5425" s="2">
        <f ca="1">IFERROR(__xludf.DUMMYFUNCTION("""COMPUTED_VALUE"""),2)</f>
        <v>2</v>
      </c>
    </row>
    <row r="5426" spans="1:5" ht="13">
      <c r="A5426" s="2" t="str">
        <f ca="1">IFERROR(__xludf.DUMMYFUNCTION("""COMPUTED_VALUE"""),"McCoy, Earl")</f>
        <v>McCoy, Earl</v>
      </c>
      <c r="B5426" s="3">
        <f ca="1">IFERROR(__xludf.DUMMYFUNCTION("""COMPUTED_VALUE"""),1)</f>
        <v>1</v>
      </c>
      <c r="C5426" s="7">
        <f ca="1">IFERROR(__xludf.DUMMYFUNCTION("""COMPUTED_VALUE"""),1)</f>
        <v>1</v>
      </c>
      <c r="D5426" s="8">
        <f ca="1">IFERROR(__xludf.DUMMYFUNCTION("""COMPUTED_VALUE"""),5)</f>
        <v>5</v>
      </c>
      <c r="E5426" s="2">
        <f ca="1">IFERROR(__xludf.DUMMYFUNCTION("""COMPUTED_VALUE"""),2)</f>
        <v>2</v>
      </c>
    </row>
    <row r="5427" spans="1:5" ht="13">
      <c r="A5427" s="2" t="str">
        <f ca="1">IFERROR(__xludf.DUMMYFUNCTION("""COMPUTED_VALUE"""),"McCoy, Earl E.")</f>
        <v>McCoy, Earl E.</v>
      </c>
      <c r="B5427" s="3">
        <f ca="1">IFERROR(__xludf.DUMMYFUNCTION("""COMPUTED_VALUE"""),1)</f>
        <v>1</v>
      </c>
      <c r="C5427" s="7">
        <f ca="1">IFERROR(__xludf.DUMMYFUNCTION("""COMPUTED_VALUE"""),1)</f>
        <v>1</v>
      </c>
      <c r="D5427" s="8">
        <f ca="1">IFERROR(__xludf.DUMMYFUNCTION("""COMPUTED_VALUE"""),5)</f>
        <v>5</v>
      </c>
      <c r="E5427" s="2">
        <f ca="1">IFERROR(__xludf.DUMMYFUNCTION("""COMPUTED_VALUE"""),2)</f>
        <v>2</v>
      </c>
    </row>
    <row r="5428" spans="1:5" ht="13">
      <c r="A5428" s="2" t="str">
        <f ca="1">IFERROR(__xludf.DUMMYFUNCTION("""COMPUTED_VALUE"""),"McCoy, Earl Ellison")</f>
        <v>McCoy, Earl Ellison</v>
      </c>
      <c r="B5428" s="3">
        <f ca="1">IFERROR(__xludf.DUMMYFUNCTION("""COMPUTED_VALUE"""),1)</f>
        <v>1</v>
      </c>
      <c r="C5428" s="7">
        <f ca="1">IFERROR(__xludf.DUMMYFUNCTION("""COMPUTED_VALUE"""),1)</f>
        <v>1</v>
      </c>
      <c r="D5428" s="8">
        <f ca="1">IFERROR(__xludf.DUMMYFUNCTION("""COMPUTED_VALUE"""),5)</f>
        <v>5</v>
      </c>
      <c r="E5428" s="2">
        <f ca="1">IFERROR(__xludf.DUMMYFUNCTION("""COMPUTED_VALUE"""),2)</f>
        <v>2</v>
      </c>
    </row>
    <row r="5429" spans="1:5" ht="13">
      <c r="A5429" s="2" t="str">
        <f ca="1">IFERROR(__xludf.DUMMYFUNCTION("""COMPUTED_VALUE"""),"McCoy, Jason")</f>
        <v>McCoy, Jason</v>
      </c>
      <c r="B5429" s="3">
        <f ca="1">IFERROR(__xludf.DUMMYFUNCTION("""COMPUTED_VALUE"""),1)</f>
        <v>1</v>
      </c>
      <c r="C5429" s="7">
        <f ca="1">IFERROR(__xludf.DUMMYFUNCTION("""COMPUTED_VALUE"""),1)</f>
        <v>1</v>
      </c>
      <c r="D5429" s="8">
        <f ca="1">IFERROR(__xludf.DUMMYFUNCTION("""COMPUTED_VALUE"""),1)</f>
        <v>1</v>
      </c>
      <c r="E5429" s="2">
        <f ca="1">IFERROR(__xludf.DUMMYFUNCTION("""COMPUTED_VALUE"""),1)</f>
        <v>1</v>
      </c>
    </row>
    <row r="5430" spans="1:5" ht="13">
      <c r="A5430" s="2" t="str">
        <f ca="1">IFERROR(__xludf.DUMMYFUNCTION("""COMPUTED_VALUE"""),"McCoy, Jerry")</f>
        <v>McCoy, Jerry</v>
      </c>
      <c r="B5430" s="3">
        <f ca="1">IFERROR(__xludf.DUMMYFUNCTION("""COMPUTED_VALUE"""),1)</f>
        <v>1</v>
      </c>
      <c r="C5430" s="7">
        <f ca="1">IFERROR(__xludf.DUMMYFUNCTION("""COMPUTED_VALUE"""),1)</f>
        <v>1</v>
      </c>
      <c r="D5430" s="8">
        <f ca="1">IFERROR(__xludf.DUMMYFUNCTION("""COMPUTED_VALUE"""),1)</f>
        <v>1</v>
      </c>
      <c r="E5430" s="2">
        <f ca="1">IFERROR(__xludf.DUMMYFUNCTION("""COMPUTED_VALUE"""),1)</f>
        <v>1</v>
      </c>
    </row>
    <row r="5431" spans="1:5" ht="13">
      <c r="A5431" s="2" t="str">
        <f ca="1">IFERROR(__xludf.DUMMYFUNCTION("""COMPUTED_VALUE"""),"McCray, James")</f>
        <v>McCray, James</v>
      </c>
      <c r="B5431" s="3">
        <f ca="1">IFERROR(__xludf.DUMMYFUNCTION("""COMPUTED_VALUE"""),1)</f>
        <v>1</v>
      </c>
      <c r="C5431" s="7">
        <f ca="1">IFERROR(__xludf.DUMMYFUNCTION("""COMPUTED_VALUE"""),1)</f>
        <v>1</v>
      </c>
      <c r="D5431" s="8">
        <f ca="1">IFERROR(__xludf.DUMMYFUNCTION("""COMPUTED_VALUE"""),1)</f>
        <v>1</v>
      </c>
      <c r="E5431" s="2">
        <f ca="1">IFERROR(__xludf.DUMMYFUNCTION("""COMPUTED_VALUE"""),1)</f>
        <v>1</v>
      </c>
    </row>
    <row r="5432" spans="1:5" ht="13">
      <c r="A5432" s="2" t="str">
        <f ca="1">IFERROR(__xludf.DUMMYFUNCTION("""COMPUTED_VALUE"""),"McCreary, Bear")</f>
        <v>McCreary, Bear</v>
      </c>
      <c r="B5432" s="3">
        <f ca="1">IFERROR(__xludf.DUMMYFUNCTION("""COMPUTED_VALUE"""),1)</f>
        <v>1</v>
      </c>
      <c r="C5432" s="7">
        <f ca="1">IFERROR(__xludf.DUMMYFUNCTION("""COMPUTED_VALUE"""),1)</f>
        <v>1</v>
      </c>
      <c r="D5432" s="8">
        <f ca="1">IFERROR(__xludf.DUMMYFUNCTION("""COMPUTED_VALUE"""),1)</f>
        <v>1</v>
      </c>
      <c r="E5432" s="2">
        <f ca="1">IFERROR(__xludf.DUMMYFUNCTION("""COMPUTED_VALUE"""),1)</f>
        <v>1</v>
      </c>
    </row>
    <row r="5433" spans="1:5" ht="13">
      <c r="A5433" s="2" t="str">
        <f ca="1">IFERROR(__xludf.DUMMYFUNCTION("""COMPUTED_VALUE"""),"McCullough, Donald")</f>
        <v>McCullough, Donald</v>
      </c>
      <c r="B5433" s="3">
        <f ca="1">IFERROR(__xludf.DUMMYFUNCTION("""COMPUTED_VALUE"""),1)</f>
        <v>1</v>
      </c>
      <c r="C5433" s="7">
        <f ca="1">IFERROR(__xludf.DUMMYFUNCTION("""COMPUTED_VALUE"""),1)</f>
        <v>1</v>
      </c>
      <c r="D5433" s="8">
        <f ca="1">IFERROR(__xludf.DUMMYFUNCTION("""COMPUTED_VALUE"""),1)</f>
        <v>1</v>
      </c>
      <c r="E5433" s="2">
        <f ca="1">IFERROR(__xludf.DUMMYFUNCTION("""COMPUTED_VALUE"""),1)</f>
        <v>1</v>
      </c>
    </row>
    <row r="5434" spans="1:5" ht="13">
      <c r="A5434" s="2" t="str">
        <f ca="1">IFERROR(__xludf.DUMMYFUNCTION("""COMPUTED_VALUE"""),"McCunn, Hamish")</f>
        <v>McCunn, Hamish</v>
      </c>
      <c r="B5434" s="2">
        <f ca="1">IFERROR(__xludf.DUMMYFUNCTION("""COMPUTED_VALUE"""),1)</f>
        <v>1</v>
      </c>
      <c r="C5434" s="7">
        <f ca="1">IFERROR(__xludf.DUMMYFUNCTION("""COMPUTED_VALUE"""),1)</f>
        <v>1</v>
      </c>
      <c r="D5434" s="8">
        <f ca="1">IFERROR(__xludf.DUMMYFUNCTION("""COMPUTED_VALUE"""),5)</f>
        <v>5</v>
      </c>
      <c r="E5434" s="2">
        <f ca="1">IFERROR(__xludf.DUMMYFUNCTION("""COMPUTED_VALUE"""),2)</f>
        <v>2</v>
      </c>
    </row>
    <row r="5435" spans="1:5" ht="13">
      <c r="A5435" s="2" t="str">
        <f ca="1">IFERROR(__xludf.DUMMYFUNCTION("""COMPUTED_VALUE"""),"McCunnie, Jared")</f>
        <v>McCunnie, Jared</v>
      </c>
      <c r="B5435" s="2">
        <f ca="1">IFERROR(__xludf.DUMMYFUNCTION("""COMPUTED_VALUE"""),1)</f>
        <v>1</v>
      </c>
      <c r="C5435" s="7">
        <f ca="1">IFERROR(__xludf.DUMMYFUNCTION("""COMPUTED_VALUE"""),1)</f>
        <v>1</v>
      </c>
      <c r="D5435" s="8">
        <f ca="1">IFERROR(__xludf.DUMMYFUNCTION("""COMPUTED_VALUE"""),1)</f>
        <v>1</v>
      </c>
      <c r="E5435" s="2">
        <f ca="1">IFERROR(__xludf.DUMMYFUNCTION("""COMPUTED_VALUE"""),1)</f>
        <v>1</v>
      </c>
    </row>
    <row r="5436" spans="1:5" ht="13">
      <c r="A5436" s="2" t="str">
        <f ca="1">IFERROR(__xludf.DUMMYFUNCTION("""COMPUTED_VALUE"""),"McCutchen, Keith / McCorvey, Everrett")</f>
        <v>McCutchen, Keith / McCorvey, Everrett</v>
      </c>
      <c r="B5436" s="3">
        <f ca="1">IFERROR(__xludf.DUMMYFUNCTION("""COMPUTED_VALUE"""),1)</f>
        <v>1</v>
      </c>
      <c r="C5436" s="7">
        <f ca="1">IFERROR(__xludf.DUMMYFUNCTION("""COMPUTED_VALUE"""),1)</f>
        <v>1</v>
      </c>
      <c r="D5436" s="8">
        <f ca="1">IFERROR(__xludf.DUMMYFUNCTION("""COMPUTED_VALUE"""),1)</f>
        <v>1</v>
      </c>
      <c r="E5436" s="2">
        <f ca="1">IFERROR(__xludf.DUMMYFUNCTION("""COMPUTED_VALUE"""),1)</f>
        <v>1</v>
      </c>
    </row>
    <row r="5437" spans="1:5" ht="13">
      <c r="A5437" s="2" t="str">
        <f ca="1">IFERROR(__xludf.DUMMYFUNCTION("""COMPUTED_VALUE"""),"McDannald, Brandon")</f>
        <v>McDannald, Brandon</v>
      </c>
      <c r="B5437" s="3">
        <f ca="1">IFERROR(__xludf.DUMMYFUNCTION("""COMPUTED_VALUE"""),1)</f>
        <v>1</v>
      </c>
      <c r="C5437" s="7">
        <f ca="1">IFERROR(__xludf.DUMMYFUNCTION("""COMPUTED_VALUE"""),1)</f>
        <v>1</v>
      </c>
      <c r="D5437" s="8">
        <f ca="1">IFERROR(__xludf.DUMMYFUNCTION("""COMPUTED_VALUE"""),1)</f>
        <v>1</v>
      </c>
      <c r="E5437" s="2">
        <f ca="1">IFERROR(__xludf.DUMMYFUNCTION("""COMPUTED_VALUE"""),1)</f>
        <v>1</v>
      </c>
    </row>
    <row r="5438" spans="1:5" ht="13">
      <c r="A5438" s="2" t="str">
        <f ca="1">IFERROR(__xludf.DUMMYFUNCTION("""COMPUTED_VALUE"""),"McDavitt, Daniel")</f>
        <v>McDavitt, Daniel</v>
      </c>
      <c r="B5438" s="3">
        <f ca="1">IFERROR(__xludf.DUMMYFUNCTION("""COMPUTED_VALUE"""),1)</f>
        <v>1</v>
      </c>
      <c r="C5438" s="7">
        <f ca="1">IFERROR(__xludf.DUMMYFUNCTION("""COMPUTED_VALUE"""),1)</f>
        <v>1</v>
      </c>
      <c r="D5438" s="8">
        <f ca="1">IFERROR(__xludf.DUMMYFUNCTION("""COMPUTED_VALUE"""),1)</f>
        <v>1</v>
      </c>
      <c r="E5438" s="2">
        <f ca="1">IFERROR(__xludf.DUMMYFUNCTION("""COMPUTED_VALUE"""),1)</f>
        <v>1</v>
      </c>
    </row>
    <row r="5439" spans="1:5" ht="13">
      <c r="A5439" s="2" t="str">
        <f ca="1">IFERROR(__xludf.DUMMYFUNCTION("""COMPUTED_VALUE"""),"McDavitt, David")</f>
        <v>McDavitt, David</v>
      </c>
      <c r="B5439" s="2">
        <f ca="1">IFERROR(__xludf.DUMMYFUNCTION("""COMPUTED_VALUE"""),1)</f>
        <v>1</v>
      </c>
      <c r="C5439" s="2">
        <f ca="1">IFERROR(__xludf.DUMMYFUNCTION("""COMPUTED_VALUE"""),1)</f>
        <v>1</v>
      </c>
      <c r="D5439" s="8">
        <f ca="1">IFERROR(__xludf.DUMMYFUNCTION("""COMPUTED_VALUE"""),1)</f>
        <v>1</v>
      </c>
      <c r="E5439" s="2">
        <f ca="1">IFERROR(__xludf.DUMMYFUNCTION("""COMPUTED_VALUE"""),1)</f>
        <v>1</v>
      </c>
    </row>
    <row r="5440" spans="1:5" ht="13">
      <c r="A5440" s="2" t="str">
        <f ca="1">IFERROR(__xludf.DUMMYFUNCTION("""COMPUTED_VALUE"""),"McDermid, Aaron")</f>
        <v>McDermid, Aaron</v>
      </c>
      <c r="B5440" s="3">
        <f ca="1">IFERROR(__xludf.DUMMYFUNCTION("""COMPUTED_VALUE"""),1)</f>
        <v>1</v>
      </c>
      <c r="C5440" s="7">
        <f ca="1">IFERROR(__xludf.DUMMYFUNCTION("""COMPUTED_VALUE"""),1)</f>
        <v>1</v>
      </c>
      <c r="D5440" s="8">
        <f ca="1">IFERROR(__xludf.DUMMYFUNCTION("""COMPUTED_VALUE"""),1)</f>
        <v>1</v>
      </c>
      <c r="E5440" s="2">
        <f ca="1">IFERROR(__xludf.DUMMYFUNCTION("""COMPUTED_VALUE"""),1)</f>
        <v>1</v>
      </c>
    </row>
    <row r="5441" spans="1:5" ht="13">
      <c r="A5441" s="2" t="str">
        <f ca="1">IFERROR(__xludf.DUMMYFUNCTION("""COMPUTED_VALUE"""),"McDougall, Ian")</f>
        <v>McDougall, Ian</v>
      </c>
      <c r="B5441" s="3">
        <f ca="1">IFERROR(__xludf.DUMMYFUNCTION("""COMPUTED_VALUE"""),1)</f>
        <v>1</v>
      </c>
      <c r="C5441" s="7">
        <f ca="1">IFERROR(__xludf.DUMMYFUNCTION("""COMPUTED_VALUE"""),1)</f>
        <v>1</v>
      </c>
      <c r="D5441" s="8">
        <f ca="1">IFERROR(__xludf.DUMMYFUNCTION("""COMPUTED_VALUE"""),1)</f>
        <v>1</v>
      </c>
      <c r="E5441" s="2">
        <f ca="1">IFERROR(__xludf.DUMMYFUNCTION("""COMPUTED_VALUE"""),1)</f>
        <v>1</v>
      </c>
    </row>
    <row r="5442" spans="1:5" ht="13">
      <c r="A5442" s="2" t="str">
        <f ca="1">IFERROR(__xludf.DUMMYFUNCTION("""COMPUTED_VALUE"""),"McDowell, Edward")</f>
        <v>McDowell, Edward</v>
      </c>
      <c r="B5442" s="2">
        <f ca="1">IFERROR(__xludf.DUMMYFUNCTION("""COMPUTED_VALUE"""),1)</f>
        <v>1</v>
      </c>
      <c r="C5442" s="7">
        <f ca="1">IFERROR(__xludf.DUMMYFUNCTION("""COMPUTED_VALUE"""),1)</f>
        <v>1</v>
      </c>
      <c r="D5442" s="8">
        <f ca="1">IFERROR(__xludf.DUMMYFUNCTION("""COMPUTED_VALUE"""),5)</f>
        <v>5</v>
      </c>
      <c r="E5442" s="2">
        <f ca="1">IFERROR(__xludf.DUMMYFUNCTION("""COMPUTED_VALUE"""),2)</f>
        <v>2</v>
      </c>
    </row>
    <row r="5443" spans="1:5" ht="13">
      <c r="A5443" s="2" t="str">
        <f ca="1">IFERROR(__xludf.DUMMYFUNCTION("""COMPUTED_VALUE"""),"McDowell, John")</f>
        <v>McDowell, John</v>
      </c>
      <c r="B5443" s="3">
        <f ca="1">IFERROR(__xludf.DUMMYFUNCTION("""COMPUTED_VALUE"""),1)</f>
        <v>1</v>
      </c>
      <c r="C5443" s="7">
        <f ca="1">IFERROR(__xludf.DUMMYFUNCTION("""COMPUTED_VALUE"""),1)</f>
        <v>1</v>
      </c>
      <c r="D5443" s="8">
        <f ca="1">IFERROR(__xludf.DUMMYFUNCTION("""COMPUTED_VALUE"""),1)</f>
        <v>1</v>
      </c>
      <c r="E5443" s="2">
        <f ca="1">IFERROR(__xludf.DUMMYFUNCTION("""COMPUTED_VALUE"""),1)</f>
        <v>1</v>
      </c>
    </row>
    <row r="5444" spans="1:5" ht="13">
      <c r="A5444" s="2" t="str">
        <f ca="1">IFERROR(__xludf.DUMMYFUNCTION("""COMPUTED_VALUE"""),"McElfresh, Clair")</f>
        <v>McElfresh, Clair</v>
      </c>
      <c r="B5444" s="3">
        <f ca="1">IFERROR(__xludf.DUMMYFUNCTION("""COMPUTED_VALUE"""),1)</f>
        <v>1</v>
      </c>
      <c r="C5444" s="7">
        <f ca="1">IFERROR(__xludf.DUMMYFUNCTION("""COMPUTED_VALUE"""),1)</f>
        <v>1</v>
      </c>
      <c r="D5444" s="8">
        <f ca="1">IFERROR(__xludf.DUMMYFUNCTION("""COMPUTED_VALUE"""),5)</f>
        <v>5</v>
      </c>
      <c r="E5444" s="2">
        <f ca="1">IFERROR(__xludf.DUMMYFUNCTION("""COMPUTED_VALUE"""),2)</f>
        <v>2</v>
      </c>
    </row>
    <row r="5445" spans="1:5" ht="13">
      <c r="A5445" s="8" t="str">
        <f ca="1">IFERROR(__xludf.DUMMYFUNCTION("""COMPUTED_VALUE"""),"McEnery, Dave")</f>
        <v>McEnery, Dave</v>
      </c>
      <c r="B5445" s="3">
        <f ca="1">IFERROR(__xludf.DUMMYFUNCTION("""COMPUTED_VALUE"""),1)</f>
        <v>1</v>
      </c>
      <c r="C5445" s="7">
        <f ca="1">IFERROR(__xludf.DUMMYFUNCTION("""COMPUTED_VALUE"""),1)</f>
        <v>1</v>
      </c>
      <c r="D5445" s="8">
        <f ca="1">IFERROR(__xludf.DUMMYFUNCTION("""COMPUTED_VALUE"""),5)</f>
        <v>5</v>
      </c>
      <c r="E5445" s="2">
        <f ca="1">IFERROR(__xludf.DUMMYFUNCTION("""COMPUTED_VALUE"""),2)</f>
        <v>2</v>
      </c>
    </row>
    <row r="5446" spans="1:5" ht="13">
      <c r="A5446" s="2" t="str">
        <f ca="1">IFERROR(__xludf.DUMMYFUNCTION("""COMPUTED_VALUE"""),"McEwen, Douglas")</f>
        <v>McEwen, Douglas</v>
      </c>
      <c r="B5446" s="2">
        <f ca="1">IFERROR(__xludf.DUMMYFUNCTION("""COMPUTED_VALUE"""),1)</f>
        <v>1</v>
      </c>
      <c r="C5446" s="2">
        <f ca="1">IFERROR(__xludf.DUMMYFUNCTION("""COMPUTED_VALUE"""),1)</f>
        <v>1</v>
      </c>
      <c r="D5446" s="8">
        <f ca="1">IFERROR(__xludf.DUMMYFUNCTION("""COMPUTED_VALUE"""),5)</f>
        <v>5</v>
      </c>
      <c r="E5446" s="2">
        <f ca="1">IFERROR(__xludf.DUMMYFUNCTION("""COMPUTED_VALUE"""),2)</f>
        <v>2</v>
      </c>
    </row>
    <row r="5447" spans="1:5" ht="13">
      <c r="A5447" s="2" t="str">
        <f ca="1">IFERROR(__xludf.DUMMYFUNCTION("""COMPUTED_VALUE"""),"McGeorge, Ryan")</f>
        <v>McGeorge, Ryan</v>
      </c>
      <c r="B5447" s="2">
        <f ca="1">IFERROR(__xludf.DUMMYFUNCTION("""COMPUTED_VALUE"""),1)</f>
        <v>1</v>
      </c>
      <c r="C5447" s="7">
        <f ca="1">IFERROR(__xludf.DUMMYFUNCTION("""COMPUTED_VALUE"""),1)</f>
        <v>1</v>
      </c>
      <c r="D5447" s="8">
        <f ca="1">IFERROR(__xludf.DUMMYFUNCTION("""COMPUTED_VALUE"""),1)</f>
        <v>1</v>
      </c>
      <c r="E5447" s="2">
        <f ca="1">IFERROR(__xludf.DUMMYFUNCTION("""COMPUTED_VALUE"""),1)</f>
        <v>1</v>
      </c>
    </row>
    <row r="5448" spans="1:5" ht="13">
      <c r="A5448" s="2" t="str">
        <f ca="1">IFERROR(__xludf.DUMMYFUNCTION("""COMPUTED_VALUE"""),"McGill, Stan")</f>
        <v>McGill, Stan</v>
      </c>
      <c r="B5448" s="3">
        <f ca="1">IFERROR(__xludf.DUMMYFUNCTION("""COMPUTED_VALUE"""),1)</f>
        <v>1</v>
      </c>
      <c r="C5448" s="7">
        <f ca="1">IFERROR(__xludf.DUMMYFUNCTION("""COMPUTED_VALUE"""),1)</f>
        <v>1</v>
      </c>
      <c r="D5448" s="8">
        <f ca="1">IFERROR(__xludf.DUMMYFUNCTION("""COMPUTED_VALUE"""),1)</f>
        <v>1</v>
      </c>
      <c r="E5448" s="2">
        <f ca="1">IFERROR(__xludf.DUMMYFUNCTION("""COMPUTED_VALUE"""),1)</f>
        <v>1</v>
      </c>
    </row>
    <row r="5449" spans="1:5" ht="13">
      <c r="A5449" s="2" t="str">
        <f ca="1">IFERROR(__xludf.DUMMYFUNCTION("""COMPUTED_VALUE"""),"McGinnis, Donald")</f>
        <v>McGinnis, Donald</v>
      </c>
      <c r="B5449" s="2">
        <f ca="1">IFERROR(__xludf.DUMMYFUNCTION("""COMPUTED_VALUE"""),1)</f>
        <v>1</v>
      </c>
      <c r="C5449" s="7">
        <f ca="1">IFERROR(__xludf.DUMMYFUNCTION("""COMPUTED_VALUE"""),1)</f>
        <v>1</v>
      </c>
      <c r="D5449" s="8">
        <f ca="1">IFERROR(__xludf.DUMMYFUNCTION("""COMPUTED_VALUE"""),1)</f>
        <v>1</v>
      </c>
      <c r="E5449" s="2">
        <f ca="1">IFERROR(__xludf.DUMMYFUNCTION("""COMPUTED_VALUE"""),1)</f>
        <v>1</v>
      </c>
    </row>
    <row r="5450" spans="1:5" ht="13">
      <c r="A5450" s="2" t="str">
        <f ca="1">IFERROR(__xludf.DUMMYFUNCTION("""COMPUTED_VALUE"""),"McGlynn, Michael")</f>
        <v>McGlynn, Michael</v>
      </c>
      <c r="B5450" s="2">
        <f ca="1">IFERROR(__xludf.DUMMYFUNCTION("""COMPUTED_VALUE"""),1)</f>
        <v>1</v>
      </c>
      <c r="C5450" s="7">
        <f ca="1">IFERROR(__xludf.DUMMYFUNCTION("""COMPUTED_VALUE"""),1)</f>
        <v>1</v>
      </c>
      <c r="D5450" s="8">
        <f ca="1">IFERROR(__xludf.DUMMYFUNCTION("""COMPUTED_VALUE"""),1)</f>
        <v>1</v>
      </c>
      <c r="E5450" s="2">
        <f ca="1">IFERROR(__xludf.DUMMYFUNCTION("""COMPUTED_VALUE"""),1)</f>
        <v>1</v>
      </c>
    </row>
    <row r="5451" spans="1:5" ht="13">
      <c r="A5451" s="2" t="str">
        <f ca="1">IFERROR(__xludf.DUMMYFUNCTION("""COMPUTED_VALUE"""),"McGrath, Ethan")</f>
        <v>McGrath, Ethan</v>
      </c>
      <c r="B5451" s="3">
        <f ca="1">IFERROR(__xludf.DUMMYFUNCTION("""COMPUTED_VALUE"""),1)</f>
        <v>1</v>
      </c>
      <c r="C5451" s="7">
        <f ca="1">IFERROR(__xludf.DUMMYFUNCTION("""COMPUTED_VALUE"""),1)</f>
        <v>1</v>
      </c>
      <c r="D5451" s="8">
        <f ca="1">IFERROR(__xludf.DUMMYFUNCTION("""COMPUTED_VALUE"""),1)</f>
        <v>1</v>
      </c>
      <c r="E5451" s="2">
        <f ca="1">IFERROR(__xludf.DUMMYFUNCTION("""COMPUTED_VALUE"""),1)</f>
        <v>1</v>
      </c>
    </row>
    <row r="5452" spans="1:5" ht="13">
      <c r="A5452" s="2" t="str">
        <f ca="1">IFERROR(__xludf.DUMMYFUNCTION("""COMPUTED_VALUE"""),"McGrew, Ross")</f>
        <v>McGrew, Ross</v>
      </c>
      <c r="B5452" s="3">
        <f ca="1">IFERROR(__xludf.DUMMYFUNCTION("""COMPUTED_VALUE"""),1)</f>
        <v>1</v>
      </c>
      <c r="C5452" s="7">
        <f ca="1">IFERROR(__xludf.DUMMYFUNCTION("""COMPUTED_VALUE"""),1)</f>
        <v>1</v>
      </c>
      <c r="D5452" s="8">
        <f ca="1">IFERROR(__xludf.DUMMYFUNCTION("""COMPUTED_VALUE"""),1)</f>
        <v>1</v>
      </c>
      <c r="E5452" s="2">
        <f ca="1">IFERROR(__xludf.DUMMYFUNCTION("""COMPUTED_VALUE"""),1)</f>
        <v>1</v>
      </c>
    </row>
    <row r="5453" spans="1:5" ht="13">
      <c r="A5453" s="2" t="str">
        <f ca="1">IFERROR(__xludf.DUMMYFUNCTION("""COMPUTED_VALUE"""),"McGuinness, Pete")</f>
        <v>McGuinness, Pete</v>
      </c>
      <c r="B5453" s="3">
        <f ca="1">IFERROR(__xludf.DUMMYFUNCTION("""COMPUTED_VALUE"""),1)</f>
        <v>1</v>
      </c>
      <c r="C5453" s="7">
        <f ca="1">IFERROR(__xludf.DUMMYFUNCTION("""COMPUTED_VALUE"""),1)</f>
        <v>1</v>
      </c>
      <c r="D5453" s="8">
        <f ca="1">IFERROR(__xludf.DUMMYFUNCTION("""COMPUTED_VALUE"""),1)</f>
        <v>1</v>
      </c>
      <c r="E5453" s="2">
        <f ca="1">IFERROR(__xludf.DUMMYFUNCTION("""COMPUTED_VALUE"""),1)</f>
        <v>1</v>
      </c>
    </row>
    <row r="5454" spans="1:5" ht="13">
      <c r="A5454" s="2" t="str">
        <f ca="1">IFERROR(__xludf.DUMMYFUNCTION("""COMPUTED_VALUE"""),"McHugh, Jimmy")</f>
        <v>McHugh, Jimmy</v>
      </c>
      <c r="B5454" s="3">
        <f ca="1">IFERROR(__xludf.DUMMYFUNCTION("""COMPUTED_VALUE"""),1)</f>
        <v>1</v>
      </c>
      <c r="C5454" s="7">
        <f ca="1">IFERROR(__xludf.DUMMYFUNCTION("""COMPUTED_VALUE"""),1)</f>
        <v>1</v>
      </c>
      <c r="D5454" s="8">
        <f ca="1">IFERROR(__xludf.DUMMYFUNCTION("""COMPUTED_VALUE"""),1)</f>
        <v>1</v>
      </c>
      <c r="E5454" s="2">
        <f ca="1">IFERROR(__xludf.DUMMYFUNCTION("""COMPUTED_VALUE"""),1)</f>
        <v>1</v>
      </c>
    </row>
    <row r="5455" spans="1:5" ht="13">
      <c r="A5455" s="2" t="str">
        <f ca="1">IFERROR(__xludf.DUMMYFUNCTION("""COMPUTED_VALUE"""),"McHugh, Jimmy / Fields, Dorothy")</f>
        <v>McHugh, Jimmy / Fields, Dorothy</v>
      </c>
      <c r="B5455" s="2">
        <f ca="1">IFERROR(__xludf.DUMMYFUNCTION("""COMPUTED_VALUE"""),1)</f>
        <v>1</v>
      </c>
      <c r="C5455" s="7">
        <f ca="1">IFERROR(__xludf.DUMMYFUNCTION("""COMPUTED_VALUE"""),1)</f>
        <v>1</v>
      </c>
      <c r="D5455" s="8">
        <f ca="1">IFERROR(__xludf.DUMMYFUNCTION("""COMPUTED_VALUE"""),5)</f>
        <v>5</v>
      </c>
      <c r="E5455" s="2">
        <f ca="1">IFERROR(__xludf.DUMMYFUNCTION("""COMPUTED_VALUE"""),2)</f>
        <v>2</v>
      </c>
    </row>
    <row r="5456" spans="1:5" ht="13">
      <c r="A5456" s="2" t="str">
        <f ca="1">IFERROR(__xludf.DUMMYFUNCTION("""COMPUTED_VALUE"""),"McHugh, Jimmy / Gaskill, Clarence")</f>
        <v>McHugh, Jimmy / Gaskill, Clarence</v>
      </c>
      <c r="B5456" s="2">
        <f ca="1">IFERROR(__xludf.DUMMYFUNCTION("""COMPUTED_VALUE"""),1)</f>
        <v>1</v>
      </c>
      <c r="C5456" s="7">
        <f ca="1">IFERROR(__xludf.DUMMYFUNCTION("""COMPUTED_VALUE"""),1)</f>
        <v>1</v>
      </c>
      <c r="D5456" s="8">
        <f ca="1">IFERROR(__xludf.DUMMYFUNCTION("""COMPUTED_VALUE"""),5)</f>
        <v>5</v>
      </c>
      <c r="E5456" s="2">
        <f ca="1">IFERROR(__xludf.DUMMYFUNCTION("""COMPUTED_VALUE"""),2)</f>
        <v>2</v>
      </c>
    </row>
    <row r="5457" spans="1:5" ht="13">
      <c r="A5457" s="2" t="str">
        <f ca="1">IFERROR(__xludf.DUMMYFUNCTION("""COMPUTED_VALUE"""),"McHugh, Jimmy / Mills, Irving")</f>
        <v>McHugh, Jimmy / Mills, Irving</v>
      </c>
      <c r="B5457" s="3">
        <f ca="1">IFERROR(__xludf.DUMMYFUNCTION("""COMPUTED_VALUE"""),1)</f>
        <v>1</v>
      </c>
      <c r="C5457" s="7">
        <f ca="1">IFERROR(__xludf.DUMMYFUNCTION("""COMPUTED_VALUE"""),1)</f>
        <v>1</v>
      </c>
      <c r="D5457" s="8">
        <f ca="1">IFERROR(__xludf.DUMMYFUNCTION("""COMPUTED_VALUE"""),5)</f>
        <v>5</v>
      </c>
      <c r="E5457" s="2">
        <f ca="1">IFERROR(__xludf.DUMMYFUNCTION("""COMPUTED_VALUE"""),2)</f>
        <v>2</v>
      </c>
    </row>
    <row r="5458" spans="1:5" ht="13">
      <c r="A5458" s="2" t="str">
        <f ca="1">IFERROR(__xludf.DUMMYFUNCTION("""COMPUTED_VALUE"""),"McInnish, Josh")</f>
        <v>McInnish, Josh</v>
      </c>
      <c r="B5458" s="3">
        <f ca="1">IFERROR(__xludf.DUMMYFUNCTION("""COMPUTED_VALUE"""),1)</f>
        <v>1</v>
      </c>
      <c r="C5458" s="7">
        <f ca="1">IFERROR(__xludf.DUMMYFUNCTION("""COMPUTED_VALUE"""),1)</f>
        <v>1</v>
      </c>
      <c r="D5458" s="8">
        <f ca="1">IFERROR(__xludf.DUMMYFUNCTION("""COMPUTED_VALUE"""),1)</f>
        <v>1</v>
      </c>
      <c r="E5458" s="2">
        <f ca="1">IFERROR(__xludf.DUMMYFUNCTION("""COMPUTED_VALUE"""),1)</f>
        <v>1</v>
      </c>
    </row>
    <row r="5459" spans="1:5" ht="13">
      <c r="A5459" s="2" t="str">
        <f ca="1">IFERROR(__xludf.DUMMYFUNCTION("""COMPUTED_VALUE"""),"McIntosh, Andrew")</f>
        <v>McIntosh, Andrew</v>
      </c>
      <c r="B5459" s="3">
        <f ca="1">IFERROR(__xludf.DUMMYFUNCTION("""COMPUTED_VALUE"""),1)</f>
        <v>1</v>
      </c>
      <c r="C5459" s="7">
        <f ca="1">IFERROR(__xludf.DUMMYFUNCTION("""COMPUTED_VALUE"""),1)</f>
        <v>1</v>
      </c>
      <c r="D5459" s="8">
        <f ca="1">IFERROR(__xludf.DUMMYFUNCTION("""COMPUTED_VALUE"""),1)</f>
        <v>1</v>
      </c>
      <c r="E5459" s="2">
        <f ca="1">IFERROR(__xludf.DUMMYFUNCTION("""COMPUTED_VALUE"""),1)</f>
        <v>1</v>
      </c>
    </row>
    <row r="5460" spans="1:5" ht="13">
      <c r="A5460" s="2" t="str">
        <f ca="1">IFERROR(__xludf.DUMMYFUNCTION("""COMPUTED_VALUE"""),"McIntosh, Nat")</f>
        <v>McIntosh, Nat</v>
      </c>
      <c r="B5460" s="3">
        <f ca="1">IFERROR(__xludf.DUMMYFUNCTION("""COMPUTED_VALUE"""),1)</f>
        <v>1</v>
      </c>
      <c r="C5460" s="7">
        <f ca="1">IFERROR(__xludf.DUMMYFUNCTION("""COMPUTED_VALUE"""),1)</f>
        <v>1</v>
      </c>
      <c r="D5460" s="8">
        <f ca="1">IFERROR(__xludf.DUMMYFUNCTION("""COMPUTED_VALUE"""),1)</f>
        <v>1</v>
      </c>
      <c r="E5460" s="2">
        <f ca="1">IFERROR(__xludf.DUMMYFUNCTION("""COMPUTED_VALUE"""),1)</f>
        <v>1</v>
      </c>
    </row>
    <row r="5461" spans="1:5" ht="13">
      <c r="A5461" s="8" t="str">
        <f ca="1">IFERROR(__xludf.DUMMYFUNCTION("""COMPUTED_VALUE"""),"McIntosh, Stuart")</f>
        <v>McIntosh, Stuart</v>
      </c>
      <c r="B5461" s="3">
        <f ca="1">IFERROR(__xludf.DUMMYFUNCTION("""COMPUTED_VALUE"""),1)</f>
        <v>1</v>
      </c>
      <c r="C5461" s="7">
        <f ca="1">IFERROR(__xludf.DUMMYFUNCTION("""COMPUTED_VALUE"""),1)</f>
        <v>1</v>
      </c>
      <c r="D5461" s="8">
        <f ca="1">IFERROR(__xludf.DUMMYFUNCTION("""COMPUTED_VALUE"""),1)</f>
        <v>1</v>
      </c>
      <c r="E5461" s="2">
        <f ca="1">IFERROR(__xludf.DUMMYFUNCTION("""COMPUTED_VALUE"""),1)</f>
        <v>1</v>
      </c>
    </row>
    <row r="5462" spans="1:5" ht="13">
      <c r="A5462" s="2" t="str">
        <f ca="1">IFERROR(__xludf.DUMMYFUNCTION("""COMPUTED_VALUE"""),"McIntyre, Eric")</f>
        <v>McIntyre, Eric</v>
      </c>
      <c r="B5462" s="3">
        <f ca="1">IFERROR(__xludf.DUMMYFUNCTION("""COMPUTED_VALUE"""),1)</f>
        <v>1</v>
      </c>
      <c r="C5462" s="7">
        <f ca="1">IFERROR(__xludf.DUMMYFUNCTION("""COMPUTED_VALUE"""),1)</f>
        <v>1</v>
      </c>
      <c r="D5462" s="8">
        <f ca="1">IFERROR(__xludf.DUMMYFUNCTION("""COMPUTED_VALUE"""),1)</f>
        <v>1</v>
      </c>
      <c r="E5462" s="2">
        <f ca="1">IFERROR(__xludf.DUMMYFUNCTION("""COMPUTED_VALUE"""),1)</f>
        <v>1</v>
      </c>
    </row>
    <row r="5463" spans="1:5" ht="13">
      <c r="A5463" s="2" t="str">
        <f ca="1">IFERROR(__xludf.DUMMYFUNCTION("""COMPUTED_VALUE"""),"McIntyre, Phillip")</f>
        <v>McIntyre, Phillip</v>
      </c>
      <c r="B5463" s="3">
        <f ca="1">IFERROR(__xludf.DUMMYFUNCTION("""COMPUTED_VALUE"""),1)</f>
        <v>1</v>
      </c>
      <c r="C5463" s="7">
        <f ca="1">IFERROR(__xludf.DUMMYFUNCTION("""COMPUTED_VALUE"""),1)</f>
        <v>1</v>
      </c>
      <c r="D5463" s="8">
        <f ca="1">IFERROR(__xludf.DUMMYFUNCTION("""COMPUTED_VALUE"""),5)</f>
        <v>5</v>
      </c>
      <c r="E5463" s="2">
        <f ca="1">IFERROR(__xludf.DUMMYFUNCTION("""COMPUTED_VALUE"""),2)</f>
        <v>2</v>
      </c>
    </row>
    <row r="5464" spans="1:5" ht="13">
      <c r="A5464" s="2" t="str">
        <f ca="1">IFERROR(__xludf.DUMMYFUNCTION("""COMPUTED_VALUE"""),"McIver, Robert H.")</f>
        <v>McIver, Robert H.</v>
      </c>
      <c r="B5464" s="3">
        <f ca="1">IFERROR(__xludf.DUMMYFUNCTION("""COMPUTED_VALUE"""),1)</f>
        <v>1</v>
      </c>
      <c r="C5464" s="7">
        <f ca="1">IFERROR(__xludf.DUMMYFUNCTION("""COMPUTED_VALUE"""),1)</f>
        <v>1</v>
      </c>
      <c r="D5464" s="8">
        <f ca="1">IFERROR(__xludf.DUMMYFUNCTION("""COMPUTED_VALUE"""),1)</f>
        <v>1</v>
      </c>
      <c r="E5464" s="2">
        <f ca="1">IFERROR(__xludf.DUMMYFUNCTION("""COMPUTED_VALUE"""),1)</f>
        <v>1</v>
      </c>
    </row>
    <row r="5465" spans="1:5" ht="13">
      <c r="A5465" s="2" t="str">
        <f ca="1">IFERROR(__xludf.DUMMYFUNCTION("""COMPUTED_VALUE"""),"McKay, Francis H.")</f>
        <v>McKay, Francis H.</v>
      </c>
      <c r="B5465" s="2">
        <f ca="1">IFERROR(__xludf.DUMMYFUNCTION("""COMPUTED_VALUE"""),1)</f>
        <v>1</v>
      </c>
      <c r="C5465" s="7">
        <f ca="1">IFERROR(__xludf.DUMMYFUNCTION("""COMPUTED_VALUE"""),1)</f>
        <v>1</v>
      </c>
      <c r="D5465" s="8">
        <f ca="1">IFERROR(__xludf.DUMMYFUNCTION("""COMPUTED_VALUE"""),5)</f>
        <v>5</v>
      </c>
      <c r="E5465" s="2">
        <f ca="1">IFERROR(__xludf.DUMMYFUNCTION("""COMPUTED_VALUE"""),2)</f>
        <v>2</v>
      </c>
    </row>
    <row r="5466" spans="1:5" ht="13">
      <c r="A5466" s="2" t="str">
        <f ca="1">IFERROR(__xludf.DUMMYFUNCTION("""COMPUTED_VALUE"""),"McKay, George Frederick")</f>
        <v>McKay, George Frederick</v>
      </c>
      <c r="B5466" s="3">
        <f ca="1">IFERROR(__xludf.DUMMYFUNCTION("""COMPUTED_VALUE"""),1)</f>
        <v>1</v>
      </c>
      <c r="C5466" s="7">
        <f ca="1">IFERROR(__xludf.DUMMYFUNCTION("""COMPUTED_VALUE"""),1)</f>
        <v>1</v>
      </c>
      <c r="D5466" s="8">
        <f ca="1">IFERROR(__xludf.DUMMYFUNCTION("""COMPUTED_VALUE"""),5)</f>
        <v>5</v>
      </c>
      <c r="E5466" s="2">
        <f ca="1">IFERROR(__xludf.DUMMYFUNCTION("""COMPUTED_VALUE"""),2)</f>
        <v>2</v>
      </c>
    </row>
    <row r="5467" spans="1:5" ht="13">
      <c r="A5467" s="2" t="str">
        <f ca="1">IFERROR(__xludf.DUMMYFUNCTION("""COMPUTED_VALUE"""),"McKay, Neil")</f>
        <v>McKay, Neil</v>
      </c>
      <c r="B5467" s="3">
        <f ca="1">IFERROR(__xludf.DUMMYFUNCTION("""COMPUTED_VALUE"""),1)</f>
        <v>1</v>
      </c>
      <c r="C5467" s="7">
        <f ca="1">IFERROR(__xludf.DUMMYFUNCTION("""COMPUTED_VALUE"""),1)</f>
        <v>1</v>
      </c>
      <c r="D5467" s="8">
        <f ca="1">IFERROR(__xludf.DUMMYFUNCTION("""COMPUTED_VALUE"""),5)</f>
        <v>5</v>
      </c>
      <c r="E5467" s="2">
        <f ca="1">IFERROR(__xludf.DUMMYFUNCTION("""COMPUTED_VALUE"""),2)</f>
        <v>2</v>
      </c>
    </row>
    <row r="5468" spans="1:5" ht="13">
      <c r="A5468" s="2" t="str">
        <f ca="1">IFERROR(__xludf.DUMMYFUNCTION("""COMPUTED_VALUE"""),"McKee, Kevin")</f>
        <v>McKee, Kevin</v>
      </c>
      <c r="B5468" s="3">
        <f ca="1">IFERROR(__xludf.DUMMYFUNCTION("""COMPUTED_VALUE"""),1)</f>
        <v>1</v>
      </c>
      <c r="C5468" s="7">
        <f ca="1">IFERROR(__xludf.DUMMYFUNCTION("""COMPUTED_VALUE"""),1)</f>
        <v>1</v>
      </c>
      <c r="D5468" s="8">
        <f ca="1">IFERROR(__xludf.DUMMYFUNCTION("""COMPUTED_VALUE"""),1)</f>
        <v>1</v>
      </c>
      <c r="E5468" s="2">
        <f ca="1">IFERROR(__xludf.DUMMYFUNCTION("""COMPUTED_VALUE"""),1)</f>
        <v>1</v>
      </c>
    </row>
    <row r="5469" spans="1:5" ht="13">
      <c r="A5469" s="2" t="str">
        <f ca="1">IFERROR(__xludf.DUMMYFUNCTION("""COMPUTED_VALUE"""),"McKee, M. Max")</f>
        <v>McKee, M. Max</v>
      </c>
      <c r="B5469" s="3">
        <f ca="1">IFERROR(__xludf.DUMMYFUNCTION("""COMPUTED_VALUE"""),1)</f>
        <v>1</v>
      </c>
      <c r="C5469" s="7">
        <f ca="1">IFERROR(__xludf.DUMMYFUNCTION("""COMPUTED_VALUE"""),1)</f>
        <v>1</v>
      </c>
      <c r="D5469" s="8">
        <f ca="1">IFERROR(__xludf.DUMMYFUNCTION("""COMPUTED_VALUE"""),1)</f>
        <v>1</v>
      </c>
      <c r="E5469" s="2">
        <f ca="1">IFERROR(__xludf.DUMMYFUNCTION("""COMPUTED_VALUE"""),1)</f>
        <v>1</v>
      </c>
    </row>
    <row r="5470" spans="1:5" ht="13">
      <c r="A5470" s="2" t="str">
        <f ca="1">IFERROR(__xludf.DUMMYFUNCTION("""COMPUTED_VALUE"""),"McKee, Richard")</f>
        <v>McKee, Richard</v>
      </c>
      <c r="B5470" s="3">
        <f ca="1">IFERROR(__xludf.DUMMYFUNCTION("""COMPUTED_VALUE"""),1)</f>
        <v>1</v>
      </c>
      <c r="C5470" s="7">
        <f ca="1">IFERROR(__xludf.DUMMYFUNCTION("""COMPUTED_VALUE"""),1)</f>
        <v>1</v>
      </c>
      <c r="D5470" s="8">
        <f ca="1">IFERROR(__xludf.DUMMYFUNCTION("""COMPUTED_VALUE"""),1)</f>
        <v>1</v>
      </c>
      <c r="E5470" s="2">
        <f ca="1">IFERROR(__xludf.DUMMYFUNCTION("""COMPUTED_VALUE"""),1)</f>
        <v>1</v>
      </c>
    </row>
    <row r="5471" spans="1:5" ht="13">
      <c r="A5471" s="2" t="str">
        <f ca="1">IFERROR(__xludf.DUMMYFUNCTION("""COMPUTED_VALUE"""),"McKee, William")</f>
        <v>McKee, William</v>
      </c>
      <c r="B5471" s="3">
        <f ca="1">IFERROR(__xludf.DUMMYFUNCTION("""COMPUTED_VALUE"""),1)</f>
        <v>1</v>
      </c>
      <c r="C5471" s="7">
        <f ca="1">IFERROR(__xludf.DUMMYFUNCTION("""COMPUTED_VALUE"""),1)</f>
        <v>1</v>
      </c>
      <c r="D5471" s="8">
        <f ca="1">IFERROR(__xludf.DUMMYFUNCTION("""COMPUTED_VALUE"""),1)</f>
        <v>1</v>
      </c>
      <c r="E5471" s="2">
        <f ca="1">IFERROR(__xludf.DUMMYFUNCTION("""COMPUTED_VALUE"""),1)</f>
        <v>1</v>
      </c>
    </row>
    <row r="5472" spans="1:5" ht="13">
      <c r="A5472" s="8" t="str">
        <f ca="1">IFERROR(__xludf.DUMMYFUNCTION("""COMPUTED_VALUE"""),"McKelvy, James")</f>
        <v>McKelvy, James</v>
      </c>
      <c r="B5472" s="3">
        <f ca="1">IFERROR(__xludf.DUMMYFUNCTION("""COMPUTED_VALUE"""),1)</f>
        <v>1</v>
      </c>
      <c r="C5472" s="7">
        <f ca="1">IFERROR(__xludf.DUMMYFUNCTION("""COMPUTED_VALUE"""),1)</f>
        <v>1</v>
      </c>
      <c r="D5472" s="8">
        <f ca="1">IFERROR(__xludf.DUMMYFUNCTION("""COMPUTED_VALUE"""),5)</f>
        <v>5</v>
      </c>
      <c r="E5472" s="2">
        <f ca="1">IFERROR(__xludf.DUMMYFUNCTION("""COMPUTED_VALUE"""),2)</f>
        <v>2</v>
      </c>
    </row>
    <row r="5473" spans="1:5" ht="13">
      <c r="A5473" s="2" t="str">
        <f ca="1">IFERROR(__xludf.DUMMYFUNCTION("""COMPUTED_VALUE"""),"McKenzie, Daniel")</f>
        <v>McKenzie, Daniel</v>
      </c>
      <c r="B5473" s="2">
        <f ca="1">IFERROR(__xludf.DUMMYFUNCTION("""COMPUTED_VALUE"""),1)</f>
        <v>1</v>
      </c>
      <c r="C5473" s="7">
        <f ca="1">IFERROR(__xludf.DUMMYFUNCTION("""COMPUTED_VALUE"""),1)</f>
        <v>1</v>
      </c>
      <c r="D5473" s="8">
        <f ca="1">IFERROR(__xludf.DUMMYFUNCTION("""COMPUTED_VALUE"""),1)</f>
        <v>1</v>
      </c>
      <c r="E5473" s="2">
        <f ca="1">IFERROR(__xludf.DUMMYFUNCTION("""COMPUTED_VALUE"""),1)</f>
        <v>1</v>
      </c>
    </row>
    <row r="5474" spans="1:5" ht="13">
      <c r="A5474" s="2" t="str">
        <f ca="1">IFERROR(__xludf.DUMMYFUNCTION("""COMPUTED_VALUE"""),"McKenzie, Daryl")</f>
        <v>McKenzie, Daryl</v>
      </c>
      <c r="B5474" s="2">
        <f ca="1">IFERROR(__xludf.DUMMYFUNCTION("""COMPUTED_VALUE"""),1)</f>
        <v>1</v>
      </c>
      <c r="C5474" s="7">
        <f ca="1">IFERROR(__xludf.DUMMYFUNCTION("""COMPUTED_VALUE"""),1)</f>
        <v>1</v>
      </c>
      <c r="D5474" s="8">
        <f ca="1">IFERROR(__xludf.DUMMYFUNCTION("""COMPUTED_VALUE"""),1)</f>
        <v>1</v>
      </c>
      <c r="E5474" s="2">
        <f ca="1">IFERROR(__xludf.DUMMYFUNCTION("""COMPUTED_VALUE"""),1)</f>
        <v>1</v>
      </c>
    </row>
    <row r="5475" spans="1:5" ht="13">
      <c r="A5475" s="2" t="str">
        <f ca="1">IFERROR(__xludf.DUMMYFUNCTION("""COMPUTED_VALUE"""),"McKenzie, J. Scott")</f>
        <v>McKenzie, J. Scott</v>
      </c>
      <c r="B5475" s="3">
        <f ca="1">IFERROR(__xludf.DUMMYFUNCTION("""COMPUTED_VALUE"""),1)</f>
        <v>1</v>
      </c>
      <c r="C5475" s="7">
        <f ca="1">IFERROR(__xludf.DUMMYFUNCTION("""COMPUTED_VALUE"""),1)</f>
        <v>1</v>
      </c>
      <c r="D5475" s="8">
        <f ca="1">IFERROR(__xludf.DUMMYFUNCTION("""COMPUTED_VALUE"""),1)</f>
        <v>1</v>
      </c>
      <c r="E5475" s="2">
        <f ca="1">IFERROR(__xludf.DUMMYFUNCTION("""COMPUTED_VALUE"""),1)</f>
        <v>1</v>
      </c>
    </row>
    <row r="5476" spans="1:5" ht="13">
      <c r="A5476" s="2" t="str">
        <f ca="1">IFERROR(__xludf.DUMMYFUNCTION("""COMPUTED_VALUE"""),"McKenzie, Jimmy")</f>
        <v>McKenzie, Jimmy</v>
      </c>
      <c r="B5476" s="3">
        <f ca="1">IFERROR(__xludf.DUMMYFUNCTION("""COMPUTED_VALUE"""),1)</f>
        <v>1</v>
      </c>
      <c r="C5476" s="7">
        <f ca="1">IFERROR(__xludf.DUMMYFUNCTION("""COMPUTED_VALUE"""),1)</f>
        <v>1</v>
      </c>
      <c r="D5476" s="8">
        <f ca="1">IFERROR(__xludf.DUMMYFUNCTION("""COMPUTED_VALUE"""),1)</f>
        <v>1</v>
      </c>
      <c r="E5476" s="2">
        <f ca="1">IFERROR(__xludf.DUMMYFUNCTION("""COMPUTED_VALUE"""),1)</f>
        <v>1</v>
      </c>
    </row>
    <row r="5477" spans="1:5" ht="13">
      <c r="A5477" s="2" t="str">
        <f ca="1">IFERROR(__xludf.DUMMYFUNCTION("""COMPUTED_VALUE"""),"McKenzie, Keenan")</f>
        <v>McKenzie, Keenan</v>
      </c>
      <c r="B5477" s="3">
        <f ca="1">IFERROR(__xludf.DUMMYFUNCTION("""COMPUTED_VALUE"""),1)</f>
        <v>1</v>
      </c>
      <c r="C5477" s="7">
        <f ca="1">IFERROR(__xludf.DUMMYFUNCTION("""COMPUTED_VALUE"""),1)</f>
        <v>1</v>
      </c>
      <c r="D5477" s="8">
        <f ca="1">IFERROR(__xludf.DUMMYFUNCTION("""COMPUTED_VALUE"""),1)</f>
        <v>1</v>
      </c>
      <c r="E5477" s="2">
        <f ca="1">IFERROR(__xludf.DUMMYFUNCTION("""COMPUTED_VALUE"""),1)</f>
        <v>1</v>
      </c>
    </row>
    <row r="5478" spans="1:5" ht="13">
      <c r="A5478" s="2" t="str">
        <f ca="1">IFERROR(__xludf.DUMMYFUNCTION("""COMPUTED_VALUE"""),"McKinney, Frank")</f>
        <v>McKinney, Frank</v>
      </c>
      <c r="B5478" s="3">
        <f ca="1">IFERROR(__xludf.DUMMYFUNCTION("""COMPUTED_VALUE"""),1)</f>
        <v>1</v>
      </c>
      <c r="C5478" s="7">
        <f ca="1">IFERROR(__xludf.DUMMYFUNCTION("""COMPUTED_VALUE"""),1)</f>
        <v>1</v>
      </c>
      <c r="D5478" s="8">
        <f ca="1">IFERROR(__xludf.DUMMYFUNCTION("""COMPUTED_VALUE"""),1)</f>
        <v>1</v>
      </c>
      <c r="E5478" s="2">
        <f ca="1">IFERROR(__xludf.DUMMYFUNCTION("""COMPUTED_VALUE"""),1)</f>
        <v>1</v>
      </c>
    </row>
    <row r="5479" spans="1:5" ht="13">
      <c r="A5479" s="8" t="str">
        <f ca="1">IFERROR(__xludf.DUMMYFUNCTION("""COMPUTED_VALUE"""),"McKinney, Howard")</f>
        <v>McKinney, Howard</v>
      </c>
      <c r="B5479" s="3">
        <f ca="1">IFERROR(__xludf.DUMMYFUNCTION("""COMPUTED_VALUE"""),1)</f>
        <v>1</v>
      </c>
      <c r="C5479" s="7">
        <f ca="1">IFERROR(__xludf.DUMMYFUNCTION("""COMPUTED_VALUE"""),1)</f>
        <v>1</v>
      </c>
      <c r="D5479" s="8">
        <f ca="1">IFERROR(__xludf.DUMMYFUNCTION("""COMPUTED_VALUE"""),5)</f>
        <v>5</v>
      </c>
      <c r="E5479" s="2">
        <f ca="1">IFERROR(__xludf.DUMMYFUNCTION("""COMPUTED_VALUE"""),2)</f>
        <v>2</v>
      </c>
    </row>
    <row r="5480" spans="1:5" ht="13">
      <c r="A5480" s="2" t="str">
        <f ca="1">IFERROR(__xludf.DUMMYFUNCTION("""COMPUTED_VALUE"""),"McKinzey, Kyle")</f>
        <v>McKinzey, Kyle</v>
      </c>
      <c r="B5480" s="3">
        <f ca="1">IFERROR(__xludf.DUMMYFUNCTION("""COMPUTED_VALUE"""),1)</f>
        <v>1</v>
      </c>
      <c r="C5480" s="7">
        <f ca="1">IFERROR(__xludf.DUMMYFUNCTION("""COMPUTED_VALUE"""),1)</f>
        <v>1</v>
      </c>
      <c r="D5480" s="8">
        <f ca="1">IFERROR(__xludf.DUMMYFUNCTION("""COMPUTED_VALUE"""),1)</f>
        <v>1</v>
      </c>
      <c r="E5480" s="2">
        <f ca="1">IFERROR(__xludf.DUMMYFUNCTION("""COMPUTED_VALUE"""),1)</f>
        <v>1</v>
      </c>
    </row>
    <row r="5481" spans="1:5" ht="13">
      <c r="A5481" s="2" t="str">
        <f ca="1">IFERROR(__xludf.DUMMYFUNCTION("""COMPUTED_VALUE"""),"McLain, Douglas")</f>
        <v>McLain, Douglas</v>
      </c>
      <c r="B5481" s="3">
        <f ca="1">IFERROR(__xludf.DUMMYFUNCTION("""COMPUTED_VALUE"""),1)</f>
        <v>1</v>
      </c>
      <c r="C5481" s="7">
        <f ca="1">IFERROR(__xludf.DUMMYFUNCTION("""COMPUTED_VALUE"""),1)</f>
        <v>1</v>
      </c>
      <c r="D5481" s="8">
        <f ca="1">IFERROR(__xludf.DUMMYFUNCTION("""COMPUTED_VALUE"""),5)</f>
        <v>5</v>
      </c>
      <c r="E5481" s="2">
        <f ca="1">IFERROR(__xludf.DUMMYFUNCTION("""COMPUTED_VALUE"""),2)</f>
        <v>2</v>
      </c>
    </row>
    <row r="5482" spans="1:5" ht="13">
      <c r="A5482" s="2" t="str">
        <f ca="1">IFERROR(__xludf.DUMMYFUNCTION("""COMPUTED_VALUE"""),"McLean, Barton")</f>
        <v>McLean, Barton</v>
      </c>
      <c r="B5482" s="3">
        <f ca="1">IFERROR(__xludf.DUMMYFUNCTION("""COMPUTED_VALUE"""),1)</f>
        <v>1</v>
      </c>
      <c r="C5482" s="7">
        <f ca="1">IFERROR(__xludf.DUMMYFUNCTION("""COMPUTED_VALUE"""),1)</f>
        <v>1</v>
      </c>
      <c r="D5482" s="8">
        <f ca="1">IFERROR(__xludf.DUMMYFUNCTION("""COMPUTED_VALUE"""),1)</f>
        <v>1</v>
      </c>
      <c r="E5482" s="2">
        <f ca="1">IFERROR(__xludf.DUMMYFUNCTION("""COMPUTED_VALUE"""),1)</f>
        <v>1</v>
      </c>
    </row>
    <row r="5483" spans="1:5" ht="13">
      <c r="A5483" s="2" t="str">
        <f ca="1">IFERROR(__xludf.DUMMYFUNCTION("""COMPUTED_VALUE"""),"McLeod, James")</f>
        <v>McLeod, James</v>
      </c>
      <c r="B5483" s="3">
        <f ca="1">IFERROR(__xludf.DUMMYFUNCTION("""COMPUTED_VALUE"""),1)</f>
        <v>1</v>
      </c>
      <c r="C5483" s="7">
        <f ca="1">IFERROR(__xludf.DUMMYFUNCTION("""COMPUTED_VALUE"""),1)</f>
        <v>1</v>
      </c>
      <c r="D5483" s="8">
        <f ca="1">IFERROR(__xludf.DUMMYFUNCTION("""COMPUTED_VALUE"""),5)</f>
        <v>5</v>
      </c>
      <c r="E5483" s="2">
        <f ca="1">IFERROR(__xludf.DUMMYFUNCTION("""COMPUTED_VALUE"""),2)</f>
        <v>2</v>
      </c>
    </row>
    <row r="5484" spans="1:5" ht="13">
      <c r="A5484" s="2" t="str">
        <f ca="1">IFERROR(__xludf.DUMMYFUNCTION("""COMPUTED_VALUE"""),"McLeod, James ""Red""")</f>
        <v>McLeod, James "Red"</v>
      </c>
      <c r="B5484" s="2">
        <f ca="1">IFERROR(__xludf.DUMMYFUNCTION("""COMPUTED_VALUE"""),1)</f>
        <v>1</v>
      </c>
      <c r="C5484" s="7">
        <f ca="1">IFERROR(__xludf.DUMMYFUNCTION("""COMPUTED_VALUE"""),1)</f>
        <v>1</v>
      </c>
      <c r="D5484" s="8">
        <f ca="1">IFERROR(__xludf.DUMMYFUNCTION("""COMPUTED_VALUE"""),5)</f>
        <v>5</v>
      </c>
      <c r="E5484" s="2">
        <f ca="1">IFERROR(__xludf.DUMMYFUNCTION("""COMPUTED_VALUE"""),2)</f>
        <v>2</v>
      </c>
    </row>
    <row r="5485" spans="1:5" ht="13">
      <c r="A5485" s="2" t="str">
        <f ca="1">IFERROR(__xludf.DUMMYFUNCTION("""COMPUTED_VALUE"""),"McLeod, Kevin")</f>
        <v>McLeod, Kevin</v>
      </c>
      <c r="B5485" s="3">
        <f ca="1">IFERROR(__xludf.DUMMYFUNCTION("""COMPUTED_VALUE"""),1)</f>
        <v>1</v>
      </c>
      <c r="C5485" s="7">
        <f ca="1">IFERROR(__xludf.DUMMYFUNCTION("""COMPUTED_VALUE"""),1)</f>
        <v>1</v>
      </c>
      <c r="D5485" s="8">
        <f ca="1">IFERROR(__xludf.DUMMYFUNCTION("""COMPUTED_VALUE"""),1)</f>
        <v>1</v>
      </c>
      <c r="E5485" s="2">
        <f ca="1">IFERROR(__xludf.DUMMYFUNCTION("""COMPUTED_VALUE"""),1)</f>
        <v>1</v>
      </c>
    </row>
    <row r="5486" spans="1:5" ht="13">
      <c r="A5486" s="8" t="str">
        <f ca="1">IFERROR(__xludf.DUMMYFUNCTION("""COMPUTED_VALUE"""),"McLoskey, Lansing")</f>
        <v>McLoskey, Lansing</v>
      </c>
      <c r="B5486" s="3">
        <f ca="1">IFERROR(__xludf.DUMMYFUNCTION("""COMPUTED_VALUE"""),1)</f>
        <v>1</v>
      </c>
      <c r="C5486" s="7">
        <f ca="1">IFERROR(__xludf.DUMMYFUNCTION("""COMPUTED_VALUE"""),1)</f>
        <v>1</v>
      </c>
      <c r="D5486" s="8">
        <f ca="1">IFERROR(__xludf.DUMMYFUNCTION("""COMPUTED_VALUE"""),1)</f>
        <v>1</v>
      </c>
      <c r="E5486" s="2">
        <f ca="1">IFERROR(__xludf.DUMMYFUNCTION("""COMPUTED_VALUE"""),1)</f>
        <v>1</v>
      </c>
    </row>
    <row r="5487" spans="1:5" ht="13">
      <c r="A5487" s="2" t="str">
        <f ca="1">IFERROR(__xludf.DUMMYFUNCTION("""COMPUTED_VALUE"""),"McManus, Andrew")</f>
        <v>McManus, Andrew</v>
      </c>
      <c r="B5487" s="3">
        <f ca="1">IFERROR(__xludf.DUMMYFUNCTION("""COMPUTED_VALUE"""),1)</f>
        <v>1</v>
      </c>
      <c r="C5487" s="7">
        <f ca="1">IFERROR(__xludf.DUMMYFUNCTION("""COMPUTED_VALUE"""),1)</f>
        <v>1</v>
      </c>
      <c r="D5487" s="8">
        <f ca="1">IFERROR(__xludf.DUMMYFUNCTION("""COMPUTED_VALUE"""),1)</f>
        <v>1</v>
      </c>
      <c r="E5487" s="2">
        <f ca="1">IFERROR(__xludf.DUMMYFUNCTION("""COMPUTED_VALUE"""),1)</f>
        <v>1</v>
      </c>
    </row>
    <row r="5488" spans="1:5" ht="13">
      <c r="A5488" s="2" t="str">
        <f ca="1">IFERROR(__xludf.DUMMYFUNCTION("""COMPUTED_VALUE"""),"McMichael, Aaron")</f>
        <v>McMichael, Aaron</v>
      </c>
      <c r="B5488" s="3">
        <f ca="1">IFERROR(__xludf.DUMMYFUNCTION("""COMPUTED_VALUE"""),1)</f>
        <v>1</v>
      </c>
      <c r="C5488" s="7">
        <f ca="1">IFERROR(__xludf.DUMMYFUNCTION("""COMPUTED_VALUE"""),1)</f>
        <v>1</v>
      </c>
      <c r="D5488" s="8">
        <f ca="1">IFERROR(__xludf.DUMMYFUNCTION("""COMPUTED_VALUE"""),1)</f>
        <v>1</v>
      </c>
      <c r="E5488" s="2">
        <f ca="1">IFERROR(__xludf.DUMMYFUNCTION("""COMPUTED_VALUE"""),1)</f>
        <v>1</v>
      </c>
    </row>
    <row r="5489" spans="1:5" ht="13">
      <c r="A5489" s="2" t="str">
        <f ca="1">IFERROR(__xludf.DUMMYFUNCTION("""COMPUTED_VALUE"""),"Mcnair, Jonathan")</f>
        <v>Mcnair, Jonathan</v>
      </c>
      <c r="B5489" s="3">
        <f ca="1">IFERROR(__xludf.DUMMYFUNCTION("""COMPUTED_VALUE"""),1)</f>
        <v>1</v>
      </c>
      <c r="C5489" s="7">
        <f ca="1">IFERROR(__xludf.DUMMYFUNCTION("""COMPUTED_VALUE"""),1)</f>
        <v>1</v>
      </c>
      <c r="D5489" s="8">
        <f ca="1">IFERROR(__xludf.DUMMYFUNCTION("""COMPUTED_VALUE"""),1)</f>
        <v>1</v>
      </c>
      <c r="E5489" s="2">
        <f ca="1">IFERROR(__xludf.DUMMYFUNCTION("""COMPUTED_VALUE"""),1)</f>
        <v>1</v>
      </c>
    </row>
    <row r="5490" spans="1:5" ht="13">
      <c r="A5490" s="2" t="str">
        <f ca="1">IFERROR(__xludf.DUMMYFUNCTION("""COMPUTED_VALUE"""),"McNeal, Todd")</f>
        <v>McNeal, Todd</v>
      </c>
      <c r="B5490" s="3">
        <f ca="1">IFERROR(__xludf.DUMMYFUNCTION("""COMPUTED_VALUE"""),1)</f>
        <v>1</v>
      </c>
      <c r="C5490" s="7">
        <f ca="1">IFERROR(__xludf.DUMMYFUNCTION("""COMPUTED_VALUE"""),1)</f>
        <v>1</v>
      </c>
      <c r="D5490" s="8">
        <f ca="1">IFERROR(__xludf.DUMMYFUNCTION("""COMPUTED_VALUE"""),1)</f>
        <v>1</v>
      </c>
      <c r="E5490" s="2">
        <f ca="1">IFERROR(__xludf.DUMMYFUNCTION("""COMPUTED_VALUE"""),1)</f>
        <v>1</v>
      </c>
    </row>
    <row r="5491" spans="1:5" ht="13">
      <c r="A5491" s="2" t="str">
        <f ca="1">IFERROR(__xludf.DUMMYFUNCTION("""COMPUTED_VALUE"""),"McNeff, Stephen")</f>
        <v>McNeff, Stephen</v>
      </c>
      <c r="B5491" s="3">
        <f ca="1">IFERROR(__xludf.DUMMYFUNCTION("""COMPUTED_VALUE"""),1)</f>
        <v>1</v>
      </c>
      <c r="C5491" s="7">
        <f ca="1">IFERROR(__xludf.DUMMYFUNCTION("""COMPUTED_VALUE"""),1)</f>
        <v>1</v>
      </c>
      <c r="D5491" s="8">
        <f ca="1">IFERROR(__xludf.DUMMYFUNCTION("""COMPUTED_VALUE"""),1)</f>
        <v>1</v>
      </c>
      <c r="E5491" s="2">
        <f ca="1">IFERROR(__xludf.DUMMYFUNCTION("""COMPUTED_VALUE"""),1)</f>
        <v>1</v>
      </c>
    </row>
    <row r="5492" spans="1:5" ht="13">
      <c r="A5492" s="8" t="str">
        <f ca="1">IFERROR(__xludf.DUMMYFUNCTION("""COMPUTED_VALUE"""),"McNeil, Albert")</f>
        <v>McNeil, Albert</v>
      </c>
      <c r="B5492" s="3">
        <f ca="1">IFERROR(__xludf.DUMMYFUNCTION("""COMPUTED_VALUE"""),1)</f>
        <v>1</v>
      </c>
      <c r="C5492" s="7">
        <f ca="1">IFERROR(__xludf.DUMMYFUNCTION("""COMPUTED_VALUE"""),1)</f>
        <v>1</v>
      </c>
      <c r="D5492" s="8">
        <f ca="1">IFERROR(__xludf.DUMMYFUNCTION("""COMPUTED_VALUE"""),1)</f>
        <v>1</v>
      </c>
      <c r="E5492" s="2">
        <f ca="1">IFERROR(__xludf.DUMMYFUNCTION("""COMPUTED_VALUE"""),1)</f>
        <v>1</v>
      </c>
    </row>
    <row r="5493" spans="1:5" ht="13">
      <c r="A5493" s="2" t="str">
        <f ca="1">IFERROR(__xludf.DUMMYFUNCTION("""COMPUTED_VALUE"""),"McNeil, John")</f>
        <v>McNeil, John</v>
      </c>
      <c r="B5493" s="3">
        <f ca="1">IFERROR(__xludf.DUMMYFUNCTION("""COMPUTED_VALUE"""),1)</f>
        <v>1</v>
      </c>
      <c r="C5493" s="7">
        <f ca="1">IFERROR(__xludf.DUMMYFUNCTION("""COMPUTED_VALUE"""),1)</f>
        <v>1</v>
      </c>
      <c r="D5493" s="8">
        <f ca="1">IFERROR(__xludf.DUMMYFUNCTION("""COMPUTED_VALUE"""),1)</f>
        <v>1</v>
      </c>
      <c r="E5493" s="2">
        <f ca="1">IFERROR(__xludf.DUMMYFUNCTION("""COMPUTED_VALUE"""),1)</f>
        <v>1</v>
      </c>
    </row>
    <row r="5494" spans="1:5" ht="13">
      <c r="A5494" s="2" t="str">
        <f ca="1">IFERROR(__xludf.DUMMYFUNCTION("""COMPUTED_VALUE"""),"McNeill, Chip")</f>
        <v>McNeill, Chip</v>
      </c>
      <c r="B5494" s="3">
        <f ca="1">IFERROR(__xludf.DUMMYFUNCTION("""COMPUTED_VALUE"""),1)</f>
        <v>1</v>
      </c>
      <c r="C5494" s="7">
        <f ca="1">IFERROR(__xludf.DUMMYFUNCTION("""COMPUTED_VALUE"""),1)</f>
        <v>1</v>
      </c>
      <c r="D5494" s="8">
        <f ca="1">IFERROR(__xludf.DUMMYFUNCTION("""COMPUTED_VALUE"""),1)</f>
        <v>1</v>
      </c>
      <c r="E5494" s="2">
        <f ca="1">IFERROR(__xludf.DUMMYFUNCTION("""COMPUTED_VALUE"""),1)</f>
        <v>1</v>
      </c>
    </row>
    <row r="5495" spans="1:5" ht="13">
      <c r="A5495" s="2" t="str">
        <f ca="1">IFERROR(__xludf.DUMMYFUNCTION("""COMPUTED_VALUE"""),"McPeake, William")</f>
        <v>McPeake, William</v>
      </c>
      <c r="B5495" s="3">
        <f ca="1">IFERROR(__xludf.DUMMYFUNCTION("""COMPUTED_VALUE"""),1)</f>
        <v>1</v>
      </c>
      <c r="C5495" s="7">
        <f ca="1">IFERROR(__xludf.DUMMYFUNCTION("""COMPUTED_VALUE"""),1)</f>
        <v>1</v>
      </c>
      <c r="D5495" s="8">
        <f ca="1">IFERROR(__xludf.DUMMYFUNCTION("""COMPUTED_VALUE"""),5)</f>
        <v>5</v>
      </c>
      <c r="E5495" s="2">
        <f ca="1">IFERROR(__xludf.DUMMYFUNCTION("""COMPUTED_VALUE"""),2)</f>
        <v>2</v>
      </c>
    </row>
    <row r="5496" spans="1:5" ht="13">
      <c r="A5496" s="2" t="str">
        <f ca="1">IFERROR(__xludf.DUMMYFUNCTION("""COMPUTED_VALUE"""),"McPhee, Colin")</f>
        <v>McPhee, Colin</v>
      </c>
      <c r="B5496" s="3">
        <f ca="1">IFERROR(__xludf.DUMMYFUNCTION("""COMPUTED_VALUE"""),1)</f>
        <v>1</v>
      </c>
      <c r="C5496" s="7">
        <f ca="1">IFERROR(__xludf.DUMMYFUNCTION("""COMPUTED_VALUE"""),1)</f>
        <v>1</v>
      </c>
      <c r="D5496" s="8">
        <f ca="1">IFERROR(__xludf.DUMMYFUNCTION("""COMPUTED_VALUE"""),5)</f>
        <v>5</v>
      </c>
      <c r="E5496" s="2">
        <f ca="1">IFERROR(__xludf.DUMMYFUNCTION("""COMPUTED_VALUE"""),2)</f>
        <v>2</v>
      </c>
    </row>
    <row r="5497" spans="1:5" ht="13">
      <c r="A5497" s="2" t="str">
        <f ca="1">IFERROR(__xludf.DUMMYFUNCTION("""COMPUTED_VALUE"""),"McQueen, Chris")</f>
        <v>McQueen, Chris</v>
      </c>
      <c r="B5497" s="3">
        <f ca="1">IFERROR(__xludf.DUMMYFUNCTION("""COMPUTED_VALUE"""),1)</f>
        <v>1</v>
      </c>
      <c r="C5497" s="7">
        <f ca="1">IFERROR(__xludf.DUMMYFUNCTION("""COMPUTED_VALUE"""),1)</f>
        <v>1</v>
      </c>
      <c r="D5497" s="8">
        <f ca="1">IFERROR(__xludf.DUMMYFUNCTION("""COMPUTED_VALUE"""),1)</f>
        <v>1</v>
      </c>
      <c r="E5497" s="2">
        <f ca="1">IFERROR(__xludf.DUMMYFUNCTION("""COMPUTED_VALUE"""),1)</f>
        <v>1</v>
      </c>
    </row>
    <row r="5498" spans="1:5" ht="13">
      <c r="A5498" s="2" t="str">
        <f ca="1">IFERROR(__xludf.DUMMYFUNCTION("""COMPUTED_VALUE"""),"McQuilken, Terry")</f>
        <v>McQuilken, Terry</v>
      </c>
      <c r="B5498" s="3">
        <f ca="1">IFERROR(__xludf.DUMMYFUNCTION("""COMPUTED_VALUE"""),1)</f>
        <v>1</v>
      </c>
      <c r="C5498" s="7">
        <f ca="1">IFERROR(__xludf.DUMMYFUNCTION("""COMPUTED_VALUE"""),1)</f>
        <v>1</v>
      </c>
      <c r="D5498" s="8">
        <f ca="1">IFERROR(__xludf.DUMMYFUNCTION("""COMPUTED_VALUE"""),1)</f>
        <v>1</v>
      </c>
      <c r="E5498" s="2">
        <f ca="1">IFERROR(__xludf.DUMMYFUNCTION("""COMPUTED_VALUE"""),1)</f>
        <v>1</v>
      </c>
    </row>
    <row r="5499" spans="1:5" ht="13">
      <c r="A5499" s="2" t="str">
        <f ca="1">IFERROR(__xludf.DUMMYFUNCTION("""COMPUTED_VALUE"""),"McTell, Ralph")</f>
        <v>McTell, Ralph</v>
      </c>
      <c r="B5499" s="3">
        <f ca="1">IFERROR(__xludf.DUMMYFUNCTION("""COMPUTED_VALUE"""),1)</f>
        <v>1</v>
      </c>
      <c r="C5499" s="7">
        <f ca="1">IFERROR(__xludf.DUMMYFUNCTION("""COMPUTED_VALUE"""),1)</f>
        <v>1</v>
      </c>
      <c r="D5499" s="8">
        <f ca="1">IFERROR(__xludf.DUMMYFUNCTION("""COMPUTED_VALUE"""),5)</f>
        <v>5</v>
      </c>
      <c r="E5499" s="2">
        <f ca="1">IFERROR(__xludf.DUMMYFUNCTION("""COMPUTED_VALUE"""),2)</f>
        <v>2</v>
      </c>
    </row>
    <row r="5500" spans="1:5" ht="13">
      <c r="A5500" s="2" t="str">
        <f ca="1">IFERROR(__xludf.DUMMYFUNCTION("""COMPUTED_VALUE"""),"McVicker, Tom")</f>
        <v>McVicker, Tom</v>
      </c>
      <c r="B5500" s="3">
        <f ca="1">IFERROR(__xludf.DUMMYFUNCTION("""COMPUTED_VALUE"""),1)</f>
        <v>1</v>
      </c>
      <c r="C5500" s="7">
        <f ca="1">IFERROR(__xludf.DUMMYFUNCTION("""COMPUTED_VALUE"""),1)</f>
        <v>1</v>
      </c>
      <c r="D5500" s="8">
        <f ca="1">IFERROR(__xludf.DUMMYFUNCTION("""COMPUTED_VALUE"""),1)</f>
        <v>1</v>
      </c>
      <c r="E5500" s="2">
        <f ca="1">IFERROR(__xludf.DUMMYFUNCTION("""COMPUTED_VALUE"""),1)</f>
        <v>1</v>
      </c>
    </row>
    <row r="5501" spans="1:5" ht="13">
      <c r="A5501" s="2" t="str">
        <f ca="1">IFERROR(__xludf.DUMMYFUNCTION("""COMPUTED_VALUE"""),"Meacham, Aaron")</f>
        <v>Meacham, Aaron</v>
      </c>
      <c r="B5501" s="3">
        <f ca="1">IFERROR(__xludf.DUMMYFUNCTION("""COMPUTED_VALUE"""),1)</f>
        <v>1</v>
      </c>
      <c r="C5501" s="7">
        <f ca="1">IFERROR(__xludf.DUMMYFUNCTION("""COMPUTED_VALUE"""),1)</f>
        <v>1</v>
      </c>
      <c r="D5501" s="8">
        <f ca="1">IFERROR(__xludf.DUMMYFUNCTION("""COMPUTED_VALUE"""),1)</f>
        <v>1</v>
      </c>
      <c r="E5501" s="2">
        <f ca="1">IFERROR(__xludf.DUMMYFUNCTION("""COMPUTED_VALUE"""),1)</f>
        <v>1</v>
      </c>
    </row>
    <row r="5502" spans="1:5" ht="13">
      <c r="A5502" s="2" t="str">
        <f ca="1">IFERROR(__xludf.DUMMYFUNCTION("""COMPUTED_VALUE"""),"Meacham, Frank White")</f>
        <v>Meacham, Frank White</v>
      </c>
      <c r="B5502" s="3">
        <f ca="1">IFERROR(__xludf.DUMMYFUNCTION("""COMPUTED_VALUE"""),1)</f>
        <v>1</v>
      </c>
      <c r="C5502" s="7">
        <f ca="1">IFERROR(__xludf.DUMMYFUNCTION("""COMPUTED_VALUE"""),1)</f>
        <v>1</v>
      </c>
      <c r="D5502" s="8">
        <f ca="1">IFERROR(__xludf.DUMMYFUNCTION("""COMPUTED_VALUE"""),5)</f>
        <v>5</v>
      </c>
      <c r="E5502" s="2">
        <f ca="1">IFERROR(__xludf.DUMMYFUNCTION("""COMPUTED_VALUE"""),2)</f>
        <v>2</v>
      </c>
    </row>
    <row r="5503" spans="1:5" ht="13">
      <c r="A5503" s="8" t="str">
        <f ca="1">IFERROR(__xludf.DUMMYFUNCTION("""COMPUTED_VALUE"""),"Mead, George")</f>
        <v>Mead, George</v>
      </c>
      <c r="B5503" s="3">
        <f ca="1">IFERROR(__xludf.DUMMYFUNCTION("""COMPUTED_VALUE"""),1)</f>
        <v>1</v>
      </c>
      <c r="C5503" s="7">
        <f ca="1">IFERROR(__xludf.DUMMYFUNCTION("""COMPUTED_VALUE"""),1)</f>
        <v>1</v>
      </c>
      <c r="D5503" s="8">
        <f ca="1">IFERROR(__xludf.DUMMYFUNCTION("""COMPUTED_VALUE"""),5)</f>
        <v>5</v>
      </c>
      <c r="E5503" s="2">
        <f ca="1">IFERROR(__xludf.DUMMYFUNCTION("""COMPUTED_VALUE"""),2)</f>
        <v>2</v>
      </c>
    </row>
    <row r="5504" spans="1:5" ht="13">
      <c r="A5504" s="2" t="str">
        <f ca="1">IFERROR(__xludf.DUMMYFUNCTION("""COMPUTED_VALUE"""),"Meader, Darmon")</f>
        <v>Meader, Darmon</v>
      </c>
      <c r="B5504" s="3">
        <f ca="1">IFERROR(__xludf.DUMMYFUNCTION("""COMPUTED_VALUE"""),1)</f>
        <v>1</v>
      </c>
      <c r="C5504" s="7">
        <f ca="1">IFERROR(__xludf.DUMMYFUNCTION("""COMPUTED_VALUE"""),1)</f>
        <v>1</v>
      </c>
      <c r="D5504" s="8">
        <f ca="1">IFERROR(__xludf.DUMMYFUNCTION("""COMPUTED_VALUE"""),1)</f>
        <v>1</v>
      </c>
      <c r="E5504" s="2">
        <f ca="1">IFERROR(__xludf.DUMMYFUNCTION("""COMPUTED_VALUE"""),1)</f>
        <v>1</v>
      </c>
    </row>
    <row r="5505" spans="1:5" ht="13">
      <c r="A5505" s="2" t="str">
        <f ca="1">IFERROR(__xludf.DUMMYFUNCTION("""COMPUTED_VALUE"""),"Mealor, Paul")</f>
        <v>Mealor, Paul</v>
      </c>
      <c r="B5505" s="3">
        <f ca="1">IFERROR(__xludf.DUMMYFUNCTION("""COMPUTED_VALUE"""),1)</f>
        <v>1</v>
      </c>
      <c r="C5505" s="7">
        <f ca="1">IFERROR(__xludf.DUMMYFUNCTION("""COMPUTED_VALUE"""),1)</f>
        <v>1</v>
      </c>
      <c r="D5505" s="8">
        <f ca="1">IFERROR(__xludf.DUMMYFUNCTION("""COMPUTED_VALUE"""),1)</f>
        <v>1</v>
      </c>
      <c r="E5505" s="2">
        <f ca="1">IFERROR(__xludf.DUMMYFUNCTION("""COMPUTED_VALUE"""),1)</f>
        <v>1</v>
      </c>
    </row>
    <row r="5506" spans="1:5" ht="13">
      <c r="A5506" s="8" t="str">
        <f ca="1">IFERROR(__xludf.DUMMYFUNCTION("""COMPUTED_VALUE"""),"Means, David")</f>
        <v>Means, David</v>
      </c>
      <c r="B5506" s="2">
        <f ca="1">IFERROR(__xludf.DUMMYFUNCTION("""COMPUTED_VALUE"""),1)</f>
        <v>1</v>
      </c>
      <c r="C5506" s="7">
        <f ca="1">IFERROR(__xludf.DUMMYFUNCTION("""COMPUTED_VALUE"""),1)</f>
        <v>1</v>
      </c>
      <c r="D5506" s="8">
        <f ca="1">IFERROR(__xludf.DUMMYFUNCTION("""COMPUTED_VALUE"""),1)</f>
        <v>1</v>
      </c>
      <c r="E5506" s="2">
        <f ca="1">IFERROR(__xludf.DUMMYFUNCTION("""COMPUTED_VALUE"""),1)</f>
        <v>1</v>
      </c>
    </row>
    <row r="5507" spans="1:5" ht="13">
      <c r="A5507" s="2" t="str">
        <f ca="1">IFERROR(__xludf.DUMMYFUNCTION("""COMPUTED_VALUE"""),"Mechem, Kirke")</f>
        <v>Mechem, Kirke</v>
      </c>
      <c r="B5507" s="3">
        <f ca="1">IFERROR(__xludf.DUMMYFUNCTION("""COMPUTED_VALUE"""),1)</f>
        <v>1</v>
      </c>
      <c r="C5507" s="7">
        <f ca="1">IFERROR(__xludf.DUMMYFUNCTION("""COMPUTED_VALUE"""),1)</f>
        <v>1</v>
      </c>
      <c r="D5507" s="8">
        <f ca="1">IFERROR(__xludf.DUMMYFUNCTION("""COMPUTED_VALUE"""),1)</f>
        <v>1</v>
      </c>
      <c r="E5507" s="2">
        <f ca="1">IFERROR(__xludf.DUMMYFUNCTION("""COMPUTED_VALUE"""),1)</f>
        <v>1</v>
      </c>
    </row>
    <row r="5508" spans="1:5" ht="13">
      <c r="A5508" s="2" t="str">
        <f ca="1">IFERROR(__xludf.DUMMYFUNCTION("""COMPUTED_VALUE"""),"Medema, Ken")</f>
        <v>Medema, Ken</v>
      </c>
      <c r="B5508" s="3">
        <f ca="1">IFERROR(__xludf.DUMMYFUNCTION("""COMPUTED_VALUE"""),1)</f>
        <v>1</v>
      </c>
      <c r="C5508" s="7">
        <f ca="1">IFERROR(__xludf.DUMMYFUNCTION("""COMPUTED_VALUE"""),1)</f>
        <v>1</v>
      </c>
      <c r="D5508" s="8">
        <f ca="1">IFERROR(__xludf.DUMMYFUNCTION("""COMPUTED_VALUE"""),1)</f>
        <v>1</v>
      </c>
      <c r="E5508" s="2">
        <f ca="1">IFERROR(__xludf.DUMMYFUNCTION("""COMPUTED_VALUE"""),1)</f>
        <v>1</v>
      </c>
    </row>
    <row r="5509" spans="1:5" ht="13">
      <c r="A5509" s="8" t="str">
        <f ca="1">IFERROR(__xludf.DUMMYFUNCTION("""COMPUTED_VALUE"""),"Medema, Kenneth")</f>
        <v>Medema, Kenneth</v>
      </c>
      <c r="B5509" s="3">
        <f ca="1">IFERROR(__xludf.DUMMYFUNCTION("""COMPUTED_VALUE"""),1)</f>
        <v>1</v>
      </c>
      <c r="C5509" s="7">
        <f ca="1">IFERROR(__xludf.DUMMYFUNCTION("""COMPUTED_VALUE"""),1)</f>
        <v>1</v>
      </c>
      <c r="D5509" s="8">
        <f ca="1">IFERROR(__xludf.DUMMYFUNCTION("""COMPUTED_VALUE"""),1)</f>
        <v>1</v>
      </c>
      <c r="E5509" s="2">
        <f ca="1">IFERROR(__xludf.DUMMYFUNCTION("""COMPUTED_VALUE"""),1)</f>
        <v>1</v>
      </c>
    </row>
    <row r="5510" spans="1:5" ht="13">
      <c r="A5510" s="2" t="str">
        <f ca="1">IFERROR(__xludf.DUMMYFUNCTION("""COMPUTED_VALUE"""),"Medtner, Nikolai")</f>
        <v>Medtner, Nikolai</v>
      </c>
      <c r="B5510" s="3">
        <f ca="1">IFERROR(__xludf.DUMMYFUNCTION("""COMPUTED_VALUE"""),1)</f>
        <v>1</v>
      </c>
      <c r="C5510" s="7">
        <f ca="1">IFERROR(__xludf.DUMMYFUNCTION("""COMPUTED_VALUE"""),1)</f>
        <v>1</v>
      </c>
      <c r="D5510" s="8">
        <f ca="1">IFERROR(__xludf.DUMMYFUNCTION("""COMPUTED_VALUE"""),5)</f>
        <v>5</v>
      </c>
      <c r="E5510" s="2">
        <f ca="1">IFERROR(__xludf.DUMMYFUNCTION("""COMPUTED_VALUE"""),2)</f>
        <v>2</v>
      </c>
    </row>
    <row r="5511" spans="1:5" ht="13">
      <c r="A5511" s="2" t="str">
        <f ca="1">IFERROR(__xludf.DUMMYFUNCTION("""COMPUTED_VALUE"""),"Meeboer, Ryan")</f>
        <v>Meeboer, Ryan</v>
      </c>
      <c r="B5511" s="3">
        <f ca="1">IFERROR(__xludf.DUMMYFUNCTION("""COMPUTED_VALUE"""),1)</f>
        <v>1</v>
      </c>
      <c r="C5511" s="7">
        <f ca="1">IFERROR(__xludf.DUMMYFUNCTION("""COMPUTED_VALUE"""),1)</f>
        <v>1</v>
      </c>
      <c r="D5511" s="8">
        <f ca="1">IFERROR(__xludf.DUMMYFUNCTION("""COMPUTED_VALUE"""),1)</f>
        <v>1</v>
      </c>
      <c r="E5511" s="2">
        <f ca="1">IFERROR(__xludf.DUMMYFUNCTION("""COMPUTED_VALUE"""),1)</f>
        <v>1</v>
      </c>
    </row>
    <row r="5512" spans="1:5" ht="13">
      <c r="A5512" s="2" t="str">
        <f ca="1">IFERROR(__xludf.DUMMYFUNCTION("""COMPUTED_VALUE"""),"Meechan, John")</f>
        <v>Meechan, John</v>
      </c>
      <c r="B5512" s="3">
        <f ca="1">IFERROR(__xludf.DUMMYFUNCTION("""COMPUTED_VALUE"""),1)</f>
        <v>1</v>
      </c>
      <c r="C5512" s="7">
        <f ca="1">IFERROR(__xludf.DUMMYFUNCTION("""COMPUTED_VALUE"""),1)</f>
        <v>1</v>
      </c>
      <c r="D5512" s="8">
        <f ca="1">IFERROR(__xludf.DUMMYFUNCTION("""COMPUTED_VALUE"""),1)</f>
        <v>1</v>
      </c>
      <c r="E5512" s="2">
        <f ca="1">IFERROR(__xludf.DUMMYFUNCTION("""COMPUTED_VALUE"""),1)</f>
        <v>1</v>
      </c>
    </row>
    <row r="5513" spans="1:5" ht="13">
      <c r="A5513" s="2" t="str">
        <f ca="1">IFERROR(__xludf.DUMMYFUNCTION("""COMPUTED_VALUE"""),"Meechan, Pete")</f>
        <v>Meechan, Pete</v>
      </c>
      <c r="B5513" s="3">
        <f ca="1">IFERROR(__xludf.DUMMYFUNCTION("""COMPUTED_VALUE"""),1)</f>
        <v>1</v>
      </c>
      <c r="C5513" s="7">
        <f ca="1">IFERROR(__xludf.DUMMYFUNCTION("""COMPUTED_VALUE"""),1)</f>
        <v>1</v>
      </c>
      <c r="D5513" s="8">
        <f ca="1">IFERROR(__xludf.DUMMYFUNCTION("""COMPUTED_VALUE"""),1)</f>
        <v>1</v>
      </c>
      <c r="E5513" s="2">
        <f ca="1">IFERROR(__xludf.DUMMYFUNCTION("""COMPUTED_VALUE"""),1)</f>
        <v>1</v>
      </c>
    </row>
    <row r="5514" spans="1:5" ht="13">
      <c r="A5514" s="2" t="str">
        <f ca="1">IFERROR(__xludf.DUMMYFUNCTION("""COMPUTED_VALUE"""),"Meechan, Peter")</f>
        <v>Meechan, Peter</v>
      </c>
      <c r="B5514" s="3">
        <f ca="1">IFERROR(__xludf.DUMMYFUNCTION("""COMPUTED_VALUE"""),1)</f>
        <v>1</v>
      </c>
      <c r="C5514" s="7">
        <f ca="1">IFERROR(__xludf.DUMMYFUNCTION("""COMPUTED_VALUE"""),1)</f>
        <v>1</v>
      </c>
      <c r="D5514" s="8">
        <f ca="1">IFERROR(__xludf.DUMMYFUNCTION("""COMPUTED_VALUE"""),1)</f>
        <v>1</v>
      </c>
      <c r="E5514" s="2">
        <f ca="1">IFERROR(__xludf.DUMMYFUNCTION("""COMPUTED_VALUE"""),1)</f>
        <v>1</v>
      </c>
    </row>
    <row r="5515" spans="1:5" ht="13">
      <c r="A5515" s="2" t="str">
        <f ca="1">IFERROR(__xludf.DUMMYFUNCTION("""COMPUTED_VALUE"""),"Meehan, John")</f>
        <v>Meehan, John</v>
      </c>
      <c r="B5515" s="3">
        <f ca="1">IFERROR(__xludf.DUMMYFUNCTION("""COMPUTED_VALUE"""),1)</f>
        <v>1</v>
      </c>
      <c r="C5515" s="7">
        <f ca="1">IFERROR(__xludf.DUMMYFUNCTION("""COMPUTED_VALUE"""),1)</f>
        <v>1</v>
      </c>
      <c r="D5515" s="8">
        <f ca="1">IFERROR(__xludf.DUMMYFUNCTION("""COMPUTED_VALUE"""),1)</f>
        <v>1</v>
      </c>
      <c r="E5515" s="2">
        <f ca="1">IFERROR(__xludf.DUMMYFUNCTION("""COMPUTED_VALUE"""),1)</f>
        <v>1</v>
      </c>
    </row>
    <row r="5516" spans="1:5" ht="13">
      <c r="A5516" s="8" t="str">
        <f ca="1">IFERROR(__xludf.DUMMYFUNCTION("""COMPUTED_VALUE"""),"Meeropol, Abel")</f>
        <v>Meeropol, Abel</v>
      </c>
      <c r="B5516" s="3">
        <f ca="1">IFERROR(__xludf.DUMMYFUNCTION("""COMPUTED_VALUE"""),1)</f>
        <v>1</v>
      </c>
      <c r="C5516" s="7">
        <f ca="1">IFERROR(__xludf.DUMMYFUNCTION("""COMPUTED_VALUE"""),1)</f>
        <v>1</v>
      </c>
      <c r="D5516" s="8">
        <f ca="1">IFERROR(__xludf.DUMMYFUNCTION("""COMPUTED_VALUE"""),5)</f>
        <v>5</v>
      </c>
      <c r="E5516" s="2">
        <f ca="1">IFERROR(__xludf.DUMMYFUNCTION("""COMPUTED_VALUE"""),2)</f>
        <v>2</v>
      </c>
    </row>
    <row r="5517" spans="1:5" ht="13">
      <c r="A5517" s="2" t="str">
        <f ca="1">IFERROR(__xludf.DUMMYFUNCTION("""COMPUTED_VALUE"""),"Megan, Kenneth")</f>
        <v>Megan, Kenneth</v>
      </c>
      <c r="B5517" s="3">
        <f ca="1">IFERROR(__xludf.DUMMYFUNCTION("""COMPUTED_VALUE"""),1)</f>
        <v>1</v>
      </c>
      <c r="C5517" s="7">
        <f ca="1">IFERROR(__xludf.DUMMYFUNCTION("""COMPUTED_VALUE"""),1)</f>
        <v>1</v>
      </c>
      <c r="D5517" s="8">
        <f ca="1">IFERROR(__xludf.DUMMYFUNCTION("""COMPUTED_VALUE"""),5)</f>
        <v>5</v>
      </c>
      <c r="E5517" s="2">
        <f ca="1">IFERROR(__xludf.DUMMYFUNCTION("""COMPUTED_VALUE"""),2)</f>
        <v>2</v>
      </c>
    </row>
    <row r="5518" spans="1:5" ht="13">
      <c r="A5518" s="2" t="str">
        <f ca="1">IFERROR(__xludf.DUMMYFUNCTION("""COMPUTED_VALUE"""),"Megill, Donald / Erickson, Frank")</f>
        <v>Megill, Donald / Erickson, Frank</v>
      </c>
      <c r="B5518" s="3">
        <f ca="1">IFERROR(__xludf.DUMMYFUNCTION("""COMPUTED_VALUE"""),1)</f>
        <v>1</v>
      </c>
      <c r="C5518" s="7">
        <f ca="1">IFERROR(__xludf.DUMMYFUNCTION("""COMPUTED_VALUE"""),1)</f>
        <v>1</v>
      </c>
      <c r="D5518" s="8">
        <f ca="1">IFERROR(__xludf.DUMMYFUNCTION("""COMPUTED_VALUE"""),5)</f>
        <v>5</v>
      </c>
      <c r="E5518" s="2">
        <f ca="1">IFERROR(__xludf.DUMMYFUNCTION("""COMPUTED_VALUE"""),2)</f>
        <v>2</v>
      </c>
    </row>
    <row r="5519" spans="1:5" ht="13">
      <c r="A5519" s="2" t="str">
        <f ca="1">IFERROR(__xludf.DUMMYFUNCTION("""COMPUTED_VALUE"""),"Mehldau, Brad")</f>
        <v>Mehldau, Brad</v>
      </c>
      <c r="B5519" s="3">
        <f ca="1">IFERROR(__xludf.DUMMYFUNCTION("""COMPUTED_VALUE"""),1)</f>
        <v>1</v>
      </c>
      <c r="C5519" s="7">
        <f ca="1">IFERROR(__xludf.DUMMYFUNCTION("""COMPUTED_VALUE"""),1)</f>
        <v>1</v>
      </c>
      <c r="D5519" s="8">
        <f ca="1">IFERROR(__xludf.DUMMYFUNCTION("""COMPUTED_VALUE"""),1)</f>
        <v>1</v>
      </c>
      <c r="E5519" s="2">
        <f ca="1">IFERROR(__xludf.DUMMYFUNCTION("""COMPUTED_VALUE"""),1)</f>
        <v>1</v>
      </c>
    </row>
    <row r="5520" spans="1:5" ht="13">
      <c r="A5520" s="2" t="str">
        <f ca="1">IFERROR(__xludf.DUMMYFUNCTION("""COMPUTED_VALUE"""),"Méhul, Étienne")</f>
        <v>Méhul, Étienne</v>
      </c>
      <c r="B5520" s="3">
        <f ca="1">IFERROR(__xludf.DUMMYFUNCTION("""COMPUTED_VALUE"""),1)</f>
        <v>1</v>
      </c>
      <c r="C5520" s="7">
        <f ca="1">IFERROR(__xludf.DUMMYFUNCTION("""COMPUTED_VALUE"""),1)</f>
        <v>1</v>
      </c>
      <c r="D5520" s="8">
        <f ca="1">IFERROR(__xludf.DUMMYFUNCTION("""COMPUTED_VALUE"""),5)</f>
        <v>5</v>
      </c>
      <c r="E5520" s="2">
        <f ca="1">IFERROR(__xludf.DUMMYFUNCTION("""COMPUTED_VALUE"""),2)</f>
        <v>2</v>
      </c>
    </row>
    <row r="5521" spans="1:5" ht="13">
      <c r="A5521" s="2" t="str">
        <f ca="1">IFERROR(__xludf.DUMMYFUNCTION("""COMPUTED_VALUE"""),"Meier, Paulette")</f>
        <v>Meier, Paulette</v>
      </c>
      <c r="B5521" s="3">
        <f ca="1">IFERROR(__xludf.DUMMYFUNCTION("""COMPUTED_VALUE"""),1)</f>
        <v>1</v>
      </c>
      <c r="C5521" s="7">
        <f ca="1">IFERROR(__xludf.DUMMYFUNCTION("""COMPUTED_VALUE"""),1)</f>
        <v>1</v>
      </c>
      <c r="D5521" s="8">
        <f ca="1">IFERROR(__xludf.DUMMYFUNCTION("""COMPUTED_VALUE"""),1)</f>
        <v>1</v>
      </c>
      <c r="E5521" s="2">
        <f ca="1">IFERROR(__xludf.DUMMYFUNCTION("""COMPUTED_VALUE"""),1)</f>
        <v>1</v>
      </c>
    </row>
    <row r="5522" spans="1:5" ht="13">
      <c r="A5522" s="2" t="str">
        <f ca="1">IFERROR(__xludf.DUMMYFUNCTION("""COMPUTED_VALUE"""),"Meier, Zachery")</f>
        <v>Meier, Zachery</v>
      </c>
      <c r="B5522" s="3">
        <f ca="1">IFERROR(__xludf.DUMMYFUNCTION("""COMPUTED_VALUE"""),1)</f>
        <v>1</v>
      </c>
      <c r="C5522" s="7">
        <f ca="1">IFERROR(__xludf.DUMMYFUNCTION("""COMPUTED_VALUE"""),1)</f>
        <v>1</v>
      </c>
      <c r="D5522" s="8">
        <f ca="1">IFERROR(__xludf.DUMMYFUNCTION("""COMPUTED_VALUE"""),1)</f>
        <v>1</v>
      </c>
      <c r="E5522" s="2">
        <f ca="1">IFERROR(__xludf.DUMMYFUNCTION("""COMPUTED_VALUE"""),1)</f>
        <v>1</v>
      </c>
    </row>
    <row r="5523" spans="1:5" ht="13">
      <c r="A5523" s="2" t="str">
        <f ca="1">IFERROR(__xludf.DUMMYFUNCTION("""COMPUTED_VALUE"""),"Meij, Johan de")</f>
        <v>Meij, Johan de</v>
      </c>
      <c r="B5523" s="3">
        <f ca="1">IFERROR(__xludf.DUMMYFUNCTION("""COMPUTED_VALUE"""),1)</f>
        <v>1</v>
      </c>
      <c r="C5523" s="7">
        <f ca="1">IFERROR(__xludf.DUMMYFUNCTION("""COMPUTED_VALUE"""),1)</f>
        <v>1</v>
      </c>
      <c r="D5523" s="8">
        <f ca="1">IFERROR(__xludf.DUMMYFUNCTION("""COMPUTED_VALUE"""),1)</f>
        <v>1</v>
      </c>
      <c r="E5523" s="2">
        <f ca="1">IFERROR(__xludf.DUMMYFUNCTION("""COMPUTED_VALUE"""),1)</f>
        <v>1</v>
      </c>
    </row>
    <row r="5524" spans="1:5" ht="13">
      <c r="A5524" s="2" t="str">
        <f ca="1">IFERROR(__xludf.DUMMYFUNCTION("""COMPUTED_VALUE"""),"Mekailian, Paul")</f>
        <v>Mekailian, Paul</v>
      </c>
      <c r="B5524" s="3">
        <f ca="1">IFERROR(__xludf.DUMMYFUNCTION("""COMPUTED_VALUE"""),1)</f>
        <v>1</v>
      </c>
      <c r="C5524" s="7">
        <f ca="1">IFERROR(__xludf.DUMMYFUNCTION("""COMPUTED_VALUE"""),1)</f>
        <v>1</v>
      </c>
      <c r="D5524" s="8">
        <f ca="1">IFERROR(__xludf.DUMMYFUNCTION("""COMPUTED_VALUE"""),1)</f>
        <v>1</v>
      </c>
      <c r="E5524" s="2">
        <f ca="1">IFERROR(__xludf.DUMMYFUNCTION("""COMPUTED_VALUE"""),1)</f>
        <v>1</v>
      </c>
    </row>
    <row r="5525" spans="1:5" ht="13">
      <c r="A5525" s="2" t="str">
        <f ca="1">IFERROR(__xludf.DUMMYFUNCTION("""COMPUTED_VALUE"""),"Mekealian, Charles")</f>
        <v>Mekealian, Charles</v>
      </c>
      <c r="B5525" s="3">
        <f ca="1">IFERROR(__xludf.DUMMYFUNCTION("""COMPUTED_VALUE"""),1)</f>
        <v>1</v>
      </c>
      <c r="C5525" s="7">
        <f ca="1">IFERROR(__xludf.DUMMYFUNCTION("""COMPUTED_VALUE"""),1)</f>
        <v>1</v>
      </c>
      <c r="D5525" s="8">
        <f ca="1">IFERROR(__xludf.DUMMYFUNCTION("""COMPUTED_VALUE"""),1)</f>
        <v>1</v>
      </c>
      <c r="E5525" s="2">
        <f ca="1">IFERROR(__xludf.DUMMYFUNCTION("""COMPUTED_VALUE"""),1)</f>
        <v>1</v>
      </c>
    </row>
    <row r="5526" spans="1:5" ht="13">
      <c r="A5526" s="2" t="str">
        <f ca="1">IFERROR(__xludf.DUMMYFUNCTION("""COMPUTED_VALUE"""),"Melachrino, George")</f>
        <v>Melachrino, George</v>
      </c>
      <c r="B5526" s="3">
        <f ca="1">IFERROR(__xludf.DUMMYFUNCTION("""COMPUTED_VALUE"""),1)</f>
        <v>1</v>
      </c>
      <c r="C5526" s="7">
        <f ca="1">IFERROR(__xludf.DUMMYFUNCTION("""COMPUTED_VALUE"""),1)</f>
        <v>1</v>
      </c>
      <c r="D5526" s="8">
        <f ca="1">IFERROR(__xludf.DUMMYFUNCTION("""COMPUTED_VALUE"""),5)</f>
        <v>5</v>
      </c>
      <c r="E5526" s="2">
        <f ca="1">IFERROR(__xludf.DUMMYFUNCTION("""COMPUTED_VALUE"""),2)</f>
        <v>2</v>
      </c>
    </row>
    <row r="5527" spans="1:5" ht="13">
      <c r="A5527" s="2" t="str">
        <f ca="1">IFERROR(__xludf.DUMMYFUNCTION("""COMPUTED_VALUE"""),"Melani, Alessandro")</f>
        <v>Melani, Alessandro</v>
      </c>
      <c r="B5527" s="3">
        <f ca="1">IFERROR(__xludf.DUMMYFUNCTION("""COMPUTED_VALUE"""),1)</f>
        <v>1</v>
      </c>
      <c r="C5527" s="7">
        <f ca="1">IFERROR(__xludf.DUMMYFUNCTION("""COMPUTED_VALUE"""),1)</f>
        <v>1</v>
      </c>
      <c r="D5527" s="8">
        <f ca="1">IFERROR(__xludf.DUMMYFUNCTION("""COMPUTED_VALUE"""),5)</f>
        <v>5</v>
      </c>
      <c r="E5527" s="2">
        <f ca="1">IFERROR(__xludf.DUMMYFUNCTION("""COMPUTED_VALUE"""),2)</f>
        <v>2</v>
      </c>
    </row>
    <row r="5528" spans="1:5" ht="13">
      <c r="A5528" s="2" t="str">
        <f ca="1">IFERROR(__xludf.DUMMYFUNCTION("""COMPUTED_VALUE"""),"Melillo, Stephen")</f>
        <v>Melillo, Stephen</v>
      </c>
      <c r="B5528" s="3">
        <f ca="1">IFERROR(__xludf.DUMMYFUNCTION("""COMPUTED_VALUE"""),1)</f>
        <v>1</v>
      </c>
      <c r="C5528" s="7">
        <f ca="1">IFERROR(__xludf.DUMMYFUNCTION("""COMPUTED_VALUE"""),1)</f>
        <v>1</v>
      </c>
      <c r="D5528" s="8">
        <f ca="1">IFERROR(__xludf.DUMMYFUNCTION("""COMPUTED_VALUE"""),1)</f>
        <v>1</v>
      </c>
      <c r="E5528" s="2">
        <f ca="1">IFERROR(__xludf.DUMMYFUNCTION("""COMPUTED_VALUE"""),1)</f>
        <v>1</v>
      </c>
    </row>
    <row r="5529" spans="1:5" ht="13">
      <c r="A5529" s="8" t="str">
        <f ca="1">IFERROR(__xludf.DUMMYFUNCTION("""COMPUTED_VALUE"""),"Mell, Andrew")</f>
        <v>Mell, Andrew</v>
      </c>
      <c r="B5529" s="3">
        <f ca="1">IFERROR(__xludf.DUMMYFUNCTION("""COMPUTED_VALUE"""),1)</f>
        <v>1</v>
      </c>
      <c r="C5529" s="7">
        <f ca="1">IFERROR(__xludf.DUMMYFUNCTION("""COMPUTED_VALUE"""),1)</f>
        <v>1</v>
      </c>
      <c r="D5529" s="8">
        <f ca="1">IFERROR(__xludf.DUMMYFUNCTION("""COMPUTED_VALUE"""),1)</f>
        <v>1</v>
      </c>
      <c r="E5529" s="2">
        <f ca="1">IFERROR(__xludf.DUMMYFUNCTION("""COMPUTED_VALUE"""),1)</f>
        <v>1</v>
      </c>
    </row>
    <row r="5530" spans="1:5" ht="13">
      <c r="A5530" s="2" t="str">
        <f ca="1">IFERROR(__xludf.DUMMYFUNCTION("""COMPUTED_VALUE"""),"Mellits, Marc")</f>
        <v>Mellits, Marc</v>
      </c>
      <c r="B5530" s="3">
        <f ca="1">IFERROR(__xludf.DUMMYFUNCTION("""COMPUTED_VALUE"""),1)</f>
        <v>1</v>
      </c>
      <c r="C5530" s="7">
        <f ca="1">IFERROR(__xludf.DUMMYFUNCTION("""COMPUTED_VALUE"""),1)</f>
        <v>1</v>
      </c>
      <c r="D5530" s="8">
        <f ca="1">IFERROR(__xludf.DUMMYFUNCTION("""COMPUTED_VALUE"""),1)</f>
        <v>1</v>
      </c>
      <c r="E5530" s="2">
        <f ca="1">IFERROR(__xludf.DUMMYFUNCTION("""COMPUTED_VALUE"""),1)</f>
        <v>1</v>
      </c>
    </row>
    <row r="5531" spans="1:5" ht="13">
      <c r="A5531" s="2" t="str">
        <f ca="1">IFERROR(__xludf.DUMMYFUNCTION("""COMPUTED_VALUE"""),"Melrose, Walter / Stitzel, Mel")</f>
        <v>Melrose, Walter / Stitzel, Mel</v>
      </c>
      <c r="B5531" s="2">
        <f ca="1">IFERROR(__xludf.DUMMYFUNCTION("""COMPUTED_VALUE"""),1)</f>
        <v>1</v>
      </c>
      <c r="C5531" s="7">
        <f ca="1">IFERROR(__xludf.DUMMYFUNCTION("""COMPUTED_VALUE"""),1)</f>
        <v>1</v>
      </c>
      <c r="D5531" s="8">
        <f ca="1">IFERROR(__xludf.DUMMYFUNCTION("""COMPUTED_VALUE"""),5)</f>
        <v>5</v>
      </c>
      <c r="E5531" s="2">
        <f ca="1">IFERROR(__xludf.DUMMYFUNCTION("""COMPUTED_VALUE"""),2)</f>
        <v>2</v>
      </c>
    </row>
    <row r="5532" spans="1:5" ht="13">
      <c r="A5532" s="2" t="str">
        <f ca="1">IFERROR(__xludf.DUMMYFUNCTION("""COMPUTED_VALUE"""),"Melton, Andrew")</f>
        <v>Melton, Andrew</v>
      </c>
      <c r="B5532" s="3">
        <f ca="1">IFERROR(__xludf.DUMMYFUNCTION("""COMPUTED_VALUE"""),1)</f>
        <v>1</v>
      </c>
      <c r="C5532" s="7">
        <f ca="1">IFERROR(__xludf.DUMMYFUNCTION("""COMPUTED_VALUE"""),1)</f>
        <v>1</v>
      </c>
      <c r="D5532" s="8">
        <f ca="1">IFERROR(__xludf.DUMMYFUNCTION("""COMPUTED_VALUE"""),1)</f>
        <v>1</v>
      </c>
      <c r="E5532" s="2">
        <f ca="1">IFERROR(__xludf.DUMMYFUNCTION("""COMPUTED_VALUE"""),1)</f>
        <v>1</v>
      </c>
    </row>
    <row r="5533" spans="1:5" ht="13">
      <c r="A5533" s="2" t="str">
        <f ca="1">IFERROR(__xludf.DUMMYFUNCTION("""COMPUTED_VALUE"""),"Melton, Bill")</f>
        <v>Melton, Bill</v>
      </c>
      <c r="B5533" s="2">
        <f ca="1">IFERROR(__xludf.DUMMYFUNCTION("""COMPUTED_VALUE"""),1)</f>
        <v>1</v>
      </c>
      <c r="C5533" s="7">
        <f ca="1">IFERROR(__xludf.DUMMYFUNCTION("""COMPUTED_VALUE"""),1)</f>
        <v>1</v>
      </c>
      <c r="D5533" s="8">
        <f ca="1">IFERROR(__xludf.DUMMYFUNCTION("""COMPUTED_VALUE"""),5)</f>
        <v>5</v>
      </c>
      <c r="E5533" s="2">
        <f ca="1">IFERROR(__xludf.DUMMYFUNCTION("""COMPUTED_VALUE"""),2)</f>
        <v>2</v>
      </c>
    </row>
    <row r="5534" spans="1:5" ht="13">
      <c r="A5534" s="2" t="str">
        <f ca="1">IFERROR(__xludf.DUMMYFUNCTION("""COMPUTED_VALUE"""),"Melton, William")</f>
        <v>Melton, William</v>
      </c>
      <c r="B5534" s="3">
        <f ca="1">IFERROR(__xludf.DUMMYFUNCTION("""COMPUTED_VALUE"""),1)</f>
        <v>1</v>
      </c>
      <c r="C5534" s="7">
        <f ca="1">IFERROR(__xludf.DUMMYFUNCTION("""COMPUTED_VALUE"""),1)</f>
        <v>1</v>
      </c>
      <c r="D5534" s="8">
        <f ca="1">IFERROR(__xludf.DUMMYFUNCTION("""COMPUTED_VALUE"""),1)</f>
        <v>1</v>
      </c>
      <c r="E5534" s="2">
        <f ca="1">IFERROR(__xludf.DUMMYFUNCTION("""COMPUTED_VALUE"""),1)</f>
        <v>1</v>
      </c>
    </row>
    <row r="5535" spans="1:5" ht="13">
      <c r="A5535" s="8" t="str">
        <f ca="1">IFERROR(__xludf.DUMMYFUNCTION("""COMPUTED_VALUE"""),"Melyan, Theodore")</f>
        <v>Melyan, Theodore</v>
      </c>
      <c r="B5535" s="3">
        <f ca="1">IFERROR(__xludf.DUMMYFUNCTION("""COMPUTED_VALUE"""),1)</f>
        <v>1</v>
      </c>
      <c r="C5535" s="7">
        <f ca="1">IFERROR(__xludf.DUMMYFUNCTION("""COMPUTED_VALUE"""),1)</f>
        <v>1</v>
      </c>
      <c r="D5535" s="8">
        <f ca="1">IFERROR(__xludf.DUMMYFUNCTION("""COMPUTED_VALUE"""),5)</f>
        <v>5</v>
      </c>
      <c r="E5535" s="2">
        <f ca="1">IFERROR(__xludf.DUMMYFUNCTION("""COMPUTED_VALUE"""),2)</f>
        <v>2</v>
      </c>
    </row>
    <row r="5536" spans="1:5" ht="13">
      <c r="A5536" s="2" t="str">
        <f ca="1">IFERROR(__xludf.DUMMYFUNCTION("""COMPUTED_VALUE"""),"Memley, Kevin")</f>
        <v>Memley, Kevin</v>
      </c>
      <c r="B5536" s="3">
        <f ca="1">IFERROR(__xludf.DUMMYFUNCTION("""COMPUTED_VALUE"""),1)</f>
        <v>1</v>
      </c>
      <c r="C5536" s="7">
        <f ca="1">IFERROR(__xludf.DUMMYFUNCTION("""COMPUTED_VALUE"""),1)</f>
        <v>1</v>
      </c>
      <c r="D5536" s="8">
        <f ca="1">IFERROR(__xludf.DUMMYFUNCTION("""COMPUTED_VALUE"""),1)</f>
        <v>1</v>
      </c>
      <c r="E5536" s="2">
        <f ca="1">IFERROR(__xludf.DUMMYFUNCTION("""COMPUTED_VALUE"""),1)</f>
        <v>1</v>
      </c>
    </row>
    <row r="5537" spans="1:5" ht="13">
      <c r="A5537" s="2" t="str">
        <f ca="1">IFERROR(__xludf.DUMMYFUNCTION("""COMPUTED_VALUE"""),"Memley, Kevin A.")</f>
        <v>Memley, Kevin A.</v>
      </c>
      <c r="B5537" s="3">
        <f ca="1">IFERROR(__xludf.DUMMYFUNCTION("""COMPUTED_VALUE"""),1)</f>
        <v>1</v>
      </c>
      <c r="C5537" s="7">
        <f ca="1">IFERROR(__xludf.DUMMYFUNCTION("""COMPUTED_VALUE"""),1)</f>
        <v>1</v>
      </c>
      <c r="D5537" s="8">
        <f ca="1">IFERROR(__xludf.DUMMYFUNCTION("""COMPUTED_VALUE"""),1)</f>
        <v>1</v>
      </c>
      <c r="E5537" s="2">
        <f ca="1">IFERROR(__xludf.DUMMYFUNCTION("""COMPUTED_VALUE"""),1)</f>
        <v>1</v>
      </c>
    </row>
    <row r="5538" spans="1:5" ht="13">
      <c r="A5538" s="8" t="str">
        <f ca="1">IFERROR(__xludf.DUMMYFUNCTION("""COMPUTED_VALUE"""),"Mena, Juanjo")</f>
        <v>Mena, Juanjo</v>
      </c>
      <c r="B5538" s="3">
        <f ca="1">IFERROR(__xludf.DUMMYFUNCTION("""COMPUTED_VALUE"""),1)</f>
        <v>1</v>
      </c>
      <c r="C5538" s="7">
        <f ca="1">IFERROR(__xludf.DUMMYFUNCTION("""COMPUTED_VALUE"""),1)</f>
        <v>1</v>
      </c>
      <c r="D5538" s="8">
        <f ca="1">IFERROR(__xludf.DUMMYFUNCTION("""COMPUTED_VALUE"""),1)</f>
        <v>1</v>
      </c>
      <c r="E5538" s="2">
        <f ca="1">IFERROR(__xludf.DUMMYFUNCTION("""COMPUTED_VALUE"""),1)</f>
        <v>1</v>
      </c>
    </row>
    <row r="5539" spans="1:5" ht="13">
      <c r="A5539" s="2" t="str">
        <f ca="1">IFERROR(__xludf.DUMMYFUNCTION("""COMPUTED_VALUE"""),"Mencher, Aaron")</f>
        <v>Mencher, Aaron</v>
      </c>
      <c r="B5539" s="2">
        <f ca="1">IFERROR(__xludf.DUMMYFUNCTION("""COMPUTED_VALUE"""),1)</f>
        <v>1</v>
      </c>
      <c r="C5539" s="7">
        <f ca="1">IFERROR(__xludf.DUMMYFUNCTION("""COMPUTED_VALUE"""),1)</f>
        <v>1</v>
      </c>
      <c r="D5539" s="8">
        <f ca="1">IFERROR(__xludf.DUMMYFUNCTION("""COMPUTED_VALUE"""),1)</f>
        <v>1</v>
      </c>
      <c r="E5539" s="2">
        <f ca="1">IFERROR(__xludf.DUMMYFUNCTION("""COMPUTED_VALUE"""),1)</f>
        <v>1</v>
      </c>
    </row>
    <row r="5540" spans="1:5" ht="13">
      <c r="A5540" s="2" t="str">
        <f ca="1">IFERROR(__xludf.DUMMYFUNCTION("""COMPUTED_VALUE"""),"Mendelssohn, Felix")</f>
        <v>Mendelssohn, Felix</v>
      </c>
      <c r="B5540" s="3">
        <f ca="1">IFERROR(__xludf.DUMMYFUNCTION("""COMPUTED_VALUE"""),1)</f>
        <v>1</v>
      </c>
      <c r="C5540" s="7">
        <f ca="1">IFERROR(__xludf.DUMMYFUNCTION("""COMPUTED_VALUE"""),1)</f>
        <v>1</v>
      </c>
      <c r="D5540" s="8">
        <f ca="1">IFERROR(__xludf.DUMMYFUNCTION("""COMPUTED_VALUE"""),5)</f>
        <v>5</v>
      </c>
      <c r="E5540" s="2">
        <f ca="1">IFERROR(__xludf.DUMMYFUNCTION("""COMPUTED_VALUE"""),2)</f>
        <v>2</v>
      </c>
    </row>
    <row r="5541" spans="1:5" ht="13">
      <c r="A5541" s="2" t="str">
        <f ca="1">IFERROR(__xludf.DUMMYFUNCTION("""COMPUTED_VALUE"""),"Mendelssohn, Fred")</f>
        <v>Mendelssohn, Fred</v>
      </c>
      <c r="B5541" s="2">
        <f ca="1">IFERROR(__xludf.DUMMYFUNCTION("""COMPUTED_VALUE"""),1)</f>
        <v>1</v>
      </c>
      <c r="C5541" s="7">
        <f ca="1">IFERROR(__xludf.DUMMYFUNCTION("""COMPUTED_VALUE"""),1)</f>
        <v>1</v>
      </c>
      <c r="D5541" s="8">
        <f ca="1">IFERROR(__xludf.DUMMYFUNCTION("""COMPUTED_VALUE"""),5)</f>
        <v>5</v>
      </c>
      <c r="E5541" s="2">
        <f ca="1">IFERROR(__xludf.DUMMYFUNCTION("""COMPUTED_VALUE"""),2)</f>
        <v>2</v>
      </c>
    </row>
    <row r="5542" spans="1:5" ht="13">
      <c r="A5542" s="2" t="str">
        <f ca="1">IFERROR(__xludf.DUMMYFUNCTION("""COMPUTED_VALUE"""),"Mendoza, Vincent")</f>
        <v>Mendoza, Vincent</v>
      </c>
      <c r="B5542" s="3">
        <f ca="1">IFERROR(__xludf.DUMMYFUNCTION("""COMPUTED_VALUE"""),1)</f>
        <v>1</v>
      </c>
      <c r="C5542" s="7">
        <f ca="1">IFERROR(__xludf.DUMMYFUNCTION("""COMPUTED_VALUE"""),1)</f>
        <v>1</v>
      </c>
      <c r="D5542" s="8">
        <f ca="1">IFERROR(__xludf.DUMMYFUNCTION("""COMPUTED_VALUE"""),1)</f>
        <v>1</v>
      </c>
      <c r="E5542" s="2">
        <f ca="1">IFERROR(__xludf.DUMMYFUNCTION("""COMPUTED_VALUE"""),1)</f>
        <v>1</v>
      </c>
    </row>
    <row r="5543" spans="1:5" ht="13">
      <c r="A5543" s="2" t="str">
        <f ca="1">IFERROR(__xludf.DUMMYFUNCTION("""COMPUTED_VALUE"""),"Menefee, Mike")</f>
        <v>Menefee, Mike</v>
      </c>
      <c r="B5543" s="3">
        <f ca="1">IFERROR(__xludf.DUMMYFUNCTION("""COMPUTED_VALUE"""),1)</f>
        <v>1</v>
      </c>
      <c r="C5543" s="7">
        <f ca="1">IFERROR(__xludf.DUMMYFUNCTION("""COMPUTED_VALUE"""),1)</f>
        <v>1</v>
      </c>
      <c r="D5543" s="8">
        <f ca="1">IFERROR(__xludf.DUMMYFUNCTION("""COMPUTED_VALUE"""),1)</f>
        <v>1</v>
      </c>
      <c r="E5543" s="2">
        <f ca="1">IFERROR(__xludf.DUMMYFUNCTION("""COMPUTED_VALUE"""),1)</f>
        <v>1</v>
      </c>
    </row>
    <row r="5544" spans="1:5" ht="13">
      <c r="A5544" s="2" t="str">
        <f ca="1">IFERROR(__xludf.DUMMYFUNCTION("""COMPUTED_VALUE"""),"Menge, CJ")</f>
        <v>Menge, CJ</v>
      </c>
      <c r="B5544" s="2">
        <f ca="1">IFERROR(__xludf.DUMMYFUNCTION("""COMPUTED_VALUE"""),1)</f>
        <v>1</v>
      </c>
      <c r="C5544" s="7">
        <f ca="1">IFERROR(__xludf.DUMMYFUNCTION("""COMPUTED_VALUE"""),1)</f>
        <v>1</v>
      </c>
      <c r="D5544" s="8">
        <f ca="1">IFERROR(__xludf.DUMMYFUNCTION("""COMPUTED_VALUE"""),1)</f>
        <v>1</v>
      </c>
      <c r="E5544" s="2">
        <f ca="1">IFERROR(__xludf.DUMMYFUNCTION("""COMPUTED_VALUE"""),1)</f>
        <v>1</v>
      </c>
    </row>
    <row r="5545" spans="1:5" ht="13">
      <c r="A5545" s="2" t="str">
        <f ca="1">IFERROR(__xludf.DUMMYFUNCTION("""COMPUTED_VALUE"""),"Menken, Alan")</f>
        <v>Menken, Alan</v>
      </c>
      <c r="B5545" s="2">
        <f ca="1">IFERROR(__xludf.DUMMYFUNCTION("""COMPUTED_VALUE"""),1)</f>
        <v>1</v>
      </c>
      <c r="C5545" s="7">
        <f ca="1">IFERROR(__xludf.DUMMYFUNCTION("""COMPUTED_VALUE"""),1)</f>
        <v>1</v>
      </c>
      <c r="D5545" s="8">
        <f ca="1">IFERROR(__xludf.DUMMYFUNCTION("""COMPUTED_VALUE"""),5)</f>
        <v>5</v>
      </c>
      <c r="E5545" s="2">
        <f ca="1">IFERROR(__xludf.DUMMYFUNCTION("""COMPUTED_VALUE"""),2)</f>
        <v>2</v>
      </c>
    </row>
    <row r="5546" spans="1:5" ht="13">
      <c r="A5546" s="2" t="str">
        <f ca="1">IFERROR(__xludf.DUMMYFUNCTION("""COMPUTED_VALUE"""),"Menken, Alan / Ashman, Howard")</f>
        <v>Menken, Alan / Ashman, Howard</v>
      </c>
      <c r="B5546" s="3">
        <f ca="1">IFERROR(__xludf.DUMMYFUNCTION("""COMPUTED_VALUE"""),1)</f>
        <v>1</v>
      </c>
      <c r="C5546" s="7">
        <f ca="1">IFERROR(__xludf.DUMMYFUNCTION("""COMPUTED_VALUE"""),1)</f>
        <v>1</v>
      </c>
      <c r="D5546" s="8">
        <f ca="1">IFERROR(__xludf.DUMMYFUNCTION("""COMPUTED_VALUE"""),1)</f>
        <v>1</v>
      </c>
      <c r="E5546" s="2">
        <f ca="1">IFERROR(__xludf.DUMMYFUNCTION("""COMPUTED_VALUE"""),1)</f>
        <v>1</v>
      </c>
    </row>
    <row r="5547" spans="1:5" ht="13">
      <c r="A5547" s="2" t="str">
        <f ca="1">IFERROR(__xludf.DUMMYFUNCTION("""COMPUTED_VALUE"""),"Menken, Alan &amp; Rice, Tim")</f>
        <v>Menken, Alan &amp; Rice, Tim</v>
      </c>
      <c r="B5547" s="2">
        <f ca="1">IFERROR(__xludf.DUMMYFUNCTION("""COMPUTED_VALUE"""),1)</f>
        <v>1</v>
      </c>
      <c r="C5547" s="2">
        <f ca="1">IFERROR(__xludf.DUMMYFUNCTION("""COMPUTED_VALUE"""),1)</f>
        <v>1</v>
      </c>
      <c r="D5547" s="8" t="str">
        <f ca="1">IFERROR(__xludf.DUMMYFUNCTION("""COMPUTED_VALUE"""),"")</f>
        <v/>
      </c>
      <c r="E5547" s="2" t="str">
        <f ca="1">IFERROR(__xludf.DUMMYFUNCTION("""COMPUTED_VALUE"""),"1&amp;2")</f>
        <v>1&amp;2</v>
      </c>
    </row>
    <row r="5548" spans="1:5" ht="13">
      <c r="A5548" s="2" t="str">
        <f ca="1">IFERROR(__xludf.DUMMYFUNCTION("""COMPUTED_VALUE"""),"Mennin, Peter")</f>
        <v>Mennin, Peter</v>
      </c>
      <c r="B5548" s="3">
        <f ca="1">IFERROR(__xludf.DUMMYFUNCTION("""COMPUTED_VALUE"""),1)</f>
        <v>1</v>
      </c>
      <c r="C5548" s="7">
        <f ca="1">IFERROR(__xludf.DUMMYFUNCTION("""COMPUTED_VALUE"""),1)</f>
        <v>1</v>
      </c>
      <c r="D5548" s="8">
        <f ca="1">IFERROR(__xludf.DUMMYFUNCTION("""COMPUTED_VALUE"""),5)</f>
        <v>5</v>
      </c>
      <c r="E5548" s="2">
        <f ca="1">IFERROR(__xludf.DUMMYFUNCTION("""COMPUTED_VALUE"""),2)</f>
        <v>2</v>
      </c>
    </row>
    <row r="5549" spans="1:5" ht="13">
      <c r="A5549" s="2" t="str">
        <f ca="1">IFERROR(__xludf.DUMMYFUNCTION("""COMPUTED_VALUE"""),"Menotti, Gian Carlo")</f>
        <v>Menotti, Gian Carlo</v>
      </c>
      <c r="B5549" s="3">
        <f ca="1">IFERROR(__xludf.DUMMYFUNCTION("""COMPUTED_VALUE"""),1)</f>
        <v>1</v>
      </c>
      <c r="C5549" s="7">
        <f ca="1">IFERROR(__xludf.DUMMYFUNCTION("""COMPUTED_VALUE"""),1)</f>
        <v>1</v>
      </c>
      <c r="D5549" s="8">
        <f ca="1">IFERROR(__xludf.DUMMYFUNCTION("""COMPUTED_VALUE"""),5)</f>
        <v>5</v>
      </c>
      <c r="E5549" s="2">
        <f ca="1">IFERROR(__xludf.DUMMYFUNCTION("""COMPUTED_VALUE"""),2)</f>
        <v>2</v>
      </c>
    </row>
    <row r="5550" spans="1:5" ht="13">
      <c r="A5550" s="2" t="str">
        <f ca="1">IFERROR(__xludf.DUMMYFUNCTION("""COMPUTED_VALUE"""),"Menz, J. (aka John Kinyon)")</f>
        <v>Menz, J. (aka John Kinyon)</v>
      </c>
      <c r="B5550" s="2">
        <f ca="1">IFERROR(__xludf.DUMMYFUNCTION("""COMPUTED_VALUE"""),1)</f>
        <v>1</v>
      </c>
      <c r="C5550" s="7">
        <f ca="1">IFERROR(__xludf.DUMMYFUNCTION("""COMPUTED_VALUE"""),1)</f>
        <v>1</v>
      </c>
      <c r="D5550" s="8">
        <f ca="1">IFERROR(__xludf.DUMMYFUNCTION("""COMPUTED_VALUE"""),5)</f>
        <v>5</v>
      </c>
      <c r="E5550" s="2">
        <f ca="1">IFERROR(__xludf.DUMMYFUNCTION("""COMPUTED_VALUE"""),2)</f>
        <v>2</v>
      </c>
    </row>
    <row r="5551" spans="1:5" ht="13">
      <c r="A5551" s="2" t="str">
        <f ca="1">IFERROR(__xludf.DUMMYFUNCTION("""COMPUTED_VALUE"""),"Menza, Don")</f>
        <v>Menza, Don</v>
      </c>
      <c r="B5551" s="3">
        <f ca="1">IFERROR(__xludf.DUMMYFUNCTION("""COMPUTED_VALUE"""),1)</f>
        <v>1</v>
      </c>
      <c r="C5551" s="7">
        <f ca="1">IFERROR(__xludf.DUMMYFUNCTION("""COMPUTED_VALUE"""),1)</f>
        <v>1</v>
      </c>
      <c r="D5551" s="8">
        <f ca="1">IFERROR(__xludf.DUMMYFUNCTION("""COMPUTED_VALUE"""),5)</f>
        <v>5</v>
      </c>
      <c r="E5551" s="2">
        <f ca="1">IFERROR(__xludf.DUMMYFUNCTION("""COMPUTED_VALUE"""),2)</f>
        <v>2</v>
      </c>
    </row>
    <row r="5552" spans="1:5" ht="13">
      <c r="A5552" s="2" t="str">
        <f ca="1">IFERROR(__xludf.DUMMYFUNCTION("""COMPUTED_VALUE"""),"Mercadante, Saverio")</f>
        <v>Mercadante, Saverio</v>
      </c>
      <c r="B5552" s="3">
        <f ca="1">IFERROR(__xludf.DUMMYFUNCTION("""COMPUTED_VALUE"""),1)</f>
        <v>1</v>
      </c>
      <c r="C5552" s="7">
        <f ca="1">IFERROR(__xludf.DUMMYFUNCTION("""COMPUTED_VALUE"""),1)</f>
        <v>1</v>
      </c>
      <c r="D5552" s="8">
        <f ca="1">IFERROR(__xludf.DUMMYFUNCTION("""COMPUTED_VALUE"""),5)</f>
        <v>5</v>
      </c>
      <c r="E5552" s="2">
        <f ca="1">IFERROR(__xludf.DUMMYFUNCTION("""COMPUTED_VALUE"""),2)</f>
        <v>2</v>
      </c>
    </row>
    <row r="5553" spans="1:5" ht="13">
      <c r="A5553" s="2" t="str">
        <f ca="1">IFERROR(__xludf.DUMMYFUNCTION("""COMPUTED_VALUE"""),"Mercer, Johnny")</f>
        <v>Mercer, Johnny</v>
      </c>
      <c r="B5553" s="2">
        <f ca="1">IFERROR(__xludf.DUMMYFUNCTION("""COMPUTED_VALUE"""),1)</f>
        <v>1</v>
      </c>
      <c r="C5553" s="7">
        <f ca="1">IFERROR(__xludf.DUMMYFUNCTION("""COMPUTED_VALUE"""),1)</f>
        <v>1</v>
      </c>
      <c r="D5553" s="8">
        <f ca="1">IFERROR(__xludf.DUMMYFUNCTION("""COMPUTED_VALUE"""),5)</f>
        <v>5</v>
      </c>
      <c r="E5553" s="2">
        <f ca="1">IFERROR(__xludf.DUMMYFUNCTION("""COMPUTED_VALUE"""),2)</f>
        <v>2</v>
      </c>
    </row>
    <row r="5554" spans="1:5" ht="13">
      <c r="A5554" s="2" t="str">
        <f ca="1">IFERROR(__xludf.DUMMYFUNCTION("""COMPUTED_VALUE"""),"Mercure, Pierre")</f>
        <v>Mercure, Pierre</v>
      </c>
      <c r="B5554" s="2">
        <f ca="1">IFERROR(__xludf.DUMMYFUNCTION("""COMPUTED_VALUE"""),1)</f>
        <v>1</v>
      </c>
      <c r="C5554" s="7">
        <f ca="1">IFERROR(__xludf.DUMMYFUNCTION("""COMPUTED_VALUE"""),1)</f>
        <v>1</v>
      </c>
      <c r="D5554" s="8">
        <f ca="1">IFERROR(__xludf.DUMMYFUNCTION("""COMPUTED_VALUE"""),5)</f>
        <v>5</v>
      </c>
      <c r="E5554" s="2">
        <f ca="1">IFERROR(__xludf.DUMMYFUNCTION("""COMPUTED_VALUE"""),2)</f>
        <v>2</v>
      </c>
    </row>
    <row r="5555" spans="1:5" ht="13">
      <c r="A5555" s="2" t="str">
        <f ca="1">IFERROR(__xludf.DUMMYFUNCTION("""COMPUTED_VALUE"""),"Meredith, James")</f>
        <v>Meredith, James</v>
      </c>
      <c r="B5555" s="3">
        <f ca="1">IFERROR(__xludf.DUMMYFUNCTION("""COMPUTED_VALUE"""),1)</f>
        <v>1</v>
      </c>
      <c r="C5555" s="7">
        <f ca="1">IFERROR(__xludf.DUMMYFUNCTION("""COMPUTED_VALUE"""),1)</f>
        <v>1</v>
      </c>
      <c r="D5555" s="8">
        <f ca="1">IFERROR(__xludf.DUMMYFUNCTION("""COMPUTED_VALUE"""),1)</f>
        <v>1</v>
      </c>
      <c r="E5555" s="2">
        <f ca="1">IFERROR(__xludf.DUMMYFUNCTION("""COMPUTED_VALUE"""),1)</f>
        <v>1</v>
      </c>
    </row>
    <row r="5556" spans="1:5" ht="13">
      <c r="A5556" s="2" t="str">
        <f ca="1">IFERROR(__xludf.DUMMYFUNCTION("""COMPUTED_VALUE"""),"Meredith, Ryan")</f>
        <v>Meredith, Ryan</v>
      </c>
      <c r="B5556" s="3">
        <f ca="1">IFERROR(__xludf.DUMMYFUNCTION("""COMPUTED_VALUE"""),1)</f>
        <v>1</v>
      </c>
      <c r="C5556" s="7">
        <f ca="1">IFERROR(__xludf.DUMMYFUNCTION("""COMPUTED_VALUE"""),1)</f>
        <v>1</v>
      </c>
      <c r="D5556" s="8">
        <f ca="1">IFERROR(__xludf.DUMMYFUNCTION("""COMPUTED_VALUE"""),1)</f>
        <v>1</v>
      </c>
      <c r="E5556" s="2">
        <f ca="1">IFERROR(__xludf.DUMMYFUNCTION("""COMPUTED_VALUE"""),1)</f>
        <v>1</v>
      </c>
    </row>
    <row r="5557" spans="1:5" ht="13">
      <c r="A5557" s="8" t="str">
        <f ca="1">IFERROR(__xludf.DUMMYFUNCTION("""COMPUTED_VALUE"""),"Merfeld, Robert")</f>
        <v>Merfeld, Robert</v>
      </c>
      <c r="B5557" s="3">
        <f ca="1">IFERROR(__xludf.DUMMYFUNCTION("""COMPUTED_VALUE"""),1)</f>
        <v>1</v>
      </c>
      <c r="C5557" s="7">
        <f ca="1">IFERROR(__xludf.DUMMYFUNCTION("""COMPUTED_VALUE"""),1)</f>
        <v>1</v>
      </c>
      <c r="D5557" s="8">
        <f ca="1">IFERROR(__xludf.DUMMYFUNCTION("""COMPUTED_VALUE"""),1)</f>
        <v>1</v>
      </c>
      <c r="E5557" s="2">
        <f ca="1">IFERROR(__xludf.DUMMYFUNCTION("""COMPUTED_VALUE"""),1)</f>
        <v>1</v>
      </c>
    </row>
    <row r="5558" spans="1:5" ht="13">
      <c r="A5558" s="2" t="str">
        <f ca="1">IFERROR(__xludf.DUMMYFUNCTION("""COMPUTED_VALUE"""),"Merrill, Mike")</f>
        <v>Merrill, Mike</v>
      </c>
      <c r="B5558" s="2">
        <f ca="1">IFERROR(__xludf.DUMMYFUNCTION("""COMPUTED_VALUE"""),1)</f>
        <v>1</v>
      </c>
      <c r="C5558" s="7">
        <f ca="1">IFERROR(__xludf.DUMMYFUNCTION("""COMPUTED_VALUE"""),1)</f>
        <v>1</v>
      </c>
      <c r="D5558" s="8">
        <f ca="1">IFERROR(__xludf.DUMMYFUNCTION("""COMPUTED_VALUE"""),1)</f>
        <v>1</v>
      </c>
      <c r="E5558" s="2">
        <f ca="1">IFERROR(__xludf.DUMMYFUNCTION("""COMPUTED_VALUE"""),1)</f>
        <v>1</v>
      </c>
    </row>
    <row r="5559" spans="1:5" ht="13">
      <c r="A5559" s="2" t="str">
        <f ca="1">IFERROR(__xludf.DUMMYFUNCTION("""COMPUTED_VALUE"""),"Merrill, Tom")</f>
        <v>Merrill, Tom</v>
      </c>
      <c r="B5559" s="3">
        <f ca="1">IFERROR(__xludf.DUMMYFUNCTION("""COMPUTED_VALUE"""),1)</f>
        <v>1</v>
      </c>
      <c r="C5559" s="7">
        <f ca="1">IFERROR(__xludf.DUMMYFUNCTION("""COMPUTED_VALUE"""),1)</f>
        <v>1</v>
      </c>
      <c r="D5559" s="8">
        <f ca="1">IFERROR(__xludf.DUMMYFUNCTION("""COMPUTED_VALUE"""),1)</f>
        <v>1</v>
      </c>
      <c r="E5559" s="2">
        <f ca="1">IFERROR(__xludf.DUMMYFUNCTION("""COMPUTED_VALUE"""),1)</f>
        <v>1</v>
      </c>
    </row>
    <row r="5560" spans="1:5" ht="13">
      <c r="A5560" s="2" t="str">
        <f ca="1">IFERROR(__xludf.DUMMYFUNCTION("""COMPUTED_VALUE"""),"Mertens, Nathan")</f>
        <v>Mertens, Nathan</v>
      </c>
      <c r="B5560" s="3">
        <f ca="1">IFERROR(__xludf.DUMMYFUNCTION("""COMPUTED_VALUE"""),1)</f>
        <v>1</v>
      </c>
      <c r="C5560" s="7">
        <f ca="1">IFERROR(__xludf.DUMMYFUNCTION("""COMPUTED_VALUE"""),1)</f>
        <v>1</v>
      </c>
      <c r="D5560" s="8">
        <f ca="1">IFERROR(__xludf.DUMMYFUNCTION("""COMPUTED_VALUE"""),1)</f>
        <v>1</v>
      </c>
      <c r="E5560" s="2">
        <f ca="1">IFERROR(__xludf.DUMMYFUNCTION("""COMPUTED_VALUE"""),1)</f>
        <v>1</v>
      </c>
    </row>
    <row r="5561" spans="1:5" ht="13">
      <c r="A5561" s="2" t="str">
        <f ca="1">IFERROR(__xludf.DUMMYFUNCTION("""COMPUTED_VALUE"""),"Merwe, Andre Van Der")</f>
        <v>Merwe, Andre Van Der</v>
      </c>
      <c r="B5561" s="3">
        <f ca="1">IFERROR(__xludf.DUMMYFUNCTION("""COMPUTED_VALUE"""),1)</f>
        <v>1</v>
      </c>
      <c r="C5561" s="7">
        <f ca="1">IFERROR(__xludf.DUMMYFUNCTION("""COMPUTED_VALUE"""),1)</f>
        <v>1</v>
      </c>
      <c r="D5561" s="8">
        <f ca="1">IFERROR(__xludf.DUMMYFUNCTION("""COMPUTED_VALUE"""),1)</f>
        <v>1</v>
      </c>
      <c r="E5561" s="2">
        <f ca="1">IFERROR(__xludf.DUMMYFUNCTION("""COMPUTED_VALUE"""),1)</f>
        <v>1</v>
      </c>
    </row>
    <row r="5562" spans="1:5" ht="13">
      <c r="A5562" s="2" t="str">
        <f ca="1">IFERROR(__xludf.DUMMYFUNCTION("""COMPUTED_VALUE"""),"Mesang, Ted")</f>
        <v>Mesang, Ted</v>
      </c>
      <c r="B5562" s="3">
        <f ca="1">IFERROR(__xludf.DUMMYFUNCTION("""COMPUTED_VALUE"""),1)</f>
        <v>1</v>
      </c>
      <c r="C5562" s="7">
        <f ca="1">IFERROR(__xludf.DUMMYFUNCTION("""COMPUTED_VALUE"""),1)</f>
        <v>1</v>
      </c>
      <c r="D5562" s="8">
        <f ca="1">IFERROR(__xludf.DUMMYFUNCTION("""COMPUTED_VALUE"""),5)</f>
        <v>5</v>
      </c>
      <c r="E5562" s="2">
        <f ca="1">IFERROR(__xludf.DUMMYFUNCTION("""COMPUTED_VALUE"""),2)</f>
        <v>2</v>
      </c>
    </row>
    <row r="5563" spans="1:5" ht="13">
      <c r="A5563" s="2" t="str">
        <f ca="1">IFERROR(__xludf.DUMMYFUNCTION("""COMPUTED_VALUE"""),"Messager, André")</f>
        <v>Messager, André</v>
      </c>
      <c r="B5563" s="3">
        <f ca="1">IFERROR(__xludf.DUMMYFUNCTION("""COMPUTED_VALUE"""),1)</f>
        <v>1</v>
      </c>
      <c r="C5563" s="7">
        <f ca="1">IFERROR(__xludf.DUMMYFUNCTION("""COMPUTED_VALUE"""),1)</f>
        <v>1</v>
      </c>
      <c r="D5563" s="8">
        <f ca="1">IFERROR(__xludf.DUMMYFUNCTION("""COMPUTED_VALUE"""),5)</f>
        <v>5</v>
      </c>
      <c r="E5563" s="2">
        <f ca="1">IFERROR(__xludf.DUMMYFUNCTION("""COMPUTED_VALUE"""),2)</f>
        <v>2</v>
      </c>
    </row>
    <row r="5564" spans="1:5" ht="13">
      <c r="A5564" s="2" t="str">
        <f ca="1">IFERROR(__xludf.DUMMYFUNCTION("""COMPUTED_VALUE"""),"Messé, Dan")</f>
        <v>Messé, Dan</v>
      </c>
      <c r="B5564" s="2">
        <f ca="1">IFERROR(__xludf.DUMMYFUNCTION("""COMPUTED_VALUE"""),1)</f>
        <v>1</v>
      </c>
      <c r="C5564" s="7">
        <f ca="1">IFERROR(__xludf.DUMMYFUNCTION("""COMPUTED_VALUE"""),1)</f>
        <v>1</v>
      </c>
      <c r="D5564" s="8">
        <f ca="1">IFERROR(__xludf.DUMMYFUNCTION("""COMPUTED_VALUE"""),1)</f>
        <v>1</v>
      </c>
      <c r="E5564" s="2">
        <f ca="1">IFERROR(__xludf.DUMMYFUNCTION("""COMPUTED_VALUE"""),1)</f>
        <v>1</v>
      </c>
    </row>
    <row r="5565" spans="1:5" ht="13">
      <c r="A5565" s="2" t="str">
        <f ca="1">IFERROR(__xludf.DUMMYFUNCTION("""COMPUTED_VALUE"""),"Messerli, Carlos")</f>
        <v>Messerli, Carlos</v>
      </c>
      <c r="B5565" s="2">
        <f ca="1">IFERROR(__xludf.DUMMYFUNCTION("""COMPUTED_VALUE"""),1)</f>
        <v>1</v>
      </c>
      <c r="C5565" s="2">
        <f ca="1">IFERROR(__xludf.DUMMYFUNCTION("""COMPUTED_VALUE"""),1)</f>
        <v>1</v>
      </c>
      <c r="D5565" s="8">
        <f ca="1">IFERROR(__xludf.DUMMYFUNCTION("""COMPUTED_VALUE"""),5)</f>
        <v>5</v>
      </c>
      <c r="E5565" s="2">
        <f ca="1">IFERROR(__xludf.DUMMYFUNCTION("""COMPUTED_VALUE"""),2)</f>
        <v>2</v>
      </c>
    </row>
    <row r="5566" spans="1:5" ht="13">
      <c r="A5566" s="2" t="str">
        <f ca="1">IFERROR(__xludf.DUMMYFUNCTION("""COMPUTED_VALUE"""),"Messiaen, Oliver")</f>
        <v>Messiaen, Oliver</v>
      </c>
      <c r="B5566" s="3">
        <f ca="1">IFERROR(__xludf.DUMMYFUNCTION("""COMPUTED_VALUE"""),1)</f>
        <v>1</v>
      </c>
      <c r="C5566" s="7">
        <f ca="1">IFERROR(__xludf.DUMMYFUNCTION("""COMPUTED_VALUE"""),1)</f>
        <v>1</v>
      </c>
      <c r="D5566" s="8">
        <f ca="1">IFERROR(__xludf.DUMMYFUNCTION("""COMPUTED_VALUE"""),5)</f>
        <v>5</v>
      </c>
      <c r="E5566" s="2">
        <f ca="1">IFERROR(__xludf.DUMMYFUNCTION("""COMPUTED_VALUE"""),2)</f>
        <v>2</v>
      </c>
    </row>
    <row r="5567" spans="1:5" ht="13">
      <c r="A5567" s="2" t="str">
        <f ca="1">IFERROR(__xludf.DUMMYFUNCTION("""COMPUTED_VALUE"""),"Messiaen, Olivier")</f>
        <v>Messiaen, Olivier</v>
      </c>
      <c r="B5567" s="3">
        <f ca="1">IFERROR(__xludf.DUMMYFUNCTION("""COMPUTED_VALUE"""),1)</f>
        <v>1</v>
      </c>
      <c r="C5567" s="7">
        <f ca="1">IFERROR(__xludf.DUMMYFUNCTION("""COMPUTED_VALUE"""),1)</f>
        <v>1</v>
      </c>
      <c r="D5567" s="8">
        <f ca="1">IFERROR(__xludf.DUMMYFUNCTION("""COMPUTED_VALUE"""),5)</f>
        <v>5</v>
      </c>
      <c r="E5567" s="2">
        <f ca="1">IFERROR(__xludf.DUMMYFUNCTION("""COMPUTED_VALUE"""),2)</f>
        <v>2</v>
      </c>
    </row>
    <row r="5568" spans="1:5" ht="13">
      <c r="A5568" s="2" t="str">
        <f ca="1">IFERROR(__xludf.DUMMYFUNCTION("""COMPUTED_VALUE"""),"Messick, Pat")</f>
        <v>Messick, Pat</v>
      </c>
      <c r="B5568" s="3">
        <f ca="1">IFERROR(__xludf.DUMMYFUNCTION("""COMPUTED_VALUE"""),1)</f>
        <v>1</v>
      </c>
      <c r="C5568" s="7">
        <f ca="1">IFERROR(__xludf.DUMMYFUNCTION("""COMPUTED_VALUE"""),1)</f>
        <v>1</v>
      </c>
      <c r="D5568" s="8">
        <f ca="1">IFERROR(__xludf.DUMMYFUNCTION("""COMPUTED_VALUE"""),5)</f>
        <v>5</v>
      </c>
      <c r="E5568" s="2">
        <f ca="1">IFERROR(__xludf.DUMMYFUNCTION("""COMPUTED_VALUE"""),2)</f>
        <v>2</v>
      </c>
    </row>
    <row r="5569" spans="1:5" ht="13">
      <c r="A5569" s="8" t="str">
        <f ca="1">IFERROR(__xludf.DUMMYFUNCTION("""COMPUTED_VALUE"""),"Metcalf, John")</f>
        <v>Metcalf, John</v>
      </c>
      <c r="B5569" s="3">
        <f ca="1">IFERROR(__xludf.DUMMYFUNCTION("""COMPUTED_VALUE"""),1)</f>
        <v>1</v>
      </c>
      <c r="C5569" s="7">
        <f ca="1">IFERROR(__xludf.DUMMYFUNCTION("""COMPUTED_VALUE"""),1)</f>
        <v>1</v>
      </c>
      <c r="D5569" s="8">
        <f ca="1">IFERROR(__xludf.DUMMYFUNCTION("""COMPUTED_VALUE"""),1)</f>
        <v>1</v>
      </c>
      <c r="E5569" s="2">
        <f ca="1">IFERROR(__xludf.DUMMYFUNCTION("""COMPUTED_VALUE"""),1)</f>
        <v>1</v>
      </c>
    </row>
    <row r="5570" spans="1:5" ht="13">
      <c r="A5570" s="8" t="str">
        <f ca="1">IFERROR(__xludf.DUMMYFUNCTION("""COMPUTED_VALUE"""),"Metcalf, Leon Vinnedge")</f>
        <v>Metcalf, Leon Vinnedge</v>
      </c>
      <c r="B5570" s="3">
        <f ca="1">IFERROR(__xludf.DUMMYFUNCTION("""COMPUTED_VALUE"""),1)</f>
        <v>1</v>
      </c>
      <c r="C5570" s="7">
        <f ca="1">IFERROR(__xludf.DUMMYFUNCTION("""COMPUTED_VALUE"""),1)</f>
        <v>1</v>
      </c>
      <c r="D5570" s="8">
        <f ca="1">IFERROR(__xludf.DUMMYFUNCTION("""COMPUTED_VALUE"""),5)</f>
        <v>5</v>
      </c>
      <c r="E5570" s="2">
        <f ca="1">IFERROR(__xludf.DUMMYFUNCTION("""COMPUTED_VALUE"""),2)</f>
        <v>2</v>
      </c>
    </row>
    <row r="5571" spans="1:5" ht="13">
      <c r="A5571" s="2" t="str">
        <f ca="1">IFERROR(__xludf.DUMMYFUNCTION("""COMPUTED_VALUE"""),"Metcalfe, John")</f>
        <v>Metcalfe, John</v>
      </c>
      <c r="B5571" s="3">
        <f ca="1">IFERROR(__xludf.DUMMYFUNCTION("""COMPUTED_VALUE"""),1)</f>
        <v>1</v>
      </c>
      <c r="C5571" s="7">
        <f ca="1">IFERROR(__xludf.DUMMYFUNCTION("""COMPUTED_VALUE"""),1)</f>
        <v>1</v>
      </c>
      <c r="D5571" s="8">
        <f ca="1">IFERROR(__xludf.DUMMYFUNCTION("""COMPUTED_VALUE"""),1)</f>
        <v>1</v>
      </c>
      <c r="E5571" s="2">
        <f ca="1">IFERROR(__xludf.DUMMYFUNCTION("""COMPUTED_VALUE"""),1)</f>
        <v>1</v>
      </c>
    </row>
    <row r="5572" spans="1:5" ht="13">
      <c r="A5572" s="8" t="str">
        <f ca="1">IFERROR(__xludf.DUMMYFUNCTION("""COMPUTED_VALUE"""),"Metchem, Kirke")</f>
        <v>Metchem, Kirke</v>
      </c>
      <c r="B5572" s="3">
        <f ca="1">IFERROR(__xludf.DUMMYFUNCTION("""COMPUTED_VALUE"""),1)</f>
        <v>1</v>
      </c>
      <c r="C5572" s="7">
        <f ca="1">IFERROR(__xludf.DUMMYFUNCTION("""COMPUTED_VALUE"""),1)</f>
        <v>1</v>
      </c>
      <c r="D5572" s="8">
        <f ca="1">IFERROR(__xludf.DUMMYFUNCTION("""COMPUTED_VALUE"""),1)</f>
        <v>1</v>
      </c>
      <c r="E5572" s="2">
        <f ca="1">IFERROR(__xludf.DUMMYFUNCTION("""COMPUTED_VALUE"""),1)</f>
        <v>1</v>
      </c>
    </row>
    <row r="5573" spans="1:5" ht="13">
      <c r="A5573" s="2" t="str">
        <f ca="1">IFERROR(__xludf.DUMMYFUNCTION("""COMPUTED_VALUE"""),"Metgzer, David")</f>
        <v>Metgzer, David</v>
      </c>
      <c r="B5573" s="3">
        <f ca="1">IFERROR(__xludf.DUMMYFUNCTION("""COMPUTED_VALUE"""),1)</f>
        <v>1</v>
      </c>
      <c r="C5573" s="7">
        <f ca="1">IFERROR(__xludf.DUMMYFUNCTION("""COMPUTED_VALUE"""),1)</f>
        <v>1</v>
      </c>
      <c r="D5573" s="8">
        <f ca="1">IFERROR(__xludf.DUMMYFUNCTION("""COMPUTED_VALUE"""),1)</f>
        <v>1</v>
      </c>
      <c r="E5573" s="2">
        <f ca="1">IFERROR(__xludf.DUMMYFUNCTION("""COMPUTED_VALUE"""),1)</f>
        <v>1</v>
      </c>
    </row>
    <row r="5574" spans="1:5" ht="13">
      <c r="A5574" s="2" t="str">
        <f ca="1">IFERROR(__xludf.DUMMYFUNCTION("""COMPUTED_VALUE"""),"Metheny, Pat")</f>
        <v>Metheny, Pat</v>
      </c>
      <c r="B5574" s="3">
        <f ca="1">IFERROR(__xludf.DUMMYFUNCTION("""COMPUTED_VALUE"""),1)</f>
        <v>1</v>
      </c>
      <c r="C5574" s="7">
        <f ca="1">IFERROR(__xludf.DUMMYFUNCTION("""COMPUTED_VALUE"""),1)</f>
        <v>1</v>
      </c>
      <c r="D5574" s="8">
        <f ca="1">IFERROR(__xludf.DUMMYFUNCTION("""COMPUTED_VALUE"""),1)</f>
        <v>1</v>
      </c>
      <c r="E5574" s="2">
        <f ca="1">IFERROR(__xludf.DUMMYFUNCTION("""COMPUTED_VALUE"""),1)</f>
        <v>1</v>
      </c>
    </row>
    <row r="5575" spans="1:5" ht="13">
      <c r="A5575" s="2" t="str">
        <f ca="1">IFERROR(__xludf.DUMMYFUNCTION("""COMPUTED_VALUE"""),"Mettens, David Clay")</f>
        <v>Mettens, David Clay</v>
      </c>
      <c r="B5575" s="3">
        <f ca="1">IFERROR(__xludf.DUMMYFUNCTION("""COMPUTED_VALUE"""),1)</f>
        <v>1</v>
      </c>
      <c r="C5575" s="7">
        <f ca="1">IFERROR(__xludf.DUMMYFUNCTION("""COMPUTED_VALUE"""),1)</f>
        <v>1</v>
      </c>
      <c r="D5575" s="8">
        <f ca="1">IFERROR(__xludf.DUMMYFUNCTION("""COMPUTED_VALUE"""),1)</f>
        <v>1</v>
      </c>
      <c r="E5575" s="2">
        <f ca="1">IFERROR(__xludf.DUMMYFUNCTION("""COMPUTED_VALUE"""),1)</f>
        <v>1</v>
      </c>
    </row>
    <row r="5576" spans="1:5" ht="13">
      <c r="A5576" s="2" t="str">
        <f ca="1">IFERROR(__xludf.DUMMYFUNCTION("""COMPUTED_VALUE"""),"Meulemans, Arthur")</f>
        <v>Meulemans, Arthur</v>
      </c>
      <c r="B5576" s="3">
        <f ca="1">IFERROR(__xludf.DUMMYFUNCTION("""COMPUTED_VALUE"""),1)</f>
        <v>1</v>
      </c>
      <c r="C5576" s="7">
        <f ca="1">IFERROR(__xludf.DUMMYFUNCTION("""COMPUTED_VALUE"""),1)</f>
        <v>1</v>
      </c>
      <c r="D5576" s="8">
        <f ca="1">IFERROR(__xludf.DUMMYFUNCTION("""COMPUTED_VALUE"""),5)</f>
        <v>5</v>
      </c>
      <c r="E5576" s="2">
        <f ca="1">IFERROR(__xludf.DUMMYFUNCTION("""COMPUTED_VALUE"""),2)</f>
        <v>2</v>
      </c>
    </row>
    <row r="5577" spans="1:5" ht="13">
      <c r="A5577" s="2" t="str">
        <f ca="1">IFERROR(__xludf.DUMMYFUNCTION("""COMPUTED_VALUE"""),"Mey, Thierry De")</f>
        <v>Mey, Thierry De</v>
      </c>
      <c r="B5577" s="3">
        <f ca="1">IFERROR(__xludf.DUMMYFUNCTION("""COMPUTED_VALUE"""),1)</f>
        <v>1</v>
      </c>
      <c r="C5577" s="7">
        <f ca="1">IFERROR(__xludf.DUMMYFUNCTION("""COMPUTED_VALUE"""),1)</f>
        <v>1</v>
      </c>
      <c r="D5577" s="8">
        <f ca="1">IFERROR(__xludf.DUMMYFUNCTION("""COMPUTED_VALUE"""),1)</f>
        <v>1</v>
      </c>
      <c r="E5577" s="2">
        <f ca="1">IFERROR(__xludf.DUMMYFUNCTION("""COMPUTED_VALUE"""),1)</f>
        <v>1</v>
      </c>
    </row>
    <row r="5578" spans="1:5" ht="13">
      <c r="A5578" s="2" t="str">
        <f ca="1">IFERROR(__xludf.DUMMYFUNCTION("""COMPUTED_VALUE"""),"Meyer, Edgar")</f>
        <v>Meyer, Edgar</v>
      </c>
      <c r="B5578" s="3">
        <f ca="1">IFERROR(__xludf.DUMMYFUNCTION("""COMPUTED_VALUE"""),1)</f>
        <v>1</v>
      </c>
      <c r="C5578" s="7">
        <f ca="1">IFERROR(__xludf.DUMMYFUNCTION("""COMPUTED_VALUE"""),1)</f>
        <v>1</v>
      </c>
      <c r="D5578" s="8">
        <f ca="1">IFERROR(__xludf.DUMMYFUNCTION("""COMPUTED_VALUE"""),1)</f>
        <v>1</v>
      </c>
      <c r="E5578" s="2">
        <f ca="1">IFERROR(__xludf.DUMMYFUNCTION("""COMPUTED_VALUE"""),1)</f>
        <v>1</v>
      </c>
    </row>
    <row r="5579" spans="1:5" ht="13">
      <c r="A5579" s="2" t="str">
        <f ca="1">IFERROR(__xludf.DUMMYFUNCTION("""COMPUTED_VALUE"""),"Meyer, George")</f>
        <v>Meyer, George</v>
      </c>
      <c r="B5579" s="3">
        <f ca="1">IFERROR(__xludf.DUMMYFUNCTION("""COMPUTED_VALUE"""),1)</f>
        <v>1</v>
      </c>
      <c r="C5579" s="7">
        <f ca="1">IFERROR(__xludf.DUMMYFUNCTION("""COMPUTED_VALUE"""),1)</f>
        <v>1</v>
      </c>
      <c r="D5579" s="8">
        <f ca="1">IFERROR(__xludf.DUMMYFUNCTION("""COMPUTED_VALUE"""),5)</f>
        <v>5</v>
      </c>
      <c r="E5579" s="2">
        <f ca="1">IFERROR(__xludf.DUMMYFUNCTION("""COMPUTED_VALUE"""),2)</f>
        <v>2</v>
      </c>
    </row>
    <row r="5580" spans="1:5" ht="13">
      <c r="A5580" s="2" t="str">
        <f ca="1">IFERROR(__xludf.DUMMYFUNCTION("""COMPUTED_VALUE"""),"Meyer, Joseph / Ruby, Herman")</f>
        <v>Meyer, Joseph / Ruby, Herman</v>
      </c>
      <c r="B5580" s="2">
        <f ca="1">IFERROR(__xludf.DUMMYFUNCTION("""COMPUTED_VALUE"""),1)</f>
        <v>1</v>
      </c>
      <c r="C5580" s="7">
        <f ca="1">IFERROR(__xludf.DUMMYFUNCTION("""COMPUTED_VALUE"""),1)</f>
        <v>1</v>
      </c>
      <c r="D5580" s="8">
        <f ca="1">IFERROR(__xludf.DUMMYFUNCTION("""COMPUTED_VALUE"""),5)</f>
        <v>5</v>
      </c>
      <c r="E5580" s="2">
        <f ca="1">IFERROR(__xludf.DUMMYFUNCTION("""COMPUTED_VALUE"""),2)</f>
        <v>2</v>
      </c>
    </row>
    <row r="5581" spans="1:5" ht="13">
      <c r="A5581" s="2" t="str">
        <f ca="1">IFERROR(__xludf.DUMMYFUNCTION("""COMPUTED_VALUE"""),"Meyer, Krzysztof")</f>
        <v>Meyer, Krzysztof</v>
      </c>
      <c r="B5581" s="3">
        <f ca="1">IFERROR(__xludf.DUMMYFUNCTION("""COMPUTED_VALUE"""),1)</f>
        <v>1</v>
      </c>
      <c r="C5581" s="7">
        <f ca="1">IFERROR(__xludf.DUMMYFUNCTION("""COMPUTED_VALUE"""),1)</f>
        <v>1</v>
      </c>
      <c r="D5581" s="8">
        <f ca="1">IFERROR(__xludf.DUMMYFUNCTION("""COMPUTED_VALUE"""),1)</f>
        <v>1</v>
      </c>
      <c r="E5581" s="2">
        <f ca="1">IFERROR(__xludf.DUMMYFUNCTION("""COMPUTED_VALUE"""),1)</f>
        <v>1</v>
      </c>
    </row>
    <row r="5582" spans="1:5" ht="13">
      <c r="A5582" s="2" t="str">
        <f ca="1">IFERROR(__xludf.DUMMYFUNCTION("""COMPUTED_VALUE"""),"Meyer, Richard")</f>
        <v>Meyer, Richard</v>
      </c>
      <c r="B5582" s="3">
        <f ca="1">IFERROR(__xludf.DUMMYFUNCTION("""COMPUTED_VALUE"""),1)</f>
        <v>1</v>
      </c>
      <c r="C5582" s="7">
        <f ca="1">IFERROR(__xludf.DUMMYFUNCTION("""COMPUTED_VALUE"""),1)</f>
        <v>1</v>
      </c>
      <c r="D5582" s="8">
        <f ca="1">IFERROR(__xludf.DUMMYFUNCTION("""COMPUTED_VALUE"""),1)</f>
        <v>1</v>
      </c>
      <c r="E5582" s="2">
        <f ca="1">IFERROR(__xludf.DUMMYFUNCTION("""COMPUTED_VALUE"""),1)</f>
        <v>1</v>
      </c>
    </row>
    <row r="5583" spans="1:5" ht="13">
      <c r="A5583" s="2" t="str">
        <f ca="1">IFERROR(__xludf.DUMMYFUNCTION("""COMPUTED_VALUE"""),"Meyer, Stephen")</f>
        <v>Meyer, Stephen</v>
      </c>
      <c r="B5583" s="3">
        <f ca="1">IFERROR(__xludf.DUMMYFUNCTION("""COMPUTED_VALUE"""),1)</f>
        <v>1</v>
      </c>
      <c r="C5583" s="7">
        <f ca="1">IFERROR(__xludf.DUMMYFUNCTION("""COMPUTED_VALUE"""),1)</f>
        <v>1</v>
      </c>
      <c r="D5583" s="8">
        <f ca="1">IFERROR(__xludf.DUMMYFUNCTION("""COMPUTED_VALUE"""),1)</f>
        <v>1</v>
      </c>
      <c r="E5583" s="2">
        <f ca="1">IFERROR(__xludf.DUMMYFUNCTION("""COMPUTED_VALUE"""),1)</f>
        <v>1</v>
      </c>
    </row>
    <row r="5584" spans="1:5" ht="13">
      <c r="A5584" s="2" t="str">
        <f ca="1">IFERROR(__xludf.DUMMYFUNCTION("""COMPUTED_VALUE"""),"Meyerbeer, Giacomo")</f>
        <v>Meyerbeer, Giacomo</v>
      </c>
      <c r="B5584" s="3">
        <f ca="1">IFERROR(__xludf.DUMMYFUNCTION("""COMPUTED_VALUE"""),1)</f>
        <v>1</v>
      </c>
      <c r="C5584" s="7">
        <f ca="1">IFERROR(__xludf.DUMMYFUNCTION("""COMPUTED_VALUE"""),1)</f>
        <v>1</v>
      </c>
      <c r="D5584" s="8">
        <f ca="1">IFERROR(__xludf.DUMMYFUNCTION("""COMPUTED_VALUE"""),5)</f>
        <v>5</v>
      </c>
      <c r="E5584" s="2">
        <f ca="1">IFERROR(__xludf.DUMMYFUNCTION("""COMPUTED_VALUE"""),2)</f>
        <v>2</v>
      </c>
    </row>
    <row r="5585" spans="1:5" ht="13">
      <c r="A5585" s="2" t="str">
        <f ca="1">IFERROR(__xludf.DUMMYFUNCTION("""COMPUTED_VALUE"""),"Meyerowitz, Jan")</f>
        <v>Meyerowitz, Jan</v>
      </c>
      <c r="B5585" s="3">
        <f ca="1">IFERROR(__xludf.DUMMYFUNCTION("""COMPUTED_VALUE"""),1)</f>
        <v>1</v>
      </c>
      <c r="C5585" s="7">
        <f ca="1">IFERROR(__xludf.DUMMYFUNCTION("""COMPUTED_VALUE"""),1)</f>
        <v>1</v>
      </c>
      <c r="D5585" s="8">
        <f ca="1">IFERROR(__xludf.DUMMYFUNCTION("""COMPUTED_VALUE"""),5)</f>
        <v>5</v>
      </c>
      <c r="E5585" s="2">
        <f ca="1">IFERROR(__xludf.DUMMYFUNCTION("""COMPUTED_VALUE"""),2)</f>
        <v>2</v>
      </c>
    </row>
    <row r="5586" spans="1:5" ht="13">
      <c r="A5586" s="2" t="str">
        <f ca="1">IFERROR(__xludf.DUMMYFUNCTION("""COMPUTED_VALUE"""),"Meyn, Till")</f>
        <v>Meyn, Till</v>
      </c>
      <c r="B5586" s="3">
        <f ca="1">IFERROR(__xludf.DUMMYFUNCTION("""COMPUTED_VALUE"""),1)</f>
        <v>1</v>
      </c>
      <c r="C5586" s="7">
        <f ca="1">IFERROR(__xludf.DUMMYFUNCTION("""COMPUTED_VALUE"""),1)</f>
        <v>1</v>
      </c>
      <c r="D5586" s="8">
        <f ca="1">IFERROR(__xludf.DUMMYFUNCTION("""COMPUTED_VALUE"""),1)</f>
        <v>1</v>
      </c>
      <c r="E5586" s="2">
        <f ca="1">IFERROR(__xludf.DUMMYFUNCTION("""COMPUTED_VALUE"""),1)</f>
        <v>1</v>
      </c>
    </row>
    <row r="5587" spans="1:5" ht="13">
      <c r="A5587" s="2" t="str">
        <f ca="1">IFERROR(__xludf.DUMMYFUNCTION("""COMPUTED_VALUE"""),"Meyn, Till MacIvor")</f>
        <v>Meyn, Till MacIvor</v>
      </c>
      <c r="B5587" s="3">
        <f ca="1">IFERROR(__xludf.DUMMYFUNCTION("""COMPUTED_VALUE"""),1)</f>
        <v>1</v>
      </c>
      <c r="C5587" s="7">
        <f ca="1">IFERROR(__xludf.DUMMYFUNCTION("""COMPUTED_VALUE"""),1)</f>
        <v>1</v>
      </c>
      <c r="D5587" s="8">
        <f ca="1">IFERROR(__xludf.DUMMYFUNCTION("""COMPUTED_VALUE"""),1)</f>
        <v>1</v>
      </c>
      <c r="E5587" s="2">
        <f ca="1">IFERROR(__xludf.DUMMYFUNCTION("""COMPUTED_VALUE"""),1)</f>
        <v>1</v>
      </c>
    </row>
    <row r="5588" spans="1:5" ht="13">
      <c r="A5588" s="2" t="str">
        <f ca="1">IFERROR(__xludf.DUMMYFUNCTION("""COMPUTED_VALUE"""),"Meyrelles, Miguel C.")</f>
        <v>Meyrelles, Miguel C.</v>
      </c>
      <c r="B5588" s="3">
        <f ca="1">IFERROR(__xludf.DUMMYFUNCTION("""COMPUTED_VALUE"""),1)</f>
        <v>1</v>
      </c>
      <c r="C5588" s="7">
        <f ca="1">IFERROR(__xludf.DUMMYFUNCTION("""COMPUTED_VALUE"""),1)</f>
        <v>1</v>
      </c>
      <c r="D5588" s="8">
        <f ca="1">IFERROR(__xludf.DUMMYFUNCTION("""COMPUTED_VALUE"""),5)</f>
        <v>5</v>
      </c>
      <c r="E5588" s="2">
        <f ca="1">IFERROR(__xludf.DUMMYFUNCTION("""COMPUTED_VALUE"""),2)</f>
        <v>2</v>
      </c>
    </row>
    <row r="5589" spans="1:5" ht="13">
      <c r="A5589" s="2" t="str">
        <f ca="1">IFERROR(__xludf.DUMMYFUNCTION("""COMPUTED_VALUE"""),"Meyrelles, Miguel C. / Katz, S.")</f>
        <v>Meyrelles, Miguel C. / Katz, S.</v>
      </c>
      <c r="B5589" s="3">
        <f ca="1">IFERROR(__xludf.DUMMYFUNCTION("""COMPUTED_VALUE"""),1)</f>
        <v>1</v>
      </c>
      <c r="C5589" s="7">
        <f ca="1">IFERROR(__xludf.DUMMYFUNCTION("""COMPUTED_VALUE"""),1)</f>
        <v>1</v>
      </c>
      <c r="D5589" s="8">
        <f ca="1">IFERROR(__xludf.DUMMYFUNCTION("""COMPUTED_VALUE"""),5)</f>
        <v>5</v>
      </c>
      <c r="E5589" s="2">
        <f ca="1">IFERROR(__xludf.DUMMYFUNCTION("""COMPUTED_VALUE"""),2)</f>
        <v>2</v>
      </c>
    </row>
    <row r="5590" spans="1:5" ht="13">
      <c r="A5590" s="2" t="str">
        <f ca="1">IFERROR(__xludf.DUMMYFUNCTION("""COMPUTED_VALUE"""),"Mezzogori, Giovanni")</f>
        <v>Mezzogori, Giovanni</v>
      </c>
      <c r="B5590" s="3">
        <f ca="1">IFERROR(__xludf.DUMMYFUNCTION("""COMPUTED_VALUE"""),1)</f>
        <v>1</v>
      </c>
      <c r="C5590" s="7">
        <f ca="1">IFERROR(__xludf.DUMMYFUNCTION("""COMPUTED_VALUE"""),1)</f>
        <v>1</v>
      </c>
      <c r="D5590" s="8">
        <f ca="1">IFERROR(__xludf.DUMMYFUNCTION("""COMPUTED_VALUE"""),5)</f>
        <v>5</v>
      </c>
      <c r="E5590" s="2">
        <f ca="1">IFERROR(__xludf.DUMMYFUNCTION("""COMPUTED_VALUE"""),2)</f>
        <v>2</v>
      </c>
    </row>
    <row r="5591" spans="1:5" ht="13">
      <c r="A5591" s="2" t="str">
        <f ca="1">IFERROR(__xludf.DUMMYFUNCTION("""COMPUTED_VALUE"""),"Mezzogorzi, Giovanni")</f>
        <v>Mezzogorzi, Giovanni</v>
      </c>
      <c r="B5591" s="3">
        <f ca="1">IFERROR(__xludf.DUMMYFUNCTION("""COMPUTED_VALUE"""),1)</f>
        <v>1</v>
      </c>
      <c r="C5591" s="7">
        <f ca="1">IFERROR(__xludf.DUMMYFUNCTION("""COMPUTED_VALUE"""),1)</f>
        <v>1</v>
      </c>
      <c r="D5591" s="8">
        <f ca="1">IFERROR(__xludf.DUMMYFUNCTION("""COMPUTED_VALUE"""),5)</f>
        <v>5</v>
      </c>
      <c r="E5591" s="2">
        <f ca="1">IFERROR(__xludf.DUMMYFUNCTION("""COMPUTED_VALUE"""),2)</f>
        <v>2</v>
      </c>
    </row>
    <row r="5592" spans="1:5" ht="13">
      <c r="A5592" s="2" t="str">
        <f ca="1">IFERROR(__xludf.DUMMYFUNCTION("""COMPUTED_VALUE"""),"Miaskowsky, Nikolai")</f>
        <v>Miaskowsky, Nikolai</v>
      </c>
      <c r="B5592" s="3">
        <f ca="1">IFERROR(__xludf.DUMMYFUNCTION("""COMPUTED_VALUE"""),1)</f>
        <v>1</v>
      </c>
      <c r="C5592" s="7">
        <f ca="1">IFERROR(__xludf.DUMMYFUNCTION("""COMPUTED_VALUE"""),1)</f>
        <v>1</v>
      </c>
      <c r="D5592" s="8">
        <f ca="1">IFERROR(__xludf.DUMMYFUNCTION("""COMPUTED_VALUE"""),5)</f>
        <v>5</v>
      </c>
      <c r="E5592" s="2">
        <f ca="1">IFERROR(__xludf.DUMMYFUNCTION("""COMPUTED_VALUE"""),2)</f>
        <v>2</v>
      </c>
    </row>
    <row r="5593" spans="1:5" ht="13">
      <c r="A5593" s="2" t="str">
        <f ca="1">IFERROR(__xludf.DUMMYFUNCTION("""COMPUTED_VALUE"""),"Michael Neaum")</f>
        <v>Michael Neaum</v>
      </c>
      <c r="B5593" s="3">
        <f ca="1">IFERROR(__xludf.DUMMYFUNCTION("""COMPUTED_VALUE"""),1)</f>
        <v>1</v>
      </c>
      <c r="C5593" s="7">
        <f ca="1">IFERROR(__xludf.DUMMYFUNCTION("""COMPUTED_VALUE"""),1)</f>
        <v>1</v>
      </c>
      <c r="D5593" s="8">
        <f ca="1">IFERROR(__xludf.DUMMYFUNCTION("""COMPUTED_VALUE"""),1)</f>
        <v>1</v>
      </c>
      <c r="E5593" s="2">
        <f ca="1">IFERROR(__xludf.DUMMYFUNCTION("""COMPUTED_VALUE"""),1)</f>
        <v>1</v>
      </c>
    </row>
    <row r="5594" spans="1:5" ht="13">
      <c r="A5594" s="8" t="str">
        <f ca="1">IFERROR(__xludf.DUMMYFUNCTION("""COMPUTED_VALUE"""),"Michaels, Arthur J.")</f>
        <v>Michaels, Arthur J.</v>
      </c>
      <c r="B5594" s="3">
        <f ca="1">IFERROR(__xludf.DUMMYFUNCTION("""COMPUTED_VALUE"""),1)</f>
        <v>1</v>
      </c>
      <c r="C5594" s="7">
        <f ca="1">IFERROR(__xludf.DUMMYFUNCTION("""COMPUTED_VALUE"""),1)</f>
        <v>1</v>
      </c>
      <c r="D5594" s="8">
        <f ca="1">IFERROR(__xludf.DUMMYFUNCTION("""COMPUTED_VALUE"""),1)</f>
        <v>1</v>
      </c>
      <c r="E5594" s="2">
        <f ca="1">IFERROR(__xludf.DUMMYFUNCTION("""COMPUTED_VALUE"""),1)</f>
        <v>1</v>
      </c>
    </row>
    <row r="5595" spans="1:5" ht="13">
      <c r="A5595" s="8" t="str">
        <f ca="1">IFERROR(__xludf.DUMMYFUNCTION("""COMPUTED_VALUE"""),"Michaels, Matthew")</f>
        <v>Michaels, Matthew</v>
      </c>
      <c r="B5595" s="3">
        <f ca="1">IFERROR(__xludf.DUMMYFUNCTION("""COMPUTED_VALUE"""),1)</f>
        <v>1</v>
      </c>
      <c r="C5595" s="7">
        <f ca="1">IFERROR(__xludf.DUMMYFUNCTION("""COMPUTED_VALUE"""),1)</f>
        <v>1</v>
      </c>
      <c r="D5595" s="8">
        <f ca="1">IFERROR(__xludf.DUMMYFUNCTION("""COMPUTED_VALUE"""),1)</f>
        <v>1</v>
      </c>
      <c r="E5595" s="2">
        <f ca="1">IFERROR(__xludf.DUMMYFUNCTION("""COMPUTED_VALUE"""),1)</f>
        <v>1</v>
      </c>
    </row>
    <row r="5596" spans="1:5" ht="13">
      <c r="A5596" s="2" t="str">
        <f ca="1">IFERROR(__xludf.DUMMYFUNCTION("""COMPUTED_VALUE"""),"Michaels, Russ")</f>
        <v>Michaels, Russ</v>
      </c>
      <c r="B5596" s="3">
        <f ca="1">IFERROR(__xludf.DUMMYFUNCTION("""COMPUTED_VALUE"""),1)</f>
        <v>1</v>
      </c>
      <c r="C5596" s="7">
        <f ca="1">IFERROR(__xludf.DUMMYFUNCTION("""COMPUTED_VALUE"""),1)</f>
        <v>1</v>
      </c>
      <c r="D5596" s="8">
        <f ca="1">IFERROR(__xludf.DUMMYFUNCTION("""COMPUTED_VALUE"""),1)</f>
        <v>1</v>
      </c>
      <c r="E5596" s="2">
        <f ca="1">IFERROR(__xludf.DUMMYFUNCTION("""COMPUTED_VALUE"""),1)</f>
        <v>1</v>
      </c>
    </row>
    <row r="5597" spans="1:5" ht="13">
      <c r="A5597" s="2" t="str">
        <f ca="1">IFERROR(__xludf.DUMMYFUNCTION("""COMPUTED_VALUE"""),"Michel, Grant")</f>
        <v>Michel, Grant</v>
      </c>
      <c r="B5597" s="3">
        <f ca="1">IFERROR(__xludf.DUMMYFUNCTION("""COMPUTED_VALUE"""),1)</f>
        <v>1</v>
      </c>
      <c r="C5597" s="7">
        <f ca="1">IFERROR(__xludf.DUMMYFUNCTION("""COMPUTED_VALUE"""),1)</f>
        <v>1</v>
      </c>
      <c r="D5597" s="8">
        <f ca="1">IFERROR(__xludf.DUMMYFUNCTION("""COMPUTED_VALUE"""),1)</f>
        <v>1</v>
      </c>
      <c r="E5597" s="2">
        <f ca="1">IFERROR(__xludf.DUMMYFUNCTION("""COMPUTED_VALUE"""),1)</f>
        <v>1</v>
      </c>
    </row>
    <row r="5598" spans="1:5" ht="13">
      <c r="A5598" s="8" t="str">
        <f ca="1">IFERROR(__xludf.DUMMYFUNCTION("""COMPUTED_VALUE"""),"Michel, Jean-François")</f>
        <v>Michel, Jean-François</v>
      </c>
      <c r="B5598" s="3">
        <f ca="1">IFERROR(__xludf.DUMMYFUNCTION("""COMPUTED_VALUE"""),1)</f>
        <v>1</v>
      </c>
      <c r="C5598" s="7">
        <f ca="1">IFERROR(__xludf.DUMMYFUNCTION("""COMPUTED_VALUE"""),1)</f>
        <v>1</v>
      </c>
      <c r="D5598" s="8">
        <f ca="1">IFERROR(__xludf.DUMMYFUNCTION("""COMPUTED_VALUE"""),1)</f>
        <v>1</v>
      </c>
      <c r="E5598" s="2">
        <f ca="1">IFERROR(__xludf.DUMMYFUNCTION("""COMPUTED_VALUE"""),1)</f>
        <v>1</v>
      </c>
    </row>
    <row r="5599" spans="1:5" ht="13">
      <c r="A5599" s="2" t="str">
        <f ca="1">IFERROR(__xludf.DUMMYFUNCTION("""COMPUTED_VALUE"""),"Michel, Nathan")</f>
        <v>Michel, Nathan</v>
      </c>
      <c r="B5599" s="3">
        <f ca="1">IFERROR(__xludf.DUMMYFUNCTION("""COMPUTED_VALUE"""),1)</f>
        <v>1</v>
      </c>
      <c r="C5599" s="7">
        <f ca="1">IFERROR(__xludf.DUMMYFUNCTION("""COMPUTED_VALUE"""),1)</f>
        <v>1</v>
      </c>
      <c r="D5599" s="8">
        <f ca="1">IFERROR(__xludf.DUMMYFUNCTION("""COMPUTED_VALUE"""),1)</f>
        <v>1</v>
      </c>
      <c r="E5599" s="2">
        <f ca="1">IFERROR(__xludf.DUMMYFUNCTION("""COMPUTED_VALUE"""),1)</f>
        <v>1</v>
      </c>
    </row>
    <row r="5600" spans="1:5" ht="13">
      <c r="A5600" s="8" t="str">
        <f ca="1">IFERROR(__xludf.DUMMYFUNCTION("""COMPUTED_VALUE"""),"Michniewicz, John")</f>
        <v>Michniewicz, John</v>
      </c>
      <c r="B5600" s="3">
        <f ca="1">IFERROR(__xludf.DUMMYFUNCTION("""COMPUTED_VALUE"""),1)</f>
        <v>1</v>
      </c>
      <c r="C5600" s="7">
        <f ca="1">IFERROR(__xludf.DUMMYFUNCTION("""COMPUTED_VALUE"""),1)</f>
        <v>1</v>
      </c>
      <c r="D5600" s="8">
        <f ca="1">IFERROR(__xludf.DUMMYFUNCTION("""COMPUTED_VALUE"""),1)</f>
        <v>1</v>
      </c>
      <c r="E5600" s="2">
        <f ca="1">IFERROR(__xludf.DUMMYFUNCTION("""COMPUTED_VALUE"""),1)</f>
        <v>1</v>
      </c>
    </row>
    <row r="5601" spans="1:5" ht="13">
      <c r="A5601" s="8" t="str">
        <f ca="1">IFERROR(__xludf.DUMMYFUNCTION("""COMPUTED_VALUE"""),"Middagh, Ryan")</f>
        <v>Middagh, Ryan</v>
      </c>
      <c r="B5601" s="3">
        <f ca="1">IFERROR(__xludf.DUMMYFUNCTION("""COMPUTED_VALUE"""),1)</f>
        <v>1</v>
      </c>
      <c r="C5601" s="7">
        <f ca="1">IFERROR(__xludf.DUMMYFUNCTION("""COMPUTED_VALUE"""),1)</f>
        <v>1</v>
      </c>
      <c r="D5601" s="8">
        <f ca="1">IFERROR(__xludf.DUMMYFUNCTION("""COMPUTED_VALUE"""),1)</f>
        <v>1</v>
      </c>
      <c r="E5601" s="2">
        <f ca="1">IFERROR(__xludf.DUMMYFUNCTION("""COMPUTED_VALUE"""),1)</f>
        <v>1</v>
      </c>
    </row>
    <row r="5602" spans="1:5" ht="13">
      <c r="A5602" s="2" t="str">
        <f ca="1">IFERROR(__xludf.DUMMYFUNCTION("""COMPUTED_VALUE"""),"Middendorf, J. William")</f>
        <v>Middendorf, J. William</v>
      </c>
      <c r="B5602" s="3">
        <f ca="1">IFERROR(__xludf.DUMMYFUNCTION("""COMPUTED_VALUE"""),1)</f>
        <v>1</v>
      </c>
      <c r="C5602" s="7">
        <f ca="1">IFERROR(__xludf.DUMMYFUNCTION("""COMPUTED_VALUE"""),1)</f>
        <v>1</v>
      </c>
      <c r="D5602" s="8">
        <f ca="1">IFERROR(__xludf.DUMMYFUNCTION("""COMPUTED_VALUE"""),5)</f>
        <v>5</v>
      </c>
      <c r="E5602" s="2">
        <f ca="1">IFERROR(__xludf.DUMMYFUNCTION("""COMPUTED_VALUE"""),2)</f>
        <v>2</v>
      </c>
    </row>
    <row r="5603" spans="1:5" ht="13">
      <c r="A5603" s="2" t="str">
        <f ca="1">IFERROR(__xludf.DUMMYFUNCTION("""COMPUTED_VALUE"""),"Midkiff, Jeff")</f>
        <v>Midkiff, Jeff</v>
      </c>
      <c r="B5603" s="3">
        <f ca="1">IFERROR(__xludf.DUMMYFUNCTION("""COMPUTED_VALUE"""),1)</f>
        <v>1</v>
      </c>
      <c r="C5603" s="7">
        <f ca="1">IFERROR(__xludf.DUMMYFUNCTION("""COMPUTED_VALUE"""),1)</f>
        <v>1</v>
      </c>
      <c r="D5603" s="8">
        <f ca="1">IFERROR(__xludf.DUMMYFUNCTION("""COMPUTED_VALUE"""),1)</f>
        <v>1</v>
      </c>
      <c r="E5603" s="2">
        <f ca="1">IFERROR(__xludf.DUMMYFUNCTION("""COMPUTED_VALUE"""),1)</f>
        <v>1</v>
      </c>
    </row>
    <row r="5604" spans="1:5" ht="13">
      <c r="A5604" s="2" t="str">
        <f ca="1">IFERROR(__xludf.DUMMYFUNCTION("""COMPUTED_VALUE"""),"Miehaus")</f>
        <v>Miehaus</v>
      </c>
      <c r="B5604" s="3">
        <f ca="1">IFERROR(__xludf.DUMMYFUNCTION("""COMPUTED_VALUE"""),1)</f>
        <v>1</v>
      </c>
      <c r="C5604" s="7">
        <f ca="1">IFERROR(__xludf.DUMMYFUNCTION("""COMPUTED_VALUE"""),1)</f>
        <v>1</v>
      </c>
      <c r="D5604" s="8">
        <f ca="1">IFERROR(__xludf.DUMMYFUNCTION("""COMPUTED_VALUE"""),5)</f>
        <v>5</v>
      </c>
      <c r="E5604" s="2">
        <f ca="1">IFERROR(__xludf.DUMMYFUNCTION("""COMPUTED_VALUE"""),2)</f>
        <v>2</v>
      </c>
    </row>
    <row r="5605" spans="1:5" ht="13">
      <c r="A5605" s="2" t="str">
        <f ca="1">IFERROR(__xludf.DUMMYFUNCTION("""COMPUTED_VALUE"""),"Mielotxin")</f>
        <v>Mielotxin</v>
      </c>
      <c r="B5605" s="3">
        <f ca="1">IFERROR(__xludf.DUMMYFUNCTION("""COMPUTED_VALUE"""),1)</f>
        <v>1</v>
      </c>
      <c r="C5605" s="7">
        <f ca="1">IFERROR(__xludf.DUMMYFUNCTION("""COMPUTED_VALUE"""),1)</f>
        <v>1</v>
      </c>
      <c r="D5605" s="8">
        <f ca="1">IFERROR(__xludf.DUMMYFUNCTION("""COMPUTED_VALUE"""),1)</f>
        <v>1</v>
      </c>
      <c r="E5605" s="2">
        <f ca="1">IFERROR(__xludf.DUMMYFUNCTION("""COMPUTED_VALUE"""),1)</f>
        <v>1</v>
      </c>
    </row>
    <row r="5606" spans="1:5" ht="13">
      <c r="A5606" s="2" t="str">
        <f ca="1">IFERROR(__xludf.DUMMYFUNCTION("""COMPUTED_VALUE"""),"Miessler, Cy")</f>
        <v>Miessler, Cy</v>
      </c>
      <c r="B5606" s="2">
        <f ca="1">IFERROR(__xludf.DUMMYFUNCTION("""COMPUTED_VALUE"""),1)</f>
        <v>1</v>
      </c>
      <c r="C5606" s="7">
        <f ca="1">IFERROR(__xludf.DUMMYFUNCTION("""COMPUTED_VALUE"""),1)</f>
        <v>1</v>
      </c>
      <c r="D5606" s="8">
        <f ca="1">IFERROR(__xludf.DUMMYFUNCTION("""COMPUTED_VALUE"""),1)</f>
        <v>1</v>
      </c>
      <c r="E5606" s="2">
        <f ca="1">IFERROR(__xludf.DUMMYFUNCTION("""COMPUTED_VALUE"""),1)</f>
        <v>1</v>
      </c>
    </row>
    <row r="5607" spans="1:5" ht="13">
      <c r="A5607" s="2" t="str">
        <f ca="1">IFERROR(__xludf.DUMMYFUNCTION("""COMPUTED_VALUE"""),"Migó, Marc")</f>
        <v>Migó, Marc</v>
      </c>
      <c r="B5607" s="2">
        <f ca="1">IFERROR(__xludf.DUMMYFUNCTION("""COMPUTED_VALUE"""),1)</f>
        <v>1</v>
      </c>
      <c r="C5607" s="2">
        <f ca="1">IFERROR(__xludf.DUMMYFUNCTION("""COMPUTED_VALUE"""),1)</f>
        <v>1</v>
      </c>
      <c r="D5607" s="8">
        <f ca="1">IFERROR(__xludf.DUMMYFUNCTION("""COMPUTED_VALUE"""),1)</f>
        <v>1</v>
      </c>
      <c r="E5607" s="2">
        <f ca="1">IFERROR(__xludf.DUMMYFUNCTION("""COMPUTED_VALUE"""),1)</f>
        <v>1</v>
      </c>
    </row>
    <row r="5608" spans="1:5" ht="13">
      <c r="A5608" s="2" t="str">
        <f ca="1">IFERROR(__xludf.DUMMYFUNCTION("""COMPUTED_VALUE"""),"Mikulka, Michael")</f>
        <v>Mikulka, Michael</v>
      </c>
      <c r="B5608" s="3">
        <f ca="1">IFERROR(__xludf.DUMMYFUNCTION("""COMPUTED_VALUE"""),1)</f>
        <v>1</v>
      </c>
      <c r="C5608" s="7">
        <f ca="1">IFERROR(__xludf.DUMMYFUNCTION("""COMPUTED_VALUE"""),1)</f>
        <v>1</v>
      </c>
      <c r="D5608" s="8">
        <f ca="1">IFERROR(__xludf.DUMMYFUNCTION("""COMPUTED_VALUE"""),1)</f>
        <v>1</v>
      </c>
      <c r="E5608" s="2">
        <f ca="1">IFERROR(__xludf.DUMMYFUNCTION("""COMPUTED_VALUE"""),1)</f>
        <v>1</v>
      </c>
    </row>
    <row r="5609" spans="1:5" ht="13">
      <c r="A5609" s="2" t="str">
        <f ca="1">IFERROR(__xludf.DUMMYFUNCTION("""COMPUTED_VALUE"""),"Miles, Timothy")</f>
        <v>Miles, Timothy</v>
      </c>
      <c r="B5609" s="3">
        <f ca="1">IFERROR(__xludf.DUMMYFUNCTION("""COMPUTED_VALUE"""),1)</f>
        <v>1</v>
      </c>
      <c r="C5609" s="7">
        <f ca="1">IFERROR(__xludf.DUMMYFUNCTION("""COMPUTED_VALUE"""),1)</f>
        <v>1</v>
      </c>
      <c r="D5609" s="8">
        <f ca="1">IFERROR(__xludf.DUMMYFUNCTION("""COMPUTED_VALUE"""),1)</f>
        <v>1</v>
      </c>
      <c r="E5609" s="2">
        <f ca="1">IFERROR(__xludf.DUMMYFUNCTION("""COMPUTED_VALUE"""),1)</f>
        <v>1</v>
      </c>
    </row>
    <row r="5610" spans="1:5" ht="13">
      <c r="A5610" s="8" t="str">
        <f ca="1">IFERROR(__xludf.DUMMYFUNCTION("""COMPUTED_VALUE"""),"Miley, James")</f>
        <v>Miley, James</v>
      </c>
      <c r="B5610" s="3">
        <f ca="1">IFERROR(__xludf.DUMMYFUNCTION("""COMPUTED_VALUE"""),1)</f>
        <v>1</v>
      </c>
      <c r="C5610" s="7">
        <f ca="1">IFERROR(__xludf.DUMMYFUNCTION("""COMPUTED_VALUE"""),1)</f>
        <v>1</v>
      </c>
      <c r="D5610" s="8">
        <f ca="1">IFERROR(__xludf.DUMMYFUNCTION("""COMPUTED_VALUE"""),1)</f>
        <v>1</v>
      </c>
      <c r="E5610" s="2">
        <f ca="1">IFERROR(__xludf.DUMMYFUNCTION("""COMPUTED_VALUE"""),1)</f>
        <v>1</v>
      </c>
    </row>
    <row r="5611" spans="1:5" ht="13">
      <c r="A5611" s="2" t="str">
        <f ca="1">IFERROR(__xludf.DUMMYFUNCTION("""COMPUTED_VALUE"""),"Milford, Gene")</f>
        <v>Milford, Gene</v>
      </c>
      <c r="B5611" s="3">
        <f ca="1">IFERROR(__xludf.DUMMYFUNCTION("""COMPUTED_VALUE"""),1)</f>
        <v>1</v>
      </c>
      <c r="C5611" s="7">
        <f ca="1">IFERROR(__xludf.DUMMYFUNCTION("""COMPUTED_VALUE"""),1)</f>
        <v>1</v>
      </c>
      <c r="D5611" s="8">
        <f ca="1">IFERROR(__xludf.DUMMYFUNCTION("""COMPUTED_VALUE"""),1)</f>
        <v>1</v>
      </c>
      <c r="E5611" s="2">
        <f ca="1">IFERROR(__xludf.DUMMYFUNCTION("""COMPUTED_VALUE"""),1)</f>
        <v>1</v>
      </c>
    </row>
    <row r="5612" spans="1:5" ht="13">
      <c r="A5612" s="2" t="str">
        <f ca="1">IFERROR(__xludf.DUMMYFUNCTION("""COMPUTED_VALUE"""),"Milhaud, Darius")</f>
        <v>Milhaud, Darius</v>
      </c>
      <c r="B5612" s="3">
        <f ca="1">IFERROR(__xludf.DUMMYFUNCTION("""COMPUTED_VALUE"""),1)</f>
        <v>1</v>
      </c>
      <c r="C5612" s="7">
        <f ca="1">IFERROR(__xludf.DUMMYFUNCTION("""COMPUTED_VALUE"""),1)</f>
        <v>1</v>
      </c>
      <c r="D5612" s="8">
        <f ca="1">IFERROR(__xludf.DUMMYFUNCTION("""COMPUTED_VALUE"""),5)</f>
        <v>5</v>
      </c>
      <c r="E5612" s="2">
        <f ca="1">IFERROR(__xludf.DUMMYFUNCTION("""COMPUTED_VALUE"""),2)</f>
        <v>2</v>
      </c>
    </row>
    <row r="5613" spans="1:5" ht="13">
      <c r="A5613" s="2" t="str">
        <f ca="1">IFERROR(__xludf.DUMMYFUNCTION("""COMPUTED_VALUE"""),"Milkey, Edward")</f>
        <v>Milkey, Edward</v>
      </c>
      <c r="B5613" s="3">
        <f ca="1">IFERROR(__xludf.DUMMYFUNCTION("""COMPUTED_VALUE"""),1)</f>
        <v>1</v>
      </c>
      <c r="C5613" s="7">
        <f ca="1">IFERROR(__xludf.DUMMYFUNCTION("""COMPUTED_VALUE"""),1)</f>
        <v>1</v>
      </c>
      <c r="D5613" s="8">
        <f ca="1">IFERROR(__xludf.DUMMYFUNCTION("""COMPUTED_VALUE"""),5)</f>
        <v>5</v>
      </c>
      <c r="E5613" s="2">
        <f ca="1">IFERROR(__xludf.DUMMYFUNCTION("""COMPUTED_VALUE"""),2)</f>
        <v>2</v>
      </c>
    </row>
    <row r="5614" spans="1:5" ht="13">
      <c r="A5614" s="2" t="str">
        <f ca="1">IFERROR(__xludf.DUMMYFUNCTION("""COMPUTED_VALUE"""),"Millard, Stephen")</f>
        <v>Millard, Stephen</v>
      </c>
      <c r="B5614" s="3">
        <f ca="1">IFERROR(__xludf.DUMMYFUNCTION("""COMPUTED_VALUE"""),1)</f>
        <v>1</v>
      </c>
      <c r="C5614" s="7">
        <f ca="1">IFERROR(__xludf.DUMMYFUNCTION("""COMPUTED_VALUE"""),1)</f>
        <v>1</v>
      </c>
      <c r="D5614" s="8">
        <f ca="1">IFERROR(__xludf.DUMMYFUNCTION("""COMPUTED_VALUE"""),1)</f>
        <v>1</v>
      </c>
      <c r="E5614" s="2">
        <f ca="1">IFERROR(__xludf.DUMMYFUNCTION("""COMPUTED_VALUE"""),1)</f>
        <v>1</v>
      </c>
    </row>
    <row r="5615" spans="1:5" ht="13">
      <c r="A5615" s="2" t="str">
        <f ca="1">IFERROR(__xludf.DUMMYFUNCTION("""COMPUTED_VALUE"""),"Miller (unknown)")</f>
        <v>Miller (unknown)</v>
      </c>
      <c r="B5615" s="3">
        <f ca="1">IFERROR(__xludf.DUMMYFUNCTION("""COMPUTED_VALUE"""),1)</f>
        <v>1</v>
      </c>
      <c r="C5615" s="7">
        <f ca="1">IFERROR(__xludf.DUMMYFUNCTION("""COMPUTED_VALUE"""),1)</f>
        <v>1</v>
      </c>
      <c r="D5615" s="8">
        <f ca="1">IFERROR(__xludf.DUMMYFUNCTION("""COMPUTED_VALUE"""),1)</f>
        <v>1</v>
      </c>
      <c r="E5615" s="2">
        <f ca="1">IFERROR(__xludf.DUMMYFUNCTION("""COMPUTED_VALUE"""),1)</f>
        <v>1</v>
      </c>
    </row>
    <row r="5616" spans="1:5" ht="13">
      <c r="A5616" s="8" t="str">
        <f ca="1">IFERROR(__xludf.DUMMYFUNCTION("""COMPUTED_VALUE"""),"Miller, Aaron David")</f>
        <v>Miller, Aaron David</v>
      </c>
      <c r="B5616" s="3">
        <f ca="1">IFERROR(__xludf.DUMMYFUNCTION("""COMPUTED_VALUE"""),1)</f>
        <v>1</v>
      </c>
      <c r="C5616" s="7">
        <f ca="1">IFERROR(__xludf.DUMMYFUNCTION("""COMPUTED_VALUE"""),1)</f>
        <v>1</v>
      </c>
      <c r="D5616" s="8">
        <f ca="1">IFERROR(__xludf.DUMMYFUNCTION("""COMPUTED_VALUE"""),1)</f>
        <v>1</v>
      </c>
      <c r="E5616" s="2">
        <f ca="1">IFERROR(__xludf.DUMMYFUNCTION("""COMPUTED_VALUE"""),1)</f>
        <v>1</v>
      </c>
    </row>
    <row r="5617" spans="1:5" ht="13">
      <c r="A5617" s="2" t="str">
        <f ca="1">IFERROR(__xludf.DUMMYFUNCTION("""COMPUTED_VALUE"""),"Miller, Alan")</f>
        <v>Miller, Alan</v>
      </c>
      <c r="B5617" s="2">
        <f ca="1">IFERROR(__xludf.DUMMYFUNCTION("""COMPUTED_VALUE"""),1)</f>
        <v>1</v>
      </c>
      <c r="C5617" s="7">
        <f ca="1">IFERROR(__xludf.DUMMYFUNCTION("""COMPUTED_VALUE"""),1)</f>
        <v>1</v>
      </c>
      <c r="D5617" s="8">
        <f ca="1">IFERROR(__xludf.DUMMYFUNCTION("""COMPUTED_VALUE"""),1)</f>
        <v>1</v>
      </c>
      <c r="E5617" s="2">
        <f ca="1">IFERROR(__xludf.DUMMYFUNCTION("""COMPUTED_VALUE"""),1)</f>
        <v>1</v>
      </c>
    </row>
    <row r="5618" spans="1:5" ht="13">
      <c r="A5618" s="2" t="str">
        <f ca="1">IFERROR(__xludf.DUMMYFUNCTION("""COMPUTED_VALUE"""),"Miller, Alexander")</f>
        <v>Miller, Alexander</v>
      </c>
      <c r="B5618" s="3">
        <f ca="1">IFERROR(__xludf.DUMMYFUNCTION("""COMPUTED_VALUE"""),1)</f>
        <v>1</v>
      </c>
      <c r="C5618" s="7">
        <f ca="1">IFERROR(__xludf.DUMMYFUNCTION("""COMPUTED_VALUE"""),1)</f>
        <v>1</v>
      </c>
      <c r="D5618" s="8">
        <f ca="1">IFERROR(__xludf.DUMMYFUNCTION("""COMPUTED_VALUE"""),1)</f>
        <v>1</v>
      </c>
      <c r="E5618" s="2">
        <f ca="1">IFERROR(__xludf.DUMMYFUNCTION("""COMPUTED_VALUE"""),1)</f>
        <v>1</v>
      </c>
    </row>
    <row r="5619" spans="1:5" ht="13">
      <c r="A5619" s="8" t="str">
        <f ca="1">IFERROR(__xludf.DUMMYFUNCTION("""COMPUTED_VALUE"""),"Miller, Alexander Lamont")</f>
        <v>Miller, Alexander Lamont</v>
      </c>
      <c r="B5619" s="3">
        <f ca="1">IFERROR(__xludf.DUMMYFUNCTION("""COMPUTED_VALUE"""),1)</f>
        <v>1</v>
      </c>
      <c r="C5619" s="7">
        <f ca="1">IFERROR(__xludf.DUMMYFUNCTION("""COMPUTED_VALUE"""),1)</f>
        <v>1</v>
      </c>
      <c r="D5619" s="8">
        <f ca="1">IFERROR(__xludf.DUMMYFUNCTION("""COMPUTED_VALUE"""),1)</f>
        <v>1</v>
      </c>
      <c r="E5619" s="2">
        <f ca="1">IFERROR(__xludf.DUMMYFUNCTION("""COMPUTED_VALUE"""),1)</f>
        <v>1</v>
      </c>
    </row>
    <row r="5620" spans="1:5" ht="13">
      <c r="A5620" s="2" t="str">
        <f ca="1">IFERROR(__xludf.DUMMYFUNCTION("""COMPUTED_VALUE"""),"Miller, Andrew")</f>
        <v>Miller, Andrew</v>
      </c>
      <c r="B5620" s="3">
        <f ca="1">IFERROR(__xludf.DUMMYFUNCTION("""COMPUTED_VALUE"""),1)</f>
        <v>1</v>
      </c>
      <c r="C5620" s="7">
        <f ca="1">IFERROR(__xludf.DUMMYFUNCTION("""COMPUTED_VALUE"""),1)</f>
        <v>1</v>
      </c>
      <c r="D5620" s="8">
        <f ca="1">IFERROR(__xludf.DUMMYFUNCTION("""COMPUTED_VALUE"""),5)</f>
        <v>5</v>
      </c>
      <c r="E5620" s="2">
        <f ca="1">IFERROR(__xludf.DUMMYFUNCTION("""COMPUTED_VALUE"""),2)</f>
        <v>2</v>
      </c>
    </row>
    <row r="5621" spans="1:5" ht="13">
      <c r="A5621" s="2" t="str">
        <f ca="1">IFERROR(__xludf.DUMMYFUNCTION("""COMPUTED_VALUE"""),"Miller, Bernie")</f>
        <v>Miller, Bernie</v>
      </c>
      <c r="B5621" s="3">
        <f ca="1">IFERROR(__xludf.DUMMYFUNCTION("""COMPUTED_VALUE"""),1)</f>
        <v>1</v>
      </c>
      <c r="C5621" s="7">
        <f ca="1">IFERROR(__xludf.DUMMYFUNCTION("""COMPUTED_VALUE"""),1)</f>
        <v>1</v>
      </c>
      <c r="D5621" s="8">
        <f ca="1">IFERROR(__xludf.DUMMYFUNCTION("""COMPUTED_VALUE"""),5)</f>
        <v>5</v>
      </c>
      <c r="E5621" s="2">
        <f ca="1">IFERROR(__xludf.DUMMYFUNCTION("""COMPUTED_VALUE"""),2)</f>
        <v>2</v>
      </c>
    </row>
    <row r="5622" spans="1:5" ht="13">
      <c r="A5622" s="2" t="str">
        <f ca="1">IFERROR(__xludf.DUMMYFUNCTION("""COMPUTED_VALUE"""),"Miller, Bruce Edward")</f>
        <v>Miller, Bruce Edward</v>
      </c>
      <c r="B5622" s="3">
        <f ca="1">IFERROR(__xludf.DUMMYFUNCTION("""COMPUTED_VALUE"""),1)</f>
        <v>1</v>
      </c>
      <c r="C5622" s="7">
        <f ca="1">IFERROR(__xludf.DUMMYFUNCTION("""COMPUTED_VALUE"""),1)</f>
        <v>1</v>
      </c>
      <c r="D5622" s="8">
        <f ca="1">IFERROR(__xludf.DUMMYFUNCTION("""COMPUTED_VALUE"""),1)</f>
        <v>1</v>
      </c>
      <c r="E5622" s="2">
        <f ca="1">IFERROR(__xludf.DUMMYFUNCTION("""COMPUTED_VALUE"""),1)</f>
        <v>1</v>
      </c>
    </row>
    <row r="5623" spans="1:5" ht="13">
      <c r="A5623" s="2" t="str">
        <f ca="1">IFERROR(__xludf.DUMMYFUNCTION("""COMPUTED_VALUE"""),"Miller, Charles")</f>
        <v>Miller, Charles</v>
      </c>
      <c r="B5623" s="2">
        <f ca="1">IFERROR(__xludf.DUMMYFUNCTION("""COMPUTED_VALUE"""),1)</f>
        <v>1</v>
      </c>
      <c r="C5623" s="7">
        <f ca="1">IFERROR(__xludf.DUMMYFUNCTION("""COMPUTED_VALUE"""),1)</f>
        <v>1</v>
      </c>
      <c r="D5623" s="8">
        <f ca="1">IFERROR(__xludf.DUMMYFUNCTION("""COMPUTED_VALUE"""),5)</f>
        <v>5</v>
      </c>
      <c r="E5623" s="2">
        <f ca="1">IFERROR(__xludf.DUMMYFUNCTION("""COMPUTED_VALUE"""),2)</f>
        <v>2</v>
      </c>
    </row>
    <row r="5624" spans="1:5" ht="13">
      <c r="A5624" s="2" t="str">
        <f ca="1">IFERROR(__xludf.DUMMYFUNCTION("""COMPUTED_VALUE"""),"Miller, David J.")</f>
        <v>Miller, David J.</v>
      </c>
      <c r="B5624" s="3">
        <f ca="1">IFERROR(__xludf.DUMMYFUNCTION("""COMPUTED_VALUE"""),1)</f>
        <v>1</v>
      </c>
      <c r="C5624" s="7">
        <f ca="1">IFERROR(__xludf.DUMMYFUNCTION("""COMPUTED_VALUE"""),1)</f>
        <v>1</v>
      </c>
      <c r="D5624" s="8">
        <f ca="1">IFERROR(__xludf.DUMMYFUNCTION("""COMPUTED_VALUE"""),1)</f>
        <v>1</v>
      </c>
      <c r="E5624" s="2">
        <f ca="1">IFERROR(__xludf.DUMMYFUNCTION("""COMPUTED_VALUE"""),1)</f>
        <v>1</v>
      </c>
    </row>
    <row r="5625" spans="1:5" ht="13">
      <c r="A5625" s="2" t="str">
        <f ca="1">IFERROR(__xludf.DUMMYFUNCTION("""COMPUTED_VALUE"""),"Miller, Glenn")</f>
        <v>Miller, Glenn</v>
      </c>
      <c r="B5625" s="3">
        <f ca="1">IFERROR(__xludf.DUMMYFUNCTION("""COMPUTED_VALUE"""),1)</f>
        <v>1</v>
      </c>
      <c r="C5625" s="7">
        <f ca="1">IFERROR(__xludf.DUMMYFUNCTION("""COMPUTED_VALUE"""),1)</f>
        <v>1</v>
      </c>
      <c r="D5625" s="8">
        <f ca="1">IFERROR(__xludf.DUMMYFUNCTION("""COMPUTED_VALUE"""),5)</f>
        <v>5</v>
      </c>
      <c r="E5625" s="2">
        <f ca="1">IFERROR(__xludf.DUMMYFUNCTION("""COMPUTED_VALUE"""),2)</f>
        <v>2</v>
      </c>
    </row>
    <row r="5626" spans="1:5" ht="13">
      <c r="A5626" s="2" t="str">
        <f ca="1">IFERROR(__xludf.DUMMYFUNCTION("""COMPUTED_VALUE"""),"Miller, Glenn / Parish, Mitchell")</f>
        <v>Miller, Glenn / Parish, Mitchell</v>
      </c>
      <c r="B5626" s="2">
        <f ca="1">IFERROR(__xludf.DUMMYFUNCTION("""COMPUTED_VALUE"""),1)</f>
        <v>1</v>
      </c>
      <c r="C5626" s="7">
        <f ca="1">IFERROR(__xludf.DUMMYFUNCTION("""COMPUTED_VALUE"""),1)</f>
        <v>1</v>
      </c>
      <c r="D5626" s="8">
        <f ca="1">IFERROR(__xludf.DUMMYFUNCTION("""COMPUTED_VALUE"""),5)</f>
        <v>5</v>
      </c>
      <c r="E5626" s="2">
        <f ca="1">IFERROR(__xludf.DUMMYFUNCTION("""COMPUTED_VALUE"""),2)</f>
        <v>2</v>
      </c>
    </row>
    <row r="5627" spans="1:5" ht="13">
      <c r="A5627" s="2" t="str">
        <f ca="1">IFERROR(__xludf.DUMMYFUNCTION("""COMPUTED_VALUE"""),"Miller, James")</f>
        <v>Miller, James</v>
      </c>
      <c r="B5627" s="3">
        <f ca="1">IFERROR(__xludf.DUMMYFUNCTION("""COMPUTED_VALUE"""),1)</f>
        <v>1</v>
      </c>
      <c r="C5627" s="7">
        <f ca="1">IFERROR(__xludf.DUMMYFUNCTION("""COMPUTED_VALUE"""),1)</f>
        <v>1</v>
      </c>
      <c r="D5627" s="8">
        <f ca="1">IFERROR(__xludf.DUMMYFUNCTION("""COMPUTED_VALUE"""),1)</f>
        <v>1</v>
      </c>
      <c r="E5627" s="2">
        <f ca="1">IFERROR(__xludf.DUMMYFUNCTION("""COMPUTED_VALUE"""),1)</f>
        <v>1</v>
      </c>
    </row>
    <row r="5628" spans="1:5" ht="13">
      <c r="A5628" s="2" t="str">
        <f ca="1">IFERROR(__xludf.DUMMYFUNCTION("""COMPUTED_VALUE"""),"Miller, Jared")</f>
        <v>Miller, Jared</v>
      </c>
      <c r="B5628" s="3">
        <f ca="1">IFERROR(__xludf.DUMMYFUNCTION("""COMPUTED_VALUE"""),1)</f>
        <v>1</v>
      </c>
      <c r="C5628" s="7">
        <f ca="1">IFERROR(__xludf.DUMMYFUNCTION("""COMPUTED_VALUE"""),1)</f>
        <v>1</v>
      </c>
      <c r="D5628" s="8">
        <f ca="1">IFERROR(__xludf.DUMMYFUNCTION("""COMPUTED_VALUE"""),1)</f>
        <v>1</v>
      </c>
      <c r="E5628" s="2">
        <f ca="1">IFERROR(__xludf.DUMMYFUNCTION("""COMPUTED_VALUE"""),1)</f>
        <v>1</v>
      </c>
    </row>
    <row r="5629" spans="1:5" ht="13">
      <c r="A5629" s="8" t="str">
        <f ca="1">IFERROR(__xludf.DUMMYFUNCTION("""COMPUTED_VALUE"""),"Miller, Lewis")</f>
        <v>Miller, Lewis</v>
      </c>
      <c r="B5629" s="3">
        <f ca="1">IFERROR(__xludf.DUMMYFUNCTION("""COMPUTED_VALUE"""),1)</f>
        <v>1</v>
      </c>
      <c r="C5629" s="7">
        <f ca="1">IFERROR(__xludf.DUMMYFUNCTION("""COMPUTED_VALUE"""),1)</f>
        <v>1</v>
      </c>
      <c r="D5629" s="8">
        <f ca="1">IFERROR(__xludf.DUMMYFUNCTION("""COMPUTED_VALUE"""),1)</f>
        <v>1</v>
      </c>
      <c r="E5629" s="2">
        <f ca="1">IFERROR(__xludf.DUMMYFUNCTION("""COMPUTED_VALUE"""),1)</f>
        <v>1</v>
      </c>
    </row>
    <row r="5630" spans="1:5" ht="13">
      <c r="A5630" s="2" t="str">
        <f ca="1">IFERROR(__xludf.DUMMYFUNCTION("""COMPUTED_VALUE"""),"Miller, Lewis M.")</f>
        <v>Miller, Lewis M.</v>
      </c>
      <c r="B5630" s="2">
        <f ca="1">IFERROR(__xludf.DUMMYFUNCTION("""COMPUTED_VALUE"""),1)</f>
        <v>1</v>
      </c>
      <c r="C5630" s="7">
        <f ca="1">IFERROR(__xludf.DUMMYFUNCTION("""COMPUTED_VALUE"""),1)</f>
        <v>1</v>
      </c>
      <c r="D5630" s="8">
        <f ca="1">IFERROR(__xludf.DUMMYFUNCTION("""COMPUTED_VALUE"""),5)</f>
        <v>5</v>
      </c>
      <c r="E5630" s="2">
        <f ca="1">IFERROR(__xludf.DUMMYFUNCTION("""COMPUTED_VALUE"""),2)</f>
        <v>2</v>
      </c>
    </row>
    <row r="5631" spans="1:5" ht="13">
      <c r="A5631" s="2" t="str">
        <f ca="1">IFERROR(__xludf.DUMMYFUNCTION("""COMPUTED_VALUE"""),"Miller, Michael")</f>
        <v>Miller, Michael</v>
      </c>
      <c r="B5631" s="3">
        <f ca="1">IFERROR(__xludf.DUMMYFUNCTION("""COMPUTED_VALUE"""),1)</f>
        <v>1</v>
      </c>
      <c r="C5631" s="7">
        <f ca="1">IFERROR(__xludf.DUMMYFUNCTION("""COMPUTED_VALUE"""),1)</f>
        <v>1</v>
      </c>
      <c r="D5631" s="8">
        <f ca="1">IFERROR(__xludf.DUMMYFUNCTION("""COMPUTED_VALUE"""),1)</f>
        <v>1</v>
      </c>
      <c r="E5631" s="2">
        <f ca="1">IFERROR(__xludf.DUMMYFUNCTION("""COMPUTED_VALUE"""),1)</f>
        <v>1</v>
      </c>
    </row>
    <row r="5632" spans="1:5" ht="13">
      <c r="A5632" s="2" t="str">
        <f ca="1">IFERROR(__xludf.DUMMYFUNCTION("""COMPUTED_VALUE"""),"Miller, Michael J.")</f>
        <v>Miller, Michael J.</v>
      </c>
      <c r="B5632" s="3">
        <f ca="1">IFERROR(__xludf.DUMMYFUNCTION("""COMPUTED_VALUE"""),1)</f>
        <v>1</v>
      </c>
      <c r="C5632" s="7">
        <f ca="1">IFERROR(__xludf.DUMMYFUNCTION("""COMPUTED_VALUE"""),1)</f>
        <v>1</v>
      </c>
      <c r="D5632" s="8">
        <f ca="1">IFERROR(__xludf.DUMMYFUNCTION("""COMPUTED_VALUE"""),1)</f>
        <v>1</v>
      </c>
      <c r="E5632" s="2">
        <f ca="1">IFERROR(__xludf.DUMMYFUNCTION("""COMPUTED_VALUE"""),1)</f>
        <v>1</v>
      </c>
    </row>
    <row r="5633" spans="1:5" ht="13">
      <c r="A5633" s="2" t="str">
        <f ca="1">IFERROR(__xludf.DUMMYFUNCTION("""COMPUTED_VALUE"""),"Miller, Rodney")</f>
        <v>Miller, Rodney</v>
      </c>
      <c r="B5633" s="2">
        <f ca="1">IFERROR(__xludf.DUMMYFUNCTION("""COMPUTED_VALUE"""),1)</f>
        <v>1</v>
      </c>
      <c r="C5633" s="7">
        <f ca="1">IFERROR(__xludf.DUMMYFUNCTION("""COMPUTED_VALUE"""),1)</f>
        <v>1</v>
      </c>
      <c r="D5633" s="8">
        <f ca="1">IFERROR(__xludf.DUMMYFUNCTION("""COMPUTED_VALUE"""),5)</f>
        <v>5</v>
      </c>
      <c r="E5633" s="2">
        <f ca="1">IFERROR(__xludf.DUMMYFUNCTION("""COMPUTED_VALUE"""),2)</f>
        <v>2</v>
      </c>
    </row>
    <row r="5634" spans="1:5" ht="13">
      <c r="A5634" s="8" t="str">
        <f ca="1">IFERROR(__xludf.DUMMYFUNCTION("""COMPUTED_VALUE"""),"Miller, Sy")</f>
        <v>Miller, Sy</v>
      </c>
      <c r="B5634" s="3">
        <f ca="1">IFERROR(__xludf.DUMMYFUNCTION("""COMPUTED_VALUE"""),1)</f>
        <v>1</v>
      </c>
      <c r="C5634" s="7">
        <f ca="1">IFERROR(__xludf.DUMMYFUNCTION("""COMPUTED_VALUE"""),1)</f>
        <v>1</v>
      </c>
      <c r="D5634" s="8">
        <f ca="1">IFERROR(__xludf.DUMMYFUNCTION("""COMPUTED_VALUE"""),5)</f>
        <v>5</v>
      </c>
      <c r="E5634" s="2">
        <f ca="1">IFERROR(__xludf.DUMMYFUNCTION("""COMPUTED_VALUE"""),2)</f>
        <v>2</v>
      </c>
    </row>
    <row r="5635" spans="1:5" ht="13">
      <c r="A5635" s="2" t="str">
        <f ca="1">IFERROR(__xludf.DUMMYFUNCTION("""COMPUTED_VALUE"""),"Milliken, Richard")</f>
        <v>Milliken, Richard</v>
      </c>
      <c r="B5635" s="3">
        <f ca="1">IFERROR(__xludf.DUMMYFUNCTION("""COMPUTED_VALUE"""),1)</f>
        <v>1</v>
      </c>
      <c r="C5635" s="7">
        <f ca="1">IFERROR(__xludf.DUMMYFUNCTION("""COMPUTED_VALUE"""),1)</f>
        <v>1</v>
      </c>
      <c r="D5635" s="8">
        <f ca="1">IFERROR(__xludf.DUMMYFUNCTION("""COMPUTED_VALUE"""),5)</f>
        <v>5</v>
      </c>
      <c r="E5635" s="2">
        <f ca="1">IFERROR(__xludf.DUMMYFUNCTION("""COMPUTED_VALUE"""),2)</f>
        <v>2</v>
      </c>
    </row>
    <row r="5636" spans="1:5" ht="13">
      <c r="A5636" s="8" t="str">
        <f ca="1">IFERROR(__xludf.DUMMYFUNCTION("""COMPUTED_VALUE"""),"Milloecker, Karl")</f>
        <v>Milloecker, Karl</v>
      </c>
      <c r="B5636" s="2">
        <f ca="1">IFERROR(__xludf.DUMMYFUNCTION("""COMPUTED_VALUE"""),1)</f>
        <v>1</v>
      </c>
      <c r="C5636" s="7">
        <f ca="1">IFERROR(__xludf.DUMMYFUNCTION("""COMPUTED_VALUE"""),1)</f>
        <v>1</v>
      </c>
      <c r="D5636" s="8">
        <f ca="1">IFERROR(__xludf.DUMMYFUNCTION("""COMPUTED_VALUE"""),5)</f>
        <v>5</v>
      </c>
      <c r="E5636" s="2">
        <f ca="1">IFERROR(__xludf.DUMMYFUNCTION("""COMPUTED_VALUE"""),2)</f>
        <v>2</v>
      </c>
    </row>
    <row r="5637" spans="1:5" ht="13">
      <c r="A5637" s="2" t="str">
        <f ca="1">IFERROR(__xludf.DUMMYFUNCTION("""COMPUTED_VALUE"""),"Mills, Dave")</f>
        <v>Mills, Dave</v>
      </c>
      <c r="B5637" s="3">
        <f ca="1">IFERROR(__xludf.DUMMYFUNCTION("""COMPUTED_VALUE"""),1)</f>
        <v>1</v>
      </c>
      <c r="C5637" s="7">
        <f ca="1">IFERROR(__xludf.DUMMYFUNCTION("""COMPUTED_VALUE"""),1)</f>
        <v>1</v>
      </c>
      <c r="D5637" s="8">
        <f ca="1">IFERROR(__xludf.DUMMYFUNCTION("""COMPUTED_VALUE"""),1)</f>
        <v>1</v>
      </c>
      <c r="E5637" s="2">
        <f ca="1">IFERROR(__xludf.DUMMYFUNCTION("""COMPUTED_VALUE"""),1)</f>
        <v>1</v>
      </c>
    </row>
    <row r="5638" spans="1:5" ht="13">
      <c r="A5638" s="2" t="str">
        <f ca="1">IFERROR(__xludf.DUMMYFUNCTION("""COMPUTED_VALUE"""),"Mills, Fred")</f>
        <v>Mills, Fred</v>
      </c>
      <c r="B5638" s="3">
        <f ca="1">IFERROR(__xludf.DUMMYFUNCTION("""COMPUTED_VALUE"""),1)</f>
        <v>1</v>
      </c>
      <c r="C5638" s="7">
        <f ca="1">IFERROR(__xludf.DUMMYFUNCTION("""COMPUTED_VALUE"""),1)</f>
        <v>1</v>
      </c>
      <c r="D5638" s="8">
        <f ca="1">IFERROR(__xludf.DUMMYFUNCTION("""COMPUTED_VALUE"""),5)</f>
        <v>5</v>
      </c>
      <c r="E5638" s="2">
        <f ca="1">IFERROR(__xludf.DUMMYFUNCTION("""COMPUTED_VALUE"""),2)</f>
        <v>2</v>
      </c>
    </row>
    <row r="5639" spans="1:5" ht="13">
      <c r="A5639" s="2" t="str">
        <f ca="1">IFERROR(__xludf.DUMMYFUNCTION("""COMPUTED_VALUE"""),"Mills, Fred / Custer, Calvin")</f>
        <v>Mills, Fred / Custer, Calvin</v>
      </c>
      <c r="B5639" s="3">
        <f ca="1">IFERROR(__xludf.DUMMYFUNCTION("""COMPUTED_VALUE"""),1)</f>
        <v>1</v>
      </c>
      <c r="C5639" s="7">
        <f ca="1">IFERROR(__xludf.DUMMYFUNCTION("""COMPUTED_VALUE"""),1)</f>
        <v>1</v>
      </c>
      <c r="D5639" s="8">
        <f ca="1">IFERROR(__xludf.DUMMYFUNCTION("""COMPUTED_VALUE"""),5)</f>
        <v>5</v>
      </c>
      <c r="E5639" s="2">
        <f ca="1">IFERROR(__xludf.DUMMYFUNCTION("""COMPUTED_VALUE"""),2)</f>
        <v>2</v>
      </c>
    </row>
    <row r="5640" spans="1:5" ht="13">
      <c r="A5640" s="2" t="str">
        <f ca="1">IFERROR(__xludf.DUMMYFUNCTION("""COMPUTED_VALUE"""),"Mills, Kerry")</f>
        <v>Mills, Kerry</v>
      </c>
      <c r="B5640" s="2">
        <f ca="1">IFERROR(__xludf.DUMMYFUNCTION("""COMPUTED_VALUE"""),1)</f>
        <v>1</v>
      </c>
      <c r="C5640" s="7">
        <f ca="1">IFERROR(__xludf.DUMMYFUNCTION("""COMPUTED_VALUE"""),1)</f>
        <v>1</v>
      </c>
      <c r="D5640" s="8">
        <f ca="1">IFERROR(__xludf.DUMMYFUNCTION("""COMPUTED_VALUE"""),5)</f>
        <v>5</v>
      </c>
      <c r="E5640" s="2">
        <f ca="1">IFERROR(__xludf.DUMMYFUNCTION("""COMPUTED_VALUE"""),2)</f>
        <v>2</v>
      </c>
    </row>
    <row r="5641" spans="1:5" ht="13">
      <c r="A5641" s="8" t="str">
        <f ca="1">IFERROR(__xludf.DUMMYFUNCTION("""COMPUTED_VALUE"""),"Mills, Michael / McDuffie, Bobby")</f>
        <v>Mills, Michael / McDuffie, Bobby</v>
      </c>
      <c r="B5641" s="3">
        <f ca="1">IFERROR(__xludf.DUMMYFUNCTION("""COMPUTED_VALUE"""),1)</f>
        <v>1</v>
      </c>
      <c r="C5641" s="7">
        <f ca="1">IFERROR(__xludf.DUMMYFUNCTION("""COMPUTED_VALUE"""),1)</f>
        <v>1</v>
      </c>
      <c r="D5641" s="8">
        <f ca="1">IFERROR(__xludf.DUMMYFUNCTION("""COMPUTED_VALUE"""),1)</f>
        <v>1</v>
      </c>
      <c r="E5641" s="2">
        <f ca="1">IFERROR(__xludf.DUMMYFUNCTION("""COMPUTED_VALUE"""),1)</f>
        <v>1</v>
      </c>
    </row>
    <row r="5642" spans="1:5" ht="13">
      <c r="A5642" s="2" t="str">
        <f ca="1">IFERROR(__xludf.DUMMYFUNCTION("""COMPUTED_VALUE"""),"Millsap, Kyle")</f>
        <v>Millsap, Kyle</v>
      </c>
      <c r="B5642" s="3">
        <f ca="1">IFERROR(__xludf.DUMMYFUNCTION("""COMPUTED_VALUE"""),1)</f>
        <v>1</v>
      </c>
      <c r="C5642" s="7">
        <f ca="1">IFERROR(__xludf.DUMMYFUNCTION("""COMPUTED_VALUE"""),1)</f>
        <v>1</v>
      </c>
      <c r="D5642" s="8">
        <f ca="1">IFERROR(__xludf.DUMMYFUNCTION("""COMPUTED_VALUE"""),1)</f>
        <v>1</v>
      </c>
      <c r="E5642" s="2">
        <f ca="1">IFERROR(__xludf.DUMMYFUNCTION("""COMPUTED_VALUE"""),1)</f>
        <v>1</v>
      </c>
    </row>
    <row r="5643" spans="1:5" ht="13">
      <c r="A5643" s="2" t="str">
        <f ca="1">IFERROR(__xludf.DUMMYFUNCTION("""COMPUTED_VALUE"""),"Milner, Barry")</f>
        <v>Milner, Barry</v>
      </c>
      <c r="B5643" s="3">
        <f ca="1">IFERROR(__xludf.DUMMYFUNCTION("""COMPUTED_VALUE"""),1)</f>
        <v>1</v>
      </c>
      <c r="C5643" s="7">
        <f ca="1">IFERROR(__xludf.DUMMYFUNCTION("""COMPUTED_VALUE"""),1)</f>
        <v>1</v>
      </c>
      <c r="D5643" s="8">
        <f ca="1">IFERROR(__xludf.DUMMYFUNCTION("""COMPUTED_VALUE"""),1)</f>
        <v>1</v>
      </c>
      <c r="E5643" s="2">
        <f ca="1">IFERROR(__xludf.DUMMYFUNCTION("""COMPUTED_VALUE"""),1)</f>
        <v>1</v>
      </c>
    </row>
    <row r="5644" spans="1:5" ht="13">
      <c r="A5644" s="2" t="str">
        <f ca="1">IFERROR(__xludf.DUMMYFUNCTION("""COMPUTED_VALUE"""),"Milton, John")</f>
        <v>Milton, John</v>
      </c>
      <c r="B5644" s="2">
        <f ca="1">IFERROR(__xludf.DUMMYFUNCTION("""COMPUTED_VALUE"""),1)</f>
        <v>1</v>
      </c>
      <c r="C5644" s="7">
        <f ca="1">IFERROR(__xludf.DUMMYFUNCTION("""COMPUTED_VALUE"""),1)</f>
        <v>1</v>
      </c>
      <c r="D5644" s="8">
        <f ca="1">IFERROR(__xludf.DUMMYFUNCTION("""COMPUTED_VALUE"""),5)</f>
        <v>5</v>
      </c>
      <c r="E5644" s="2">
        <f ca="1">IFERROR(__xludf.DUMMYFUNCTION("""COMPUTED_VALUE"""),2)</f>
        <v>2</v>
      </c>
    </row>
    <row r="5645" spans="1:5" ht="13">
      <c r="A5645" s="2" t="str">
        <f ca="1">IFERROR(__xludf.DUMMYFUNCTION("""COMPUTED_VALUE"""),"Mindeman, John")</f>
        <v>Mindeman, John</v>
      </c>
      <c r="B5645" s="2">
        <f ca="1">IFERROR(__xludf.DUMMYFUNCTION("""COMPUTED_VALUE"""),1)</f>
        <v>1</v>
      </c>
      <c r="C5645" s="2">
        <f ca="1">IFERROR(__xludf.DUMMYFUNCTION("""COMPUTED_VALUE"""),1)</f>
        <v>1</v>
      </c>
      <c r="D5645" s="8">
        <f ca="1">IFERROR(__xludf.DUMMYFUNCTION("""COMPUTED_VALUE"""),1)</f>
        <v>1</v>
      </c>
      <c r="E5645" s="2">
        <f ca="1">IFERROR(__xludf.DUMMYFUNCTION("""COMPUTED_VALUE"""),1)</f>
        <v>1</v>
      </c>
    </row>
    <row r="5646" spans="1:5" ht="13">
      <c r="A5646" s="2" t="str">
        <f ca="1">IFERROR(__xludf.DUMMYFUNCTION("""COMPUTED_VALUE"""),"Minelli, Charles")</f>
        <v>Minelli, Charles</v>
      </c>
      <c r="B5646" s="3">
        <f ca="1">IFERROR(__xludf.DUMMYFUNCTION("""COMPUTED_VALUE"""),1)</f>
        <v>1</v>
      </c>
      <c r="C5646" s="7">
        <f ca="1">IFERROR(__xludf.DUMMYFUNCTION("""COMPUTED_VALUE"""),1)</f>
        <v>1</v>
      </c>
      <c r="D5646" s="8">
        <f ca="1">IFERROR(__xludf.DUMMYFUNCTION("""COMPUTED_VALUE"""),5)</f>
        <v>5</v>
      </c>
      <c r="E5646" s="2">
        <f ca="1">IFERROR(__xludf.DUMMYFUNCTION("""COMPUTED_VALUE"""),2)</f>
        <v>2</v>
      </c>
    </row>
    <row r="5647" spans="1:5" ht="13">
      <c r="A5647" s="2" t="str">
        <f ca="1">IFERROR(__xludf.DUMMYFUNCTION("""COMPUTED_VALUE"""),"Miner, Dan")</f>
        <v>Miner, Dan</v>
      </c>
      <c r="B5647" s="3">
        <f ca="1">IFERROR(__xludf.DUMMYFUNCTION("""COMPUTED_VALUE"""),1)</f>
        <v>1</v>
      </c>
      <c r="C5647" s="7">
        <f ca="1">IFERROR(__xludf.DUMMYFUNCTION("""COMPUTED_VALUE"""),1)</f>
        <v>1</v>
      </c>
      <c r="D5647" s="8">
        <f ca="1">IFERROR(__xludf.DUMMYFUNCTION("""COMPUTED_VALUE"""),1)</f>
        <v>1</v>
      </c>
      <c r="E5647" s="2">
        <f ca="1">IFERROR(__xludf.DUMMYFUNCTION("""COMPUTED_VALUE"""),1)</f>
        <v>1</v>
      </c>
    </row>
    <row r="5648" spans="1:5" ht="13">
      <c r="A5648" s="2" t="str">
        <f ca="1">IFERROR(__xludf.DUMMYFUNCTION("""COMPUTED_VALUE"""),"Minkus, Ludwig")</f>
        <v>Minkus, Ludwig</v>
      </c>
      <c r="B5648" s="3">
        <f ca="1">IFERROR(__xludf.DUMMYFUNCTION("""COMPUTED_VALUE"""),1)</f>
        <v>1</v>
      </c>
      <c r="C5648" s="7">
        <f ca="1">IFERROR(__xludf.DUMMYFUNCTION("""COMPUTED_VALUE"""),1)</f>
        <v>1</v>
      </c>
      <c r="D5648" s="8">
        <f ca="1">IFERROR(__xludf.DUMMYFUNCTION("""COMPUTED_VALUE"""),5)</f>
        <v>5</v>
      </c>
      <c r="E5648" s="2">
        <f ca="1">IFERROR(__xludf.DUMMYFUNCTION("""COMPUTED_VALUE"""),2)</f>
        <v>2</v>
      </c>
    </row>
    <row r="5649" spans="1:5" ht="13">
      <c r="A5649" s="2" t="str">
        <f ca="1">IFERROR(__xludf.DUMMYFUNCTION("""COMPUTED_VALUE"""),"Minnis, Cooper")</f>
        <v>Minnis, Cooper</v>
      </c>
      <c r="B5649" s="2">
        <f ca="1">IFERROR(__xludf.DUMMYFUNCTION("""COMPUTED_VALUE"""),1)</f>
        <v>1</v>
      </c>
      <c r="C5649" s="7">
        <f ca="1">IFERROR(__xludf.DUMMYFUNCTION("""COMPUTED_VALUE"""),1)</f>
        <v>1</v>
      </c>
      <c r="D5649" s="8">
        <f ca="1">IFERROR(__xludf.DUMMYFUNCTION("""COMPUTED_VALUE"""),1)</f>
        <v>1</v>
      </c>
      <c r="E5649" s="2">
        <f ca="1">IFERROR(__xludf.DUMMYFUNCTION("""COMPUTED_VALUE"""),1)</f>
        <v>1</v>
      </c>
    </row>
    <row r="5650" spans="1:5" ht="13">
      <c r="A5650" s="2" t="str">
        <f ca="1">IFERROR(__xludf.DUMMYFUNCTION("""COMPUTED_VALUE"""),"Minnis, Phillip")</f>
        <v>Minnis, Phillip</v>
      </c>
      <c r="B5650" s="2">
        <f ca="1">IFERROR(__xludf.DUMMYFUNCTION("""COMPUTED_VALUE"""),1)</f>
        <v>1</v>
      </c>
      <c r="C5650" s="7">
        <f ca="1">IFERROR(__xludf.DUMMYFUNCTION("""COMPUTED_VALUE"""),1)</f>
        <v>1</v>
      </c>
      <c r="D5650" s="8">
        <f ca="1">IFERROR(__xludf.DUMMYFUNCTION("""COMPUTED_VALUE"""),1)</f>
        <v>1</v>
      </c>
      <c r="E5650" s="2">
        <f ca="1">IFERROR(__xludf.DUMMYFUNCTION("""COMPUTED_VALUE"""),1)</f>
        <v>1</v>
      </c>
    </row>
    <row r="5651" spans="1:5" ht="13">
      <c r="A5651" s="2" t="str">
        <f ca="1">IFERROR(__xludf.DUMMYFUNCTION("""COMPUTED_VALUE"""),"Minor, Eugene")</f>
        <v>Minor, Eugene</v>
      </c>
      <c r="B5651" s="3">
        <f ca="1">IFERROR(__xludf.DUMMYFUNCTION("""COMPUTED_VALUE"""),1)</f>
        <v>1</v>
      </c>
      <c r="C5651" s="7">
        <f ca="1">IFERROR(__xludf.DUMMYFUNCTION("""COMPUTED_VALUE"""),1)</f>
        <v>1</v>
      </c>
      <c r="D5651" s="8">
        <f ca="1">IFERROR(__xludf.DUMMYFUNCTION("""COMPUTED_VALUE"""),1)</f>
        <v>1</v>
      </c>
      <c r="E5651" s="2">
        <f ca="1">IFERROR(__xludf.DUMMYFUNCTION("""COMPUTED_VALUE"""),1)</f>
        <v>1</v>
      </c>
    </row>
    <row r="5652" spans="1:5" ht="13">
      <c r="A5652" s="2" t="str">
        <f ca="1">IFERROR(__xludf.DUMMYFUNCTION("""COMPUTED_VALUE"""),"Minor, George")</f>
        <v>Minor, George</v>
      </c>
      <c r="B5652" s="3">
        <f ca="1">IFERROR(__xludf.DUMMYFUNCTION("""COMPUTED_VALUE"""),1)</f>
        <v>1</v>
      </c>
      <c r="C5652" s="7">
        <f ca="1">IFERROR(__xludf.DUMMYFUNCTION("""COMPUTED_VALUE"""),1)</f>
        <v>1</v>
      </c>
      <c r="D5652" s="8">
        <f ca="1">IFERROR(__xludf.DUMMYFUNCTION("""COMPUTED_VALUE"""),5)</f>
        <v>5</v>
      </c>
      <c r="E5652" s="2">
        <f ca="1">IFERROR(__xludf.DUMMYFUNCTION("""COMPUTED_VALUE"""),2)</f>
        <v>2</v>
      </c>
    </row>
    <row r="5653" spans="1:5" ht="13">
      <c r="A5653" s="2" t="str">
        <f ca="1">IFERROR(__xludf.DUMMYFUNCTION("""COMPUTED_VALUE"""),"Minshall, Joey")</f>
        <v>Minshall, Joey</v>
      </c>
      <c r="B5653" s="3">
        <f ca="1">IFERROR(__xludf.DUMMYFUNCTION("""COMPUTED_VALUE"""),1)</f>
        <v>1</v>
      </c>
      <c r="C5653" s="7">
        <f ca="1">IFERROR(__xludf.DUMMYFUNCTION("""COMPUTED_VALUE"""),1)</f>
        <v>1</v>
      </c>
      <c r="D5653" s="8">
        <f ca="1">IFERROR(__xludf.DUMMYFUNCTION("""COMPUTED_VALUE"""),1)</f>
        <v>1</v>
      </c>
      <c r="E5653" s="2">
        <f ca="1">IFERROR(__xludf.DUMMYFUNCTION("""COMPUTED_VALUE"""),1)</f>
        <v>1</v>
      </c>
    </row>
    <row r="5654" spans="1:5" ht="13">
      <c r="A5654" s="2" t="str">
        <f ca="1">IFERROR(__xludf.DUMMYFUNCTION("""COMPUTED_VALUE"""),"Minsky, Aaron / Kiekenapp")</f>
        <v>Minsky, Aaron / Kiekenapp</v>
      </c>
      <c r="B5654" s="3">
        <f ca="1">IFERROR(__xludf.DUMMYFUNCTION("""COMPUTED_VALUE"""),1)</f>
        <v>1</v>
      </c>
      <c r="C5654" s="7">
        <f ca="1">IFERROR(__xludf.DUMMYFUNCTION("""COMPUTED_VALUE"""),1)</f>
        <v>1</v>
      </c>
      <c r="D5654" s="8">
        <f ca="1">IFERROR(__xludf.DUMMYFUNCTION("""COMPUTED_VALUE"""),1)</f>
        <v>1</v>
      </c>
      <c r="E5654" s="2">
        <f ca="1">IFERROR(__xludf.DUMMYFUNCTION("""COMPUTED_VALUE"""),1)</f>
        <v>1</v>
      </c>
    </row>
    <row r="5655" spans="1:5" ht="13">
      <c r="A5655" s="2" t="str">
        <f ca="1">IFERROR(__xludf.DUMMYFUNCTION("""COMPUTED_VALUE"""),"Mintzer, Bob")</f>
        <v>Mintzer, Bob</v>
      </c>
      <c r="B5655" s="3">
        <f ca="1">IFERROR(__xludf.DUMMYFUNCTION("""COMPUTED_VALUE"""),1)</f>
        <v>1</v>
      </c>
      <c r="C5655" s="7">
        <f ca="1">IFERROR(__xludf.DUMMYFUNCTION("""COMPUTED_VALUE"""),1)</f>
        <v>1</v>
      </c>
      <c r="D5655" s="8">
        <f ca="1">IFERROR(__xludf.DUMMYFUNCTION("""COMPUTED_VALUE"""),1)</f>
        <v>1</v>
      </c>
      <c r="E5655" s="2">
        <f ca="1">IFERROR(__xludf.DUMMYFUNCTION("""COMPUTED_VALUE"""),1)</f>
        <v>1</v>
      </c>
    </row>
    <row r="5656" spans="1:5" ht="13">
      <c r="A5656" s="2" t="str">
        <f ca="1">IFERROR(__xludf.DUMMYFUNCTION("""COMPUTED_VALUE"""),"Mire, Tyler")</f>
        <v>Mire, Tyler</v>
      </c>
      <c r="B5656" s="2">
        <f ca="1">IFERROR(__xludf.DUMMYFUNCTION("""COMPUTED_VALUE"""),1)</f>
        <v>1</v>
      </c>
      <c r="C5656" s="7">
        <f ca="1">IFERROR(__xludf.DUMMYFUNCTION("""COMPUTED_VALUE"""),1)</f>
        <v>1</v>
      </c>
      <c r="D5656" s="8">
        <f ca="1">IFERROR(__xludf.DUMMYFUNCTION("""COMPUTED_VALUE"""),1)</f>
        <v>1</v>
      </c>
      <c r="E5656" s="2">
        <f ca="1">IFERROR(__xludf.DUMMYFUNCTION("""COMPUTED_VALUE"""),1)</f>
        <v>1</v>
      </c>
    </row>
    <row r="5657" spans="1:5" ht="13">
      <c r="A5657" s="2" t="str">
        <f ca="1">IFERROR(__xludf.DUMMYFUNCTION("""COMPUTED_VALUE"""),"Miron, Issachar")</f>
        <v>Miron, Issachar</v>
      </c>
      <c r="B5657" s="3">
        <f ca="1">IFERROR(__xludf.DUMMYFUNCTION("""COMPUTED_VALUE"""),1)</f>
        <v>1</v>
      </c>
      <c r="C5657" s="7">
        <f ca="1">IFERROR(__xludf.DUMMYFUNCTION("""COMPUTED_VALUE"""),1)</f>
        <v>1</v>
      </c>
      <c r="D5657" s="8">
        <f ca="1">IFERROR(__xludf.DUMMYFUNCTION("""COMPUTED_VALUE"""),5)</f>
        <v>5</v>
      </c>
      <c r="E5657" s="2">
        <f ca="1">IFERROR(__xludf.DUMMYFUNCTION("""COMPUTED_VALUE"""),2)</f>
        <v>2</v>
      </c>
    </row>
    <row r="5658" spans="1:5" ht="13">
      <c r="A5658" s="8" t="str">
        <f ca="1">IFERROR(__xludf.DUMMYFUNCTION("""COMPUTED_VALUE"""),"Miroshnikov, Oleg")</f>
        <v>Miroshnikov, Oleg</v>
      </c>
      <c r="B5658" s="3">
        <f ca="1">IFERROR(__xludf.DUMMYFUNCTION("""COMPUTED_VALUE"""),1)</f>
        <v>1</v>
      </c>
      <c r="C5658" s="7">
        <f ca="1">IFERROR(__xludf.DUMMYFUNCTION("""COMPUTED_VALUE"""),1)</f>
        <v>1</v>
      </c>
      <c r="D5658" s="8">
        <f ca="1">IFERROR(__xludf.DUMMYFUNCTION("""COMPUTED_VALUE"""),5)</f>
        <v>5</v>
      </c>
      <c r="E5658" s="2">
        <f ca="1">IFERROR(__xludf.DUMMYFUNCTION("""COMPUTED_VALUE"""),2)</f>
        <v>2</v>
      </c>
    </row>
    <row r="5659" spans="1:5" ht="13">
      <c r="A5659" s="2" t="str">
        <f ca="1">IFERROR(__xludf.DUMMYFUNCTION("""COMPUTED_VALUE"""),"Mishkin, Henry G.")</f>
        <v>Mishkin, Henry G.</v>
      </c>
      <c r="B5659" s="3">
        <f ca="1">IFERROR(__xludf.DUMMYFUNCTION("""COMPUTED_VALUE"""),1)</f>
        <v>1</v>
      </c>
      <c r="C5659" s="7">
        <f ca="1">IFERROR(__xludf.DUMMYFUNCTION("""COMPUTED_VALUE"""),1)</f>
        <v>1</v>
      </c>
      <c r="D5659" s="8">
        <f ca="1">IFERROR(__xludf.DUMMYFUNCTION("""COMPUTED_VALUE"""),5)</f>
        <v>5</v>
      </c>
      <c r="E5659" s="2">
        <f ca="1">IFERROR(__xludf.DUMMYFUNCTION("""COMPUTED_VALUE"""),2)</f>
        <v>2</v>
      </c>
    </row>
    <row r="5660" spans="1:5" ht="13">
      <c r="A5660" s="2" t="str">
        <f ca="1">IFERROR(__xludf.DUMMYFUNCTION("""COMPUTED_VALUE"""),"Miskinis, Vytautas")</f>
        <v>Miskinis, Vytautas</v>
      </c>
      <c r="B5660" s="3">
        <f ca="1">IFERROR(__xludf.DUMMYFUNCTION("""COMPUTED_VALUE"""),1)</f>
        <v>1</v>
      </c>
      <c r="C5660" s="7">
        <f ca="1">IFERROR(__xludf.DUMMYFUNCTION("""COMPUTED_VALUE"""),1)</f>
        <v>1</v>
      </c>
      <c r="D5660" s="8">
        <f ca="1">IFERROR(__xludf.DUMMYFUNCTION("""COMPUTED_VALUE"""),1)</f>
        <v>1</v>
      </c>
      <c r="E5660" s="2">
        <f ca="1">IFERROR(__xludf.DUMMYFUNCTION("""COMPUTED_VALUE"""),1)</f>
        <v>1</v>
      </c>
    </row>
    <row r="5661" spans="1:5" ht="13">
      <c r="A5661" s="2" t="str">
        <f ca="1">IFERROR(__xludf.DUMMYFUNCTION("""COMPUTED_VALUE"""),"Miškinis, Vytautas")</f>
        <v>Miškinis, Vytautas</v>
      </c>
      <c r="B5661" s="2">
        <f ca="1">IFERROR(__xludf.DUMMYFUNCTION("""COMPUTED_VALUE"""),1)</f>
        <v>1</v>
      </c>
      <c r="C5661" s="2">
        <f ca="1">IFERROR(__xludf.DUMMYFUNCTION("""COMPUTED_VALUE"""),1)</f>
        <v>1</v>
      </c>
      <c r="D5661" s="8">
        <f ca="1">IFERROR(__xludf.DUMMYFUNCTION("""COMPUTED_VALUE"""),1)</f>
        <v>1</v>
      </c>
      <c r="E5661" s="2">
        <f ca="1">IFERROR(__xludf.DUMMYFUNCTION("""COMPUTED_VALUE"""),1)</f>
        <v>1</v>
      </c>
    </row>
    <row r="5662" spans="1:5" ht="13">
      <c r="A5662" s="2" t="str">
        <f ca="1">IFERROR(__xludf.DUMMYFUNCTION("""COMPUTED_VALUE"""),"Misón, Luis")</f>
        <v>Misón, Luis</v>
      </c>
      <c r="B5662" s="3">
        <f ca="1">IFERROR(__xludf.DUMMYFUNCTION("""COMPUTED_VALUE"""),1)</f>
        <v>1</v>
      </c>
      <c r="C5662" s="7">
        <f ca="1">IFERROR(__xludf.DUMMYFUNCTION("""COMPUTED_VALUE"""),1)</f>
        <v>1</v>
      </c>
      <c r="D5662" s="8">
        <f ca="1">IFERROR(__xludf.DUMMYFUNCTION("""COMPUTED_VALUE"""),5)</f>
        <v>5</v>
      </c>
      <c r="E5662" s="2">
        <f ca="1">IFERROR(__xludf.DUMMYFUNCTION("""COMPUTED_VALUE"""),2)</f>
        <v>2</v>
      </c>
    </row>
    <row r="5663" spans="1:5" ht="13">
      <c r="A5663" s="2" t="str">
        <f ca="1">IFERROR(__xludf.DUMMYFUNCTION("""COMPUTED_VALUE"""),"Missal, Jason")</f>
        <v>Missal, Jason</v>
      </c>
      <c r="B5663" s="3">
        <f ca="1">IFERROR(__xludf.DUMMYFUNCTION("""COMPUTED_VALUE"""),1)</f>
        <v>1</v>
      </c>
      <c r="C5663" s="7">
        <f ca="1">IFERROR(__xludf.DUMMYFUNCTION("""COMPUTED_VALUE"""),1)</f>
        <v>1</v>
      </c>
      <c r="D5663" s="8">
        <f ca="1">IFERROR(__xludf.DUMMYFUNCTION("""COMPUTED_VALUE"""),1)</f>
        <v>1</v>
      </c>
      <c r="E5663" s="2">
        <f ca="1">IFERROR(__xludf.DUMMYFUNCTION("""COMPUTED_VALUE"""),1)</f>
        <v>1</v>
      </c>
    </row>
    <row r="5664" spans="1:5" ht="13">
      <c r="A5664" s="8" t="str">
        <f ca="1">IFERROR(__xludf.DUMMYFUNCTION("""COMPUTED_VALUE"""),"Missal, Joshua")</f>
        <v>Missal, Joshua</v>
      </c>
      <c r="B5664" s="3">
        <f ca="1">IFERROR(__xludf.DUMMYFUNCTION("""COMPUTED_VALUE"""),1)</f>
        <v>1</v>
      </c>
      <c r="C5664" s="7">
        <f ca="1">IFERROR(__xludf.DUMMYFUNCTION("""COMPUTED_VALUE"""),1)</f>
        <v>1</v>
      </c>
      <c r="D5664" s="8">
        <f ca="1">IFERROR(__xludf.DUMMYFUNCTION("""COMPUTED_VALUE"""),1)</f>
        <v>1</v>
      </c>
      <c r="E5664" s="2">
        <f ca="1">IFERROR(__xludf.DUMMYFUNCTION("""COMPUTED_VALUE"""),1)</f>
        <v>1</v>
      </c>
    </row>
    <row r="5665" spans="1:5" ht="13">
      <c r="A5665" s="8" t="str">
        <f ca="1">IFERROR(__xludf.DUMMYFUNCTION("""COMPUTED_VALUE"""),"Mistak, Alvin F.")</f>
        <v>Mistak, Alvin F.</v>
      </c>
      <c r="B5665" s="3">
        <f ca="1">IFERROR(__xludf.DUMMYFUNCTION("""COMPUTED_VALUE"""),1)</f>
        <v>1</v>
      </c>
      <c r="C5665" s="7">
        <f ca="1">IFERROR(__xludf.DUMMYFUNCTION("""COMPUTED_VALUE"""),1)</f>
        <v>1</v>
      </c>
      <c r="D5665" s="8">
        <f ca="1">IFERROR(__xludf.DUMMYFUNCTION("""COMPUTED_VALUE"""),5)</f>
        <v>5</v>
      </c>
      <c r="E5665" s="2">
        <f ca="1">IFERROR(__xludf.DUMMYFUNCTION("""COMPUTED_VALUE"""),2)</f>
        <v>2</v>
      </c>
    </row>
    <row r="5666" spans="1:5" ht="13">
      <c r="A5666" s="2" t="str">
        <f ca="1">IFERROR(__xludf.DUMMYFUNCTION("""COMPUTED_VALUE"""),"Mitchell")</f>
        <v>Mitchell</v>
      </c>
      <c r="B5666" s="3">
        <f ca="1">IFERROR(__xludf.DUMMYFUNCTION("""COMPUTED_VALUE"""),1)</f>
        <v>1</v>
      </c>
      <c r="C5666" s="7">
        <f ca="1">IFERROR(__xludf.DUMMYFUNCTION("""COMPUTED_VALUE"""),1)</f>
        <v>1</v>
      </c>
      <c r="D5666" s="8">
        <f ca="1">IFERROR(__xludf.DUMMYFUNCTION("""COMPUTED_VALUE"""),1)</f>
        <v>1</v>
      </c>
      <c r="E5666" s="2">
        <f ca="1">IFERROR(__xludf.DUMMYFUNCTION("""COMPUTED_VALUE"""),1)</f>
        <v>1</v>
      </c>
    </row>
    <row r="5667" spans="1:5" ht="13">
      <c r="A5667" s="2" t="str">
        <f ca="1">IFERROR(__xludf.DUMMYFUNCTION("""COMPUTED_VALUE"""),"Mitchell, Daniel R.")</f>
        <v>Mitchell, Daniel R.</v>
      </c>
      <c r="B5667" s="3">
        <f ca="1">IFERROR(__xludf.DUMMYFUNCTION("""COMPUTED_VALUE"""),1)</f>
        <v>1</v>
      </c>
      <c r="C5667" s="7">
        <f ca="1">IFERROR(__xludf.DUMMYFUNCTION("""COMPUTED_VALUE"""),1)</f>
        <v>1</v>
      </c>
      <c r="D5667" s="8">
        <f ca="1">IFERROR(__xludf.DUMMYFUNCTION("""COMPUTED_VALUE"""),1)</f>
        <v>1</v>
      </c>
      <c r="E5667" s="2">
        <f ca="1">IFERROR(__xludf.DUMMYFUNCTION("""COMPUTED_VALUE"""),1)</f>
        <v>1</v>
      </c>
    </row>
    <row r="5668" spans="1:5" ht="13">
      <c r="A5668" s="2" t="str">
        <f ca="1">IFERROR(__xludf.DUMMYFUNCTION("""COMPUTED_VALUE"""),"Mitchell, Darren")</f>
        <v>Mitchell, Darren</v>
      </c>
      <c r="B5668" s="3">
        <f ca="1">IFERROR(__xludf.DUMMYFUNCTION("""COMPUTED_VALUE"""),1)</f>
        <v>1</v>
      </c>
      <c r="C5668" s="7">
        <f ca="1">IFERROR(__xludf.DUMMYFUNCTION("""COMPUTED_VALUE"""),1)</f>
        <v>1</v>
      </c>
      <c r="D5668" s="8">
        <f ca="1">IFERROR(__xludf.DUMMYFUNCTION("""COMPUTED_VALUE"""),1)</f>
        <v>1</v>
      </c>
      <c r="E5668" s="2">
        <f ca="1">IFERROR(__xludf.DUMMYFUNCTION("""COMPUTED_VALUE"""),1)</f>
        <v>1</v>
      </c>
    </row>
    <row r="5669" spans="1:5" ht="13">
      <c r="A5669" s="2" t="str">
        <f ca="1">IFERROR(__xludf.DUMMYFUNCTION("""COMPUTED_VALUE"""),"Mitchell, Edward")</f>
        <v>Mitchell, Edward</v>
      </c>
      <c r="B5669" s="3">
        <f ca="1">IFERROR(__xludf.DUMMYFUNCTION("""COMPUTED_VALUE"""),1)</f>
        <v>1</v>
      </c>
      <c r="C5669" s="7">
        <f ca="1">IFERROR(__xludf.DUMMYFUNCTION("""COMPUTED_VALUE"""),1)</f>
        <v>1</v>
      </c>
      <c r="D5669" s="8">
        <f ca="1">IFERROR(__xludf.DUMMYFUNCTION("""COMPUTED_VALUE"""),5)</f>
        <v>5</v>
      </c>
      <c r="E5669" s="2">
        <f ca="1">IFERROR(__xludf.DUMMYFUNCTION("""COMPUTED_VALUE"""),2)</f>
        <v>2</v>
      </c>
    </row>
    <row r="5670" spans="1:5" ht="13">
      <c r="A5670" s="2" t="str">
        <f ca="1">IFERROR(__xludf.DUMMYFUNCTION("""COMPUTED_VALUE"""),"Mitchell, Eugene")</f>
        <v>Mitchell, Eugene</v>
      </c>
      <c r="B5670" s="3">
        <f ca="1">IFERROR(__xludf.DUMMYFUNCTION("""COMPUTED_VALUE"""),1)</f>
        <v>1</v>
      </c>
      <c r="C5670" s="7">
        <f ca="1">IFERROR(__xludf.DUMMYFUNCTION("""COMPUTED_VALUE"""),1)</f>
        <v>1</v>
      </c>
      <c r="D5670" s="8">
        <f ca="1">IFERROR(__xludf.DUMMYFUNCTION("""COMPUTED_VALUE"""),5)</f>
        <v>5</v>
      </c>
      <c r="E5670" s="2">
        <f ca="1">IFERROR(__xludf.DUMMYFUNCTION("""COMPUTED_VALUE"""),2)</f>
        <v>2</v>
      </c>
    </row>
    <row r="5671" spans="1:5" ht="13">
      <c r="A5671" s="2" t="str">
        <f ca="1">IFERROR(__xludf.DUMMYFUNCTION("""COMPUTED_VALUE"""),"Mitchell, Lee")</f>
        <v>Mitchell, Lee</v>
      </c>
      <c r="B5671" s="2">
        <f ca="1">IFERROR(__xludf.DUMMYFUNCTION("""COMPUTED_VALUE"""),1)</f>
        <v>1</v>
      </c>
      <c r="C5671" s="7">
        <f ca="1">IFERROR(__xludf.DUMMYFUNCTION("""COMPUTED_VALUE"""),1)</f>
        <v>1</v>
      </c>
      <c r="D5671" s="8">
        <f ca="1">IFERROR(__xludf.DUMMYFUNCTION("""COMPUTED_VALUE"""),1)</f>
        <v>1</v>
      </c>
      <c r="E5671" s="2">
        <f ca="1">IFERROR(__xludf.DUMMYFUNCTION("""COMPUTED_VALUE"""),1)</f>
        <v>1</v>
      </c>
    </row>
    <row r="5672" spans="1:5" ht="13">
      <c r="A5672" s="2" t="str">
        <f ca="1">IFERROR(__xludf.DUMMYFUNCTION("""COMPUTED_VALUE"""),"Mitchell, Lyndol")</f>
        <v>Mitchell, Lyndol</v>
      </c>
      <c r="B5672" s="3">
        <f ca="1">IFERROR(__xludf.DUMMYFUNCTION("""COMPUTED_VALUE"""),1)</f>
        <v>1</v>
      </c>
      <c r="C5672" s="7">
        <f ca="1">IFERROR(__xludf.DUMMYFUNCTION("""COMPUTED_VALUE"""),1)</f>
        <v>1</v>
      </c>
      <c r="D5672" s="8">
        <f ca="1">IFERROR(__xludf.DUMMYFUNCTION("""COMPUTED_VALUE"""),5)</f>
        <v>5</v>
      </c>
      <c r="E5672" s="2">
        <f ca="1">IFERROR(__xludf.DUMMYFUNCTION("""COMPUTED_VALUE"""),2)</f>
        <v>2</v>
      </c>
    </row>
    <row r="5673" spans="1:5" ht="13">
      <c r="A5673" s="2" t="str">
        <f ca="1">IFERROR(__xludf.DUMMYFUNCTION("""COMPUTED_VALUE"""),"Mitchell, Rex")</f>
        <v>Mitchell, Rex</v>
      </c>
      <c r="B5673" s="3">
        <f ca="1">IFERROR(__xludf.DUMMYFUNCTION("""COMPUTED_VALUE"""),1)</f>
        <v>1</v>
      </c>
      <c r="C5673" s="7">
        <f ca="1">IFERROR(__xludf.DUMMYFUNCTION("""COMPUTED_VALUE"""),1)</f>
        <v>1</v>
      </c>
      <c r="D5673" s="8">
        <f ca="1">IFERROR(__xludf.DUMMYFUNCTION("""COMPUTED_VALUE"""),5)</f>
        <v>5</v>
      </c>
      <c r="E5673" s="2">
        <f ca="1">IFERROR(__xludf.DUMMYFUNCTION("""COMPUTED_VALUE"""),2)</f>
        <v>2</v>
      </c>
    </row>
    <row r="5674" spans="1:5" ht="13">
      <c r="A5674" s="2" t="str">
        <f ca="1">IFERROR(__xludf.DUMMYFUNCTION("""COMPUTED_VALUE"""),"Mitchell, Tom")</f>
        <v>Mitchell, Tom</v>
      </c>
      <c r="B5674" s="3">
        <f ca="1">IFERROR(__xludf.DUMMYFUNCTION("""COMPUTED_VALUE"""),1)</f>
        <v>1</v>
      </c>
      <c r="C5674" s="7">
        <f ca="1">IFERROR(__xludf.DUMMYFUNCTION("""COMPUTED_VALUE"""),1)</f>
        <v>1</v>
      </c>
      <c r="D5674" s="8">
        <f ca="1">IFERROR(__xludf.DUMMYFUNCTION("""COMPUTED_VALUE"""),5)</f>
        <v>5</v>
      </c>
      <c r="E5674" s="2">
        <f ca="1">IFERROR(__xludf.DUMMYFUNCTION("""COMPUTED_VALUE"""),2)</f>
        <v>2</v>
      </c>
    </row>
    <row r="5675" spans="1:5" ht="13">
      <c r="A5675" s="2" t="str">
        <f ca="1">IFERROR(__xludf.DUMMYFUNCTION("""COMPUTED_VALUE"""),"Mitchell, William Chadbourne")</f>
        <v>Mitchell, William Chadbourne</v>
      </c>
      <c r="B5675" s="3">
        <f ca="1">IFERROR(__xludf.DUMMYFUNCTION("""COMPUTED_VALUE"""),1)</f>
        <v>1</v>
      </c>
      <c r="C5675" s="7">
        <f ca="1">IFERROR(__xludf.DUMMYFUNCTION("""COMPUTED_VALUE"""),1)</f>
        <v>1</v>
      </c>
      <c r="D5675" s="8">
        <f ca="1">IFERROR(__xludf.DUMMYFUNCTION("""COMPUTED_VALUE"""),1)</f>
        <v>1</v>
      </c>
      <c r="E5675" s="2">
        <f ca="1">IFERROR(__xludf.DUMMYFUNCTION("""COMPUTED_VALUE"""),1)</f>
        <v>1</v>
      </c>
    </row>
    <row r="5676" spans="1:5" ht="13">
      <c r="A5676" s="2" t="str">
        <f ca="1">IFERROR(__xludf.DUMMYFUNCTION("""COMPUTED_VALUE"""),"Mixon, Kevin")</f>
        <v>Mixon, Kevin</v>
      </c>
      <c r="B5676" s="3">
        <f ca="1">IFERROR(__xludf.DUMMYFUNCTION("""COMPUTED_VALUE"""),1)</f>
        <v>1</v>
      </c>
      <c r="C5676" s="7">
        <f ca="1">IFERROR(__xludf.DUMMYFUNCTION("""COMPUTED_VALUE"""),1)</f>
        <v>1</v>
      </c>
      <c r="D5676" s="8">
        <f ca="1">IFERROR(__xludf.DUMMYFUNCTION("""COMPUTED_VALUE"""),1)</f>
        <v>1</v>
      </c>
      <c r="E5676" s="2">
        <f ca="1">IFERROR(__xludf.DUMMYFUNCTION("""COMPUTED_VALUE"""),1)</f>
        <v>1</v>
      </c>
    </row>
    <row r="5677" spans="1:5" ht="13">
      <c r="A5677" s="2" t="str">
        <f ca="1">IFERROR(__xludf.DUMMYFUNCTION("""COMPUTED_VALUE"""),"Mizesko, Terry")</f>
        <v>Mizesko, Terry</v>
      </c>
      <c r="B5677" s="3">
        <f ca="1">IFERROR(__xludf.DUMMYFUNCTION("""COMPUTED_VALUE"""),1)</f>
        <v>1</v>
      </c>
      <c r="C5677" s="7">
        <f ca="1">IFERROR(__xludf.DUMMYFUNCTION("""COMPUTED_VALUE"""),1)</f>
        <v>1</v>
      </c>
      <c r="D5677" s="8">
        <f ca="1">IFERROR(__xludf.DUMMYFUNCTION("""COMPUTED_VALUE"""),1)</f>
        <v>1</v>
      </c>
      <c r="E5677" s="2">
        <f ca="1">IFERROR(__xludf.DUMMYFUNCTION("""COMPUTED_VALUE"""),1)</f>
        <v>1</v>
      </c>
    </row>
    <row r="5678" spans="1:5" ht="13">
      <c r="A5678" s="2" t="str">
        <f ca="1">IFERROR(__xludf.DUMMYFUNCTION("""COMPUTED_VALUE"""),"Mlynarski, Emil")</f>
        <v>Mlynarski, Emil</v>
      </c>
      <c r="B5678" s="3">
        <f ca="1">IFERROR(__xludf.DUMMYFUNCTION("""COMPUTED_VALUE"""),1)</f>
        <v>1</v>
      </c>
      <c r="C5678" s="7">
        <f ca="1">IFERROR(__xludf.DUMMYFUNCTION("""COMPUTED_VALUE"""),1)</f>
        <v>1</v>
      </c>
      <c r="D5678" s="8">
        <f ca="1">IFERROR(__xludf.DUMMYFUNCTION("""COMPUTED_VALUE"""),5)</f>
        <v>5</v>
      </c>
      <c r="E5678" s="2">
        <f ca="1">IFERROR(__xludf.DUMMYFUNCTION("""COMPUTED_VALUE"""),2)</f>
        <v>2</v>
      </c>
    </row>
    <row r="5679" spans="1:5" ht="13">
      <c r="A5679" s="8" t="str">
        <f ca="1">IFERROR(__xludf.DUMMYFUNCTION("""COMPUTED_VALUE"""),"Młynarski, Emil")</f>
        <v>Młynarski, Emil</v>
      </c>
      <c r="B5679" s="3">
        <f ca="1">IFERROR(__xludf.DUMMYFUNCTION("""COMPUTED_VALUE"""),1)</f>
        <v>1</v>
      </c>
      <c r="C5679" s="7">
        <f ca="1">IFERROR(__xludf.DUMMYFUNCTION("""COMPUTED_VALUE"""),1)</f>
        <v>1</v>
      </c>
      <c r="D5679" s="8">
        <f ca="1">IFERROR(__xludf.DUMMYFUNCTION("""COMPUTED_VALUE"""),5)</f>
        <v>5</v>
      </c>
      <c r="E5679" s="2">
        <f ca="1">IFERROR(__xludf.DUMMYFUNCTION("""COMPUTED_VALUE"""),2)</f>
        <v>2</v>
      </c>
    </row>
    <row r="5680" spans="1:5" ht="13">
      <c r="A5680" s="2" t="str">
        <f ca="1">IFERROR(__xludf.DUMMYFUNCTION("""COMPUTED_VALUE"""),"Mobberley, James")</f>
        <v>Mobberley, James</v>
      </c>
      <c r="B5680" s="3">
        <f ca="1">IFERROR(__xludf.DUMMYFUNCTION("""COMPUTED_VALUE"""),1)</f>
        <v>1</v>
      </c>
      <c r="C5680" s="7">
        <f ca="1">IFERROR(__xludf.DUMMYFUNCTION("""COMPUTED_VALUE"""),1)</f>
        <v>1</v>
      </c>
      <c r="D5680" s="8">
        <f ca="1">IFERROR(__xludf.DUMMYFUNCTION("""COMPUTED_VALUE"""),1)</f>
        <v>1</v>
      </c>
      <c r="E5680" s="2">
        <f ca="1">IFERROR(__xludf.DUMMYFUNCTION("""COMPUTED_VALUE"""),1)</f>
        <v>1</v>
      </c>
    </row>
    <row r="5681" spans="1:5" ht="13">
      <c r="A5681" s="2" t="str">
        <f ca="1">IFERROR(__xludf.DUMMYFUNCTION("""COMPUTED_VALUE"""),"Mochnick, John V.")</f>
        <v>Mochnick, John V.</v>
      </c>
      <c r="B5681" s="3">
        <f ca="1">IFERROR(__xludf.DUMMYFUNCTION("""COMPUTED_VALUE"""),1)</f>
        <v>1</v>
      </c>
      <c r="C5681" s="7">
        <f ca="1">IFERROR(__xludf.DUMMYFUNCTION("""COMPUTED_VALUE"""),1)</f>
        <v>1</v>
      </c>
      <c r="D5681" s="8">
        <f ca="1">IFERROR(__xludf.DUMMYFUNCTION("""COMPUTED_VALUE"""),1)</f>
        <v>1</v>
      </c>
      <c r="E5681" s="2">
        <f ca="1">IFERROR(__xludf.DUMMYFUNCTION("""COMPUTED_VALUE"""),1)</f>
        <v>1</v>
      </c>
    </row>
    <row r="5682" spans="1:5" ht="13">
      <c r="A5682" s="2" t="str">
        <f ca="1">IFERROR(__xludf.DUMMYFUNCTION("""COMPUTED_VALUE"""),"Mock, John")</f>
        <v>Mock, John</v>
      </c>
      <c r="B5682" s="2">
        <f ca="1">IFERROR(__xludf.DUMMYFUNCTION("""COMPUTED_VALUE"""),1)</f>
        <v>1</v>
      </c>
      <c r="C5682" s="7">
        <f ca="1">IFERROR(__xludf.DUMMYFUNCTION("""COMPUTED_VALUE"""),1)</f>
        <v>1</v>
      </c>
      <c r="D5682" s="8">
        <f ca="1">IFERROR(__xludf.DUMMYFUNCTION("""COMPUTED_VALUE"""),1)</f>
        <v>1</v>
      </c>
      <c r="E5682" s="2">
        <f ca="1">IFERROR(__xludf.DUMMYFUNCTION("""COMPUTED_VALUE"""),1)</f>
        <v>1</v>
      </c>
    </row>
    <row r="5683" spans="1:5" ht="13">
      <c r="A5683" s="2" t="str">
        <f ca="1">IFERROR(__xludf.DUMMYFUNCTION("""COMPUTED_VALUE"""),"Mock, Paul")</f>
        <v>Mock, Paul</v>
      </c>
      <c r="B5683" s="2">
        <f ca="1">IFERROR(__xludf.DUMMYFUNCTION("""COMPUTED_VALUE"""),1)</f>
        <v>1</v>
      </c>
      <c r="C5683" s="7">
        <f ca="1">IFERROR(__xludf.DUMMYFUNCTION("""COMPUTED_VALUE"""),1)</f>
        <v>1</v>
      </c>
      <c r="D5683" s="8">
        <f ca="1">IFERROR(__xludf.DUMMYFUNCTION("""COMPUTED_VALUE"""),1)</f>
        <v>1</v>
      </c>
      <c r="E5683" s="2">
        <f ca="1">IFERROR(__xludf.DUMMYFUNCTION("""COMPUTED_VALUE"""),1)</f>
        <v>1</v>
      </c>
    </row>
    <row r="5684" spans="1:5" ht="13">
      <c r="A5684" s="2" t="str">
        <f ca="1">IFERROR(__xludf.DUMMYFUNCTION("""COMPUTED_VALUE"""),"Moe, Daniel")</f>
        <v>Moe, Daniel</v>
      </c>
      <c r="B5684" s="3">
        <f ca="1">IFERROR(__xludf.DUMMYFUNCTION("""COMPUTED_VALUE"""),1)</f>
        <v>1</v>
      </c>
      <c r="C5684" s="7">
        <f ca="1">IFERROR(__xludf.DUMMYFUNCTION("""COMPUTED_VALUE"""),1)</f>
        <v>1</v>
      </c>
      <c r="D5684" s="8">
        <f ca="1">IFERROR(__xludf.DUMMYFUNCTION("""COMPUTED_VALUE"""),5)</f>
        <v>5</v>
      </c>
      <c r="E5684" s="2">
        <f ca="1">IFERROR(__xludf.DUMMYFUNCTION("""COMPUTED_VALUE"""),2)</f>
        <v>2</v>
      </c>
    </row>
    <row r="5685" spans="1:5" ht="13">
      <c r="A5685" s="2" t="str">
        <f ca="1">IFERROR(__xludf.DUMMYFUNCTION("""COMPUTED_VALUE"""),"Moehlmann, Roland")</f>
        <v>Moehlmann, Roland</v>
      </c>
      <c r="B5685" s="3">
        <f ca="1">IFERROR(__xludf.DUMMYFUNCTION("""COMPUTED_VALUE"""),1)</f>
        <v>1</v>
      </c>
      <c r="C5685" s="7">
        <f ca="1">IFERROR(__xludf.DUMMYFUNCTION("""COMPUTED_VALUE"""),1)</f>
        <v>1</v>
      </c>
      <c r="D5685" s="8">
        <f ca="1">IFERROR(__xludf.DUMMYFUNCTION("""COMPUTED_VALUE"""),5)</f>
        <v>5</v>
      </c>
      <c r="E5685" s="2">
        <f ca="1">IFERROR(__xludf.DUMMYFUNCTION("""COMPUTED_VALUE"""),2)</f>
        <v>2</v>
      </c>
    </row>
    <row r="5686" spans="1:5" ht="13">
      <c r="A5686" s="2" t="str">
        <f ca="1">IFERROR(__xludf.DUMMYFUNCTION("""COMPUTED_VALUE"""),"Moeran, Earnest John")</f>
        <v>Moeran, Earnest John</v>
      </c>
      <c r="B5686" s="2">
        <f ca="1">IFERROR(__xludf.DUMMYFUNCTION("""COMPUTED_VALUE"""),1)</f>
        <v>1</v>
      </c>
      <c r="C5686" s="7">
        <f ca="1">IFERROR(__xludf.DUMMYFUNCTION("""COMPUTED_VALUE"""),1)</f>
        <v>1</v>
      </c>
      <c r="D5686" s="8">
        <f ca="1">IFERROR(__xludf.DUMMYFUNCTION("""COMPUTED_VALUE"""),5)</f>
        <v>5</v>
      </c>
      <c r="E5686" s="2">
        <f ca="1">IFERROR(__xludf.DUMMYFUNCTION("""COMPUTED_VALUE"""),2)</f>
        <v>2</v>
      </c>
    </row>
    <row r="5687" spans="1:5" ht="13">
      <c r="A5687" s="8" t="str">
        <f ca="1">IFERROR(__xludf.DUMMYFUNCTION("""COMPUTED_VALUE"""),"Moffat, Alfred")</f>
        <v>Moffat, Alfred</v>
      </c>
      <c r="B5687" s="3">
        <f ca="1">IFERROR(__xludf.DUMMYFUNCTION("""COMPUTED_VALUE"""),1)</f>
        <v>1</v>
      </c>
      <c r="C5687" s="7">
        <f ca="1">IFERROR(__xludf.DUMMYFUNCTION("""COMPUTED_VALUE"""),1)</f>
        <v>1</v>
      </c>
      <c r="D5687" s="8">
        <f ca="1">IFERROR(__xludf.DUMMYFUNCTION("""COMPUTED_VALUE"""),5)</f>
        <v>5</v>
      </c>
      <c r="E5687" s="2">
        <f ca="1">IFERROR(__xludf.DUMMYFUNCTION("""COMPUTED_VALUE"""),2)</f>
        <v>2</v>
      </c>
    </row>
    <row r="5688" spans="1:5" ht="13">
      <c r="A5688" s="2" t="str">
        <f ca="1">IFERROR(__xludf.DUMMYFUNCTION("""COMPUTED_VALUE"""),"Moffitt, DeLoyce")</f>
        <v>Moffitt, DeLoyce</v>
      </c>
      <c r="B5688" s="2">
        <f ca="1">IFERROR(__xludf.DUMMYFUNCTION("""COMPUTED_VALUE"""),1)</f>
        <v>1</v>
      </c>
      <c r="C5688" s="7">
        <f ca="1">IFERROR(__xludf.DUMMYFUNCTION("""COMPUTED_VALUE"""),1)</f>
        <v>1</v>
      </c>
      <c r="D5688" s="8">
        <f ca="1">IFERROR(__xludf.DUMMYFUNCTION("""COMPUTED_VALUE"""),5)</f>
        <v>5</v>
      </c>
      <c r="E5688" s="2">
        <f ca="1">IFERROR(__xludf.DUMMYFUNCTION("""COMPUTED_VALUE"""),2)</f>
        <v>2</v>
      </c>
    </row>
    <row r="5689" spans="1:5" ht="13">
      <c r="A5689" s="8" t="str">
        <f ca="1">IFERROR(__xludf.DUMMYFUNCTION("""COMPUTED_VALUE"""),"Mogensen, Michael")</f>
        <v>Mogensen, Michael</v>
      </c>
      <c r="B5689" s="3">
        <f ca="1">IFERROR(__xludf.DUMMYFUNCTION("""COMPUTED_VALUE"""),1)</f>
        <v>1</v>
      </c>
      <c r="C5689" s="7">
        <f ca="1">IFERROR(__xludf.DUMMYFUNCTION("""COMPUTED_VALUE"""),1)</f>
        <v>1</v>
      </c>
      <c r="D5689" s="8">
        <f ca="1">IFERROR(__xludf.DUMMYFUNCTION("""COMPUTED_VALUE"""),1)</f>
        <v>1</v>
      </c>
      <c r="E5689" s="2">
        <f ca="1">IFERROR(__xludf.DUMMYFUNCTION("""COMPUTED_VALUE"""),1)</f>
        <v>1</v>
      </c>
    </row>
    <row r="5690" spans="1:5" ht="13">
      <c r="A5690" s="2" t="str">
        <f ca="1">IFERROR(__xludf.DUMMYFUNCTION("""COMPUTED_VALUE"""),"Mogensen, Michael A.")</f>
        <v>Mogensen, Michael A.</v>
      </c>
      <c r="B5690" s="3">
        <f ca="1">IFERROR(__xludf.DUMMYFUNCTION("""COMPUTED_VALUE"""),1)</f>
        <v>1</v>
      </c>
      <c r="C5690" s="7">
        <f ca="1">IFERROR(__xludf.DUMMYFUNCTION("""COMPUTED_VALUE"""),1)</f>
        <v>1</v>
      </c>
      <c r="D5690" s="8">
        <f ca="1">IFERROR(__xludf.DUMMYFUNCTION("""COMPUTED_VALUE"""),1)</f>
        <v>1</v>
      </c>
      <c r="E5690" s="2">
        <f ca="1">IFERROR(__xludf.DUMMYFUNCTION("""COMPUTED_VALUE"""),1)</f>
        <v>1</v>
      </c>
    </row>
    <row r="5691" spans="1:5" ht="13">
      <c r="A5691" s="2" t="str">
        <f ca="1">IFERROR(__xludf.DUMMYFUNCTION("""COMPUTED_VALUE"""),"Mohaupt, Richard")</f>
        <v>Mohaupt, Richard</v>
      </c>
      <c r="B5691" s="3">
        <f ca="1">IFERROR(__xludf.DUMMYFUNCTION("""COMPUTED_VALUE"""),1)</f>
        <v>1</v>
      </c>
      <c r="C5691" s="7">
        <f ca="1">IFERROR(__xludf.DUMMYFUNCTION("""COMPUTED_VALUE"""),1)</f>
        <v>1</v>
      </c>
      <c r="D5691" s="8">
        <f ca="1">IFERROR(__xludf.DUMMYFUNCTION("""COMPUTED_VALUE"""),5)</f>
        <v>5</v>
      </c>
      <c r="E5691" s="2">
        <f ca="1">IFERROR(__xludf.DUMMYFUNCTION("""COMPUTED_VALUE"""),2)</f>
        <v>2</v>
      </c>
    </row>
    <row r="5692" spans="1:5" ht="13">
      <c r="A5692" s="2" t="str">
        <f ca="1">IFERROR(__xludf.DUMMYFUNCTION("""COMPUTED_VALUE"""),"Mohr, Joseph")</f>
        <v>Mohr, Joseph</v>
      </c>
      <c r="B5692" s="3">
        <f ca="1">IFERROR(__xludf.DUMMYFUNCTION("""COMPUTED_VALUE"""),1)</f>
        <v>1</v>
      </c>
      <c r="C5692" s="7">
        <f ca="1">IFERROR(__xludf.DUMMYFUNCTION("""COMPUTED_VALUE"""),1)</f>
        <v>1</v>
      </c>
      <c r="D5692" s="8">
        <f ca="1">IFERROR(__xludf.DUMMYFUNCTION("""COMPUTED_VALUE"""),5)</f>
        <v>5</v>
      </c>
      <c r="E5692" s="2">
        <f ca="1">IFERROR(__xludf.DUMMYFUNCTION("""COMPUTED_VALUE"""),2)</f>
        <v>2</v>
      </c>
    </row>
    <row r="5693" spans="1:5" ht="13">
      <c r="A5693" s="2" t="str">
        <f ca="1">IFERROR(__xludf.DUMMYFUNCTION("""COMPUTED_VALUE"""),"Molefe, Stephen C.")</f>
        <v>Molefe, Stephen C.</v>
      </c>
      <c r="B5693" s="3">
        <f ca="1">IFERROR(__xludf.DUMMYFUNCTION("""COMPUTED_VALUE"""),1)</f>
        <v>1</v>
      </c>
      <c r="C5693" s="7">
        <f ca="1">IFERROR(__xludf.DUMMYFUNCTION("""COMPUTED_VALUE"""),1)</f>
        <v>1</v>
      </c>
      <c r="D5693" s="8">
        <f ca="1">IFERROR(__xludf.DUMMYFUNCTION("""COMPUTED_VALUE"""),5)</f>
        <v>5</v>
      </c>
      <c r="E5693" s="2">
        <f ca="1">IFERROR(__xludf.DUMMYFUNCTION("""COMPUTED_VALUE"""),2)</f>
        <v>2</v>
      </c>
    </row>
    <row r="5694" spans="1:5" ht="13">
      <c r="A5694" s="2" t="str">
        <f ca="1">IFERROR(__xludf.DUMMYFUNCTION("""COMPUTED_VALUE"""),"Molenaar, Jan")</f>
        <v>Molenaar, Jan</v>
      </c>
      <c r="B5694" s="3">
        <f ca="1">IFERROR(__xludf.DUMMYFUNCTION("""COMPUTED_VALUE"""),1)</f>
        <v>1</v>
      </c>
      <c r="C5694" s="7">
        <f ca="1">IFERROR(__xludf.DUMMYFUNCTION("""COMPUTED_VALUE"""),1)</f>
        <v>1</v>
      </c>
      <c r="D5694" s="8">
        <f ca="1">IFERROR(__xludf.DUMMYFUNCTION("""COMPUTED_VALUE"""),5)</f>
        <v>5</v>
      </c>
      <c r="E5694" s="2">
        <f ca="1">IFERROR(__xludf.DUMMYFUNCTION("""COMPUTED_VALUE"""),2)</f>
        <v>2</v>
      </c>
    </row>
    <row r="5695" spans="1:5" ht="13">
      <c r="A5695" s="2" t="str">
        <f ca="1">IFERROR(__xludf.DUMMYFUNCTION("""COMPUTED_VALUE"""),"Molinelli, Roberto")</f>
        <v>Molinelli, Roberto</v>
      </c>
      <c r="B5695" s="3">
        <f ca="1">IFERROR(__xludf.DUMMYFUNCTION("""COMPUTED_VALUE"""),1)</f>
        <v>1</v>
      </c>
      <c r="C5695" s="7">
        <f ca="1">IFERROR(__xludf.DUMMYFUNCTION("""COMPUTED_VALUE"""),1)</f>
        <v>1</v>
      </c>
      <c r="D5695" s="8">
        <f ca="1">IFERROR(__xludf.DUMMYFUNCTION("""COMPUTED_VALUE"""),1)</f>
        <v>1</v>
      </c>
      <c r="E5695" s="2">
        <f ca="1">IFERROR(__xludf.DUMMYFUNCTION("""COMPUTED_VALUE"""),1)</f>
        <v>1</v>
      </c>
    </row>
    <row r="5696" spans="1:5" ht="13">
      <c r="A5696" s="2" t="str">
        <f ca="1">IFERROR(__xludf.DUMMYFUNCTION("""COMPUTED_VALUE"""),"Molique, Wilhelm")</f>
        <v>Molique, Wilhelm</v>
      </c>
      <c r="B5696" s="2">
        <f ca="1">IFERROR(__xludf.DUMMYFUNCTION("""COMPUTED_VALUE"""),1)</f>
        <v>1</v>
      </c>
      <c r="C5696" s="7">
        <f ca="1">IFERROR(__xludf.DUMMYFUNCTION("""COMPUTED_VALUE"""),1)</f>
        <v>1</v>
      </c>
      <c r="D5696" s="8">
        <f ca="1">IFERROR(__xludf.DUMMYFUNCTION("""COMPUTED_VALUE"""),5)</f>
        <v>5</v>
      </c>
      <c r="E5696" s="2">
        <f ca="1">IFERROR(__xludf.DUMMYFUNCTION("""COMPUTED_VALUE"""),2)</f>
        <v>2</v>
      </c>
    </row>
    <row r="5697" spans="1:5" ht="13">
      <c r="A5697" s="2" t="str">
        <f ca="1">IFERROR(__xludf.DUMMYFUNCTION("""COMPUTED_VALUE"""),"Mollenhauer, Edward")</f>
        <v>Mollenhauer, Edward</v>
      </c>
      <c r="B5697" s="3">
        <f ca="1">IFERROR(__xludf.DUMMYFUNCTION("""COMPUTED_VALUE"""),1)</f>
        <v>1</v>
      </c>
      <c r="C5697" s="7">
        <f ca="1">IFERROR(__xludf.DUMMYFUNCTION("""COMPUTED_VALUE"""),1)</f>
        <v>1</v>
      </c>
      <c r="D5697" s="8">
        <f ca="1">IFERROR(__xludf.DUMMYFUNCTION("""COMPUTED_VALUE"""),5)</f>
        <v>5</v>
      </c>
      <c r="E5697" s="2">
        <f ca="1">IFERROR(__xludf.DUMMYFUNCTION("""COMPUTED_VALUE"""),2)</f>
        <v>2</v>
      </c>
    </row>
    <row r="5698" spans="1:5" ht="13">
      <c r="A5698" s="2" t="str">
        <f ca="1">IFERROR(__xludf.DUMMYFUNCTION("""COMPUTED_VALUE"""),"Mollenhauer, Emil")</f>
        <v>Mollenhauer, Emil</v>
      </c>
      <c r="B5698" s="2">
        <f ca="1">IFERROR(__xludf.DUMMYFUNCTION("""COMPUTED_VALUE"""),1)</f>
        <v>1</v>
      </c>
      <c r="C5698" s="2">
        <f ca="1">IFERROR(__xludf.DUMMYFUNCTION("""COMPUTED_VALUE"""),1)</f>
        <v>1</v>
      </c>
      <c r="D5698" s="8">
        <f ca="1">IFERROR(__xludf.DUMMYFUNCTION("""COMPUTED_VALUE"""),5)</f>
        <v>5</v>
      </c>
      <c r="E5698" s="2">
        <f ca="1">IFERROR(__xludf.DUMMYFUNCTION("""COMPUTED_VALUE"""),2)</f>
        <v>2</v>
      </c>
    </row>
    <row r="5699" spans="1:5" ht="13">
      <c r="A5699" s="8" t="str">
        <f ca="1">IFERROR(__xludf.DUMMYFUNCTION("""COMPUTED_VALUE"""),"Moller, John Christopher")</f>
        <v>Moller, John Christopher</v>
      </c>
      <c r="B5699" s="3">
        <f ca="1">IFERROR(__xludf.DUMMYFUNCTION("""COMPUTED_VALUE"""),1)</f>
        <v>1</v>
      </c>
      <c r="C5699" s="7">
        <f ca="1">IFERROR(__xludf.DUMMYFUNCTION("""COMPUTED_VALUE"""),1)</f>
        <v>1</v>
      </c>
      <c r="D5699" s="8">
        <f ca="1">IFERROR(__xludf.DUMMYFUNCTION("""COMPUTED_VALUE"""),5)</f>
        <v>5</v>
      </c>
      <c r="E5699" s="2">
        <f ca="1">IFERROR(__xludf.DUMMYFUNCTION("""COMPUTED_VALUE"""),2)</f>
        <v>2</v>
      </c>
    </row>
    <row r="5700" spans="1:5" ht="13">
      <c r="A5700" s="2" t="str">
        <f ca="1">IFERROR(__xludf.DUMMYFUNCTION("""COMPUTED_VALUE"""),"Moller, Poul Ivan")</f>
        <v>Moller, Poul Ivan</v>
      </c>
      <c r="B5700" s="3">
        <f ca="1">IFERROR(__xludf.DUMMYFUNCTION("""COMPUTED_VALUE"""),1)</f>
        <v>1</v>
      </c>
      <c r="C5700" s="7">
        <f ca="1">IFERROR(__xludf.DUMMYFUNCTION("""COMPUTED_VALUE"""),1)</f>
        <v>1</v>
      </c>
      <c r="D5700" s="8">
        <f ca="1">IFERROR(__xludf.DUMMYFUNCTION("""COMPUTED_VALUE"""),1)</f>
        <v>1</v>
      </c>
      <c r="E5700" s="2">
        <f ca="1">IFERROR(__xludf.DUMMYFUNCTION("""COMPUTED_VALUE"""),1)</f>
        <v>1</v>
      </c>
    </row>
    <row r="5701" spans="1:5" ht="13">
      <c r="A5701" s="2" t="str">
        <f ca="1">IFERROR(__xludf.DUMMYFUNCTION("""COMPUTED_VALUE"""),"Møller, Poul Ivan")</f>
        <v>Møller, Poul Ivan</v>
      </c>
      <c r="B5701" s="3">
        <f ca="1">IFERROR(__xludf.DUMMYFUNCTION("""COMPUTED_VALUE"""),1)</f>
        <v>1</v>
      </c>
      <c r="C5701" s="7">
        <f ca="1">IFERROR(__xludf.DUMMYFUNCTION("""COMPUTED_VALUE"""),1)</f>
        <v>1</v>
      </c>
      <c r="D5701" s="8">
        <f ca="1">IFERROR(__xludf.DUMMYFUNCTION("""COMPUTED_VALUE"""),1)</f>
        <v>1</v>
      </c>
      <c r="E5701" s="2">
        <f ca="1">IFERROR(__xludf.DUMMYFUNCTION("""COMPUTED_VALUE"""),1)</f>
        <v>1</v>
      </c>
    </row>
    <row r="5702" spans="1:5" ht="13">
      <c r="A5702" s="2" t="str">
        <f ca="1">IFERROR(__xludf.DUMMYFUNCTION("""COMPUTED_VALUE"""),"Mollicone, Henry")</f>
        <v>Mollicone, Henry</v>
      </c>
      <c r="B5702" s="3">
        <f ca="1">IFERROR(__xludf.DUMMYFUNCTION("""COMPUTED_VALUE"""),1)</f>
        <v>1</v>
      </c>
      <c r="C5702" s="7">
        <f ca="1">IFERROR(__xludf.DUMMYFUNCTION("""COMPUTED_VALUE"""),1)</f>
        <v>1</v>
      </c>
      <c r="D5702" s="8">
        <f ca="1">IFERROR(__xludf.DUMMYFUNCTION("""COMPUTED_VALUE"""),5)</f>
        <v>5</v>
      </c>
      <c r="E5702" s="2">
        <f ca="1">IFERROR(__xludf.DUMMYFUNCTION("""COMPUTED_VALUE"""),2)</f>
        <v>2</v>
      </c>
    </row>
    <row r="5703" spans="1:5" ht="13">
      <c r="A5703" s="2" t="str">
        <f ca="1">IFERROR(__xludf.DUMMYFUNCTION("""COMPUTED_VALUE"""),"Mollineux, Allen")</f>
        <v>Mollineux, Allen</v>
      </c>
      <c r="B5703" s="3">
        <f ca="1">IFERROR(__xludf.DUMMYFUNCTION("""COMPUTED_VALUE"""),1)</f>
        <v>1</v>
      </c>
      <c r="C5703" s="7">
        <f ca="1">IFERROR(__xludf.DUMMYFUNCTION("""COMPUTED_VALUE"""),1)</f>
        <v>1</v>
      </c>
      <c r="D5703" s="8">
        <f ca="1">IFERROR(__xludf.DUMMYFUNCTION("""COMPUTED_VALUE"""),1)</f>
        <v>1</v>
      </c>
      <c r="E5703" s="2">
        <f ca="1">IFERROR(__xludf.DUMMYFUNCTION("""COMPUTED_VALUE"""),1)</f>
        <v>1</v>
      </c>
    </row>
    <row r="5704" spans="1:5" ht="13">
      <c r="A5704" s="2" t="str">
        <f ca="1">IFERROR(__xludf.DUMMYFUNCTION("""COMPUTED_VALUE"""),"Molloy, James Lyman")</f>
        <v>Molloy, James Lyman</v>
      </c>
      <c r="B5704" s="3">
        <f ca="1">IFERROR(__xludf.DUMMYFUNCTION("""COMPUTED_VALUE"""),1)</f>
        <v>1</v>
      </c>
      <c r="C5704" s="7">
        <f ca="1">IFERROR(__xludf.DUMMYFUNCTION("""COMPUTED_VALUE"""),1)</f>
        <v>1</v>
      </c>
      <c r="D5704" s="8">
        <f ca="1">IFERROR(__xludf.DUMMYFUNCTION("""COMPUTED_VALUE"""),5)</f>
        <v>5</v>
      </c>
      <c r="E5704" s="2">
        <f ca="1">IFERROR(__xludf.DUMMYFUNCTION("""COMPUTED_VALUE"""),2)</f>
        <v>2</v>
      </c>
    </row>
    <row r="5705" spans="1:5" ht="13">
      <c r="A5705" s="2" t="str">
        <f ca="1">IFERROR(__xludf.DUMMYFUNCTION("""COMPUTED_VALUE"""),"Molter, Johann")</f>
        <v>Molter, Johann</v>
      </c>
      <c r="B5705" s="3">
        <f ca="1">IFERROR(__xludf.DUMMYFUNCTION("""COMPUTED_VALUE"""),1)</f>
        <v>1</v>
      </c>
      <c r="C5705" s="7">
        <f ca="1">IFERROR(__xludf.DUMMYFUNCTION("""COMPUTED_VALUE"""),1)</f>
        <v>1</v>
      </c>
      <c r="D5705" s="8">
        <f ca="1">IFERROR(__xludf.DUMMYFUNCTION("""COMPUTED_VALUE"""),5)</f>
        <v>5</v>
      </c>
      <c r="E5705" s="2">
        <f ca="1">IFERROR(__xludf.DUMMYFUNCTION("""COMPUTED_VALUE"""),2)</f>
        <v>2</v>
      </c>
    </row>
    <row r="5706" spans="1:5" ht="13">
      <c r="A5706" s="2" t="str">
        <f ca="1">IFERROR(__xludf.DUMMYFUNCTION("""COMPUTED_VALUE"""),"Molter, Johann Melchior")</f>
        <v>Molter, Johann Melchior</v>
      </c>
      <c r="B5706" s="3">
        <f ca="1">IFERROR(__xludf.DUMMYFUNCTION("""COMPUTED_VALUE"""),1)</f>
        <v>1</v>
      </c>
      <c r="C5706" s="7">
        <f ca="1">IFERROR(__xludf.DUMMYFUNCTION("""COMPUTED_VALUE"""),1)</f>
        <v>1</v>
      </c>
      <c r="D5706" s="8">
        <f ca="1">IFERROR(__xludf.DUMMYFUNCTION("""COMPUTED_VALUE"""),5)</f>
        <v>5</v>
      </c>
      <c r="E5706" s="2">
        <f ca="1">IFERROR(__xludf.DUMMYFUNCTION("""COMPUTED_VALUE"""),2)</f>
        <v>2</v>
      </c>
    </row>
    <row r="5707" spans="1:5" ht="13">
      <c r="A5707" s="2" t="str">
        <f ca="1">IFERROR(__xludf.DUMMYFUNCTION("""COMPUTED_VALUE"""),"Molter, Tom")</f>
        <v>Molter, Tom</v>
      </c>
      <c r="B5707" s="3">
        <f ca="1">IFERROR(__xludf.DUMMYFUNCTION("""COMPUTED_VALUE"""),1)</f>
        <v>1</v>
      </c>
      <c r="C5707" s="7">
        <f ca="1">IFERROR(__xludf.DUMMYFUNCTION("""COMPUTED_VALUE"""),1)</f>
        <v>1</v>
      </c>
      <c r="D5707" s="8">
        <f ca="1">IFERROR(__xludf.DUMMYFUNCTION("""COMPUTED_VALUE"""),1)</f>
        <v>1</v>
      </c>
      <c r="E5707" s="2">
        <f ca="1">IFERROR(__xludf.DUMMYFUNCTION("""COMPUTED_VALUE"""),1)</f>
        <v>1</v>
      </c>
    </row>
    <row r="5708" spans="1:5" ht="13">
      <c r="A5708" s="2" t="str">
        <f ca="1">IFERROR(__xludf.DUMMYFUNCTION("""COMPUTED_VALUE"""),"Monaco, James")</f>
        <v>Monaco, James</v>
      </c>
      <c r="B5708" s="2">
        <f ca="1">IFERROR(__xludf.DUMMYFUNCTION("""COMPUTED_VALUE"""),1)</f>
        <v>1</v>
      </c>
      <c r="C5708" s="7">
        <f ca="1">IFERROR(__xludf.DUMMYFUNCTION("""COMPUTED_VALUE"""),1)</f>
        <v>1</v>
      </c>
      <c r="D5708" s="8">
        <f ca="1">IFERROR(__xludf.DUMMYFUNCTION("""COMPUTED_VALUE"""),5)</f>
        <v>5</v>
      </c>
      <c r="E5708" s="2">
        <f ca="1">IFERROR(__xludf.DUMMYFUNCTION("""COMPUTED_VALUE"""),2)</f>
        <v>2</v>
      </c>
    </row>
    <row r="5709" spans="1:5" ht="13">
      <c r="A5709" s="2" t="str">
        <f ca="1">IFERROR(__xludf.DUMMYFUNCTION("""COMPUTED_VALUE"""),"Mondrone, Pasquale")</f>
        <v>Mondrone, Pasquale</v>
      </c>
      <c r="B5709" s="2">
        <f ca="1">IFERROR(__xludf.DUMMYFUNCTION("""COMPUTED_VALUE"""),1)</f>
        <v>1</v>
      </c>
      <c r="C5709" s="2">
        <f ca="1">IFERROR(__xludf.DUMMYFUNCTION("""COMPUTED_VALUE"""),1)</f>
        <v>1</v>
      </c>
      <c r="D5709" s="8">
        <f ca="1">IFERROR(__xludf.DUMMYFUNCTION("""COMPUTED_VALUE"""),5)</f>
        <v>5</v>
      </c>
      <c r="E5709" s="2">
        <f ca="1">IFERROR(__xludf.DUMMYFUNCTION("""COMPUTED_VALUE"""),2)</f>
        <v>2</v>
      </c>
    </row>
    <row r="5710" spans="1:5" ht="13">
      <c r="A5710" s="2" t="str">
        <f ca="1">IFERROR(__xludf.DUMMYFUNCTION("""COMPUTED_VALUE"""),"Monhardt, Jonathan")</f>
        <v>Monhardt, Jonathan</v>
      </c>
      <c r="B5710" s="3">
        <f ca="1">IFERROR(__xludf.DUMMYFUNCTION("""COMPUTED_VALUE"""),1)</f>
        <v>1</v>
      </c>
      <c r="C5710" s="7">
        <f ca="1">IFERROR(__xludf.DUMMYFUNCTION("""COMPUTED_VALUE"""),1)</f>
        <v>1</v>
      </c>
      <c r="D5710" s="8">
        <f ca="1">IFERROR(__xludf.DUMMYFUNCTION("""COMPUTED_VALUE"""),1)</f>
        <v>1</v>
      </c>
      <c r="E5710" s="2">
        <f ca="1">IFERROR(__xludf.DUMMYFUNCTION("""COMPUTED_VALUE"""),1)</f>
        <v>1</v>
      </c>
    </row>
    <row r="5711" spans="1:5" ht="13">
      <c r="A5711" s="2" t="str">
        <f ca="1">IFERROR(__xludf.DUMMYFUNCTION("""COMPUTED_VALUE"""),"Monhardt, Maurice")</f>
        <v>Monhardt, Maurice</v>
      </c>
      <c r="B5711" s="3">
        <f ca="1">IFERROR(__xludf.DUMMYFUNCTION("""COMPUTED_VALUE"""),1)</f>
        <v>1</v>
      </c>
      <c r="C5711" s="7">
        <f ca="1">IFERROR(__xludf.DUMMYFUNCTION("""COMPUTED_VALUE"""),1)</f>
        <v>1</v>
      </c>
      <c r="D5711" s="8">
        <f ca="1">IFERROR(__xludf.DUMMYFUNCTION("""COMPUTED_VALUE"""),5)</f>
        <v>5</v>
      </c>
      <c r="E5711" s="2">
        <f ca="1">IFERROR(__xludf.DUMMYFUNCTION("""COMPUTED_VALUE"""),2)</f>
        <v>2</v>
      </c>
    </row>
    <row r="5712" spans="1:5" ht="13">
      <c r="A5712" s="2" t="str">
        <f ca="1">IFERROR(__xludf.DUMMYFUNCTION("""COMPUTED_VALUE"""),"Moniuszko, Staniłsaw")</f>
        <v>Moniuszko, Staniłsaw</v>
      </c>
      <c r="B5712" s="3">
        <f ca="1">IFERROR(__xludf.DUMMYFUNCTION("""COMPUTED_VALUE"""),1)</f>
        <v>1</v>
      </c>
      <c r="C5712" s="7">
        <f ca="1">IFERROR(__xludf.DUMMYFUNCTION("""COMPUTED_VALUE"""),1)</f>
        <v>1</v>
      </c>
      <c r="D5712" s="8">
        <f ca="1">IFERROR(__xludf.DUMMYFUNCTION("""COMPUTED_VALUE"""),5)</f>
        <v>5</v>
      </c>
      <c r="E5712" s="2">
        <f ca="1">IFERROR(__xludf.DUMMYFUNCTION("""COMPUTED_VALUE"""),2)</f>
        <v>2</v>
      </c>
    </row>
    <row r="5713" spans="1:5" ht="13">
      <c r="A5713" s="2" t="str">
        <f ca="1">IFERROR(__xludf.DUMMYFUNCTION("""COMPUTED_VALUE"""),"Monk, William Henry")</f>
        <v>Monk, William Henry</v>
      </c>
      <c r="B5713" s="2">
        <f ca="1">IFERROR(__xludf.DUMMYFUNCTION("""COMPUTED_VALUE"""),1)</f>
        <v>1</v>
      </c>
      <c r="C5713" s="7">
        <f ca="1">IFERROR(__xludf.DUMMYFUNCTION("""COMPUTED_VALUE"""),1)</f>
        <v>1</v>
      </c>
      <c r="D5713" s="8">
        <f ca="1">IFERROR(__xludf.DUMMYFUNCTION("""COMPUTED_VALUE"""),5)</f>
        <v>5</v>
      </c>
      <c r="E5713" s="2">
        <f ca="1">IFERROR(__xludf.DUMMYFUNCTION("""COMPUTED_VALUE"""),2)</f>
        <v>2</v>
      </c>
    </row>
    <row r="5714" spans="1:5" ht="13">
      <c r="A5714" s="2" t="str">
        <f ca="1">IFERROR(__xludf.DUMMYFUNCTION("""COMPUTED_VALUE"""),"Monkemeyer, Nils")</f>
        <v>Monkemeyer, Nils</v>
      </c>
      <c r="B5714" s="3">
        <f ca="1">IFERROR(__xludf.DUMMYFUNCTION("""COMPUTED_VALUE"""),1)</f>
        <v>1</v>
      </c>
      <c r="C5714" s="7">
        <f ca="1">IFERROR(__xludf.DUMMYFUNCTION("""COMPUTED_VALUE"""),1)</f>
        <v>1</v>
      </c>
      <c r="D5714" s="8">
        <f ca="1">IFERROR(__xludf.DUMMYFUNCTION("""COMPUTED_VALUE"""),1)</f>
        <v>1</v>
      </c>
      <c r="E5714" s="2">
        <f ca="1">IFERROR(__xludf.DUMMYFUNCTION("""COMPUTED_VALUE"""),1)</f>
        <v>1</v>
      </c>
    </row>
    <row r="5715" spans="1:5" ht="13">
      <c r="A5715" s="2" t="str">
        <f ca="1">IFERROR(__xludf.DUMMYFUNCTION("""COMPUTED_VALUE"""),"Monn, Georg Matthias")</f>
        <v>Monn, Georg Matthias</v>
      </c>
      <c r="B5715" s="3">
        <f ca="1">IFERROR(__xludf.DUMMYFUNCTION("""COMPUTED_VALUE"""),1)</f>
        <v>1</v>
      </c>
      <c r="C5715" s="7">
        <f ca="1">IFERROR(__xludf.DUMMYFUNCTION("""COMPUTED_VALUE"""),1)</f>
        <v>1</v>
      </c>
      <c r="D5715" s="8">
        <f ca="1">IFERROR(__xludf.DUMMYFUNCTION("""COMPUTED_VALUE"""),5)</f>
        <v>5</v>
      </c>
      <c r="E5715" s="2">
        <f ca="1">IFERROR(__xludf.DUMMYFUNCTION("""COMPUTED_VALUE"""),2)</f>
        <v>2</v>
      </c>
    </row>
    <row r="5716" spans="1:5" ht="13">
      <c r="A5716" s="2" t="str">
        <f ca="1">IFERROR(__xludf.DUMMYFUNCTION("""COMPUTED_VALUE"""),"Monro, George")</f>
        <v>Monro, George</v>
      </c>
      <c r="B5716" s="3">
        <f ca="1">IFERROR(__xludf.DUMMYFUNCTION("""COMPUTED_VALUE"""),1)</f>
        <v>1</v>
      </c>
      <c r="C5716" s="7">
        <f ca="1">IFERROR(__xludf.DUMMYFUNCTION("""COMPUTED_VALUE"""),1)</f>
        <v>1</v>
      </c>
      <c r="D5716" s="8">
        <f ca="1">IFERROR(__xludf.DUMMYFUNCTION("""COMPUTED_VALUE"""),5)</f>
        <v>5</v>
      </c>
      <c r="E5716" s="2">
        <f ca="1">IFERROR(__xludf.DUMMYFUNCTION("""COMPUTED_VALUE"""),2)</f>
        <v>2</v>
      </c>
    </row>
    <row r="5717" spans="1:5" ht="13">
      <c r="A5717" s="2" t="str">
        <f ca="1">IFERROR(__xludf.DUMMYFUNCTION("""COMPUTED_VALUE"""),"Monroe, Brian")</f>
        <v>Monroe, Brian</v>
      </c>
      <c r="B5717" s="3">
        <f ca="1">IFERROR(__xludf.DUMMYFUNCTION("""COMPUTED_VALUE"""),1)</f>
        <v>1</v>
      </c>
      <c r="C5717" s="7">
        <f ca="1">IFERROR(__xludf.DUMMYFUNCTION("""COMPUTED_VALUE"""),1)</f>
        <v>1</v>
      </c>
      <c r="D5717" s="8">
        <f ca="1">IFERROR(__xludf.DUMMYFUNCTION("""COMPUTED_VALUE"""),1)</f>
        <v>1</v>
      </c>
      <c r="E5717" s="2">
        <f ca="1">IFERROR(__xludf.DUMMYFUNCTION("""COMPUTED_VALUE"""),1)</f>
        <v>1</v>
      </c>
    </row>
    <row r="5718" spans="1:5" ht="13">
      <c r="A5718" s="2" t="str">
        <f ca="1">IFERROR(__xludf.DUMMYFUNCTION("""COMPUTED_VALUE"""),"Monroe, Ervin")</f>
        <v>Monroe, Ervin</v>
      </c>
      <c r="B5718" s="3">
        <f ca="1">IFERROR(__xludf.DUMMYFUNCTION("""COMPUTED_VALUE"""),1)</f>
        <v>1</v>
      </c>
      <c r="C5718" s="7">
        <f ca="1">IFERROR(__xludf.DUMMYFUNCTION("""COMPUTED_VALUE"""),1)</f>
        <v>1</v>
      </c>
      <c r="D5718" s="8">
        <f ca="1">IFERROR(__xludf.DUMMYFUNCTION("""COMPUTED_VALUE"""),1)</f>
        <v>1</v>
      </c>
      <c r="E5718" s="2">
        <f ca="1">IFERROR(__xludf.DUMMYFUNCTION("""COMPUTED_VALUE"""),1)</f>
        <v>1</v>
      </c>
    </row>
    <row r="5719" spans="1:5" ht="13">
      <c r="A5719" s="2" t="str">
        <f ca="1">IFERROR(__xludf.DUMMYFUNCTION("""COMPUTED_VALUE"""),"Montague, Stephen")</f>
        <v>Montague, Stephen</v>
      </c>
      <c r="B5719" s="3">
        <f ca="1">IFERROR(__xludf.DUMMYFUNCTION("""COMPUTED_VALUE"""),1)</f>
        <v>1</v>
      </c>
      <c r="C5719" s="7">
        <f ca="1">IFERROR(__xludf.DUMMYFUNCTION("""COMPUTED_VALUE"""),1)</f>
        <v>1</v>
      </c>
      <c r="D5719" s="8">
        <f ca="1">IFERROR(__xludf.DUMMYFUNCTION("""COMPUTED_VALUE"""),1)</f>
        <v>1</v>
      </c>
      <c r="E5719" s="2">
        <f ca="1">IFERROR(__xludf.DUMMYFUNCTION("""COMPUTED_VALUE"""),1)</f>
        <v>1</v>
      </c>
    </row>
    <row r="5720" spans="1:5" ht="13">
      <c r="A5720" s="2" t="str">
        <f ca="1">IFERROR(__xludf.DUMMYFUNCTION("""COMPUTED_VALUE"""),"Montano, Damian")</f>
        <v>Montano, Damian</v>
      </c>
      <c r="B5720" s="3">
        <f ca="1">IFERROR(__xludf.DUMMYFUNCTION("""COMPUTED_VALUE"""),1)</f>
        <v>1</v>
      </c>
      <c r="C5720" s="7">
        <f ca="1">IFERROR(__xludf.DUMMYFUNCTION("""COMPUTED_VALUE"""),1)</f>
        <v>1</v>
      </c>
      <c r="D5720" s="8">
        <f ca="1">IFERROR(__xludf.DUMMYFUNCTION("""COMPUTED_VALUE"""),1)</f>
        <v>1</v>
      </c>
      <c r="E5720" s="2">
        <f ca="1">IFERROR(__xludf.DUMMYFUNCTION("""COMPUTED_VALUE"""),1)</f>
        <v>1</v>
      </c>
    </row>
    <row r="5721" spans="1:5" ht="13">
      <c r="A5721" s="2" t="str">
        <f ca="1">IFERROR(__xludf.DUMMYFUNCTION("""COMPUTED_VALUE"""),"Monte, Philippi de")</f>
        <v>Monte, Philippi de</v>
      </c>
      <c r="B5721" s="2">
        <f ca="1">IFERROR(__xludf.DUMMYFUNCTION("""COMPUTED_VALUE"""),1)</f>
        <v>1</v>
      </c>
      <c r="C5721" s="7">
        <f ca="1">IFERROR(__xludf.DUMMYFUNCTION("""COMPUTED_VALUE"""),1)</f>
        <v>1</v>
      </c>
      <c r="D5721" s="8">
        <f ca="1">IFERROR(__xludf.DUMMYFUNCTION("""COMPUTED_VALUE"""),5)</f>
        <v>5</v>
      </c>
      <c r="E5721" s="2">
        <f ca="1">IFERROR(__xludf.DUMMYFUNCTION("""COMPUTED_VALUE"""),2)</f>
        <v>2</v>
      </c>
    </row>
    <row r="5722" spans="1:5" ht="13">
      <c r="A5722" s="2" t="str">
        <f ca="1">IFERROR(__xludf.DUMMYFUNCTION("""COMPUTED_VALUE"""),"Montemezzi, Italo")</f>
        <v>Montemezzi, Italo</v>
      </c>
      <c r="B5722" s="3">
        <f ca="1">IFERROR(__xludf.DUMMYFUNCTION("""COMPUTED_VALUE"""),1)</f>
        <v>1</v>
      </c>
      <c r="C5722" s="7">
        <f ca="1">IFERROR(__xludf.DUMMYFUNCTION("""COMPUTED_VALUE"""),1)</f>
        <v>1</v>
      </c>
      <c r="D5722" s="8">
        <f ca="1">IFERROR(__xludf.DUMMYFUNCTION("""COMPUTED_VALUE"""),5)</f>
        <v>5</v>
      </c>
      <c r="E5722" s="2">
        <f ca="1">IFERROR(__xludf.DUMMYFUNCTION("""COMPUTED_VALUE"""),2)</f>
        <v>2</v>
      </c>
    </row>
    <row r="5723" spans="1:5" ht="13">
      <c r="A5723" s="2" t="str">
        <f ca="1">IFERROR(__xludf.DUMMYFUNCTION("""COMPUTED_VALUE"""),"Montenegro, Hugo")</f>
        <v>Montenegro, Hugo</v>
      </c>
      <c r="B5723" s="3">
        <f ca="1">IFERROR(__xludf.DUMMYFUNCTION("""COMPUTED_VALUE"""),1)</f>
        <v>1</v>
      </c>
      <c r="C5723" s="7">
        <f ca="1">IFERROR(__xludf.DUMMYFUNCTION("""COMPUTED_VALUE"""),1)</f>
        <v>1</v>
      </c>
      <c r="D5723" s="8">
        <f ca="1">IFERROR(__xludf.DUMMYFUNCTION("""COMPUTED_VALUE"""),5)</f>
        <v>5</v>
      </c>
      <c r="E5723" s="2">
        <f ca="1">IFERROR(__xludf.DUMMYFUNCTION("""COMPUTED_VALUE"""),2)</f>
        <v>2</v>
      </c>
    </row>
    <row r="5724" spans="1:5" ht="13">
      <c r="A5724" s="2" t="str">
        <f ca="1">IFERROR(__xludf.DUMMYFUNCTION("""COMPUTED_VALUE"""),"Monterde, Bernardino, Bautista")</f>
        <v>Monterde, Bernardino, Bautista</v>
      </c>
      <c r="B5724" s="3">
        <f ca="1">IFERROR(__xludf.DUMMYFUNCTION("""COMPUTED_VALUE"""),1)</f>
        <v>1</v>
      </c>
      <c r="C5724" s="7">
        <f ca="1">IFERROR(__xludf.DUMMYFUNCTION("""COMPUTED_VALUE"""),1)</f>
        <v>1</v>
      </c>
      <c r="D5724" s="8">
        <f ca="1">IFERROR(__xludf.DUMMYFUNCTION("""COMPUTED_VALUE"""),5)</f>
        <v>5</v>
      </c>
      <c r="E5724" s="2">
        <f ca="1">IFERROR(__xludf.DUMMYFUNCTION("""COMPUTED_VALUE"""),2)</f>
        <v>2</v>
      </c>
    </row>
    <row r="5725" spans="1:5" ht="13">
      <c r="A5725" s="2" t="str">
        <f ca="1">IFERROR(__xludf.DUMMYFUNCTION("""COMPUTED_VALUE"""),"Monterde, Bernardo Bautista")</f>
        <v>Monterde, Bernardo Bautista</v>
      </c>
      <c r="B5725" s="3">
        <f ca="1">IFERROR(__xludf.DUMMYFUNCTION("""COMPUTED_VALUE"""),1)</f>
        <v>1</v>
      </c>
      <c r="C5725" s="7">
        <f ca="1">IFERROR(__xludf.DUMMYFUNCTION("""COMPUTED_VALUE"""),1)</f>
        <v>1</v>
      </c>
      <c r="D5725" s="8">
        <f ca="1">IFERROR(__xludf.DUMMYFUNCTION("""COMPUTED_VALUE"""),5)</f>
        <v>5</v>
      </c>
      <c r="E5725" s="2">
        <f ca="1">IFERROR(__xludf.DUMMYFUNCTION("""COMPUTED_VALUE"""),2)</f>
        <v>2</v>
      </c>
    </row>
    <row r="5726" spans="1:5" ht="13">
      <c r="A5726" s="2" t="str">
        <f ca="1">IFERROR(__xludf.DUMMYFUNCTION("""COMPUTED_VALUE"""),"Monteverdi-Scarlatti")</f>
        <v>Monteverdi-Scarlatti</v>
      </c>
      <c r="B5726" s="3">
        <f ca="1">IFERROR(__xludf.DUMMYFUNCTION("""COMPUTED_VALUE"""),1)</f>
        <v>1</v>
      </c>
      <c r="C5726" s="7">
        <f ca="1">IFERROR(__xludf.DUMMYFUNCTION("""COMPUTED_VALUE"""),1)</f>
        <v>1</v>
      </c>
      <c r="D5726" s="8">
        <f ca="1">IFERROR(__xludf.DUMMYFUNCTION("""COMPUTED_VALUE"""),5)</f>
        <v>5</v>
      </c>
      <c r="E5726" s="3">
        <f ca="1">IFERROR(__xludf.DUMMYFUNCTION("""COMPUTED_VALUE"""),2)</f>
        <v>2</v>
      </c>
    </row>
    <row r="5727" spans="1:5" ht="13">
      <c r="A5727" s="2" t="str">
        <f ca="1">IFERROR(__xludf.DUMMYFUNCTION("""COMPUTED_VALUE"""),"Monteverdi, Claudio")</f>
        <v>Monteverdi, Claudio</v>
      </c>
      <c r="B5727" s="3">
        <f ca="1">IFERROR(__xludf.DUMMYFUNCTION("""COMPUTED_VALUE"""),1)</f>
        <v>1</v>
      </c>
      <c r="C5727" s="7">
        <f ca="1">IFERROR(__xludf.DUMMYFUNCTION("""COMPUTED_VALUE"""),1)</f>
        <v>1</v>
      </c>
      <c r="D5727" s="8">
        <f ca="1">IFERROR(__xludf.DUMMYFUNCTION("""COMPUTED_VALUE"""),5)</f>
        <v>5</v>
      </c>
      <c r="E5727" s="2">
        <f ca="1">IFERROR(__xludf.DUMMYFUNCTION("""COMPUTED_VALUE"""),2)</f>
        <v>2</v>
      </c>
    </row>
    <row r="5728" spans="1:5" ht="13">
      <c r="A5728" s="2" t="str">
        <f ca="1">IFERROR(__xludf.DUMMYFUNCTION("""COMPUTED_VALUE"""),"Montgomery, Bruce")</f>
        <v>Montgomery, Bruce</v>
      </c>
      <c r="B5728" s="3">
        <f ca="1">IFERROR(__xludf.DUMMYFUNCTION("""COMPUTED_VALUE"""),1)</f>
        <v>1</v>
      </c>
      <c r="C5728" s="7">
        <f ca="1">IFERROR(__xludf.DUMMYFUNCTION("""COMPUTED_VALUE"""),1)</f>
        <v>1</v>
      </c>
      <c r="D5728" s="8">
        <f ca="1">IFERROR(__xludf.DUMMYFUNCTION("""COMPUTED_VALUE"""),5)</f>
        <v>5</v>
      </c>
      <c r="E5728" s="2">
        <f ca="1">IFERROR(__xludf.DUMMYFUNCTION("""COMPUTED_VALUE"""),2)</f>
        <v>2</v>
      </c>
    </row>
    <row r="5729" spans="1:5" ht="13">
      <c r="A5729" s="8" t="str">
        <f ca="1">IFERROR(__xludf.DUMMYFUNCTION("""COMPUTED_VALUE"""),"Montgomery, Mathew")</f>
        <v>Montgomery, Mathew</v>
      </c>
      <c r="B5729" s="3">
        <f ca="1">IFERROR(__xludf.DUMMYFUNCTION("""COMPUTED_VALUE"""),1)</f>
        <v>1</v>
      </c>
      <c r="C5729" s="7">
        <f ca="1">IFERROR(__xludf.DUMMYFUNCTION("""COMPUTED_VALUE"""),1)</f>
        <v>1</v>
      </c>
      <c r="D5729" s="8">
        <f ca="1">IFERROR(__xludf.DUMMYFUNCTION("""COMPUTED_VALUE"""),1)</f>
        <v>1</v>
      </c>
      <c r="E5729" s="2">
        <f ca="1">IFERROR(__xludf.DUMMYFUNCTION("""COMPUTED_VALUE"""),1)</f>
        <v>1</v>
      </c>
    </row>
    <row r="5730" spans="1:5" ht="13">
      <c r="A5730" s="2" t="str">
        <f ca="1">IFERROR(__xludf.DUMMYFUNCTION("""COMPUTED_VALUE"""),"Montgomery, Matthew")</f>
        <v>Montgomery, Matthew</v>
      </c>
      <c r="B5730" s="3">
        <f ca="1">IFERROR(__xludf.DUMMYFUNCTION("""COMPUTED_VALUE"""),1)</f>
        <v>1</v>
      </c>
      <c r="C5730" s="7">
        <f ca="1">IFERROR(__xludf.DUMMYFUNCTION("""COMPUTED_VALUE"""),1)</f>
        <v>1</v>
      </c>
      <c r="D5730" s="8">
        <f ca="1">IFERROR(__xludf.DUMMYFUNCTION("""COMPUTED_VALUE"""),1)</f>
        <v>1</v>
      </c>
      <c r="E5730" s="2">
        <f ca="1">IFERROR(__xludf.DUMMYFUNCTION("""COMPUTED_VALUE"""),1)</f>
        <v>1</v>
      </c>
    </row>
    <row r="5731" spans="1:5" ht="13">
      <c r="A5731" s="2" t="str">
        <f ca="1">IFERROR(__xludf.DUMMYFUNCTION("""COMPUTED_VALUE"""),"Montgomery, William")</f>
        <v>Montgomery, William</v>
      </c>
      <c r="B5731" s="3">
        <f ca="1">IFERROR(__xludf.DUMMYFUNCTION("""COMPUTED_VALUE"""),1)</f>
        <v>1</v>
      </c>
      <c r="C5731" s="7">
        <f ca="1">IFERROR(__xludf.DUMMYFUNCTION("""COMPUTED_VALUE"""),1)</f>
        <v>1</v>
      </c>
      <c r="D5731" s="8">
        <f ca="1">IFERROR(__xludf.DUMMYFUNCTION("""COMPUTED_VALUE"""),1)</f>
        <v>1</v>
      </c>
      <c r="E5731" s="2">
        <f ca="1">IFERROR(__xludf.DUMMYFUNCTION("""COMPUTED_VALUE"""),1)</f>
        <v>1</v>
      </c>
    </row>
    <row r="5732" spans="1:5" ht="13">
      <c r="A5732" s="2" t="str">
        <f ca="1">IFERROR(__xludf.DUMMYFUNCTION("""COMPUTED_VALUE"""),"Monti, Vittorio")</f>
        <v>Monti, Vittorio</v>
      </c>
      <c r="B5732" s="3">
        <f ca="1">IFERROR(__xludf.DUMMYFUNCTION("""COMPUTED_VALUE"""),1)</f>
        <v>1</v>
      </c>
      <c r="C5732" s="7">
        <f ca="1">IFERROR(__xludf.DUMMYFUNCTION("""COMPUTED_VALUE"""),1)</f>
        <v>1</v>
      </c>
      <c r="D5732" s="8">
        <f ca="1">IFERROR(__xludf.DUMMYFUNCTION("""COMPUTED_VALUE"""),5)</f>
        <v>5</v>
      </c>
      <c r="E5732" s="2">
        <f ca="1">IFERROR(__xludf.DUMMYFUNCTION("""COMPUTED_VALUE"""),2)</f>
        <v>2</v>
      </c>
    </row>
    <row r="5733" spans="1:5" ht="13">
      <c r="A5733" s="2" t="str">
        <f ca="1">IFERROR(__xludf.DUMMYFUNCTION("""COMPUTED_VALUE"""),"Montoya, David V.")</f>
        <v>Montoya, David V.</v>
      </c>
      <c r="B5733" s="3">
        <f ca="1">IFERROR(__xludf.DUMMYFUNCTION("""COMPUTED_VALUE"""),1)</f>
        <v>1</v>
      </c>
      <c r="C5733" s="7">
        <f ca="1">IFERROR(__xludf.DUMMYFUNCTION("""COMPUTED_VALUE"""),1)</f>
        <v>1</v>
      </c>
      <c r="D5733" s="8">
        <f ca="1">IFERROR(__xludf.DUMMYFUNCTION("""COMPUTED_VALUE"""),1)</f>
        <v>1</v>
      </c>
      <c r="E5733" s="2">
        <f ca="1">IFERROR(__xludf.DUMMYFUNCTION("""COMPUTED_VALUE"""),1)</f>
        <v>1</v>
      </c>
    </row>
    <row r="5734" spans="1:5" ht="13">
      <c r="A5734" s="8" t="str">
        <f ca="1">IFERROR(__xludf.DUMMYFUNCTION("""COMPUTED_VALUE"""),"Montsalvatge, Xavier")</f>
        <v>Montsalvatge, Xavier</v>
      </c>
      <c r="B5734" s="3">
        <f ca="1">IFERROR(__xludf.DUMMYFUNCTION("""COMPUTED_VALUE"""),1)</f>
        <v>1</v>
      </c>
      <c r="C5734" s="7">
        <f ca="1">IFERROR(__xludf.DUMMYFUNCTION("""COMPUTED_VALUE"""),1)</f>
        <v>1</v>
      </c>
      <c r="D5734" s="8">
        <f ca="1">IFERROR(__xludf.DUMMYFUNCTION("""COMPUTED_VALUE"""),5)</f>
        <v>5</v>
      </c>
      <c r="E5734" s="2">
        <f ca="1">IFERROR(__xludf.DUMMYFUNCTION("""COMPUTED_VALUE"""),2)</f>
        <v>2</v>
      </c>
    </row>
    <row r="5735" spans="1:5" ht="13">
      <c r="A5735" s="2" t="str">
        <f ca="1">IFERROR(__xludf.DUMMYFUNCTION("""COMPUTED_VALUE"""),"Moon, Earl / Knight, Mel")</f>
        <v>Moon, Earl / Knight, Mel</v>
      </c>
      <c r="B5735" s="3">
        <f ca="1">IFERROR(__xludf.DUMMYFUNCTION("""COMPUTED_VALUE"""),1)</f>
        <v>1</v>
      </c>
      <c r="C5735" s="7">
        <f ca="1">IFERROR(__xludf.DUMMYFUNCTION("""COMPUTED_VALUE"""),1)</f>
        <v>1</v>
      </c>
      <c r="D5735" s="8">
        <f ca="1">IFERROR(__xludf.DUMMYFUNCTION("""COMPUTED_VALUE"""),1)</f>
        <v>1</v>
      </c>
      <c r="E5735" s="2">
        <f ca="1">IFERROR(__xludf.DUMMYFUNCTION("""COMPUTED_VALUE"""),1)</f>
        <v>1</v>
      </c>
    </row>
    <row r="5736" spans="1:5" ht="13">
      <c r="A5736" s="2" t="str">
        <f ca="1">IFERROR(__xludf.DUMMYFUNCTION("""COMPUTED_VALUE"""),"Moon, Earl / Waesche, Ed")</f>
        <v>Moon, Earl / Waesche, Ed</v>
      </c>
      <c r="B5736" s="3">
        <f ca="1">IFERROR(__xludf.DUMMYFUNCTION("""COMPUTED_VALUE"""),1)</f>
        <v>1</v>
      </c>
      <c r="C5736" s="7">
        <f ca="1">IFERROR(__xludf.DUMMYFUNCTION("""COMPUTED_VALUE"""),1)</f>
        <v>1</v>
      </c>
      <c r="D5736" s="8">
        <f ca="1">IFERROR(__xludf.DUMMYFUNCTION("""COMPUTED_VALUE"""),1)</f>
        <v>1</v>
      </c>
      <c r="E5736" s="2">
        <f ca="1">IFERROR(__xludf.DUMMYFUNCTION("""COMPUTED_VALUE"""),1)</f>
        <v>1</v>
      </c>
    </row>
    <row r="5737" spans="1:5" ht="13">
      <c r="A5737" s="2" t="str">
        <f ca="1">IFERROR(__xludf.DUMMYFUNCTION("""COMPUTED_VALUE"""),"Mooney, David")</f>
        <v>Mooney, David</v>
      </c>
      <c r="B5737" s="3">
        <f ca="1">IFERROR(__xludf.DUMMYFUNCTION("""COMPUTED_VALUE"""),1)</f>
        <v>1</v>
      </c>
      <c r="C5737" s="7">
        <f ca="1">IFERROR(__xludf.DUMMYFUNCTION("""COMPUTED_VALUE"""),1)</f>
        <v>1</v>
      </c>
      <c r="D5737" s="8">
        <f ca="1">IFERROR(__xludf.DUMMYFUNCTION("""COMPUTED_VALUE"""),1)</f>
        <v>1</v>
      </c>
      <c r="E5737" s="2">
        <f ca="1">IFERROR(__xludf.DUMMYFUNCTION("""COMPUTED_VALUE"""),1)</f>
        <v>1</v>
      </c>
    </row>
    <row r="5738" spans="1:5" ht="13">
      <c r="A5738" s="2" t="str">
        <f ca="1">IFERROR(__xludf.DUMMYFUNCTION("""COMPUTED_VALUE"""),"Moór, Emánuel")</f>
        <v>Moór, Emánuel</v>
      </c>
      <c r="B5738" s="3">
        <f ca="1">IFERROR(__xludf.DUMMYFUNCTION("""COMPUTED_VALUE"""),1)</f>
        <v>1</v>
      </c>
      <c r="C5738" s="7">
        <f ca="1">IFERROR(__xludf.DUMMYFUNCTION("""COMPUTED_VALUE"""),1)</f>
        <v>1</v>
      </c>
      <c r="D5738" s="8">
        <f ca="1">IFERROR(__xludf.DUMMYFUNCTION("""COMPUTED_VALUE"""),5)</f>
        <v>5</v>
      </c>
      <c r="E5738" s="2">
        <f ca="1">IFERROR(__xludf.DUMMYFUNCTION("""COMPUTED_VALUE"""),2)</f>
        <v>2</v>
      </c>
    </row>
    <row r="5739" spans="1:5" ht="13">
      <c r="A5739" s="2" t="str">
        <f ca="1">IFERROR(__xludf.DUMMYFUNCTION("""COMPUTED_VALUE"""),"Moore, Chris")</f>
        <v>Moore, Chris</v>
      </c>
      <c r="B5739" s="3">
        <f ca="1">IFERROR(__xludf.DUMMYFUNCTION("""COMPUTED_VALUE"""),1)</f>
        <v>1</v>
      </c>
      <c r="C5739" s="7">
        <f ca="1">IFERROR(__xludf.DUMMYFUNCTION("""COMPUTED_VALUE"""),1)</f>
        <v>1</v>
      </c>
      <c r="D5739" s="8">
        <f ca="1">IFERROR(__xludf.DUMMYFUNCTION("""COMPUTED_VALUE"""),5)</f>
        <v>5</v>
      </c>
      <c r="E5739" s="2">
        <f ca="1">IFERROR(__xludf.DUMMYFUNCTION("""COMPUTED_VALUE"""),2)</f>
        <v>2</v>
      </c>
    </row>
    <row r="5740" spans="1:5" ht="13">
      <c r="A5740" s="2" t="str">
        <f ca="1">IFERROR(__xludf.DUMMYFUNCTION("""COMPUTED_VALUE"""),"Moore, Clayton")</f>
        <v>Moore, Clayton</v>
      </c>
      <c r="B5740" s="3">
        <f ca="1">IFERROR(__xludf.DUMMYFUNCTION("""COMPUTED_VALUE"""),1)</f>
        <v>1</v>
      </c>
      <c r="C5740" s="7">
        <f ca="1">IFERROR(__xludf.DUMMYFUNCTION("""COMPUTED_VALUE"""),1)</f>
        <v>1</v>
      </c>
      <c r="D5740" s="8">
        <f ca="1">IFERROR(__xludf.DUMMYFUNCTION("""COMPUTED_VALUE"""),1)</f>
        <v>1</v>
      </c>
      <c r="E5740" s="2">
        <f ca="1">IFERROR(__xludf.DUMMYFUNCTION("""COMPUTED_VALUE"""),1)</f>
        <v>1</v>
      </c>
    </row>
    <row r="5741" spans="1:5" ht="13">
      <c r="A5741" s="2" t="str">
        <f ca="1">IFERROR(__xludf.DUMMYFUNCTION("""COMPUTED_VALUE"""),"Moore, Clayton Lloyd")</f>
        <v>Moore, Clayton Lloyd</v>
      </c>
      <c r="B5741" s="3">
        <f ca="1">IFERROR(__xludf.DUMMYFUNCTION("""COMPUTED_VALUE"""),1)</f>
        <v>1</v>
      </c>
      <c r="C5741" s="7">
        <f ca="1">IFERROR(__xludf.DUMMYFUNCTION("""COMPUTED_VALUE"""),1)</f>
        <v>1</v>
      </c>
      <c r="D5741" s="8">
        <f ca="1">IFERROR(__xludf.DUMMYFUNCTION("""COMPUTED_VALUE"""),1)</f>
        <v>1</v>
      </c>
      <c r="E5741" s="2">
        <f ca="1">IFERROR(__xludf.DUMMYFUNCTION("""COMPUTED_VALUE"""),1)</f>
        <v>1</v>
      </c>
    </row>
    <row r="5742" spans="1:5" ht="13">
      <c r="A5742" s="2" t="str">
        <f ca="1">IFERROR(__xludf.DUMMYFUNCTION("""COMPUTED_VALUE"""),"Moore, Dan")</f>
        <v>Moore, Dan</v>
      </c>
      <c r="B5742" s="3">
        <f ca="1">IFERROR(__xludf.DUMMYFUNCTION("""COMPUTED_VALUE"""),1)</f>
        <v>1</v>
      </c>
      <c r="C5742" s="7">
        <f ca="1">IFERROR(__xludf.DUMMYFUNCTION("""COMPUTED_VALUE"""),1)</f>
        <v>1</v>
      </c>
      <c r="D5742" s="8">
        <f ca="1">IFERROR(__xludf.DUMMYFUNCTION("""COMPUTED_VALUE"""),1)</f>
        <v>1</v>
      </c>
      <c r="E5742" s="2">
        <f ca="1">IFERROR(__xludf.DUMMYFUNCTION("""COMPUTED_VALUE"""),1)</f>
        <v>1</v>
      </c>
    </row>
    <row r="5743" spans="1:5" ht="13">
      <c r="A5743" s="2" t="str">
        <f ca="1">IFERROR(__xludf.DUMMYFUNCTION("""COMPUTED_VALUE"""),"Moore, Daniel")</f>
        <v>Moore, Daniel</v>
      </c>
      <c r="B5743" s="3">
        <f ca="1">IFERROR(__xludf.DUMMYFUNCTION("""COMPUTED_VALUE"""),1)</f>
        <v>1</v>
      </c>
      <c r="C5743" s="7">
        <f ca="1">IFERROR(__xludf.DUMMYFUNCTION("""COMPUTED_VALUE"""),1)</f>
        <v>1</v>
      </c>
      <c r="D5743" s="8">
        <f ca="1">IFERROR(__xludf.DUMMYFUNCTION("""COMPUTED_VALUE"""),1)</f>
        <v>1</v>
      </c>
      <c r="E5743" s="2">
        <f ca="1">IFERROR(__xludf.DUMMYFUNCTION("""COMPUTED_VALUE"""),1)</f>
        <v>1</v>
      </c>
    </row>
    <row r="5744" spans="1:5" ht="13">
      <c r="A5744" s="2" t="str">
        <f ca="1">IFERROR(__xludf.DUMMYFUNCTION("""COMPUTED_VALUE"""),"Moore, David")</f>
        <v>Moore, David</v>
      </c>
      <c r="B5744" s="3">
        <f ca="1">IFERROR(__xludf.DUMMYFUNCTION("""COMPUTED_VALUE"""),1)</f>
        <v>1</v>
      </c>
      <c r="C5744" s="7">
        <f ca="1">IFERROR(__xludf.DUMMYFUNCTION("""COMPUTED_VALUE"""),1)</f>
        <v>1</v>
      </c>
      <c r="D5744" s="8">
        <f ca="1">IFERROR(__xludf.DUMMYFUNCTION("""COMPUTED_VALUE"""),1)</f>
        <v>1</v>
      </c>
      <c r="E5744" s="2">
        <f ca="1">IFERROR(__xludf.DUMMYFUNCTION("""COMPUTED_VALUE"""),1)</f>
        <v>1</v>
      </c>
    </row>
    <row r="5745" spans="1:5" ht="13">
      <c r="A5745" s="8" t="str">
        <f ca="1">IFERROR(__xludf.DUMMYFUNCTION("""COMPUTED_VALUE"""),"Moore, Donald")</f>
        <v>Moore, Donald</v>
      </c>
      <c r="B5745" s="3">
        <f ca="1">IFERROR(__xludf.DUMMYFUNCTION("""COMPUTED_VALUE"""),1)</f>
        <v>1</v>
      </c>
      <c r="C5745" s="7">
        <f ca="1">IFERROR(__xludf.DUMMYFUNCTION("""COMPUTED_VALUE"""),1)</f>
        <v>1</v>
      </c>
      <c r="D5745" s="8">
        <f ca="1">IFERROR(__xludf.DUMMYFUNCTION("""COMPUTED_VALUE"""),1)</f>
        <v>1</v>
      </c>
      <c r="E5745" s="2">
        <f ca="1">IFERROR(__xludf.DUMMYFUNCTION("""COMPUTED_VALUE"""),1)</f>
        <v>1</v>
      </c>
    </row>
    <row r="5746" spans="1:5" ht="13">
      <c r="A5746" s="2" t="str">
        <f ca="1">IFERROR(__xludf.DUMMYFUNCTION("""COMPUTED_VALUE"""),"Moore, Douglas")</f>
        <v>Moore, Douglas</v>
      </c>
      <c r="B5746" s="3">
        <f ca="1">IFERROR(__xludf.DUMMYFUNCTION("""COMPUTED_VALUE"""),1)</f>
        <v>1</v>
      </c>
      <c r="C5746" s="7">
        <f ca="1">IFERROR(__xludf.DUMMYFUNCTION("""COMPUTED_VALUE"""),1)</f>
        <v>1</v>
      </c>
      <c r="D5746" s="8">
        <f ca="1">IFERROR(__xludf.DUMMYFUNCTION("""COMPUTED_VALUE"""),5)</f>
        <v>5</v>
      </c>
      <c r="E5746" s="2">
        <f ca="1">IFERROR(__xludf.DUMMYFUNCTION("""COMPUTED_VALUE"""),2)</f>
        <v>2</v>
      </c>
    </row>
    <row r="5747" spans="1:5" ht="13">
      <c r="A5747" s="8" t="str">
        <f ca="1">IFERROR(__xludf.DUMMYFUNCTION("""COMPUTED_VALUE"""),"Moore, Henrietta (Fillmore, Henry)")</f>
        <v>Moore, Henrietta (Fillmore, Henry)</v>
      </c>
      <c r="B5747" s="3">
        <f ca="1">IFERROR(__xludf.DUMMYFUNCTION("""COMPUTED_VALUE"""),1)</f>
        <v>1</v>
      </c>
      <c r="C5747" s="7">
        <f ca="1">IFERROR(__xludf.DUMMYFUNCTION("""COMPUTED_VALUE"""),1)</f>
        <v>1</v>
      </c>
      <c r="D5747" s="8">
        <f ca="1">IFERROR(__xludf.DUMMYFUNCTION("""COMPUTED_VALUE"""),5)</f>
        <v>5</v>
      </c>
      <c r="E5747" s="2">
        <f ca="1">IFERROR(__xludf.DUMMYFUNCTION("""COMPUTED_VALUE"""),2)</f>
        <v>2</v>
      </c>
    </row>
    <row r="5748" spans="1:5" ht="13">
      <c r="A5748" s="8" t="str">
        <f ca="1">IFERROR(__xludf.DUMMYFUNCTION("""COMPUTED_VALUE"""),"Moore, J. Chris")</f>
        <v>Moore, J. Chris</v>
      </c>
      <c r="B5748" s="3">
        <f ca="1">IFERROR(__xludf.DUMMYFUNCTION("""COMPUTED_VALUE"""),1)</f>
        <v>1</v>
      </c>
      <c r="C5748" s="7">
        <f ca="1">IFERROR(__xludf.DUMMYFUNCTION("""COMPUTED_VALUE"""),1)</f>
        <v>1</v>
      </c>
      <c r="D5748" s="8">
        <f ca="1">IFERROR(__xludf.DUMMYFUNCTION("""COMPUTED_VALUE"""),1)</f>
        <v>1</v>
      </c>
      <c r="E5748" s="2">
        <f ca="1">IFERROR(__xludf.DUMMYFUNCTION("""COMPUTED_VALUE"""),1)</f>
        <v>1</v>
      </c>
    </row>
    <row r="5749" spans="1:5" ht="13">
      <c r="A5749" s="2" t="str">
        <f ca="1">IFERROR(__xludf.DUMMYFUNCTION("""COMPUTED_VALUE"""),"Moore, J. David")</f>
        <v>Moore, J. David</v>
      </c>
      <c r="B5749" s="3">
        <f ca="1">IFERROR(__xludf.DUMMYFUNCTION("""COMPUTED_VALUE"""),1)</f>
        <v>1</v>
      </c>
      <c r="C5749" s="7">
        <f ca="1">IFERROR(__xludf.DUMMYFUNCTION("""COMPUTED_VALUE"""),1)</f>
        <v>1</v>
      </c>
      <c r="D5749" s="8">
        <f ca="1">IFERROR(__xludf.DUMMYFUNCTION("""COMPUTED_VALUE"""),1)</f>
        <v>1</v>
      </c>
      <c r="E5749" s="2">
        <f ca="1">IFERROR(__xludf.DUMMYFUNCTION("""COMPUTED_VALUE"""),1)</f>
        <v>1</v>
      </c>
    </row>
    <row r="5750" spans="1:5" ht="13">
      <c r="A5750" s="8" t="str">
        <f ca="1">IFERROR(__xludf.DUMMYFUNCTION("""COMPUTED_VALUE"""),"Moore, James")</f>
        <v>Moore, James</v>
      </c>
      <c r="B5750" s="3">
        <f ca="1">IFERROR(__xludf.DUMMYFUNCTION("""COMPUTED_VALUE"""),1)</f>
        <v>1</v>
      </c>
      <c r="C5750" s="7">
        <f ca="1">IFERROR(__xludf.DUMMYFUNCTION("""COMPUTED_VALUE"""),1)</f>
        <v>1</v>
      </c>
      <c r="D5750" s="8">
        <f ca="1">IFERROR(__xludf.DUMMYFUNCTION("""COMPUTED_VALUE"""),1)</f>
        <v>1</v>
      </c>
      <c r="E5750" s="2">
        <f ca="1">IFERROR(__xludf.DUMMYFUNCTION("""COMPUTED_VALUE"""),1)</f>
        <v>1</v>
      </c>
    </row>
    <row r="5751" spans="1:5" ht="13">
      <c r="A5751" s="2" t="str">
        <f ca="1">IFERROR(__xludf.DUMMYFUNCTION("""COMPUTED_VALUE"""),"Moore, Joe")</f>
        <v>Moore, Joe</v>
      </c>
      <c r="B5751" s="3">
        <f ca="1">IFERROR(__xludf.DUMMYFUNCTION("""COMPUTED_VALUE"""),1)</f>
        <v>1</v>
      </c>
      <c r="C5751" s="7">
        <f ca="1">IFERROR(__xludf.DUMMYFUNCTION("""COMPUTED_VALUE"""),1)</f>
        <v>1</v>
      </c>
      <c r="D5751" s="8">
        <f ca="1">IFERROR(__xludf.DUMMYFUNCTION("""COMPUTED_VALUE"""),1)</f>
        <v>1</v>
      </c>
      <c r="E5751" s="2">
        <f ca="1">IFERROR(__xludf.DUMMYFUNCTION("""COMPUTED_VALUE"""),1)</f>
        <v>1</v>
      </c>
    </row>
    <row r="5752" spans="1:5" ht="13">
      <c r="A5752" s="2" t="str">
        <f ca="1">IFERROR(__xludf.DUMMYFUNCTION("""COMPUTED_VALUE"""),"Moore, Joe D.")</f>
        <v>Moore, Joe D.</v>
      </c>
      <c r="B5752" s="3">
        <f ca="1">IFERROR(__xludf.DUMMYFUNCTION("""COMPUTED_VALUE"""),1)</f>
        <v>1</v>
      </c>
      <c r="C5752" s="7">
        <f ca="1">IFERROR(__xludf.DUMMYFUNCTION("""COMPUTED_VALUE"""),1)</f>
        <v>1</v>
      </c>
      <c r="D5752" s="8">
        <f ca="1">IFERROR(__xludf.DUMMYFUNCTION("""COMPUTED_VALUE"""),1)</f>
        <v>1</v>
      </c>
      <c r="E5752" s="2">
        <f ca="1">IFERROR(__xludf.DUMMYFUNCTION("""COMPUTED_VALUE"""),1)</f>
        <v>1</v>
      </c>
    </row>
    <row r="5753" spans="1:5" ht="13">
      <c r="A5753" s="2" t="str">
        <f ca="1">IFERROR(__xludf.DUMMYFUNCTION("""COMPUTED_VALUE"""),"Moore, Joe W. III")</f>
        <v>Moore, Joe W. III</v>
      </c>
      <c r="B5753" s="3">
        <f ca="1">IFERROR(__xludf.DUMMYFUNCTION("""COMPUTED_VALUE"""),1)</f>
        <v>1</v>
      </c>
      <c r="C5753" s="7">
        <f ca="1">IFERROR(__xludf.DUMMYFUNCTION("""COMPUTED_VALUE"""),1)</f>
        <v>1</v>
      </c>
      <c r="D5753" s="8">
        <f ca="1">IFERROR(__xludf.DUMMYFUNCTION("""COMPUTED_VALUE"""),1)</f>
        <v>1</v>
      </c>
      <c r="E5753" s="2">
        <f ca="1">IFERROR(__xludf.DUMMYFUNCTION("""COMPUTED_VALUE"""),1)</f>
        <v>1</v>
      </c>
    </row>
    <row r="5754" spans="1:5" ht="13">
      <c r="A5754" s="2" t="str">
        <f ca="1">IFERROR(__xludf.DUMMYFUNCTION("""COMPUTED_VALUE"""),"Moore, Larry")</f>
        <v>Moore, Larry</v>
      </c>
      <c r="B5754" s="3">
        <f ca="1">IFERROR(__xludf.DUMMYFUNCTION("""COMPUTED_VALUE"""),1)</f>
        <v>1</v>
      </c>
      <c r="C5754" s="7">
        <f ca="1">IFERROR(__xludf.DUMMYFUNCTION("""COMPUTED_VALUE"""),1)</f>
        <v>1</v>
      </c>
      <c r="D5754" s="8">
        <f ca="1">IFERROR(__xludf.DUMMYFUNCTION("""COMPUTED_VALUE"""),1)</f>
        <v>1</v>
      </c>
      <c r="E5754" s="2">
        <f ca="1">IFERROR(__xludf.DUMMYFUNCTION("""COMPUTED_VALUE"""),1)</f>
        <v>1</v>
      </c>
    </row>
    <row r="5755" spans="1:5" ht="13">
      <c r="A5755" s="2" t="str">
        <f ca="1">IFERROR(__xludf.DUMMYFUNCTION("""COMPUTED_VALUE"""),"Moore, Matt")</f>
        <v>Moore, Matt</v>
      </c>
      <c r="B5755" s="3">
        <f ca="1">IFERROR(__xludf.DUMMYFUNCTION("""COMPUTED_VALUE"""),1)</f>
        <v>1</v>
      </c>
      <c r="C5755" s="7">
        <f ca="1">IFERROR(__xludf.DUMMYFUNCTION("""COMPUTED_VALUE"""),1)</f>
        <v>1</v>
      </c>
      <c r="D5755" s="8">
        <f ca="1">IFERROR(__xludf.DUMMYFUNCTION("""COMPUTED_VALUE"""),1)</f>
        <v>1</v>
      </c>
      <c r="E5755" s="2">
        <f ca="1">IFERROR(__xludf.DUMMYFUNCTION("""COMPUTED_VALUE"""),1)</f>
        <v>1</v>
      </c>
    </row>
    <row r="5756" spans="1:5" ht="13">
      <c r="A5756" s="2" t="str">
        <f ca="1">IFERROR(__xludf.DUMMYFUNCTION("""COMPUTED_VALUE"""),"Moore, Ray")</f>
        <v>Moore, Ray</v>
      </c>
      <c r="B5756" s="3">
        <f ca="1">IFERROR(__xludf.DUMMYFUNCTION("""COMPUTED_VALUE"""),1)</f>
        <v>1</v>
      </c>
      <c r="C5756" s="7">
        <f ca="1">IFERROR(__xludf.DUMMYFUNCTION("""COMPUTED_VALUE"""),1)</f>
        <v>1</v>
      </c>
      <c r="D5756" s="8">
        <f ca="1">IFERROR(__xludf.DUMMYFUNCTION("""COMPUTED_VALUE"""),1)</f>
        <v>1</v>
      </c>
      <c r="E5756" s="2">
        <f ca="1">IFERROR(__xludf.DUMMYFUNCTION("""COMPUTED_VALUE"""),1)</f>
        <v>1</v>
      </c>
    </row>
    <row r="5757" spans="1:5" ht="13">
      <c r="A5757" s="2" t="str">
        <f ca="1">IFERROR(__xludf.DUMMYFUNCTION("""COMPUTED_VALUE"""),"Moore, Robert")</f>
        <v>Moore, Robert</v>
      </c>
      <c r="B5757" s="3">
        <f ca="1">IFERROR(__xludf.DUMMYFUNCTION("""COMPUTED_VALUE"""),1)</f>
        <v>1</v>
      </c>
      <c r="C5757" s="7">
        <f ca="1">IFERROR(__xludf.DUMMYFUNCTION("""COMPUTED_VALUE"""),1)</f>
        <v>1</v>
      </c>
      <c r="D5757" s="8">
        <f ca="1">IFERROR(__xludf.DUMMYFUNCTION("""COMPUTED_VALUE"""),1)</f>
        <v>1</v>
      </c>
      <c r="E5757" s="2">
        <f ca="1">IFERROR(__xludf.DUMMYFUNCTION("""COMPUTED_VALUE"""),1)</f>
        <v>1</v>
      </c>
    </row>
    <row r="5758" spans="1:5" ht="13">
      <c r="A5758" s="2" t="str">
        <f ca="1">IFERROR(__xludf.DUMMYFUNCTION("""COMPUTED_VALUE"""),"Moore, Thomas")</f>
        <v>Moore, Thomas</v>
      </c>
      <c r="B5758" s="3">
        <f ca="1">IFERROR(__xludf.DUMMYFUNCTION("""COMPUTED_VALUE"""),1)</f>
        <v>1</v>
      </c>
      <c r="C5758" s="7">
        <f ca="1">IFERROR(__xludf.DUMMYFUNCTION("""COMPUTED_VALUE"""),1)</f>
        <v>1</v>
      </c>
      <c r="D5758" s="8">
        <f ca="1">IFERROR(__xludf.DUMMYFUNCTION("""COMPUTED_VALUE"""),5)</f>
        <v>5</v>
      </c>
      <c r="E5758" s="2">
        <f ca="1">IFERROR(__xludf.DUMMYFUNCTION("""COMPUTED_VALUE"""),2)</f>
        <v>2</v>
      </c>
    </row>
    <row r="5759" spans="1:5" ht="13">
      <c r="A5759" s="2" t="str">
        <f ca="1">IFERROR(__xludf.DUMMYFUNCTION("""COMPUTED_VALUE"""),"Moore, Zachary J.")</f>
        <v>Moore, Zachary J.</v>
      </c>
      <c r="B5759" s="3">
        <f ca="1">IFERROR(__xludf.DUMMYFUNCTION("""COMPUTED_VALUE"""),1)</f>
        <v>1</v>
      </c>
      <c r="C5759" s="7">
        <f ca="1">IFERROR(__xludf.DUMMYFUNCTION("""COMPUTED_VALUE"""),1)</f>
        <v>1</v>
      </c>
      <c r="D5759" s="8">
        <f ca="1">IFERROR(__xludf.DUMMYFUNCTION("""COMPUTED_VALUE"""),1)</f>
        <v>1</v>
      </c>
      <c r="E5759" s="2">
        <f ca="1">IFERROR(__xludf.DUMMYFUNCTION("""COMPUTED_VALUE"""),1)</f>
        <v>1</v>
      </c>
    </row>
    <row r="5760" spans="1:5" ht="13">
      <c r="A5760" s="2" t="str">
        <f ca="1">IFERROR(__xludf.DUMMYFUNCTION("""COMPUTED_VALUE"""),"Morales, Cristobal de")</f>
        <v>Morales, Cristobal de</v>
      </c>
      <c r="B5760" s="3">
        <f ca="1">IFERROR(__xludf.DUMMYFUNCTION("""COMPUTED_VALUE"""),1)</f>
        <v>1</v>
      </c>
      <c r="C5760" s="7">
        <f ca="1">IFERROR(__xludf.DUMMYFUNCTION("""COMPUTED_VALUE"""),1)</f>
        <v>1</v>
      </c>
      <c r="D5760" s="8">
        <f ca="1">IFERROR(__xludf.DUMMYFUNCTION("""COMPUTED_VALUE"""),5)</f>
        <v>5</v>
      </c>
      <c r="E5760" s="2">
        <f ca="1">IFERROR(__xludf.DUMMYFUNCTION("""COMPUTED_VALUE"""),2)</f>
        <v>2</v>
      </c>
    </row>
    <row r="5761" spans="1:5" ht="13">
      <c r="A5761" s="2" t="str">
        <f ca="1">IFERROR(__xludf.DUMMYFUNCTION("""COMPUTED_VALUE"""),"Moravec, Paul")</f>
        <v>Moravec, Paul</v>
      </c>
      <c r="B5761" s="3">
        <f ca="1">IFERROR(__xludf.DUMMYFUNCTION("""COMPUTED_VALUE"""),1)</f>
        <v>1</v>
      </c>
      <c r="C5761" s="7">
        <f ca="1">IFERROR(__xludf.DUMMYFUNCTION("""COMPUTED_VALUE"""),1)</f>
        <v>1</v>
      </c>
      <c r="D5761" s="8">
        <f ca="1">IFERROR(__xludf.DUMMYFUNCTION("""COMPUTED_VALUE"""),1)</f>
        <v>1</v>
      </c>
      <c r="E5761" s="2">
        <f ca="1">IFERROR(__xludf.DUMMYFUNCTION("""COMPUTED_VALUE"""),1)</f>
        <v>1</v>
      </c>
    </row>
    <row r="5762" spans="1:5" ht="13">
      <c r="A5762" s="2" t="str">
        <f ca="1">IFERROR(__xludf.DUMMYFUNCTION("""COMPUTED_VALUE"""),"Morden, Brent")</f>
        <v>Morden, Brent</v>
      </c>
      <c r="B5762" s="2">
        <f ca="1">IFERROR(__xludf.DUMMYFUNCTION("""COMPUTED_VALUE"""),1)</f>
        <v>1</v>
      </c>
      <c r="C5762" s="7">
        <f ca="1">IFERROR(__xludf.DUMMYFUNCTION("""COMPUTED_VALUE"""),1)</f>
        <v>1</v>
      </c>
      <c r="D5762" s="8">
        <f ca="1">IFERROR(__xludf.DUMMYFUNCTION("""COMPUTED_VALUE"""),1)</f>
        <v>1</v>
      </c>
      <c r="E5762" s="2">
        <f ca="1">IFERROR(__xludf.DUMMYFUNCTION("""COMPUTED_VALUE"""),1)</f>
        <v>1</v>
      </c>
    </row>
    <row r="5763" spans="1:5" ht="13">
      <c r="A5763" s="2" t="str">
        <f ca="1">IFERROR(__xludf.DUMMYFUNCTION("""COMPUTED_VALUE"""),"More, Bruce / Regin, Jim")</f>
        <v>More, Bruce / Regin, Jim</v>
      </c>
      <c r="B5763" s="3">
        <f ca="1">IFERROR(__xludf.DUMMYFUNCTION("""COMPUTED_VALUE"""),1)</f>
        <v>1</v>
      </c>
      <c r="C5763" s="7">
        <f ca="1">IFERROR(__xludf.DUMMYFUNCTION("""COMPUTED_VALUE"""),1)</f>
        <v>1</v>
      </c>
      <c r="D5763" s="8">
        <f ca="1">IFERROR(__xludf.DUMMYFUNCTION("""COMPUTED_VALUE"""),1)</f>
        <v>1</v>
      </c>
      <c r="E5763" s="2">
        <f ca="1">IFERROR(__xludf.DUMMYFUNCTION("""COMPUTED_VALUE"""),1)</f>
        <v>1</v>
      </c>
    </row>
    <row r="5764" spans="1:5" ht="13">
      <c r="A5764" s="2" t="str">
        <f ca="1">IFERROR(__xludf.DUMMYFUNCTION("""COMPUTED_VALUE"""),"Morehen, John")</f>
        <v>Morehen, John</v>
      </c>
      <c r="B5764" s="2">
        <f ca="1">IFERROR(__xludf.DUMMYFUNCTION("""COMPUTED_VALUE"""),1)</f>
        <v>1</v>
      </c>
      <c r="C5764" s="2">
        <f ca="1">IFERROR(__xludf.DUMMYFUNCTION("""COMPUTED_VALUE"""),1)</f>
        <v>1</v>
      </c>
      <c r="D5764" s="8">
        <f ca="1">IFERROR(__xludf.DUMMYFUNCTION("""COMPUTED_VALUE"""),5)</f>
        <v>5</v>
      </c>
      <c r="E5764" s="2">
        <f ca="1">IFERROR(__xludf.DUMMYFUNCTION("""COMPUTED_VALUE"""),2)</f>
        <v>2</v>
      </c>
    </row>
    <row r="5765" spans="1:5" ht="13">
      <c r="A5765" s="2" t="str">
        <f ca="1">IFERROR(__xludf.DUMMYFUNCTION("""COMPUTED_VALUE"""),"Morelli, Albert")</f>
        <v>Morelli, Albert</v>
      </c>
      <c r="B5765" s="3">
        <f ca="1">IFERROR(__xludf.DUMMYFUNCTION("""COMPUTED_VALUE"""),1)</f>
        <v>1</v>
      </c>
      <c r="C5765" s="7">
        <f ca="1">IFERROR(__xludf.DUMMYFUNCTION("""COMPUTED_VALUE"""),1)</f>
        <v>1</v>
      </c>
      <c r="D5765" s="8">
        <f ca="1">IFERROR(__xludf.DUMMYFUNCTION("""COMPUTED_VALUE"""),1)</f>
        <v>1</v>
      </c>
      <c r="E5765" s="2">
        <f ca="1">IFERROR(__xludf.DUMMYFUNCTION("""COMPUTED_VALUE"""),1)</f>
        <v>1</v>
      </c>
    </row>
    <row r="5766" spans="1:5" ht="13">
      <c r="A5766" s="2" t="str">
        <f ca="1">IFERROR(__xludf.DUMMYFUNCTION("""COMPUTED_VALUE"""),"Moreno-Buendía, Manuel")</f>
        <v>Moreno-Buendía, Manuel</v>
      </c>
      <c r="B5766" s="3">
        <f ca="1">IFERROR(__xludf.DUMMYFUNCTION("""COMPUTED_VALUE"""),1)</f>
        <v>1</v>
      </c>
      <c r="C5766" s="7">
        <f ca="1">IFERROR(__xludf.DUMMYFUNCTION("""COMPUTED_VALUE"""),1)</f>
        <v>1</v>
      </c>
      <c r="D5766" s="8">
        <f ca="1">IFERROR(__xludf.DUMMYFUNCTION("""COMPUTED_VALUE"""),1)</f>
        <v>1</v>
      </c>
      <c r="E5766" s="2">
        <f ca="1">IFERROR(__xludf.DUMMYFUNCTION("""COMPUTED_VALUE"""),1)</f>
        <v>1</v>
      </c>
    </row>
    <row r="5767" spans="1:5" ht="13">
      <c r="A5767" s="2" t="str">
        <f ca="1">IFERROR(__xludf.DUMMYFUNCTION("""COMPUTED_VALUE"""),"Moreno, Matthew")</f>
        <v>Moreno, Matthew</v>
      </c>
      <c r="B5767" s="3">
        <f ca="1">IFERROR(__xludf.DUMMYFUNCTION("""COMPUTED_VALUE"""),1)</f>
        <v>1</v>
      </c>
      <c r="C5767" s="7">
        <f ca="1">IFERROR(__xludf.DUMMYFUNCTION("""COMPUTED_VALUE"""),1)</f>
        <v>1</v>
      </c>
      <c r="D5767" s="8">
        <f ca="1">IFERROR(__xludf.DUMMYFUNCTION("""COMPUTED_VALUE"""),1)</f>
        <v>1</v>
      </c>
      <c r="E5767" s="2">
        <f ca="1">IFERROR(__xludf.DUMMYFUNCTION("""COMPUTED_VALUE"""),1)</f>
        <v>1</v>
      </c>
    </row>
    <row r="5768" spans="1:5" ht="13">
      <c r="A5768" s="2" t="str">
        <f ca="1">IFERROR(__xludf.DUMMYFUNCTION("""COMPUTED_VALUE"""),"Morey, Matt")</f>
        <v>Morey, Matt</v>
      </c>
      <c r="B5768" s="3">
        <f ca="1">IFERROR(__xludf.DUMMYFUNCTION("""COMPUTED_VALUE"""),1)</f>
        <v>1</v>
      </c>
      <c r="C5768" s="7">
        <f ca="1">IFERROR(__xludf.DUMMYFUNCTION("""COMPUTED_VALUE"""),1)</f>
        <v>1</v>
      </c>
      <c r="D5768" s="8">
        <f ca="1">IFERROR(__xludf.DUMMYFUNCTION("""COMPUTED_VALUE"""),1)</f>
        <v>1</v>
      </c>
      <c r="E5768" s="2">
        <f ca="1">IFERROR(__xludf.DUMMYFUNCTION("""COMPUTED_VALUE"""),1)</f>
        <v>1</v>
      </c>
    </row>
    <row r="5769" spans="1:5" ht="13">
      <c r="A5769" s="2" t="str">
        <f ca="1">IFERROR(__xludf.DUMMYFUNCTION("""COMPUTED_VALUE"""),"Morgan Lewis")</f>
        <v>Morgan Lewis</v>
      </c>
      <c r="B5769" s="3">
        <f ca="1">IFERROR(__xludf.DUMMYFUNCTION("""COMPUTED_VALUE"""),1)</f>
        <v>1</v>
      </c>
      <c r="C5769" s="7">
        <f ca="1">IFERROR(__xludf.DUMMYFUNCTION("""COMPUTED_VALUE"""),1)</f>
        <v>1</v>
      </c>
      <c r="D5769" s="8">
        <f ca="1">IFERROR(__xludf.DUMMYFUNCTION("""COMPUTED_VALUE"""),5)</f>
        <v>5</v>
      </c>
      <c r="E5769" s="2">
        <f ca="1">IFERROR(__xludf.DUMMYFUNCTION("""COMPUTED_VALUE"""),2)</f>
        <v>2</v>
      </c>
    </row>
    <row r="5770" spans="1:5" ht="13">
      <c r="A5770" s="2" t="str">
        <f ca="1">IFERROR(__xludf.DUMMYFUNCTION("""COMPUTED_VALUE"""),"Morgan, David")</f>
        <v>Morgan, David</v>
      </c>
      <c r="B5770" s="3">
        <f ca="1">IFERROR(__xludf.DUMMYFUNCTION("""COMPUTED_VALUE"""),1)</f>
        <v>1</v>
      </c>
      <c r="C5770" s="7">
        <f ca="1">IFERROR(__xludf.DUMMYFUNCTION("""COMPUTED_VALUE"""),1)</f>
        <v>1</v>
      </c>
      <c r="D5770" s="8">
        <f ca="1">IFERROR(__xludf.DUMMYFUNCTION("""COMPUTED_VALUE"""),5)</f>
        <v>5</v>
      </c>
      <c r="E5770" s="2">
        <f ca="1">IFERROR(__xludf.DUMMYFUNCTION("""COMPUTED_VALUE"""),2)</f>
        <v>2</v>
      </c>
    </row>
    <row r="5771" spans="1:5" ht="13">
      <c r="A5771" s="2" t="str">
        <f ca="1">IFERROR(__xludf.DUMMYFUNCTION("""COMPUTED_VALUE"""),"Morgan, Freddie / Malkin, Norman")</f>
        <v>Morgan, Freddie / Malkin, Norman</v>
      </c>
      <c r="B5771" s="2">
        <f ca="1">IFERROR(__xludf.DUMMYFUNCTION("""COMPUTED_VALUE"""),1)</f>
        <v>1</v>
      </c>
      <c r="C5771" s="7">
        <f ca="1">IFERROR(__xludf.DUMMYFUNCTION("""COMPUTED_VALUE"""),1)</f>
        <v>1</v>
      </c>
      <c r="D5771" s="8">
        <f ca="1">IFERROR(__xludf.DUMMYFUNCTION("""COMPUTED_VALUE"""),5)</f>
        <v>5</v>
      </c>
      <c r="E5771" s="2">
        <f ca="1">IFERROR(__xludf.DUMMYFUNCTION("""COMPUTED_VALUE"""),2)</f>
        <v>2</v>
      </c>
    </row>
    <row r="5772" spans="1:5" ht="13">
      <c r="A5772" s="8" t="str">
        <f ca="1">IFERROR(__xludf.DUMMYFUNCTION("""COMPUTED_VALUE"""),"Morgan, Haydn")</f>
        <v>Morgan, Haydn</v>
      </c>
      <c r="B5772" s="3">
        <f ca="1">IFERROR(__xludf.DUMMYFUNCTION("""COMPUTED_VALUE"""),1)</f>
        <v>1</v>
      </c>
      <c r="C5772" s="7">
        <f ca="1">IFERROR(__xludf.DUMMYFUNCTION("""COMPUTED_VALUE"""),1)</f>
        <v>1</v>
      </c>
      <c r="D5772" s="8">
        <f ca="1">IFERROR(__xludf.DUMMYFUNCTION("""COMPUTED_VALUE"""),5)</f>
        <v>5</v>
      </c>
      <c r="E5772" s="2">
        <f ca="1">IFERROR(__xludf.DUMMYFUNCTION("""COMPUTED_VALUE"""),2)</f>
        <v>2</v>
      </c>
    </row>
    <row r="5773" spans="1:5" ht="13">
      <c r="A5773" s="8" t="str">
        <f ca="1">IFERROR(__xludf.DUMMYFUNCTION("""COMPUTED_VALUE"""),"Morike, Eduard")</f>
        <v>Morike, Eduard</v>
      </c>
      <c r="B5773" s="3">
        <f ca="1">IFERROR(__xludf.DUMMYFUNCTION("""COMPUTED_VALUE"""),1)</f>
        <v>1</v>
      </c>
      <c r="C5773" s="7">
        <f ca="1">IFERROR(__xludf.DUMMYFUNCTION("""COMPUTED_VALUE"""),1)</f>
        <v>1</v>
      </c>
      <c r="D5773" s="8">
        <f ca="1">IFERROR(__xludf.DUMMYFUNCTION("""COMPUTED_VALUE"""),5)</f>
        <v>5</v>
      </c>
      <c r="E5773" s="2">
        <f ca="1">IFERROR(__xludf.DUMMYFUNCTION("""COMPUTED_VALUE"""),2)</f>
        <v>2</v>
      </c>
    </row>
    <row r="5774" spans="1:5" ht="13">
      <c r="A5774" s="2" t="str">
        <f ca="1">IFERROR(__xludf.DUMMYFUNCTION("""COMPUTED_VALUE"""),"Morino, Robert")</f>
        <v>Morino, Robert</v>
      </c>
      <c r="B5774" s="3">
        <f ca="1">IFERROR(__xludf.DUMMYFUNCTION("""COMPUTED_VALUE"""),1)</f>
        <v>1</v>
      </c>
      <c r="C5774" s="7">
        <f ca="1">IFERROR(__xludf.DUMMYFUNCTION("""COMPUTED_VALUE"""),1)</f>
        <v>1</v>
      </c>
      <c r="D5774" s="8">
        <f ca="1">IFERROR(__xludf.DUMMYFUNCTION("""COMPUTED_VALUE"""),1)</f>
        <v>1</v>
      </c>
      <c r="E5774" s="2">
        <f ca="1">IFERROR(__xludf.DUMMYFUNCTION("""COMPUTED_VALUE"""),1)</f>
        <v>1</v>
      </c>
    </row>
    <row r="5775" spans="1:5" ht="13">
      <c r="A5775" s="2" t="str">
        <f ca="1">IFERROR(__xludf.DUMMYFUNCTION("""COMPUTED_VALUE"""),"Morlacchi, Pietro")</f>
        <v>Morlacchi, Pietro</v>
      </c>
      <c r="B5775" s="2">
        <f ca="1">IFERROR(__xludf.DUMMYFUNCTION("""COMPUTED_VALUE"""),1)</f>
        <v>1</v>
      </c>
      <c r="C5775" s="7">
        <f ca="1">IFERROR(__xludf.DUMMYFUNCTION("""COMPUTED_VALUE"""),1)</f>
        <v>1</v>
      </c>
      <c r="D5775" s="8">
        <f ca="1">IFERROR(__xludf.DUMMYFUNCTION("""COMPUTED_VALUE"""),5)</f>
        <v>5</v>
      </c>
      <c r="E5775" s="2">
        <f ca="1">IFERROR(__xludf.DUMMYFUNCTION("""COMPUTED_VALUE"""),2)</f>
        <v>2</v>
      </c>
    </row>
    <row r="5776" spans="1:5" ht="13">
      <c r="A5776" s="2" t="str">
        <f ca="1">IFERROR(__xludf.DUMMYFUNCTION("""COMPUTED_VALUE"""),"Morleo, Luigi")</f>
        <v>Morleo, Luigi</v>
      </c>
      <c r="B5776" s="3">
        <f ca="1">IFERROR(__xludf.DUMMYFUNCTION("""COMPUTED_VALUE"""),1)</f>
        <v>1</v>
      </c>
      <c r="C5776" s="7">
        <f ca="1">IFERROR(__xludf.DUMMYFUNCTION("""COMPUTED_VALUE"""),1)</f>
        <v>1</v>
      </c>
      <c r="D5776" s="8">
        <f ca="1">IFERROR(__xludf.DUMMYFUNCTION("""COMPUTED_VALUE"""),1)</f>
        <v>1</v>
      </c>
      <c r="E5776" s="2">
        <f ca="1">IFERROR(__xludf.DUMMYFUNCTION("""COMPUTED_VALUE"""),1)</f>
        <v>1</v>
      </c>
    </row>
    <row r="5777" spans="1:5" ht="13">
      <c r="A5777" s="2" t="str">
        <f ca="1">IFERROR(__xludf.DUMMYFUNCTION("""COMPUTED_VALUE"""),"Morley")</f>
        <v>Morley</v>
      </c>
      <c r="B5777" s="3">
        <f ca="1">IFERROR(__xludf.DUMMYFUNCTION("""COMPUTED_VALUE"""),1)</f>
        <v>1</v>
      </c>
      <c r="C5777" s="7">
        <f ca="1">IFERROR(__xludf.DUMMYFUNCTION("""COMPUTED_VALUE"""),1)</f>
        <v>1</v>
      </c>
      <c r="D5777" s="8">
        <f ca="1">IFERROR(__xludf.DUMMYFUNCTION("""COMPUTED_VALUE"""),5)</f>
        <v>5</v>
      </c>
      <c r="E5777" s="2">
        <f ca="1">IFERROR(__xludf.DUMMYFUNCTION("""COMPUTED_VALUE"""),2)</f>
        <v>2</v>
      </c>
    </row>
    <row r="5778" spans="1:5" ht="13">
      <c r="A5778" s="2" t="str">
        <f ca="1">IFERROR(__xludf.DUMMYFUNCTION("""COMPUTED_VALUE"""),"Morley, Thomas")</f>
        <v>Morley, Thomas</v>
      </c>
      <c r="B5778" s="3">
        <f ca="1">IFERROR(__xludf.DUMMYFUNCTION("""COMPUTED_VALUE"""),1)</f>
        <v>1</v>
      </c>
      <c r="C5778" s="7">
        <f ca="1">IFERROR(__xludf.DUMMYFUNCTION("""COMPUTED_VALUE"""),1)</f>
        <v>1</v>
      </c>
      <c r="D5778" s="8">
        <f ca="1">IFERROR(__xludf.DUMMYFUNCTION("""COMPUTED_VALUE"""),5)</f>
        <v>5</v>
      </c>
      <c r="E5778" s="2">
        <f ca="1">IFERROR(__xludf.DUMMYFUNCTION("""COMPUTED_VALUE"""),2)</f>
        <v>2</v>
      </c>
    </row>
    <row r="5779" spans="1:5" ht="13">
      <c r="A5779" s="2" t="str">
        <f ca="1">IFERROR(__xludf.DUMMYFUNCTION("""COMPUTED_VALUE"""),"Morley, Thomas / Weelkes, Thomas")</f>
        <v>Morley, Thomas / Weelkes, Thomas</v>
      </c>
      <c r="B5779" s="3">
        <f ca="1">IFERROR(__xludf.DUMMYFUNCTION("""COMPUTED_VALUE"""),1)</f>
        <v>1</v>
      </c>
      <c r="C5779" s="7">
        <f ca="1">IFERROR(__xludf.DUMMYFUNCTION("""COMPUTED_VALUE"""),1)</f>
        <v>1</v>
      </c>
      <c r="D5779" s="8">
        <f ca="1">IFERROR(__xludf.DUMMYFUNCTION("""COMPUTED_VALUE"""),5)</f>
        <v>5</v>
      </c>
      <c r="E5779" s="2">
        <f ca="1">IFERROR(__xludf.DUMMYFUNCTION("""COMPUTED_VALUE"""),2)</f>
        <v>2</v>
      </c>
    </row>
    <row r="5780" spans="1:5" ht="13">
      <c r="A5780" s="2" t="str">
        <f ca="1">IFERROR(__xludf.DUMMYFUNCTION("""COMPUTED_VALUE"""),"Moroder, Giorgio")</f>
        <v>Moroder, Giorgio</v>
      </c>
      <c r="B5780" s="3">
        <f ca="1">IFERROR(__xludf.DUMMYFUNCTION("""COMPUTED_VALUE"""),1)</f>
        <v>1</v>
      </c>
      <c r="C5780" s="7">
        <f ca="1">IFERROR(__xludf.DUMMYFUNCTION("""COMPUTED_VALUE"""),1)</f>
        <v>1</v>
      </c>
      <c r="D5780" s="8">
        <f ca="1">IFERROR(__xludf.DUMMYFUNCTION("""COMPUTED_VALUE"""),1)</f>
        <v>1</v>
      </c>
      <c r="E5780" s="2">
        <f ca="1">IFERROR(__xludf.DUMMYFUNCTION("""COMPUTED_VALUE"""),1)</f>
        <v>1</v>
      </c>
    </row>
    <row r="5781" spans="1:5" ht="13">
      <c r="A5781" s="8" t="str">
        <f ca="1">IFERROR(__xludf.DUMMYFUNCTION("""COMPUTED_VALUE"""),"Morosan, Vladimir")</f>
        <v>Morosan, Vladimir</v>
      </c>
      <c r="B5781" s="3">
        <f ca="1">IFERROR(__xludf.DUMMYFUNCTION("""COMPUTED_VALUE"""),1)</f>
        <v>1</v>
      </c>
      <c r="C5781" s="7">
        <f ca="1">IFERROR(__xludf.DUMMYFUNCTION("""COMPUTED_VALUE"""),1)</f>
        <v>1</v>
      </c>
      <c r="D5781" s="8">
        <f ca="1">IFERROR(__xludf.DUMMYFUNCTION("""COMPUTED_VALUE"""),1)</f>
        <v>1</v>
      </c>
      <c r="E5781" s="2">
        <f ca="1">IFERROR(__xludf.DUMMYFUNCTION("""COMPUTED_VALUE"""),1)</f>
        <v>1</v>
      </c>
    </row>
    <row r="5782" spans="1:5" ht="13">
      <c r="A5782" s="8" t="str">
        <f ca="1">IFERROR(__xludf.DUMMYFUNCTION("""COMPUTED_VALUE"""),"Morosco, Victor")</f>
        <v>Morosco, Victor</v>
      </c>
      <c r="B5782" s="3">
        <f ca="1">IFERROR(__xludf.DUMMYFUNCTION("""COMPUTED_VALUE"""),1)</f>
        <v>1</v>
      </c>
      <c r="C5782" s="7">
        <f ca="1">IFERROR(__xludf.DUMMYFUNCTION("""COMPUTED_VALUE"""),1)</f>
        <v>1</v>
      </c>
      <c r="D5782" s="8">
        <f ca="1">IFERROR(__xludf.DUMMYFUNCTION("""COMPUTED_VALUE"""),1)</f>
        <v>1</v>
      </c>
      <c r="E5782" s="2">
        <f ca="1">IFERROR(__xludf.DUMMYFUNCTION("""COMPUTED_VALUE"""),1)</f>
        <v>1</v>
      </c>
    </row>
    <row r="5783" spans="1:5" ht="13">
      <c r="A5783" s="8" t="str">
        <f ca="1">IFERROR(__xludf.DUMMYFUNCTION("""COMPUTED_VALUE"""),"Moross, Jerome")</f>
        <v>Moross, Jerome</v>
      </c>
      <c r="B5783" s="3">
        <f ca="1">IFERROR(__xludf.DUMMYFUNCTION("""COMPUTED_VALUE"""),1)</f>
        <v>1</v>
      </c>
      <c r="C5783" s="7">
        <f ca="1">IFERROR(__xludf.DUMMYFUNCTION("""COMPUTED_VALUE"""),1)</f>
        <v>1</v>
      </c>
      <c r="D5783" s="8">
        <f ca="1">IFERROR(__xludf.DUMMYFUNCTION("""COMPUTED_VALUE"""),5)</f>
        <v>5</v>
      </c>
      <c r="E5783" s="2">
        <f ca="1">IFERROR(__xludf.DUMMYFUNCTION("""COMPUTED_VALUE"""),2)</f>
        <v>2</v>
      </c>
    </row>
    <row r="5784" spans="1:5" ht="13">
      <c r="A5784" s="2" t="str">
        <f ca="1">IFERROR(__xludf.DUMMYFUNCTION("""COMPUTED_VALUE"""),"Morrau, Ray")</f>
        <v>Morrau, Ray</v>
      </c>
      <c r="B5784" s="2">
        <f ca="1">IFERROR(__xludf.DUMMYFUNCTION("""COMPUTED_VALUE"""),1)</f>
        <v>1</v>
      </c>
      <c r="C5784" s="7">
        <f ca="1">IFERROR(__xludf.DUMMYFUNCTION("""COMPUTED_VALUE"""),1)</f>
        <v>1</v>
      </c>
      <c r="D5784" s="8">
        <f ca="1">IFERROR(__xludf.DUMMYFUNCTION("""COMPUTED_VALUE"""),5)</f>
        <v>5</v>
      </c>
      <c r="E5784" s="2">
        <f ca="1">IFERROR(__xludf.DUMMYFUNCTION("""COMPUTED_VALUE"""),2)</f>
        <v>2</v>
      </c>
    </row>
    <row r="5785" spans="1:5" ht="13">
      <c r="A5785" s="2" t="str">
        <f ca="1">IFERROR(__xludf.DUMMYFUNCTION("""COMPUTED_VALUE"""),"Morricone, Ennio")</f>
        <v>Morricone, Ennio</v>
      </c>
      <c r="B5785" s="3">
        <f ca="1">IFERROR(__xludf.DUMMYFUNCTION("""COMPUTED_VALUE"""),1)</f>
        <v>1</v>
      </c>
      <c r="C5785" s="7">
        <f ca="1">IFERROR(__xludf.DUMMYFUNCTION("""COMPUTED_VALUE"""),1)</f>
        <v>1</v>
      </c>
      <c r="D5785" s="8">
        <f ca="1">IFERROR(__xludf.DUMMYFUNCTION("""COMPUTED_VALUE"""),5)</f>
        <v>5</v>
      </c>
      <c r="E5785" s="2">
        <f ca="1">IFERROR(__xludf.DUMMYFUNCTION("""COMPUTED_VALUE"""),2)</f>
        <v>2</v>
      </c>
    </row>
    <row r="5786" spans="1:5" ht="13">
      <c r="A5786" s="2" t="str">
        <f ca="1">IFERROR(__xludf.DUMMYFUNCTION("""COMPUTED_VALUE"""),"Morrin, Chase")</f>
        <v>Morrin, Chase</v>
      </c>
      <c r="B5786" s="3">
        <f ca="1">IFERROR(__xludf.DUMMYFUNCTION("""COMPUTED_VALUE"""),1)</f>
        <v>1</v>
      </c>
      <c r="C5786" s="7">
        <f ca="1">IFERROR(__xludf.DUMMYFUNCTION("""COMPUTED_VALUE"""),1)</f>
        <v>1</v>
      </c>
      <c r="D5786" s="8">
        <f ca="1">IFERROR(__xludf.DUMMYFUNCTION("""COMPUTED_VALUE"""),1)</f>
        <v>1</v>
      </c>
      <c r="E5786" s="2">
        <f ca="1">IFERROR(__xludf.DUMMYFUNCTION("""COMPUTED_VALUE"""),1)</f>
        <v>1</v>
      </c>
    </row>
    <row r="5787" spans="1:5" ht="13">
      <c r="A5787" s="2" t="str">
        <f ca="1">IFERROR(__xludf.DUMMYFUNCTION("""COMPUTED_VALUE"""),"Morris, Christian")</f>
        <v>Morris, Christian</v>
      </c>
      <c r="B5787" s="3">
        <f ca="1">IFERROR(__xludf.DUMMYFUNCTION("""COMPUTED_VALUE"""),1)</f>
        <v>1</v>
      </c>
      <c r="C5787" s="7">
        <f ca="1">IFERROR(__xludf.DUMMYFUNCTION("""COMPUTED_VALUE"""),1)</f>
        <v>1</v>
      </c>
      <c r="D5787" s="8">
        <f ca="1">IFERROR(__xludf.DUMMYFUNCTION("""COMPUTED_VALUE"""),1)</f>
        <v>1</v>
      </c>
      <c r="E5787" s="2">
        <f ca="1">IFERROR(__xludf.DUMMYFUNCTION("""COMPUTED_VALUE"""),1)</f>
        <v>1</v>
      </c>
    </row>
    <row r="5788" spans="1:5" ht="13">
      <c r="A5788" s="2" t="str">
        <f ca="1">IFERROR(__xludf.DUMMYFUNCTION("""COMPUTED_VALUE"""),"Morris, Robert")</f>
        <v>Morris, Robert</v>
      </c>
      <c r="B5788" s="3">
        <f ca="1">IFERROR(__xludf.DUMMYFUNCTION("""COMPUTED_VALUE"""),1)</f>
        <v>1</v>
      </c>
      <c r="C5788" s="7">
        <f ca="1">IFERROR(__xludf.DUMMYFUNCTION("""COMPUTED_VALUE"""),1)</f>
        <v>1</v>
      </c>
      <c r="D5788" s="8">
        <f ca="1">IFERROR(__xludf.DUMMYFUNCTION("""COMPUTED_VALUE"""),1)</f>
        <v>1</v>
      </c>
      <c r="E5788" s="2">
        <f ca="1">IFERROR(__xludf.DUMMYFUNCTION("""COMPUTED_VALUE"""),1)</f>
        <v>1</v>
      </c>
    </row>
    <row r="5789" spans="1:5" ht="13">
      <c r="A5789" s="8" t="str">
        <f ca="1">IFERROR(__xludf.DUMMYFUNCTION("""COMPUTED_VALUE"""),"Morris, S. E.")</f>
        <v>Morris, S. E.</v>
      </c>
      <c r="B5789" s="2">
        <f ca="1">IFERROR(__xludf.DUMMYFUNCTION("""COMPUTED_VALUE"""),1)</f>
        <v>1</v>
      </c>
      <c r="C5789" s="7">
        <f ca="1">IFERROR(__xludf.DUMMYFUNCTION("""COMPUTED_VALUE"""),1)</f>
        <v>1</v>
      </c>
      <c r="D5789" s="8">
        <f ca="1">IFERROR(__xludf.DUMMYFUNCTION("""COMPUTED_VALUE"""),5)</f>
        <v>5</v>
      </c>
      <c r="E5789" s="2">
        <f ca="1">IFERROR(__xludf.DUMMYFUNCTION("""COMPUTED_VALUE"""),2)</f>
        <v>2</v>
      </c>
    </row>
    <row r="5790" spans="1:5" ht="13">
      <c r="A5790" s="2" t="str">
        <f ca="1">IFERROR(__xludf.DUMMYFUNCTION("""COMPUTED_VALUE"""),"Morris, Taylor")</f>
        <v>Morris, Taylor</v>
      </c>
      <c r="B5790" s="3">
        <f ca="1">IFERROR(__xludf.DUMMYFUNCTION("""COMPUTED_VALUE"""),1)</f>
        <v>1</v>
      </c>
      <c r="C5790" s="7">
        <f ca="1">IFERROR(__xludf.DUMMYFUNCTION("""COMPUTED_VALUE"""),1)</f>
        <v>1</v>
      </c>
      <c r="D5790" s="8">
        <f ca="1">IFERROR(__xludf.DUMMYFUNCTION("""COMPUTED_VALUE"""),1)</f>
        <v>1</v>
      </c>
      <c r="E5790" s="2">
        <f ca="1">IFERROR(__xludf.DUMMYFUNCTION("""COMPUTED_VALUE"""),1)</f>
        <v>1</v>
      </c>
    </row>
    <row r="5791" spans="1:5" ht="13">
      <c r="A5791" s="2" t="str">
        <f ca="1">IFERROR(__xludf.DUMMYFUNCTION("""COMPUTED_VALUE"""),"Morrison, Maximillian")</f>
        <v>Morrison, Maximillian</v>
      </c>
      <c r="B5791" s="3">
        <f ca="1">IFERROR(__xludf.DUMMYFUNCTION("""COMPUTED_VALUE"""),1)</f>
        <v>1</v>
      </c>
      <c r="C5791" s="7">
        <f ca="1">IFERROR(__xludf.DUMMYFUNCTION("""COMPUTED_VALUE"""),1)</f>
        <v>1</v>
      </c>
      <c r="D5791" s="8">
        <f ca="1">IFERROR(__xludf.DUMMYFUNCTION("""COMPUTED_VALUE"""),1)</f>
        <v>1</v>
      </c>
      <c r="E5791" s="2">
        <f ca="1">IFERROR(__xludf.DUMMYFUNCTION("""COMPUTED_VALUE"""),1)</f>
        <v>1</v>
      </c>
    </row>
    <row r="5792" spans="1:5" ht="13">
      <c r="A5792" s="2" t="str">
        <f ca="1">IFERROR(__xludf.DUMMYFUNCTION("""COMPUTED_VALUE"""),"Morrison, Theodore")</f>
        <v>Morrison, Theodore</v>
      </c>
      <c r="B5792" s="3">
        <f ca="1">IFERROR(__xludf.DUMMYFUNCTION("""COMPUTED_VALUE"""),1)</f>
        <v>1</v>
      </c>
      <c r="C5792" s="7">
        <f ca="1">IFERROR(__xludf.DUMMYFUNCTION("""COMPUTED_VALUE"""),1)</f>
        <v>1</v>
      </c>
      <c r="D5792" s="8">
        <f ca="1">IFERROR(__xludf.DUMMYFUNCTION("""COMPUTED_VALUE"""),1)</f>
        <v>1</v>
      </c>
      <c r="E5792" s="2">
        <f ca="1">IFERROR(__xludf.DUMMYFUNCTION("""COMPUTED_VALUE"""),1)</f>
        <v>1</v>
      </c>
    </row>
    <row r="5793" spans="1:5" ht="13">
      <c r="A5793" s="2" t="str">
        <f ca="1">IFERROR(__xludf.DUMMYFUNCTION("""COMPUTED_VALUE"""),"Morrison, Van")</f>
        <v>Morrison, Van</v>
      </c>
      <c r="B5793" s="3">
        <f ca="1">IFERROR(__xludf.DUMMYFUNCTION("""COMPUTED_VALUE"""),1)</f>
        <v>1</v>
      </c>
      <c r="C5793" s="7">
        <f ca="1">IFERROR(__xludf.DUMMYFUNCTION("""COMPUTED_VALUE"""),1)</f>
        <v>1</v>
      </c>
      <c r="D5793" s="8">
        <f ca="1">IFERROR(__xludf.DUMMYFUNCTION("""COMPUTED_VALUE"""),1)</f>
        <v>1</v>
      </c>
      <c r="E5793" s="2">
        <f ca="1">IFERROR(__xludf.DUMMYFUNCTION("""COMPUTED_VALUE"""),1)</f>
        <v>1</v>
      </c>
    </row>
    <row r="5794" spans="1:5" ht="13">
      <c r="A5794" s="2" t="str">
        <f ca="1">IFERROR(__xludf.DUMMYFUNCTION("""COMPUTED_VALUE"""),"Morrissey, John")</f>
        <v>Morrissey, John</v>
      </c>
      <c r="B5794" s="3">
        <f ca="1">IFERROR(__xludf.DUMMYFUNCTION("""COMPUTED_VALUE"""),1)</f>
        <v>1</v>
      </c>
      <c r="C5794" s="7">
        <f ca="1">IFERROR(__xludf.DUMMYFUNCTION("""COMPUTED_VALUE"""),1)</f>
        <v>1</v>
      </c>
      <c r="D5794" s="8">
        <f ca="1">IFERROR(__xludf.DUMMYFUNCTION("""COMPUTED_VALUE"""),1)</f>
        <v>1</v>
      </c>
      <c r="E5794" s="2">
        <f ca="1">IFERROR(__xludf.DUMMYFUNCTION("""COMPUTED_VALUE"""),1)</f>
        <v>1</v>
      </c>
    </row>
    <row r="5795" spans="1:5" ht="13">
      <c r="A5795" s="2" t="str">
        <f ca="1">IFERROR(__xludf.DUMMYFUNCTION("""COMPUTED_VALUE"""),"Morrissey, John J.")</f>
        <v>Morrissey, John J.</v>
      </c>
      <c r="B5795" s="3">
        <f ca="1">IFERROR(__xludf.DUMMYFUNCTION("""COMPUTED_VALUE"""),1)</f>
        <v>1</v>
      </c>
      <c r="C5795" s="7">
        <f ca="1">IFERROR(__xludf.DUMMYFUNCTION("""COMPUTED_VALUE"""),1)</f>
        <v>1</v>
      </c>
      <c r="D5795" s="8">
        <f ca="1">IFERROR(__xludf.DUMMYFUNCTION("""COMPUTED_VALUE"""),1)</f>
        <v>1</v>
      </c>
      <c r="E5795" s="2">
        <f ca="1">IFERROR(__xludf.DUMMYFUNCTION("""COMPUTED_VALUE"""),1)</f>
        <v>1</v>
      </c>
    </row>
    <row r="5796" spans="1:5" ht="13">
      <c r="A5796" s="2" t="str">
        <f ca="1">IFERROR(__xludf.DUMMYFUNCTION("""COMPUTED_VALUE"""),"Morsch, J. Durward")</f>
        <v>Morsch, J. Durward</v>
      </c>
      <c r="B5796" s="3">
        <f ca="1">IFERROR(__xludf.DUMMYFUNCTION("""COMPUTED_VALUE"""),1)</f>
        <v>1</v>
      </c>
      <c r="C5796" s="7">
        <f ca="1">IFERROR(__xludf.DUMMYFUNCTION("""COMPUTED_VALUE"""),1)</f>
        <v>1</v>
      </c>
      <c r="D5796" s="8">
        <f ca="1">IFERROR(__xludf.DUMMYFUNCTION("""COMPUTED_VALUE"""),5)</f>
        <v>5</v>
      </c>
      <c r="E5796" s="2">
        <f ca="1">IFERROR(__xludf.DUMMYFUNCTION("""COMPUTED_VALUE"""),2)</f>
        <v>2</v>
      </c>
    </row>
    <row r="5797" spans="1:5" ht="13">
      <c r="A5797" s="2" t="str">
        <f ca="1">IFERROR(__xludf.DUMMYFUNCTION("""COMPUTED_VALUE"""),"Mortimer, John")</f>
        <v>Mortimer, John</v>
      </c>
      <c r="B5797" s="2">
        <f ca="1">IFERROR(__xludf.DUMMYFUNCTION("""COMPUTED_VALUE"""),1)</f>
        <v>1</v>
      </c>
      <c r="C5797" s="2">
        <f ca="1">IFERROR(__xludf.DUMMYFUNCTION("""COMPUTED_VALUE"""),1)</f>
        <v>1</v>
      </c>
      <c r="D5797" s="8">
        <f ca="1">IFERROR(__xludf.DUMMYFUNCTION("""COMPUTED_VALUE"""),1)</f>
        <v>1</v>
      </c>
      <c r="E5797" s="2">
        <f ca="1">IFERROR(__xludf.DUMMYFUNCTION("""COMPUTED_VALUE"""),1)</f>
        <v>1</v>
      </c>
    </row>
    <row r="5798" spans="1:5" ht="13">
      <c r="A5798" s="2" t="str">
        <f ca="1">IFERROR(__xludf.DUMMYFUNCTION("""COMPUTED_VALUE"""),"Moses, Andrew")</f>
        <v>Moses, Andrew</v>
      </c>
      <c r="B5798" s="3">
        <f ca="1">IFERROR(__xludf.DUMMYFUNCTION("""COMPUTED_VALUE"""),1)</f>
        <v>1</v>
      </c>
      <c r="C5798" s="7">
        <f ca="1">IFERROR(__xludf.DUMMYFUNCTION("""COMPUTED_VALUE"""),1)</f>
        <v>1</v>
      </c>
      <c r="D5798" s="8">
        <f ca="1">IFERROR(__xludf.DUMMYFUNCTION("""COMPUTED_VALUE"""),1)</f>
        <v>1</v>
      </c>
      <c r="E5798" s="2">
        <f ca="1">IFERROR(__xludf.DUMMYFUNCTION("""COMPUTED_VALUE"""),1)</f>
        <v>1</v>
      </c>
    </row>
    <row r="5799" spans="1:5" ht="13">
      <c r="A5799" s="2" t="str">
        <f ca="1">IFERROR(__xludf.DUMMYFUNCTION("""COMPUTED_VALUE"""),"Moses, Rae")</f>
        <v>Moses, Rae</v>
      </c>
      <c r="B5799" s="3">
        <f ca="1">IFERROR(__xludf.DUMMYFUNCTION("""COMPUTED_VALUE"""),1)</f>
        <v>1</v>
      </c>
      <c r="C5799" s="7">
        <f ca="1">IFERROR(__xludf.DUMMYFUNCTION("""COMPUTED_VALUE"""),1)</f>
        <v>1</v>
      </c>
      <c r="D5799" s="8">
        <f ca="1">IFERROR(__xludf.DUMMYFUNCTION("""COMPUTED_VALUE"""),1)</f>
        <v>1</v>
      </c>
      <c r="E5799" s="2">
        <f ca="1">IFERROR(__xludf.DUMMYFUNCTION("""COMPUTED_VALUE"""),1)</f>
        <v>1</v>
      </c>
    </row>
    <row r="5800" spans="1:5" ht="13">
      <c r="A5800" s="8" t="str">
        <f ca="1">IFERROR(__xludf.DUMMYFUNCTION("""COMPUTED_VALUE"""),"Moses, Theo")</f>
        <v>Moses, Theo</v>
      </c>
      <c r="B5800" s="2">
        <f ca="1">IFERROR(__xludf.DUMMYFUNCTION("""COMPUTED_VALUE"""),1)</f>
        <v>1</v>
      </c>
      <c r="C5800" s="7">
        <f ca="1">IFERROR(__xludf.DUMMYFUNCTION("""COMPUTED_VALUE"""),1)</f>
        <v>1</v>
      </c>
      <c r="D5800" s="8">
        <f ca="1">IFERROR(__xludf.DUMMYFUNCTION("""COMPUTED_VALUE"""),5)</f>
        <v>5</v>
      </c>
      <c r="E5800" s="2">
        <f ca="1">IFERROR(__xludf.DUMMYFUNCTION("""COMPUTED_VALUE"""),2)</f>
        <v>2</v>
      </c>
    </row>
    <row r="5801" spans="1:5" ht="13">
      <c r="A5801" s="2" t="str">
        <f ca="1">IFERROR(__xludf.DUMMYFUNCTION("""COMPUTED_VALUE"""),"Mosier, Kirt")</f>
        <v>Mosier, Kirt</v>
      </c>
      <c r="B5801" s="3">
        <f ca="1">IFERROR(__xludf.DUMMYFUNCTION("""COMPUTED_VALUE"""),1)</f>
        <v>1</v>
      </c>
      <c r="C5801" s="7">
        <f ca="1">IFERROR(__xludf.DUMMYFUNCTION("""COMPUTED_VALUE"""),1)</f>
        <v>1</v>
      </c>
      <c r="D5801" s="8">
        <f ca="1">IFERROR(__xludf.DUMMYFUNCTION("""COMPUTED_VALUE"""),1)</f>
        <v>1</v>
      </c>
      <c r="E5801" s="2">
        <f ca="1">IFERROR(__xludf.DUMMYFUNCTION("""COMPUTED_VALUE"""),1)</f>
        <v>1</v>
      </c>
    </row>
    <row r="5802" spans="1:5" ht="13">
      <c r="A5802" s="2" t="str">
        <f ca="1">IFERROR(__xludf.DUMMYFUNCTION("""COMPUTED_VALUE"""),"Mosolov, Alexander")</f>
        <v>Mosolov, Alexander</v>
      </c>
      <c r="B5802" s="3">
        <f ca="1">IFERROR(__xludf.DUMMYFUNCTION("""COMPUTED_VALUE"""),1)</f>
        <v>1</v>
      </c>
      <c r="C5802" s="7">
        <f ca="1">IFERROR(__xludf.DUMMYFUNCTION("""COMPUTED_VALUE"""),1)</f>
        <v>1</v>
      </c>
      <c r="D5802" s="8">
        <f ca="1">IFERROR(__xludf.DUMMYFUNCTION("""COMPUTED_VALUE"""),5)</f>
        <v>5</v>
      </c>
      <c r="E5802" s="2">
        <f ca="1">IFERROR(__xludf.DUMMYFUNCTION("""COMPUTED_VALUE"""),2)</f>
        <v>2</v>
      </c>
    </row>
    <row r="5803" spans="1:5" ht="13">
      <c r="A5803" s="2" t="str">
        <f ca="1">IFERROR(__xludf.DUMMYFUNCTION("""COMPUTED_VALUE"""),"Moss, Jeff")</f>
        <v>Moss, Jeff</v>
      </c>
      <c r="B5803" s="3">
        <f ca="1">IFERROR(__xludf.DUMMYFUNCTION("""COMPUTED_VALUE"""),1)</f>
        <v>1</v>
      </c>
      <c r="C5803" s="7">
        <f ca="1">IFERROR(__xludf.DUMMYFUNCTION("""COMPUTED_VALUE"""),1)</f>
        <v>1</v>
      </c>
      <c r="D5803" s="8">
        <f ca="1">IFERROR(__xludf.DUMMYFUNCTION("""COMPUTED_VALUE"""),1)</f>
        <v>1</v>
      </c>
      <c r="E5803" s="2">
        <f ca="1">IFERROR(__xludf.DUMMYFUNCTION("""COMPUTED_VALUE"""),1)</f>
        <v>1</v>
      </c>
    </row>
    <row r="5804" spans="1:5" ht="13">
      <c r="A5804" s="2" t="str">
        <f ca="1">IFERROR(__xludf.DUMMYFUNCTION("""COMPUTED_VALUE"""),"Moss, John")</f>
        <v>Moss, John</v>
      </c>
      <c r="B5804" s="3">
        <f ca="1">IFERROR(__xludf.DUMMYFUNCTION("""COMPUTED_VALUE"""),1)</f>
        <v>1</v>
      </c>
      <c r="C5804" s="7">
        <f ca="1">IFERROR(__xludf.DUMMYFUNCTION("""COMPUTED_VALUE"""),1)</f>
        <v>1</v>
      </c>
      <c r="D5804" s="8">
        <f ca="1">IFERROR(__xludf.DUMMYFUNCTION("""COMPUTED_VALUE"""),5)</f>
        <v>5</v>
      </c>
      <c r="E5804" s="2">
        <f ca="1">IFERROR(__xludf.DUMMYFUNCTION("""COMPUTED_VALUE"""),2)</f>
        <v>2</v>
      </c>
    </row>
    <row r="5805" spans="1:5" ht="13">
      <c r="A5805" s="2" t="str">
        <f ca="1">IFERROR(__xludf.DUMMYFUNCTION("""COMPUTED_VALUE"""),"Moss, Kirk")</f>
        <v>Moss, Kirk</v>
      </c>
      <c r="B5805" s="3">
        <f ca="1">IFERROR(__xludf.DUMMYFUNCTION("""COMPUTED_VALUE"""),1)</f>
        <v>1</v>
      </c>
      <c r="C5805" s="7">
        <f ca="1">IFERROR(__xludf.DUMMYFUNCTION("""COMPUTED_VALUE"""),1)</f>
        <v>1</v>
      </c>
      <c r="D5805" s="8">
        <f ca="1">IFERROR(__xludf.DUMMYFUNCTION("""COMPUTED_VALUE"""),1)</f>
        <v>1</v>
      </c>
      <c r="E5805" s="2">
        <f ca="1">IFERROR(__xludf.DUMMYFUNCTION("""COMPUTED_VALUE"""),1)</f>
        <v>1</v>
      </c>
    </row>
    <row r="5806" spans="1:5" ht="13">
      <c r="A5806" s="2" t="str">
        <f ca="1">IFERROR(__xludf.DUMMYFUNCTION("""COMPUTED_VALUE"""),"Moss, Myron")</f>
        <v>Moss, Myron</v>
      </c>
      <c r="B5806" s="3">
        <f ca="1">IFERROR(__xludf.DUMMYFUNCTION("""COMPUTED_VALUE"""),1)</f>
        <v>1</v>
      </c>
      <c r="C5806" s="7">
        <f ca="1">IFERROR(__xludf.DUMMYFUNCTION("""COMPUTED_VALUE"""),1)</f>
        <v>1</v>
      </c>
      <c r="D5806" s="8">
        <f ca="1">IFERROR(__xludf.DUMMYFUNCTION("""COMPUTED_VALUE"""),1)</f>
        <v>1</v>
      </c>
      <c r="E5806" s="2">
        <f ca="1">IFERROR(__xludf.DUMMYFUNCTION("""COMPUTED_VALUE"""),1)</f>
        <v>1</v>
      </c>
    </row>
    <row r="5807" spans="1:5" ht="13">
      <c r="A5807" s="2" t="str">
        <f ca="1">IFERROR(__xludf.DUMMYFUNCTION("""COMPUTED_VALUE"""),"Mossman, Michael")</f>
        <v>Mossman, Michael</v>
      </c>
      <c r="B5807" s="3">
        <f ca="1">IFERROR(__xludf.DUMMYFUNCTION("""COMPUTED_VALUE"""),1)</f>
        <v>1</v>
      </c>
      <c r="C5807" s="7">
        <f ca="1">IFERROR(__xludf.DUMMYFUNCTION("""COMPUTED_VALUE"""),1)</f>
        <v>1</v>
      </c>
      <c r="D5807" s="8">
        <f ca="1">IFERROR(__xludf.DUMMYFUNCTION("""COMPUTED_VALUE"""),1)</f>
        <v>1</v>
      </c>
      <c r="E5807" s="2">
        <f ca="1">IFERROR(__xludf.DUMMYFUNCTION("""COMPUTED_VALUE"""),1)</f>
        <v>1</v>
      </c>
    </row>
    <row r="5808" spans="1:5" ht="13">
      <c r="A5808" s="2" t="str">
        <f ca="1">IFERROR(__xludf.DUMMYFUNCTION("""COMPUTED_VALUE"""),"Mossman, Michael Philip")</f>
        <v>Mossman, Michael Philip</v>
      </c>
      <c r="B5808" s="3">
        <f ca="1">IFERROR(__xludf.DUMMYFUNCTION("""COMPUTED_VALUE"""),1)</f>
        <v>1</v>
      </c>
      <c r="C5808" s="7">
        <f ca="1">IFERROR(__xludf.DUMMYFUNCTION("""COMPUTED_VALUE"""),1)</f>
        <v>1</v>
      </c>
      <c r="D5808" s="8">
        <f ca="1">IFERROR(__xludf.DUMMYFUNCTION("""COMPUTED_VALUE"""),1)</f>
        <v>1</v>
      </c>
      <c r="E5808" s="2">
        <f ca="1">IFERROR(__xludf.DUMMYFUNCTION("""COMPUTED_VALUE"""),1)</f>
        <v>1</v>
      </c>
    </row>
    <row r="5809" spans="1:5" ht="13">
      <c r="A5809" s="2" t="str">
        <f ca="1">IFERROR(__xludf.DUMMYFUNCTION("""COMPUTED_VALUE"""),"Moszkowski, Moritz")</f>
        <v>Moszkowski, Moritz</v>
      </c>
      <c r="B5809" s="3">
        <f ca="1">IFERROR(__xludf.DUMMYFUNCTION("""COMPUTED_VALUE"""),1)</f>
        <v>1</v>
      </c>
      <c r="C5809" s="7">
        <f ca="1">IFERROR(__xludf.DUMMYFUNCTION("""COMPUTED_VALUE"""),1)</f>
        <v>1</v>
      </c>
      <c r="D5809" s="8">
        <f ca="1">IFERROR(__xludf.DUMMYFUNCTION("""COMPUTED_VALUE"""),5)</f>
        <v>5</v>
      </c>
      <c r="E5809" s="2">
        <f ca="1">IFERROR(__xludf.DUMMYFUNCTION("""COMPUTED_VALUE"""),2)</f>
        <v>2</v>
      </c>
    </row>
    <row r="5810" spans="1:5" ht="13">
      <c r="A5810" s="2" t="str">
        <f ca="1">IFERROR(__xludf.DUMMYFUNCTION("""COMPUTED_VALUE"""),"Mottl, Felix")</f>
        <v>Mottl, Felix</v>
      </c>
      <c r="B5810" s="3">
        <f ca="1">IFERROR(__xludf.DUMMYFUNCTION("""COMPUTED_VALUE"""),1)</f>
        <v>1</v>
      </c>
      <c r="C5810" s="7">
        <f ca="1">IFERROR(__xludf.DUMMYFUNCTION("""COMPUTED_VALUE"""),1)</f>
        <v>1</v>
      </c>
      <c r="D5810" s="8">
        <f ca="1">IFERROR(__xludf.DUMMYFUNCTION("""COMPUTED_VALUE"""),5)</f>
        <v>5</v>
      </c>
      <c r="E5810" s="2">
        <f ca="1">IFERROR(__xludf.DUMMYFUNCTION("""COMPUTED_VALUE"""),2)</f>
        <v>2</v>
      </c>
    </row>
    <row r="5811" spans="1:5" ht="13">
      <c r="A5811" s="2" t="str">
        <f ca="1">IFERROR(__xludf.DUMMYFUNCTION("""COMPUTED_VALUE"""),"Mourant, Walter")</f>
        <v>Mourant, Walter</v>
      </c>
      <c r="B5811" s="3">
        <f ca="1">IFERROR(__xludf.DUMMYFUNCTION("""COMPUTED_VALUE"""),1)</f>
        <v>1</v>
      </c>
      <c r="C5811" s="7">
        <f ca="1">IFERROR(__xludf.DUMMYFUNCTION("""COMPUTED_VALUE"""),1)</f>
        <v>1</v>
      </c>
      <c r="D5811" s="8">
        <f ca="1">IFERROR(__xludf.DUMMYFUNCTION("""COMPUTED_VALUE"""),5)</f>
        <v>5</v>
      </c>
      <c r="E5811" s="2">
        <f ca="1">IFERROR(__xludf.DUMMYFUNCTION("""COMPUTED_VALUE"""),2)</f>
        <v>2</v>
      </c>
    </row>
    <row r="5812" spans="1:5" ht="13">
      <c r="A5812" s="2" t="str">
        <f ca="1">IFERROR(__xludf.DUMMYFUNCTION("""COMPUTED_VALUE"""),"Mouret, Jean Joseph")</f>
        <v>Mouret, Jean Joseph</v>
      </c>
      <c r="B5812" s="3">
        <f ca="1">IFERROR(__xludf.DUMMYFUNCTION("""COMPUTED_VALUE"""),1)</f>
        <v>1</v>
      </c>
      <c r="C5812" s="7">
        <f ca="1">IFERROR(__xludf.DUMMYFUNCTION("""COMPUTED_VALUE"""),1)</f>
        <v>1</v>
      </c>
      <c r="D5812" s="8">
        <f ca="1">IFERROR(__xludf.DUMMYFUNCTION("""COMPUTED_VALUE"""),5)</f>
        <v>5</v>
      </c>
      <c r="E5812" s="2">
        <f ca="1">IFERROR(__xludf.DUMMYFUNCTION("""COMPUTED_VALUE"""),2)</f>
        <v>2</v>
      </c>
    </row>
    <row r="5813" spans="1:5" ht="13">
      <c r="A5813" s="2" t="str">
        <f ca="1">IFERROR(__xludf.DUMMYFUNCTION("""COMPUTED_VALUE"""),"Moussorgsky, Modest")</f>
        <v>Moussorgsky, Modest</v>
      </c>
      <c r="B5813" s="3">
        <f ca="1">IFERROR(__xludf.DUMMYFUNCTION("""COMPUTED_VALUE"""),1)</f>
        <v>1</v>
      </c>
      <c r="C5813" s="7">
        <f ca="1">IFERROR(__xludf.DUMMYFUNCTION("""COMPUTED_VALUE"""),1)</f>
        <v>1</v>
      </c>
      <c r="D5813" s="8">
        <f ca="1">IFERROR(__xludf.DUMMYFUNCTION("""COMPUTED_VALUE"""),5)</f>
        <v>5</v>
      </c>
      <c r="E5813" s="2">
        <f ca="1">IFERROR(__xludf.DUMMYFUNCTION("""COMPUTED_VALUE"""),2)</f>
        <v>2</v>
      </c>
    </row>
    <row r="5814" spans="1:5" ht="13">
      <c r="A5814" s="8" t="str">
        <f ca="1">IFERROR(__xludf.DUMMYFUNCTION("""COMPUTED_VALUE"""),"Mouton, Hubert")</f>
        <v>Mouton, Hubert</v>
      </c>
      <c r="B5814" s="2">
        <f ca="1">IFERROR(__xludf.DUMMYFUNCTION("""COMPUTED_VALUE"""),1)</f>
        <v>1</v>
      </c>
      <c r="C5814" s="7">
        <f ca="1">IFERROR(__xludf.DUMMYFUNCTION("""COMPUTED_VALUE"""),1)</f>
        <v>1</v>
      </c>
      <c r="D5814" s="8">
        <f ca="1">IFERROR(__xludf.DUMMYFUNCTION("""COMPUTED_VALUE"""),5)</f>
        <v>5</v>
      </c>
      <c r="E5814" s="2">
        <f ca="1">IFERROR(__xludf.DUMMYFUNCTION("""COMPUTED_VALUE"""),2)</f>
        <v>2</v>
      </c>
    </row>
    <row r="5815" spans="1:5" ht="13">
      <c r="A5815" s="2" t="str">
        <f ca="1">IFERROR(__xludf.DUMMYFUNCTION("""COMPUTED_VALUE"""),"Mouton, Jean")</f>
        <v>Mouton, Jean</v>
      </c>
      <c r="B5815" s="3">
        <f ca="1">IFERROR(__xludf.DUMMYFUNCTION("""COMPUTED_VALUE"""),1)</f>
        <v>1</v>
      </c>
      <c r="C5815" s="7">
        <f ca="1">IFERROR(__xludf.DUMMYFUNCTION("""COMPUTED_VALUE"""),1)</f>
        <v>1</v>
      </c>
      <c r="D5815" s="8">
        <f ca="1">IFERROR(__xludf.DUMMYFUNCTION("""COMPUTED_VALUE"""),5)</f>
        <v>5</v>
      </c>
      <c r="E5815" s="2">
        <f ca="1">IFERROR(__xludf.DUMMYFUNCTION("""COMPUTED_VALUE"""),2)</f>
        <v>2</v>
      </c>
    </row>
    <row r="5816" spans="1:5" ht="13">
      <c r="A5816" s="2" t="str">
        <f ca="1">IFERROR(__xludf.DUMMYFUNCTION("""COMPUTED_VALUE"""),"Mowat, Christopher")</f>
        <v>Mowat, Christopher</v>
      </c>
      <c r="B5816" s="3">
        <f ca="1">IFERROR(__xludf.DUMMYFUNCTION("""COMPUTED_VALUE"""),1)</f>
        <v>1</v>
      </c>
      <c r="C5816" s="7">
        <f ca="1">IFERROR(__xludf.DUMMYFUNCTION("""COMPUTED_VALUE"""),1)</f>
        <v>1</v>
      </c>
      <c r="D5816" s="8">
        <f ca="1">IFERROR(__xludf.DUMMYFUNCTION("""COMPUTED_VALUE"""),1)</f>
        <v>1</v>
      </c>
      <c r="E5816" s="2">
        <f ca="1">IFERROR(__xludf.DUMMYFUNCTION("""COMPUTED_VALUE"""),1)</f>
        <v>1</v>
      </c>
    </row>
    <row r="5817" spans="1:5" ht="13">
      <c r="A5817" s="2" t="str">
        <f ca="1">IFERROR(__xludf.DUMMYFUNCTION("""COMPUTED_VALUE"""),"Mower, Mike")</f>
        <v>Mower, Mike</v>
      </c>
      <c r="B5817" s="3">
        <f ca="1">IFERROR(__xludf.DUMMYFUNCTION("""COMPUTED_VALUE"""),1)</f>
        <v>1</v>
      </c>
      <c r="C5817" s="7">
        <f ca="1">IFERROR(__xludf.DUMMYFUNCTION("""COMPUTED_VALUE"""),1)</f>
        <v>1</v>
      </c>
      <c r="D5817" s="8">
        <f ca="1">IFERROR(__xludf.DUMMYFUNCTION("""COMPUTED_VALUE"""),1)</f>
        <v>1</v>
      </c>
      <c r="E5817" s="2">
        <f ca="1">IFERROR(__xludf.DUMMYFUNCTION("""COMPUTED_VALUE"""),1)</f>
        <v>1</v>
      </c>
    </row>
    <row r="5818" spans="1:5" ht="13">
      <c r="A5818" s="2" t="str">
        <f ca="1">IFERROR(__xludf.DUMMYFUNCTION("""COMPUTED_VALUE"""),"Moy, Mason")</f>
        <v>Moy, Mason</v>
      </c>
      <c r="B5818" s="3">
        <f ca="1">IFERROR(__xludf.DUMMYFUNCTION("""COMPUTED_VALUE"""),1)</f>
        <v>1</v>
      </c>
      <c r="C5818" s="7">
        <f ca="1">IFERROR(__xludf.DUMMYFUNCTION("""COMPUTED_VALUE"""),1)</f>
        <v>1</v>
      </c>
      <c r="D5818" s="8">
        <f ca="1">IFERROR(__xludf.DUMMYFUNCTION("""COMPUTED_VALUE"""),1)</f>
        <v>1</v>
      </c>
      <c r="E5818" s="2">
        <f ca="1">IFERROR(__xludf.DUMMYFUNCTION("""COMPUTED_VALUE"""),1)</f>
        <v>1</v>
      </c>
    </row>
    <row r="5819" spans="1:5" ht="13">
      <c r="A5819" s="2" t="str">
        <f ca="1">IFERROR(__xludf.DUMMYFUNCTION("""COMPUTED_VALUE"""),"Moyer, J. Harold")</f>
        <v>Moyer, J. Harold</v>
      </c>
      <c r="B5819" s="3">
        <f ca="1">IFERROR(__xludf.DUMMYFUNCTION("""COMPUTED_VALUE"""),1)</f>
        <v>1</v>
      </c>
      <c r="C5819" s="7">
        <f ca="1">IFERROR(__xludf.DUMMYFUNCTION("""COMPUTED_VALUE"""),1)</f>
        <v>1</v>
      </c>
      <c r="D5819" s="8">
        <f ca="1">IFERROR(__xludf.DUMMYFUNCTION("""COMPUTED_VALUE"""),5)</f>
        <v>5</v>
      </c>
      <c r="E5819" s="2">
        <f ca="1">IFERROR(__xludf.DUMMYFUNCTION("""COMPUTED_VALUE"""),2)</f>
        <v>2</v>
      </c>
    </row>
    <row r="5820" spans="1:5" ht="13">
      <c r="A5820" s="2" t="str">
        <f ca="1">IFERROR(__xludf.DUMMYFUNCTION("""COMPUTED_VALUE"""),"Mozart, Leopold")</f>
        <v>Mozart, Leopold</v>
      </c>
      <c r="B5820" s="3">
        <f ca="1">IFERROR(__xludf.DUMMYFUNCTION("""COMPUTED_VALUE"""),1)</f>
        <v>1</v>
      </c>
      <c r="C5820" s="7">
        <f ca="1">IFERROR(__xludf.DUMMYFUNCTION("""COMPUTED_VALUE"""),1)</f>
        <v>1</v>
      </c>
      <c r="D5820" s="8">
        <f ca="1">IFERROR(__xludf.DUMMYFUNCTION("""COMPUTED_VALUE"""),5)</f>
        <v>5</v>
      </c>
      <c r="E5820" s="2">
        <f ca="1">IFERROR(__xludf.DUMMYFUNCTION("""COMPUTED_VALUE"""),2)</f>
        <v>2</v>
      </c>
    </row>
    <row r="5821" spans="1:5" ht="13">
      <c r="A5821" s="2" t="str">
        <f ca="1">IFERROR(__xludf.DUMMYFUNCTION("""COMPUTED_VALUE"""),"Mozart, Wolfgang Amadeus")</f>
        <v>Mozart, Wolfgang Amadeus</v>
      </c>
      <c r="B5821" s="3">
        <f ca="1">IFERROR(__xludf.DUMMYFUNCTION("""COMPUTED_VALUE"""),1)</f>
        <v>1</v>
      </c>
      <c r="C5821" s="7">
        <f ca="1">IFERROR(__xludf.DUMMYFUNCTION("""COMPUTED_VALUE"""),1)</f>
        <v>1</v>
      </c>
      <c r="D5821" s="8">
        <f ca="1">IFERROR(__xludf.DUMMYFUNCTION("""COMPUTED_VALUE"""),5)</f>
        <v>5</v>
      </c>
      <c r="E5821" s="2">
        <f ca="1">IFERROR(__xludf.DUMMYFUNCTION("""COMPUTED_VALUE"""),2)</f>
        <v>2</v>
      </c>
    </row>
    <row r="5822" spans="1:5" ht="13">
      <c r="A5822" s="8" t="str">
        <f ca="1">IFERROR(__xludf.DUMMYFUNCTION("""COMPUTED_VALUE"""),"Mozart, Wolfgang Amadeus / Runestad, Jake")</f>
        <v>Mozart, Wolfgang Amadeus / Runestad, Jake</v>
      </c>
      <c r="B5822" s="3">
        <f ca="1">IFERROR(__xludf.DUMMYFUNCTION("""COMPUTED_VALUE"""),1)</f>
        <v>1</v>
      </c>
      <c r="C5822" s="7">
        <f ca="1">IFERROR(__xludf.DUMMYFUNCTION("""COMPUTED_VALUE"""),1)</f>
        <v>1</v>
      </c>
      <c r="D5822" s="8">
        <f ca="1">IFERROR(__xludf.DUMMYFUNCTION("""COMPUTED_VALUE"""),5)</f>
        <v>5</v>
      </c>
      <c r="E5822" s="2">
        <f ca="1">IFERROR(__xludf.DUMMYFUNCTION("""COMPUTED_VALUE"""),2)</f>
        <v>2</v>
      </c>
    </row>
    <row r="5823" spans="1:5" ht="13">
      <c r="A5823" s="2" t="str">
        <f ca="1">IFERROR(__xludf.DUMMYFUNCTION("""COMPUTED_VALUE"""),"Mozetich, Marjan")</f>
        <v>Mozetich, Marjan</v>
      </c>
      <c r="B5823" s="2">
        <f ca="1">IFERROR(__xludf.DUMMYFUNCTION("""COMPUTED_VALUE"""),1)</f>
        <v>1</v>
      </c>
      <c r="C5823" s="7">
        <f ca="1">IFERROR(__xludf.DUMMYFUNCTION("""COMPUTED_VALUE"""),1)</f>
        <v>1</v>
      </c>
      <c r="D5823" s="8">
        <f ca="1">IFERROR(__xludf.DUMMYFUNCTION("""COMPUTED_VALUE"""),1)</f>
        <v>1</v>
      </c>
      <c r="E5823" s="2">
        <f ca="1">IFERROR(__xludf.DUMMYFUNCTION("""COMPUTED_VALUE"""),1)</f>
        <v>1</v>
      </c>
    </row>
    <row r="5824" spans="1:5" ht="13">
      <c r="A5824" s="2" t="str">
        <f ca="1">IFERROR(__xludf.DUMMYFUNCTION("""COMPUTED_VALUE"""),"Mraz, Jason")</f>
        <v>Mraz, Jason</v>
      </c>
      <c r="B5824" s="2">
        <f ca="1">IFERROR(__xludf.DUMMYFUNCTION("""COMPUTED_VALUE"""),1)</f>
        <v>1</v>
      </c>
      <c r="C5824" s="7">
        <f ca="1">IFERROR(__xludf.DUMMYFUNCTION("""COMPUTED_VALUE"""),1)</f>
        <v>1</v>
      </c>
      <c r="D5824" s="8">
        <f ca="1">IFERROR(__xludf.DUMMYFUNCTION("""COMPUTED_VALUE"""),1)</f>
        <v>1</v>
      </c>
      <c r="E5824" s="2">
        <f ca="1">IFERROR(__xludf.DUMMYFUNCTION("""COMPUTED_VALUE"""),1)</f>
        <v>1</v>
      </c>
    </row>
    <row r="5825" spans="1:5" ht="13">
      <c r="A5825" s="2" t="str">
        <f ca="1">IFERROR(__xludf.DUMMYFUNCTION("""COMPUTED_VALUE"""),"Mruzek, David M.")</f>
        <v>Mruzek, David M.</v>
      </c>
      <c r="B5825" s="3">
        <f ca="1">IFERROR(__xludf.DUMMYFUNCTION("""COMPUTED_VALUE"""),1)</f>
        <v>1</v>
      </c>
      <c r="C5825" s="7">
        <f ca="1">IFERROR(__xludf.DUMMYFUNCTION("""COMPUTED_VALUE"""),1)</f>
        <v>1</v>
      </c>
      <c r="D5825" s="8">
        <f ca="1">IFERROR(__xludf.DUMMYFUNCTION("""COMPUTED_VALUE"""),1)</f>
        <v>1</v>
      </c>
      <c r="E5825" s="2">
        <f ca="1">IFERROR(__xludf.DUMMYFUNCTION("""COMPUTED_VALUE"""),1)</f>
        <v>1</v>
      </c>
    </row>
    <row r="5826" spans="1:5" ht="13">
      <c r="A5826" s="2" t="str">
        <f ca="1">IFERROR(__xludf.DUMMYFUNCTION("""COMPUTED_VALUE"""),"Muczynski, Robert")</f>
        <v>Muczynski, Robert</v>
      </c>
      <c r="B5826" s="3">
        <f ca="1">IFERROR(__xludf.DUMMYFUNCTION("""COMPUTED_VALUE"""),1)</f>
        <v>1</v>
      </c>
      <c r="C5826" s="7">
        <f ca="1">IFERROR(__xludf.DUMMYFUNCTION("""COMPUTED_VALUE"""),1)</f>
        <v>1</v>
      </c>
      <c r="D5826" s="8">
        <f ca="1">IFERROR(__xludf.DUMMYFUNCTION("""COMPUTED_VALUE"""),5)</f>
        <v>5</v>
      </c>
      <c r="E5826" s="2">
        <f ca="1">IFERROR(__xludf.DUMMYFUNCTION("""COMPUTED_VALUE"""),2)</f>
        <v>2</v>
      </c>
    </row>
    <row r="5827" spans="1:5" ht="13">
      <c r="A5827" s="2" t="str">
        <f ca="1">IFERROR(__xludf.DUMMYFUNCTION("""COMPUTED_VALUE"""),"Muehleisen, John")</f>
        <v>Muehleisen, John</v>
      </c>
      <c r="B5827" s="3">
        <f ca="1">IFERROR(__xludf.DUMMYFUNCTION("""COMPUTED_VALUE"""),1)</f>
        <v>1</v>
      </c>
      <c r="C5827" s="7">
        <f ca="1">IFERROR(__xludf.DUMMYFUNCTION("""COMPUTED_VALUE"""),1)</f>
        <v>1</v>
      </c>
      <c r="D5827" s="8">
        <f ca="1">IFERROR(__xludf.DUMMYFUNCTION("""COMPUTED_VALUE"""),1)</f>
        <v>1</v>
      </c>
      <c r="E5827" s="2">
        <f ca="1">IFERROR(__xludf.DUMMYFUNCTION("""COMPUTED_VALUE"""),1)</f>
        <v>1</v>
      </c>
    </row>
    <row r="5828" spans="1:5" ht="13">
      <c r="A5828" s="2" t="str">
        <f ca="1">IFERROR(__xludf.DUMMYFUNCTION("""COMPUTED_VALUE"""),"Mueller, Carl")</f>
        <v>Mueller, Carl</v>
      </c>
      <c r="B5828" s="3">
        <f ca="1">IFERROR(__xludf.DUMMYFUNCTION("""COMPUTED_VALUE"""),1)</f>
        <v>1</v>
      </c>
      <c r="C5828" s="7">
        <f ca="1">IFERROR(__xludf.DUMMYFUNCTION("""COMPUTED_VALUE"""),1)</f>
        <v>1</v>
      </c>
      <c r="D5828" s="8">
        <f ca="1">IFERROR(__xludf.DUMMYFUNCTION("""COMPUTED_VALUE"""),5)</f>
        <v>5</v>
      </c>
      <c r="E5828" s="2">
        <f ca="1">IFERROR(__xludf.DUMMYFUNCTION("""COMPUTED_VALUE"""),2)</f>
        <v>2</v>
      </c>
    </row>
    <row r="5829" spans="1:5" ht="13">
      <c r="A5829" s="2" t="str">
        <f ca="1">IFERROR(__xludf.DUMMYFUNCTION("""COMPUTED_VALUE"""),"Mueller, Florian")</f>
        <v>Mueller, Florian</v>
      </c>
      <c r="B5829" s="2">
        <f ca="1">IFERROR(__xludf.DUMMYFUNCTION("""COMPUTED_VALUE"""),1)</f>
        <v>1</v>
      </c>
      <c r="C5829" s="7">
        <f ca="1">IFERROR(__xludf.DUMMYFUNCTION("""COMPUTED_VALUE"""),1)</f>
        <v>1</v>
      </c>
      <c r="D5829" s="8">
        <f ca="1">IFERROR(__xludf.DUMMYFUNCTION("""COMPUTED_VALUE"""),5)</f>
        <v>5</v>
      </c>
      <c r="E5829" s="2">
        <f ca="1">IFERROR(__xludf.DUMMYFUNCTION("""COMPUTED_VALUE"""),2)</f>
        <v>2</v>
      </c>
    </row>
    <row r="5830" spans="1:5" ht="13">
      <c r="A5830" s="2" t="str">
        <f ca="1">IFERROR(__xludf.DUMMYFUNCTION("""COMPUTED_VALUE"""),"Mueller, J. Frederick")</f>
        <v>Mueller, J. Frederick</v>
      </c>
      <c r="B5830" s="3">
        <f ca="1">IFERROR(__xludf.DUMMYFUNCTION("""COMPUTED_VALUE"""),1)</f>
        <v>1</v>
      </c>
      <c r="C5830" s="7">
        <f ca="1">IFERROR(__xludf.DUMMYFUNCTION("""COMPUTED_VALUE"""),1)</f>
        <v>1</v>
      </c>
      <c r="D5830" s="8">
        <f ca="1">IFERROR(__xludf.DUMMYFUNCTION("""COMPUTED_VALUE"""),5)</f>
        <v>5</v>
      </c>
      <c r="E5830" s="2">
        <f ca="1">IFERROR(__xludf.DUMMYFUNCTION("""COMPUTED_VALUE"""),2)</f>
        <v>2</v>
      </c>
    </row>
    <row r="5831" spans="1:5" ht="13">
      <c r="A5831" s="2" t="str">
        <f ca="1">IFERROR(__xludf.DUMMYFUNCTION("""COMPUTED_VALUE"""),"Muffat, Georg")</f>
        <v>Muffat, Georg</v>
      </c>
      <c r="B5831" s="3">
        <f ca="1">IFERROR(__xludf.DUMMYFUNCTION("""COMPUTED_VALUE"""),1)</f>
        <v>1</v>
      </c>
      <c r="C5831" s="7">
        <f ca="1">IFERROR(__xludf.DUMMYFUNCTION("""COMPUTED_VALUE"""),1)</f>
        <v>1</v>
      </c>
      <c r="D5831" s="8">
        <f ca="1">IFERROR(__xludf.DUMMYFUNCTION("""COMPUTED_VALUE"""),5)</f>
        <v>5</v>
      </c>
      <c r="E5831" s="2">
        <f ca="1">IFERROR(__xludf.DUMMYFUNCTION("""COMPUTED_VALUE"""),2)</f>
        <v>2</v>
      </c>
    </row>
    <row r="5832" spans="1:5" ht="13">
      <c r="A5832" s="2" t="str">
        <f ca="1">IFERROR(__xludf.DUMMYFUNCTION("""COMPUTED_VALUE"""),"Muhly, Nico")</f>
        <v>Muhly, Nico</v>
      </c>
      <c r="B5832" s="3">
        <f ca="1">IFERROR(__xludf.DUMMYFUNCTION("""COMPUTED_VALUE"""),1)</f>
        <v>1</v>
      </c>
      <c r="C5832" s="7">
        <f ca="1">IFERROR(__xludf.DUMMYFUNCTION("""COMPUTED_VALUE"""),1)</f>
        <v>1</v>
      </c>
      <c r="D5832" s="8">
        <f ca="1">IFERROR(__xludf.DUMMYFUNCTION("""COMPUTED_VALUE"""),1)</f>
        <v>1</v>
      </c>
      <c r="E5832" s="2">
        <f ca="1">IFERROR(__xludf.DUMMYFUNCTION("""COMPUTED_VALUE"""),1)</f>
        <v>1</v>
      </c>
    </row>
    <row r="5833" spans="1:5" ht="13">
      <c r="A5833" s="2" t="str">
        <f ca="1">IFERROR(__xludf.DUMMYFUNCTION("""COMPUTED_VALUE"""),"Muhly, Nico / Helbig, Sven / Long,Zhou")</f>
        <v>Muhly, Nico / Helbig, Sven / Long,Zhou</v>
      </c>
      <c r="B5833" s="3">
        <f ca="1">IFERROR(__xludf.DUMMYFUNCTION("""COMPUTED_VALUE"""),1)</f>
        <v>1</v>
      </c>
      <c r="C5833" s="7">
        <f ca="1">IFERROR(__xludf.DUMMYFUNCTION("""COMPUTED_VALUE"""),1)</f>
        <v>1</v>
      </c>
      <c r="D5833" s="8">
        <f ca="1">IFERROR(__xludf.DUMMYFUNCTION("""COMPUTED_VALUE"""),1)</f>
        <v>1</v>
      </c>
      <c r="E5833" s="2">
        <f ca="1">IFERROR(__xludf.DUMMYFUNCTION("""COMPUTED_VALUE"""),1)</f>
        <v>1</v>
      </c>
    </row>
    <row r="5834" spans="1:5" ht="13">
      <c r="A5834" s="2" t="str">
        <f ca="1">IFERROR(__xludf.DUMMYFUNCTION("""COMPUTED_VALUE"""),"Muir, Lewis F.")</f>
        <v>Muir, Lewis F.</v>
      </c>
      <c r="B5834" s="2">
        <f ca="1">IFERROR(__xludf.DUMMYFUNCTION("""COMPUTED_VALUE"""),1)</f>
        <v>1</v>
      </c>
      <c r="C5834" s="7">
        <f ca="1">IFERROR(__xludf.DUMMYFUNCTION("""COMPUTED_VALUE"""),1)</f>
        <v>1</v>
      </c>
      <c r="D5834" s="8">
        <f ca="1">IFERROR(__xludf.DUMMYFUNCTION("""COMPUTED_VALUE"""),5)</f>
        <v>5</v>
      </c>
      <c r="E5834" s="2">
        <f ca="1">IFERROR(__xludf.DUMMYFUNCTION("""COMPUTED_VALUE"""),2)</f>
        <v>2</v>
      </c>
    </row>
    <row r="5835" spans="1:5" ht="13">
      <c r="A5835" s="8" t="str">
        <f ca="1">IFERROR(__xludf.DUMMYFUNCTION("""COMPUTED_VALUE"""),"Mulholland, James")</f>
        <v>Mulholland, James</v>
      </c>
      <c r="B5835" s="3">
        <f ca="1">IFERROR(__xludf.DUMMYFUNCTION("""COMPUTED_VALUE"""),1)</f>
        <v>1</v>
      </c>
      <c r="C5835" s="7">
        <f ca="1">IFERROR(__xludf.DUMMYFUNCTION("""COMPUTED_VALUE"""),1)</f>
        <v>1</v>
      </c>
      <c r="D5835" s="8">
        <f ca="1">IFERROR(__xludf.DUMMYFUNCTION("""COMPUTED_VALUE"""),1)</f>
        <v>1</v>
      </c>
      <c r="E5835" s="2">
        <f ca="1">IFERROR(__xludf.DUMMYFUNCTION("""COMPUTED_VALUE"""),1)</f>
        <v>1</v>
      </c>
    </row>
    <row r="5836" spans="1:5" ht="13">
      <c r="A5836" s="2" t="str">
        <f ca="1">IFERROR(__xludf.DUMMYFUNCTION("""COMPUTED_VALUE"""),"Mulholland, James / Leck, Henry")</f>
        <v>Mulholland, James / Leck, Henry</v>
      </c>
      <c r="B5836" s="2">
        <f ca="1">IFERROR(__xludf.DUMMYFUNCTION("""COMPUTED_VALUE"""),1)</f>
        <v>1</v>
      </c>
      <c r="C5836" s="2">
        <f ca="1">IFERROR(__xludf.DUMMYFUNCTION("""COMPUTED_VALUE"""),1)</f>
        <v>1</v>
      </c>
      <c r="D5836" s="8">
        <f ca="1">IFERROR(__xludf.DUMMYFUNCTION("""COMPUTED_VALUE"""),1)</f>
        <v>1</v>
      </c>
      <c r="E5836" s="2">
        <f ca="1">IFERROR(__xludf.DUMMYFUNCTION("""COMPUTED_VALUE"""),1)</f>
        <v>1</v>
      </c>
    </row>
    <row r="5837" spans="1:5" ht="13">
      <c r="A5837" s="2" t="str">
        <f ca="1">IFERROR(__xludf.DUMMYFUNCTION("""COMPUTED_VALUE"""),"Müller-Berghaus, Karl")</f>
        <v>Müller-Berghaus, Karl</v>
      </c>
      <c r="B5837" s="3">
        <f ca="1">IFERROR(__xludf.DUMMYFUNCTION("""COMPUTED_VALUE"""),1)</f>
        <v>1</v>
      </c>
      <c r="C5837" s="7">
        <f ca="1">IFERROR(__xludf.DUMMYFUNCTION("""COMPUTED_VALUE"""),1)</f>
        <v>1</v>
      </c>
      <c r="D5837" s="8">
        <f ca="1">IFERROR(__xludf.DUMMYFUNCTION("""COMPUTED_VALUE"""),5)</f>
        <v>5</v>
      </c>
      <c r="E5837" s="2">
        <f ca="1">IFERROR(__xludf.DUMMYFUNCTION("""COMPUTED_VALUE"""),2)</f>
        <v>2</v>
      </c>
    </row>
    <row r="5838" spans="1:5" ht="13">
      <c r="A5838" s="8" t="str">
        <f ca="1">IFERROR(__xludf.DUMMYFUNCTION("""COMPUTED_VALUE"""),"Muller, Hermann")</f>
        <v>Muller, Hermann</v>
      </c>
      <c r="B5838" s="3">
        <f ca="1">IFERROR(__xludf.DUMMYFUNCTION("""COMPUTED_VALUE"""),1)</f>
        <v>1</v>
      </c>
      <c r="C5838" s="7">
        <f ca="1">IFERROR(__xludf.DUMMYFUNCTION("""COMPUTED_VALUE"""),1)</f>
        <v>1</v>
      </c>
      <c r="D5838" s="8">
        <f ca="1">IFERROR(__xludf.DUMMYFUNCTION("""COMPUTED_VALUE"""),5)</f>
        <v>5</v>
      </c>
      <c r="E5838" s="2">
        <f ca="1">IFERROR(__xludf.DUMMYFUNCTION("""COMPUTED_VALUE"""),2)</f>
        <v>2</v>
      </c>
    </row>
    <row r="5839" spans="1:5" ht="13">
      <c r="A5839" s="2" t="str">
        <f ca="1">IFERROR(__xludf.DUMMYFUNCTION("""COMPUTED_VALUE"""),"Muller, J. Frederick")</f>
        <v>Muller, J. Frederick</v>
      </c>
      <c r="B5839" s="3">
        <f ca="1">IFERROR(__xludf.DUMMYFUNCTION("""COMPUTED_VALUE"""),1)</f>
        <v>1</v>
      </c>
      <c r="C5839" s="7">
        <f ca="1">IFERROR(__xludf.DUMMYFUNCTION("""COMPUTED_VALUE"""),1)</f>
        <v>1</v>
      </c>
      <c r="D5839" s="8">
        <f ca="1">IFERROR(__xludf.DUMMYFUNCTION("""COMPUTED_VALUE"""),5)</f>
        <v>5</v>
      </c>
      <c r="E5839" s="2">
        <f ca="1">IFERROR(__xludf.DUMMYFUNCTION("""COMPUTED_VALUE"""),2)</f>
        <v>2</v>
      </c>
    </row>
    <row r="5840" spans="1:5" ht="13">
      <c r="A5840" s="2" t="str">
        <f ca="1">IFERROR(__xludf.DUMMYFUNCTION("""COMPUTED_VALUE"""),"Müller, J. Frederick")</f>
        <v>Müller, J. Frederick</v>
      </c>
      <c r="B5840" s="3">
        <f ca="1">IFERROR(__xludf.DUMMYFUNCTION("""COMPUTED_VALUE"""),1)</f>
        <v>1</v>
      </c>
      <c r="C5840" s="7">
        <f ca="1">IFERROR(__xludf.DUMMYFUNCTION("""COMPUTED_VALUE"""),1)</f>
        <v>1</v>
      </c>
      <c r="D5840" s="8">
        <f ca="1">IFERROR(__xludf.DUMMYFUNCTION("""COMPUTED_VALUE"""),5)</f>
        <v>5</v>
      </c>
      <c r="E5840" s="2">
        <f ca="1">IFERROR(__xludf.DUMMYFUNCTION("""COMPUTED_VALUE"""),2)</f>
        <v>2</v>
      </c>
    </row>
    <row r="5841" spans="1:5" ht="13">
      <c r="A5841" s="2" t="str">
        <f ca="1">IFERROR(__xludf.DUMMYFUNCTION("""COMPUTED_VALUE"""),"Muller, James")</f>
        <v>Muller, James</v>
      </c>
      <c r="B5841" s="3">
        <f ca="1">IFERROR(__xludf.DUMMYFUNCTION("""COMPUTED_VALUE"""),1)</f>
        <v>1</v>
      </c>
      <c r="C5841" s="7">
        <f ca="1">IFERROR(__xludf.DUMMYFUNCTION("""COMPUTED_VALUE"""),1)</f>
        <v>1</v>
      </c>
      <c r="D5841" s="8">
        <f ca="1">IFERROR(__xludf.DUMMYFUNCTION("""COMPUTED_VALUE"""),1)</f>
        <v>1</v>
      </c>
      <c r="E5841" s="2">
        <f ca="1">IFERROR(__xludf.DUMMYFUNCTION("""COMPUTED_VALUE"""),1)</f>
        <v>1</v>
      </c>
    </row>
    <row r="5842" spans="1:5" ht="13">
      <c r="A5842" s="2" t="str">
        <f ca="1">IFERROR(__xludf.DUMMYFUNCTION("""COMPUTED_VALUE"""),"Muller, Johann Friedrich")</f>
        <v>Muller, Johann Friedrich</v>
      </c>
      <c r="B5842" s="2">
        <f ca="1">IFERROR(__xludf.DUMMYFUNCTION("""COMPUTED_VALUE"""),1)</f>
        <v>1</v>
      </c>
      <c r="C5842" s="7">
        <f ca="1">IFERROR(__xludf.DUMMYFUNCTION("""COMPUTED_VALUE"""),1)</f>
        <v>1</v>
      </c>
      <c r="D5842" s="8">
        <f ca="1">IFERROR(__xludf.DUMMYFUNCTION("""COMPUTED_VALUE"""),5)</f>
        <v>5</v>
      </c>
      <c r="E5842" s="2">
        <f ca="1">IFERROR(__xludf.DUMMYFUNCTION("""COMPUTED_VALUE"""),2)</f>
        <v>2</v>
      </c>
    </row>
    <row r="5843" spans="1:5" ht="13">
      <c r="A5843" s="2" t="str">
        <f ca="1">IFERROR(__xludf.DUMMYFUNCTION("""COMPUTED_VALUE"""),"Muller, Wenzel")</f>
        <v>Muller, Wenzel</v>
      </c>
      <c r="B5843" s="3">
        <f ca="1">IFERROR(__xludf.DUMMYFUNCTION("""COMPUTED_VALUE"""),1)</f>
        <v>1</v>
      </c>
      <c r="C5843" s="7">
        <f ca="1">IFERROR(__xludf.DUMMYFUNCTION("""COMPUTED_VALUE"""),1)</f>
        <v>1</v>
      </c>
      <c r="D5843" s="8">
        <f ca="1">IFERROR(__xludf.DUMMYFUNCTION("""COMPUTED_VALUE"""),5)</f>
        <v>5</v>
      </c>
      <c r="E5843" s="2">
        <f ca="1">IFERROR(__xludf.DUMMYFUNCTION("""COMPUTED_VALUE"""),2)</f>
        <v>2</v>
      </c>
    </row>
    <row r="5844" spans="1:5" ht="13">
      <c r="A5844" s="2" t="str">
        <f ca="1">IFERROR(__xludf.DUMMYFUNCTION("""COMPUTED_VALUE"""),"Mulligan, Gerry")</f>
        <v>Mulligan, Gerry</v>
      </c>
      <c r="B5844" s="2">
        <f ca="1">IFERROR(__xludf.DUMMYFUNCTION("""COMPUTED_VALUE"""),1)</f>
        <v>1</v>
      </c>
      <c r="C5844" s="7">
        <f ca="1">IFERROR(__xludf.DUMMYFUNCTION("""COMPUTED_VALUE"""),1)</f>
        <v>1</v>
      </c>
      <c r="D5844" s="8">
        <f ca="1">IFERROR(__xludf.DUMMYFUNCTION("""COMPUTED_VALUE"""),5)</f>
        <v>5</v>
      </c>
      <c r="E5844" s="2">
        <f ca="1">IFERROR(__xludf.DUMMYFUNCTION("""COMPUTED_VALUE"""),2)</f>
        <v>2</v>
      </c>
    </row>
    <row r="5845" spans="1:5" ht="13">
      <c r="A5845" s="2" t="str">
        <f ca="1">IFERROR(__xludf.DUMMYFUNCTION("""COMPUTED_VALUE"""),"Mulligan, Gerry / Sims, Zoot")</f>
        <v>Mulligan, Gerry / Sims, Zoot</v>
      </c>
      <c r="B5845" s="3">
        <f ca="1">IFERROR(__xludf.DUMMYFUNCTION("""COMPUTED_VALUE"""),1)</f>
        <v>1</v>
      </c>
      <c r="C5845" s="7">
        <f ca="1">IFERROR(__xludf.DUMMYFUNCTION("""COMPUTED_VALUE"""),1)</f>
        <v>1</v>
      </c>
      <c r="D5845" s="8">
        <f ca="1">IFERROR(__xludf.DUMMYFUNCTION("""COMPUTED_VALUE"""),5)</f>
        <v>5</v>
      </c>
      <c r="E5845" s="2">
        <f ca="1">IFERROR(__xludf.DUMMYFUNCTION("""COMPUTED_VALUE"""),2)</f>
        <v>2</v>
      </c>
    </row>
    <row r="5846" spans="1:5" ht="13">
      <c r="A5846" s="2" t="str">
        <f ca="1">IFERROR(__xludf.DUMMYFUNCTION("""COMPUTED_VALUE"""),"Mullikin, David")</f>
        <v>Mullikin, David</v>
      </c>
      <c r="B5846" s="3">
        <f ca="1">IFERROR(__xludf.DUMMYFUNCTION("""COMPUTED_VALUE"""),1)</f>
        <v>1</v>
      </c>
      <c r="C5846" s="7">
        <f ca="1">IFERROR(__xludf.DUMMYFUNCTION("""COMPUTED_VALUE"""),1)</f>
        <v>1</v>
      </c>
      <c r="D5846" s="8">
        <f ca="1">IFERROR(__xludf.DUMMYFUNCTION("""COMPUTED_VALUE"""),1)</f>
        <v>1</v>
      </c>
      <c r="E5846" s="2">
        <f ca="1">IFERROR(__xludf.DUMMYFUNCTION("""COMPUTED_VALUE"""),1)</f>
        <v>1</v>
      </c>
    </row>
    <row r="5847" spans="1:5" ht="13">
      <c r="A5847" s="2" t="str">
        <f ca="1">IFERROR(__xludf.DUMMYFUNCTION("""COMPUTED_VALUE"""),"Multer, Dowell")</f>
        <v>Multer, Dowell</v>
      </c>
      <c r="B5847" s="3">
        <f ca="1">IFERROR(__xludf.DUMMYFUNCTION("""COMPUTED_VALUE"""),1)</f>
        <v>1</v>
      </c>
      <c r="C5847" s="7">
        <f ca="1">IFERROR(__xludf.DUMMYFUNCTION("""COMPUTED_VALUE"""),1)</f>
        <v>1</v>
      </c>
      <c r="D5847" s="8">
        <f ca="1">IFERROR(__xludf.DUMMYFUNCTION("""COMPUTED_VALUE"""),5)</f>
        <v>5</v>
      </c>
      <c r="E5847" s="2">
        <f ca="1">IFERROR(__xludf.DUMMYFUNCTION("""COMPUTED_VALUE"""),2)</f>
        <v>2</v>
      </c>
    </row>
    <row r="5848" spans="1:5" ht="13">
      <c r="A5848" s="8" t="str">
        <f ca="1">IFERROR(__xludf.DUMMYFUNCTION("""COMPUTED_VALUE"""),"Mundy, William")</f>
        <v>Mundy, William</v>
      </c>
      <c r="B5848" s="3">
        <f ca="1">IFERROR(__xludf.DUMMYFUNCTION("""COMPUTED_VALUE"""),1)</f>
        <v>1</v>
      </c>
      <c r="C5848" s="7">
        <f ca="1">IFERROR(__xludf.DUMMYFUNCTION("""COMPUTED_VALUE"""),1)</f>
        <v>1</v>
      </c>
      <c r="D5848" s="8">
        <f ca="1">IFERROR(__xludf.DUMMYFUNCTION("""COMPUTED_VALUE"""),5)</f>
        <v>5</v>
      </c>
      <c r="E5848" s="2">
        <f ca="1">IFERROR(__xludf.DUMMYFUNCTION("""COMPUTED_VALUE"""),2)</f>
        <v>2</v>
      </c>
    </row>
    <row r="5849" spans="1:5" ht="13">
      <c r="A5849" s="2" t="str">
        <f ca="1">IFERROR(__xludf.DUMMYFUNCTION("""COMPUTED_VALUE"""),"Munger, Philip")</f>
        <v>Munger, Philip</v>
      </c>
      <c r="B5849" s="3">
        <f ca="1">IFERROR(__xludf.DUMMYFUNCTION("""COMPUTED_VALUE"""),1)</f>
        <v>1</v>
      </c>
      <c r="C5849" s="7">
        <f ca="1">IFERROR(__xludf.DUMMYFUNCTION("""COMPUTED_VALUE"""),1)</f>
        <v>1</v>
      </c>
      <c r="D5849" s="8">
        <f ca="1">IFERROR(__xludf.DUMMYFUNCTION("""COMPUTED_VALUE"""),1)</f>
        <v>1</v>
      </c>
      <c r="E5849" s="2">
        <f ca="1">IFERROR(__xludf.DUMMYFUNCTION("""COMPUTED_VALUE"""),1)</f>
        <v>1</v>
      </c>
    </row>
    <row r="5850" spans="1:5" ht="13">
      <c r="A5850" s="2" t="str">
        <f ca="1">IFERROR(__xludf.DUMMYFUNCTION("""COMPUTED_VALUE"""),"Muñiz, Jorge")</f>
        <v>Muñiz, Jorge</v>
      </c>
      <c r="B5850" s="3">
        <f ca="1">IFERROR(__xludf.DUMMYFUNCTION("""COMPUTED_VALUE"""),1)</f>
        <v>1</v>
      </c>
      <c r="C5850" s="7">
        <f ca="1">IFERROR(__xludf.DUMMYFUNCTION("""COMPUTED_VALUE"""),1)</f>
        <v>1</v>
      </c>
      <c r="D5850" s="8">
        <f ca="1">IFERROR(__xludf.DUMMYFUNCTION("""COMPUTED_VALUE"""),1)</f>
        <v>1</v>
      </c>
      <c r="E5850" s="2">
        <f ca="1">IFERROR(__xludf.DUMMYFUNCTION("""COMPUTED_VALUE"""),1)</f>
        <v>1</v>
      </c>
    </row>
    <row r="5851" spans="1:5" ht="13">
      <c r="A5851" s="2" t="str">
        <f ca="1">IFERROR(__xludf.DUMMYFUNCTION("""COMPUTED_VALUE"""),"Munson, Eddie")</f>
        <v>Munson, Eddie</v>
      </c>
      <c r="B5851" s="2">
        <f ca="1">IFERROR(__xludf.DUMMYFUNCTION("""COMPUTED_VALUE"""),1)</f>
        <v>1</v>
      </c>
      <c r="C5851" s="7">
        <f ca="1">IFERROR(__xludf.DUMMYFUNCTION("""COMPUTED_VALUE"""),1)</f>
        <v>1</v>
      </c>
      <c r="D5851" s="8">
        <f ca="1">IFERROR(__xludf.DUMMYFUNCTION("""COMPUTED_VALUE"""),5)</f>
        <v>5</v>
      </c>
      <c r="E5851" s="2">
        <f ca="1">IFERROR(__xludf.DUMMYFUNCTION("""COMPUTED_VALUE"""),2)</f>
        <v>2</v>
      </c>
    </row>
    <row r="5852" spans="1:5" ht="13">
      <c r="A5852" s="2" t="str">
        <f ca="1">IFERROR(__xludf.DUMMYFUNCTION("""COMPUTED_VALUE"""),"Murail, Tristan")</f>
        <v>Murail, Tristan</v>
      </c>
      <c r="B5852" s="3">
        <f ca="1">IFERROR(__xludf.DUMMYFUNCTION("""COMPUTED_VALUE"""),1)</f>
        <v>1</v>
      </c>
      <c r="C5852" s="7">
        <f ca="1">IFERROR(__xludf.DUMMYFUNCTION("""COMPUTED_VALUE"""),1)</f>
        <v>1</v>
      </c>
      <c r="D5852" s="8">
        <f ca="1">IFERROR(__xludf.DUMMYFUNCTION("""COMPUTED_VALUE"""),1)</f>
        <v>1</v>
      </c>
      <c r="E5852" s="2">
        <f ca="1">IFERROR(__xludf.DUMMYFUNCTION("""COMPUTED_VALUE"""),1)</f>
        <v>1</v>
      </c>
    </row>
    <row r="5853" spans="1:5" ht="13">
      <c r="A5853" s="2" t="str">
        <f ca="1">IFERROR(__xludf.DUMMYFUNCTION("""COMPUTED_VALUE"""),"Murch, Patrick")</f>
        <v>Murch, Patrick</v>
      </c>
      <c r="B5853" s="3">
        <f ca="1">IFERROR(__xludf.DUMMYFUNCTION("""COMPUTED_VALUE"""),1)</f>
        <v>1</v>
      </c>
      <c r="C5853" s="7">
        <f ca="1">IFERROR(__xludf.DUMMYFUNCTION("""COMPUTED_VALUE"""),1)</f>
        <v>1</v>
      </c>
      <c r="D5853" s="8">
        <f ca="1">IFERROR(__xludf.DUMMYFUNCTION("""COMPUTED_VALUE"""),1)</f>
        <v>1</v>
      </c>
      <c r="E5853" s="2">
        <f ca="1">IFERROR(__xludf.DUMMYFUNCTION("""COMPUTED_VALUE"""),1)</f>
        <v>1</v>
      </c>
    </row>
    <row r="5854" spans="1:5" ht="13">
      <c r="A5854" s="2" t="str">
        <f ca="1">IFERROR(__xludf.DUMMYFUNCTION("""COMPUTED_VALUE"""),"Murcia, Santiago de")</f>
        <v>Murcia, Santiago de</v>
      </c>
      <c r="B5854" s="3">
        <f ca="1">IFERROR(__xludf.DUMMYFUNCTION("""COMPUTED_VALUE"""),1)</f>
        <v>1</v>
      </c>
      <c r="C5854" s="7">
        <f ca="1">IFERROR(__xludf.DUMMYFUNCTION("""COMPUTED_VALUE"""),1)</f>
        <v>1</v>
      </c>
      <c r="D5854" s="8">
        <f ca="1">IFERROR(__xludf.DUMMYFUNCTION("""COMPUTED_VALUE"""),5)</f>
        <v>5</v>
      </c>
      <c r="E5854" s="2">
        <f ca="1">IFERROR(__xludf.DUMMYFUNCTION("""COMPUTED_VALUE"""),2)</f>
        <v>2</v>
      </c>
    </row>
    <row r="5855" spans="1:5" ht="13">
      <c r="A5855" s="2" t="str">
        <f ca="1">IFERROR(__xludf.DUMMYFUNCTION("""COMPUTED_VALUE"""),"Murphy, Michael Patrick")</f>
        <v>Murphy, Michael Patrick</v>
      </c>
      <c r="B5855" s="3">
        <f ca="1">IFERROR(__xludf.DUMMYFUNCTION("""COMPUTED_VALUE"""),1)</f>
        <v>1</v>
      </c>
      <c r="C5855" s="7">
        <f ca="1">IFERROR(__xludf.DUMMYFUNCTION("""COMPUTED_VALUE"""),1)</f>
        <v>1</v>
      </c>
      <c r="D5855" s="8">
        <f ca="1">IFERROR(__xludf.DUMMYFUNCTION("""COMPUTED_VALUE"""),5)</f>
        <v>5</v>
      </c>
      <c r="E5855" s="2">
        <f ca="1">IFERROR(__xludf.DUMMYFUNCTION("""COMPUTED_VALUE"""),2)</f>
        <v>2</v>
      </c>
    </row>
    <row r="5856" spans="1:5" ht="13">
      <c r="A5856" s="2" t="str">
        <f ca="1">IFERROR(__xludf.DUMMYFUNCTION("""COMPUTED_VALUE"""),"Murphy, Ryan")</f>
        <v>Murphy, Ryan</v>
      </c>
      <c r="B5856" s="3">
        <f ca="1">IFERROR(__xludf.DUMMYFUNCTION("""COMPUTED_VALUE"""),1)</f>
        <v>1</v>
      </c>
      <c r="C5856" s="7">
        <f ca="1">IFERROR(__xludf.DUMMYFUNCTION("""COMPUTED_VALUE"""),1)</f>
        <v>1</v>
      </c>
      <c r="D5856" s="8">
        <f ca="1">IFERROR(__xludf.DUMMYFUNCTION("""COMPUTED_VALUE"""),1)</f>
        <v>1</v>
      </c>
      <c r="E5856" s="2">
        <f ca="1">IFERROR(__xludf.DUMMYFUNCTION("""COMPUTED_VALUE"""),1)</f>
        <v>1</v>
      </c>
    </row>
    <row r="5857" spans="1:5" ht="13">
      <c r="A5857" s="2" t="str">
        <f ca="1">IFERROR(__xludf.DUMMYFUNCTION("""COMPUTED_VALUE"""),"Murphy, Walter")</f>
        <v>Murphy, Walter</v>
      </c>
      <c r="B5857" s="3">
        <f ca="1">IFERROR(__xludf.DUMMYFUNCTION("""COMPUTED_VALUE"""),1)</f>
        <v>1</v>
      </c>
      <c r="C5857" s="7">
        <f ca="1">IFERROR(__xludf.DUMMYFUNCTION("""COMPUTED_VALUE"""),1)</f>
        <v>1</v>
      </c>
      <c r="D5857" s="8">
        <f ca="1">IFERROR(__xludf.DUMMYFUNCTION("""COMPUTED_VALUE"""),5)</f>
        <v>5</v>
      </c>
      <c r="E5857" s="2">
        <f ca="1">IFERROR(__xludf.DUMMYFUNCTION("""COMPUTED_VALUE"""),2)</f>
        <v>2</v>
      </c>
    </row>
    <row r="5858" spans="1:5" ht="13">
      <c r="A5858" s="2" t="str">
        <f ca="1">IFERROR(__xludf.DUMMYFUNCTION("""COMPUTED_VALUE"""),"Murphy, William")</f>
        <v>Murphy, William</v>
      </c>
      <c r="B5858" s="3">
        <f ca="1">IFERROR(__xludf.DUMMYFUNCTION("""COMPUTED_VALUE"""),1)</f>
        <v>1</v>
      </c>
      <c r="C5858" s="7">
        <f ca="1">IFERROR(__xludf.DUMMYFUNCTION("""COMPUTED_VALUE"""),1)</f>
        <v>1</v>
      </c>
      <c r="D5858" s="8">
        <f ca="1">IFERROR(__xludf.DUMMYFUNCTION("""COMPUTED_VALUE"""),1)</f>
        <v>1</v>
      </c>
      <c r="E5858" s="2">
        <f ca="1">IFERROR(__xludf.DUMMYFUNCTION("""COMPUTED_VALUE"""),1)</f>
        <v>1</v>
      </c>
    </row>
    <row r="5859" spans="1:5" ht="13">
      <c r="A5859" s="2" t="str">
        <f ca="1">IFERROR(__xludf.DUMMYFUNCTION("""COMPUTED_VALUE"""),"Murray, Alan")</f>
        <v>Murray, Alan</v>
      </c>
      <c r="B5859" s="3">
        <f ca="1">IFERROR(__xludf.DUMMYFUNCTION("""COMPUTED_VALUE"""),1)</f>
        <v>1</v>
      </c>
      <c r="C5859" s="7">
        <f ca="1">IFERROR(__xludf.DUMMYFUNCTION("""COMPUTED_VALUE"""),1)</f>
        <v>1</v>
      </c>
      <c r="D5859" s="8">
        <f ca="1">IFERROR(__xludf.DUMMYFUNCTION("""COMPUTED_VALUE"""),5)</f>
        <v>5</v>
      </c>
      <c r="E5859" s="2">
        <f ca="1">IFERROR(__xludf.DUMMYFUNCTION("""COMPUTED_VALUE"""),2)</f>
        <v>2</v>
      </c>
    </row>
    <row r="5860" spans="1:5" ht="13">
      <c r="A5860" s="2" t="str">
        <f ca="1">IFERROR(__xludf.DUMMYFUNCTION("""COMPUTED_VALUE"""),"Murray, James")</f>
        <v>Murray, James</v>
      </c>
      <c r="B5860" s="2">
        <f ca="1">IFERROR(__xludf.DUMMYFUNCTION("""COMPUTED_VALUE"""),1)</f>
        <v>1</v>
      </c>
      <c r="C5860" s="7">
        <f ca="1">IFERROR(__xludf.DUMMYFUNCTION("""COMPUTED_VALUE"""),1)</f>
        <v>1</v>
      </c>
      <c r="D5860" s="8">
        <f ca="1">IFERROR(__xludf.DUMMYFUNCTION("""COMPUTED_VALUE"""),1)</f>
        <v>1</v>
      </c>
      <c r="E5860" s="2">
        <f ca="1">IFERROR(__xludf.DUMMYFUNCTION("""COMPUTED_VALUE"""),1)</f>
        <v>1</v>
      </c>
    </row>
    <row r="5861" spans="1:5" ht="13">
      <c r="A5861" s="2" t="str">
        <f ca="1">IFERROR(__xludf.DUMMYFUNCTION("""COMPUTED_VALUE"""),"Murray, Lyn")</f>
        <v>Murray, Lyn</v>
      </c>
      <c r="B5861" s="3">
        <f ca="1">IFERROR(__xludf.DUMMYFUNCTION("""COMPUTED_VALUE"""),1)</f>
        <v>1</v>
      </c>
      <c r="C5861" s="7">
        <f ca="1">IFERROR(__xludf.DUMMYFUNCTION("""COMPUTED_VALUE"""),1)</f>
        <v>1</v>
      </c>
      <c r="D5861" s="8">
        <f ca="1">IFERROR(__xludf.DUMMYFUNCTION("""COMPUTED_VALUE"""),5)</f>
        <v>5</v>
      </c>
      <c r="E5861" s="2">
        <f ca="1">IFERROR(__xludf.DUMMYFUNCTION("""COMPUTED_VALUE"""),2)</f>
        <v>2</v>
      </c>
    </row>
    <row r="5862" spans="1:5" ht="13">
      <c r="A5862" s="2" t="str">
        <f ca="1">IFERROR(__xludf.DUMMYFUNCTION("""COMPUTED_VALUE"""),"Murray, William")</f>
        <v>Murray, William</v>
      </c>
      <c r="B5862" s="3">
        <f ca="1">IFERROR(__xludf.DUMMYFUNCTION("""COMPUTED_VALUE"""),1)</f>
        <v>1</v>
      </c>
      <c r="C5862" s="7">
        <f ca="1">IFERROR(__xludf.DUMMYFUNCTION("""COMPUTED_VALUE"""),1)</f>
        <v>1</v>
      </c>
      <c r="D5862" s="8">
        <f ca="1">IFERROR(__xludf.DUMMYFUNCTION("""COMPUTED_VALUE"""),1)</f>
        <v>1</v>
      </c>
      <c r="E5862" s="2">
        <f ca="1">IFERROR(__xludf.DUMMYFUNCTION("""COMPUTED_VALUE"""),1)</f>
        <v>1</v>
      </c>
    </row>
    <row r="5863" spans="1:5" ht="13">
      <c r="A5863" s="2" t="str">
        <f ca="1">IFERROR(__xludf.DUMMYFUNCTION("""COMPUTED_VALUE"""),"Murtha, Paul")</f>
        <v>Murtha, Paul</v>
      </c>
      <c r="B5863" s="3">
        <f ca="1">IFERROR(__xludf.DUMMYFUNCTION("""COMPUTED_VALUE"""),1)</f>
        <v>1</v>
      </c>
      <c r="C5863" s="7">
        <f ca="1">IFERROR(__xludf.DUMMYFUNCTION("""COMPUTED_VALUE"""),1)</f>
        <v>1</v>
      </c>
      <c r="D5863" s="8">
        <f ca="1">IFERROR(__xludf.DUMMYFUNCTION("""COMPUTED_VALUE"""),1)</f>
        <v>1</v>
      </c>
      <c r="E5863" s="2">
        <f ca="1">IFERROR(__xludf.DUMMYFUNCTION("""COMPUTED_VALUE"""),1)</f>
        <v>1</v>
      </c>
    </row>
    <row r="5864" spans="1:5" ht="13">
      <c r="A5864" s="2" t="str">
        <f ca="1">IFERROR(__xludf.DUMMYFUNCTION("""COMPUTED_VALUE"""),"Musgrave, Monty")</f>
        <v>Musgrave, Monty</v>
      </c>
      <c r="B5864" s="3">
        <f ca="1">IFERROR(__xludf.DUMMYFUNCTION("""COMPUTED_VALUE"""),1)</f>
        <v>1</v>
      </c>
      <c r="C5864" s="7">
        <f ca="1">IFERROR(__xludf.DUMMYFUNCTION("""COMPUTED_VALUE"""),1)</f>
        <v>1</v>
      </c>
      <c r="D5864" s="8">
        <f ca="1">IFERROR(__xludf.DUMMYFUNCTION("""COMPUTED_VALUE"""),1)</f>
        <v>1</v>
      </c>
      <c r="E5864" s="2">
        <f ca="1">IFERROR(__xludf.DUMMYFUNCTION("""COMPUTED_VALUE"""),1)</f>
        <v>1</v>
      </c>
    </row>
    <row r="5865" spans="1:5" ht="13">
      <c r="A5865" s="2" t="str">
        <f ca="1">IFERROR(__xludf.DUMMYFUNCTION("""COMPUTED_VALUE"""),"Musgrave, Theo")</f>
        <v>Musgrave, Theo</v>
      </c>
      <c r="B5865" s="3">
        <f ca="1">IFERROR(__xludf.DUMMYFUNCTION("""COMPUTED_VALUE"""),1)</f>
        <v>1</v>
      </c>
      <c r="C5865" s="7">
        <f ca="1">IFERROR(__xludf.DUMMYFUNCTION("""COMPUTED_VALUE"""),1)</f>
        <v>1</v>
      </c>
      <c r="D5865" s="8">
        <f ca="1">IFERROR(__xludf.DUMMYFUNCTION("""COMPUTED_VALUE"""),1)</f>
        <v>1</v>
      </c>
      <c r="E5865" s="2">
        <f ca="1">IFERROR(__xludf.DUMMYFUNCTION("""COMPUTED_VALUE"""),1)</f>
        <v>1</v>
      </c>
    </row>
    <row r="5866" spans="1:5" ht="13">
      <c r="A5866" s="2" t="str">
        <f ca="1">IFERROR(__xludf.DUMMYFUNCTION("""COMPUTED_VALUE"""),"Mussorgsky, Modest")</f>
        <v>Mussorgsky, Modest</v>
      </c>
      <c r="B5866" s="3">
        <f ca="1">IFERROR(__xludf.DUMMYFUNCTION("""COMPUTED_VALUE"""),1)</f>
        <v>1</v>
      </c>
      <c r="C5866" s="7">
        <f ca="1">IFERROR(__xludf.DUMMYFUNCTION("""COMPUTED_VALUE"""),1)</f>
        <v>1</v>
      </c>
      <c r="D5866" s="8">
        <f ca="1">IFERROR(__xludf.DUMMYFUNCTION("""COMPUTED_VALUE"""),5)</f>
        <v>5</v>
      </c>
      <c r="E5866" s="2">
        <f ca="1">IFERROR(__xludf.DUMMYFUNCTION("""COMPUTED_VALUE"""),2)</f>
        <v>2</v>
      </c>
    </row>
    <row r="5867" spans="1:5" ht="13">
      <c r="A5867" s="2" t="str">
        <f ca="1">IFERROR(__xludf.DUMMYFUNCTION("""COMPUTED_VALUE"""),"Mustonen, Olli")</f>
        <v>Mustonen, Olli</v>
      </c>
      <c r="B5867" s="3">
        <f ca="1">IFERROR(__xludf.DUMMYFUNCTION("""COMPUTED_VALUE"""),1)</f>
        <v>1</v>
      </c>
      <c r="C5867" s="7">
        <f ca="1">IFERROR(__xludf.DUMMYFUNCTION("""COMPUTED_VALUE"""),1)</f>
        <v>1</v>
      </c>
      <c r="D5867" s="8">
        <f ca="1">IFERROR(__xludf.DUMMYFUNCTION("""COMPUTED_VALUE"""),1)</f>
        <v>1</v>
      </c>
      <c r="E5867" s="2">
        <f ca="1">IFERROR(__xludf.DUMMYFUNCTION("""COMPUTED_VALUE"""),1)</f>
        <v>1</v>
      </c>
    </row>
    <row r="5868" spans="1:5" ht="13">
      <c r="A5868" s="8" t="str">
        <f ca="1">IFERROR(__xludf.DUMMYFUNCTION("""COMPUTED_VALUE"""),"Muzquiz, Ernest")</f>
        <v>Muzquiz, Ernest</v>
      </c>
      <c r="B5868" s="3">
        <f ca="1">IFERROR(__xludf.DUMMYFUNCTION("""COMPUTED_VALUE"""),1)</f>
        <v>1</v>
      </c>
      <c r="C5868" s="7">
        <f ca="1">IFERROR(__xludf.DUMMYFUNCTION("""COMPUTED_VALUE"""),1)</f>
        <v>1</v>
      </c>
      <c r="D5868" s="8">
        <f ca="1">IFERROR(__xludf.DUMMYFUNCTION("""COMPUTED_VALUE"""),1)</f>
        <v>1</v>
      </c>
      <c r="E5868" s="2">
        <f ca="1">IFERROR(__xludf.DUMMYFUNCTION("""COMPUTED_VALUE"""),1)</f>
        <v>1</v>
      </c>
    </row>
    <row r="5869" spans="1:5" ht="13">
      <c r="A5869" s="2" t="str">
        <f ca="1">IFERROR(__xludf.DUMMYFUNCTION("""COMPUTED_VALUE"""),"Myaskovsky, Nikolai")</f>
        <v>Myaskovsky, Nikolai</v>
      </c>
      <c r="B5869" s="3">
        <f ca="1">IFERROR(__xludf.DUMMYFUNCTION("""COMPUTED_VALUE"""),1)</f>
        <v>1</v>
      </c>
      <c r="C5869" s="7">
        <f ca="1">IFERROR(__xludf.DUMMYFUNCTION("""COMPUTED_VALUE"""),1)</f>
        <v>1</v>
      </c>
      <c r="D5869" s="8">
        <f ca="1">IFERROR(__xludf.DUMMYFUNCTION("""COMPUTED_VALUE"""),5)</f>
        <v>5</v>
      </c>
      <c r="E5869" s="2">
        <f ca="1">IFERROR(__xludf.DUMMYFUNCTION("""COMPUTED_VALUE"""),2)</f>
        <v>2</v>
      </c>
    </row>
    <row r="5870" spans="1:5" ht="13">
      <c r="A5870" s="2" t="str">
        <f ca="1">IFERROR(__xludf.DUMMYFUNCTION("""COMPUTED_VALUE"""),"Myers, David")</f>
        <v>Myers, David</v>
      </c>
      <c r="B5870" s="3">
        <f ca="1">IFERROR(__xludf.DUMMYFUNCTION("""COMPUTED_VALUE"""),1)</f>
        <v>1</v>
      </c>
      <c r="C5870" s="7">
        <f ca="1">IFERROR(__xludf.DUMMYFUNCTION("""COMPUTED_VALUE"""),1)</f>
        <v>1</v>
      </c>
      <c r="D5870" s="8">
        <f ca="1">IFERROR(__xludf.DUMMYFUNCTION("""COMPUTED_VALUE"""),1)</f>
        <v>1</v>
      </c>
      <c r="E5870" s="2">
        <f ca="1">IFERROR(__xludf.DUMMYFUNCTION("""COMPUTED_VALUE"""),1)</f>
        <v>1</v>
      </c>
    </row>
    <row r="5871" spans="1:5" ht="13">
      <c r="A5871" s="2" t="str">
        <f ca="1">IFERROR(__xludf.DUMMYFUNCTION("""COMPUTED_VALUE"""),"Myers, James")</f>
        <v>Myers, James</v>
      </c>
      <c r="B5871" s="3">
        <f ca="1">IFERROR(__xludf.DUMMYFUNCTION("""COMPUTED_VALUE"""),1)</f>
        <v>1</v>
      </c>
      <c r="C5871" s="7">
        <f ca="1">IFERROR(__xludf.DUMMYFUNCTION("""COMPUTED_VALUE"""),1)</f>
        <v>1</v>
      </c>
      <c r="D5871" s="8">
        <f ca="1">IFERROR(__xludf.DUMMYFUNCTION("""COMPUTED_VALUE"""),5)</f>
        <v>5</v>
      </c>
      <c r="E5871" s="2">
        <f ca="1">IFERROR(__xludf.DUMMYFUNCTION("""COMPUTED_VALUE"""),2)</f>
        <v>2</v>
      </c>
    </row>
    <row r="5872" spans="1:5" ht="13">
      <c r="A5872" s="2" t="str">
        <f ca="1">IFERROR(__xludf.DUMMYFUNCTION("""COMPUTED_VALUE"""),"Myers, Kyle")</f>
        <v>Myers, Kyle</v>
      </c>
      <c r="B5872" s="3">
        <f ca="1">IFERROR(__xludf.DUMMYFUNCTION("""COMPUTED_VALUE"""),1)</f>
        <v>1</v>
      </c>
      <c r="C5872" s="7">
        <f ca="1">IFERROR(__xludf.DUMMYFUNCTION("""COMPUTED_VALUE"""),1)</f>
        <v>1</v>
      </c>
      <c r="D5872" s="8">
        <f ca="1">IFERROR(__xludf.DUMMYFUNCTION("""COMPUTED_VALUE"""),1)</f>
        <v>1</v>
      </c>
      <c r="E5872" s="2">
        <f ca="1">IFERROR(__xludf.DUMMYFUNCTION("""COMPUTED_VALUE"""),1)</f>
        <v>1</v>
      </c>
    </row>
    <row r="5873" spans="1:5" ht="13">
      <c r="A5873" s="2" t="str">
        <f ca="1">IFERROR(__xludf.DUMMYFUNCTION("""COMPUTED_VALUE"""),"Myers, Nick")</f>
        <v>Myers, Nick</v>
      </c>
      <c r="B5873" s="3">
        <f ca="1">IFERROR(__xludf.DUMMYFUNCTION("""COMPUTED_VALUE"""),1)</f>
        <v>1</v>
      </c>
      <c r="C5873" s="7">
        <f ca="1">IFERROR(__xludf.DUMMYFUNCTION("""COMPUTED_VALUE"""),1)</f>
        <v>1</v>
      </c>
      <c r="D5873" s="8">
        <f ca="1">IFERROR(__xludf.DUMMYFUNCTION("""COMPUTED_VALUE"""),1)</f>
        <v>1</v>
      </c>
      <c r="E5873" s="2">
        <f ca="1">IFERROR(__xludf.DUMMYFUNCTION("""COMPUTED_VALUE"""),1)</f>
        <v>1</v>
      </c>
    </row>
    <row r="5874" spans="1:5" ht="13">
      <c r="A5874" s="8" t="str">
        <f ca="1">IFERROR(__xludf.DUMMYFUNCTION("""COMPUTED_VALUE"""),"Myers, Rollo")</f>
        <v>Myers, Rollo</v>
      </c>
      <c r="B5874" s="3">
        <f ca="1">IFERROR(__xludf.DUMMYFUNCTION("""COMPUTED_VALUE"""),1)</f>
        <v>1</v>
      </c>
      <c r="C5874" s="7">
        <f ca="1">IFERROR(__xludf.DUMMYFUNCTION("""COMPUTED_VALUE"""),1)</f>
        <v>1</v>
      </c>
      <c r="D5874" s="8">
        <f ca="1">IFERROR(__xludf.DUMMYFUNCTION("""COMPUTED_VALUE"""),5)</f>
        <v>5</v>
      </c>
      <c r="E5874" s="2">
        <f ca="1">IFERROR(__xludf.DUMMYFUNCTION("""COMPUTED_VALUE"""),2)</f>
        <v>2</v>
      </c>
    </row>
    <row r="5875" spans="1:5" ht="13">
      <c r="A5875" s="2" t="str">
        <f ca="1">IFERROR(__xludf.DUMMYFUNCTION("""COMPUTED_VALUE"""),"Myers, Theldon")</f>
        <v>Myers, Theldon</v>
      </c>
      <c r="B5875" s="2">
        <f ca="1">IFERROR(__xludf.DUMMYFUNCTION("""COMPUTED_VALUE"""),1)</f>
        <v>1</v>
      </c>
      <c r="C5875" s="7">
        <f ca="1">IFERROR(__xludf.DUMMYFUNCTION("""COMPUTED_VALUE"""),1)</f>
        <v>1</v>
      </c>
      <c r="D5875" s="8">
        <f ca="1">IFERROR(__xludf.DUMMYFUNCTION("""COMPUTED_VALUE"""),1)</f>
        <v>1</v>
      </c>
      <c r="E5875" s="2">
        <f ca="1">IFERROR(__xludf.DUMMYFUNCTION("""COMPUTED_VALUE"""),1)</f>
        <v>1</v>
      </c>
    </row>
    <row r="5876" spans="1:5" ht="13">
      <c r="A5876" s="2" t="str">
        <f ca="1">IFERROR(__xludf.DUMMYFUNCTION("""COMPUTED_VALUE"""),"Myler, Derek")</f>
        <v>Myler, Derek</v>
      </c>
      <c r="B5876" s="3">
        <f ca="1">IFERROR(__xludf.DUMMYFUNCTION("""COMPUTED_VALUE"""),1)</f>
        <v>1</v>
      </c>
      <c r="C5876" s="7">
        <f ca="1">IFERROR(__xludf.DUMMYFUNCTION("""COMPUTED_VALUE"""),1)</f>
        <v>1</v>
      </c>
      <c r="D5876" s="8">
        <f ca="1">IFERROR(__xludf.DUMMYFUNCTION("""COMPUTED_VALUE"""),1)</f>
        <v>1</v>
      </c>
      <c r="E5876" s="2">
        <f ca="1">IFERROR(__xludf.DUMMYFUNCTION("""COMPUTED_VALUE"""),1)</f>
        <v>1</v>
      </c>
    </row>
    <row r="5877" spans="1:5" ht="13">
      <c r="A5877" s="2" t="str">
        <f ca="1">IFERROR(__xludf.DUMMYFUNCTION("""COMPUTED_VALUE"""),"Myre, Cody")</f>
        <v>Myre, Cody</v>
      </c>
      <c r="B5877" s="3">
        <f ca="1">IFERROR(__xludf.DUMMYFUNCTION("""COMPUTED_VALUE"""),1)</f>
        <v>1</v>
      </c>
      <c r="C5877" s="7">
        <f ca="1">IFERROR(__xludf.DUMMYFUNCTION("""COMPUTED_VALUE"""),1)</f>
        <v>1</v>
      </c>
      <c r="D5877" s="8">
        <f ca="1">IFERROR(__xludf.DUMMYFUNCTION("""COMPUTED_VALUE"""),1)</f>
        <v>1</v>
      </c>
      <c r="E5877" s="2">
        <f ca="1">IFERROR(__xludf.DUMMYFUNCTION("""COMPUTED_VALUE"""),1)</f>
        <v>1</v>
      </c>
    </row>
    <row r="5878" spans="1:5" ht="13">
      <c r="A5878" s="8" t="str">
        <f ca="1">IFERROR(__xludf.DUMMYFUNCTION("""COMPUTED_VALUE"""),"Myron, Tim")</f>
        <v>Myron, Tim</v>
      </c>
      <c r="B5878" s="3">
        <f ca="1">IFERROR(__xludf.DUMMYFUNCTION("""COMPUTED_VALUE"""),1)</f>
        <v>1</v>
      </c>
      <c r="C5878" s="7">
        <f ca="1">IFERROR(__xludf.DUMMYFUNCTION("""COMPUTED_VALUE"""),1)</f>
        <v>1</v>
      </c>
      <c r="D5878" s="8">
        <f ca="1">IFERROR(__xludf.DUMMYFUNCTION("""COMPUTED_VALUE"""),1)</f>
        <v>1</v>
      </c>
      <c r="E5878" s="2">
        <f ca="1">IFERROR(__xludf.DUMMYFUNCTION("""COMPUTED_VALUE"""),1)</f>
        <v>1</v>
      </c>
    </row>
    <row r="5879" spans="1:5" ht="13">
      <c r="A5879" s="2" t="str">
        <f ca="1">IFERROR(__xludf.DUMMYFUNCTION("""COMPUTED_VALUE"""),"Myrow, Josef")</f>
        <v>Myrow, Josef</v>
      </c>
      <c r="B5879" s="2">
        <f ca="1">IFERROR(__xludf.DUMMYFUNCTION("""COMPUTED_VALUE"""),1)</f>
        <v>1</v>
      </c>
      <c r="C5879" s="7">
        <f ca="1">IFERROR(__xludf.DUMMYFUNCTION("""COMPUTED_VALUE"""),1)</f>
        <v>1</v>
      </c>
      <c r="D5879" s="8">
        <f ca="1">IFERROR(__xludf.DUMMYFUNCTION("""COMPUTED_VALUE"""),5)</f>
        <v>5</v>
      </c>
      <c r="E5879" s="2">
        <f ca="1">IFERROR(__xludf.DUMMYFUNCTION("""COMPUTED_VALUE"""),2)</f>
        <v>2</v>
      </c>
    </row>
    <row r="5880" spans="1:5" ht="13">
      <c r="A5880" s="2" t="str">
        <f ca="1">IFERROR(__xludf.DUMMYFUNCTION("""COMPUTED_VALUE"""),"Myrow, Josef / Gordon, Mack")</f>
        <v>Myrow, Josef / Gordon, Mack</v>
      </c>
      <c r="B5880" s="2">
        <f ca="1">IFERROR(__xludf.DUMMYFUNCTION("""COMPUTED_VALUE"""),1)</f>
        <v>1</v>
      </c>
      <c r="C5880" s="7">
        <f ca="1">IFERROR(__xludf.DUMMYFUNCTION("""COMPUTED_VALUE"""),1)</f>
        <v>1</v>
      </c>
      <c r="D5880" s="8">
        <f ca="1">IFERROR(__xludf.DUMMYFUNCTION("""COMPUTED_VALUE"""),5)</f>
        <v>5</v>
      </c>
      <c r="E5880" s="2">
        <f ca="1">IFERROR(__xludf.DUMMYFUNCTION("""COMPUTED_VALUE"""),2)</f>
        <v>2</v>
      </c>
    </row>
    <row r="5881" spans="1:5" ht="13">
      <c r="A5881" s="2" t="str">
        <f ca="1">IFERROR(__xludf.DUMMYFUNCTION("""COMPUTED_VALUE"""),"Nachez, Tiuadar")</f>
        <v>Nachez, Tiuadar</v>
      </c>
      <c r="B5881" s="3">
        <f ca="1">IFERROR(__xludf.DUMMYFUNCTION("""COMPUTED_VALUE"""),1)</f>
        <v>1</v>
      </c>
      <c r="C5881" s="7">
        <f ca="1">IFERROR(__xludf.DUMMYFUNCTION("""COMPUTED_VALUE"""),1)</f>
        <v>1</v>
      </c>
      <c r="D5881" s="8">
        <f ca="1">IFERROR(__xludf.DUMMYFUNCTION("""COMPUTED_VALUE"""),5)</f>
        <v>5</v>
      </c>
      <c r="E5881" s="2">
        <f ca="1">IFERROR(__xludf.DUMMYFUNCTION("""COMPUTED_VALUE"""),2)</f>
        <v>2</v>
      </c>
    </row>
    <row r="5882" spans="1:5" ht="13">
      <c r="A5882" s="2" t="str">
        <f ca="1">IFERROR(__xludf.DUMMYFUNCTION("""COMPUTED_VALUE"""),"Nadel, James")</f>
        <v>Nadel, James</v>
      </c>
      <c r="B5882" s="3">
        <f ca="1">IFERROR(__xludf.DUMMYFUNCTION("""COMPUTED_VALUE"""),1)</f>
        <v>1</v>
      </c>
      <c r="C5882" s="7">
        <f ca="1">IFERROR(__xludf.DUMMYFUNCTION("""COMPUTED_VALUE"""),1)</f>
        <v>1</v>
      </c>
      <c r="D5882" s="8">
        <f ca="1">IFERROR(__xludf.DUMMYFUNCTION("""COMPUTED_VALUE"""),1)</f>
        <v>1</v>
      </c>
      <c r="E5882" s="2">
        <f ca="1">IFERROR(__xludf.DUMMYFUNCTION("""COMPUTED_VALUE"""),1)</f>
        <v>1</v>
      </c>
    </row>
    <row r="5883" spans="1:5" ht="13">
      <c r="A5883" s="2" t="str">
        <f ca="1">IFERROR(__xludf.DUMMYFUNCTION("""COMPUTED_VALUE"""),"Nadel, Russell")</f>
        <v>Nadel, Russell</v>
      </c>
      <c r="B5883" s="3">
        <f ca="1">IFERROR(__xludf.DUMMYFUNCTION("""COMPUTED_VALUE"""),1)</f>
        <v>1</v>
      </c>
      <c r="C5883" s="7">
        <f ca="1">IFERROR(__xludf.DUMMYFUNCTION("""COMPUTED_VALUE"""),1)</f>
        <v>1</v>
      </c>
      <c r="D5883" s="8">
        <f ca="1">IFERROR(__xludf.DUMMYFUNCTION("""COMPUTED_VALUE"""),1)</f>
        <v>1</v>
      </c>
      <c r="E5883" s="2">
        <f ca="1">IFERROR(__xludf.DUMMYFUNCTION("""COMPUTED_VALUE"""),1)</f>
        <v>1</v>
      </c>
    </row>
    <row r="5884" spans="1:5" ht="13">
      <c r="A5884" s="2" t="str">
        <f ca="1">IFERROR(__xludf.DUMMYFUNCTION("""COMPUTED_VALUE"""),"Nagel, Robert")</f>
        <v>Nagel, Robert</v>
      </c>
      <c r="B5884" s="3">
        <f ca="1">IFERROR(__xludf.DUMMYFUNCTION("""COMPUTED_VALUE"""),1)</f>
        <v>1</v>
      </c>
      <c r="C5884" s="7">
        <f ca="1">IFERROR(__xludf.DUMMYFUNCTION("""COMPUTED_VALUE"""),1)</f>
        <v>1</v>
      </c>
      <c r="D5884" s="8">
        <f ca="1">IFERROR(__xludf.DUMMYFUNCTION("""COMPUTED_VALUE"""),5)</f>
        <v>5</v>
      </c>
      <c r="E5884" s="2">
        <f ca="1">IFERROR(__xludf.DUMMYFUNCTION("""COMPUTED_VALUE"""),2)</f>
        <v>2</v>
      </c>
    </row>
    <row r="5885" spans="1:5" ht="13">
      <c r="A5885" s="2" t="str">
        <f ca="1">IFERROR(__xludf.DUMMYFUNCTION("""COMPUTED_VALUE"""),"Nagel, Robert A")</f>
        <v>Nagel, Robert A</v>
      </c>
      <c r="B5885" s="3">
        <f ca="1">IFERROR(__xludf.DUMMYFUNCTION("""COMPUTED_VALUE"""),1)</f>
        <v>1</v>
      </c>
      <c r="C5885" s="7">
        <f ca="1">IFERROR(__xludf.DUMMYFUNCTION("""COMPUTED_VALUE"""),1)</f>
        <v>1</v>
      </c>
      <c r="D5885" s="8">
        <f ca="1">IFERROR(__xludf.DUMMYFUNCTION("""COMPUTED_VALUE"""),5)</f>
        <v>5</v>
      </c>
      <c r="E5885" s="2">
        <f ca="1">IFERROR(__xludf.DUMMYFUNCTION("""COMPUTED_VALUE"""),2)</f>
        <v>2</v>
      </c>
    </row>
    <row r="5886" spans="1:5" ht="13">
      <c r="A5886" s="2" t="str">
        <f ca="1">IFERROR(__xludf.DUMMYFUNCTION("""COMPUTED_VALUE"""),"Nägeli, Johann Georg")</f>
        <v>Nägeli, Johann Georg</v>
      </c>
      <c r="B5886" s="3">
        <f ca="1">IFERROR(__xludf.DUMMYFUNCTION("""COMPUTED_VALUE"""),1)</f>
        <v>1</v>
      </c>
      <c r="C5886" s="7">
        <f ca="1">IFERROR(__xludf.DUMMYFUNCTION("""COMPUTED_VALUE"""),1)</f>
        <v>1</v>
      </c>
      <c r="D5886" s="8">
        <f ca="1">IFERROR(__xludf.DUMMYFUNCTION("""COMPUTED_VALUE"""),5)</f>
        <v>5</v>
      </c>
      <c r="E5886" s="2">
        <f ca="1">IFERROR(__xludf.DUMMYFUNCTION("""COMPUTED_VALUE"""),2)</f>
        <v>2</v>
      </c>
    </row>
    <row r="5887" spans="1:5" ht="13">
      <c r="A5887" s="8" t="str">
        <f ca="1">IFERROR(__xludf.DUMMYFUNCTION("""COMPUTED_VALUE"""),"Nagy, Ferenz")</f>
        <v>Nagy, Ferenz</v>
      </c>
      <c r="B5887" s="3">
        <f ca="1">IFERROR(__xludf.DUMMYFUNCTION("""COMPUTED_VALUE"""),1)</f>
        <v>1</v>
      </c>
      <c r="C5887" s="7">
        <f ca="1">IFERROR(__xludf.DUMMYFUNCTION("""COMPUTED_VALUE"""),1)</f>
        <v>1</v>
      </c>
      <c r="D5887" s="8">
        <f ca="1">IFERROR(__xludf.DUMMYFUNCTION("""COMPUTED_VALUE"""),5)</f>
        <v>5</v>
      </c>
      <c r="E5887" s="2">
        <f ca="1">IFERROR(__xludf.DUMMYFUNCTION("""COMPUTED_VALUE"""),2)</f>
        <v>2</v>
      </c>
    </row>
    <row r="5888" spans="1:5" ht="13">
      <c r="A5888" s="8" t="str">
        <f ca="1">IFERROR(__xludf.DUMMYFUNCTION("""COMPUTED_VALUE"""),"Nagy, Russell")</f>
        <v>Nagy, Russell</v>
      </c>
      <c r="B5888" s="3">
        <f ca="1">IFERROR(__xludf.DUMMYFUNCTION("""COMPUTED_VALUE"""),1)</f>
        <v>1</v>
      </c>
      <c r="C5888" s="7">
        <f ca="1">IFERROR(__xludf.DUMMYFUNCTION("""COMPUTED_VALUE"""),1)</f>
        <v>1</v>
      </c>
      <c r="D5888" s="8">
        <f ca="1">IFERROR(__xludf.DUMMYFUNCTION("""COMPUTED_VALUE"""),1)</f>
        <v>1</v>
      </c>
      <c r="E5888" s="2">
        <f ca="1">IFERROR(__xludf.DUMMYFUNCTION("""COMPUTED_VALUE"""),1)</f>
        <v>1</v>
      </c>
    </row>
    <row r="5889" spans="1:5" ht="13">
      <c r="A5889" s="2" t="str">
        <f ca="1">IFERROR(__xludf.DUMMYFUNCTION("""COMPUTED_VALUE"""),"Naigus, James")</f>
        <v>Naigus, James</v>
      </c>
      <c r="B5889" s="3">
        <f ca="1">IFERROR(__xludf.DUMMYFUNCTION("""COMPUTED_VALUE"""),1)</f>
        <v>1</v>
      </c>
      <c r="C5889" s="7">
        <f ca="1">IFERROR(__xludf.DUMMYFUNCTION("""COMPUTED_VALUE"""),1)</f>
        <v>1</v>
      </c>
      <c r="D5889" s="8">
        <f ca="1">IFERROR(__xludf.DUMMYFUNCTION("""COMPUTED_VALUE"""),1)</f>
        <v>1</v>
      </c>
      <c r="E5889" s="2">
        <f ca="1">IFERROR(__xludf.DUMMYFUNCTION("""COMPUTED_VALUE"""),1)</f>
        <v>1</v>
      </c>
    </row>
    <row r="5890" spans="1:5" ht="13">
      <c r="A5890" s="2" t="str">
        <f ca="1">IFERROR(__xludf.DUMMYFUNCTION("""COMPUTED_VALUE"""),"Naissoo, Uno")</f>
        <v>Naissoo, Uno</v>
      </c>
      <c r="B5890" s="3">
        <f ca="1">IFERROR(__xludf.DUMMYFUNCTION("""COMPUTED_VALUE"""),1)</f>
        <v>1</v>
      </c>
      <c r="C5890" s="7">
        <f ca="1">IFERROR(__xludf.DUMMYFUNCTION("""COMPUTED_VALUE"""),1)</f>
        <v>1</v>
      </c>
      <c r="D5890" s="8">
        <f ca="1">IFERROR(__xludf.DUMMYFUNCTION("""COMPUTED_VALUE"""),5)</f>
        <v>5</v>
      </c>
      <c r="E5890" s="2">
        <f ca="1">IFERROR(__xludf.DUMMYFUNCTION("""COMPUTED_VALUE"""),2)</f>
        <v>2</v>
      </c>
    </row>
    <row r="5891" spans="1:5" ht="13">
      <c r="A5891" s="2" t="str">
        <f ca="1">IFERROR(__xludf.DUMMYFUNCTION("""COMPUTED_VALUE"""),"Nance, Richard")</f>
        <v>Nance, Richard</v>
      </c>
      <c r="B5891" s="2">
        <f ca="1">IFERROR(__xludf.DUMMYFUNCTION("""COMPUTED_VALUE"""),1)</f>
        <v>1</v>
      </c>
      <c r="C5891" s="7">
        <f ca="1">IFERROR(__xludf.DUMMYFUNCTION("""COMPUTED_VALUE"""),1)</f>
        <v>1</v>
      </c>
      <c r="D5891" s="8">
        <f ca="1">IFERROR(__xludf.DUMMYFUNCTION("""COMPUTED_VALUE"""),1)</f>
        <v>1</v>
      </c>
      <c r="E5891" s="2">
        <f ca="1">IFERROR(__xludf.DUMMYFUNCTION("""COMPUTED_VALUE"""),1)</f>
        <v>1</v>
      </c>
    </row>
    <row r="5892" spans="1:5" ht="13">
      <c r="A5892" s="2" t="str">
        <f ca="1">IFERROR(__xludf.DUMMYFUNCTION("""COMPUTED_VALUE"""),"Nanino, Giovanni")</f>
        <v>Nanino, Giovanni</v>
      </c>
      <c r="B5892" s="3">
        <f ca="1">IFERROR(__xludf.DUMMYFUNCTION("""COMPUTED_VALUE"""),1)</f>
        <v>1</v>
      </c>
      <c r="C5892" s="7">
        <f ca="1">IFERROR(__xludf.DUMMYFUNCTION("""COMPUTED_VALUE"""),1)</f>
        <v>1</v>
      </c>
      <c r="D5892" s="8">
        <f ca="1">IFERROR(__xludf.DUMMYFUNCTION("""COMPUTED_VALUE"""),5)</f>
        <v>5</v>
      </c>
      <c r="E5892" s="2">
        <f ca="1">IFERROR(__xludf.DUMMYFUNCTION("""COMPUTED_VALUE"""),2)</f>
        <v>2</v>
      </c>
    </row>
    <row r="5893" spans="1:5" ht="13">
      <c r="A5893" s="2" t="str">
        <f ca="1">IFERROR(__xludf.DUMMYFUNCTION("""COMPUTED_VALUE"""),"Naplan, Allan")</f>
        <v>Naplan, Allan</v>
      </c>
      <c r="B5893" s="3">
        <f ca="1">IFERROR(__xludf.DUMMYFUNCTION("""COMPUTED_VALUE"""),1)</f>
        <v>1</v>
      </c>
      <c r="C5893" s="7">
        <f ca="1">IFERROR(__xludf.DUMMYFUNCTION("""COMPUTED_VALUE"""),1)</f>
        <v>1</v>
      </c>
      <c r="D5893" s="8">
        <f ca="1">IFERROR(__xludf.DUMMYFUNCTION("""COMPUTED_VALUE"""),1)</f>
        <v>1</v>
      </c>
      <c r="E5893" s="2">
        <f ca="1">IFERROR(__xludf.DUMMYFUNCTION("""COMPUTED_VALUE"""),1)</f>
        <v>1</v>
      </c>
    </row>
    <row r="5894" spans="1:5" ht="13">
      <c r="A5894" s="2" t="str">
        <f ca="1">IFERROR(__xludf.DUMMYFUNCTION("""COMPUTED_VALUE"""),"Napolitano, Franco")</f>
        <v>Napolitano, Franco</v>
      </c>
      <c r="B5894" s="3">
        <f ca="1">IFERROR(__xludf.DUMMYFUNCTION("""COMPUTED_VALUE"""),1)</f>
        <v>1</v>
      </c>
      <c r="C5894" s="7">
        <f ca="1">IFERROR(__xludf.DUMMYFUNCTION("""COMPUTED_VALUE"""),1)</f>
        <v>1</v>
      </c>
      <c r="D5894" s="8">
        <f ca="1">IFERROR(__xludf.DUMMYFUNCTION("""COMPUTED_VALUE"""),5)</f>
        <v>5</v>
      </c>
      <c r="E5894" s="2">
        <f ca="1">IFERROR(__xludf.DUMMYFUNCTION("""COMPUTED_VALUE"""),2)</f>
        <v>2</v>
      </c>
    </row>
    <row r="5895" spans="1:5" ht="13">
      <c r="A5895" s="2" t="str">
        <f ca="1">IFERROR(__xludf.DUMMYFUNCTION("""COMPUTED_VALUE"""),"Nápravník, Eduard")</f>
        <v>Nápravník, Eduard</v>
      </c>
      <c r="B5895" s="3">
        <f ca="1">IFERROR(__xludf.DUMMYFUNCTION("""COMPUTED_VALUE"""),1)</f>
        <v>1</v>
      </c>
      <c r="C5895" s="7">
        <f ca="1">IFERROR(__xludf.DUMMYFUNCTION("""COMPUTED_VALUE"""),1)</f>
        <v>1</v>
      </c>
      <c r="D5895" s="8">
        <f ca="1">IFERROR(__xludf.DUMMYFUNCTION("""COMPUTED_VALUE"""),5)</f>
        <v>5</v>
      </c>
      <c r="E5895" s="2">
        <f ca="1">IFERROR(__xludf.DUMMYFUNCTION("""COMPUTED_VALUE"""),2)</f>
        <v>2</v>
      </c>
    </row>
    <row r="5896" spans="1:5" ht="13">
      <c r="A5896" s="2" t="str">
        <f ca="1">IFERROR(__xludf.DUMMYFUNCTION("""COMPUTED_VALUE"""),"Nardini, Pietro")</f>
        <v>Nardini, Pietro</v>
      </c>
      <c r="B5896" s="3">
        <f ca="1">IFERROR(__xludf.DUMMYFUNCTION("""COMPUTED_VALUE"""),1)</f>
        <v>1</v>
      </c>
      <c r="C5896" s="7">
        <f ca="1">IFERROR(__xludf.DUMMYFUNCTION("""COMPUTED_VALUE"""),1)</f>
        <v>1</v>
      </c>
      <c r="D5896" s="8">
        <f ca="1">IFERROR(__xludf.DUMMYFUNCTION("""COMPUTED_VALUE"""),5)</f>
        <v>5</v>
      </c>
      <c r="E5896" s="2">
        <f ca="1">IFERROR(__xludf.DUMMYFUNCTION("""COMPUTED_VALUE"""),2)</f>
        <v>2</v>
      </c>
    </row>
    <row r="5897" spans="1:5" ht="13">
      <c r="A5897" s="8" t="str">
        <f ca="1">IFERROR(__xludf.DUMMYFUNCTION("""COMPUTED_VALUE"""),"Nares, James")</f>
        <v>Nares, James</v>
      </c>
      <c r="B5897" s="3">
        <f ca="1">IFERROR(__xludf.DUMMYFUNCTION("""COMPUTED_VALUE"""),1)</f>
        <v>1</v>
      </c>
      <c r="C5897" s="7">
        <f ca="1">IFERROR(__xludf.DUMMYFUNCTION("""COMPUTED_VALUE"""),1)</f>
        <v>1</v>
      </c>
      <c r="D5897" s="8">
        <f ca="1">IFERROR(__xludf.DUMMYFUNCTION("""COMPUTED_VALUE"""),5)</f>
        <v>5</v>
      </c>
      <c r="E5897" s="2">
        <f ca="1">IFERROR(__xludf.DUMMYFUNCTION("""COMPUTED_VALUE"""),2)</f>
        <v>2</v>
      </c>
    </row>
    <row r="5898" spans="1:5" ht="13">
      <c r="A5898" s="2" t="str">
        <f ca="1">IFERROR(__xludf.DUMMYFUNCTION("""COMPUTED_VALUE"""),"Narro, Pascual Marquina")</f>
        <v>Narro, Pascual Marquina</v>
      </c>
      <c r="B5898" s="3">
        <f ca="1">IFERROR(__xludf.DUMMYFUNCTION("""COMPUTED_VALUE"""),1)</f>
        <v>1</v>
      </c>
      <c r="C5898" s="7">
        <f ca="1">IFERROR(__xludf.DUMMYFUNCTION("""COMPUTED_VALUE"""),1)</f>
        <v>1</v>
      </c>
      <c r="D5898" s="8">
        <f ca="1">IFERROR(__xludf.DUMMYFUNCTION("""COMPUTED_VALUE"""),5)</f>
        <v>5</v>
      </c>
      <c r="E5898" s="2">
        <f ca="1">IFERROR(__xludf.DUMMYFUNCTION("""COMPUTED_VALUE"""),2)</f>
        <v>2</v>
      </c>
    </row>
    <row r="5899" spans="1:5" ht="13">
      <c r="A5899" s="2" t="str">
        <f ca="1">IFERROR(__xludf.DUMMYFUNCTION("""COMPUTED_VALUE"""),"Narverud, Jacob")</f>
        <v>Narverud, Jacob</v>
      </c>
      <c r="B5899" s="3">
        <f ca="1">IFERROR(__xludf.DUMMYFUNCTION("""COMPUTED_VALUE"""),1)</f>
        <v>1</v>
      </c>
      <c r="C5899" s="7">
        <f ca="1">IFERROR(__xludf.DUMMYFUNCTION("""COMPUTED_VALUE"""),1)</f>
        <v>1</v>
      </c>
      <c r="D5899" s="8">
        <f ca="1">IFERROR(__xludf.DUMMYFUNCTION("""COMPUTED_VALUE"""),1)</f>
        <v>1</v>
      </c>
      <c r="E5899" s="2">
        <f ca="1">IFERROR(__xludf.DUMMYFUNCTION("""COMPUTED_VALUE"""),1)</f>
        <v>1</v>
      </c>
    </row>
    <row r="5900" spans="1:5" ht="13">
      <c r="A5900" s="8" t="str">
        <f ca="1">IFERROR(__xludf.DUMMYFUNCTION("""COMPUTED_VALUE"""),"Narverud, Jacob / Main, Ryan")</f>
        <v>Narverud, Jacob / Main, Ryan</v>
      </c>
      <c r="B5900" s="3">
        <f ca="1">IFERROR(__xludf.DUMMYFUNCTION("""COMPUTED_VALUE"""),1)</f>
        <v>1</v>
      </c>
      <c r="C5900" s="7">
        <f ca="1">IFERROR(__xludf.DUMMYFUNCTION("""COMPUTED_VALUE"""),1)</f>
        <v>1</v>
      </c>
      <c r="D5900" s="8">
        <f ca="1">IFERROR(__xludf.DUMMYFUNCTION("""COMPUTED_VALUE"""),1)</f>
        <v>1</v>
      </c>
      <c r="E5900" s="2">
        <f ca="1">IFERROR(__xludf.DUMMYFUNCTION("""COMPUTED_VALUE"""),1)</f>
        <v>1</v>
      </c>
    </row>
    <row r="5901" spans="1:5" ht="13">
      <c r="A5901" s="2" t="str">
        <f ca="1">IFERROR(__xludf.DUMMYFUNCTION("""COMPUTED_VALUE"""),"Nash, Hugh (Richards, Goff)")</f>
        <v>Nash, Hugh (Richards, Goff)</v>
      </c>
      <c r="B5901" s="2">
        <f ca="1">IFERROR(__xludf.DUMMYFUNCTION("""COMPUTED_VALUE"""),1)</f>
        <v>1</v>
      </c>
      <c r="C5901" s="7">
        <f ca="1">IFERROR(__xludf.DUMMYFUNCTION("""COMPUTED_VALUE"""),1)</f>
        <v>1</v>
      </c>
      <c r="D5901" s="8">
        <f ca="1">IFERROR(__xludf.DUMMYFUNCTION("""COMPUTED_VALUE"""),5)</f>
        <v>5</v>
      </c>
      <c r="E5901" s="2">
        <f ca="1">IFERROR(__xludf.DUMMYFUNCTION("""COMPUTED_VALUE"""),2)</f>
        <v>2</v>
      </c>
    </row>
    <row r="5902" spans="1:5" ht="13">
      <c r="A5902" s="2" t="str">
        <f ca="1">IFERROR(__xludf.DUMMYFUNCTION("""COMPUTED_VALUE"""),"Nash, Ted")</f>
        <v>Nash, Ted</v>
      </c>
      <c r="B5902" s="3">
        <f ca="1">IFERROR(__xludf.DUMMYFUNCTION("""COMPUTED_VALUE"""),1)</f>
        <v>1</v>
      </c>
      <c r="C5902" s="7">
        <f ca="1">IFERROR(__xludf.DUMMYFUNCTION("""COMPUTED_VALUE"""),1)</f>
        <v>1</v>
      </c>
      <c r="D5902" s="8">
        <f ca="1">IFERROR(__xludf.DUMMYFUNCTION("""COMPUTED_VALUE"""),1)</f>
        <v>1</v>
      </c>
      <c r="E5902" s="2">
        <f ca="1">IFERROR(__xludf.DUMMYFUNCTION("""COMPUTED_VALUE"""),1)</f>
        <v>1</v>
      </c>
    </row>
    <row r="5903" spans="1:5" ht="13">
      <c r="A5903" s="2" t="str">
        <f ca="1">IFERROR(__xludf.DUMMYFUNCTION("""COMPUTED_VALUE"""),"Nathan, Eric")</f>
        <v>Nathan, Eric</v>
      </c>
      <c r="B5903" s="3">
        <f ca="1">IFERROR(__xludf.DUMMYFUNCTION("""COMPUTED_VALUE"""),1)</f>
        <v>1</v>
      </c>
      <c r="C5903" s="7">
        <f ca="1">IFERROR(__xludf.DUMMYFUNCTION("""COMPUTED_VALUE"""),1)</f>
        <v>1</v>
      </c>
      <c r="D5903" s="8">
        <f ca="1">IFERROR(__xludf.DUMMYFUNCTION("""COMPUTED_VALUE"""),1)</f>
        <v>1</v>
      </c>
      <c r="E5903" s="2">
        <f ca="1">IFERROR(__xludf.DUMMYFUNCTION("""COMPUTED_VALUE"""),1)</f>
        <v>1</v>
      </c>
    </row>
    <row r="5904" spans="1:5" ht="13">
      <c r="A5904" s="2" t="str">
        <f ca="1">IFERROR(__xludf.DUMMYFUNCTION("""COMPUTED_VALUE"""),"Naughtin, Matt")</f>
        <v>Naughtin, Matt</v>
      </c>
      <c r="B5904" s="3">
        <f ca="1">IFERROR(__xludf.DUMMYFUNCTION("""COMPUTED_VALUE"""),1)</f>
        <v>1</v>
      </c>
      <c r="C5904" s="7">
        <f ca="1">IFERROR(__xludf.DUMMYFUNCTION("""COMPUTED_VALUE"""),1)</f>
        <v>1</v>
      </c>
      <c r="D5904" s="8">
        <f ca="1">IFERROR(__xludf.DUMMYFUNCTION("""COMPUTED_VALUE"""),1)</f>
        <v>1</v>
      </c>
      <c r="E5904" s="2">
        <f ca="1">IFERROR(__xludf.DUMMYFUNCTION("""COMPUTED_VALUE"""),1)</f>
        <v>1</v>
      </c>
    </row>
    <row r="5905" spans="1:5" ht="13">
      <c r="A5905" s="8" t="str">
        <f ca="1">IFERROR(__xludf.DUMMYFUNCTION("""COMPUTED_VALUE"""),"Naughtin, Matthew")</f>
        <v>Naughtin, Matthew</v>
      </c>
      <c r="B5905" s="3">
        <f ca="1">IFERROR(__xludf.DUMMYFUNCTION("""COMPUTED_VALUE"""),1)</f>
        <v>1</v>
      </c>
      <c r="C5905" s="7">
        <f ca="1">IFERROR(__xludf.DUMMYFUNCTION("""COMPUTED_VALUE"""),1)</f>
        <v>1</v>
      </c>
      <c r="D5905" s="8">
        <f ca="1">IFERROR(__xludf.DUMMYFUNCTION("""COMPUTED_VALUE"""),1)</f>
        <v>1</v>
      </c>
      <c r="E5905" s="2">
        <f ca="1">IFERROR(__xludf.DUMMYFUNCTION("""COMPUTED_VALUE"""),1)</f>
        <v>1</v>
      </c>
    </row>
    <row r="5906" spans="1:5" ht="13">
      <c r="A5906" s="8" t="str">
        <f ca="1">IFERROR(__xludf.DUMMYFUNCTION("""COMPUTED_VALUE"""),"Naumann, Johann")</f>
        <v>Naumann, Johann</v>
      </c>
      <c r="B5906" s="3">
        <f ca="1">IFERROR(__xludf.DUMMYFUNCTION("""COMPUTED_VALUE"""),1)</f>
        <v>1</v>
      </c>
      <c r="C5906" s="7">
        <f ca="1">IFERROR(__xludf.DUMMYFUNCTION("""COMPUTED_VALUE"""),1)</f>
        <v>1</v>
      </c>
      <c r="D5906" s="8">
        <f ca="1">IFERROR(__xludf.DUMMYFUNCTION("""COMPUTED_VALUE"""),5)</f>
        <v>5</v>
      </c>
      <c r="E5906" s="2">
        <f ca="1">IFERROR(__xludf.DUMMYFUNCTION("""COMPUTED_VALUE"""),2)</f>
        <v>2</v>
      </c>
    </row>
    <row r="5907" spans="1:5" ht="13">
      <c r="A5907" s="2" t="str">
        <f ca="1">IFERROR(__xludf.DUMMYFUNCTION("""COMPUTED_VALUE"""),"Naumann, Johann Gotlieb")</f>
        <v>Naumann, Johann Gotlieb</v>
      </c>
      <c r="B5907" s="3">
        <f ca="1">IFERROR(__xludf.DUMMYFUNCTION("""COMPUTED_VALUE"""),1)</f>
        <v>1</v>
      </c>
      <c r="C5907" s="7">
        <f ca="1">IFERROR(__xludf.DUMMYFUNCTION("""COMPUTED_VALUE"""),1)</f>
        <v>1</v>
      </c>
      <c r="D5907" s="8">
        <f ca="1">IFERROR(__xludf.DUMMYFUNCTION("""COMPUTED_VALUE"""),5)</f>
        <v>5</v>
      </c>
      <c r="E5907" s="2">
        <f ca="1">IFERROR(__xludf.DUMMYFUNCTION("""COMPUTED_VALUE"""),2)</f>
        <v>2</v>
      </c>
    </row>
    <row r="5908" spans="1:5" ht="13">
      <c r="A5908" s="2" t="str">
        <f ca="1">IFERROR(__xludf.DUMMYFUNCTION("""COMPUTED_VALUE"""),"Navarre, Randy")</f>
        <v>Navarre, Randy</v>
      </c>
      <c r="B5908" s="3">
        <f ca="1">IFERROR(__xludf.DUMMYFUNCTION("""COMPUTED_VALUE"""),1)</f>
        <v>1</v>
      </c>
      <c r="C5908" s="7">
        <f ca="1">IFERROR(__xludf.DUMMYFUNCTION("""COMPUTED_VALUE"""),1)</f>
        <v>1</v>
      </c>
      <c r="D5908" s="8">
        <f ca="1">IFERROR(__xludf.DUMMYFUNCTION("""COMPUTED_VALUE"""),1)</f>
        <v>1</v>
      </c>
      <c r="E5908" s="2">
        <f ca="1">IFERROR(__xludf.DUMMYFUNCTION("""COMPUTED_VALUE"""),1)</f>
        <v>1</v>
      </c>
    </row>
    <row r="5909" spans="1:5" ht="13">
      <c r="A5909" s="8" t="str">
        <f ca="1">IFERROR(__xludf.DUMMYFUNCTION("""COMPUTED_VALUE"""),"Navarro, Óscar")</f>
        <v>Navarro, Óscar</v>
      </c>
      <c r="B5909" s="3">
        <f ca="1">IFERROR(__xludf.DUMMYFUNCTION("""COMPUTED_VALUE"""),1)</f>
        <v>1</v>
      </c>
      <c r="C5909" s="7">
        <f ca="1">IFERROR(__xludf.DUMMYFUNCTION("""COMPUTED_VALUE"""),1)</f>
        <v>1</v>
      </c>
      <c r="D5909" s="8">
        <f ca="1">IFERROR(__xludf.DUMMYFUNCTION("""COMPUTED_VALUE"""),1)</f>
        <v>1</v>
      </c>
      <c r="E5909" s="2">
        <f ca="1">IFERROR(__xludf.DUMMYFUNCTION("""COMPUTED_VALUE"""),1)</f>
        <v>1</v>
      </c>
    </row>
    <row r="5910" spans="1:5" ht="13">
      <c r="A5910" s="2" t="str">
        <f ca="1">IFERROR(__xludf.DUMMYFUNCTION("""COMPUTED_VALUE"""),"Navok, Lior")</f>
        <v>Navok, Lior</v>
      </c>
      <c r="B5910" s="3">
        <f ca="1">IFERROR(__xludf.DUMMYFUNCTION("""COMPUTED_VALUE"""),1)</f>
        <v>1</v>
      </c>
      <c r="C5910" s="7">
        <f ca="1">IFERROR(__xludf.DUMMYFUNCTION("""COMPUTED_VALUE"""),1)</f>
        <v>1</v>
      </c>
      <c r="D5910" s="8">
        <f ca="1">IFERROR(__xludf.DUMMYFUNCTION("""COMPUTED_VALUE"""),1)</f>
        <v>1</v>
      </c>
      <c r="E5910" s="2">
        <f ca="1">IFERROR(__xludf.DUMMYFUNCTION("""COMPUTED_VALUE"""),1)</f>
        <v>1</v>
      </c>
    </row>
    <row r="5911" spans="1:5" ht="13">
      <c r="A5911" s="2" t="str">
        <f ca="1">IFERROR(__xludf.DUMMYFUNCTION("""COMPUTED_VALUE"""),"Nazziola, Tom")</f>
        <v>Nazziola, Tom</v>
      </c>
      <c r="B5911" s="2">
        <f ca="1">IFERROR(__xludf.DUMMYFUNCTION("""COMPUTED_VALUE"""),1)</f>
        <v>1</v>
      </c>
      <c r="C5911" s="7">
        <f ca="1">IFERROR(__xludf.DUMMYFUNCTION("""COMPUTED_VALUE"""),1)</f>
        <v>1</v>
      </c>
      <c r="D5911" s="8">
        <f ca="1">IFERROR(__xludf.DUMMYFUNCTION("""COMPUTED_VALUE"""),1)</f>
        <v>1</v>
      </c>
      <c r="E5911" s="2">
        <f ca="1">IFERROR(__xludf.DUMMYFUNCTION("""COMPUTED_VALUE"""),1)</f>
        <v>1</v>
      </c>
    </row>
    <row r="5912" spans="1:5" ht="13">
      <c r="A5912" s="2" t="str">
        <f ca="1">IFERROR(__xludf.DUMMYFUNCTION("""COMPUTED_VALUE"""),"Neal, Paul")</f>
        <v>Neal, Paul</v>
      </c>
      <c r="B5912" s="3">
        <f ca="1">IFERROR(__xludf.DUMMYFUNCTION("""COMPUTED_VALUE"""),1)</f>
        <v>1</v>
      </c>
      <c r="C5912" s="7">
        <f ca="1">IFERROR(__xludf.DUMMYFUNCTION("""COMPUTED_VALUE"""),1)</f>
        <v>1</v>
      </c>
      <c r="D5912" s="8">
        <f ca="1">IFERROR(__xludf.DUMMYFUNCTION("""COMPUTED_VALUE"""),1)</f>
        <v>1</v>
      </c>
      <c r="E5912" s="2">
        <f ca="1">IFERROR(__xludf.DUMMYFUNCTION("""COMPUTED_VALUE"""),1)</f>
        <v>1</v>
      </c>
    </row>
    <row r="5913" spans="1:5" ht="13">
      <c r="A5913" s="2" t="str">
        <f ca="1">IFERROR(__xludf.DUMMYFUNCTION("""COMPUTED_VALUE"""),"Neale, John Mason / Helmore, Thomas")</f>
        <v>Neale, John Mason / Helmore, Thomas</v>
      </c>
      <c r="B5913" s="3">
        <f ca="1">IFERROR(__xludf.DUMMYFUNCTION("""COMPUTED_VALUE"""),1)</f>
        <v>1</v>
      </c>
      <c r="C5913" s="7">
        <f ca="1">IFERROR(__xludf.DUMMYFUNCTION("""COMPUTED_VALUE"""),1)</f>
        <v>1</v>
      </c>
      <c r="D5913" s="8">
        <f ca="1">IFERROR(__xludf.DUMMYFUNCTION("""COMPUTED_VALUE"""),5)</f>
        <v>5</v>
      </c>
      <c r="E5913" s="2">
        <f ca="1">IFERROR(__xludf.DUMMYFUNCTION("""COMPUTED_VALUE"""),2)</f>
        <v>2</v>
      </c>
    </row>
    <row r="5914" spans="1:5" ht="13">
      <c r="A5914" s="2" t="str">
        <f ca="1">IFERROR(__xludf.DUMMYFUNCTION("""COMPUTED_VALUE"""),"Neander, Joachim")</f>
        <v>Neander, Joachim</v>
      </c>
      <c r="B5914" s="3">
        <f ca="1">IFERROR(__xludf.DUMMYFUNCTION("""COMPUTED_VALUE"""),1)</f>
        <v>1</v>
      </c>
      <c r="C5914" s="7">
        <f ca="1">IFERROR(__xludf.DUMMYFUNCTION("""COMPUTED_VALUE"""),1)</f>
        <v>1</v>
      </c>
      <c r="D5914" s="8">
        <f ca="1">IFERROR(__xludf.DUMMYFUNCTION("""COMPUTED_VALUE"""),5)</f>
        <v>5</v>
      </c>
      <c r="E5914" s="2">
        <f ca="1">IFERROR(__xludf.DUMMYFUNCTION("""COMPUTED_VALUE"""),2)</f>
        <v>2</v>
      </c>
    </row>
    <row r="5915" spans="1:5" ht="13">
      <c r="A5915" s="2" t="str">
        <f ca="1">IFERROR(__xludf.DUMMYFUNCTION("""COMPUTED_VALUE"""),"Neaum, Michael")</f>
        <v>Neaum, Michael</v>
      </c>
      <c r="B5915" s="3">
        <f ca="1">IFERROR(__xludf.DUMMYFUNCTION("""COMPUTED_VALUE"""),1)</f>
        <v>1</v>
      </c>
      <c r="C5915" s="7">
        <f ca="1">IFERROR(__xludf.DUMMYFUNCTION("""COMPUTED_VALUE"""),1)</f>
        <v>1</v>
      </c>
      <c r="D5915" s="8">
        <f ca="1">IFERROR(__xludf.DUMMYFUNCTION("""COMPUTED_VALUE"""),1)</f>
        <v>1</v>
      </c>
      <c r="E5915" s="2">
        <f ca="1">IFERROR(__xludf.DUMMYFUNCTION("""COMPUTED_VALUE"""),1)</f>
        <v>1</v>
      </c>
    </row>
    <row r="5916" spans="1:5" ht="13">
      <c r="A5916" s="2" t="str">
        <f ca="1">IFERROR(__xludf.DUMMYFUNCTION("""COMPUTED_VALUE"""),"Neches, David")</f>
        <v>Neches, David</v>
      </c>
      <c r="B5916" s="3">
        <f ca="1">IFERROR(__xludf.DUMMYFUNCTION("""COMPUTED_VALUE"""),1)</f>
        <v>1</v>
      </c>
      <c r="C5916" s="7">
        <f ca="1">IFERROR(__xludf.DUMMYFUNCTION("""COMPUTED_VALUE"""),1)</f>
        <v>1</v>
      </c>
      <c r="D5916" s="8">
        <f ca="1">IFERROR(__xludf.DUMMYFUNCTION("""COMPUTED_VALUE"""),1)</f>
        <v>1</v>
      </c>
      <c r="E5916" s="2">
        <f ca="1">IFERROR(__xludf.DUMMYFUNCTION("""COMPUTED_VALUE"""),1)</f>
        <v>1</v>
      </c>
    </row>
    <row r="5917" spans="1:5" ht="13">
      <c r="A5917" s="2" t="str">
        <f ca="1">IFERROR(__xludf.DUMMYFUNCTION("""COMPUTED_VALUE"""),"Nedbal, Oscar")</f>
        <v>Nedbal, Oscar</v>
      </c>
      <c r="B5917" s="3">
        <f ca="1">IFERROR(__xludf.DUMMYFUNCTION("""COMPUTED_VALUE"""),1)</f>
        <v>1</v>
      </c>
      <c r="C5917" s="7">
        <f ca="1">IFERROR(__xludf.DUMMYFUNCTION("""COMPUTED_VALUE"""),1)</f>
        <v>1</v>
      </c>
      <c r="D5917" s="8">
        <f ca="1">IFERROR(__xludf.DUMMYFUNCTION("""COMPUTED_VALUE"""),5)</f>
        <v>5</v>
      </c>
      <c r="E5917" s="2">
        <f ca="1">IFERROR(__xludf.DUMMYFUNCTION("""COMPUTED_VALUE"""),2)</f>
        <v>2</v>
      </c>
    </row>
    <row r="5918" spans="1:5" ht="13">
      <c r="A5918" s="2" t="str">
        <f ca="1">IFERROR(__xludf.DUMMYFUNCTION("""COMPUTED_VALUE"""),"Neeck, Larry")</f>
        <v>Neeck, Larry</v>
      </c>
      <c r="B5918" s="3">
        <f ca="1">IFERROR(__xludf.DUMMYFUNCTION("""COMPUTED_VALUE"""),1)</f>
        <v>1</v>
      </c>
      <c r="C5918" s="7">
        <f ca="1">IFERROR(__xludf.DUMMYFUNCTION("""COMPUTED_VALUE"""),1)</f>
        <v>1</v>
      </c>
      <c r="D5918" s="8">
        <f ca="1">IFERROR(__xludf.DUMMYFUNCTION("""COMPUTED_VALUE"""),1)</f>
        <v>1</v>
      </c>
      <c r="E5918" s="2">
        <f ca="1">IFERROR(__xludf.DUMMYFUNCTION("""COMPUTED_VALUE"""),1)</f>
        <v>1</v>
      </c>
    </row>
    <row r="5919" spans="1:5" ht="13">
      <c r="A5919" s="2" t="str">
        <f ca="1">IFERROR(__xludf.DUMMYFUNCTION("""COMPUTED_VALUE"""),"Needham, Clint")</f>
        <v>Needham, Clint</v>
      </c>
      <c r="B5919" s="3">
        <f ca="1">IFERROR(__xludf.DUMMYFUNCTION("""COMPUTED_VALUE"""),1)</f>
        <v>1</v>
      </c>
      <c r="C5919" s="7">
        <f ca="1">IFERROR(__xludf.DUMMYFUNCTION("""COMPUTED_VALUE"""),1)</f>
        <v>1</v>
      </c>
      <c r="D5919" s="8">
        <f ca="1">IFERROR(__xludf.DUMMYFUNCTION("""COMPUTED_VALUE"""),1)</f>
        <v>1</v>
      </c>
      <c r="E5919" s="2">
        <f ca="1">IFERROR(__xludf.DUMMYFUNCTION("""COMPUTED_VALUE"""),1)</f>
        <v>1</v>
      </c>
    </row>
    <row r="5920" spans="1:5" ht="13">
      <c r="A5920" s="2" t="str">
        <f ca="1">IFERROR(__xludf.DUMMYFUNCTION("""COMPUTED_VALUE"""),"Neely, Blake")</f>
        <v>Neely, Blake</v>
      </c>
      <c r="B5920" s="3">
        <f ca="1">IFERROR(__xludf.DUMMYFUNCTION("""COMPUTED_VALUE"""),1)</f>
        <v>1</v>
      </c>
      <c r="C5920" s="7">
        <f ca="1">IFERROR(__xludf.DUMMYFUNCTION("""COMPUTED_VALUE"""),1)</f>
        <v>1</v>
      </c>
      <c r="D5920" s="8">
        <f ca="1">IFERROR(__xludf.DUMMYFUNCTION("""COMPUTED_VALUE"""),1)</f>
        <v>1</v>
      </c>
      <c r="E5920" s="2">
        <f ca="1">IFERROR(__xludf.DUMMYFUNCTION("""COMPUTED_VALUE"""),1)</f>
        <v>1</v>
      </c>
    </row>
    <row r="5921" spans="1:5" ht="13">
      <c r="A5921" s="2" t="str">
        <f ca="1">IFERROR(__xludf.DUMMYFUNCTION("""COMPUTED_VALUE"""),"Neff, Dennis B.")</f>
        <v>Neff, Dennis B.</v>
      </c>
      <c r="B5921" s="3">
        <f ca="1">IFERROR(__xludf.DUMMYFUNCTION("""COMPUTED_VALUE"""),1)</f>
        <v>1</v>
      </c>
      <c r="C5921" s="7">
        <f ca="1">IFERROR(__xludf.DUMMYFUNCTION("""COMPUTED_VALUE"""),1)</f>
        <v>1</v>
      </c>
      <c r="D5921" s="8">
        <f ca="1">IFERROR(__xludf.DUMMYFUNCTION("""COMPUTED_VALUE"""),1)</f>
        <v>1</v>
      </c>
      <c r="E5921" s="2">
        <f ca="1">IFERROR(__xludf.DUMMYFUNCTION("""COMPUTED_VALUE"""),1)</f>
        <v>1</v>
      </c>
    </row>
    <row r="5922" spans="1:5" ht="13">
      <c r="A5922" s="2" t="str">
        <f ca="1">IFERROR(__xludf.DUMMYFUNCTION("""COMPUTED_VALUE"""),"Nefs, Jacco")</f>
        <v>Nefs, Jacco</v>
      </c>
      <c r="B5922" s="3">
        <f ca="1">IFERROR(__xludf.DUMMYFUNCTION("""COMPUTED_VALUE"""),1)</f>
        <v>1</v>
      </c>
      <c r="C5922" s="7">
        <f ca="1">IFERROR(__xludf.DUMMYFUNCTION("""COMPUTED_VALUE"""),1)</f>
        <v>1</v>
      </c>
      <c r="D5922" s="8">
        <f ca="1">IFERROR(__xludf.DUMMYFUNCTION("""COMPUTED_VALUE"""),1)</f>
        <v>1</v>
      </c>
      <c r="E5922" s="2">
        <f ca="1">IFERROR(__xludf.DUMMYFUNCTION("""COMPUTED_VALUE"""),1)</f>
        <v>1</v>
      </c>
    </row>
    <row r="5923" spans="1:5" ht="13">
      <c r="A5923" s="2" t="str">
        <f ca="1">IFERROR(__xludf.DUMMYFUNCTION("""COMPUTED_VALUE"""),"Neidmann, Peter")</f>
        <v>Neidmann, Peter</v>
      </c>
      <c r="B5923" s="3">
        <f ca="1">IFERROR(__xludf.DUMMYFUNCTION("""COMPUTED_VALUE"""),1)</f>
        <v>1</v>
      </c>
      <c r="C5923" s="7">
        <f ca="1">IFERROR(__xludf.DUMMYFUNCTION("""COMPUTED_VALUE"""),1)</f>
        <v>1</v>
      </c>
      <c r="D5923" s="8">
        <f ca="1">IFERROR(__xludf.DUMMYFUNCTION("""COMPUTED_VALUE"""),1)</f>
        <v>1</v>
      </c>
      <c r="E5923" s="2">
        <f ca="1">IFERROR(__xludf.DUMMYFUNCTION("""COMPUTED_VALUE"""),1)</f>
        <v>1</v>
      </c>
    </row>
    <row r="5924" spans="1:5" ht="13">
      <c r="A5924" s="2" t="str">
        <f ca="1">IFERROR(__xludf.DUMMYFUNCTION("""COMPUTED_VALUE"""),"Neikrug, Marc")</f>
        <v>Neikrug, Marc</v>
      </c>
      <c r="B5924" s="3">
        <f ca="1">IFERROR(__xludf.DUMMYFUNCTION("""COMPUTED_VALUE"""),1)</f>
        <v>1</v>
      </c>
      <c r="C5924" s="7">
        <f ca="1">IFERROR(__xludf.DUMMYFUNCTION("""COMPUTED_VALUE"""),1)</f>
        <v>1</v>
      </c>
      <c r="D5924" s="8">
        <f ca="1">IFERROR(__xludf.DUMMYFUNCTION("""COMPUTED_VALUE"""),1)</f>
        <v>1</v>
      </c>
      <c r="E5924" s="2">
        <f ca="1">IFERROR(__xludf.DUMMYFUNCTION("""COMPUTED_VALUE"""),1)</f>
        <v>1</v>
      </c>
    </row>
    <row r="5925" spans="1:5" ht="13">
      <c r="A5925" s="8" t="str">
        <f ca="1">IFERROR(__xludf.DUMMYFUNCTION("""COMPUTED_VALUE"""),"Neiman, Adam")</f>
        <v>Neiman, Adam</v>
      </c>
      <c r="B5925" s="3">
        <f ca="1">IFERROR(__xludf.DUMMYFUNCTION("""COMPUTED_VALUE"""),1)</f>
        <v>1</v>
      </c>
      <c r="C5925" s="7">
        <f ca="1">IFERROR(__xludf.DUMMYFUNCTION("""COMPUTED_VALUE"""),1)</f>
        <v>1</v>
      </c>
      <c r="D5925" s="8">
        <f ca="1">IFERROR(__xludf.DUMMYFUNCTION("""COMPUTED_VALUE"""),1)</f>
        <v>1</v>
      </c>
      <c r="E5925" s="2">
        <f ca="1">IFERROR(__xludf.DUMMYFUNCTION("""COMPUTED_VALUE"""),1)</f>
        <v>1</v>
      </c>
    </row>
    <row r="5926" spans="1:5" ht="13">
      <c r="A5926" s="2" t="str">
        <f ca="1">IFERROR(__xludf.DUMMYFUNCTION("""COMPUTED_VALUE"""),"Neines, David")</f>
        <v>Neines, David</v>
      </c>
      <c r="B5926" s="3">
        <f ca="1">IFERROR(__xludf.DUMMYFUNCTION("""COMPUTED_VALUE"""),1)</f>
        <v>1</v>
      </c>
      <c r="C5926" s="7">
        <f ca="1">IFERROR(__xludf.DUMMYFUNCTION("""COMPUTED_VALUE"""),1)</f>
        <v>1</v>
      </c>
      <c r="D5926" s="8">
        <f ca="1">IFERROR(__xludf.DUMMYFUNCTION("""COMPUTED_VALUE"""),1)</f>
        <v>1</v>
      </c>
      <c r="E5926" s="2">
        <f ca="1">IFERROR(__xludf.DUMMYFUNCTION("""COMPUTED_VALUE"""),1)</f>
        <v>1</v>
      </c>
    </row>
    <row r="5927" spans="1:5" ht="13">
      <c r="A5927" s="2" t="str">
        <f ca="1">IFERROR(__xludf.DUMMYFUNCTION("""COMPUTED_VALUE"""),"Nelhybel, Vaclav")</f>
        <v>Nelhybel, Vaclav</v>
      </c>
      <c r="B5927" s="3">
        <f ca="1">IFERROR(__xludf.DUMMYFUNCTION("""COMPUTED_VALUE"""),1)</f>
        <v>1</v>
      </c>
      <c r="C5927" s="7">
        <f ca="1">IFERROR(__xludf.DUMMYFUNCTION("""COMPUTED_VALUE"""),1)</f>
        <v>1</v>
      </c>
      <c r="D5927" s="8">
        <f ca="1">IFERROR(__xludf.DUMMYFUNCTION("""COMPUTED_VALUE"""),5)</f>
        <v>5</v>
      </c>
      <c r="E5927" s="2">
        <f ca="1">IFERROR(__xludf.DUMMYFUNCTION("""COMPUTED_VALUE"""),2)</f>
        <v>2</v>
      </c>
    </row>
    <row r="5928" spans="1:5" ht="13">
      <c r="A5928" s="2" t="str">
        <f ca="1">IFERROR(__xludf.DUMMYFUNCTION("""COMPUTED_VALUE"""),"Nell, Matthew")</f>
        <v>Nell, Matthew</v>
      </c>
      <c r="B5928" s="3">
        <f ca="1">IFERROR(__xludf.DUMMYFUNCTION("""COMPUTED_VALUE"""),1)</f>
        <v>1</v>
      </c>
      <c r="C5928" s="7">
        <f ca="1">IFERROR(__xludf.DUMMYFUNCTION("""COMPUTED_VALUE"""),1)</f>
        <v>1</v>
      </c>
      <c r="D5928" s="8">
        <f ca="1">IFERROR(__xludf.DUMMYFUNCTION("""COMPUTED_VALUE"""),1)</f>
        <v>1</v>
      </c>
      <c r="E5928" s="2">
        <f ca="1">IFERROR(__xludf.DUMMYFUNCTION("""COMPUTED_VALUE"""),1)</f>
        <v>1</v>
      </c>
    </row>
    <row r="5929" spans="1:5" ht="13">
      <c r="A5929" s="2" t="str">
        <f ca="1">IFERROR(__xludf.DUMMYFUNCTION("""COMPUTED_VALUE"""),"Nelson, Brad")</f>
        <v>Nelson, Brad</v>
      </c>
      <c r="B5929" s="3">
        <f ca="1">IFERROR(__xludf.DUMMYFUNCTION("""COMPUTED_VALUE"""),1)</f>
        <v>1</v>
      </c>
      <c r="C5929" s="7">
        <f ca="1">IFERROR(__xludf.DUMMYFUNCTION("""COMPUTED_VALUE"""),1)</f>
        <v>1</v>
      </c>
      <c r="D5929" s="8">
        <f ca="1">IFERROR(__xludf.DUMMYFUNCTION("""COMPUTED_VALUE"""),1)</f>
        <v>1</v>
      </c>
      <c r="E5929" s="2">
        <f ca="1">IFERROR(__xludf.DUMMYFUNCTION("""COMPUTED_VALUE"""),1)</f>
        <v>1</v>
      </c>
    </row>
    <row r="5930" spans="1:5" ht="13">
      <c r="A5930" s="2" t="str">
        <f ca="1">IFERROR(__xludf.DUMMYFUNCTION("""COMPUTED_VALUE"""),"Nelson, Bradley")</f>
        <v>Nelson, Bradley</v>
      </c>
      <c r="B5930" s="3">
        <f ca="1">IFERROR(__xludf.DUMMYFUNCTION("""COMPUTED_VALUE"""),1)</f>
        <v>1</v>
      </c>
      <c r="C5930" s="7">
        <f ca="1">IFERROR(__xludf.DUMMYFUNCTION("""COMPUTED_VALUE"""),1)</f>
        <v>1</v>
      </c>
      <c r="D5930" s="8">
        <f ca="1">IFERROR(__xludf.DUMMYFUNCTION("""COMPUTED_VALUE"""),1)</f>
        <v>1</v>
      </c>
      <c r="E5930" s="2">
        <f ca="1">IFERROR(__xludf.DUMMYFUNCTION("""COMPUTED_VALUE"""),1)</f>
        <v>1</v>
      </c>
    </row>
    <row r="5931" spans="1:5" ht="13">
      <c r="A5931" s="2" t="str">
        <f ca="1">IFERROR(__xludf.DUMMYFUNCTION("""COMPUTED_VALUE"""),"Nelson, Christopher")</f>
        <v>Nelson, Christopher</v>
      </c>
      <c r="B5931" s="3">
        <f ca="1">IFERROR(__xludf.DUMMYFUNCTION("""COMPUTED_VALUE"""),1)</f>
        <v>1</v>
      </c>
      <c r="C5931" s="7">
        <f ca="1">IFERROR(__xludf.DUMMYFUNCTION("""COMPUTED_VALUE"""),1)</f>
        <v>1</v>
      </c>
      <c r="D5931" s="8">
        <f ca="1">IFERROR(__xludf.DUMMYFUNCTION("""COMPUTED_VALUE"""),1)</f>
        <v>1</v>
      </c>
      <c r="E5931" s="2">
        <f ca="1">IFERROR(__xludf.DUMMYFUNCTION("""COMPUTED_VALUE"""),1)</f>
        <v>1</v>
      </c>
    </row>
    <row r="5932" spans="1:5" ht="13">
      <c r="A5932" s="2" t="str">
        <f ca="1">IFERROR(__xludf.DUMMYFUNCTION("""COMPUTED_VALUE"""),"Nelson, Christopher M.")</f>
        <v>Nelson, Christopher M.</v>
      </c>
      <c r="B5932" s="3">
        <f ca="1">IFERROR(__xludf.DUMMYFUNCTION("""COMPUTED_VALUE"""),1)</f>
        <v>1</v>
      </c>
      <c r="C5932" s="7">
        <f ca="1">IFERROR(__xludf.DUMMYFUNCTION("""COMPUTED_VALUE"""),1)</f>
        <v>1</v>
      </c>
      <c r="D5932" s="8">
        <f ca="1">IFERROR(__xludf.DUMMYFUNCTION("""COMPUTED_VALUE"""),1)</f>
        <v>1</v>
      </c>
      <c r="E5932" s="2">
        <f ca="1">IFERROR(__xludf.DUMMYFUNCTION("""COMPUTED_VALUE"""),1)</f>
        <v>1</v>
      </c>
    </row>
    <row r="5933" spans="1:5" ht="13">
      <c r="A5933" s="2" t="str">
        <f ca="1">IFERROR(__xludf.DUMMYFUNCTION("""COMPUTED_VALUE"""),"Nelson, Daniel")</f>
        <v>Nelson, Daniel</v>
      </c>
      <c r="B5933" s="3">
        <f ca="1">IFERROR(__xludf.DUMMYFUNCTION("""COMPUTED_VALUE"""),1)</f>
        <v>1</v>
      </c>
      <c r="C5933" s="7">
        <f ca="1">IFERROR(__xludf.DUMMYFUNCTION("""COMPUTED_VALUE"""),1)</f>
        <v>1</v>
      </c>
      <c r="D5933" s="8">
        <f ca="1">IFERROR(__xludf.DUMMYFUNCTION("""COMPUTED_VALUE"""),1)</f>
        <v>1</v>
      </c>
      <c r="E5933" s="2">
        <f ca="1">IFERROR(__xludf.DUMMYFUNCTION("""COMPUTED_VALUE"""),1)</f>
        <v>1</v>
      </c>
    </row>
    <row r="5934" spans="1:5" ht="13">
      <c r="A5934" s="2" t="str">
        <f ca="1">IFERROR(__xludf.DUMMYFUNCTION("""COMPUTED_VALUE"""),"Nelson, Eric")</f>
        <v>Nelson, Eric</v>
      </c>
      <c r="B5934" s="2">
        <f ca="1">IFERROR(__xludf.DUMMYFUNCTION("""COMPUTED_VALUE"""),1)</f>
        <v>1</v>
      </c>
      <c r="C5934" s="7">
        <f ca="1">IFERROR(__xludf.DUMMYFUNCTION("""COMPUTED_VALUE"""),1)</f>
        <v>1</v>
      </c>
      <c r="D5934" s="8">
        <f ca="1">IFERROR(__xludf.DUMMYFUNCTION("""COMPUTED_VALUE"""),1)</f>
        <v>1</v>
      </c>
      <c r="E5934" s="2">
        <f ca="1">IFERROR(__xludf.DUMMYFUNCTION("""COMPUTED_VALUE"""),1)</f>
        <v>1</v>
      </c>
    </row>
    <row r="5935" spans="1:5" ht="13">
      <c r="A5935" s="2" t="str">
        <f ca="1">IFERROR(__xludf.DUMMYFUNCTION("""COMPUTED_VALUE"""),"Nelson, Havelock")</f>
        <v>Nelson, Havelock</v>
      </c>
      <c r="B5935" s="3">
        <f ca="1">IFERROR(__xludf.DUMMYFUNCTION("""COMPUTED_VALUE"""),1)</f>
        <v>1</v>
      </c>
      <c r="C5935" s="7">
        <f ca="1">IFERROR(__xludf.DUMMYFUNCTION("""COMPUTED_VALUE"""),1)</f>
        <v>1</v>
      </c>
      <c r="D5935" s="8">
        <f ca="1">IFERROR(__xludf.DUMMYFUNCTION("""COMPUTED_VALUE"""),5)</f>
        <v>5</v>
      </c>
      <c r="E5935" s="2">
        <f ca="1">IFERROR(__xludf.DUMMYFUNCTION("""COMPUTED_VALUE"""),2)</f>
        <v>2</v>
      </c>
    </row>
    <row r="5936" spans="1:5" ht="13">
      <c r="A5936" s="2" t="str">
        <f ca="1">IFERROR(__xludf.DUMMYFUNCTION("""COMPUTED_VALUE"""),"Nelson, Marty / Harris, Jerime")</f>
        <v>Nelson, Marty / Harris, Jerime</v>
      </c>
      <c r="B5936" s="3">
        <f ca="1">IFERROR(__xludf.DUMMYFUNCTION("""COMPUTED_VALUE"""),1)</f>
        <v>1</v>
      </c>
      <c r="C5936" s="7">
        <f ca="1">IFERROR(__xludf.DUMMYFUNCTION("""COMPUTED_VALUE"""),1)</f>
        <v>1</v>
      </c>
      <c r="D5936" s="8">
        <f ca="1">IFERROR(__xludf.DUMMYFUNCTION("""COMPUTED_VALUE"""),1)</f>
        <v>1</v>
      </c>
      <c r="E5936" s="2">
        <f ca="1">IFERROR(__xludf.DUMMYFUNCTION("""COMPUTED_VALUE"""),1)</f>
        <v>1</v>
      </c>
    </row>
    <row r="5937" spans="1:5" ht="13">
      <c r="A5937" s="2" t="str">
        <f ca="1">IFERROR(__xludf.DUMMYFUNCTION("""COMPUTED_VALUE"""),"Nelson, Michael")</f>
        <v>Nelson, Michael</v>
      </c>
      <c r="B5937" s="3">
        <f ca="1">IFERROR(__xludf.DUMMYFUNCTION("""COMPUTED_VALUE"""),1)</f>
        <v>1</v>
      </c>
      <c r="C5937" s="7">
        <f ca="1">IFERROR(__xludf.DUMMYFUNCTION("""COMPUTED_VALUE"""),1)</f>
        <v>1</v>
      </c>
      <c r="D5937" s="8">
        <f ca="1">IFERROR(__xludf.DUMMYFUNCTION("""COMPUTED_VALUE"""),1)</f>
        <v>1</v>
      </c>
      <c r="E5937" s="2">
        <f ca="1">IFERROR(__xludf.DUMMYFUNCTION("""COMPUTED_VALUE"""),1)</f>
        <v>1</v>
      </c>
    </row>
    <row r="5938" spans="1:5" ht="13">
      <c r="A5938" s="2" t="str">
        <f ca="1">IFERROR(__xludf.DUMMYFUNCTION("""COMPUTED_VALUE"""),"Nelson, Norman")</f>
        <v>Nelson, Norman</v>
      </c>
      <c r="B5938" s="3">
        <f ca="1">IFERROR(__xludf.DUMMYFUNCTION("""COMPUTED_VALUE"""),1)</f>
        <v>1</v>
      </c>
      <c r="C5938" s="7">
        <f ca="1">IFERROR(__xludf.DUMMYFUNCTION("""COMPUTED_VALUE"""),1)</f>
        <v>1</v>
      </c>
      <c r="D5938" s="8">
        <f ca="1">IFERROR(__xludf.DUMMYFUNCTION("""COMPUTED_VALUE"""),5)</f>
        <v>5</v>
      </c>
      <c r="E5938" s="2">
        <f ca="1">IFERROR(__xludf.DUMMYFUNCTION("""COMPUTED_VALUE"""),2)</f>
        <v>2</v>
      </c>
    </row>
    <row r="5939" spans="1:5" ht="13">
      <c r="A5939" s="8" t="str">
        <f ca="1">IFERROR(__xludf.DUMMYFUNCTION("""COMPUTED_VALUE"""),"Nelson, Robert")</f>
        <v>Nelson, Robert</v>
      </c>
      <c r="B5939" s="3">
        <f ca="1">IFERROR(__xludf.DUMMYFUNCTION("""COMPUTED_VALUE"""),1)</f>
        <v>1</v>
      </c>
      <c r="C5939" s="7">
        <f ca="1">IFERROR(__xludf.DUMMYFUNCTION("""COMPUTED_VALUE"""),1)</f>
        <v>1</v>
      </c>
      <c r="D5939" s="8">
        <f ca="1">IFERROR(__xludf.DUMMYFUNCTION("""COMPUTED_VALUE"""),1)</f>
        <v>1</v>
      </c>
      <c r="E5939" s="2">
        <f ca="1">IFERROR(__xludf.DUMMYFUNCTION("""COMPUTED_VALUE"""),1)</f>
        <v>1</v>
      </c>
    </row>
    <row r="5940" spans="1:5" ht="13">
      <c r="A5940" s="2" t="str">
        <f ca="1">IFERROR(__xludf.DUMMYFUNCTION("""COMPUTED_VALUE"""),"Nelson, Ron")</f>
        <v>Nelson, Ron</v>
      </c>
      <c r="B5940" s="3">
        <f ca="1">IFERROR(__xludf.DUMMYFUNCTION("""COMPUTED_VALUE"""),1)</f>
        <v>1</v>
      </c>
      <c r="C5940" s="7">
        <f ca="1">IFERROR(__xludf.DUMMYFUNCTION("""COMPUTED_VALUE"""),1)</f>
        <v>1</v>
      </c>
      <c r="D5940" s="8">
        <f ca="1">IFERROR(__xludf.DUMMYFUNCTION("""COMPUTED_VALUE"""),5)</f>
        <v>5</v>
      </c>
      <c r="E5940" s="2">
        <f ca="1">IFERROR(__xludf.DUMMYFUNCTION("""COMPUTED_VALUE"""),2)</f>
        <v>2</v>
      </c>
    </row>
    <row r="5941" spans="1:5" ht="13">
      <c r="A5941" s="2" t="str">
        <f ca="1">IFERROR(__xludf.DUMMYFUNCTION("""COMPUTED_VALUE"""),"Nelson, Sean")</f>
        <v>Nelson, Sean</v>
      </c>
      <c r="B5941" s="3">
        <f ca="1">IFERROR(__xludf.DUMMYFUNCTION("""COMPUTED_VALUE"""),1)</f>
        <v>1</v>
      </c>
      <c r="C5941" s="7">
        <f ca="1">IFERROR(__xludf.DUMMYFUNCTION("""COMPUTED_VALUE"""),1)</f>
        <v>1</v>
      </c>
      <c r="D5941" s="8">
        <f ca="1">IFERROR(__xludf.DUMMYFUNCTION("""COMPUTED_VALUE"""),1)</f>
        <v>1</v>
      </c>
      <c r="E5941" s="2">
        <f ca="1">IFERROR(__xludf.DUMMYFUNCTION("""COMPUTED_VALUE"""),1)</f>
        <v>1</v>
      </c>
    </row>
    <row r="5942" spans="1:5" ht="13">
      <c r="A5942" s="2" t="str">
        <f ca="1">IFERROR(__xludf.DUMMYFUNCTION("""COMPUTED_VALUE"""),"Nelson, Steve / Rollins, Jack / Kane, Francis")</f>
        <v>Nelson, Steve / Rollins, Jack / Kane, Francis</v>
      </c>
      <c r="B5942" s="2">
        <f ca="1">IFERROR(__xludf.DUMMYFUNCTION("""COMPUTED_VALUE"""),1)</f>
        <v>1</v>
      </c>
      <c r="C5942" s="7">
        <f ca="1">IFERROR(__xludf.DUMMYFUNCTION("""COMPUTED_VALUE"""),1)</f>
        <v>1</v>
      </c>
      <c r="D5942" s="8">
        <f ca="1">IFERROR(__xludf.DUMMYFUNCTION("""COMPUTED_VALUE"""),5)</f>
        <v>5</v>
      </c>
      <c r="E5942" s="2">
        <f ca="1">IFERROR(__xludf.DUMMYFUNCTION("""COMPUTED_VALUE"""),2)</f>
        <v>2</v>
      </c>
    </row>
    <row r="5943" spans="1:5" ht="13">
      <c r="A5943" s="2" t="str">
        <f ca="1">IFERROR(__xludf.DUMMYFUNCTION("""COMPUTED_VALUE"""),"Neruda, Johann Baptist Georg")</f>
        <v>Neruda, Johann Baptist Georg</v>
      </c>
      <c r="B5943" s="3">
        <f ca="1">IFERROR(__xludf.DUMMYFUNCTION("""COMPUTED_VALUE"""),1)</f>
        <v>1</v>
      </c>
      <c r="C5943" s="7">
        <f ca="1">IFERROR(__xludf.DUMMYFUNCTION("""COMPUTED_VALUE"""),1)</f>
        <v>1</v>
      </c>
      <c r="D5943" s="8">
        <f ca="1">IFERROR(__xludf.DUMMYFUNCTION("""COMPUTED_VALUE"""),5)</f>
        <v>5</v>
      </c>
      <c r="E5943" s="2">
        <f ca="1">IFERROR(__xludf.DUMMYFUNCTION("""COMPUTED_VALUE"""),2)</f>
        <v>2</v>
      </c>
    </row>
    <row r="5944" spans="1:5" ht="13">
      <c r="A5944" s="2" t="str">
        <f ca="1">IFERROR(__xludf.DUMMYFUNCTION("""COMPUTED_VALUE"""),"Neset, Marius")</f>
        <v>Neset, Marius</v>
      </c>
      <c r="B5944" s="3">
        <f ca="1">IFERROR(__xludf.DUMMYFUNCTION("""COMPUTED_VALUE"""),1)</f>
        <v>1</v>
      </c>
      <c r="C5944" s="7">
        <f ca="1">IFERROR(__xludf.DUMMYFUNCTION("""COMPUTED_VALUE"""),1)</f>
        <v>1</v>
      </c>
      <c r="D5944" s="8">
        <f ca="1">IFERROR(__xludf.DUMMYFUNCTION("""COMPUTED_VALUE"""),1)</f>
        <v>1</v>
      </c>
      <c r="E5944" s="2">
        <f ca="1">IFERROR(__xludf.DUMMYFUNCTION("""COMPUTED_VALUE"""),1)</f>
        <v>1</v>
      </c>
    </row>
    <row r="5945" spans="1:5" ht="13">
      <c r="A5945" s="8" t="str">
        <f ca="1">IFERROR(__xludf.DUMMYFUNCTION("""COMPUTED_VALUE"""),"Neske, Jakub")</f>
        <v>Neske, Jakub</v>
      </c>
      <c r="B5945" s="3">
        <f ca="1">IFERROR(__xludf.DUMMYFUNCTION("""COMPUTED_VALUE"""),1)</f>
        <v>1</v>
      </c>
      <c r="C5945" s="7">
        <f ca="1">IFERROR(__xludf.DUMMYFUNCTION("""COMPUTED_VALUE"""),1)</f>
        <v>1</v>
      </c>
      <c r="D5945" s="8">
        <f ca="1">IFERROR(__xludf.DUMMYFUNCTION("""COMPUTED_VALUE"""),1)</f>
        <v>1</v>
      </c>
      <c r="E5945" s="2">
        <f ca="1">IFERROR(__xludf.DUMMYFUNCTION("""COMPUTED_VALUE"""),1)</f>
        <v>1</v>
      </c>
    </row>
    <row r="5946" spans="1:5" ht="13">
      <c r="A5946" s="2" t="str">
        <f ca="1">IFERROR(__xludf.DUMMYFUNCTION("""COMPUTED_VALUE"""),"Nesser, Jack")</f>
        <v>Nesser, Jack</v>
      </c>
      <c r="B5946" s="3">
        <f ca="1">IFERROR(__xludf.DUMMYFUNCTION("""COMPUTED_VALUE"""),1)</f>
        <v>1</v>
      </c>
      <c r="C5946" s="7">
        <f ca="1">IFERROR(__xludf.DUMMYFUNCTION("""COMPUTED_VALUE"""),1)</f>
        <v>1</v>
      </c>
      <c r="D5946" s="8">
        <f ca="1">IFERROR(__xludf.DUMMYFUNCTION("""COMPUTED_VALUE"""),1)</f>
        <v>1</v>
      </c>
      <c r="E5946" s="2">
        <f ca="1">IFERROR(__xludf.DUMMYFUNCTION("""COMPUTED_VALUE"""),1)</f>
        <v>1</v>
      </c>
    </row>
    <row r="5947" spans="1:5" ht="13">
      <c r="A5947" s="2" t="str">
        <f ca="1">IFERROR(__xludf.DUMMYFUNCTION("""COMPUTED_VALUE"""),"Nestico, Sammy")</f>
        <v>Nestico, Sammy</v>
      </c>
      <c r="B5947" s="3">
        <f ca="1">IFERROR(__xludf.DUMMYFUNCTION("""COMPUTED_VALUE"""),1)</f>
        <v>1</v>
      </c>
      <c r="C5947" s="7">
        <f ca="1">IFERROR(__xludf.DUMMYFUNCTION("""COMPUTED_VALUE"""),1)</f>
        <v>1</v>
      </c>
      <c r="D5947" s="8">
        <f ca="1">IFERROR(__xludf.DUMMYFUNCTION("""COMPUTED_VALUE"""),5)</f>
        <v>5</v>
      </c>
      <c r="E5947" s="2">
        <f ca="1">IFERROR(__xludf.DUMMYFUNCTION("""COMPUTED_VALUE"""),2)</f>
        <v>2</v>
      </c>
    </row>
    <row r="5948" spans="1:5" ht="13">
      <c r="A5948" s="8" t="str">
        <f ca="1">IFERROR(__xludf.DUMMYFUNCTION("""COMPUTED_VALUE"""),"Nestor, Leo")</f>
        <v>Nestor, Leo</v>
      </c>
      <c r="B5948" s="3">
        <f ca="1">IFERROR(__xludf.DUMMYFUNCTION("""COMPUTED_VALUE"""),1)</f>
        <v>1</v>
      </c>
      <c r="C5948" s="7">
        <f ca="1">IFERROR(__xludf.DUMMYFUNCTION("""COMPUTED_VALUE"""),1)</f>
        <v>1</v>
      </c>
      <c r="D5948" s="8">
        <f ca="1">IFERROR(__xludf.DUMMYFUNCTION("""COMPUTED_VALUE"""),5)</f>
        <v>5</v>
      </c>
      <c r="E5948" s="2">
        <f ca="1">IFERROR(__xludf.DUMMYFUNCTION("""COMPUTED_VALUE"""),2)</f>
        <v>2</v>
      </c>
    </row>
    <row r="5949" spans="1:5" ht="13">
      <c r="A5949" s="2" t="str">
        <f ca="1">IFERROR(__xludf.DUMMYFUNCTION("""COMPUTED_VALUE"""),"Neu, Andrew")</f>
        <v>Neu, Andrew</v>
      </c>
      <c r="B5949" s="3">
        <f ca="1">IFERROR(__xludf.DUMMYFUNCTION("""COMPUTED_VALUE"""),1)</f>
        <v>1</v>
      </c>
      <c r="C5949" s="7">
        <f ca="1">IFERROR(__xludf.DUMMYFUNCTION("""COMPUTED_VALUE"""),1)</f>
        <v>1</v>
      </c>
      <c r="D5949" s="8">
        <f ca="1">IFERROR(__xludf.DUMMYFUNCTION("""COMPUTED_VALUE"""),1)</f>
        <v>1</v>
      </c>
      <c r="E5949" s="2">
        <f ca="1">IFERROR(__xludf.DUMMYFUNCTION("""COMPUTED_VALUE"""),1)</f>
        <v>1</v>
      </c>
    </row>
    <row r="5950" spans="1:5" ht="13">
      <c r="A5950" s="2" t="str">
        <f ca="1">IFERROR(__xludf.DUMMYFUNCTION("""COMPUTED_VALUE"""),"Neuberger, Jean - Frédéric")</f>
        <v>Neuberger, Jean - Frédéric</v>
      </c>
      <c r="B5950" s="3">
        <f ca="1">IFERROR(__xludf.DUMMYFUNCTION("""COMPUTED_VALUE"""),1)</f>
        <v>1</v>
      </c>
      <c r="C5950" s="7">
        <f ca="1">IFERROR(__xludf.DUMMYFUNCTION("""COMPUTED_VALUE"""),1)</f>
        <v>1</v>
      </c>
      <c r="D5950" s="8">
        <f ca="1">IFERROR(__xludf.DUMMYFUNCTION("""COMPUTED_VALUE"""),1)</f>
        <v>1</v>
      </c>
      <c r="E5950" s="2">
        <f ca="1">IFERROR(__xludf.DUMMYFUNCTION("""COMPUTED_VALUE"""),1)</f>
        <v>1</v>
      </c>
    </row>
    <row r="5951" spans="1:5" ht="13">
      <c r="A5951" s="2" t="str">
        <f ca="1">IFERROR(__xludf.DUMMYFUNCTION("""COMPUTED_VALUE"""),"Neuböck, Fritz")</f>
        <v>Neuböck, Fritz</v>
      </c>
      <c r="B5951" s="3">
        <f ca="1">IFERROR(__xludf.DUMMYFUNCTION("""COMPUTED_VALUE"""),1)</f>
        <v>1</v>
      </c>
      <c r="C5951" s="7">
        <f ca="1">IFERROR(__xludf.DUMMYFUNCTION("""COMPUTED_VALUE"""),1)</f>
        <v>1</v>
      </c>
      <c r="D5951" s="8">
        <f ca="1">IFERROR(__xludf.DUMMYFUNCTION("""COMPUTED_VALUE"""),1)</f>
        <v>1</v>
      </c>
      <c r="E5951" s="2">
        <f ca="1">IFERROR(__xludf.DUMMYFUNCTION("""COMPUTED_VALUE"""),1)</f>
        <v>1</v>
      </c>
    </row>
    <row r="5952" spans="1:5" ht="13">
      <c r="A5952" s="2" t="str">
        <f ca="1">IFERROR(__xludf.DUMMYFUNCTION("""COMPUTED_VALUE"""),"Neuburger, Jean-Frédéric")</f>
        <v>Neuburger, Jean-Frédéric</v>
      </c>
      <c r="B5952" s="3">
        <f ca="1">IFERROR(__xludf.DUMMYFUNCTION("""COMPUTED_VALUE"""),1)</f>
        <v>1</v>
      </c>
      <c r="C5952" s="7">
        <f ca="1">IFERROR(__xludf.DUMMYFUNCTION("""COMPUTED_VALUE"""),1)</f>
        <v>1</v>
      </c>
      <c r="D5952" s="8">
        <f ca="1">IFERROR(__xludf.DUMMYFUNCTION("""COMPUTED_VALUE"""),1)</f>
        <v>1</v>
      </c>
      <c r="E5952" s="2">
        <f ca="1">IFERROR(__xludf.DUMMYFUNCTION("""COMPUTED_VALUE"""),1)</f>
        <v>1</v>
      </c>
    </row>
    <row r="5953" spans="1:5" ht="13">
      <c r="A5953" s="8" t="str">
        <f ca="1">IFERROR(__xludf.DUMMYFUNCTION("""COMPUTED_VALUE"""),"Neuen, Don")</f>
        <v>Neuen, Don</v>
      </c>
      <c r="B5953" s="3">
        <f ca="1">IFERROR(__xludf.DUMMYFUNCTION("""COMPUTED_VALUE"""),1)</f>
        <v>1</v>
      </c>
      <c r="C5953" s="7">
        <f ca="1">IFERROR(__xludf.DUMMYFUNCTION("""COMPUTED_VALUE"""),1)</f>
        <v>1</v>
      </c>
      <c r="D5953" s="8">
        <f ca="1">IFERROR(__xludf.DUMMYFUNCTION("""COMPUTED_VALUE"""),1)</f>
        <v>1</v>
      </c>
      <c r="E5953" s="2">
        <f ca="1">IFERROR(__xludf.DUMMYFUNCTION("""COMPUTED_VALUE"""),1)</f>
        <v>1</v>
      </c>
    </row>
    <row r="5954" spans="1:5" ht="13">
      <c r="A5954" s="8" t="str">
        <f ca="1">IFERROR(__xludf.DUMMYFUNCTION("""COMPUTED_VALUE"""),"Neuen, Donald")</f>
        <v>Neuen, Donald</v>
      </c>
      <c r="B5954" s="3">
        <f ca="1">IFERROR(__xludf.DUMMYFUNCTION("""COMPUTED_VALUE"""),1)</f>
        <v>1</v>
      </c>
      <c r="C5954" s="7">
        <f ca="1">IFERROR(__xludf.DUMMYFUNCTION("""COMPUTED_VALUE"""),1)</f>
        <v>1</v>
      </c>
      <c r="D5954" s="8">
        <f ca="1">IFERROR(__xludf.DUMMYFUNCTION("""COMPUTED_VALUE"""),5)</f>
        <v>5</v>
      </c>
      <c r="E5954" s="2">
        <f ca="1">IFERROR(__xludf.DUMMYFUNCTION("""COMPUTED_VALUE"""),2)</f>
        <v>2</v>
      </c>
    </row>
    <row r="5955" spans="1:5" ht="13">
      <c r="A5955" s="2" t="str">
        <f ca="1">IFERROR(__xludf.DUMMYFUNCTION("""COMPUTED_VALUE"""),"Neufeld, John")</f>
        <v>Neufeld, John</v>
      </c>
      <c r="B5955" s="3">
        <f ca="1">IFERROR(__xludf.DUMMYFUNCTION("""COMPUTED_VALUE"""),1)</f>
        <v>1</v>
      </c>
      <c r="C5955" s="7">
        <f ca="1">IFERROR(__xludf.DUMMYFUNCTION("""COMPUTED_VALUE"""),1)</f>
        <v>1</v>
      </c>
      <c r="D5955" s="8">
        <f ca="1">IFERROR(__xludf.DUMMYFUNCTION("""COMPUTED_VALUE"""),5)</f>
        <v>5</v>
      </c>
      <c r="E5955" s="2">
        <f ca="1">IFERROR(__xludf.DUMMYFUNCTION("""COMPUTED_VALUE"""),2)</f>
        <v>2</v>
      </c>
    </row>
    <row r="5956" spans="1:5" ht="13">
      <c r="A5956" s="2" t="str">
        <f ca="1">IFERROR(__xludf.DUMMYFUNCTION("""COMPUTED_VALUE"""),"Neufeld, Ken")</f>
        <v>Neufeld, Ken</v>
      </c>
      <c r="B5956" s="3">
        <f ca="1">IFERROR(__xludf.DUMMYFUNCTION("""COMPUTED_VALUE"""),1)</f>
        <v>1</v>
      </c>
      <c r="C5956" s="7">
        <f ca="1">IFERROR(__xludf.DUMMYFUNCTION("""COMPUTED_VALUE"""),1)</f>
        <v>1</v>
      </c>
      <c r="D5956" s="8">
        <f ca="1">IFERROR(__xludf.DUMMYFUNCTION("""COMPUTED_VALUE"""),1)</f>
        <v>1</v>
      </c>
      <c r="E5956" s="2">
        <f ca="1">IFERROR(__xludf.DUMMYFUNCTION("""COMPUTED_VALUE"""),1)</f>
        <v>1</v>
      </c>
    </row>
    <row r="5957" spans="1:5" ht="13">
      <c r="A5957" s="8" t="str">
        <f ca="1">IFERROR(__xludf.DUMMYFUNCTION("""COMPUTED_VALUE"""),"Neufeld, Kenneth")</f>
        <v>Neufeld, Kenneth</v>
      </c>
      <c r="B5957" s="3">
        <f ca="1">IFERROR(__xludf.DUMMYFUNCTION("""COMPUTED_VALUE"""),1)</f>
        <v>1</v>
      </c>
      <c r="C5957" s="7">
        <f ca="1">IFERROR(__xludf.DUMMYFUNCTION("""COMPUTED_VALUE"""),1)</f>
        <v>1</v>
      </c>
      <c r="D5957" s="8">
        <f ca="1">IFERROR(__xludf.DUMMYFUNCTION("""COMPUTED_VALUE"""),1)</f>
        <v>1</v>
      </c>
      <c r="E5957" s="2">
        <f ca="1">IFERROR(__xludf.DUMMYFUNCTION("""COMPUTED_VALUE"""),1)</f>
        <v>1</v>
      </c>
    </row>
    <row r="5958" spans="1:5" ht="13">
      <c r="A5958" s="2" t="str">
        <f ca="1">IFERROR(__xludf.DUMMYFUNCTION("""COMPUTED_VALUE"""),"Neufeld, Matt")</f>
        <v>Neufeld, Matt</v>
      </c>
      <c r="B5958" s="3">
        <f ca="1">IFERROR(__xludf.DUMMYFUNCTION("""COMPUTED_VALUE"""),1)</f>
        <v>1</v>
      </c>
      <c r="C5958" s="7">
        <f ca="1">IFERROR(__xludf.DUMMYFUNCTION("""COMPUTED_VALUE"""),1)</f>
        <v>1</v>
      </c>
      <c r="D5958" s="8">
        <f ca="1">IFERROR(__xludf.DUMMYFUNCTION("""COMPUTED_VALUE"""),1)</f>
        <v>1</v>
      </c>
      <c r="E5958" s="2">
        <f ca="1">IFERROR(__xludf.DUMMYFUNCTION("""COMPUTED_VALUE"""),1)</f>
        <v>1</v>
      </c>
    </row>
    <row r="5959" spans="1:5" ht="13">
      <c r="A5959" s="2" t="str">
        <f ca="1">IFERROR(__xludf.DUMMYFUNCTION("""COMPUTED_VALUE"""),"Neukom, Sean")</f>
        <v>Neukom, Sean</v>
      </c>
      <c r="B5959" s="3">
        <f ca="1">IFERROR(__xludf.DUMMYFUNCTION("""COMPUTED_VALUE"""),1)</f>
        <v>1</v>
      </c>
      <c r="C5959" s="7">
        <f ca="1">IFERROR(__xludf.DUMMYFUNCTION("""COMPUTED_VALUE"""),1)</f>
        <v>1</v>
      </c>
      <c r="D5959" s="8">
        <f ca="1">IFERROR(__xludf.DUMMYFUNCTION("""COMPUTED_VALUE"""),1)</f>
        <v>1</v>
      </c>
      <c r="E5959" s="2">
        <f ca="1">IFERROR(__xludf.DUMMYFUNCTION("""COMPUTED_VALUE"""),1)</f>
        <v>1</v>
      </c>
    </row>
    <row r="5960" spans="1:5" ht="13">
      <c r="A5960" s="2" t="str">
        <f ca="1">IFERROR(__xludf.DUMMYFUNCTION("""COMPUTED_VALUE"""),"Neukomm, Sigismund")</f>
        <v>Neukomm, Sigismund</v>
      </c>
      <c r="B5960" s="3">
        <f ca="1">IFERROR(__xludf.DUMMYFUNCTION("""COMPUTED_VALUE"""),1)</f>
        <v>1</v>
      </c>
      <c r="C5960" s="7">
        <f ca="1">IFERROR(__xludf.DUMMYFUNCTION("""COMPUTED_VALUE"""),1)</f>
        <v>1</v>
      </c>
      <c r="D5960" s="8">
        <f ca="1">IFERROR(__xludf.DUMMYFUNCTION("""COMPUTED_VALUE"""),5)</f>
        <v>5</v>
      </c>
      <c r="E5960" s="2">
        <f ca="1">IFERROR(__xludf.DUMMYFUNCTION("""COMPUTED_VALUE"""),2)</f>
        <v>2</v>
      </c>
    </row>
    <row r="5961" spans="1:5" ht="13">
      <c r="A5961" s="2" t="str">
        <f ca="1">IFERROR(__xludf.DUMMYFUNCTION("""COMPUTED_VALUE"""),"Neumark, Georg")</f>
        <v>Neumark, Georg</v>
      </c>
      <c r="B5961" s="3">
        <f ca="1">IFERROR(__xludf.DUMMYFUNCTION("""COMPUTED_VALUE"""),1)</f>
        <v>1</v>
      </c>
      <c r="C5961" s="7">
        <f ca="1">IFERROR(__xludf.DUMMYFUNCTION("""COMPUTED_VALUE"""),1)</f>
        <v>1</v>
      </c>
      <c r="D5961" s="8">
        <f ca="1">IFERROR(__xludf.DUMMYFUNCTION("""COMPUTED_VALUE"""),5)</f>
        <v>5</v>
      </c>
      <c r="E5961" s="2">
        <f ca="1">IFERROR(__xludf.DUMMYFUNCTION("""COMPUTED_VALUE"""),2)</f>
        <v>2</v>
      </c>
    </row>
    <row r="5962" spans="1:5" ht="13">
      <c r="A5962" s="2" t="str">
        <f ca="1">IFERROR(__xludf.DUMMYFUNCTION("""COMPUTED_VALUE"""),"Neustadter, Garth")</f>
        <v>Neustadter, Garth</v>
      </c>
      <c r="B5962" s="3">
        <f ca="1">IFERROR(__xludf.DUMMYFUNCTION("""COMPUTED_VALUE"""),1)</f>
        <v>1</v>
      </c>
      <c r="C5962" s="7">
        <f ca="1">IFERROR(__xludf.DUMMYFUNCTION("""COMPUTED_VALUE"""),1)</f>
        <v>1</v>
      </c>
      <c r="D5962" s="8">
        <f ca="1">IFERROR(__xludf.DUMMYFUNCTION("""COMPUTED_VALUE"""),1)</f>
        <v>1</v>
      </c>
      <c r="E5962" s="2">
        <f ca="1">IFERROR(__xludf.DUMMYFUNCTION("""COMPUTED_VALUE"""),1)</f>
        <v>1</v>
      </c>
    </row>
    <row r="5963" spans="1:5" ht="13">
      <c r="A5963" s="8" t="str">
        <f ca="1">IFERROR(__xludf.DUMMYFUNCTION("""COMPUTED_VALUE"""),"Neutville-Applebaum-Ployhar")</f>
        <v>Neutville-Applebaum-Ployhar</v>
      </c>
      <c r="B5963" s="3">
        <f ca="1">IFERROR(__xludf.DUMMYFUNCTION("""COMPUTED_VALUE"""),1)</f>
        <v>1</v>
      </c>
      <c r="C5963" s="7">
        <f ca="1">IFERROR(__xludf.DUMMYFUNCTION("""COMPUTED_VALUE"""),1)</f>
        <v>1</v>
      </c>
      <c r="D5963" s="8">
        <f ca="1">IFERROR(__xludf.DUMMYFUNCTION("""COMPUTED_VALUE"""),5)</f>
        <v>5</v>
      </c>
      <c r="E5963" s="2">
        <f ca="1">IFERROR(__xludf.DUMMYFUNCTION("""COMPUTED_VALUE"""),2)</f>
        <v>2</v>
      </c>
    </row>
    <row r="5964" spans="1:5" ht="13">
      <c r="A5964" s="2" t="str">
        <f ca="1">IFERROR(__xludf.DUMMYFUNCTION("""COMPUTED_VALUE"""),"Nevin, Ethelbert")</f>
        <v>Nevin, Ethelbert</v>
      </c>
      <c r="B5964" s="3">
        <f ca="1">IFERROR(__xludf.DUMMYFUNCTION("""COMPUTED_VALUE"""),1)</f>
        <v>1</v>
      </c>
      <c r="C5964" s="7">
        <f ca="1">IFERROR(__xludf.DUMMYFUNCTION("""COMPUTED_VALUE"""),1)</f>
        <v>1</v>
      </c>
      <c r="D5964" s="8">
        <f ca="1">IFERROR(__xludf.DUMMYFUNCTION("""COMPUTED_VALUE"""),5)</f>
        <v>5</v>
      </c>
      <c r="E5964" s="2">
        <f ca="1">IFERROR(__xludf.DUMMYFUNCTION("""COMPUTED_VALUE"""),2)</f>
        <v>2</v>
      </c>
    </row>
    <row r="5965" spans="1:5" ht="13">
      <c r="A5965" s="2" t="str">
        <f ca="1">IFERROR(__xludf.DUMMYFUNCTION("""COMPUTED_VALUE"""),"Newbury, Kent")</f>
        <v>Newbury, Kent</v>
      </c>
      <c r="B5965" s="3">
        <f ca="1">IFERROR(__xludf.DUMMYFUNCTION("""COMPUTED_VALUE"""),1)</f>
        <v>1</v>
      </c>
      <c r="C5965" s="7">
        <f ca="1">IFERROR(__xludf.DUMMYFUNCTION("""COMPUTED_VALUE"""),1)</f>
        <v>1</v>
      </c>
      <c r="D5965" s="8">
        <f ca="1">IFERROR(__xludf.DUMMYFUNCTION("""COMPUTED_VALUE"""),1)</f>
        <v>1</v>
      </c>
      <c r="E5965" s="2">
        <f ca="1">IFERROR(__xludf.DUMMYFUNCTION("""COMPUTED_VALUE"""),1)</f>
        <v>1</v>
      </c>
    </row>
    <row r="5966" spans="1:5" ht="13">
      <c r="A5966" s="2" t="str">
        <f ca="1">IFERROR(__xludf.DUMMYFUNCTION("""COMPUTED_VALUE"""),"Newbury, Mickey")</f>
        <v>Newbury, Mickey</v>
      </c>
      <c r="B5966" s="3">
        <f ca="1">IFERROR(__xludf.DUMMYFUNCTION("""COMPUTED_VALUE"""),1)</f>
        <v>1</v>
      </c>
      <c r="C5966" s="7">
        <f ca="1">IFERROR(__xludf.DUMMYFUNCTION("""COMPUTED_VALUE"""),1)</f>
        <v>1</v>
      </c>
      <c r="D5966" s="8">
        <f ca="1">IFERROR(__xludf.DUMMYFUNCTION("""COMPUTED_VALUE"""),5)</f>
        <v>5</v>
      </c>
      <c r="E5966" s="2">
        <f ca="1">IFERROR(__xludf.DUMMYFUNCTION("""COMPUTED_VALUE"""),2)</f>
        <v>2</v>
      </c>
    </row>
    <row r="5967" spans="1:5" ht="13">
      <c r="A5967" s="8" t="str">
        <f ca="1">IFERROR(__xludf.DUMMYFUNCTION("""COMPUTED_VALUE"""),"Newman, Alfred")</f>
        <v>Newman, Alfred</v>
      </c>
      <c r="B5967" s="3">
        <f ca="1">IFERROR(__xludf.DUMMYFUNCTION("""COMPUTED_VALUE"""),1)</f>
        <v>1</v>
      </c>
      <c r="C5967" s="7">
        <f ca="1">IFERROR(__xludf.DUMMYFUNCTION("""COMPUTED_VALUE"""),1)</f>
        <v>1</v>
      </c>
      <c r="D5967" s="8">
        <f ca="1">IFERROR(__xludf.DUMMYFUNCTION("""COMPUTED_VALUE"""),5)</f>
        <v>5</v>
      </c>
      <c r="E5967" s="2">
        <f ca="1">IFERROR(__xludf.DUMMYFUNCTION("""COMPUTED_VALUE"""),2)</f>
        <v>2</v>
      </c>
    </row>
    <row r="5968" spans="1:5" ht="13">
      <c r="A5968" s="2" t="str">
        <f ca="1">IFERROR(__xludf.DUMMYFUNCTION("""COMPUTED_VALUE"""),"Newman, Jonathan")</f>
        <v>Newman, Jonathan</v>
      </c>
      <c r="B5968" s="3">
        <f ca="1">IFERROR(__xludf.DUMMYFUNCTION("""COMPUTED_VALUE"""),1)</f>
        <v>1</v>
      </c>
      <c r="C5968" s="7">
        <f ca="1">IFERROR(__xludf.DUMMYFUNCTION("""COMPUTED_VALUE"""),1)</f>
        <v>1</v>
      </c>
      <c r="D5968" s="8">
        <f ca="1">IFERROR(__xludf.DUMMYFUNCTION("""COMPUTED_VALUE"""),1)</f>
        <v>1</v>
      </c>
      <c r="E5968" s="2">
        <f ca="1">IFERROR(__xludf.DUMMYFUNCTION("""COMPUTED_VALUE"""),1)</f>
        <v>1</v>
      </c>
    </row>
    <row r="5969" spans="1:5" ht="13">
      <c r="A5969" s="2" t="str">
        <f ca="1">IFERROR(__xludf.DUMMYFUNCTION("""COMPUTED_VALUE"""),"Newman, Randy")</f>
        <v>Newman, Randy</v>
      </c>
      <c r="B5969" s="3">
        <f ca="1">IFERROR(__xludf.DUMMYFUNCTION("""COMPUTED_VALUE"""),1)</f>
        <v>1</v>
      </c>
      <c r="C5969" s="7">
        <f ca="1">IFERROR(__xludf.DUMMYFUNCTION("""COMPUTED_VALUE"""),1)</f>
        <v>1</v>
      </c>
      <c r="D5969" s="8">
        <f ca="1">IFERROR(__xludf.DUMMYFUNCTION("""COMPUTED_VALUE"""),1)</f>
        <v>1</v>
      </c>
      <c r="E5969" s="2">
        <f ca="1">IFERROR(__xludf.DUMMYFUNCTION("""COMPUTED_VALUE"""),1)</f>
        <v>1</v>
      </c>
    </row>
    <row r="5970" spans="1:5" ht="13">
      <c r="A5970" s="2" t="str">
        <f ca="1">IFERROR(__xludf.DUMMYFUNCTION("""COMPUTED_VALUE"""),"Newmaster, Kyle")</f>
        <v>Newmaster, Kyle</v>
      </c>
      <c r="B5970" s="3">
        <f ca="1">IFERROR(__xludf.DUMMYFUNCTION("""COMPUTED_VALUE"""),1)</f>
        <v>1</v>
      </c>
      <c r="C5970" s="7">
        <f ca="1">IFERROR(__xludf.DUMMYFUNCTION("""COMPUTED_VALUE"""),1)</f>
        <v>1</v>
      </c>
      <c r="D5970" s="8">
        <f ca="1">IFERROR(__xludf.DUMMYFUNCTION("""COMPUTED_VALUE"""),1)</f>
        <v>1</v>
      </c>
      <c r="E5970" s="2">
        <f ca="1">IFERROR(__xludf.DUMMYFUNCTION("""COMPUTED_VALUE"""),1)</f>
        <v>1</v>
      </c>
    </row>
    <row r="5971" spans="1:5" ht="13">
      <c r="A5971" s="2" t="str">
        <f ca="1">IFERROR(__xludf.DUMMYFUNCTION("""COMPUTED_VALUE"""),"Newsome, John D.")</f>
        <v>Newsome, John D.</v>
      </c>
      <c r="B5971" s="2">
        <f ca="1">IFERROR(__xludf.DUMMYFUNCTION("""COMPUTED_VALUE"""),1)</f>
        <v>1</v>
      </c>
      <c r="C5971" s="7">
        <f ca="1">IFERROR(__xludf.DUMMYFUNCTION("""COMPUTED_VALUE"""),1)</f>
        <v>1</v>
      </c>
      <c r="D5971" s="8">
        <f ca="1">IFERROR(__xludf.DUMMYFUNCTION("""COMPUTED_VALUE"""),5)</f>
        <v>5</v>
      </c>
      <c r="E5971" s="2">
        <f ca="1">IFERROR(__xludf.DUMMYFUNCTION("""COMPUTED_VALUE"""),2)</f>
        <v>2</v>
      </c>
    </row>
    <row r="5972" spans="1:5" ht="13">
      <c r="A5972" s="2" t="str">
        <f ca="1">IFERROR(__xludf.DUMMYFUNCTION("""COMPUTED_VALUE"""),"Newton, Bryce")</f>
        <v>Newton, Bryce</v>
      </c>
      <c r="B5972" s="3">
        <f ca="1">IFERROR(__xludf.DUMMYFUNCTION("""COMPUTED_VALUE"""),1)</f>
        <v>1</v>
      </c>
      <c r="C5972" s="7">
        <f ca="1">IFERROR(__xludf.DUMMYFUNCTION("""COMPUTED_VALUE"""),1)</f>
        <v>1</v>
      </c>
      <c r="D5972" s="8">
        <f ca="1">IFERROR(__xludf.DUMMYFUNCTION("""COMPUTED_VALUE"""),1)</f>
        <v>1</v>
      </c>
      <c r="E5972" s="2">
        <f ca="1">IFERROR(__xludf.DUMMYFUNCTION("""COMPUTED_VALUE"""),1)</f>
        <v>1</v>
      </c>
    </row>
    <row r="5973" spans="1:5" ht="13">
      <c r="A5973" s="2" t="str">
        <f ca="1">IFERROR(__xludf.DUMMYFUNCTION("""COMPUTED_VALUE"""),"Newton, John")</f>
        <v>Newton, John</v>
      </c>
      <c r="B5973" s="3">
        <f ca="1">IFERROR(__xludf.DUMMYFUNCTION("""COMPUTED_VALUE"""),1)</f>
        <v>1</v>
      </c>
      <c r="C5973" s="7">
        <f ca="1">IFERROR(__xludf.DUMMYFUNCTION("""COMPUTED_VALUE"""),1)</f>
        <v>1</v>
      </c>
      <c r="D5973" s="8">
        <f ca="1">IFERROR(__xludf.DUMMYFUNCTION("""COMPUTED_VALUE"""),5)</f>
        <v>5</v>
      </c>
      <c r="E5973" s="2">
        <f ca="1">IFERROR(__xludf.DUMMYFUNCTION("""COMPUTED_VALUE"""),2)</f>
        <v>2</v>
      </c>
    </row>
    <row r="5974" spans="1:5" ht="13">
      <c r="A5974" s="2" t="str">
        <f ca="1">IFERROR(__xludf.DUMMYFUNCTION("""COMPUTED_VALUE"""),"Newton, Rodney")</f>
        <v>Newton, Rodney</v>
      </c>
      <c r="B5974" s="3">
        <f ca="1">IFERROR(__xludf.DUMMYFUNCTION("""COMPUTED_VALUE"""),1)</f>
        <v>1</v>
      </c>
      <c r="C5974" s="7">
        <f ca="1">IFERROR(__xludf.DUMMYFUNCTION("""COMPUTED_VALUE"""),1)</f>
        <v>1</v>
      </c>
      <c r="D5974" s="8">
        <f ca="1">IFERROR(__xludf.DUMMYFUNCTION("""COMPUTED_VALUE"""),1)</f>
        <v>1</v>
      </c>
      <c r="E5974" s="2">
        <f ca="1">IFERROR(__xludf.DUMMYFUNCTION("""COMPUTED_VALUE"""),1)</f>
        <v>1</v>
      </c>
    </row>
    <row r="5975" spans="1:5" ht="13">
      <c r="A5975" s="8" t="str">
        <f ca="1">IFERROR(__xludf.DUMMYFUNCTION("""COMPUTED_VALUE"""),"Niblock, James")</f>
        <v>Niblock, James</v>
      </c>
      <c r="B5975" s="3">
        <f ca="1">IFERROR(__xludf.DUMMYFUNCTION("""COMPUTED_VALUE"""),1)</f>
        <v>1</v>
      </c>
      <c r="C5975" s="7">
        <f ca="1">IFERROR(__xludf.DUMMYFUNCTION("""COMPUTED_VALUE"""),1)</f>
        <v>1</v>
      </c>
      <c r="D5975" s="8">
        <f ca="1">IFERROR(__xludf.DUMMYFUNCTION("""COMPUTED_VALUE"""),5)</f>
        <v>5</v>
      </c>
      <c r="E5975" s="2">
        <f ca="1">IFERROR(__xludf.DUMMYFUNCTION("""COMPUTED_VALUE"""),2)</f>
        <v>2</v>
      </c>
    </row>
    <row r="5976" spans="1:5" ht="13">
      <c r="A5976" s="8" t="str">
        <f ca="1">IFERROR(__xludf.DUMMYFUNCTION("""COMPUTED_VALUE"""),"Nichol, Jonathan")</f>
        <v>Nichol, Jonathan</v>
      </c>
      <c r="B5976" s="3">
        <f ca="1">IFERROR(__xludf.DUMMYFUNCTION("""COMPUTED_VALUE"""),1)</f>
        <v>1</v>
      </c>
      <c r="C5976" s="7">
        <f ca="1">IFERROR(__xludf.DUMMYFUNCTION("""COMPUTED_VALUE"""),1)</f>
        <v>1</v>
      </c>
      <c r="D5976" s="8">
        <f ca="1">IFERROR(__xludf.DUMMYFUNCTION("""COMPUTED_VALUE"""),1)</f>
        <v>1</v>
      </c>
      <c r="E5976" s="2">
        <f ca="1">IFERROR(__xludf.DUMMYFUNCTION("""COMPUTED_VALUE"""),1)</f>
        <v>1</v>
      </c>
    </row>
    <row r="5977" spans="1:5" ht="13">
      <c r="A5977" s="2" t="str">
        <f ca="1">IFERROR(__xludf.DUMMYFUNCTION("""COMPUTED_VALUE"""),"Nicholas, Jon")</f>
        <v>Nicholas, Jon</v>
      </c>
      <c r="B5977" s="3">
        <f ca="1">IFERROR(__xludf.DUMMYFUNCTION("""COMPUTED_VALUE"""),1)</f>
        <v>1</v>
      </c>
      <c r="C5977" s="7">
        <f ca="1">IFERROR(__xludf.DUMMYFUNCTION("""COMPUTED_VALUE"""),1)</f>
        <v>1</v>
      </c>
      <c r="D5977" s="8">
        <f ca="1">IFERROR(__xludf.DUMMYFUNCTION("""COMPUTED_VALUE"""),1)</f>
        <v>1</v>
      </c>
      <c r="E5977" s="2">
        <f ca="1">IFERROR(__xludf.DUMMYFUNCTION("""COMPUTED_VALUE"""),1)</f>
        <v>1</v>
      </c>
    </row>
    <row r="5978" spans="1:5" ht="13">
      <c r="A5978" s="2" t="str">
        <f ca="1">IFERROR(__xludf.DUMMYFUNCTION("""COMPUTED_VALUE"""),"Nicholls, Horatio / Leslie, Edgar")</f>
        <v>Nicholls, Horatio / Leslie, Edgar</v>
      </c>
      <c r="B5978" s="2">
        <f ca="1">IFERROR(__xludf.DUMMYFUNCTION("""COMPUTED_VALUE"""),1)</f>
        <v>1</v>
      </c>
      <c r="C5978" s="7">
        <f ca="1">IFERROR(__xludf.DUMMYFUNCTION("""COMPUTED_VALUE"""),1)</f>
        <v>1</v>
      </c>
      <c r="D5978" s="8">
        <f ca="1">IFERROR(__xludf.DUMMYFUNCTION("""COMPUTED_VALUE"""),5)</f>
        <v>5</v>
      </c>
      <c r="E5978" s="2">
        <f ca="1">IFERROR(__xludf.DUMMYFUNCTION("""COMPUTED_VALUE"""),2)</f>
        <v>2</v>
      </c>
    </row>
    <row r="5979" spans="1:5" ht="13">
      <c r="A5979" s="2" t="str">
        <f ca="1">IFERROR(__xludf.DUMMYFUNCTION("""COMPUTED_VALUE"""),"Nichols, Michael")</f>
        <v>Nichols, Michael</v>
      </c>
      <c r="B5979" s="3">
        <f ca="1">IFERROR(__xludf.DUMMYFUNCTION("""COMPUTED_VALUE"""),1)</f>
        <v>1</v>
      </c>
      <c r="C5979" s="7">
        <f ca="1">IFERROR(__xludf.DUMMYFUNCTION("""COMPUTED_VALUE"""),1)</f>
        <v>1</v>
      </c>
      <c r="D5979" s="8">
        <f ca="1">IFERROR(__xludf.DUMMYFUNCTION("""COMPUTED_VALUE"""),1)</f>
        <v>1</v>
      </c>
      <c r="E5979" s="2">
        <f ca="1">IFERROR(__xludf.DUMMYFUNCTION("""COMPUTED_VALUE"""),1)</f>
        <v>1</v>
      </c>
    </row>
    <row r="5980" spans="1:5" ht="13">
      <c r="A5980" s="2" t="str">
        <f ca="1">IFERROR(__xludf.DUMMYFUNCTION("""COMPUTED_VALUE"""),"Nickel, Larry")</f>
        <v>Nickel, Larry</v>
      </c>
      <c r="B5980" s="3">
        <f ca="1">IFERROR(__xludf.DUMMYFUNCTION("""COMPUTED_VALUE"""),1)</f>
        <v>1</v>
      </c>
      <c r="C5980" s="7">
        <f ca="1">IFERROR(__xludf.DUMMYFUNCTION("""COMPUTED_VALUE"""),1)</f>
        <v>1</v>
      </c>
      <c r="D5980" s="8">
        <f ca="1">IFERROR(__xludf.DUMMYFUNCTION("""COMPUTED_VALUE"""),1)</f>
        <v>1</v>
      </c>
      <c r="E5980" s="2">
        <f ca="1">IFERROR(__xludf.DUMMYFUNCTION("""COMPUTED_VALUE"""),1)</f>
        <v>1</v>
      </c>
    </row>
    <row r="5981" spans="1:5" ht="13">
      <c r="A5981" s="2" t="str">
        <f ca="1">IFERROR(__xludf.DUMMYFUNCTION("""COMPUTED_VALUE"""),"Nickel, Oliver")</f>
        <v>Nickel, Oliver</v>
      </c>
      <c r="B5981" s="3">
        <f ca="1">IFERROR(__xludf.DUMMYFUNCTION("""COMPUTED_VALUE"""),1)</f>
        <v>1</v>
      </c>
      <c r="C5981" s="7">
        <f ca="1">IFERROR(__xludf.DUMMYFUNCTION("""COMPUTED_VALUE"""),1)</f>
        <v>1</v>
      </c>
      <c r="D5981" s="8">
        <f ca="1">IFERROR(__xludf.DUMMYFUNCTION("""COMPUTED_VALUE"""),1)</f>
        <v>1</v>
      </c>
      <c r="E5981" s="2">
        <f ca="1">IFERROR(__xludf.DUMMYFUNCTION("""COMPUTED_VALUE"""),1)</f>
        <v>1</v>
      </c>
    </row>
    <row r="5982" spans="1:5" ht="13">
      <c r="A5982" s="8" t="str">
        <f ca="1">IFERROR(__xludf.DUMMYFUNCTION("""COMPUTED_VALUE"""),"Nickerson, Rick")</f>
        <v>Nickerson, Rick</v>
      </c>
      <c r="B5982" s="3">
        <f ca="1">IFERROR(__xludf.DUMMYFUNCTION("""COMPUTED_VALUE"""),1)</f>
        <v>1</v>
      </c>
      <c r="C5982" s="7">
        <f ca="1">IFERROR(__xludf.DUMMYFUNCTION("""COMPUTED_VALUE"""),1)</f>
        <v>1</v>
      </c>
      <c r="D5982" s="8">
        <f ca="1">IFERROR(__xludf.DUMMYFUNCTION("""COMPUTED_VALUE"""),1)</f>
        <v>1</v>
      </c>
      <c r="E5982" s="2">
        <f ca="1">IFERROR(__xludf.DUMMYFUNCTION("""COMPUTED_VALUE"""),1)</f>
        <v>1</v>
      </c>
    </row>
    <row r="5983" spans="1:5" ht="13">
      <c r="A5983" s="2" t="str">
        <f ca="1">IFERROR(__xludf.DUMMYFUNCTION("""COMPUTED_VALUE"""),"Nickson, John")</f>
        <v>Nickson, John</v>
      </c>
      <c r="B5983" s="3">
        <f ca="1">IFERROR(__xludf.DUMMYFUNCTION("""COMPUTED_VALUE"""),1)</f>
        <v>1</v>
      </c>
      <c r="C5983" s="7">
        <f ca="1">IFERROR(__xludf.DUMMYFUNCTION("""COMPUTED_VALUE"""),1)</f>
        <v>1</v>
      </c>
      <c r="D5983" s="8">
        <f ca="1">IFERROR(__xludf.DUMMYFUNCTION("""COMPUTED_VALUE"""),5)</f>
        <v>5</v>
      </c>
      <c r="E5983" s="2">
        <f ca="1">IFERROR(__xludf.DUMMYFUNCTION("""COMPUTED_VALUE"""),2)</f>
        <v>2</v>
      </c>
    </row>
    <row r="5984" spans="1:5" ht="13">
      <c r="A5984" s="2" t="str">
        <f ca="1">IFERROR(__xludf.DUMMYFUNCTION("""COMPUTED_VALUE"""),"Nicolai, Otto")</f>
        <v>Nicolai, Otto</v>
      </c>
      <c r="B5984" s="3">
        <f ca="1">IFERROR(__xludf.DUMMYFUNCTION("""COMPUTED_VALUE"""),1)</f>
        <v>1</v>
      </c>
      <c r="C5984" s="7">
        <f ca="1">IFERROR(__xludf.DUMMYFUNCTION("""COMPUTED_VALUE"""),1)</f>
        <v>1</v>
      </c>
      <c r="D5984" s="8">
        <f ca="1">IFERROR(__xludf.DUMMYFUNCTION("""COMPUTED_VALUE"""),5)</f>
        <v>5</v>
      </c>
      <c r="E5984" s="2">
        <f ca="1">IFERROR(__xludf.DUMMYFUNCTION("""COMPUTED_VALUE"""),2)</f>
        <v>2</v>
      </c>
    </row>
    <row r="5985" spans="1:5" ht="13">
      <c r="A5985" s="2" t="str">
        <f ca="1">IFERROR(__xludf.DUMMYFUNCTION("""COMPUTED_VALUE"""),"Nicolai, Philipp")</f>
        <v>Nicolai, Philipp</v>
      </c>
      <c r="B5985" s="3">
        <f ca="1">IFERROR(__xludf.DUMMYFUNCTION("""COMPUTED_VALUE"""),1)</f>
        <v>1</v>
      </c>
      <c r="C5985" s="7">
        <f ca="1">IFERROR(__xludf.DUMMYFUNCTION("""COMPUTED_VALUE"""),1)</f>
        <v>1</v>
      </c>
      <c r="D5985" s="8">
        <f ca="1">IFERROR(__xludf.DUMMYFUNCTION("""COMPUTED_VALUE"""),5)</f>
        <v>5</v>
      </c>
      <c r="E5985" s="2">
        <f ca="1">IFERROR(__xludf.DUMMYFUNCTION("""COMPUTED_VALUE"""),2)</f>
        <v>2</v>
      </c>
    </row>
    <row r="5986" spans="1:5" ht="13">
      <c r="A5986" s="2" t="str">
        <f ca="1">IFERROR(__xludf.DUMMYFUNCTION("""COMPUTED_VALUE"""),"Nicolau, Juan Luis")</f>
        <v>Nicolau, Juan Luis</v>
      </c>
      <c r="B5986" s="3">
        <f ca="1">IFERROR(__xludf.DUMMYFUNCTION("""COMPUTED_VALUE"""),1)</f>
        <v>1</v>
      </c>
      <c r="C5986" s="7">
        <f ca="1">IFERROR(__xludf.DUMMYFUNCTION("""COMPUTED_VALUE"""),1)</f>
        <v>1</v>
      </c>
      <c r="D5986" s="8">
        <f ca="1">IFERROR(__xludf.DUMMYFUNCTION("""COMPUTED_VALUE"""),1)</f>
        <v>1</v>
      </c>
      <c r="E5986" s="2">
        <f ca="1">IFERROR(__xludf.DUMMYFUNCTION("""COMPUTED_VALUE"""),1)</f>
        <v>1</v>
      </c>
    </row>
    <row r="5987" spans="1:5" ht="13">
      <c r="A5987" s="2" t="str">
        <f ca="1">IFERROR(__xludf.DUMMYFUNCTION("""COMPUTED_VALUE"""),"Nicoletti, Kevin")</f>
        <v>Nicoletti, Kevin</v>
      </c>
      <c r="B5987" s="3">
        <f ca="1">IFERROR(__xludf.DUMMYFUNCTION("""COMPUTED_VALUE"""),1)</f>
        <v>1</v>
      </c>
      <c r="C5987" s="7">
        <f ca="1">IFERROR(__xludf.DUMMYFUNCTION("""COMPUTED_VALUE"""),1)</f>
        <v>1</v>
      </c>
      <c r="D5987" s="8">
        <f ca="1">IFERROR(__xludf.DUMMYFUNCTION("""COMPUTED_VALUE"""),1)</f>
        <v>1</v>
      </c>
      <c r="E5987" s="2">
        <f ca="1">IFERROR(__xludf.DUMMYFUNCTION("""COMPUTED_VALUE"""),1)</f>
        <v>1</v>
      </c>
    </row>
    <row r="5988" spans="1:5" ht="13">
      <c r="A5988" s="2" t="str">
        <f ca="1">IFERROR(__xludf.DUMMYFUNCTION("""COMPUTED_VALUE"""),"Nicoli, Andrea")</f>
        <v>Nicoli, Andrea</v>
      </c>
      <c r="B5988" s="3">
        <f ca="1">IFERROR(__xludf.DUMMYFUNCTION("""COMPUTED_VALUE"""),1)</f>
        <v>1</v>
      </c>
      <c r="C5988" s="7">
        <f ca="1">IFERROR(__xludf.DUMMYFUNCTION("""COMPUTED_VALUE"""),1)</f>
        <v>1</v>
      </c>
      <c r="D5988" s="8">
        <f ca="1">IFERROR(__xludf.DUMMYFUNCTION("""COMPUTED_VALUE"""),1)</f>
        <v>1</v>
      </c>
      <c r="E5988" s="2">
        <f ca="1">IFERROR(__xludf.DUMMYFUNCTION("""COMPUTED_VALUE"""),1)</f>
        <v>1</v>
      </c>
    </row>
    <row r="5989" spans="1:5" ht="13">
      <c r="A5989" s="2" t="str">
        <f ca="1">IFERROR(__xludf.DUMMYFUNCTION("""COMPUTED_VALUE"""),"Niedt, Friedrich Erhard")</f>
        <v>Niedt, Friedrich Erhard</v>
      </c>
      <c r="B5989" s="3">
        <f ca="1">IFERROR(__xludf.DUMMYFUNCTION("""COMPUTED_VALUE"""),1)</f>
        <v>1</v>
      </c>
      <c r="C5989" s="7">
        <f ca="1">IFERROR(__xludf.DUMMYFUNCTION("""COMPUTED_VALUE"""),1)</f>
        <v>1</v>
      </c>
      <c r="D5989" s="8">
        <f ca="1">IFERROR(__xludf.DUMMYFUNCTION("""COMPUTED_VALUE"""),5)</f>
        <v>5</v>
      </c>
      <c r="E5989" s="2">
        <f ca="1">IFERROR(__xludf.DUMMYFUNCTION("""COMPUTED_VALUE"""),2)</f>
        <v>2</v>
      </c>
    </row>
    <row r="5990" spans="1:5" ht="13">
      <c r="A5990" s="2" t="str">
        <f ca="1">IFERROR(__xludf.DUMMYFUNCTION("""COMPUTED_VALUE"""),"Niehaus, Lennie")</f>
        <v>Niehaus, Lennie</v>
      </c>
      <c r="B5990" s="3">
        <f ca="1">IFERROR(__xludf.DUMMYFUNCTION("""COMPUTED_VALUE"""),1)</f>
        <v>1</v>
      </c>
      <c r="C5990" s="7">
        <f ca="1">IFERROR(__xludf.DUMMYFUNCTION("""COMPUTED_VALUE"""),1)</f>
        <v>1</v>
      </c>
      <c r="D5990" s="8">
        <f ca="1">IFERROR(__xludf.DUMMYFUNCTION("""COMPUTED_VALUE"""),5)</f>
        <v>5</v>
      </c>
      <c r="E5990" s="2">
        <f ca="1">IFERROR(__xludf.DUMMYFUNCTION("""COMPUTED_VALUE"""),2)</f>
        <v>2</v>
      </c>
    </row>
    <row r="5991" spans="1:5" ht="13">
      <c r="A5991" s="8" t="str">
        <f ca="1">IFERROR(__xludf.DUMMYFUNCTION("""COMPUTED_VALUE"""),"Niehaus, Lennie / Leidig, Vernon")</f>
        <v>Niehaus, Lennie / Leidig, Vernon</v>
      </c>
      <c r="B5991" s="3">
        <f ca="1">IFERROR(__xludf.DUMMYFUNCTION("""COMPUTED_VALUE"""),1)</f>
        <v>1</v>
      </c>
      <c r="C5991" s="7">
        <f ca="1">IFERROR(__xludf.DUMMYFUNCTION("""COMPUTED_VALUE"""),1)</f>
        <v>1</v>
      </c>
      <c r="D5991" s="8">
        <f ca="1">IFERROR(__xludf.DUMMYFUNCTION("""COMPUTED_VALUE"""),5)</f>
        <v>5</v>
      </c>
      <c r="E5991" s="2">
        <f ca="1">IFERROR(__xludf.DUMMYFUNCTION("""COMPUTED_VALUE"""),2)</f>
        <v>2</v>
      </c>
    </row>
    <row r="5992" spans="1:5" ht="13">
      <c r="A5992" s="2" t="str">
        <f ca="1">IFERROR(__xludf.DUMMYFUNCTION("""COMPUTED_VALUE"""),"Niehoff, Andrew")</f>
        <v>Niehoff, Andrew</v>
      </c>
      <c r="B5992" s="3">
        <f ca="1">IFERROR(__xludf.DUMMYFUNCTION("""COMPUTED_VALUE"""),1)</f>
        <v>1</v>
      </c>
      <c r="C5992" s="7">
        <f ca="1">IFERROR(__xludf.DUMMYFUNCTION("""COMPUTED_VALUE"""),1)</f>
        <v>1</v>
      </c>
      <c r="D5992" s="8">
        <f ca="1">IFERROR(__xludf.DUMMYFUNCTION("""COMPUTED_VALUE"""),1)</f>
        <v>1</v>
      </c>
      <c r="E5992" s="2">
        <f ca="1">IFERROR(__xludf.DUMMYFUNCTION("""COMPUTED_VALUE"""),1)</f>
        <v>1</v>
      </c>
    </row>
    <row r="5993" spans="1:5" ht="13">
      <c r="A5993" s="2" t="str">
        <f ca="1">IFERROR(__xludf.DUMMYFUNCTION("""COMPUTED_VALUE"""),"Nielsen, Carl")</f>
        <v>Nielsen, Carl</v>
      </c>
      <c r="B5993" s="3">
        <f ca="1">IFERROR(__xludf.DUMMYFUNCTION("""COMPUTED_VALUE"""),1)</f>
        <v>1</v>
      </c>
      <c r="C5993" s="7">
        <f ca="1">IFERROR(__xludf.DUMMYFUNCTION("""COMPUTED_VALUE"""),1)</f>
        <v>1</v>
      </c>
      <c r="D5993" s="8">
        <f ca="1">IFERROR(__xludf.DUMMYFUNCTION("""COMPUTED_VALUE"""),5)</f>
        <v>5</v>
      </c>
      <c r="E5993" s="2">
        <f ca="1">IFERROR(__xludf.DUMMYFUNCTION("""COMPUTED_VALUE"""),2)</f>
        <v>2</v>
      </c>
    </row>
    <row r="5994" spans="1:5" ht="13">
      <c r="A5994" s="8" t="str">
        <f ca="1">IFERROR(__xludf.DUMMYFUNCTION("""COMPUTED_VALUE"""),"Nielsen, Kai")</f>
        <v>Nielsen, Kai</v>
      </c>
      <c r="B5994" s="3">
        <f ca="1">IFERROR(__xludf.DUMMYFUNCTION("""COMPUTED_VALUE"""),1)</f>
        <v>1</v>
      </c>
      <c r="C5994" s="7">
        <f ca="1">IFERROR(__xludf.DUMMYFUNCTION("""COMPUTED_VALUE"""),1)</f>
        <v>1</v>
      </c>
      <c r="D5994" s="8">
        <f ca="1">IFERROR(__xludf.DUMMYFUNCTION("""COMPUTED_VALUE"""),5)</f>
        <v>5</v>
      </c>
      <c r="E5994" s="2">
        <f ca="1">IFERROR(__xludf.DUMMYFUNCTION("""COMPUTED_VALUE"""),2)</f>
        <v>2</v>
      </c>
    </row>
    <row r="5995" spans="1:5" ht="13">
      <c r="A5995" s="2" t="str">
        <f ca="1">IFERROR(__xludf.DUMMYFUNCTION("""COMPUTED_VALUE"""),"Nielsen, Matthew")</f>
        <v>Nielsen, Matthew</v>
      </c>
      <c r="B5995" s="3">
        <f ca="1">IFERROR(__xludf.DUMMYFUNCTION("""COMPUTED_VALUE"""),1)</f>
        <v>1</v>
      </c>
      <c r="C5995" s="7">
        <f ca="1">IFERROR(__xludf.DUMMYFUNCTION("""COMPUTED_VALUE"""),1)</f>
        <v>1</v>
      </c>
      <c r="D5995" s="8">
        <f ca="1">IFERROR(__xludf.DUMMYFUNCTION("""COMPUTED_VALUE"""),1)</f>
        <v>1</v>
      </c>
      <c r="E5995" s="2">
        <f ca="1">IFERROR(__xludf.DUMMYFUNCTION("""COMPUTED_VALUE"""),1)</f>
        <v>1</v>
      </c>
    </row>
    <row r="5996" spans="1:5" ht="13">
      <c r="A5996" s="8" t="str">
        <f ca="1">IFERROR(__xludf.DUMMYFUNCTION("""COMPUTED_VALUE"""),"Nielsen, Michael")</f>
        <v>Nielsen, Michael</v>
      </c>
      <c r="B5996" s="3">
        <f ca="1">IFERROR(__xludf.DUMMYFUNCTION("""COMPUTED_VALUE"""),1)</f>
        <v>1</v>
      </c>
      <c r="C5996" s="7">
        <f ca="1">IFERROR(__xludf.DUMMYFUNCTION("""COMPUTED_VALUE"""),1)</f>
        <v>1</v>
      </c>
      <c r="D5996" s="8">
        <f ca="1">IFERROR(__xludf.DUMMYFUNCTION("""COMPUTED_VALUE"""),1)</f>
        <v>1</v>
      </c>
      <c r="E5996" s="2">
        <f ca="1">IFERROR(__xludf.DUMMYFUNCTION("""COMPUTED_VALUE"""),1)</f>
        <v>1</v>
      </c>
    </row>
    <row r="5997" spans="1:5" ht="13">
      <c r="A5997" s="8" t="str">
        <f ca="1">IFERROR(__xludf.DUMMYFUNCTION("""COMPUTED_VALUE"""),"Nielson, Kai")</f>
        <v>Nielson, Kai</v>
      </c>
      <c r="B5997" s="3">
        <f ca="1">IFERROR(__xludf.DUMMYFUNCTION("""COMPUTED_VALUE"""),1)</f>
        <v>1</v>
      </c>
      <c r="C5997" s="7">
        <f ca="1">IFERROR(__xludf.DUMMYFUNCTION("""COMPUTED_VALUE"""),1)</f>
        <v>1</v>
      </c>
      <c r="D5997" s="8">
        <f ca="1">IFERROR(__xludf.DUMMYFUNCTION("""COMPUTED_VALUE"""),5)</f>
        <v>5</v>
      </c>
      <c r="E5997" s="2">
        <f ca="1">IFERROR(__xludf.DUMMYFUNCTION("""COMPUTED_VALUE"""),2)</f>
        <v>2</v>
      </c>
    </row>
    <row r="5998" spans="1:5" ht="13">
      <c r="A5998" s="2" t="str">
        <f ca="1">IFERROR(__xludf.DUMMYFUNCTION("""COMPUTED_VALUE"""),"Nierenberg, Roger")</f>
        <v>Nierenberg, Roger</v>
      </c>
      <c r="B5998" s="2">
        <f ca="1">IFERROR(__xludf.DUMMYFUNCTION("""COMPUTED_VALUE"""),1)</f>
        <v>1</v>
      </c>
      <c r="C5998" s="7">
        <f ca="1">IFERROR(__xludf.DUMMYFUNCTION("""COMPUTED_VALUE"""),1)</f>
        <v>1</v>
      </c>
      <c r="D5998" s="8">
        <f ca="1">IFERROR(__xludf.DUMMYFUNCTION("""COMPUTED_VALUE"""),1)</f>
        <v>1</v>
      </c>
      <c r="E5998" s="2">
        <f ca="1">IFERROR(__xludf.DUMMYFUNCTION("""COMPUTED_VALUE"""),1)</f>
        <v>1</v>
      </c>
    </row>
    <row r="5999" spans="1:5" ht="13">
      <c r="A5999" s="8" t="str">
        <f ca="1">IFERROR(__xludf.DUMMYFUNCTION("""COMPUTED_VALUE"""),"Nieto, John")</f>
        <v>Nieto, John</v>
      </c>
      <c r="B5999" s="3">
        <f ca="1">IFERROR(__xludf.DUMMYFUNCTION("""COMPUTED_VALUE"""),1)</f>
        <v>1</v>
      </c>
      <c r="C5999" s="7">
        <f ca="1">IFERROR(__xludf.DUMMYFUNCTION("""COMPUTED_VALUE"""),1)</f>
        <v>1</v>
      </c>
      <c r="D5999" s="8">
        <f ca="1">IFERROR(__xludf.DUMMYFUNCTION("""COMPUTED_VALUE"""),1)</f>
        <v>1</v>
      </c>
      <c r="E5999" s="2">
        <f ca="1">IFERROR(__xludf.DUMMYFUNCTION("""COMPUTED_VALUE"""),1)</f>
        <v>1</v>
      </c>
    </row>
    <row r="6000" spans="1:5" ht="13">
      <c r="A6000" s="2" t="str">
        <f ca="1">IFERROR(__xludf.DUMMYFUNCTION("""COMPUTED_VALUE"""),"Nieweg, Clinton")</f>
        <v>Nieweg, Clinton</v>
      </c>
      <c r="B6000" s="3">
        <f ca="1">IFERROR(__xludf.DUMMYFUNCTION("""COMPUTED_VALUE"""),1)</f>
        <v>1</v>
      </c>
      <c r="C6000" s="7">
        <f ca="1">IFERROR(__xludf.DUMMYFUNCTION("""COMPUTED_VALUE"""),1)</f>
        <v>1</v>
      </c>
      <c r="D6000" s="8">
        <f ca="1">IFERROR(__xludf.DUMMYFUNCTION("""COMPUTED_VALUE"""),1)</f>
        <v>1</v>
      </c>
      <c r="E6000" s="2">
        <f ca="1">IFERROR(__xludf.DUMMYFUNCTION("""COMPUTED_VALUE"""),1)</f>
        <v>1</v>
      </c>
    </row>
    <row r="6001" spans="1:5" ht="13">
      <c r="A6001" s="2" t="str">
        <f ca="1">IFERROR(__xludf.DUMMYFUNCTION("""COMPUTED_VALUE"""),"Nieweg, Clinton / Holmes, Drew")</f>
        <v>Nieweg, Clinton / Holmes, Drew</v>
      </c>
      <c r="B6001" s="3">
        <f ca="1">IFERROR(__xludf.DUMMYFUNCTION("""COMPUTED_VALUE"""),1)</f>
        <v>1</v>
      </c>
      <c r="C6001" s="7">
        <f ca="1">IFERROR(__xludf.DUMMYFUNCTION("""COMPUTED_VALUE"""),1)</f>
        <v>1</v>
      </c>
      <c r="D6001" s="8">
        <f ca="1">IFERROR(__xludf.DUMMYFUNCTION("""COMPUTED_VALUE"""),1)</f>
        <v>1</v>
      </c>
      <c r="E6001" s="2">
        <f ca="1">IFERROR(__xludf.DUMMYFUNCTION("""COMPUTED_VALUE"""),1)</f>
        <v>1</v>
      </c>
    </row>
    <row r="6002" spans="1:5" ht="13">
      <c r="A6002" s="8" t="str">
        <f ca="1">IFERROR(__xludf.DUMMYFUNCTION("""COMPUTED_VALUE"""),"Nijs, Johan")</f>
        <v>Nijs, Johan</v>
      </c>
      <c r="B6002" s="3">
        <f ca="1">IFERROR(__xludf.DUMMYFUNCTION("""COMPUTED_VALUE"""),1)</f>
        <v>1</v>
      </c>
      <c r="C6002" s="7">
        <f ca="1">IFERROR(__xludf.DUMMYFUNCTION("""COMPUTED_VALUE"""),1)</f>
        <v>1</v>
      </c>
      <c r="D6002" s="8">
        <f ca="1">IFERROR(__xludf.DUMMYFUNCTION("""COMPUTED_VALUE"""),1)</f>
        <v>1</v>
      </c>
      <c r="E6002" s="2">
        <f ca="1">IFERROR(__xludf.DUMMYFUNCTION("""COMPUTED_VALUE"""),1)</f>
        <v>1</v>
      </c>
    </row>
    <row r="6003" spans="1:5" ht="13">
      <c r="A6003" s="2" t="str">
        <f ca="1">IFERROR(__xludf.DUMMYFUNCTION("""COMPUTED_VALUE"""),"Nikodijevic, Marko")</f>
        <v>Nikodijevic, Marko</v>
      </c>
      <c r="B6003" s="3">
        <f ca="1">IFERROR(__xludf.DUMMYFUNCTION("""COMPUTED_VALUE"""),1)</f>
        <v>1</v>
      </c>
      <c r="C6003" s="7">
        <f ca="1">IFERROR(__xludf.DUMMYFUNCTION("""COMPUTED_VALUE"""),1)</f>
        <v>1</v>
      </c>
      <c r="D6003" s="8">
        <f ca="1">IFERROR(__xludf.DUMMYFUNCTION("""COMPUTED_VALUE"""),1)</f>
        <v>1</v>
      </c>
      <c r="E6003" s="2">
        <f ca="1">IFERROR(__xludf.DUMMYFUNCTION("""COMPUTED_VALUE"""),1)</f>
        <v>1</v>
      </c>
    </row>
    <row r="6004" spans="1:5" ht="13">
      <c r="A6004" s="2" t="str">
        <f ca="1">IFERROR(__xludf.DUMMYFUNCTION("""COMPUTED_VALUE"""),"Nikolaev, Vladimir")</f>
        <v>Nikolaev, Vladimir</v>
      </c>
      <c r="B6004" s="3">
        <f ca="1">IFERROR(__xludf.DUMMYFUNCTION("""COMPUTED_VALUE"""),1)</f>
        <v>1</v>
      </c>
      <c r="C6004" s="7">
        <f ca="1">IFERROR(__xludf.DUMMYFUNCTION("""COMPUTED_VALUE"""),1)</f>
        <v>1</v>
      </c>
      <c r="D6004" s="8">
        <f ca="1">IFERROR(__xludf.DUMMYFUNCTION("""COMPUTED_VALUE"""),1)</f>
        <v>1</v>
      </c>
      <c r="E6004" s="2">
        <f ca="1">IFERROR(__xludf.DUMMYFUNCTION("""COMPUTED_VALUE"""),1)</f>
        <v>1</v>
      </c>
    </row>
    <row r="6005" spans="1:5" ht="13">
      <c r="A6005" s="2" t="str">
        <f ca="1">IFERROR(__xludf.DUMMYFUNCTION("""COMPUTED_VALUE"""),"Niles, John")</f>
        <v>Niles, John</v>
      </c>
      <c r="B6005" s="3">
        <f ca="1">IFERROR(__xludf.DUMMYFUNCTION("""COMPUTED_VALUE"""),1)</f>
        <v>1</v>
      </c>
      <c r="C6005" s="7">
        <f ca="1">IFERROR(__xludf.DUMMYFUNCTION("""COMPUTED_VALUE"""),1)</f>
        <v>1</v>
      </c>
      <c r="D6005" s="8">
        <f ca="1">IFERROR(__xludf.DUMMYFUNCTION("""COMPUTED_VALUE"""),5)</f>
        <v>5</v>
      </c>
      <c r="E6005" s="2">
        <f ca="1">IFERROR(__xludf.DUMMYFUNCTION("""COMPUTED_VALUE"""),2)</f>
        <v>2</v>
      </c>
    </row>
    <row r="6006" spans="1:5" ht="13">
      <c r="A6006" s="2" t="str">
        <f ca="1">IFERROR(__xludf.DUMMYFUNCTION("""COMPUTED_VALUE"""),"Niles, John Jacob")</f>
        <v>Niles, John Jacob</v>
      </c>
      <c r="B6006" s="3">
        <f ca="1">IFERROR(__xludf.DUMMYFUNCTION("""COMPUTED_VALUE"""),1)</f>
        <v>1</v>
      </c>
      <c r="C6006" s="7">
        <f ca="1">IFERROR(__xludf.DUMMYFUNCTION("""COMPUTED_VALUE"""),1)</f>
        <v>1</v>
      </c>
      <c r="D6006" s="8">
        <f ca="1">IFERROR(__xludf.DUMMYFUNCTION("""COMPUTED_VALUE"""),5)</f>
        <v>5</v>
      </c>
      <c r="E6006" s="2">
        <f ca="1">IFERROR(__xludf.DUMMYFUNCTION("""COMPUTED_VALUE"""),2)</f>
        <v>2</v>
      </c>
    </row>
    <row r="6007" spans="1:5" ht="13">
      <c r="A6007" s="2" t="str">
        <f ca="1">IFERROR(__xludf.DUMMYFUNCTION("""COMPUTED_VALUE"""),"Nin-Culmell, Joaquin")</f>
        <v>Nin-Culmell, Joaquin</v>
      </c>
      <c r="B6007" s="3">
        <f ca="1">IFERROR(__xludf.DUMMYFUNCTION("""COMPUTED_VALUE"""),1)</f>
        <v>1</v>
      </c>
      <c r="C6007" s="7">
        <f ca="1">IFERROR(__xludf.DUMMYFUNCTION("""COMPUTED_VALUE"""),1)</f>
        <v>1</v>
      </c>
      <c r="D6007" s="8">
        <f ca="1">IFERROR(__xludf.DUMMYFUNCTION("""COMPUTED_VALUE"""),5)</f>
        <v>5</v>
      </c>
      <c r="E6007" s="2">
        <f ca="1">IFERROR(__xludf.DUMMYFUNCTION("""COMPUTED_VALUE"""),2)</f>
        <v>2</v>
      </c>
    </row>
    <row r="6008" spans="1:5" ht="13">
      <c r="A6008" s="2" t="str">
        <f ca="1">IFERROR(__xludf.DUMMYFUNCTION("""COMPUTED_VALUE"""),"Ninmer, Scott")</f>
        <v>Ninmer, Scott</v>
      </c>
      <c r="B6008" s="3">
        <f ca="1">IFERROR(__xludf.DUMMYFUNCTION("""COMPUTED_VALUE"""),1)</f>
        <v>1</v>
      </c>
      <c r="C6008" s="7">
        <f ca="1">IFERROR(__xludf.DUMMYFUNCTION("""COMPUTED_VALUE"""),1)</f>
        <v>1</v>
      </c>
      <c r="D6008" s="8">
        <f ca="1">IFERROR(__xludf.DUMMYFUNCTION("""COMPUTED_VALUE"""),1)</f>
        <v>1</v>
      </c>
      <c r="E6008" s="2">
        <f ca="1">IFERROR(__xludf.DUMMYFUNCTION("""COMPUTED_VALUE"""),1)</f>
        <v>1</v>
      </c>
    </row>
    <row r="6009" spans="1:5" ht="13">
      <c r="A6009" s="2" t="str">
        <f ca="1">IFERROR(__xludf.DUMMYFUNCTION("""COMPUTED_VALUE"""),"Ninmer, Ssgt. Scott")</f>
        <v>Ninmer, Ssgt. Scott</v>
      </c>
      <c r="B6009" s="3">
        <f ca="1">IFERROR(__xludf.DUMMYFUNCTION("""COMPUTED_VALUE"""),1)</f>
        <v>1</v>
      </c>
      <c r="C6009" s="7">
        <f ca="1">IFERROR(__xludf.DUMMYFUNCTION("""COMPUTED_VALUE"""),1)</f>
        <v>1</v>
      </c>
      <c r="D6009" s="8">
        <f ca="1">IFERROR(__xludf.DUMMYFUNCTION("""COMPUTED_VALUE"""),1)</f>
        <v>1</v>
      </c>
      <c r="E6009" s="2">
        <f ca="1">IFERROR(__xludf.DUMMYFUNCTION("""COMPUTED_VALUE"""),1)</f>
        <v>1</v>
      </c>
    </row>
    <row r="6010" spans="1:5" ht="13">
      <c r="A6010" s="2" t="str">
        <f ca="1">IFERROR(__xludf.DUMMYFUNCTION("""COMPUTED_VALUE"""),"Nisonen, Heikkie")</f>
        <v>Nisonen, Heikkie</v>
      </c>
      <c r="B6010" s="3">
        <f ca="1">IFERROR(__xludf.DUMMYFUNCTION("""COMPUTED_VALUE"""),1)</f>
        <v>1</v>
      </c>
      <c r="C6010" s="7">
        <f ca="1">IFERROR(__xludf.DUMMYFUNCTION("""COMPUTED_VALUE"""),1)</f>
        <v>1</v>
      </c>
      <c r="D6010" s="8">
        <f ca="1">IFERROR(__xludf.DUMMYFUNCTION("""COMPUTED_VALUE"""),5)</f>
        <v>5</v>
      </c>
      <c r="E6010" s="2">
        <f ca="1">IFERROR(__xludf.DUMMYFUNCTION("""COMPUTED_VALUE"""),2)</f>
        <v>2</v>
      </c>
    </row>
    <row r="6011" spans="1:5" ht="13">
      <c r="A6011" s="2" t="str">
        <f ca="1">IFERROR(__xludf.DUMMYFUNCTION("""COMPUTED_VALUE"""),"Nitsch, Jason K.")</f>
        <v>Nitsch, Jason K.</v>
      </c>
      <c r="B6011" s="3">
        <f ca="1">IFERROR(__xludf.DUMMYFUNCTION("""COMPUTED_VALUE"""),1)</f>
        <v>1</v>
      </c>
      <c r="C6011" s="7">
        <f ca="1">IFERROR(__xludf.DUMMYFUNCTION("""COMPUTED_VALUE"""),1)</f>
        <v>1</v>
      </c>
      <c r="D6011" s="8">
        <f ca="1">IFERROR(__xludf.DUMMYFUNCTION("""COMPUTED_VALUE"""),1)</f>
        <v>1</v>
      </c>
      <c r="E6011" s="2">
        <f ca="1">IFERROR(__xludf.DUMMYFUNCTION("""COMPUTED_VALUE"""),1)</f>
        <v>1</v>
      </c>
    </row>
    <row r="6012" spans="1:5" ht="13">
      <c r="A6012" s="2" t="str">
        <f ca="1">IFERROR(__xludf.DUMMYFUNCTION("""COMPUTED_VALUE"""),"Nix, Brad")</f>
        <v>Nix, Brad</v>
      </c>
      <c r="B6012" s="3">
        <f ca="1">IFERROR(__xludf.DUMMYFUNCTION("""COMPUTED_VALUE"""),1)</f>
        <v>1</v>
      </c>
      <c r="C6012" s="7">
        <f ca="1">IFERROR(__xludf.DUMMYFUNCTION("""COMPUTED_VALUE"""),1)</f>
        <v>1</v>
      </c>
      <c r="D6012" s="8">
        <f ca="1">IFERROR(__xludf.DUMMYFUNCTION("""COMPUTED_VALUE"""),1)</f>
        <v>1</v>
      </c>
      <c r="E6012" s="2">
        <f ca="1">IFERROR(__xludf.DUMMYFUNCTION("""COMPUTED_VALUE"""),1)</f>
        <v>1</v>
      </c>
    </row>
    <row r="6013" spans="1:5" ht="13">
      <c r="A6013" s="2" t="str">
        <f ca="1">IFERROR(__xludf.DUMMYFUNCTION("""COMPUTED_VALUE"""),"Nixon, Roger")</f>
        <v>Nixon, Roger</v>
      </c>
      <c r="B6013" s="3">
        <f ca="1">IFERROR(__xludf.DUMMYFUNCTION("""COMPUTED_VALUE"""),1)</f>
        <v>1</v>
      </c>
      <c r="C6013" s="7">
        <f ca="1">IFERROR(__xludf.DUMMYFUNCTION("""COMPUTED_VALUE"""),1)</f>
        <v>1</v>
      </c>
      <c r="D6013" s="8">
        <f ca="1">IFERROR(__xludf.DUMMYFUNCTION("""COMPUTED_VALUE"""),1)</f>
        <v>1</v>
      </c>
      <c r="E6013" s="2">
        <f ca="1">IFERROR(__xludf.DUMMYFUNCTION("""COMPUTED_VALUE"""),1)</f>
        <v>1</v>
      </c>
    </row>
    <row r="6014" spans="1:5" ht="13">
      <c r="A6014" s="2" t="str">
        <f ca="1">IFERROR(__xludf.DUMMYFUNCTION("""COMPUTED_VALUE"""),"Noble, Clifton")</f>
        <v>Noble, Clifton</v>
      </c>
      <c r="B6014" s="2">
        <f ca="1">IFERROR(__xludf.DUMMYFUNCTION("""COMPUTED_VALUE"""),1)</f>
        <v>1</v>
      </c>
      <c r="C6014" s="7">
        <f ca="1">IFERROR(__xludf.DUMMYFUNCTION("""COMPUTED_VALUE"""),1)</f>
        <v>1</v>
      </c>
      <c r="D6014" s="8">
        <f ca="1">IFERROR(__xludf.DUMMYFUNCTION("""COMPUTED_VALUE"""),1)</f>
        <v>1</v>
      </c>
      <c r="E6014" s="2">
        <f ca="1">IFERROR(__xludf.DUMMYFUNCTION("""COMPUTED_VALUE"""),1)</f>
        <v>1</v>
      </c>
    </row>
    <row r="6015" spans="1:5" ht="13">
      <c r="A6015" s="2" t="str">
        <f ca="1">IFERROR(__xludf.DUMMYFUNCTION("""COMPUTED_VALUE"""),"Noble, Paul")</f>
        <v>Noble, Paul</v>
      </c>
      <c r="B6015" s="3">
        <f ca="1">IFERROR(__xludf.DUMMYFUNCTION("""COMPUTED_VALUE"""),1)</f>
        <v>1</v>
      </c>
      <c r="C6015" s="7">
        <f ca="1">IFERROR(__xludf.DUMMYFUNCTION("""COMPUTED_VALUE"""),1)</f>
        <v>1</v>
      </c>
      <c r="D6015" s="8">
        <f ca="1">IFERROR(__xludf.DUMMYFUNCTION("""COMPUTED_VALUE"""),1)</f>
        <v>1</v>
      </c>
      <c r="E6015" s="2">
        <f ca="1">IFERROR(__xludf.DUMMYFUNCTION("""COMPUTED_VALUE"""),1)</f>
        <v>1</v>
      </c>
    </row>
    <row r="6016" spans="1:5" ht="13">
      <c r="A6016" s="2" t="str">
        <f ca="1">IFERROR(__xludf.DUMMYFUNCTION("""COMPUTED_VALUE"""),"Noble, Ray")</f>
        <v>Noble, Ray</v>
      </c>
      <c r="B6016" s="2">
        <f ca="1">IFERROR(__xludf.DUMMYFUNCTION("""COMPUTED_VALUE"""),1)</f>
        <v>1</v>
      </c>
      <c r="C6016" s="7">
        <f ca="1">IFERROR(__xludf.DUMMYFUNCTION("""COMPUTED_VALUE"""),1)</f>
        <v>1</v>
      </c>
      <c r="D6016" s="8">
        <f ca="1">IFERROR(__xludf.DUMMYFUNCTION("""COMPUTED_VALUE"""),5)</f>
        <v>5</v>
      </c>
      <c r="E6016" s="2">
        <f ca="1">IFERROR(__xludf.DUMMYFUNCTION("""COMPUTED_VALUE"""),2)</f>
        <v>2</v>
      </c>
    </row>
    <row r="6017" spans="1:5" ht="13">
      <c r="A6017" s="2" t="str">
        <f ca="1">IFERROR(__xludf.DUMMYFUNCTION("""COMPUTED_VALUE"""),"Nobles, Jordan")</f>
        <v>Nobles, Jordan</v>
      </c>
      <c r="B6017" s="3">
        <f ca="1">IFERROR(__xludf.DUMMYFUNCTION("""COMPUTED_VALUE"""),1)</f>
        <v>1</v>
      </c>
      <c r="C6017" s="7">
        <f ca="1">IFERROR(__xludf.DUMMYFUNCTION("""COMPUTED_VALUE"""),1)</f>
        <v>1</v>
      </c>
      <c r="D6017" s="8">
        <f ca="1">IFERROR(__xludf.DUMMYFUNCTION("""COMPUTED_VALUE"""),1)</f>
        <v>1</v>
      </c>
      <c r="E6017" s="2">
        <f ca="1">IFERROR(__xludf.DUMMYFUNCTION("""COMPUTED_VALUE"""),1)</f>
        <v>1</v>
      </c>
    </row>
    <row r="6018" spans="1:5" ht="13">
      <c r="A6018" s="2" t="str">
        <f ca="1">IFERROR(__xludf.DUMMYFUNCTION("""COMPUTED_VALUE"""),"Noblett, Jody")</f>
        <v>Noblett, Jody</v>
      </c>
      <c r="B6018" s="3">
        <f ca="1">IFERROR(__xludf.DUMMYFUNCTION("""COMPUTED_VALUE"""),1)</f>
        <v>1</v>
      </c>
      <c r="C6018" s="7">
        <f ca="1">IFERROR(__xludf.DUMMYFUNCTION("""COMPUTED_VALUE"""),1)</f>
        <v>1</v>
      </c>
      <c r="D6018" s="8">
        <f ca="1">IFERROR(__xludf.DUMMYFUNCTION("""COMPUTED_VALUE"""),1)</f>
        <v>1</v>
      </c>
      <c r="E6018" s="2">
        <f ca="1">IFERROR(__xludf.DUMMYFUNCTION("""COMPUTED_VALUE"""),1)</f>
        <v>1</v>
      </c>
    </row>
    <row r="6019" spans="1:5" ht="13">
      <c r="A6019" s="2" t="str">
        <f ca="1">IFERROR(__xludf.DUMMYFUNCTION("""COMPUTED_VALUE"""),"Nocentelli, Leo / Modeliste, Joseph / Neville, Arthur / Porter, George")</f>
        <v>Nocentelli, Leo / Modeliste, Joseph / Neville, Arthur / Porter, George</v>
      </c>
      <c r="B6019" s="3">
        <f ca="1">IFERROR(__xludf.DUMMYFUNCTION("""COMPUTED_VALUE"""),1)</f>
        <v>1</v>
      </c>
      <c r="C6019" s="7">
        <f ca="1">IFERROR(__xludf.DUMMYFUNCTION("""COMPUTED_VALUE"""),1)</f>
        <v>1</v>
      </c>
      <c r="D6019" s="8">
        <f ca="1">IFERROR(__xludf.DUMMYFUNCTION("""COMPUTED_VALUE"""),1)</f>
        <v>1</v>
      </c>
      <c r="E6019" s="2">
        <f ca="1">IFERROR(__xludf.DUMMYFUNCTION("""COMPUTED_VALUE"""),1)</f>
        <v>1</v>
      </c>
    </row>
    <row r="6020" spans="1:5" ht="13">
      <c r="A6020" s="2" t="str">
        <f ca="1">IFERROR(__xludf.DUMMYFUNCTION("""COMPUTED_VALUE"""),"Noë, Aaron")</f>
        <v>Noë, Aaron</v>
      </c>
      <c r="B6020" s="3">
        <f ca="1">IFERROR(__xludf.DUMMYFUNCTION("""COMPUTED_VALUE"""),1)</f>
        <v>1</v>
      </c>
      <c r="C6020" s="7">
        <f ca="1">IFERROR(__xludf.DUMMYFUNCTION("""COMPUTED_VALUE"""),1)</f>
        <v>1</v>
      </c>
      <c r="D6020" s="8">
        <f ca="1">IFERROR(__xludf.DUMMYFUNCTION("""COMPUTED_VALUE"""),1)</f>
        <v>1</v>
      </c>
      <c r="E6020" s="2">
        <f ca="1">IFERROR(__xludf.DUMMYFUNCTION("""COMPUTED_VALUE"""),1)</f>
        <v>1</v>
      </c>
    </row>
    <row r="6021" spans="1:5" ht="13">
      <c r="A6021" s="2" t="str">
        <f ca="1">IFERROR(__xludf.DUMMYFUNCTION("""COMPUTED_VALUE"""),"Noor, Thomas Shabda (aka Thomas Wirtel)")</f>
        <v>Noor, Thomas Shabda (aka Thomas Wirtel)</v>
      </c>
      <c r="B6021" s="2">
        <f ca="1">IFERROR(__xludf.DUMMYFUNCTION("""COMPUTED_VALUE"""),1)</f>
        <v>1</v>
      </c>
      <c r="C6021" s="7">
        <f ca="1">IFERROR(__xludf.DUMMYFUNCTION("""COMPUTED_VALUE"""),1)</f>
        <v>1</v>
      </c>
      <c r="D6021" s="8">
        <f ca="1">IFERROR(__xludf.DUMMYFUNCTION("""COMPUTED_VALUE"""),5)</f>
        <v>5</v>
      </c>
      <c r="E6021" s="2">
        <f ca="1">IFERROR(__xludf.DUMMYFUNCTION("""COMPUTED_VALUE"""),2)</f>
        <v>2</v>
      </c>
    </row>
    <row r="6022" spans="1:5" ht="13">
      <c r="A6022" s="8" t="str">
        <f ca="1">IFERROR(__xludf.DUMMYFUNCTION("""COMPUTED_VALUE"""),"Nordgren, Pehr")</f>
        <v>Nordgren, Pehr</v>
      </c>
      <c r="B6022" s="3">
        <f ca="1">IFERROR(__xludf.DUMMYFUNCTION("""COMPUTED_VALUE"""),1)</f>
        <v>1</v>
      </c>
      <c r="C6022" s="7">
        <f ca="1">IFERROR(__xludf.DUMMYFUNCTION("""COMPUTED_VALUE"""),1)</f>
        <v>1</v>
      </c>
      <c r="D6022" s="8">
        <f ca="1">IFERROR(__xludf.DUMMYFUNCTION("""COMPUTED_VALUE"""),5)</f>
        <v>5</v>
      </c>
      <c r="E6022" s="2">
        <f ca="1">IFERROR(__xludf.DUMMYFUNCTION("""COMPUTED_VALUE"""),2)</f>
        <v>2</v>
      </c>
    </row>
    <row r="6023" spans="1:5" ht="13">
      <c r="A6023" s="2" t="str">
        <f ca="1">IFERROR(__xludf.DUMMYFUNCTION("""COMPUTED_VALUE"""),"Nordin, Jesper")</f>
        <v>Nordin, Jesper</v>
      </c>
      <c r="B6023" s="3">
        <f ca="1">IFERROR(__xludf.DUMMYFUNCTION("""COMPUTED_VALUE"""),1)</f>
        <v>1</v>
      </c>
      <c r="C6023" s="7">
        <f ca="1">IFERROR(__xludf.DUMMYFUNCTION("""COMPUTED_VALUE"""),1)</f>
        <v>1</v>
      </c>
      <c r="D6023" s="8">
        <f ca="1">IFERROR(__xludf.DUMMYFUNCTION("""COMPUTED_VALUE"""),1)</f>
        <v>1</v>
      </c>
      <c r="E6023" s="2">
        <f ca="1">IFERROR(__xludf.DUMMYFUNCTION("""COMPUTED_VALUE"""),1)</f>
        <v>1</v>
      </c>
    </row>
    <row r="6024" spans="1:5" ht="13">
      <c r="A6024" s="2" t="str">
        <f ca="1">IFERROR(__xludf.DUMMYFUNCTION("""COMPUTED_VALUE"""),"Norgaard, Martin")</f>
        <v>Norgaard, Martin</v>
      </c>
      <c r="B6024" s="3">
        <f ca="1">IFERROR(__xludf.DUMMYFUNCTION("""COMPUTED_VALUE"""),1)</f>
        <v>1</v>
      </c>
      <c r="C6024" s="7">
        <f ca="1">IFERROR(__xludf.DUMMYFUNCTION("""COMPUTED_VALUE"""),1)</f>
        <v>1</v>
      </c>
      <c r="D6024" s="8">
        <f ca="1">IFERROR(__xludf.DUMMYFUNCTION("""COMPUTED_VALUE"""),1)</f>
        <v>1</v>
      </c>
      <c r="E6024" s="2">
        <f ca="1">IFERROR(__xludf.DUMMYFUNCTION("""COMPUTED_VALUE"""),1)</f>
        <v>1</v>
      </c>
    </row>
    <row r="6025" spans="1:5" ht="13">
      <c r="A6025" s="2" t="str">
        <f ca="1">IFERROR(__xludf.DUMMYFUNCTION("""COMPUTED_VALUE"""),"Nørgård, Per")</f>
        <v>Nørgård, Per</v>
      </c>
      <c r="B6025" s="3">
        <f ca="1">IFERROR(__xludf.DUMMYFUNCTION("""COMPUTED_VALUE"""),1)</f>
        <v>1</v>
      </c>
      <c r="C6025" s="7">
        <f ca="1">IFERROR(__xludf.DUMMYFUNCTION("""COMPUTED_VALUE"""),1)</f>
        <v>1</v>
      </c>
      <c r="D6025" s="8">
        <f ca="1">IFERROR(__xludf.DUMMYFUNCTION("""COMPUTED_VALUE"""),1)</f>
        <v>1</v>
      </c>
      <c r="E6025" s="2">
        <f ca="1">IFERROR(__xludf.DUMMYFUNCTION("""COMPUTED_VALUE"""),1)</f>
        <v>1</v>
      </c>
    </row>
    <row r="6026" spans="1:5" ht="13">
      <c r="A6026" s="2" t="str">
        <f ca="1">IFERROR(__xludf.DUMMYFUNCTION("""COMPUTED_VALUE"""),"Norman, Andrew")</f>
        <v>Norman, Andrew</v>
      </c>
      <c r="B6026" s="3">
        <f ca="1">IFERROR(__xludf.DUMMYFUNCTION("""COMPUTED_VALUE"""),1)</f>
        <v>1</v>
      </c>
      <c r="C6026" s="7">
        <f ca="1">IFERROR(__xludf.DUMMYFUNCTION("""COMPUTED_VALUE"""),1)</f>
        <v>1</v>
      </c>
      <c r="D6026" s="8">
        <f ca="1">IFERROR(__xludf.DUMMYFUNCTION("""COMPUTED_VALUE"""),1)</f>
        <v>1</v>
      </c>
      <c r="E6026" s="2">
        <f ca="1">IFERROR(__xludf.DUMMYFUNCTION("""COMPUTED_VALUE"""),1)</f>
        <v>1</v>
      </c>
    </row>
    <row r="6027" spans="1:5" ht="13">
      <c r="A6027" s="2" t="str">
        <f ca="1">IFERROR(__xludf.DUMMYFUNCTION("""COMPUTED_VALUE"""),"Norman, Vince")</f>
        <v>Norman, Vince</v>
      </c>
      <c r="B6027" s="3">
        <f ca="1">IFERROR(__xludf.DUMMYFUNCTION("""COMPUTED_VALUE"""),1)</f>
        <v>1</v>
      </c>
      <c r="C6027" s="7">
        <f ca="1">IFERROR(__xludf.DUMMYFUNCTION("""COMPUTED_VALUE"""),1)</f>
        <v>1</v>
      </c>
      <c r="D6027" s="8">
        <f ca="1">IFERROR(__xludf.DUMMYFUNCTION("""COMPUTED_VALUE"""),1)</f>
        <v>1</v>
      </c>
      <c r="E6027" s="2">
        <f ca="1">IFERROR(__xludf.DUMMYFUNCTION("""COMPUTED_VALUE"""),1)</f>
        <v>1</v>
      </c>
    </row>
    <row r="6028" spans="1:5" ht="13">
      <c r="A6028" s="2" t="str">
        <f ca="1">IFERROR(__xludf.DUMMYFUNCTION("""COMPUTED_VALUE"""),"Norona, David / Whitacre, Eric")</f>
        <v>Norona, David / Whitacre, Eric</v>
      </c>
      <c r="B6028" s="3">
        <f ca="1">IFERROR(__xludf.DUMMYFUNCTION("""COMPUTED_VALUE"""),1)</f>
        <v>1</v>
      </c>
      <c r="C6028" s="7">
        <f ca="1">IFERROR(__xludf.DUMMYFUNCTION("""COMPUTED_VALUE"""),1)</f>
        <v>1</v>
      </c>
      <c r="D6028" s="8">
        <f ca="1">IFERROR(__xludf.DUMMYFUNCTION("""COMPUTED_VALUE"""),1)</f>
        <v>1</v>
      </c>
      <c r="E6028" s="2">
        <f ca="1">IFERROR(__xludf.DUMMYFUNCTION("""COMPUTED_VALUE"""),1)</f>
        <v>1</v>
      </c>
    </row>
    <row r="6029" spans="1:5" ht="13">
      <c r="A6029" s="2" t="str">
        <f ca="1">IFERROR(__xludf.DUMMYFUNCTION("""COMPUTED_VALUE"""),"Norred, Larry")</f>
        <v>Norred, Larry</v>
      </c>
      <c r="B6029" s="3">
        <f ca="1">IFERROR(__xludf.DUMMYFUNCTION("""COMPUTED_VALUE"""),1)</f>
        <v>1</v>
      </c>
      <c r="C6029" s="7">
        <f ca="1">IFERROR(__xludf.DUMMYFUNCTION("""COMPUTED_VALUE"""),1)</f>
        <v>1</v>
      </c>
      <c r="D6029" s="8">
        <f ca="1">IFERROR(__xludf.DUMMYFUNCTION("""COMPUTED_VALUE"""),1)</f>
        <v>1</v>
      </c>
      <c r="E6029" s="2">
        <f ca="1">IFERROR(__xludf.DUMMYFUNCTION("""COMPUTED_VALUE"""),1)</f>
        <v>1</v>
      </c>
    </row>
    <row r="6030" spans="1:5" ht="13">
      <c r="A6030" s="2" t="str">
        <f ca="1">IFERROR(__xludf.DUMMYFUNCTION("""COMPUTED_VALUE"""),"Norris, Charles Dean")</f>
        <v>Norris, Charles Dean</v>
      </c>
      <c r="B6030" s="3">
        <f ca="1">IFERROR(__xludf.DUMMYFUNCTION("""COMPUTED_VALUE"""),1)</f>
        <v>1</v>
      </c>
      <c r="C6030" s="7">
        <f ca="1">IFERROR(__xludf.DUMMYFUNCTION("""COMPUTED_VALUE"""),1)</f>
        <v>1</v>
      </c>
      <c r="D6030" s="8">
        <f ca="1">IFERROR(__xludf.DUMMYFUNCTION("""COMPUTED_VALUE"""),1)</f>
        <v>1</v>
      </c>
      <c r="E6030" s="2">
        <f ca="1">IFERROR(__xludf.DUMMYFUNCTION("""COMPUTED_VALUE"""),1)</f>
        <v>1</v>
      </c>
    </row>
    <row r="6031" spans="1:5" ht="13">
      <c r="A6031" s="2" t="str">
        <f ca="1">IFERROR(__xludf.DUMMYFUNCTION("""COMPUTED_VALUE"""),"Norris, J. Reese")</f>
        <v>Norris, J. Reese</v>
      </c>
      <c r="B6031" s="2">
        <f ca="1">IFERROR(__xludf.DUMMYFUNCTION("""COMPUTED_VALUE"""),1)</f>
        <v>1</v>
      </c>
      <c r="C6031" s="7">
        <f ca="1">IFERROR(__xludf.DUMMYFUNCTION("""COMPUTED_VALUE"""),1)</f>
        <v>1</v>
      </c>
      <c r="D6031" s="8">
        <f ca="1">IFERROR(__xludf.DUMMYFUNCTION("""COMPUTED_VALUE"""),1)</f>
        <v>1</v>
      </c>
      <c r="E6031" s="2">
        <f ca="1">IFERROR(__xludf.DUMMYFUNCTION("""COMPUTED_VALUE"""),1)</f>
        <v>1</v>
      </c>
    </row>
    <row r="6032" spans="1:5" ht="13">
      <c r="A6032" s="2" t="str">
        <f ca="1">IFERROR(__xludf.DUMMYFUNCTION("""COMPUTED_VALUE"""),"Norris, Philip")</f>
        <v>Norris, Philip</v>
      </c>
      <c r="B6032" s="2">
        <f ca="1">IFERROR(__xludf.DUMMYFUNCTION("""COMPUTED_VALUE"""),1)</f>
        <v>1</v>
      </c>
      <c r="C6032" s="7">
        <f ca="1">IFERROR(__xludf.DUMMYFUNCTION("""COMPUTED_VALUE"""),1)</f>
        <v>1</v>
      </c>
      <c r="D6032" s="8">
        <f ca="1">IFERROR(__xludf.DUMMYFUNCTION("""COMPUTED_VALUE"""),1)</f>
        <v>1</v>
      </c>
      <c r="E6032" s="2">
        <f ca="1">IFERROR(__xludf.DUMMYFUNCTION("""COMPUTED_VALUE"""),1)</f>
        <v>1</v>
      </c>
    </row>
    <row r="6033" spans="1:5" ht="13">
      <c r="A6033" s="2" t="str">
        <f ca="1">IFERROR(__xludf.DUMMYFUNCTION("""COMPUTED_VALUE"""),"Norris, Thomas")</f>
        <v>Norris, Thomas</v>
      </c>
      <c r="B6033" s="3">
        <f ca="1">IFERROR(__xludf.DUMMYFUNCTION("""COMPUTED_VALUE"""),1)</f>
        <v>1</v>
      </c>
      <c r="C6033" s="7">
        <f ca="1">IFERROR(__xludf.DUMMYFUNCTION("""COMPUTED_VALUE"""),1)</f>
        <v>1</v>
      </c>
      <c r="D6033" s="8">
        <f ca="1">IFERROR(__xludf.DUMMYFUNCTION("""COMPUTED_VALUE"""),5)</f>
        <v>5</v>
      </c>
      <c r="E6033" s="2">
        <f ca="1">IFERROR(__xludf.DUMMYFUNCTION("""COMPUTED_VALUE"""),2)</f>
        <v>2</v>
      </c>
    </row>
    <row r="6034" spans="1:5" ht="13">
      <c r="A6034" s="8" t="str">
        <f ca="1">IFERROR(__xludf.DUMMYFUNCTION("""COMPUTED_VALUE"""),"North, Alex")</f>
        <v>North, Alex</v>
      </c>
      <c r="B6034" s="3">
        <f ca="1">IFERROR(__xludf.DUMMYFUNCTION("""COMPUTED_VALUE"""),1)</f>
        <v>1</v>
      </c>
      <c r="C6034" s="7">
        <f ca="1">IFERROR(__xludf.DUMMYFUNCTION("""COMPUTED_VALUE"""),1)</f>
        <v>1</v>
      </c>
      <c r="D6034" s="8">
        <f ca="1">IFERROR(__xludf.DUMMYFUNCTION("""COMPUTED_VALUE"""),5)</f>
        <v>5</v>
      </c>
      <c r="E6034" s="2">
        <f ca="1">IFERROR(__xludf.DUMMYFUNCTION("""COMPUTED_VALUE"""),2)</f>
        <v>2</v>
      </c>
    </row>
    <row r="6035" spans="1:5" ht="13">
      <c r="A6035" s="2" t="str">
        <f ca="1">IFERROR(__xludf.DUMMYFUNCTION("""COMPUTED_VALUE"""),"Norton, Christopher")</f>
        <v>Norton, Christopher</v>
      </c>
      <c r="B6035" s="3">
        <f ca="1">IFERROR(__xludf.DUMMYFUNCTION("""COMPUTED_VALUE"""),1)</f>
        <v>1</v>
      </c>
      <c r="C6035" s="7">
        <f ca="1">IFERROR(__xludf.DUMMYFUNCTION("""COMPUTED_VALUE"""),1)</f>
        <v>1</v>
      </c>
      <c r="D6035" s="8">
        <f ca="1">IFERROR(__xludf.DUMMYFUNCTION("""COMPUTED_VALUE"""),1)</f>
        <v>1</v>
      </c>
      <c r="E6035" s="2">
        <f ca="1">IFERROR(__xludf.DUMMYFUNCTION("""COMPUTED_VALUE"""),1)</f>
        <v>1</v>
      </c>
    </row>
    <row r="6036" spans="1:5" ht="13">
      <c r="A6036" s="2" t="str">
        <f ca="1">IFERROR(__xludf.DUMMYFUNCTION("""COMPUTED_VALUE"""),"Norworth, Jack")</f>
        <v>Norworth, Jack</v>
      </c>
      <c r="B6036" s="3">
        <f ca="1">IFERROR(__xludf.DUMMYFUNCTION("""COMPUTED_VALUE"""),1)</f>
        <v>1</v>
      </c>
      <c r="C6036" s="7">
        <f ca="1">IFERROR(__xludf.DUMMYFUNCTION("""COMPUTED_VALUE"""),1)</f>
        <v>1</v>
      </c>
      <c r="D6036" s="8">
        <f ca="1">IFERROR(__xludf.DUMMYFUNCTION("""COMPUTED_VALUE"""),5)</f>
        <v>5</v>
      </c>
      <c r="E6036" s="2">
        <f ca="1">IFERROR(__xludf.DUMMYFUNCTION("""COMPUTED_VALUE"""),2)</f>
        <v>2</v>
      </c>
    </row>
    <row r="6037" spans="1:5" ht="13">
      <c r="A6037" s="2" t="str">
        <f ca="1">IFERROR(__xludf.DUMMYFUNCTION("""COMPUTED_VALUE"""),"Norworth, Jack / Tilzer, Albert von")</f>
        <v>Norworth, Jack / Tilzer, Albert von</v>
      </c>
      <c r="B6037" s="2">
        <f ca="1">IFERROR(__xludf.DUMMYFUNCTION("""COMPUTED_VALUE"""),1)</f>
        <v>1</v>
      </c>
      <c r="C6037" s="7">
        <f ca="1">IFERROR(__xludf.DUMMYFUNCTION("""COMPUTED_VALUE"""),1)</f>
        <v>1</v>
      </c>
      <c r="D6037" s="8">
        <f ca="1">IFERROR(__xludf.DUMMYFUNCTION("""COMPUTED_VALUE"""),5)</f>
        <v>5</v>
      </c>
      <c r="E6037" s="2">
        <f ca="1">IFERROR(__xludf.DUMMYFUNCTION("""COMPUTED_VALUE"""),2)</f>
        <v>2</v>
      </c>
    </row>
    <row r="6038" spans="1:5" ht="13">
      <c r="A6038" s="2" t="str">
        <f ca="1">IFERROR(__xludf.DUMMYFUNCTION("""COMPUTED_VALUE"""),"Nossek, Colin I.")</f>
        <v>Nossek, Colin I.</v>
      </c>
      <c r="B6038" s="2">
        <f ca="1">IFERROR(__xludf.DUMMYFUNCTION("""COMPUTED_VALUE"""),1)</f>
        <v>1</v>
      </c>
      <c r="C6038" s="7">
        <f ca="1">IFERROR(__xludf.DUMMYFUNCTION("""COMPUTED_VALUE"""),1)</f>
        <v>1</v>
      </c>
      <c r="D6038" s="8">
        <f ca="1">IFERROR(__xludf.DUMMYFUNCTION("""COMPUTED_VALUE"""),1)</f>
        <v>1</v>
      </c>
      <c r="E6038" s="2">
        <f ca="1">IFERROR(__xludf.DUMMYFUNCTION("""COMPUTED_VALUE"""),1)</f>
        <v>1</v>
      </c>
    </row>
    <row r="6039" spans="1:5" ht="13">
      <c r="A6039" s="2" t="str">
        <f ca="1">IFERROR(__xludf.DUMMYFUNCTION("""COMPUTED_VALUE"""),"Nossek, Collin I.")</f>
        <v>Nossek, Collin I.</v>
      </c>
      <c r="B6039" s="3">
        <f ca="1">IFERROR(__xludf.DUMMYFUNCTION("""COMPUTED_VALUE"""),1)</f>
        <v>1</v>
      </c>
      <c r="C6039" s="7">
        <f ca="1">IFERROR(__xludf.DUMMYFUNCTION("""COMPUTED_VALUE"""),1)</f>
        <v>1</v>
      </c>
      <c r="D6039" s="8">
        <f ca="1">IFERROR(__xludf.DUMMYFUNCTION("""COMPUTED_VALUE"""),1)</f>
        <v>1</v>
      </c>
      <c r="E6039" s="2">
        <f ca="1">IFERROR(__xludf.DUMMYFUNCTION("""COMPUTED_VALUE"""),1)</f>
        <v>1</v>
      </c>
    </row>
    <row r="6040" spans="1:5" ht="13">
      <c r="A6040" s="2" t="str">
        <f ca="1">IFERROR(__xludf.DUMMYFUNCTION("""COMPUTED_VALUE"""),"Nott, Douglas")</f>
        <v>Nott, Douglas</v>
      </c>
      <c r="B6040" s="2">
        <f ca="1">IFERROR(__xludf.DUMMYFUNCTION("""COMPUTED_VALUE"""),1)</f>
        <v>1</v>
      </c>
      <c r="C6040" s="7">
        <f ca="1">IFERROR(__xludf.DUMMYFUNCTION("""COMPUTED_VALUE"""),1)</f>
        <v>1</v>
      </c>
      <c r="D6040" s="8">
        <f ca="1">IFERROR(__xludf.DUMMYFUNCTION("""COMPUTED_VALUE"""),5)</f>
        <v>5</v>
      </c>
      <c r="E6040" s="2">
        <f ca="1">IFERROR(__xludf.DUMMYFUNCTION("""COMPUTED_VALUE"""),2)</f>
        <v>2</v>
      </c>
    </row>
    <row r="6041" spans="1:5" ht="13">
      <c r="A6041" s="2" t="str">
        <f ca="1">IFERROR(__xludf.DUMMYFUNCTION("""COMPUTED_VALUE"""),"Nott, Julian")</f>
        <v>Nott, Julian</v>
      </c>
      <c r="B6041" s="3">
        <f ca="1">IFERROR(__xludf.DUMMYFUNCTION("""COMPUTED_VALUE"""),1)</f>
        <v>1</v>
      </c>
      <c r="C6041" s="7">
        <f ca="1">IFERROR(__xludf.DUMMYFUNCTION("""COMPUTED_VALUE"""),1)</f>
        <v>1</v>
      </c>
      <c r="D6041" s="8">
        <f ca="1">IFERROR(__xludf.DUMMYFUNCTION("""COMPUTED_VALUE"""),1)</f>
        <v>1</v>
      </c>
      <c r="E6041" s="2">
        <f ca="1">IFERROR(__xludf.DUMMYFUNCTION("""COMPUTED_VALUE"""),1)</f>
        <v>1</v>
      </c>
    </row>
    <row r="6042" spans="1:5" ht="13">
      <c r="A6042" s="2" t="str">
        <f ca="1">IFERROR(__xludf.DUMMYFUNCTION("""COMPUTED_VALUE"""),"Novacek, John")</f>
        <v>Novacek, John</v>
      </c>
      <c r="B6042" s="3">
        <f ca="1">IFERROR(__xludf.DUMMYFUNCTION("""COMPUTED_VALUE"""),1)</f>
        <v>1</v>
      </c>
      <c r="C6042" s="7">
        <f ca="1">IFERROR(__xludf.DUMMYFUNCTION("""COMPUTED_VALUE"""),1)</f>
        <v>1</v>
      </c>
      <c r="D6042" s="8">
        <f ca="1">IFERROR(__xludf.DUMMYFUNCTION("""COMPUTED_VALUE"""),1)</f>
        <v>1</v>
      </c>
      <c r="E6042" s="2">
        <f ca="1">IFERROR(__xludf.DUMMYFUNCTION("""COMPUTED_VALUE"""),1)</f>
        <v>1</v>
      </c>
    </row>
    <row r="6043" spans="1:5" ht="13">
      <c r="A6043" s="2" t="str">
        <f ca="1">IFERROR(__xludf.DUMMYFUNCTION("""COMPUTED_VALUE"""),"Novacek, Ottokar")</f>
        <v>Novacek, Ottokar</v>
      </c>
      <c r="B6043" s="3">
        <f ca="1">IFERROR(__xludf.DUMMYFUNCTION("""COMPUTED_VALUE"""),1)</f>
        <v>1</v>
      </c>
      <c r="C6043" s="7">
        <f ca="1">IFERROR(__xludf.DUMMYFUNCTION("""COMPUTED_VALUE"""),1)</f>
        <v>1</v>
      </c>
      <c r="D6043" s="8">
        <f ca="1">IFERROR(__xludf.DUMMYFUNCTION("""COMPUTED_VALUE"""),5)</f>
        <v>5</v>
      </c>
      <c r="E6043" s="2">
        <f ca="1">IFERROR(__xludf.DUMMYFUNCTION("""COMPUTED_VALUE"""),2)</f>
        <v>2</v>
      </c>
    </row>
    <row r="6044" spans="1:5" ht="13">
      <c r="A6044" s="2" t="str">
        <f ca="1">IFERROR(__xludf.DUMMYFUNCTION("""COMPUTED_VALUE"""),"Novak, Gabe")</f>
        <v>Novak, Gabe</v>
      </c>
      <c r="B6044" s="3">
        <f ca="1">IFERROR(__xludf.DUMMYFUNCTION("""COMPUTED_VALUE"""),1)</f>
        <v>1</v>
      </c>
      <c r="C6044" s="7">
        <f ca="1">IFERROR(__xludf.DUMMYFUNCTION("""COMPUTED_VALUE"""),1)</f>
        <v>1</v>
      </c>
      <c r="D6044" s="8">
        <f ca="1">IFERROR(__xludf.DUMMYFUNCTION("""COMPUTED_VALUE"""),1)</f>
        <v>1</v>
      </c>
      <c r="E6044" s="2">
        <f ca="1">IFERROR(__xludf.DUMMYFUNCTION("""COMPUTED_VALUE"""),1)</f>
        <v>1</v>
      </c>
    </row>
    <row r="6045" spans="1:5" ht="13">
      <c r="A6045" s="8" t="str">
        <f ca="1">IFERROR(__xludf.DUMMYFUNCTION("""COMPUTED_VALUE"""),"Novak, Paul")</f>
        <v>Novak, Paul</v>
      </c>
      <c r="B6045" s="3">
        <f ca="1">IFERROR(__xludf.DUMMYFUNCTION("""COMPUTED_VALUE"""),1)</f>
        <v>1</v>
      </c>
      <c r="C6045" s="7">
        <f ca="1">IFERROR(__xludf.DUMMYFUNCTION("""COMPUTED_VALUE"""),1)</f>
        <v>1</v>
      </c>
      <c r="D6045" s="8">
        <f ca="1">IFERROR(__xludf.DUMMYFUNCTION("""COMPUTED_VALUE"""),1)</f>
        <v>1</v>
      </c>
      <c r="E6045" s="2">
        <f ca="1">IFERROR(__xludf.DUMMYFUNCTION("""COMPUTED_VALUE"""),1)</f>
        <v>1</v>
      </c>
    </row>
    <row r="6046" spans="1:5" ht="13">
      <c r="A6046" s="2" t="str">
        <f ca="1">IFERROR(__xludf.DUMMYFUNCTION("""COMPUTED_VALUE"""),"Novak, Vitezslav")</f>
        <v>Novak, Vitezslav</v>
      </c>
      <c r="B6046" s="3">
        <f ca="1">IFERROR(__xludf.DUMMYFUNCTION("""COMPUTED_VALUE"""),1)</f>
        <v>1</v>
      </c>
      <c r="C6046" s="7">
        <f ca="1">IFERROR(__xludf.DUMMYFUNCTION("""COMPUTED_VALUE"""),1)</f>
        <v>1</v>
      </c>
      <c r="D6046" s="8">
        <f ca="1">IFERROR(__xludf.DUMMYFUNCTION("""COMPUTED_VALUE"""),5)</f>
        <v>5</v>
      </c>
      <c r="E6046" s="2">
        <f ca="1">IFERROR(__xludf.DUMMYFUNCTION("""COMPUTED_VALUE"""),2)</f>
        <v>2</v>
      </c>
    </row>
    <row r="6047" spans="1:5" ht="13">
      <c r="A6047" s="2" t="str">
        <f ca="1">IFERROR(__xludf.DUMMYFUNCTION("""COMPUTED_VALUE"""),"Novák, Vítĕzslav")</f>
        <v>Novák, Vítĕzslav</v>
      </c>
      <c r="B6047" s="3">
        <f ca="1">IFERROR(__xludf.DUMMYFUNCTION("""COMPUTED_VALUE"""),1)</f>
        <v>1</v>
      </c>
      <c r="C6047" s="7">
        <f ca="1">IFERROR(__xludf.DUMMYFUNCTION("""COMPUTED_VALUE"""),1)</f>
        <v>1</v>
      </c>
      <c r="D6047" s="8">
        <f ca="1">IFERROR(__xludf.DUMMYFUNCTION("""COMPUTED_VALUE"""),5)</f>
        <v>5</v>
      </c>
      <c r="E6047" s="2">
        <f ca="1">IFERROR(__xludf.DUMMYFUNCTION("""COMPUTED_VALUE"""),2)</f>
        <v>2</v>
      </c>
    </row>
    <row r="6048" spans="1:5" ht="13">
      <c r="A6048" s="2" t="str">
        <f ca="1">IFERROR(__xludf.DUMMYFUNCTION("""COMPUTED_VALUE"""),"Novello, Vincent")</f>
        <v>Novello, Vincent</v>
      </c>
      <c r="B6048" s="3">
        <f ca="1">IFERROR(__xludf.DUMMYFUNCTION("""COMPUTED_VALUE"""),1)</f>
        <v>1</v>
      </c>
      <c r="C6048" s="7">
        <f ca="1">IFERROR(__xludf.DUMMYFUNCTION("""COMPUTED_VALUE"""),1)</f>
        <v>1</v>
      </c>
      <c r="D6048" s="8">
        <f ca="1">IFERROR(__xludf.DUMMYFUNCTION("""COMPUTED_VALUE"""),5)</f>
        <v>5</v>
      </c>
      <c r="E6048" s="2">
        <f ca="1">IFERROR(__xludf.DUMMYFUNCTION("""COMPUTED_VALUE"""),2)</f>
        <v>2</v>
      </c>
    </row>
    <row r="6049" spans="1:5" ht="13">
      <c r="A6049" s="2" t="str">
        <f ca="1">IFERROR(__xludf.DUMMYFUNCTION("""COMPUTED_VALUE"""),"Novotney, Eugene")</f>
        <v>Novotney, Eugene</v>
      </c>
      <c r="B6049" s="2">
        <f ca="1">IFERROR(__xludf.DUMMYFUNCTION("""COMPUTED_VALUE"""),1)</f>
        <v>1</v>
      </c>
      <c r="C6049" s="7">
        <f ca="1">IFERROR(__xludf.DUMMYFUNCTION("""COMPUTED_VALUE"""),1)</f>
        <v>1</v>
      </c>
      <c r="D6049" s="8">
        <f ca="1">IFERROR(__xludf.DUMMYFUNCTION("""COMPUTED_VALUE"""),1)</f>
        <v>1</v>
      </c>
      <c r="E6049" s="2">
        <f ca="1">IFERROR(__xludf.DUMMYFUNCTION("""COMPUTED_VALUE"""),1)</f>
        <v>1</v>
      </c>
    </row>
    <row r="6050" spans="1:5" ht="13">
      <c r="A6050" s="2" t="str">
        <f ca="1">IFERROR(__xludf.DUMMYFUNCTION("""COMPUTED_VALUE"""),"Nowak, Jerry")</f>
        <v>Nowak, Jerry</v>
      </c>
      <c r="B6050" s="3">
        <f ca="1">IFERROR(__xludf.DUMMYFUNCTION("""COMPUTED_VALUE"""),1)</f>
        <v>1</v>
      </c>
      <c r="C6050" s="7">
        <f ca="1">IFERROR(__xludf.DUMMYFUNCTION("""COMPUTED_VALUE"""),1)</f>
        <v>1</v>
      </c>
      <c r="D6050" s="8">
        <f ca="1">IFERROR(__xludf.DUMMYFUNCTION("""COMPUTED_VALUE"""),5)</f>
        <v>5</v>
      </c>
      <c r="E6050" s="2">
        <f ca="1">IFERROR(__xludf.DUMMYFUNCTION("""COMPUTED_VALUE"""),2)</f>
        <v>2</v>
      </c>
    </row>
    <row r="6051" spans="1:5" ht="13">
      <c r="A6051" s="2" t="str">
        <f ca="1">IFERROR(__xludf.DUMMYFUNCTION("""COMPUTED_VALUE"""),"Nowakowsky, David")</f>
        <v>Nowakowsky, David</v>
      </c>
      <c r="B6051" s="3">
        <f ca="1">IFERROR(__xludf.DUMMYFUNCTION("""COMPUTED_VALUE"""),1)</f>
        <v>1</v>
      </c>
      <c r="C6051" s="7">
        <f ca="1">IFERROR(__xludf.DUMMYFUNCTION("""COMPUTED_VALUE"""),1)</f>
        <v>1</v>
      </c>
      <c r="D6051" s="8">
        <f ca="1">IFERROR(__xludf.DUMMYFUNCTION("""COMPUTED_VALUE"""),5)</f>
        <v>5</v>
      </c>
      <c r="E6051" s="2">
        <f ca="1">IFERROR(__xludf.DUMMYFUNCTION("""COMPUTED_VALUE"""),2)</f>
        <v>2</v>
      </c>
    </row>
    <row r="6052" spans="1:5" ht="13">
      <c r="A6052" s="2" t="str">
        <f ca="1">IFERROR(__xludf.DUMMYFUNCTION("""COMPUTED_VALUE"""),"Nowlin, 1st Lt. Ryan")</f>
        <v>Nowlin, 1st Lt. Ryan</v>
      </c>
      <c r="B6052" s="3">
        <f ca="1">IFERROR(__xludf.DUMMYFUNCTION("""COMPUTED_VALUE"""),1)</f>
        <v>1</v>
      </c>
      <c r="C6052" s="7">
        <f ca="1">IFERROR(__xludf.DUMMYFUNCTION("""COMPUTED_VALUE"""),1)</f>
        <v>1</v>
      </c>
      <c r="D6052" s="8">
        <f ca="1">IFERROR(__xludf.DUMMYFUNCTION("""COMPUTED_VALUE"""),1)</f>
        <v>1</v>
      </c>
      <c r="E6052" s="2">
        <f ca="1">IFERROR(__xludf.DUMMYFUNCTION("""COMPUTED_VALUE"""),1)</f>
        <v>1</v>
      </c>
    </row>
    <row r="6053" spans="1:5" ht="13">
      <c r="A6053" s="2" t="str">
        <f ca="1">IFERROR(__xludf.DUMMYFUNCTION("""COMPUTED_VALUE"""),"Nowlin, 1st Lt. Ryan / Ninmer, Scott")</f>
        <v>Nowlin, 1st Lt. Ryan / Ninmer, Scott</v>
      </c>
      <c r="B6053" s="3">
        <f ca="1">IFERROR(__xludf.DUMMYFUNCTION("""COMPUTED_VALUE"""),1)</f>
        <v>1</v>
      </c>
      <c r="C6053" s="7">
        <f ca="1">IFERROR(__xludf.DUMMYFUNCTION("""COMPUTED_VALUE"""),1)</f>
        <v>1</v>
      </c>
      <c r="D6053" s="8">
        <f ca="1">IFERROR(__xludf.DUMMYFUNCTION("""COMPUTED_VALUE"""),1)</f>
        <v>1</v>
      </c>
      <c r="E6053" s="2">
        <f ca="1">IFERROR(__xludf.DUMMYFUNCTION("""COMPUTED_VALUE"""),1)</f>
        <v>1</v>
      </c>
    </row>
    <row r="6054" spans="1:5" ht="13">
      <c r="A6054" s="8" t="str">
        <f ca="1">IFERROR(__xludf.DUMMYFUNCTION("""COMPUTED_VALUE"""),"Nowowiejski, Feliks")</f>
        <v>Nowowiejski, Feliks</v>
      </c>
      <c r="B6054" s="3">
        <f ca="1">IFERROR(__xludf.DUMMYFUNCTION("""COMPUTED_VALUE"""),1)</f>
        <v>1</v>
      </c>
      <c r="C6054" s="7">
        <f ca="1">IFERROR(__xludf.DUMMYFUNCTION("""COMPUTED_VALUE"""),1)</f>
        <v>1</v>
      </c>
      <c r="D6054" s="8">
        <f ca="1">IFERROR(__xludf.DUMMYFUNCTION("""COMPUTED_VALUE"""),5)</f>
        <v>5</v>
      </c>
      <c r="E6054" s="2">
        <f ca="1">IFERROR(__xludf.DUMMYFUNCTION("""COMPUTED_VALUE"""),2)</f>
        <v>2</v>
      </c>
    </row>
    <row r="6055" spans="1:5" ht="13">
      <c r="A6055" s="8" t="str">
        <f ca="1">IFERROR(__xludf.DUMMYFUNCTION("""COMPUTED_VALUE"""),"Nunez, Carlos")</f>
        <v>Nunez, Carlos</v>
      </c>
      <c r="B6055" s="3">
        <f ca="1">IFERROR(__xludf.DUMMYFUNCTION("""COMPUTED_VALUE"""),1)</f>
        <v>1</v>
      </c>
      <c r="C6055" s="7">
        <f ca="1">IFERROR(__xludf.DUMMYFUNCTION("""COMPUTED_VALUE"""),1)</f>
        <v>1</v>
      </c>
      <c r="D6055" s="8">
        <f ca="1">IFERROR(__xludf.DUMMYFUNCTION("""COMPUTED_VALUE"""),1)</f>
        <v>1</v>
      </c>
      <c r="E6055" s="2">
        <f ca="1">IFERROR(__xludf.DUMMYFUNCTION("""COMPUTED_VALUE"""),1)</f>
        <v>1</v>
      </c>
    </row>
    <row r="6056" spans="1:5" ht="13">
      <c r="A6056" s="2" t="str">
        <f ca="1">IFERROR(__xludf.DUMMYFUNCTION("""COMPUTED_VALUE"""),"Nunez, Carold")</f>
        <v>Nunez, Carold</v>
      </c>
      <c r="B6056" s="3">
        <f ca="1">IFERROR(__xludf.DUMMYFUNCTION("""COMPUTED_VALUE"""),1)</f>
        <v>1</v>
      </c>
      <c r="C6056" s="7">
        <f ca="1">IFERROR(__xludf.DUMMYFUNCTION("""COMPUTED_VALUE"""),1)</f>
        <v>1</v>
      </c>
      <c r="D6056" s="8">
        <f ca="1">IFERROR(__xludf.DUMMYFUNCTION("""COMPUTED_VALUE"""),1)</f>
        <v>1</v>
      </c>
      <c r="E6056" s="2">
        <f ca="1">IFERROR(__xludf.DUMMYFUNCTION("""COMPUTED_VALUE"""),1)</f>
        <v>1</v>
      </c>
    </row>
    <row r="6057" spans="1:5" ht="13">
      <c r="A6057" s="2" t="str">
        <f ca="1">IFERROR(__xludf.DUMMYFUNCTION("""COMPUTED_VALUE"""),"Nyberg, Anders")</f>
        <v>Nyberg, Anders</v>
      </c>
      <c r="B6057" s="3">
        <f ca="1">IFERROR(__xludf.DUMMYFUNCTION("""COMPUTED_VALUE"""),1)</f>
        <v>1</v>
      </c>
      <c r="C6057" s="7">
        <f ca="1">IFERROR(__xludf.DUMMYFUNCTION("""COMPUTED_VALUE"""),1)</f>
        <v>1</v>
      </c>
      <c r="D6057" s="8">
        <f ca="1">IFERROR(__xludf.DUMMYFUNCTION("""COMPUTED_VALUE"""),1)</f>
        <v>1</v>
      </c>
      <c r="E6057" s="2">
        <f ca="1">IFERROR(__xludf.DUMMYFUNCTION("""COMPUTED_VALUE"""),1)</f>
        <v>1</v>
      </c>
    </row>
    <row r="6058" spans="1:5" ht="13">
      <c r="A6058" s="8" t="str">
        <f ca="1">IFERROR(__xludf.DUMMYFUNCTION("""COMPUTED_VALUE"""),"Nygard, Carl")</f>
        <v>Nygard, Carl</v>
      </c>
      <c r="B6058" s="3">
        <f ca="1">IFERROR(__xludf.DUMMYFUNCTION("""COMPUTED_VALUE"""),1)</f>
        <v>1</v>
      </c>
      <c r="C6058" s="7">
        <f ca="1">IFERROR(__xludf.DUMMYFUNCTION("""COMPUTED_VALUE"""),1)</f>
        <v>1</v>
      </c>
      <c r="D6058" s="8">
        <f ca="1">IFERROR(__xludf.DUMMYFUNCTION("""COMPUTED_VALUE"""),1)</f>
        <v>1</v>
      </c>
      <c r="E6058" s="2">
        <f ca="1">IFERROR(__xludf.DUMMYFUNCTION("""COMPUTED_VALUE"""),1)</f>
        <v>1</v>
      </c>
    </row>
    <row r="6059" spans="1:5" ht="13">
      <c r="A6059" s="2" t="str">
        <f ca="1">IFERROR(__xludf.DUMMYFUNCTION("""COMPUTED_VALUE"""),"Nygren, Dennis")</f>
        <v>Nygren, Dennis</v>
      </c>
      <c r="B6059" s="3">
        <f ca="1">IFERROR(__xludf.DUMMYFUNCTION("""COMPUTED_VALUE"""),1)</f>
        <v>1</v>
      </c>
      <c r="C6059" s="7">
        <f ca="1">IFERROR(__xludf.DUMMYFUNCTION("""COMPUTED_VALUE"""),1)</f>
        <v>1</v>
      </c>
      <c r="D6059" s="8">
        <f ca="1">IFERROR(__xludf.DUMMYFUNCTION("""COMPUTED_VALUE"""),1)</f>
        <v>1</v>
      </c>
      <c r="E6059" s="2">
        <f ca="1">IFERROR(__xludf.DUMMYFUNCTION("""COMPUTED_VALUE"""),1)</f>
        <v>1</v>
      </c>
    </row>
    <row r="6060" spans="1:5" ht="13">
      <c r="A6060" s="2" t="str">
        <f ca="1">IFERROR(__xludf.DUMMYFUNCTION("""COMPUTED_VALUE"""),"Nyman, Michael")</f>
        <v>Nyman, Michael</v>
      </c>
      <c r="B6060" s="3">
        <f ca="1">IFERROR(__xludf.DUMMYFUNCTION("""COMPUTED_VALUE"""),1)</f>
        <v>1</v>
      </c>
      <c r="C6060" s="7">
        <f ca="1">IFERROR(__xludf.DUMMYFUNCTION("""COMPUTED_VALUE"""),1)</f>
        <v>1</v>
      </c>
      <c r="D6060" s="8">
        <f ca="1">IFERROR(__xludf.DUMMYFUNCTION("""COMPUTED_VALUE"""),1)</f>
        <v>1</v>
      </c>
      <c r="E6060" s="2">
        <f ca="1">IFERROR(__xludf.DUMMYFUNCTION("""COMPUTED_VALUE"""),1)</f>
        <v>1</v>
      </c>
    </row>
    <row r="6061" spans="1:5" ht="13">
      <c r="A6061" s="8" t="str">
        <f ca="1">IFERROR(__xludf.DUMMYFUNCTION("""COMPUTED_VALUE"""),"Nystedt, Knut")</f>
        <v>Nystedt, Knut</v>
      </c>
      <c r="B6061" s="3">
        <f ca="1">IFERROR(__xludf.DUMMYFUNCTION("""COMPUTED_VALUE"""),1)</f>
        <v>1</v>
      </c>
      <c r="C6061" s="7">
        <f ca="1">IFERROR(__xludf.DUMMYFUNCTION("""COMPUTED_VALUE"""),1)</f>
        <v>1</v>
      </c>
      <c r="D6061" s="8">
        <f ca="1">IFERROR(__xludf.DUMMYFUNCTION("""COMPUTED_VALUE"""),5)</f>
        <v>5</v>
      </c>
      <c r="E6061" s="2">
        <f ca="1">IFERROR(__xludf.DUMMYFUNCTION("""COMPUTED_VALUE"""),2)</f>
        <v>2</v>
      </c>
    </row>
    <row r="6062" spans="1:5" ht="13">
      <c r="A6062" s="2" t="str">
        <f ca="1">IFERROR(__xludf.DUMMYFUNCTION("""COMPUTED_VALUE"""),"Nystroem, Gösta")</f>
        <v>Nystroem, Gösta</v>
      </c>
      <c r="B6062" s="2">
        <f ca="1">IFERROR(__xludf.DUMMYFUNCTION("""COMPUTED_VALUE"""),1)</f>
        <v>1</v>
      </c>
      <c r="C6062" s="7">
        <f ca="1">IFERROR(__xludf.DUMMYFUNCTION("""COMPUTED_VALUE"""),1)</f>
        <v>1</v>
      </c>
      <c r="D6062" s="8">
        <f ca="1">IFERROR(__xludf.DUMMYFUNCTION("""COMPUTED_VALUE"""),5)</f>
        <v>5</v>
      </c>
      <c r="E6062" s="2">
        <f ca="1">IFERROR(__xludf.DUMMYFUNCTION("""COMPUTED_VALUE"""),2)</f>
        <v>2</v>
      </c>
    </row>
    <row r="6063" spans="1:5" ht="13">
      <c r="A6063" s="8" t="str">
        <f ca="1">IFERROR(__xludf.DUMMYFUNCTION("""COMPUTED_VALUE"""),"Nytch, Jeffrey")</f>
        <v>Nytch, Jeffrey</v>
      </c>
      <c r="B6063" s="3">
        <f ca="1">IFERROR(__xludf.DUMMYFUNCTION("""COMPUTED_VALUE"""),1)</f>
        <v>1</v>
      </c>
      <c r="C6063" s="7">
        <f ca="1">IFERROR(__xludf.DUMMYFUNCTION("""COMPUTED_VALUE"""),1)</f>
        <v>1</v>
      </c>
      <c r="D6063" s="8">
        <f ca="1">IFERROR(__xludf.DUMMYFUNCTION("""COMPUTED_VALUE"""),1)</f>
        <v>1</v>
      </c>
      <c r="E6063" s="2">
        <f ca="1">IFERROR(__xludf.DUMMYFUNCTION("""COMPUTED_VALUE"""),1)</f>
        <v>1</v>
      </c>
    </row>
    <row r="6064" spans="1:5" ht="13">
      <c r="A6064" s="2" t="str">
        <f ca="1">IFERROR(__xludf.DUMMYFUNCTION("""COMPUTED_VALUE"""),"Ó Riada, Seán")</f>
        <v>Ó Riada, Seán</v>
      </c>
      <c r="B6064" s="2">
        <f ca="1">IFERROR(__xludf.DUMMYFUNCTION("""COMPUTED_VALUE"""),1)</f>
        <v>1</v>
      </c>
      <c r="C6064" s="2">
        <f ca="1">IFERROR(__xludf.DUMMYFUNCTION("""COMPUTED_VALUE"""),1)</f>
        <v>1</v>
      </c>
      <c r="D6064" s="8">
        <f ca="1">IFERROR(__xludf.DUMMYFUNCTION("""COMPUTED_VALUE"""),5)</f>
        <v>5</v>
      </c>
      <c r="E6064" s="2">
        <f ca="1">IFERROR(__xludf.DUMMYFUNCTION("""COMPUTED_VALUE"""),2)</f>
        <v>2</v>
      </c>
    </row>
    <row r="6065" spans="1:5" ht="13">
      <c r="A6065" s="2" t="str">
        <f ca="1">IFERROR(__xludf.DUMMYFUNCTION("""COMPUTED_VALUE"""),"O, David")</f>
        <v>O, David</v>
      </c>
      <c r="B6065" s="3">
        <f ca="1">IFERROR(__xludf.DUMMYFUNCTION("""COMPUTED_VALUE"""),1)</f>
        <v>1</v>
      </c>
      <c r="C6065" s="7">
        <f ca="1">IFERROR(__xludf.DUMMYFUNCTION("""COMPUTED_VALUE"""),1)</f>
        <v>1</v>
      </c>
      <c r="D6065" s="8">
        <f ca="1">IFERROR(__xludf.DUMMYFUNCTION("""COMPUTED_VALUE"""),1)</f>
        <v>1</v>
      </c>
      <c r="E6065" s="2">
        <f ca="1">IFERROR(__xludf.DUMMYFUNCTION("""COMPUTED_VALUE"""),1)</f>
        <v>1</v>
      </c>
    </row>
    <row r="6066" spans="1:5" ht="13">
      <c r="A6066" s="2" t="str">
        <f ca="1">IFERROR(__xludf.DUMMYFUNCTION("""COMPUTED_VALUE"""),"O’Brien, Lucas Daniel")</f>
        <v>O’Brien, Lucas Daniel</v>
      </c>
      <c r="B6066" s="3">
        <f ca="1">IFERROR(__xludf.DUMMYFUNCTION("""COMPUTED_VALUE"""),1)</f>
        <v>1</v>
      </c>
      <c r="C6066" s="7">
        <f ca="1">IFERROR(__xludf.DUMMYFUNCTION("""COMPUTED_VALUE"""),1)</f>
        <v>1</v>
      </c>
      <c r="D6066" s="8">
        <f ca="1">IFERROR(__xludf.DUMMYFUNCTION("""COMPUTED_VALUE"""),1)</f>
        <v>1</v>
      </c>
      <c r="E6066" s="2">
        <f ca="1">IFERROR(__xludf.DUMMYFUNCTION("""COMPUTED_VALUE"""),1)</f>
        <v>1</v>
      </c>
    </row>
    <row r="6067" spans="1:5" ht="13">
      <c r="A6067" s="2" t="str">
        <f ca="1">IFERROR(__xludf.DUMMYFUNCTION("""COMPUTED_VALUE"""),"O'Brien, Robert")</f>
        <v>O'Brien, Robert</v>
      </c>
      <c r="B6067" s="2">
        <f ca="1">IFERROR(__xludf.DUMMYFUNCTION("""COMPUTED_VALUE"""),1)</f>
        <v>1</v>
      </c>
      <c r="C6067" s="7">
        <f ca="1">IFERROR(__xludf.DUMMYFUNCTION("""COMPUTED_VALUE"""),1)</f>
        <v>1</v>
      </c>
      <c r="D6067" s="8">
        <f ca="1">IFERROR(__xludf.DUMMYFUNCTION("""COMPUTED_VALUE"""),5)</f>
        <v>5</v>
      </c>
      <c r="E6067" s="2">
        <f ca="1">IFERROR(__xludf.DUMMYFUNCTION("""COMPUTED_VALUE"""),2)</f>
        <v>2</v>
      </c>
    </row>
    <row r="6068" spans="1:5" ht="13">
      <c r="A6068" s="2" t="str">
        <f ca="1">IFERROR(__xludf.DUMMYFUNCTION("""COMPUTED_VALUE"""),"O'Callaghan, James")</f>
        <v>O'Callaghan, James</v>
      </c>
      <c r="B6068" s="3">
        <f ca="1">IFERROR(__xludf.DUMMYFUNCTION("""COMPUTED_VALUE"""),1)</f>
        <v>1</v>
      </c>
      <c r="C6068" s="7">
        <f ca="1">IFERROR(__xludf.DUMMYFUNCTION("""COMPUTED_VALUE"""),1)</f>
        <v>1</v>
      </c>
      <c r="D6068" s="8">
        <f ca="1">IFERROR(__xludf.DUMMYFUNCTION("""COMPUTED_VALUE"""),1)</f>
        <v>1</v>
      </c>
      <c r="E6068" s="2">
        <f ca="1">IFERROR(__xludf.DUMMYFUNCTION("""COMPUTED_VALUE"""),1)</f>
        <v>1</v>
      </c>
    </row>
    <row r="6069" spans="1:5" ht="13">
      <c r="A6069" s="2" t="str">
        <f ca="1">IFERROR(__xludf.DUMMYFUNCTION("""COMPUTED_VALUE"""),"O'Carolan, Turlough")</f>
        <v>O'Carolan, Turlough</v>
      </c>
      <c r="B6069" s="2">
        <f ca="1">IFERROR(__xludf.DUMMYFUNCTION("""COMPUTED_VALUE"""),1)</f>
        <v>1</v>
      </c>
      <c r="C6069" s="7">
        <f ca="1">IFERROR(__xludf.DUMMYFUNCTION("""COMPUTED_VALUE"""),1)</f>
        <v>1</v>
      </c>
      <c r="D6069" s="8">
        <f ca="1">IFERROR(__xludf.DUMMYFUNCTION("""COMPUTED_VALUE"""),5)</f>
        <v>5</v>
      </c>
      <c r="E6069" s="2">
        <f ca="1">IFERROR(__xludf.DUMMYFUNCTION("""COMPUTED_VALUE"""),2)</f>
        <v>2</v>
      </c>
    </row>
    <row r="6070" spans="1:5" ht="13">
      <c r="A6070" s="2" t="str">
        <f ca="1">IFERROR(__xludf.DUMMYFUNCTION("""COMPUTED_VALUE"""),"O’Carolan, Turlough")</f>
        <v>O’Carolan, Turlough</v>
      </c>
      <c r="B6070" s="2">
        <f ca="1">IFERROR(__xludf.DUMMYFUNCTION("""COMPUTED_VALUE"""),1)</f>
        <v>1</v>
      </c>
      <c r="C6070" s="7">
        <f ca="1">IFERROR(__xludf.DUMMYFUNCTION("""COMPUTED_VALUE"""),1)</f>
        <v>1</v>
      </c>
      <c r="D6070" s="8">
        <f ca="1">IFERROR(__xludf.DUMMYFUNCTION("""COMPUTED_VALUE"""),5)</f>
        <v>5</v>
      </c>
      <c r="E6070" s="2">
        <f ca="1">IFERROR(__xludf.DUMMYFUNCTION("""COMPUTED_VALUE"""),2)</f>
        <v>2</v>
      </c>
    </row>
    <row r="6071" spans="1:5" ht="13">
      <c r="A6071" s="2" t="str">
        <f ca="1">IFERROR(__xludf.DUMMYFUNCTION("""COMPUTED_VALUE"""),"O'Connell, Ryan")</f>
        <v>O'Connell, Ryan</v>
      </c>
      <c r="B6071" s="3">
        <f ca="1">IFERROR(__xludf.DUMMYFUNCTION("""COMPUTED_VALUE"""),1)</f>
        <v>1</v>
      </c>
      <c r="C6071" s="7">
        <f ca="1">IFERROR(__xludf.DUMMYFUNCTION("""COMPUTED_VALUE"""),1)</f>
        <v>1</v>
      </c>
      <c r="D6071" s="8">
        <f ca="1">IFERROR(__xludf.DUMMYFUNCTION("""COMPUTED_VALUE"""),1)</f>
        <v>1</v>
      </c>
      <c r="E6071" s="2">
        <f ca="1">IFERROR(__xludf.DUMMYFUNCTION("""COMPUTED_VALUE"""),1)</f>
        <v>1</v>
      </c>
    </row>
    <row r="6072" spans="1:5" ht="13">
      <c r="A6072" s="2" t="str">
        <f ca="1">IFERROR(__xludf.DUMMYFUNCTION("""COMPUTED_VALUE"""),"O'Conner")</f>
        <v>O'Conner</v>
      </c>
      <c r="B6072" s="3">
        <f ca="1">IFERROR(__xludf.DUMMYFUNCTION("""COMPUTED_VALUE"""),1)</f>
        <v>1</v>
      </c>
      <c r="C6072" s="7">
        <f ca="1">IFERROR(__xludf.DUMMYFUNCTION("""COMPUTED_VALUE"""),1)</f>
        <v>1</v>
      </c>
      <c r="D6072" s="8">
        <f ca="1">IFERROR(__xludf.DUMMYFUNCTION("""COMPUTED_VALUE"""),1)</f>
        <v>1</v>
      </c>
      <c r="E6072" s="2">
        <f ca="1">IFERROR(__xludf.DUMMYFUNCTION("""COMPUTED_VALUE"""),1)</f>
        <v>1</v>
      </c>
    </row>
    <row r="6073" spans="1:5" ht="13">
      <c r="A6073" s="2" t="str">
        <f ca="1">IFERROR(__xludf.DUMMYFUNCTION("""COMPUTED_VALUE"""),"O'Connor")</f>
        <v>O'Connor</v>
      </c>
      <c r="B6073" s="3">
        <f ca="1">IFERROR(__xludf.DUMMYFUNCTION("""COMPUTED_VALUE"""),1)</f>
        <v>1</v>
      </c>
      <c r="C6073" s="7">
        <f ca="1">IFERROR(__xludf.DUMMYFUNCTION("""COMPUTED_VALUE"""),1)</f>
        <v>1</v>
      </c>
      <c r="D6073" s="8">
        <f ca="1">IFERROR(__xludf.DUMMYFUNCTION("""COMPUTED_VALUE"""),1)</f>
        <v>1</v>
      </c>
      <c r="E6073" s="2">
        <f ca="1">IFERROR(__xludf.DUMMYFUNCTION("""COMPUTED_VALUE"""),1)</f>
        <v>1</v>
      </c>
    </row>
    <row r="6074" spans="1:5" ht="13">
      <c r="A6074" s="2" t="str">
        <f ca="1">IFERROR(__xludf.DUMMYFUNCTION("""COMPUTED_VALUE"""),"O'Connor, Mark")</f>
        <v>O'Connor, Mark</v>
      </c>
      <c r="B6074" s="3">
        <f ca="1">IFERROR(__xludf.DUMMYFUNCTION("""COMPUTED_VALUE"""),1)</f>
        <v>1</v>
      </c>
      <c r="C6074" s="7">
        <f ca="1">IFERROR(__xludf.DUMMYFUNCTION("""COMPUTED_VALUE"""),1)</f>
        <v>1</v>
      </c>
      <c r="D6074" s="8">
        <f ca="1">IFERROR(__xludf.DUMMYFUNCTION("""COMPUTED_VALUE"""),1)</f>
        <v>1</v>
      </c>
      <c r="E6074" s="2">
        <f ca="1">IFERROR(__xludf.DUMMYFUNCTION("""COMPUTED_VALUE"""),1)</f>
        <v>1</v>
      </c>
    </row>
    <row r="6075" spans="1:5" ht="13">
      <c r="A6075" s="2" t="str">
        <f ca="1">IFERROR(__xludf.DUMMYFUNCTION("""COMPUTED_VALUE"""),"O'Connor, Thomas")</f>
        <v>O'Connor, Thomas</v>
      </c>
      <c r="B6075" s="3">
        <f ca="1">IFERROR(__xludf.DUMMYFUNCTION("""COMPUTED_VALUE"""),1)</f>
        <v>1</v>
      </c>
      <c r="C6075" s="7">
        <f ca="1">IFERROR(__xludf.DUMMYFUNCTION("""COMPUTED_VALUE"""),1)</f>
        <v>1</v>
      </c>
      <c r="D6075" s="8">
        <f ca="1">IFERROR(__xludf.DUMMYFUNCTION("""COMPUTED_VALUE"""),1)</f>
        <v>1</v>
      </c>
      <c r="E6075" s="2">
        <f ca="1">IFERROR(__xludf.DUMMYFUNCTION("""COMPUTED_VALUE"""),1)</f>
        <v>1</v>
      </c>
    </row>
    <row r="6076" spans="1:5" ht="13">
      <c r="A6076" s="2" t="str">
        <f ca="1">IFERROR(__xludf.DUMMYFUNCTION("""COMPUTED_VALUE"""),"O'Connor, Tom")</f>
        <v>O'Connor, Tom</v>
      </c>
      <c r="B6076" s="3">
        <f ca="1">IFERROR(__xludf.DUMMYFUNCTION("""COMPUTED_VALUE"""),1)</f>
        <v>1</v>
      </c>
      <c r="C6076" s="7">
        <f ca="1">IFERROR(__xludf.DUMMYFUNCTION("""COMPUTED_VALUE"""),1)</f>
        <v>1</v>
      </c>
      <c r="D6076" s="8">
        <f ca="1">IFERROR(__xludf.DUMMYFUNCTION("""COMPUTED_VALUE"""),1)</f>
        <v>1</v>
      </c>
      <c r="E6076" s="2">
        <f ca="1">IFERROR(__xludf.DUMMYFUNCTION("""COMPUTED_VALUE"""),1)</f>
        <v>1</v>
      </c>
    </row>
    <row r="6077" spans="1:5" ht="13">
      <c r="A6077" s="2" t="str">
        <f ca="1">IFERROR(__xludf.DUMMYFUNCTION("""COMPUTED_VALUE"""),"O'Donnell, Martin / Salvatori, Michael")</f>
        <v>O'Donnell, Martin / Salvatori, Michael</v>
      </c>
      <c r="B6077" s="3">
        <f ca="1">IFERROR(__xludf.DUMMYFUNCTION("""COMPUTED_VALUE"""),1)</f>
        <v>1</v>
      </c>
      <c r="C6077" s="7">
        <f ca="1">IFERROR(__xludf.DUMMYFUNCTION("""COMPUTED_VALUE"""),1)</f>
        <v>1</v>
      </c>
      <c r="D6077" s="8">
        <f ca="1">IFERROR(__xludf.DUMMYFUNCTION("""COMPUTED_VALUE"""),1)</f>
        <v>1</v>
      </c>
      <c r="E6077" s="2">
        <f ca="1">IFERROR(__xludf.DUMMYFUNCTION("""COMPUTED_VALUE"""),1)</f>
        <v>1</v>
      </c>
    </row>
    <row r="6078" spans="1:5" ht="13">
      <c r="A6078" s="2" t="str">
        <f ca="1">IFERROR(__xludf.DUMMYFUNCTION("""COMPUTED_VALUE"""),"O'Donnell, Marty")</f>
        <v>O'Donnell, Marty</v>
      </c>
      <c r="B6078" s="3">
        <f ca="1">IFERROR(__xludf.DUMMYFUNCTION("""COMPUTED_VALUE"""),1)</f>
        <v>1</v>
      </c>
      <c r="C6078" s="7">
        <f ca="1">IFERROR(__xludf.DUMMYFUNCTION("""COMPUTED_VALUE"""),1)</f>
        <v>1</v>
      </c>
      <c r="D6078" s="8">
        <f ca="1">IFERROR(__xludf.DUMMYFUNCTION("""COMPUTED_VALUE"""),1)</f>
        <v>1</v>
      </c>
      <c r="E6078" s="2">
        <f ca="1">IFERROR(__xludf.DUMMYFUNCTION("""COMPUTED_VALUE"""),1)</f>
        <v>1</v>
      </c>
    </row>
    <row r="6079" spans="1:5" ht="13">
      <c r="A6079" s="8" t="str">
        <f ca="1">IFERROR(__xludf.DUMMYFUNCTION("""COMPUTED_VALUE"""),"O'Fallon, David")</f>
        <v>O'Fallon, David</v>
      </c>
      <c r="B6079" s="3">
        <f ca="1">IFERROR(__xludf.DUMMYFUNCTION("""COMPUTED_VALUE"""),1)</f>
        <v>1</v>
      </c>
      <c r="C6079" s="7">
        <f ca="1">IFERROR(__xludf.DUMMYFUNCTION("""COMPUTED_VALUE"""),1)</f>
        <v>1</v>
      </c>
      <c r="D6079" s="8">
        <f ca="1">IFERROR(__xludf.DUMMYFUNCTION("""COMPUTED_VALUE"""),1)</f>
        <v>1</v>
      </c>
      <c r="E6079" s="2">
        <f ca="1">IFERROR(__xludf.DUMMYFUNCTION("""COMPUTED_VALUE"""),1)</f>
        <v>1</v>
      </c>
    </row>
    <row r="6080" spans="1:5" ht="13">
      <c r="A6080" s="2" t="str">
        <f ca="1">IFERROR(__xludf.DUMMYFUNCTION("""COMPUTED_VALUE"""),"O’Grady, Terrence")</f>
        <v>O’Grady, Terrence</v>
      </c>
      <c r="B6080" s="3">
        <f ca="1">IFERROR(__xludf.DUMMYFUNCTION("""COMPUTED_VALUE"""),1)</f>
        <v>1</v>
      </c>
      <c r="C6080" s="7">
        <f ca="1">IFERROR(__xludf.DUMMYFUNCTION("""COMPUTED_VALUE"""),1)</f>
        <v>1</v>
      </c>
      <c r="D6080" s="8">
        <f ca="1">IFERROR(__xludf.DUMMYFUNCTION("""COMPUTED_VALUE"""),1)</f>
        <v>1</v>
      </c>
      <c r="E6080" s="2">
        <f ca="1">IFERROR(__xludf.DUMMYFUNCTION("""COMPUTED_VALUE"""),1)</f>
        <v>1</v>
      </c>
    </row>
    <row r="6081" spans="1:5" ht="13">
      <c r="A6081" s="2" t="str">
        <f ca="1">IFERROR(__xludf.DUMMYFUNCTION("""COMPUTED_VALUE"""),"O'hara, Geoffrey")</f>
        <v>O'hara, Geoffrey</v>
      </c>
      <c r="B6081" s="3">
        <f ca="1">IFERROR(__xludf.DUMMYFUNCTION("""COMPUTED_VALUE"""),1)</f>
        <v>1</v>
      </c>
      <c r="C6081" s="7">
        <f ca="1">IFERROR(__xludf.DUMMYFUNCTION("""COMPUTED_VALUE"""),1)</f>
        <v>1</v>
      </c>
      <c r="D6081" s="8">
        <f ca="1">IFERROR(__xludf.DUMMYFUNCTION("""COMPUTED_VALUE"""),5)</f>
        <v>5</v>
      </c>
      <c r="E6081" s="2">
        <f ca="1">IFERROR(__xludf.DUMMYFUNCTION("""COMPUTED_VALUE"""),2)</f>
        <v>2</v>
      </c>
    </row>
    <row r="6082" spans="1:5" ht="13">
      <c r="A6082" s="2" t="str">
        <f ca="1">IFERROR(__xludf.DUMMYFUNCTION("""COMPUTED_VALUE"""),"O'Keefe, Laurence &amp; Murphy, Kevin")</f>
        <v>O'Keefe, Laurence &amp; Murphy, Kevin</v>
      </c>
      <c r="B6082" s="2">
        <f ca="1">IFERROR(__xludf.DUMMYFUNCTION("""COMPUTED_VALUE"""),1)</f>
        <v>1</v>
      </c>
      <c r="C6082" s="2">
        <f ca="1">IFERROR(__xludf.DUMMYFUNCTION("""COMPUTED_VALUE"""),1)</f>
        <v>1</v>
      </c>
      <c r="D6082" s="8">
        <f ca="1">IFERROR(__xludf.DUMMYFUNCTION("""COMPUTED_VALUE"""),1)</f>
        <v>1</v>
      </c>
      <c r="E6082" s="2">
        <f ca="1">IFERROR(__xludf.DUMMYFUNCTION("""COMPUTED_VALUE"""),1)</f>
        <v>1</v>
      </c>
    </row>
    <row r="6083" spans="1:5" ht="13">
      <c r="A6083" s="2" t="str">
        <f ca="1">IFERROR(__xludf.DUMMYFUNCTION("""COMPUTED_VALUE"""),"O'Keefe, Lester")</f>
        <v>O'Keefe, Lester</v>
      </c>
      <c r="B6083" s="3">
        <f ca="1">IFERROR(__xludf.DUMMYFUNCTION("""COMPUTED_VALUE"""),1)</f>
        <v>1</v>
      </c>
      <c r="C6083" s="7">
        <f ca="1">IFERROR(__xludf.DUMMYFUNCTION("""COMPUTED_VALUE"""),1)</f>
        <v>1</v>
      </c>
      <c r="D6083" s="8">
        <f ca="1">IFERROR(__xludf.DUMMYFUNCTION("""COMPUTED_VALUE"""),5)</f>
        <v>5</v>
      </c>
      <c r="E6083" s="2">
        <f ca="1">IFERROR(__xludf.DUMMYFUNCTION("""COMPUTED_VALUE"""),2)</f>
        <v>2</v>
      </c>
    </row>
    <row r="6084" spans="1:5" ht="13">
      <c r="A6084" s="2" t="str">
        <f ca="1">IFERROR(__xludf.DUMMYFUNCTION("""COMPUTED_VALUE"""),"O'Leary, Mark")</f>
        <v>O'Leary, Mark</v>
      </c>
      <c r="B6084" s="3">
        <f ca="1">IFERROR(__xludf.DUMMYFUNCTION("""COMPUTED_VALUE"""),1)</f>
        <v>1</v>
      </c>
      <c r="C6084" s="7">
        <f ca="1">IFERROR(__xludf.DUMMYFUNCTION("""COMPUTED_VALUE"""),1)</f>
        <v>1</v>
      </c>
      <c r="D6084" s="8">
        <f ca="1">IFERROR(__xludf.DUMMYFUNCTION("""COMPUTED_VALUE"""),1)</f>
        <v>1</v>
      </c>
      <c r="E6084" s="2">
        <f ca="1">IFERROR(__xludf.DUMMYFUNCTION("""COMPUTED_VALUE"""),1)</f>
        <v>1</v>
      </c>
    </row>
    <row r="6085" spans="1:5" ht="13">
      <c r="A6085" s="2" t="str">
        <f ca="1">IFERROR(__xludf.DUMMYFUNCTION("""COMPUTED_VALUE"""),"O'Loughlin, Sean")</f>
        <v>O'Loughlin, Sean</v>
      </c>
      <c r="B6085" s="3">
        <f ca="1">IFERROR(__xludf.DUMMYFUNCTION("""COMPUTED_VALUE"""),1)</f>
        <v>1</v>
      </c>
      <c r="C6085" s="7">
        <f ca="1">IFERROR(__xludf.DUMMYFUNCTION("""COMPUTED_VALUE"""),1)</f>
        <v>1</v>
      </c>
      <c r="D6085" s="8">
        <f ca="1">IFERROR(__xludf.DUMMYFUNCTION("""COMPUTED_VALUE"""),1)</f>
        <v>1</v>
      </c>
      <c r="E6085" s="2">
        <f ca="1">IFERROR(__xludf.DUMMYFUNCTION("""COMPUTED_VALUE"""),1)</f>
        <v>1</v>
      </c>
    </row>
    <row r="6086" spans="1:5" ht="13">
      <c r="A6086" s="2" t="str">
        <f ca="1">IFERROR(__xludf.DUMMYFUNCTION("""COMPUTED_VALUE"""),"O'Malley, Patrick")</f>
        <v>O'Malley, Patrick</v>
      </c>
      <c r="B6086" s="2">
        <f ca="1">IFERROR(__xludf.DUMMYFUNCTION("""COMPUTED_VALUE"""),1)</f>
        <v>1</v>
      </c>
      <c r="C6086" s="2">
        <f ca="1">IFERROR(__xludf.DUMMYFUNCTION("""COMPUTED_VALUE"""),1)</f>
        <v>1</v>
      </c>
      <c r="D6086" s="8">
        <f ca="1">IFERROR(__xludf.DUMMYFUNCTION("""COMPUTED_VALUE"""),1)</f>
        <v>1</v>
      </c>
      <c r="E6086" s="2">
        <f ca="1">IFERROR(__xludf.DUMMYFUNCTION("""COMPUTED_VALUE"""),1)</f>
        <v>1</v>
      </c>
    </row>
    <row r="6087" spans="1:5" ht="13">
      <c r="A6087" s="2" t="str">
        <f ca="1">IFERROR(__xludf.DUMMYFUNCTION("""COMPUTED_VALUE"""),"O'Neal, Ryan (aka Sleeping at Last)")</f>
        <v>O'Neal, Ryan (aka Sleeping at Last)</v>
      </c>
      <c r="B6087" s="3">
        <f ca="1">IFERROR(__xludf.DUMMYFUNCTION("""COMPUTED_VALUE"""),1)</f>
        <v>1</v>
      </c>
      <c r="C6087" s="7">
        <f ca="1">IFERROR(__xludf.DUMMYFUNCTION("""COMPUTED_VALUE"""),1)</f>
        <v>1</v>
      </c>
      <c r="D6087" s="8">
        <f ca="1">IFERROR(__xludf.DUMMYFUNCTION("""COMPUTED_VALUE"""),1)</f>
        <v>1</v>
      </c>
      <c r="E6087" s="2">
        <f ca="1">IFERROR(__xludf.DUMMYFUNCTION("""COMPUTED_VALUE"""),1)</f>
        <v>1</v>
      </c>
    </row>
    <row r="6088" spans="1:5" ht="13">
      <c r="A6088" s="2" t="str">
        <f ca="1">IFERROR(__xludf.DUMMYFUNCTION("""COMPUTED_VALUE"""),"O'Neal, Stuart")</f>
        <v>O'Neal, Stuart</v>
      </c>
      <c r="B6088" s="3">
        <f ca="1">IFERROR(__xludf.DUMMYFUNCTION("""COMPUTED_VALUE"""),1)</f>
        <v>1</v>
      </c>
      <c r="C6088" s="7">
        <f ca="1">IFERROR(__xludf.DUMMYFUNCTION("""COMPUTED_VALUE"""),1)</f>
        <v>1</v>
      </c>
      <c r="D6088" s="8">
        <f ca="1">IFERROR(__xludf.DUMMYFUNCTION("""COMPUTED_VALUE"""),1)</f>
        <v>1</v>
      </c>
      <c r="E6088" s="2">
        <f ca="1">IFERROR(__xludf.DUMMYFUNCTION("""COMPUTED_VALUE"""),1)</f>
        <v>1</v>
      </c>
    </row>
    <row r="6089" spans="1:5" ht="13">
      <c r="A6089" s="2" t="str">
        <f ca="1">IFERROR(__xludf.DUMMYFUNCTION("""COMPUTED_VALUE"""),"O'Neil, John")</f>
        <v>O'Neil, John</v>
      </c>
      <c r="B6089" s="3">
        <f ca="1">IFERROR(__xludf.DUMMYFUNCTION("""COMPUTED_VALUE"""),1)</f>
        <v>1</v>
      </c>
      <c r="C6089" s="7">
        <f ca="1">IFERROR(__xludf.DUMMYFUNCTION("""COMPUTED_VALUE"""),1)</f>
        <v>1</v>
      </c>
      <c r="D6089" s="8">
        <f ca="1">IFERROR(__xludf.DUMMYFUNCTION("""COMPUTED_VALUE"""),1)</f>
        <v>1</v>
      </c>
      <c r="E6089" s="2">
        <f ca="1">IFERROR(__xludf.DUMMYFUNCTION("""COMPUTED_VALUE"""),1)</f>
        <v>1</v>
      </c>
    </row>
    <row r="6090" spans="1:5" ht="13">
      <c r="A6090" s="8" t="str">
        <f ca="1">IFERROR(__xludf.DUMMYFUNCTION("""COMPUTED_VALUE"""),"O'Neil, Stuart")</f>
        <v>O'Neil, Stuart</v>
      </c>
      <c r="B6090" s="3">
        <f ca="1">IFERROR(__xludf.DUMMYFUNCTION("""COMPUTED_VALUE"""),1)</f>
        <v>1</v>
      </c>
      <c r="C6090" s="7">
        <f ca="1">IFERROR(__xludf.DUMMYFUNCTION("""COMPUTED_VALUE"""),1)</f>
        <v>1</v>
      </c>
      <c r="D6090" s="8">
        <f ca="1">IFERROR(__xludf.DUMMYFUNCTION("""COMPUTED_VALUE"""),1)</f>
        <v>1</v>
      </c>
      <c r="E6090" s="2">
        <f ca="1">IFERROR(__xludf.DUMMYFUNCTION("""COMPUTED_VALUE"""),1)</f>
        <v>1</v>
      </c>
    </row>
    <row r="6091" spans="1:5" ht="13">
      <c r="A6091" s="2" t="str">
        <f ca="1">IFERROR(__xludf.DUMMYFUNCTION("""COMPUTED_VALUE"""),"O’Neill, Paul")</f>
        <v>O’Neill, Paul</v>
      </c>
      <c r="B6091" s="2">
        <f ca="1">IFERROR(__xludf.DUMMYFUNCTION("""COMPUTED_VALUE"""),1)</f>
        <v>1</v>
      </c>
      <c r="C6091" s="7">
        <f ca="1">IFERROR(__xludf.DUMMYFUNCTION("""COMPUTED_VALUE"""),1)</f>
        <v>1</v>
      </c>
      <c r="D6091" s="8">
        <f ca="1">IFERROR(__xludf.DUMMYFUNCTION("""COMPUTED_VALUE"""),5)</f>
        <v>5</v>
      </c>
      <c r="E6091" s="2">
        <f ca="1">IFERROR(__xludf.DUMMYFUNCTION("""COMPUTED_VALUE"""),2)</f>
        <v>2</v>
      </c>
    </row>
    <row r="6092" spans="1:5" ht="13">
      <c r="A6092" s="2" t="str">
        <f ca="1">IFERROR(__xludf.DUMMYFUNCTION("""COMPUTED_VALUE"""),"O’regan, Tarik")</f>
        <v>O’regan, Tarik</v>
      </c>
      <c r="B6092" s="3">
        <f ca="1">IFERROR(__xludf.DUMMYFUNCTION("""COMPUTED_VALUE"""),1)</f>
        <v>1</v>
      </c>
      <c r="C6092" s="7">
        <f ca="1">IFERROR(__xludf.DUMMYFUNCTION("""COMPUTED_VALUE"""),1)</f>
        <v>1</v>
      </c>
      <c r="D6092" s="8">
        <f ca="1">IFERROR(__xludf.DUMMYFUNCTION("""COMPUTED_VALUE"""),1)</f>
        <v>1</v>
      </c>
      <c r="E6092" s="2">
        <f ca="1">IFERROR(__xludf.DUMMYFUNCTION("""COMPUTED_VALUE"""),1)</f>
        <v>1</v>
      </c>
    </row>
    <row r="6093" spans="1:5" ht="13">
      <c r="A6093" s="2" t="str">
        <f ca="1">IFERROR(__xludf.DUMMYFUNCTION("""COMPUTED_VALUE"""),"O'Reilly, John")</f>
        <v>O'Reilly, John</v>
      </c>
      <c r="B6093" s="3">
        <f ca="1">IFERROR(__xludf.DUMMYFUNCTION("""COMPUTED_VALUE"""),1)</f>
        <v>1</v>
      </c>
      <c r="C6093" s="7">
        <f ca="1">IFERROR(__xludf.DUMMYFUNCTION("""COMPUTED_VALUE"""),1)</f>
        <v>1</v>
      </c>
      <c r="D6093" s="8">
        <f ca="1">IFERROR(__xludf.DUMMYFUNCTION("""COMPUTED_VALUE"""),1)</f>
        <v>1</v>
      </c>
      <c r="E6093" s="2">
        <f ca="1">IFERROR(__xludf.DUMMYFUNCTION("""COMPUTED_VALUE"""),1)</f>
        <v>1</v>
      </c>
    </row>
    <row r="6094" spans="1:5" ht="13">
      <c r="A6094" s="2" t="str">
        <f ca="1">IFERROR(__xludf.DUMMYFUNCTION("""COMPUTED_VALUE"""),"O'Toole, Anthony")</f>
        <v>O'Toole, Anthony</v>
      </c>
      <c r="B6094" s="3">
        <f ca="1">IFERROR(__xludf.DUMMYFUNCTION("""COMPUTED_VALUE"""),1)</f>
        <v>1</v>
      </c>
      <c r="C6094" s="7">
        <f ca="1">IFERROR(__xludf.DUMMYFUNCTION("""COMPUTED_VALUE"""),1)</f>
        <v>1</v>
      </c>
      <c r="D6094" s="8">
        <f ca="1">IFERROR(__xludf.DUMMYFUNCTION("""COMPUTED_VALUE"""),1)</f>
        <v>1</v>
      </c>
      <c r="E6094" s="2">
        <f ca="1">IFERROR(__xludf.DUMMYFUNCTION("""COMPUTED_VALUE"""),1)</f>
        <v>1</v>
      </c>
    </row>
    <row r="6095" spans="1:5" ht="13">
      <c r="A6095" s="2" t="str">
        <f ca="1">IFERROR(__xludf.DUMMYFUNCTION("""COMPUTED_VALUE"""),"O’Toole, Anthony")</f>
        <v>O’Toole, Anthony</v>
      </c>
      <c r="B6095" s="3">
        <f ca="1">IFERROR(__xludf.DUMMYFUNCTION("""COMPUTED_VALUE"""),1)</f>
        <v>1</v>
      </c>
      <c r="C6095" s="7">
        <f ca="1">IFERROR(__xludf.DUMMYFUNCTION("""COMPUTED_VALUE"""),1)</f>
        <v>1</v>
      </c>
      <c r="D6095" s="8">
        <f ca="1">IFERROR(__xludf.DUMMYFUNCTION("""COMPUTED_VALUE"""),1)</f>
        <v>1</v>
      </c>
      <c r="E6095" s="2">
        <f ca="1">IFERROR(__xludf.DUMMYFUNCTION("""COMPUTED_VALUE"""),1)</f>
        <v>1</v>
      </c>
    </row>
    <row r="6096" spans="1:5" ht="13">
      <c r="A6096" s="2" t="str">
        <f ca="1">IFERROR(__xludf.DUMMYFUNCTION("""COMPUTED_VALUE"""),"Oakland, Ben / Drake, Milton")</f>
        <v>Oakland, Ben / Drake, Milton</v>
      </c>
      <c r="B6096" s="3">
        <f ca="1">IFERROR(__xludf.DUMMYFUNCTION("""COMPUTED_VALUE"""),1)</f>
        <v>1</v>
      </c>
      <c r="C6096" s="7">
        <f ca="1">IFERROR(__xludf.DUMMYFUNCTION("""COMPUTED_VALUE"""),1)</f>
        <v>1</v>
      </c>
      <c r="D6096" s="8">
        <f ca="1">IFERROR(__xludf.DUMMYFUNCTION("""COMPUTED_VALUE"""),5)</f>
        <v>5</v>
      </c>
      <c r="E6096" s="2">
        <f ca="1">IFERROR(__xludf.DUMMYFUNCTION("""COMPUTED_VALUE"""),2)</f>
        <v>2</v>
      </c>
    </row>
    <row r="6097" spans="1:5" ht="13">
      <c r="A6097" s="2" t="str">
        <f ca="1">IFERROR(__xludf.DUMMYFUNCTION("""COMPUTED_VALUE"""),"Oaks, Jared")</f>
        <v>Oaks, Jared</v>
      </c>
      <c r="B6097" s="3">
        <f ca="1">IFERROR(__xludf.DUMMYFUNCTION("""COMPUTED_VALUE"""),1)</f>
        <v>1</v>
      </c>
      <c r="C6097" s="7">
        <f ca="1">IFERROR(__xludf.DUMMYFUNCTION("""COMPUTED_VALUE"""),1)</f>
        <v>1</v>
      </c>
      <c r="D6097" s="8">
        <f ca="1">IFERROR(__xludf.DUMMYFUNCTION("""COMPUTED_VALUE"""),1)</f>
        <v>1</v>
      </c>
      <c r="E6097" s="2">
        <f ca="1">IFERROR(__xludf.DUMMYFUNCTION("""COMPUTED_VALUE"""),1)</f>
        <v>1</v>
      </c>
    </row>
    <row r="6098" spans="1:5" ht="13">
      <c r="A6098" s="2" t="str">
        <f ca="1">IFERROR(__xludf.DUMMYFUNCTION("""COMPUTED_VALUE"""),"Oare, Michael")</f>
        <v>Oare, Michael</v>
      </c>
      <c r="B6098" s="3">
        <f ca="1">IFERROR(__xludf.DUMMYFUNCTION("""COMPUTED_VALUE"""),1)</f>
        <v>1</v>
      </c>
      <c r="C6098" s="7">
        <f ca="1">IFERROR(__xludf.DUMMYFUNCTION("""COMPUTED_VALUE"""),1)</f>
        <v>1</v>
      </c>
      <c r="D6098" s="8">
        <f ca="1">IFERROR(__xludf.DUMMYFUNCTION("""COMPUTED_VALUE"""),1)</f>
        <v>1</v>
      </c>
      <c r="E6098" s="2">
        <f ca="1">IFERROR(__xludf.DUMMYFUNCTION("""COMPUTED_VALUE"""),1)</f>
        <v>1</v>
      </c>
    </row>
    <row r="6099" spans="1:5" ht="13">
      <c r="A6099" s="8" t="str">
        <f ca="1">IFERROR(__xludf.DUMMYFUNCTION("""COMPUTED_VALUE"""),"Obradors, Fernando")</f>
        <v>Obradors, Fernando</v>
      </c>
      <c r="B6099" s="3">
        <f ca="1">IFERROR(__xludf.DUMMYFUNCTION("""COMPUTED_VALUE"""),1)</f>
        <v>1</v>
      </c>
      <c r="C6099" s="7">
        <f ca="1">IFERROR(__xludf.DUMMYFUNCTION("""COMPUTED_VALUE"""),1)</f>
        <v>1</v>
      </c>
      <c r="D6099" s="8">
        <f ca="1">IFERROR(__xludf.DUMMYFUNCTION("""COMPUTED_VALUE"""),5)</f>
        <v>5</v>
      </c>
      <c r="E6099" s="2">
        <f ca="1">IFERROR(__xludf.DUMMYFUNCTION("""COMPUTED_VALUE"""),2)</f>
        <v>2</v>
      </c>
    </row>
    <row r="6100" spans="1:5" ht="13">
      <c r="A6100" s="2" t="str">
        <f ca="1">IFERROR(__xludf.DUMMYFUNCTION("""COMPUTED_VALUE"""),"Obrecht, Jacob")</f>
        <v>Obrecht, Jacob</v>
      </c>
      <c r="B6100" s="3">
        <f ca="1">IFERROR(__xludf.DUMMYFUNCTION("""COMPUTED_VALUE"""),1)</f>
        <v>1</v>
      </c>
      <c r="C6100" s="7">
        <f ca="1">IFERROR(__xludf.DUMMYFUNCTION("""COMPUTED_VALUE"""),1)</f>
        <v>1</v>
      </c>
      <c r="D6100" s="8">
        <f ca="1">IFERROR(__xludf.DUMMYFUNCTION("""COMPUTED_VALUE"""),5)</f>
        <v>5</v>
      </c>
      <c r="E6100" s="2">
        <f ca="1">IFERROR(__xludf.DUMMYFUNCTION("""COMPUTED_VALUE"""),2)</f>
        <v>2</v>
      </c>
    </row>
    <row r="6101" spans="1:5" ht="13">
      <c r="A6101" s="8" t="str">
        <f ca="1">IFERROR(__xludf.DUMMYFUNCTION("""COMPUTED_VALUE"""),"Obukhov, Nikolay / Shiskin, Mikhail")</f>
        <v>Obukhov, Nikolay / Shiskin, Mikhail</v>
      </c>
      <c r="B6101" s="3">
        <f ca="1">IFERROR(__xludf.DUMMYFUNCTION("""COMPUTED_VALUE"""),1)</f>
        <v>1</v>
      </c>
      <c r="C6101" s="7">
        <f ca="1">IFERROR(__xludf.DUMMYFUNCTION("""COMPUTED_VALUE"""),1)</f>
        <v>1</v>
      </c>
      <c r="D6101" s="8">
        <f ca="1">IFERROR(__xludf.DUMMYFUNCTION("""COMPUTED_VALUE"""),5)</f>
        <v>5</v>
      </c>
      <c r="E6101" s="2">
        <f ca="1">IFERROR(__xludf.DUMMYFUNCTION("""COMPUTED_VALUE"""),2)</f>
        <v>2</v>
      </c>
    </row>
    <row r="6102" spans="1:5" ht="13">
      <c r="A6102" s="2" t="str">
        <f ca="1">IFERROR(__xludf.DUMMYFUNCTION("""COMPUTED_VALUE"""),"Ockeghem, Johannes")</f>
        <v>Ockeghem, Johannes</v>
      </c>
      <c r="B6102" s="3">
        <f ca="1">IFERROR(__xludf.DUMMYFUNCTION("""COMPUTED_VALUE"""),1)</f>
        <v>1</v>
      </c>
      <c r="C6102" s="7">
        <f ca="1">IFERROR(__xludf.DUMMYFUNCTION("""COMPUTED_VALUE"""),1)</f>
        <v>1</v>
      </c>
      <c r="D6102" s="8">
        <f ca="1">IFERROR(__xludf.DUMMYFUNCTION("""COMPUTED_VALUE"""),5)</f>
        <v>5</v>
      </c>
      <c r="E6102" s="2">
        <f ca="1">IFERROR(__xludf.DUMMYFUNCTION("""COMPUTED_VALUE"""),2)</f>
        <v>2</v>
      </c>
    </row>
    <row r="6103" spans="1:5" ht="13">
      <c r="A6103" s="2" t="str">
        <f ca="1">IFERROR(__xludf.DUMMYFUNCTION("""COMPUTED_VALUE"""),"Odom, Lawrence")</f>
        <v>Odom, Lawrence</v>
      </c>
      <c r="B6103" s="3">
        <f ca="1">IFERROR(__xludf.DUMMYFUNCTION("""COMPUTED_VALUE"""),1)</f>
        <v>1</v>
      </c>
      <c r="C6103" s="7">
        <f ca="1">IFERROR(__xludf.DUMMYFUNCTION("""COMPUTED_VALUE"""),1)</f>
        <v>1</v>
      </c>
      <c r="D6103" s="8">
        <f ca="1">IFERROR(__xludf.DUMMYFUNCTION("""COMPUTED_VALUE"""),1)</f>
        <v>1</v>
      </c>
      <c r="E6103" s="2">
        <f ca="1">IFERROR(__xludf.DUMMYFUNCTION("""COMPUTED_VALUE"""),1)</f>
        <v>1</v>
      </c>
    </row>
    <row r="6104" spans="1:5" ht="13">
      <c r="A6104" s="2" t="str">
        <f ca="1">IFERROR(__xludf.DUMMYFUNCTION("""COMPUTED_VALUE"""),"Offenbach, Jacques")</f>
        <v>Offenbach, Jacques</v>
      </c>
      <c r="B6104" s="3">
        <f ca="1">IFERROR(__xludf.DUMMYFUNCTION("""COMPUTED_VALUE"""),1)</f>
        <v>1</v>
      </c>
      <c r="C6104" s="7">
        <f ca="1">IFERROR(__xludf.DUMMYFUNCTION("""COMPUTED_VALUE"""),1)</f>
        <v>1</v>
      </c>
      <c r="D6104" s="8">
        <f ca="1">IFERROR(__xludf.DUMMYFUNCTION("""COMPUTED_VALUE"""),5)</f>
        <v>5</v>
      </c>
      <c r="E6104" s="2">
        <f ca="1">IFERROR(__xludf.DUMMYFUNCTION("""COMPUTED_VALUE"""),2)</f>
        <v>2</v>
      </c>
    </row>
    <row r="6105" spans="1:5" ht="13">
      <c r="A6105" s="2" t="str">
        <f ca="1">IFERROR(__xludf.DUMMYFUNCTION("""COMPUTED_VALUE"""),"Ogden")</f>
        <v>Ogden</v>
      </c>
      <c r="B6105" s="3">
        <f ca="1">IFERROR(__xludf.DUMMYFUNCTION("""COMPUTED_VALUE"""),1)</f>
        <v>1</v>
      </c>
      <c r="C6105" s="7">
        <f ca="1">IFERROR(__xludf.DUMMYFUNCTION("""COMPUTED_VALUE"""),1)</f>
        <v>1</v>
      </c>
      <c r="D6105" s="8">
        <f ca="1">IFERROR(__xludf.DUMMYFUNCTION("""COMPUTED_VALUE"""),5)</f>
        <v>5</v>
      </c>
      <c r="E6105" s="2">
        <f ca="1">IFERROR(__xludf.DUMMYFUNCTION("""COMPUTED_VALUE"""),2)</f>
        <v>2</v>
      </c>
    </row>
    <row r="6106" spans="1:5" ht="13">
      <c r="A6106" s="2" t="str">
        <f ca="1">IFERROR(__xludf.DUMMYFUNCTION("""COMPUTED_VALUE"""),"Ogden, William")</f>
        <v>Ogden, William</v>
      </c>
      <c r="B6106" s="3">
        <f ca="1">IFERROR(__xludf.DUMMYFUNCTION("""COMPUTED_VALUE"""),1)</f>
        <v>1</v>
      </c>
      <c r="C6106" s="7">
        <f ca="1">IFERROR(__xludf.DUMMYFUNCTION("""COMPUTED_VALUE"""),1)</f>
        <v>1</v>
      </c>
      <c r="D6106" s="8">
        <f ca="1">IFERROR(__xludf.DUMMYFUNCTION("""COMPUTED_VALUE"""),5)</f>
        <v>5</v>
      </c>
      <c r="E6106" s="2">
        <f ca="1">IFERROR(__xludf.DUMMYFUNCTION("""COMPUTED_VALUE"""),2)</f>
        <v>2</v>
      </c>
    </row>
    <row r="6107" spans="1:5" ht="13">
      <c r="A6107" s="2" t="str">
        <f ca="1">IFERROR(__xludf.DUMMYFUNCTION("""COMPUTED_VALUE"""),"Ogren, Jayce")</f>
        <v>Ogren, Jayce</v>
      </c>
      <c r="B6107" s="3">
        <f ca="1">IFERROR(__xludf.DUMMYFUNCTION("""COMPUTED_VALUE"""),1)</f>
        <v>1</v>
      </c>
      <c r="C6107" s="7">
        <f ca="1">IFERROR(__xludf.DUMMYFUNCTION("""COMPUTED_VALUE"""),1)</f>
        <v>1</v>
      </c>
      <c r="D6107" s="8">
        <f ca="1">IFERROR(__xludf.DUMMYFUNCTION("""COMPUTED_VALUE"""),1)</f>
        <v>1</v>
      </c>
      <c r="E6107" s="2">
        <f ca="1">IFERROR(__xludf.DUMMYFUNCTION("""COMPUTED_VALUE"""),1)</f>
        <v>1</v>
      </c>
    </row>
    <row r="6108" spans="1:5" ht="13">
      <c r="A6108" s="2" t="str">
        <f ca="1">IFERROR(__xludf.DUMMYFUNCTION("""COMPUTED_VALUE"""),"Olah, Donald E.")</f>
        <v>Olah, Donald E.</v>
      </c>
      <c r="B6108" s="3">
        <f ca="1">IFERROR(__xludf.DUMMYFUNCTION("""COMPUTED_VALUE"""),1)</f>
        <v>1</v>
      </c>
      <c r="C6108" s="7">
        <f ca="1">IFERROR(__xludf.DUMMYFUNCTION("""COMPUTED_VALUE"""),1)</f>
        <v>1</v>
      </c>
      <c r="D6108" s="8">
        <f ca="1">IFERROR(__xludf.DUMMYFUNCTION("""COMPUTED_VALUE"""),1)</f>
        <v>1</v>
      </c>
      <c r="E6108" s="2">
        <f ca="1">IFERROR(__xludf.DUMMYFUNCTION("""COMPUTED_VALUE"""),1)</f>
        <v>1</v>
      </c>
    </row>
    <row r="6109" spans="1:5" ht="13">
      <c r="A6109" s="2" t="str">
        <f ca="1">IFERROR(__xludf.DUMMYFUNCTION("""COMPUTED_VALUE"""),"Olcott, Chauncey")</f>
        <v>Olcott, Chauncey</v>
      </c>
      <c r="B6109" s="3">
        <f ca="1">IFERROR(__xludf.DUMMYFUNCTION("""COMPUTED_VALUE"""),1)</f>
        <v>1</v>
      </c>
      <c r="C6109" s="7">
        <f ca="1">IFERROR(__xludf.DUMMYFUNCTION("""COMPUTED_VALUE"""),1)</f>
        <v>1</v>
      </c>
      <c r="D6109" s="8">
        <f ca="1">IFERROR(__xludf.DUMMYFUNCTION("""COMPUTED_VALUE"""),5)</f>
        <v>5</v>
      </c>
      <c r="E6109" s="2">
        <f ca="1">IFERROR(__xludf.DUMMYFUNCTION("""COMPUTED_VALUE"""),2)</f>
        <v>2</v>
      </c>
    </row>
    <row r="6110" spans="1:5" ht="13">
      <c r="A6110" s="2" t="str">
        <f ca="1">IFERROR(__xludf.DUMMYFUNCTION("""COMPUTED_VALUE"""),"Oldencott, Fred")</f>
        <v>Oldencott, Fred</v>
      </c>
      <c r="B6110" s="3">
        <f ca="1">IFERROR(__xludf.DUMMYFUNCTION("""COMPUTED_VALUE"""),1)</f>
        <v>1</v>
      </c>
      <c r="C6110" s="7">
        <f ca="1">IFERROR(__xludf.DUMMYFUNCTION("""COMPUTED_VALUE"""),1)</f>
        <v>1</v>
      </c>
      <c r="D6110" s="8">
        <f ca="1">IFERROR(__xludf.DUMMYFUNCTION("""COMPUTED_VALUE"""),5)</f>
        <v>5</v>
      </c>
      <c r="E6110" s="2">
        <f ca="1">IFERROR(__xludf.DUMMYFUNCTION("""COMPUTED_VALUE"""),2)</f>
        <v>2</v>
      </c>
    </row>
    <row r="6111" spans="1:5" ht="13">
      <c r="A6111" s="2" t="str">
        <f ca="1">IFERROR(__xludf.DUMMYFUNCTION("""COMPUTED_VALUE"""),"Oldroyd, George")</f>
        <v>Oldroyd, George</v>
      </c>
      <c r="B6111" s="3">
        <f ca="1">IFERROR(__xludf.DUMMYFUNCTION("""COMPUTED_VALUE"""),1)</f>
        <v>1</v>
      </c>
      <c r="C6111" s="7">
        <f ca="1">IFERROR(__xludf.DUMMYFUNCTION("""COMPUTED_VALUE"""),1)</f>
        <v>1</v>
      </c>
      <c r="D6111" s="8">
        <f ca="1">IFERROR(__xludf.DUMMYFUNCTION("""COMPUTED_VALUE"""),5)</f>
        <v>5</v>
      </c>
      <c r="E6111" s="2">
        <f ca="1">IFERROR(__xludf.DUMMYFUNCTION("""COMPUTED_VALUE"""),2)</f>
        <v>2</v>
      </c>
    </row>
    <row r="6112" spans="1:5" ht="13">
      <c r="A6112" s="2" t="str">
        <f ca="1">IFERROR(__xludf.DUMMYFUNCTION("""COMPUTED_VALUE"""),"Ole Stein, Arne")</f>
        <v>Ole Stein, Arne</v>
      </c>
      <c r="B6112" s="3">
        <f ca="1">IFERROR(__xludf.DUMMYFUNCTION("""COMPUTED_VALUE"""),1)</f>
        <v>1</v>
      </c>
      <c r="C6112" s="7">
        <f ca="1">IFERROR(__xludf.DUMMYFUNCTION("""COMPUTED_VALUE"""),1)</f>
        <v>1</v>
      </c>
      <c r="D6112" s="8">
        <f ca="1">IFERROR(__xludf.DUMMYFUNCTION("""COMPUTED_VALUE"""),1)</f>
        <v>1</v>
      </c>
      <c r="E6112" s="2">
        <f ca="1">IFERROR(__xludf.DUMMYFUNCTION("""COMPUTED_VALUE"""),1)</f>
        <v>1</v>
      </c>
    </row>
    <row r="6113" spans="1:5" ht="13">
      <c r="A6113" s="2" t="str">
        <f ca="1">IFERROR(__xludf.DUMMYFUNCTION("""COMPUTED_VALUE"""),"Oler, Kim")</f>
        <v>Oler, Kim</v>
      </c>
      <c r="B6113" s="3">
        <f ca="1">IFERROR(__xludf.DUMMYFUNCTION("""COMPUTED_VALUE"""),1)</f>
        <v>1</v>
      </c>
      <c r="C6113" s="7">
        <f ca="1">IFERROR(__xludf.DUMMYFUNCTION("""COMPUTED_VALUE"""),1)</f>
        <v>1</v>
      </c>
      <c r="D6113" s="8">
        <f ca="1">IFERROR(__xludf.DUMMYFUNCTION("""COMPUTED_VALUE"""),1)</f>
        <v>1</v>
      </c>
      <c r="E6113" s="2">
        <f ca="1">IFERROR(__xludf.DUMMYFUNCTION("""COMPUTED_VALUE"""),1)</f>
        <v>1</v>
      </c>
    </row>
    <row r="6114" spans="1:5" ht="13">
      <c r="A6114" s="2" t="str">
        <f ca="1">IFERROR(__xludf.DUMMYFUNCTION("""COMPUTED_VALUE"""),"Olilver, Christian")</f>
        <v>Olilver, Christian</v>
      </c>
      <c r="B6114" s="3">
        <f ca="1">IFERROR(__xludf.DUMMYFUNCTION("""COMPUTED_VALUE"""),1)</f>
        <v>1</v>
      </c>
      <c r="C6114" s="7">
        <f ca="1">IFERROR(__xludf.DUMMYFUNCTION("""COMPUTED_VALUE"""),1)</f>
        <v>1</v>
      </c>
      <c r="D6114" s="8">
        <f ca="1">IFERROR(__xludf.DUMMYFUNCTION("""COMPUTED_VALUE"""),1)</f>
        <v>1</v>
      </c>
      <c r="E6114" s="2">
        <f ca="1">IFERROR(__xludf.DUMMYFUNCTION("""COMPUTED_VALUE"""),1)</f>
        <v>1</v>
      </c>
    </row>
    <row r="6115" spans="1:5" ht="13">
      <c r="A6115" s="2" t="str">
        <f ca="1">IFERROR(__xludf.DUMMYFUNCTION("""COMPUTED_VALUE"""),"Olivadoti, Joseph")</f>
        <v>Olivadoti, Joseph</v>
      </c>
      <c r="B6115" s="3">
        <f ca="1">IFERROR(__xludf.DUMMYFUNCTION("""COMPUTED_VALUE"""),1)</f>
        <v>1</v>
      </c>
      <c r="C6115" s="7">
        <f ca="1">IFERROR(__xludf.DUMMYFUNCTION("""COMPUTED_VALUE"""),1)</f>
        <v>1</v>
      </c>
      <c r="D6115" s="8">
        <f ca="1">IFERROR(__xludf.DUMMYFUNCTION("""COMPUTED_VALUE"""),5)</f>
        <v>5</v>
      </c>
      <c r="E6115" s="3">
        <f ca="1">IFERROR(__xludf.DUMMYFUNCTION("""COMPUTED_VALUE"""),2)</f>
        <v>2</v>
      </c>
    </row>
    <row r="6116" spans="1:5" ht="13">
      <c r="A6116" s="2" t="str">
        <f ca="1">IFERROR(__xludf.DUMMYFUNCTION("""COMPUTED_VALUE"""),"Oliver, Cris")</f>
        <v>Oliver, Cris</v>
      </c>
      <c r="B6116" s="3">
        <f ca="1">IFERROR(__xludf.DUMMYFUNCTION("""COMPUTED_VALUE"""),1)</f>
        <v>1</v>
      </c>
      <c r="C6116" s="7">
        <f ca="1">IFERROR(__xludf.DUMMYFUNCTION("""COMPUTED_VALUE"""),1)</f>
        <v>1</v>
      </c>
      <c r="D6116" s="8">
        <f ca="1">IFERROR(__xludf.DUMMYFUNCTION("""COMPUTED_VALUE"""),1)</f>
        <v>1</v>
      </c>
      <c r="E6116" s="2">
        <f ca="1">IFERROR(__xludf.DUMMYFUNCTION("""COMPUTED_VALUE"""),1)</f>
        <v>1</v>
      </c>
    </row>
    <row r="6117" spans="1:5" ht="13">
      <c r="A6117" s="2" t="str">
        <f ca="1">IFERROR(__xludf.DUMMYFUNCTION("""COMPUTED_VALUE"""),"Oliver, Richard")</f>
        <v>Oliver, Richard</v>
      </c>
      <c r="B6117" s="3">
        <f ca="1">IFERROR(__xludf.DUMMYFUNCTION("""COMPUTED_VALUE"""),1)</f>
        <v>1</v>
      </c>
      <c r="C6117" s="7">
        <f ca="1">IFERROR(__xludf.DUMMYFUNCTION("""COMPUTED_VALUE"""),1)</f>
        <v>1</v>
      </c>
      <c r="D6117" s="8">
        <f ca="1">IFERROR(__xludf.DUMMYFUNCTION("""COMPUTED_VALUE"""),5)</f>
        <v>5</v>
      </c>
      <c r="E6117" s="2">
        <f ca="1">IFERROR(__xludf.DUMMYFUNCTION("""COMPUTED_VALUE"""),2)</f>
        <v>2</v>
      </c>
    </row>
    <row r="6118" spans="1:5" ht="13">
      <c r="A6118" s="2" t="str">
        <f ca="1">IFERROR(__xludf.DUMMYFUNCTION("""COMPUTED_VALUE"""),"Oliver, Sarn")</f>
        <v>Oliver, Sarn</v>
      </c>
      <c r="B6118" s="3">
        <f ca="1">IFERROR(__xludf.DUMMYFUNCTION("""COMPUTED_VALUE"""),1)</f>
        <v>1</v>
      </c>
      <c r="C6118" s="7">
        <f ca="1">IFERROR(__xludf.DUMMYFUNCTION("""COMPUTED_VALUE"""),1)</f>
        <v>1</v>
      </c>
      <c r="D6118" s="8">
        <f ca="1">IFERROR(__xludf.DUMMYFUNCTION("""COMPUTED_VALUE"""),1)</f>
        <v>1</v>
      </c>
      <c r="E6118" s="2">
        <f ca="1">IFERROR(__xludf.DUMMYFUNCTION("""COMPUTED_VALUE"""),1)</f>
        <v>1</v>
      </c>
    </row>
    <row r="6119" spans="1:5" ht="13">
      <c r="A6119" s="2" t="str">
        <f ca="1">IFERROR(__xludf.DUMMYFUNCTION("""COMPUTED_VALUE"""),"Oliver, Vince")</f>
        <v>Oliver, Vince</v>
      </c>
      <c r="B6119" s="3">
        <f ca="1">IFERROR(__xludf.DUMMYFUNCTION("""COMPUTED_VALUE"""),1)</f>
        <v>1</v>
      </c>
      <c r="C6119" s="7">
        <f ca="1">IFERROR(__xludf.DUMMYFUNCTION("""COMPUTED_VALUE"""),1)</f>
        <v>1</v>
      </c>
      <c r="D6119" s="8">
        <f ca="1">IFERROR(__xludf.DUMMYFUNCTION("""COMPUTED_VALUE"""),1)</f>
        <v>1</v>
      </c>
      <c r="E6119" s="2">
        <f ca="1">IFERROR(__xludf.DUMMYFUNCTION("""COMPUTED_VALUE"""),1)</f>
        <v>1</v>
      </c>
    </row>
    <row r="6120" spans="1:5" ht="13">
      <c r="A6120" s="2" t="str">
        <f ca="1">IFERROR(__xludf.DUMMYFUNCTION("""COMPUTED_VALUE"""),"Oliverio, James")</f>
        <v>Oliverio, James</v>
      </c>
      <c r="B6120" s="3">
        <f ca="1">IFERROR(__xludf.DUMMYFUNCTION("""COMPUTED_VALUE"""),1)</f>
        <v>1</v>
      </c>
      <c r="C6120" s="7">
        <f ca="1">IFERROR(__xludf.DUMMYFUNCTION("""COMPUTED_VALUE"""),1)</f>
        <v>1</v>
      </c>
      <c r="D6120" s="8">
        <f ca="1">IFERROR(__xludf.DUMMYFUNCTION("""COMPUTED_VALUE"""),1)</f>
        <v>1</v>
      </c>
      <c r="E6120" s="2">
        <f ca="1">IFERROR(__xludf.DUMMYFUNCTION("""COMPUTED_VALUE"""),1)</f>
        <v>1</v>
      </c>
    </row>
    <row r="6121" spans="1:5" ht="13">
      <c r="A6121" s="2" t="str">
        <f ca="1">IFERROR(__xludf.DUMMYFUNCTION("""COMPUTED_VALUE"""),"Olivieri, Dino")</f>
        <v>Olivieri, Dino</v>
      </c>
      <c r="B6121" s="2">
        <f ca="1">IFERROR(__xludf.DUMMYFUNCTION("""COMPUTED_VALUE"""),1)</f>
        <v>1</v>
      </c>
      <c r="C6121" s="7">
        <f ca="1">IFERROR(__xludf.DUMMYFUNCTION("""COMPUTED_VALUE"""),1)</f>
        <v>1</v>
      </c>
      <c r="D6121" s="8">
        <f ca="1">IFERROR(__xludf.DUMMYFUNCTION("""COMPUTED_VALUE"""),5)</f>
        <v>5</v>
      </c>
      <c r="E6121" s="2">
        <f ca="1">IFERROR(__xludf.DUMMYFUNCTION("""COMPUTED_VALUE"""),2)</f>
        <v>2</v>
      </c>
    </row>
    <row r="6122" spans="1:5" ht="13">
      <c r="A6122" s="2" t="str">
        <f ca="1">IFERROR(__xludf.DUMMYFUNCTION("""COMPUTED_VALUE"""),"Olson, Jason")</f>
        <v>Olson, Jason</v>
      </c>
      <c r="B6122" s="3">
        <f ca="1">IFERROR(__xludf.DUMMYFUNCTION("""COMPUTED_VALUE"""),1)</f>
        <v>1</v>
      </c>
      <c r="C6122" s="7">
        <f ca="1">IFERROR(__xludf.DUMMYFUNCTION("""COMPUTED_VALUE"""),1)</f>
        <v>1</v>
      </c>
      <c r="D6122" s="8">
        <f ca="1">IFERROR(__xludf.DUMMYFUNCTION("""COMPUTED_VALUE"""),1)</f>
        <v>1</v>
      </c>
      <c r="E6122" s="2">
        <f ca="1">IFERROR(__xludf.DUMMYFUNCTION("""COMPUTED_VALUE"""),1)</f>
        <v>1</v>
      </c>
    </row>
    <row r="6123" spans="1:5" ht="13">
      <c r="A6123" s="8" t="str">
        <f ca="1">IFERROR(__xludf.DUMMYFUNCTION("""COMPUTED_VALUE"""),"Olson, Levi")</f>
        <v>Olson, Levi</v>
      </c>
      <c r="B6123" s="3">
        <f ca="1">IFERROR(__xludf.DUMMYFUNCTION("""COMPUTED_VALUE"""),1)</f>
        <v>1</v>
      </c>
      <c r="C6123" s="7">
        <f ca="1">IFERROR(__xludf.DUMMYFUNCTION("""COMPUTED_VALUE"""),1)</f>
        <v>1</v>
      </c>
      <c r="D6123" s="8">
        <f ca="1">IFERROR(__xludf.DUMMYFUNCTION("""COMPUTED_VALUE"""),1)</f>
        <v>1</v>
      </c>
      <c r="E6123" s="2">
        <f ca="1">IFERROR(__xludf.DUMMYFUNCTION("""COMPUTED_VALUE"""),1)</f>
        <v>1</v>
      </c>
    </row>
    <row r="6124" spans="1:5" ht="13">
      <c r="A6124" s="2" t="str">
        <f ca="1">IFERROR(__xludf.DUMMYFUNCTION("""COMPUTED_VALUE"""),"Olson, Stanford")</f>
        <v>Olson, Stanford</v>
      </c>
      <c r="B6124" s="3">
        <f ca="1">IFERROR(__xludf.DUMMYFUNCTION("""COMPUTED_VALUE"""),1)</f>
        <v>1</v>
      </c>
      <c r="C6124" s="7">
        <f ca="1">IFERROR(__xludf.DUMMYFUNCTION("""COMPUTED_VALUE"""),1)</f>
        <v>1</v>
      </c>
      <c r="D6124" s="8">
        <f ca="1">IFERROR(__xludf.DUMMYFUNCTION("""COMPUTED_VALUE"""),1)</f>
        <v>1</v>
      </c>
      <c r="E6124" s="2">
        <f ca="1">IFERROR(__xludf.DUMMYFUNCTION("""COMPUTED_VALUE"""),1)</f>
        <v>1</v>
      </c>
    </row>
    <row r="6125" spans="1:5" ht="13">
      <c r="A6125" s="2" t="str">
        <f ca="1">IFERROR(__xludf.DUMMYFUNCTION("""COMPUTED_VALUE"""),"Olson, Steve")</f>
        <v>Olson, Steve</v>
      </c>
      <c r="B6125" s="3">
        <f ca="1">IFERROR(__xludf.DUMMYFUNCTION("""COMPUTED_VALUE"""),1)</f>
        <v>1</v>
      </c>
      <c r="C6125" s="7">
        <f ca="1">IFERROR(__xludf.DUMMYFUNCTION("""COMPUTED_VALUE"""),1)</f>
        <v>1</v>
      </c>
      <c r="D6125" s="8">
        <f ca="1">IFERROR(__xludf.DUMMYFUNCTION("""COMPUTED_VALUE"""),1)</f>
        <v>1</v>
      </c>
      <c r="E6125" s="2">
        <f ca="1">IFERROR(__xludf.DUMMYFUNCTION("""COMPUTED_VALUE"""),1)</f>
        <v>1</v>
      </c>
    </row>
    <row r="6126" spans="1:5" ht="13">
      <c r="A6126" s="2" t="str">
        <f ca="1">IFERROR(__xludf.DUMMYFUNCTION("""COMPUTED_VALUE"""),"Oltman, Matthew")</f>
        <v>Oltman, Matthew</v>
      </c>
      <c r="B6126" s="3">
        <f ca="1">IFERROR(__xludf.DUMMYFUNCTION("""COMPUTED_VALUE"""),1)</f>
        <v>1</v>
      </c>
      <c r="C6126" s="7">
        <f ca="1">IFERROR(__xludf.DUMMYFUNCTION("""COMPUTED_VALUE"""),1)</f>
        <v>1</v>
      </c>
      <c r="D6126" s="8">
        <f ca="1">IFERROR(__xludf.DUMMYFUNCTION("""COMPUTED_VALUE"""),1)</f>
        <v>1</v>
      </c>
      <c r="E6126" s="2">
        <f ca="1">IFERROR(__xludf.DUMMYFUNCTION("""COMPUTED_VALUE"""),1)</f>
        <v>1</v>
      </c>
    </row>
    <row r="6127" spans="1:5" ht="13">
      <c r="A6127" s="2" t="str">
        <f ca="1">IFERROR(__xludf.DUMMYFUNCTION("""COMPUTED_VALUE"""),"Omiccioli, Nick")</f>
        <v>Omiccioli, Nick</v>
      </c>
      <c r="B6127" s="3">
        <f ca="1">IFERROR(__xludf.DUMMYFUNCTION("""COMPUTED_VALUE"""),1)</f>
        <v>1</v>
      </c>
      <c r="C6127" s="7">
        <f ca="1">IFERROR(__xludf.DUMMYFUNCTION("""COMPUTED_VALUE"""),1)</f>
        <v>1</v>
      </c>
      <c r="D6127" s="8">
        <f ca="1">IFERROR(__xludf.DUMMYFUNCTION("""COMPUTED_VALUE"""),1)</f>
        <v>1</v>
      </c>
      <c r="E6127" s="2">
        <f ca="1">IFERROR(__xludf.DUMMYFUNCTION("""COMPUTED_VALUE"""),1)</f>
        <v>1</v>
      </c>
    </row>
    <row r="6128" spans="1:5" ht="13">
      <c r="A6128" s="2" t="str">
        <f ca="1">IFERROR(__xludf.DUMMYFUNCTION("""COMPUTED_VALUE"""),"Oppido, Vincent")</f>
        <v>Oppido, Vincent</v>
      </c>
      <c r="B6128" s="3">
        <f ca="1">IFERROR(__xludf.DUMMYFUNCTION("""COMPUTED_VALUE"""),1)</f>
        <v>1</v>
      </c>
      <c r="C6128" s="7">
        <f ca="1">IFERROR(__xludf.DUMMYFUNCTION("""COMPUTED_VALUE"""),1)</f>
        <v>1</v>
      </c>
      <c r="D6128" s="8">
        <f ca="1">IFERROR(__xludf.DUMMYFUNCTION("""COMPUTED_VALUE"""),1)</f>
        <v>1</v>
      </c>
      <c r="E6128" s="2">
        <f ca="1">IFERROR(__xludf.DUMMYFUNCTION("""COMPUTED_VALUE"""),1)</f>
        <v>1</v>
      </c>
    </row>
    <row r="6129" spans="1:5" ht="13">
      <c r="A6129" s="2" t="str">
        <f ca="1">IFERROR(__xludf.DUMMYFUNCTION("""COMPUTED_VALUE"""),"Oquin, Wayne")</f>
        <v>Oquin, Wayne</v>
      </c>
      <c r="B6129" s="3">
        <f ca="1">IFERROR(__xludf.DUMMYFUNCTION("""COMPUTED_VALUE"""),1)</f>
        <v>1</v>
      </c>
      <c r="C6129" s="7">
        <f ca="1">IFERROR(__xludf.DUMMYFUNCTION("""COMPUTED_VALUE"""),1)</f>
        <v>1</v>
      </c>
      <c r="D6129" s="8">
        <f ca="1">IFERROR(__xludf.DUMMYFUNCTION("""COMPUTED_VALUE"""),1)</f>
        <v>1</v>
      </c>
      <c r="E6129" s="2">
        <f ca="1">IFERROR(__xludf.DUMMYFUNCTION("""COMPUTED_VALUE"""),1)</f>
        <v>1</v>
      </c>
    </row>
    <row r="6130" spans="1:5" ht="13">
      <c r="A6130" s="2" t="str">
        <f ca="1">IFERROR(__xludf.DUMMYFUNCTION("""COMPUTED_VALUE"""),"Orbán, György")</f>
        <v>Orbán, György</v>
      </c>
      <c r="B6130" s="2">
        <f ca="1">IFERROR(__xludf.DUMMYFUNCTION("""COMPUTED_VALUE"""),1)</f>
        <v>1</v>
      </c>
      <c r="C6130" s="7">
        <f ca="1">IFERROR(__xludf.DUMMYFUNCTION("""COMPUTED_VALUE"""),1)</f>
        <v>1</v>
      </c>
      <c r="D6130" s="8">
        <f ca="1">IFERROR(__xludf.DUMMYFUNCTION("""COMPUTED_VALUE"""),1)</f>
        <v>1</v>
      </c>
      <c r="E6130" s="2">
        <f ca="1">IFERROR(__xludf.DUMMYFUNCTION("""COMPUTED_VALUE"""),1)</f>
        <v>1</v>
      </c>
    </row>
    <row r="6131" spans="1:5" ht="13">
      <c r="A6131" s="8" t="str">
        <f ca="1">IFERROR(__xludf.DUMMYFUNCTION("""COMPUTED_VALUE"""),"Orcino, Len")</f>
        <v>Orcino, Len</v>
      </c>
      <c r="B6131" s="3">
        <f ca="1">IFERROR(__xludf.DUMMYFUNCTION("""COMPUTED_VALUE"""),1)</f>
        <v>1</v>
      </c>
      <c r="C6131" s="7">
        <f ca="1">IFERROR(__xludf.DUMMYFUNCTION("""COMPUTED_VALUE"""),1)</f>
        <v>1</v>
      </c>
      <c r="D6131" s="8">
        <f ca="1">IFERROR(__xludf.DUMMYFUNCTION("""COMPUTED_VALUE"""),1)</f>
        <v>1</v>
      </c>
      <c r="E6131" s="2">
        <f ca="1">IFERROR(__xludf.DUMMYFUNCTION("""COMPUTED_VALUE"""),1)</f>
        <v>1</v>
      </c>
    </row>
    <row r="6132" spans="1:5" ht="13">
      <c r="A6132" s="2" t="str">
        <f ca="1">IFERROR(__xludf.DUMMYFUNCTION("""COMPUTED_VALUE"""),"Ord, Boris")</f>
        <v>Ord, Boris</v>
      </c>
      <c r="B6132" s="3">
        <f ca="1">IFERROR(__xludf.DUMMYFUNCTION("""COMPUTED_VALUE"""),1)</f>
        <v>1</v>
      </c>
      <c r="C6132" s="7">
        <f ca="1">IFERROR(__xludf.DUMMYFUNCTION("""COMPUTED_VALUE"""),1)</f>
        <v>1</v>
      </c>
      <c r="D6132" s="8">
        <f ca="1">IFERROR(__xludf.DUMMYFUNCTION("""COMPUTED_VALUE"""),5)</f>
        <v>5</v>
      </c>
      <c r="E6132" s="2">
        <f ca="1">IFERROR(__xludf.DUMMYFUNCTION("""COMPUTED_VALUE"""),2)</f>
        <v>2</v>
      </c>
    </row>
    <row r="6133" spans="1:5" ht="13">
      <c r="A6133" s="2" t="str">
        <f ca="1">IFERROR(__xludf.DUMMYFUNCTION("""COMPUTED_VALUE"""),"Orff, Carl")</f>
        <v>Orff, Carl</v>
      </c>
      <c r="B6133" s="3">
        <f ca="1">IFERROR(__xludf.DUMMYFUNCTION("""COMPUTED_VALUE"""),1)</f>
        <v>1</v>
      </c>
      <c r="C6133" s="7">
        <f ca="1">IFERROR(__xludf.DUMMYFUNCTION("""COMPUTED_VALUE"""),1)</f>
        <v>1</v>
      </c>
      <c r="D6133" s="8">
        <f ca="1">IFERROR(__xludf.DUMMYFUNCTION("""COMPUTED_VALUE"""),5)</f>
        <v>5</v>
      </c>
      <c r="E6133" s="2">
        <f ca="1">IFERROR(__xludf.DUMMYFUNCTION("""COMPUTED_VALUE"""),2)</f>
        <v>2</v>
      </c>
    </row>
    <row r="6134" spans="1:5" ht="13">
      <c r="A6134" s="2" t="str">
        <f ca="1">IFERROR(__xludf.DUMMYFUNCTION("""COMPUTED_VALUE"""),"Orlovich, Matthew")</f>
        <v>Orlovich, Matthew</v>
      </c>
      <c r="B6134" s="3">
        <f ca="1">IFERROR(__xludf.DUMMYFUNCTION("""COMPUTED_VALUE"""),1)</f>
        <v>1</v>
      </c>
      <c r="C6134" s="7">
        <f ca="1">IFERROR(__xludf.DUMMYFUNCTION("""COMPUTED_VALUE"""),1)</f>
        <v>1</v>
      </c>
      <c r="D6134" s="8">
        <f ca="1">IFERROR(__xludf.DUMMYFUNCTION("""COMPUTED_VALUE"""),1)</f>
        <v>1</v>
      </c>
      <c r="E6134" s="2">
        <f ca="1">IFERROR(__xludf.DUMMYFUNCTION("""COMPUTED_VALUE"""),1)</f>
        <v>1</v>
      </c>
    </row>
    <row r="6135" spans="1:5" ht="13">
      <c r="A6135" s="2" t="str">
        <f ca="1">IFERROR(__xludf.DUMMYFUNCTION("""COMPUTED_VALUE"""),"Ormandy, Eugene")</f>
        <v>Ormandy, Eugene</v>
      </c>
      <c r="B6135" s="2">
        <f ca="1">IFERROR(__xludf.DUMMYFUNCTION("""COMPUTED_VALUE"""),1)</f>
        <v>1</v>
      </c>
      <c r="C6135" s="7">
        <f ca="1">IFERROR(__xludf.DUMMYFUNCTION("""COMPUTED_VALUE"""),1)</f>
        <v>1</v>
      </c>
      <c r="D6135" s="8">
        <f ca="1">IFERROR(__xludf.DUMMYFUNCTION("""COMPUTED_VALUE"""),5)</f>
        <v>5</v>
      </c>
      <c r="E6135" s="2">
        <f ca="1">IFERROR(__xludf.DUMMYFUNCTION("""COMPUTED_VALUE"""),2)</f>
        <v>2</v>
      </c>
    </row>
    <row r="6136" spans="1:5" ht="13">
      <c r="A6136" s="2" t="str">
        <f ca="1">IFERROR(__xludf.DUMMYFUNCTION("""COMPUTED_VALUE"""),"Orr, Buxton")</f>
        <v>Orr, Buxton</v>
      </c>
      <c r="B6136" s="2">
        <f ca="1">IFERROR(__xludf.DUMMYFUNCTION("""COMPUTED_VALUE"""),1)</f>
        <v>1</v>
      </c>
      <c r="C6136" s="7">
        <f ca="1">IFERROR(__xludf.DUMMYFUNCTION("""COMPUTED_VALUE"""),1)</f>
        <v>1</v>
      </c>
      <c r="D6136" s="8">
        <f ca="1">IFERROR(__xludf.DUMMYFUNCTION("""COMPUTED_VALUE"""),5)</f>
        <v>5</v>
      </c>
      <c r="E6136" s="2">
        <f ca="1">IFERROR(__xludf.DUMMYFUNCTION("""COMPUTED_VALUE"""),2)</f>
        <v>2</v>
      </c>
    </row>
    <row r="6137" spans="1:5" ht="13">
      <c r="A6137" s="2" t="str">
        <f ca="1">IFERROR(__xludf.DUMMYFUNCTION("""COMPUTED_VALUE"""),"Orth, Charles J.")</f>
        <v>Orth, Charles J.</v>
      </c>
      <c r="B6137" s="3">
        <f ca="1">IFERROR(__xludf.DUMMYFUNCTION("""COMPUTED_VALUE"""),1)</f>
        <v>1</v>
      </c>
      <c r="C6137" s="7">
        <f ca="1">IFERROR(__xludf.DUMMYFUNCTION("""COMPUTED_VALUE"""),1)</f>
        <v>1</v>
      </c>
      <c r="D6137" s="8">
        <f ca="1">IFERROR(__xludf.DUMMYFUNCTION("""COMPUTED_VALUE"""),5)</f>
        <v>5</v>
      </c>
      <c r="E6137" s="2">
        <f ca="1">IFERROR(__xludf.DUMMYFUNCTION("""COMPUTED_VALUE"""),2)</f>
        <v>2</v>
      </c>
    </row>
    <row r="6138" spans="1:5" ht="13">
      <c r="A6138" s="2" t="str">
        <f ca="1">IFERROR(__xludf.DUMMYFUNCTION("""COMPUTED_VALUE"""),"Orth, Rene")</f>
        <v>Orth, Rene</v>
      </c>
      <c r="B6138" s="3">
        <f ca="1">IFERROR(__xludf.DUMMYFUNCTION("""COMPUTED_VALUE"""),1)</f>
        <v>1</v>
      </c>
      <c r="C6138" s="7">
        <f ca="1">IFERROR(__xludf.DUMMYFUNCTION("""COMPUTED_VALUE"""),1)</f>
        <v>1</v>
      </c>
      <c r="D6138" s="8">
        <f ca="1">IFERROR(__xludf.DUMMYFUNCTION("""COMPUTED_VALUE"""),1)</f>
        <v>1</v>
      </c>
      <c r="E6138" s="2">
        <f ca="1">IFERROR(__xludf.DUMMYFUNCTION("""COMPUTED_VALUE"""),1)</f>
        <v>1</v>
      </c>
    </row>
    <row r="6139" spans="1:5" ht="13">
      <c r="A6139" s="8" t="str">
        <f ca="1">IFERROR(__xludf.DUMMYFUNCTION("""COMPUTED_VALUE"""),"Ortiz, Diego")</f>
        <v>Ortiz, Diego</v>
      </c>
      <c r="B6139" s="3">
        <f ca="1">IFERROR(__xludf.DUMMYFUNCTION("""COMPUTED_VALUE"""),1)</f>
        <v>1</v>
      </c>
      <c r="C6139" s="7">
        <f ca="1">IFERROR(__xludf.DUMMYFUNCTION("""COMPUTED_VALUE"""),1)</f>
        <v>1</v>
      </c>
      <c r="D6139" s="8">
        <f ca="1">IFERROR(__xludf.DUMMYFUNCTION("""COMPUTED_VALUE"""),5)</f>
        <v>5</v>
      </c>
      <c r="E6139" s="2">
        <f ca="1">IFERROR(__xludf.DUMMYFUNCTION("""COMPUTED_VALUE"""),2)</f>
        <v>2</v>
      </c>
    </row>
    <row r="6140" spans="1:5" ht="13">
      <c r="A6140" s="2" t="str">
        <f ca="1">IFERROR(__xludf.DUMMYFUNCTION("""COMPUTED_VALUE"""),"Osborn, Sean")</f>
        <v>Osborn, Sean</v>
      </c>
      <c r="B6140" s="3">
        <f ca="1">IFERROR(__xludf.DUMMYFUNCTION("""COMPUTED_VALUE"""),1)</f>
        <v>1</v>
      </c>
      <c r="C6140" s="7">
        <f ca="1">IFERROR(__xludf.DUMMYFUNCTION("""COMPUTED_VALUE"""),1)</f>
        <v>1</v>
      </c>
      <c r="D6140" s="8">
        <f ca="1">IFERROR(__xludf.DUMMYFUNCTION("""COMPUTED_VALUE"""),1)</f>
        <v>1</v>
      </c>
      <c r="E6140" s="2">
        <f ca="1">IFERROR(__xludf.DUMMYFUNCTION("""COMPUTED_VALUE"""),1)</f>
        <v>1</v>
      </c>
    </row>
    <row r="6141" spans="1:5" ht="13">
      <c r="A6141" s="2" t="str">
        <f ca="1">IFERROR(__xludf.DUMMYFUNCTION("""COMPUTED_VALUE"""),"Osborne (unknown)")</f>
        <v>Osborne (unknown)</v>
      </c>
      <c r="B6141" s="3">
        <f ca="1">IFERROR(__xludf.DUMMYFUNCTION("""COMPUTED_VALUE"""),1)</f>
        <v>1</v>
      </c>
      <c r="C6141" s="7">
        <f ca="1">IFERROR(__xludf.DUMMYFUNCTION("""COMPUTED_VALUE"""),1)</f>
        <v>1</v>
      </c>
      <c r="D6141" s="8">
        <f ca="1">IFERROR(__xludf.DUMMYFUNCTION("""COMPUTED_VALUE"""),5)</f>
        <v>5</v>
      </c>
      <c r="E6141" s="2">
        <f ca="1">IFERROR(__xludf.DUMMYFUNCTION("""COMPUTED_VALUE"""),2)</f>
        <v>2</v>
      </c>
    </row>
    <row r="6142" spans="1:5" ht="13">
      <c r="A6142" s="2" t="str">
        <f ca="1">IFERROR(__xludf.DUMMYFUNCTION("""COMPUTED_VALUE"""),"Osborne, Chester G.")</f>
        <v>Osborne, Chester G.</v>
      </c>
      <c r="B6142" s="2">
        <f ca="1">IFERROR(__xludf.DUMMYFUNCTION("""COMPUTED_VALUE"""),1)</f>
        <v>1</v>
      </c>
      <c r="C6142" s="7">
        <f ca="1">IFERROR(__xludf.DUMMYFUNCTION("""COMPUTED_VALUE"""),1)</f>
        <v>1</v>
      </c>
      <c r="D6142" s="8">
        <f ca="1">IFERROR(__xludf.DUMMYFUNCTION("""COMPUTED_VALUE"""),5)</f>
        <v>5</v>
      </c>
      <c r="E6142" s="2">
        <f ca="1">IFERROR(__xludf.DUMMYFUNCTION("""COMPUTED_VALUE"""),2)</f>
        <v>2</v>
      </c>
    </row>
    <row r="6143" spans="1:5" ht="13">
      <c r="A6143" s="2" t="str">
        <f ca="1">IFERROR(__xludf.DUMMYFUNCTION("""COMPUTED_VALUE"""),"Osborne, Willson")</f>
        <v>Osborne, Willson</v>
      </c>
      <c r="B6143" s="3">
        <f ca="1">IFERROR(__xludf.DUMMYFUNCTION("""COMPUTED_VALUE"""),1)</f>
        <v>1</v>
      </c>
      <c r="C6143" s="7">
        <f ca="1">IFERROR(__xludf.DUMMYFUNCTION("""COMPUTED_VALUE"""),1)</f>
        <v>1</v>
      </c>
      <c r="D6143" s="8">
        <f ca="1">IFERROR(__xludf.DUMMYFUNCTION("""COMPUTED_VALUE"""),5)</f>
        <v>5</v>
      </c>
      <c r="E6143" s="2">
        <f ca="1">IFERROR(__xludf.DUMMYFUNCTION("""COMPUTED_VALUE"""),2)</f>
        <v>2</v>
      </c>
    </row>
    <row r="6144" spans="1:5" ht="13">
      <c r="A6144" s="2" t="str">
        <f ca="1">IFERROR(__xludf.DUMMYFUNCTION("""COMPUTED_VALUE"""),"Osentowski, Francis")</f>
        <v>Osentowski, Francis</v>
      </c>
      <c r="B6144" s="3">
        <f ca="1">IFERROR(__xludf.DUMMYFUNCTION("""COMPUTED_VALUE"""),1)</f>
        <v>1</v>
      </c>
      <c r="C6144" s="7">
        <f ca="1">IFERROR(__xludf.DUMMYFUNCTION("""COMPUTED_VALUE"""),1)</f>
        <v>1</v>
      </c>
      <c r="D6144" s="8">
        <f ca="1">IFERROR(__xludf.DUMMYFUNCTION("""COMPUTED_VALUE"""),1)</f>
        <v>1</v>
      </c>
      <c r="E6144" s="2">
        <f ca="1">IFERROR(__xludf.DUMMYFUNCTION("""COMPUTED_VALUE"""),1)</f>
        <v>1</v>
      </c>
    </row>
    <row r="6145" spans="1:5" ht="13">
      <c r="A6145" s="8" t="str">
        <f ca="1">IFERROR(__xludf.DUMMYFUNCTION("""COMPUTED_VALUE"""),"Osiek, Tim")</f>
        <v>Osiek, Tim</v>
      </c>
      <c r="B6145" s="3">
        <f ca="1">IFERROR(__xludf.DUMMYFUNCTION("""COMPUTED_VALUE"""),1)</f>
        <v>1</v>
      </c>
      <c r="C6145" s="7">
        <f ca="1">IFERROR(__xludf.DUMMYFUNCTION("""COMPUTED_VALUE"""),1)</f>
        <v>1</v>
      </c>
      <c r="D6145" s="8">
        <f ca="1">IFERROR(__xludf.DUMMYFUNCTION("""COMPUTED_VALUE"""),1)</f>
        <v>1</v>
      </c>
      <c r="E6145" s="2">
        <f ca="1">IFERROR(__xludf.DUMMYFUNCTION("""COMPUTED_VALUE"""),1)</f>
        <v>1</v>
      </c>
    </row>
    <row r="6146" spans="1:5" ht="13">
      <c r="A6146" s="2" t="str">
        <f ca="1">IFERROR(__xludf.DUMMYFUNCTION("""COMPUTED_VALUE"""),"Osmon, Leroy")</f>
        <v>Osmon, Leroy</v>
      </c>
      <c r="B6146" s="3">
        <f ca="1">IFERROR(__xludf.DUMMYFUNCTION("""COMPUTED_VALUE"""),1)</f>
        <v>1</v>
      </c>
      <c r="C6146" s="7">
        <f ca="1">IFERROR(__xludf.DUMMYFUNCTION("""COMPUTED_VALUE"""),1)</f>
        <v>1</v>
      </c>
      <c r="D6146" s="8">
        <f ca="1">IFERROR(__xludf.DUMMYFUNCTION("""COMPUTED_VALUE"""),1)</f>
        <v>1</v>
      </c>
      <c r="E6146" s="2">
        <f ca="1">IFERROR(__xludf.DUMMYFUNCTION("""COMPUTED_VALUE"""),1)</f>
        <v>1</v>
      </c>
    </row>
    <row r="6147" spans="1:5" ht="13">
      <c r="A6147" s="2" t="str">
        <f ca="1">IFERROR(__xludf.DUMMYFUNCTION("""COMPUTED_VALUE"""),"Osser, Glenn")</f>
        <v>Osser, Glenn</v>
      </c>
      <c r="B6147" s="3">
        <f ca="1">IFERROR(__xludf.DUMMYFUNCTION("""COMPUTED_VALUE"""),1)</f>
        <v>1</v>
      </c>
      <c r="C6147" s="7">
        <f ca="1">IFERROR(__xludf.DUMMYFUNCTION("""COMPUTED_VALUE"""),1)</f>
        <v>1</v>
      </c>
      <c r="D6147" s="8">
        <f ca="1">IFERROR(__xludf.DUMMYFUNCTION("""COMPUTED_VALUE"""),5)</f>
        <v>5</v>
      </c>
      <c r="E6147" s="2">
        <f ca="1">IFERROR(__xludf.DUMMYFUNCTION("""COMPUTED_VALUE"""),2)</f>
        <v>2</v>
      </c>
    </row>
    <row r="6148" spans="1:5" ht="13">
      <c r="A6148" s="2" t="str">
        <f ca="1">IFERROR(__xludf.DUMMYFUNCTION("""COMPUTED_VALUE"""),"Osterling, Eric")</f>
        <v>Osterling, Eric</v>
      </c>
      <c r="B6148" s="3">
        <f ca="1">IFERROR(__xludf.DUMMYFUNCTION("""COMPUTED_VALUE"""),1)</f>
        <v>1</v>
      </c>
      <c r="C6148" s="7">
        <f ca="1">IFERROR(__xludf.DUMMYFUNCTION("""COMPUTED_VALUE"""),1)</f>
        <v>1</v>
      </c>
      <c r="D6148" s="8">
        <f ca="1">IFERROR(__xludf.DUMMYFUNCTION("""COMPUTED_VALUE"""),1)</f>
        <v>1</v>
      </c>
      <c r="E6148" s="2">
        <f ca="1">IFERROR(__xludf.DUMMYFUNCTION("""COMPUTED_VALUE"""),1)</f>
        <v>1</v>
      </c>
    </row>
    <row r="6149" spans="1:5" ht="13">
      <c r="A6149" s="8" t="str">
        <f ca="1">IFERROR(__xludf.DUMMYFUNCTION("""COMPUTED_VALUE"""),"Ostijn, Willy")</f>
        <v>Ostijn, Willy</v>
      </c>
      <c r="B6149" s="3">
        <f ca="1">IFERROR(__xludf.DUMMYFUNCTION("""COMPUTED_VALUE"""),1)</f>
        <v>1</v>
      </c>
      <c r="C6149" s="7">
        <f ca="1">IFERROR(__xludf.DUMMYFUNCTION("""COMPUTED_VALUE"""),1)</f>
        <v>1</v>
      </c>
      <c r="D6149" s="8">
        <f ca="1">IFERROR(__xludf.DUMMYFUNCTION("""COMPUTED_VALUE"""),5)</f>
        <v>5</v>
      </c>
      <c r="E6149" s="2">
        <f ca="1">IFERROR(__xludf.DUMMYFUNCTION("""COMPUTED_VALUE"""),2)</f>
        <v>2</v>
      </c>
    </row>
    <row r="6150" spans="1:5" ht="13">
      <c r="A6150" s="2" t="str">
        <f ca="1">IFERROR(__xludf.DUMMYFUNCTION("""COMPUTED_VALUE"""),"Ostling, Acton")</f>
        <v>Ostling, Acton</v>
      </c>
      <c r="B6150" s="2">
        <f ca="1">IFERROR(__xludf.DUMMYFUNCTION("""COMPUTED_VALUE"""),1)</f>
        <v>1</v>
      </c>
      <c r="C6150" s="2">
        <f ca="1">IFERROR(__xludf.DUMMYFUNCTION("""COMPUTED_VALUE"""),1)</f>
        <v>1</v>
      </c>
      <c r="D6150" s="8">
        <f ca="1">IFERROR(__xludf.DUMMYFUNCTION("""COMPUTED_VALUE"""),5)</f>
        <v>5</v>
      </c>
      <c r="E6150" s="2">
        <f ca="1">IFERROR(__xludf.DUMMYFUNCTION("""COMPUTED_VALUE"""),2)</f>
        <v>2</v>
      </c>
    </row>
    <row r="6151" spans="1:5" ht="13">
      <c r="A6151" s="2" t="str">
        <f ca="1">IFERROR(__xludf.DUMMYFUNCTION("""COMPUTED_VALUE"""),"Ostransky, Leroy")</f>
        <v>Ostransky, Leroy</v>
      </c>
      <c r="B6151" s="3">
        <f ca="1">IFERROR(__xludf.DUMMYFUNCTION("""COMPUTED_VALUE"""),1)</f>
        <v>1</v>
      </c>
      <c r="C6151" s="7">
        <f ca="1">IFERROR(__xludf.DUMMYFUNCTION("""COMPUTED_VALUE"""),1)</f>
        <v>1</v>
      </c>
      <c r="D6151" s="8">
        <f ca="1">IFERROR(__xludf.DUMMYFUNCTION("""COMPUTED_VALUE"""),5)</f>
        <v>5</v>
      </c>
      <c r="E6151" s="2">
        <f ca="1">IFERROR(__xludf.DUMMYFUNCTION("""COMPUTED_VALUE"""),2)</f>
        <v>2</v>
      </c>
    </row>
    <row r="6152" spans="1:5" ht="13">
      <c r="A6152" s="2" t="str">
        <f ca="1">IFERROR(__xludf.DUMMYFUNCTION("""COMPUTED_VALUE"""),"Ostroushko, Peter")</f>
        <v>Ostroushko, Peter</v>
      </c>
      <c r="B6152" s="3">
        <f ca="1">IFERROR(__xludf.DUMMYFUNCTION("""COMPUTED_VALUE"""),1)</f>
        <v>1</v>
      </c>
      <c r="C6152" s="7">
        <f ca="1">IFERROR(__xludf.DUMMYFUNCTION("""COMPUTED_VALUE"""),1)</f>
        <v>1</v>
      </c>
      <c r="D6152" s="8">
        <f ca="1">IFERROR(__xludf.DUMMYFUNCTION("""COMPUTED_VALUE"""),1)</f>
        <v>1</v>
      </c>
      <c r="E6152" s="2">
        <f ca="1">IFERROR(__xludf.DUMMYFUNCTION("""COMPUTED_VALUE"""),1)</f>
        <v>1</v>
      </c>
    </row>
    <row r="6153" spans="1:5" ht="13">
      <c r="A6153" s="2" t="str">
        <f ca="1">IFERROR(__xludf.DUMMYFUNCTION("""COMPUTED_VALUE"""),"Ostwald, Ray")</f>
        <v>Ostwald, Ray</v>
      </c>
      <c r="B6153" s="3">
        <f ca="1">IFERROR(__xludf.DUMMYFUNCTION("""COMPUTED_VALUE"""),1)</f>
        <v>1</v>
      </c>
      <c r="C6153" s="7">
        <f ca="1">IFERROR(__xludf.DUMMYFUNCTION("""COMPUTED_VALUE"""),1)</f>
        <v>1</v>
      </c>
      <c r="D6153" s="8">
        <f ca="1">IFERROR(__xludf.DUMMYFUNCTION("""COMPUTED_VALUE"""),1)</f>
        <v>1</v>
      </c>
      <c r="E6153" s="2">
        <f ca="1">IFERROR(__xludf.DUMMYFUNCTION("""COMPUTED_VALUE"""),1)</f>
        <v>1</v>
      </c>
    </row>
    <row r="6154" spans="1:5" ht="13">
      <c r="A6154" s="2" t="str">
        <f ca="1">IFERROR(__xludf.DUMMYFUNCTION("""COMPUTED_VALUE"""),"Oswald, Gerald")</f>
        <v>Oswald, Gerald</v>
      </c>
      <c r="B6154" s="3">
        <f ca="1">IFERROR(__xludf.DUMMYFUNCTION("""COMPUTED_VALUE"""),1)</f>
        <v>1</v>
      </c>
      <c r="C6154" s="7">
        <f ca="1">IFERROR(__xludf.DUMMYFUNCTION("""COMPUTED_VALUE"""),1)</f>
        <v>1</v>
      </c>
      <c r="D6154" s="8">
        <f ca="1">IFERROR(__xludf.DUMMYFUNCTION("""COMPUTED_VALUE"""),1)</f>
        <v>1</v>
      </c>
      <c r="E6154" s="2">
        <f ca="1">IFERROR(__xludf.DUMMYFUNCTION("""COMPUTED_VALUE"""),1)</f>
        <v>1</v>
      </c>
    </row>
    <row r="6155" spans="1:5" ht="13">
      <c r="A6155" s="2" t="str">
        <f ca="1">IFERROR(__xludf.DUMMYFUNCTION("""COMPUTED_VALUE"""),"Oswald, Patrick")</f>
        <v>Oswald, Patrick</v>
      </c>
      <c r="B6155" s="3">
        <f ca="1">IFERROR(__xludf.DUMMYFUNCTION("""COMPUTED_VALUE"""),1)</f>
        <v>1</v>
      </c>
      <c r="C6155" s="7">
        <f ca="1">IFERROR(__xludf.DUMMYFUNCTION("""COMPUTED_VALUE"""),1)</f>
        <v>1</v>
      </c>
      <c r="D6155" s="8">
        <f ca="1">IFERROR(__xludf.DUMMYFUNCTION("""COMPUTED_VALUE"""),1)</f>
        <v>1</v>
      </c>
      <c r="E6155" s="2">
        <f ca="1">IFERROR(__xludf.DUMMYFUNCTION("""COMPUTED_VALUE"""),1)</f>
        <v>1</v>
      </c>
    </row>
    <row r="6156" spans="1:5" ht="13">
      <c r="A6156" s="8" t="str">
        <f ca="1">IFERROR(__xludf.DUMMYFUNCTION("""COMPUTED_VALUE"""),"Oswin, Richard")</f>
        <v>Oswin, Richard</v>
      </c>
      <c r="B6156" s="3">
        <f ca="1">IFERROR(__xludf.DUMMYFUNCTION("""COMPUTED_VALUE"""),1)</f>
        <v>1</v>
      </c>
      <c r="C6156" s="7">
        <f ca="1">IFERROR(__xludf.DUMMYFUNCTION("""COMPUTED_VALUE"""),1)</f>
        <v>1</v>
      </c>
      <c r="D6156" s="8">
        <f ca="1">IFERROR(__xludf.DUMMYFUNCTION("""COMPUTED_VALUE"""),1)</f>
        <v>1</v>
      </c>
      <c r="E6156" s="2">
        <f ca="1">IFERROR(__xludf.DUMMYFUNCTION("""COMPUTED_VALUE"""),1)</f>
        <v>1</v>
      </c>
    </row>
    <row r="6157" spans="1:5" ht="13">
      <c r="A6157" s="2" t="str">
        <f ca="1">IFERROR(__xludf.DUMMYFUNCTION("""COMPUTED_VALUE"""),"Oteri, Frank J.")</f>
        <v>Oteri, Frank J.</v>
      </c>
      <c r="B6157" s="3">
        <f ca="1">IFERROR(__xludf.DUMMYFUNCTION("""COMPUTED_VALUE"""),1)</f>
        <v>1</v>
      </c>
      <c r="C6157" s="7">
        <f ca="1">IFERROR(__xludf.DUMMYFUNCTION("""COMPUTED_VALUE"""),1)</f>
        <v>1</v>
      </c>
      <c r="D6157" s="8">
        <f ca="1">IFERROR(__xludf.DUMMYFUNCTION("""COMPUTED_VALUE"""),1)</f>
        <v>1</v>
      </c>
      <c r="E6157" s="2">
        <f ca="1">IFERROR(__xludf.DUMMYFUNCTION("""COMPUTED_VALUE"""),1)</f>
        <v>1</v>
      </c>
    </row>
    <row r="6158" spans="1:5" ht="13">
      <c r="A6158" s="2" t="str">
        <f ca="1">IFERROR(__xludf.DUMMYFUNCTION("""COMPUTED_VALUE"""),"Othmayr, Caspar")</f>
        <v>Othmayr, Caspar</v>
      </c>
      <c r="B6158" s="3">
        <f ca="1">IFERROR(__xludf.DUMMYFUNCTION("""COMPUTED_VALUE"""),1)</f>
        <v>1</v>
      </c>
      <c r="C6158" s="7">
        <f ca="1">IFERROR(__xludf.DUMMYFUNCTION("""COMPUTED_VALUE"""),1)</f>
        <v>1</v>
      </c>
      <c r="D6158" s="8">
        <f ca="1">IFERROR(__xludf.DUMMYFUNCTION("""COMPUTED_VALUE"""),5)</f>
        <v>5</v>
      </c>
      <c r="E6158" s="2">
        <f ca="1">IFERROR(__xludf.DUMMYFUNCTION("""COMPUTED_VALUE"""),2)</f>
        <v>2</v>
      </c>
    </row>
    <row r="6159" spans="1:5" ht="13">
      <c r="A6159" s="2" t="str">
        <f ca="1">IFERROR(__xludf.DUMMYFUNCTION("""COMPUTED_VALUE"""),"Ott, David")</f>
        <v>Ott, David</v>
      </c>
      <c r="B6159" s="3">
        <f ca="1">IFERROR(__xludf.DUMMYFUNCTION("""COMPUTED_VALUE"""),1)</f>
        <v>1</v>
      </c>
      <c r="C6159" s="7">
        <f ca="1">IFERROR(__xludf.DUMMYFUNCTION("""COMPUTED_VALUE"""),1)</f>
        <v>1</v>
      </c>
      <c r="D6159" s="8">
        <f ca="1">IFERROR(__xludf.DUMMYFUNCTION("""COMPUTED_VALUE"""),1)</f>
        <v>1</v>
      </c>
      <c r="E6159" s="2">
        <f ca="1">IFERROR(__xludf.DUMMYFUNCTION("""COMPUTED_VALUE"""),1)</f>
        <v>1</v>
      </c>
    </row>
    <row r="6160" spans="1:5" ht="13">
      <c r="A6160" s="2" t="str">
        <f ca="1">IFERROR(__xludf.DUMMYFUNCTION("""COMPUTED_VALUE"""),"Otterloo, Willem van")</f>
        <v>Otterloo, Willem van</v>
      </c>
      <c r="B6160" s="3">
        <f ca="1">IFERROR(__xludf.DUMMYFUNCTION("""COMPUTED_VALUE"""),1)</f>
        <v>1</v>
      </c>
      <c r="C6160" s="7">
        <f ca="1">IFERROR(__xludf.DUMMYFUNCTION("""COMPUTED_VALUE"""),1)</f>
        <v>1</v>
      </c>
      <c r="D6160" s="8">
        <f ca="1">IFERROR(__xludf.DUMMYFUNCTION("""COMPUTED_VALUE"""),5)</f>
        <v>5</v>
      </c>
      <c r="E6160" s="2">
        <f ca="1">IFERROR(__xludf.DUMMYFUNCTION("""COMPUTED_VALUE"""),2)</f>
        <v>2</v>
      </c>
    </row>
    <row r="6161" spans="1:5" ht="13">
      <c r="A6161" s="2" t="str">
        <f ca="1">IFERROR(__xludf.DUMMYFUNCTION("""COMPUTED_VALUE"""),"Ottman, John")</f>
        <v>Ottman, John</v>
      </c>
      <c r="B6161" s="2">
        <f ca="1">IFERROR(__xludf.DUMMYFUNCTION("""COMPUTED_VALUE"""),1)</f>
        <v>1</v>
      </c>
      <c r="C6161" s="2">
        <f ca="1">IFERROR(__xludf.DUMMYFUNCTION("""COMPUTED_VALUE"""),1)</f>
        <v>1</v>
      </c>
      <c r="D6161" s="8">
        <f ca="1">IFERROR(__xludf.DUMMYFUNCTION("""COMPUTED_VALUE"""),1)</f>
        <v>1</v>
      </c>
      <c r="E6161" s="2">
        <f ca="1">IFERROR(__xludf.DUMMYFUNCTION("""COMPUTED_VALUE"""),1)</f>
        <v>1</v>
      </c>
    </row>
    <row r="6162" spans="1:5" ht="13">
      <c r="A6162" s="2" t="str">
        <f ca="1">IFERROR(__xludf.DUMMYFUNCTION("""COMPUTED_VALUE"""),"Otto, Tanner")</f>
        <v>Otto, Tanner</v>
      </c>
      <c r="B6162" s="3">
        <f ca="1">IFERROR(__xludf.DUMMYFUNCTION("""COMPUTED_VALUE"""),1)</f>
        <v>1</v>
      </c>
      <c r="C6162" s="7">
        <f ca="1">IFERROR(__xludf.DUMMYFUNCTION("""COMPUTED_VALUE"""),1)</f>
        <v>1</v>
      </c>
      <c r="D6162" s="8">
        <f ca="1">IFERROR(__xludf.DUMMYFUNCTION("""COMPUTED_VALUE"""),1)</f>
        <v>1</v>
      </c>
      <c r="E6162" s="2">
        <f ca="1">IFERROR(__xludf.DUMMYFUNCTION("""COMPUTED_VALUE"""),1)</f>
        <v>1</v>
      </c>
    </row>
    <row r="6163" spans="1:5" ht="13">
      <c r="A6163" s="2" t="str">
        <f ca="1">IFERROR(__xludf.DUMMYFUNCTION("""COMPUTED_VALUE"""),"Ould, B.P.")</f>
        <v>Ould, B.P.</v>
      </c>
      <c r="B6163" s="3">
        <f ca="1">IFERROR(__xludf.DUMMYFUNCTION("""COMPUTED_VALUE"""),1)</f>
        <v>1</v>
      </c>
      <c r="C6163" s="7">
        <f ca="1">IFERROR(__xludf.DUMMYFUNCTION("""COMPUTED_VALUE"""),1)</f>
        <v>1</v>
      </c>
      <c r="D6163" s="8">
        <f ca="1">IFERROR(__xludf.DUMMYFUNCTION("""COMPUTED_VALUE"""),5)</f>
        <v>5</v>
      </c>
      <c r="E6163" s="2">
        <f ca="1">IFERROR(__xludf.DUMMYFUNCTION("""COMPUTED_VALUE"""),2)</f>
        <v>2</v>
      </c>
    </row>
    <row r="6164" spans="1:5" ht="13">
      <c r="A6164" s="8" t="str">
        <f ca="1">IFERROR(__xludf.DUMMYFUNCTION("""COMPUTED_VALUE"""),"Ousley, Paul")</f>
        <v>Ousley, Paul</v>
      </c>
      <c r="B6164" s="3">
        <f ca="1">IFERROR(__xludf.DUMMYFUNCTION("""COMPUTED_VALUE"""),1)</f>
        <v>1</v>
      </c>
      <c r="C6164" s="7">
        <f ca="1">IFERROR(__xludf.DUMMYFUNCTION("""COMPUTED_VALUE"""),1)</f>
        <v>1</v>
      </c>
      <c r="D6164" s="8">
        <f ca="1">IFERROR(__xludf.DUMMYFUNCTION("""COMPUTED_VALUE"""),1)</f>
        <v>1</v>
      </c>
      <c r="E6164" s="2">
        <f ca="1">IFERROR(__xludf.DUMMYFUNCTION("""COMPUTED_VALUE"""),1)</f>
        <v>1</v>
      </c>
    </row>
    <row r="6165" spans="1:5" ht="13">
      <c r="A6165" s="8" t="str">
        <f ca="1">IFERROR(__xludf.DUMMYFUNCTION("""COMPUTED_VALUE"""),"Ovanin, Nikola")</f>
        <v>Ovanin, Nikola</v>
      </c>
      <c r="B6165" s="3">
        <f ca="1">IFERROR(__xludf.DUMMYFUNCTION("""COMPUTED_VALUE"""),1)</f>
        <v>1</v>
      </c>
      <c r="C6165" s="7">
        <f ca="1">IFERROR(__xludf.DUMMYFUNCTION("""COMPUTED_VALUE"""),1)</f>
        <v>1</v>
      </c>
      <c r="D6165" s="8">
        <f ca="1">IFERROR(__xludf.DUMMYFUNCTION("""COMPUTED_VALUE"""),5)</f>
        <v>5</v>
      </c>
      <c r="E6165" s="2">
        <f ca="1">IFERROR(__xludf.DUMMYFUNCTION("""COMPUTED_VALUE"""),2)</f>
        <v>2</v>
      </c>
    </row>
    <row r="6166" spans="1:5" ht="13">
      <c r="A6166" s="2" t="str">
        <f ca="1">IFERROR(__xludf.DUMMYFUNCTION("""COMPUTED_VALUE"""),"Ovens, Doug")</f>
        <v>Ovens, Doug</v>
      </c>
      <c r="B6166" s="3">
        <f ca="1">IFERROR(__xludf.DUMMYFUNCTION("""COMPUTED_VALUE"""),1)</f>
        <v>1</v>
      </c>
      <c r="C6166" s="7">
        <f ca="1">IFERROR(__xludf.DUMMYFUNCTION("""COMPUTED_VALUE"""),1)</f>
        <v>1</v>
      </c>
      <c r="D6166" s="8">
        <f ca="1">IFERROR(__xludf.DUMMYFUNCTION("""COMPUTED_VALUE"""),1)</f>
        <v>1</v>
      </c>
      <c r="E6166" s="2">
        <f ca="1">IFERROR(__xludf.DUMMYFUNCTION("""COMPUTED_VALUE"""),1)</f>
        <v>1</v>
      </c>
    </row>
    <row r="6167" spans="1:5" ht="13">
      <c r="A6167" s="2" t="str">
        <f ca="1">IFERROR(__xludf.DUMMYFUNCTION("""COMPUTED_VALUE"""),"Overgard, Graham T.")</f>
        <v>Overgard, Graham T.</v>
      </c>
      <c r="B6167" s="2">
        <f ca="1">IFERROR(__xludf.DUMMYFUNCTION("""COMPUTED_VALUE"""),1)</f>
        <v>1</v>
      </c>
      <c r="C6167" s="2">
        <f ca="1">IFERROR(__xludf.DUMMYFUNCTION("""COMPUTED_VALUE"""),1)</f>
        <v>1</v>
      </c>
      <c r="D6167" s="8">
        <f ca="1">IFERROR(__xludf.DUMMYFUNCTION("""COMPUTED_VALUE"""),5)</f>
        <v>5</v>
      </c>
      <c r="E6167" s="2">
        <f ca="1">IFERROR(__xludf.DUMMYFUNCTION("""COMPUTED_VALUE"""),2)</f>
        <v>2</v>
      </c>
    </row>
    <row r="6168" spans="1:5" ht="13">
      <c r="A6168" s="8" t="str">
        <f ca="1">IFERROR(__xludf.DUMMYFUNCTION("""COMPUTED_VALUE"""),"Overland, Corin")</f>
        <v>Overland, Corin</v>
      </c>
      <c r="B6168" s="3">
        <f ca="1">IFERROR(__xludf.DUMMYFUNCTION("""COMPUTED_VALUE"""),1)</f>
        <v>1</v>
      </c>
      <c r="C6168" s="7">
        <f ca="1">IFERROR(__xludf.DUMMYFUNCTION("""COMPUTED_VALUE"""),1)</f>
        <v>1</v>
      </c>
      <c r="D6168" s="8">
        <f ca="1">IFERROR(__xludf.DUMMYFUNCTION("""COMPUTED_VALUE"""),1)</f>
        <v>1</v>
      </c>
      <c r="E6168" s="2">
        <f ca="1">IFERROR(__xludf.DUMMYFUNCTION("""COMPUTED_VALUE"""),1)</f>
        <v>1</v>
      </c>
    </row>
    <row r="6169" spans="1:5" ht="13">
      <c r="A6169" s="2" t="str">
        <f ca="1">IFERROR(__xludf.DUMMYFUNCTION("""COMPUTED_VALUE"""),"Overstreet, Paul / Schlitz, Don")</f>
        <v>Overstreet, Paul / Schlitz, Don</v>
      </c>
      <c r="B6169" s="3">
        <f ca="1">IFERROR(__xludf.DUMMYFUNCTION("""COMPUTED_VALUE"""),1)</f>
        <v>1</v>
      </c>
      <c r="C6169" s="7">
        <f ca="1">IFERROR(__xludf.DUMMYFUNCTION("""COMPUTED_VALUE"""),1)</f>
        <v>1</v>
      </c>
      <c r="D6169" s="8">
        <f ca="1">IFERROR(__xludf.DUMMYFUNCTION("""COMPUTED_VALUE"""),1)</f>
        <v>1</v>
      </c>
      <c r="E6169" s="2">
        <f ca="1">IFERROR(__xludf.DUMMYFUNCTION("""COMPUTED_VALUE"""),1)</f>
        <v>1</v>
      </c>
    </row>
    <row r="6170" spans="1:5" ht="13">
      <c r="A6170" s="2" t="str">
        <f ca="1">IFERROR(__xludf.DUMMYFUNCTION("""COMPUTED_VALUE"""),"Overton, David")</f>
        <v>Overton, David</v>
      </c>
      <c r="B6170" s="3">
        <f ca="1">IFERROR(__xludf.DUMMYFUNCTION("""COMPUTED_VALUE"""),1)</f>
        <v>1</v>
      </c>
      <c r="C6170" s="7">
        <f ca="1">IFERROR(__xludf.DUMMYFUNCTION("""COMPUTED_VALUE"""),1)</f>
        <v>1</v>
      </c>
      <c r="D6170" s="8">
        <f ca="1">IFERROR(__xludf.DUMMYFUNCTION("""COMPUTED_VALUE"""),1)</f>
        <v>1</v>
      </c>
      <c r="E6170" s="2">
        <f ca="1">IFERROR(__xludf.DUMMYFUNCTION("""COMPUTED_VALUE"""),1)</f>
        <v>1</v>
      </c>
    </row>
    <row r="6171" spans="1:5" ht="13">
      <c r="A6171" s="2" t="str">
        <f ca="1">IFERROR(__xludf.DUMMYFUNCTION("""COMPUTED_VALUE"""),"Owen-Leary, Patrick")</f>
        <v>Owen-Leary, Patrick</v>
      </c>
      <c r="B6171" s="2">
        <f ca="1">IFERROR(__xludf.DUMMYFUNCTION("""COMPUTED_VALUE"""),1)</f>
        <v>1</v>
      </c>
      <c r="C6171" s="7">
        <f ca="1">IFERROR(__xludf.DUMMYFUNCTION("""COMPUTED_VALUE"""),1)</f>
        <v>1</v>
      </c>
      <c r="D6171" s="8">
        <f ca="1">IFERROR(__xludf.DUMMYFUNCTION("""COMPUTED_VALUE"""),1)</f>
        <v>1</v>
      </c>
      <c r="E6171" s="2">
        <f ca="1">IFERROR(__xludf.DUMMYFUNCTION("""COMPUTED_VALUE"""),1)</f>
        <v>1</v>
      </c>
    </row>
    <row r="6172" spans="1:5" ht="13">
      <c r="A6172" s="2" t="str">
        <f ca="1">IFERROR(__xludf.DUMMYFUNCTION("""COMPUTED_VALUE"""),"Owen, Bryce")</f>
        <v>Owen, Bryce</v>
      </c>
      <c r="B6172" s="3">
        <f ca="1">IFERROR(__xludf.DUMMYFUNCTION("""COMPUTED_VALUE"""),1)</f>
        <v>1</v>
      </c>
      <c r="C6172" s="7">
        <f ca="1">IFERROR(__xludf.DUMMYFUNCTION("""COMPUTED_VALUE"""),1)</f>
        <v>1</v>
      </c>
      <c r="D6172" s="8">
        <f ca="1">IFERROR(__xludf.DUMMYFUNCTION("""COMPUTED_VALUE"""),1)</f>
        <v>1</v>
      </c>
      <c r="E6172" s="2">
        <f ca="1">IFERROR(__xludf.DUMMYFUNCTION("""COMPUTED_VALUE"""),1)</f>
        <v>1</v>
      </c>
    </row>
    <row r="6173" spans="1:5" ht="13">
      <c r="A6173" s="2" t="str">
        <f ca="1">IFERROR(__xludf.DUMMYFUNCTION("""COMPUTED_VALUE"""),"Owen, Chuck")</f>
        <v>Owen, Chuck</v>
      </c>
      <c r="B6173" s="3">
        <f ca="1">IFERROR(__xludf.DUMMYFUNCTION("""COMPUTED_VALUE"""),1)</f>
        <v>1</v>
      </c>
      <c r="C6173" s="7">
        <f ca="1">IFERROR(__xludf.DUMMYFUNCTION("""COMPUTED_VALUE"""),1)</f>
        <v>1</v>
      </c>
      <c r="D6173" s="8">
        <f ca="1">IFERROR(__xludf.DUMMYFUNCTION("""COMPUTED_VALUE"""),1)</f>
        <v>1</v>
      </c>
      <c r="E6173" s="2">
        <f ca="1">IFERROR(__xludf.DUMMYFUNCTION("""COMPUTED_VALUE"""),1)</f>
        <v>1</v>
      </c>
    </row>
    <row r="6174" spans="1:5" ht="13">
      <c r="A6174" s="2" t="str">
        <f ca="1">IFERROR(__xludf.DUMMYFUNCTION("""COMPUTED_VALUE"""),"Owen, David")</f>
        <v>Owen, David</v>
      </c>
      <c r="B6174" s="3">
        <f ca="1">IFERROR(__xludf.DUMMYFUNCTION("""COMPUTED_VALUE"""),1)</f>
        <v>1</v>
      </c>
      <c r="C6174" s="7">
        <f ca="1">IFERROR(__xludf.DUMMYFUNCTION("""COMPUTED_VALUE"""),1)</f>
        <v>1</v>
      </c>
      <c r="D6174" s="8">
        <f ca="1">IFERROR(__xludf.DUMMYFUNCTION("""COMPUTED_VALUE"""),5)</f>
        <v>5</v>
      </c>
      <c r="E6174" s="2">
        <f ca="1">IFERROR(__xludf.DUMMYFUNCTION("""COMPUTED_VALUE"""),2)</f>
        <v>2</v>
      </c>
    </row>
    <row r="6175" spans="1:5" ht="13">
      <c r="A6175" s="2" t="str">
        <f ca="1">IFERROR(__xludf.DUMMYFUNCTION("""COMPUTED_VALUE"""),"Owen, Harold")</f>
        <v>Owen, Harold</v>
      </c>
      <c r="B6175" s="3">
        <f ca="1">IFERROR(__xludf.DUMMYFUNCTION("""COMPUTED_VALUE"""),1)</f>
        <v>1</v>
      </c>
      <c r="C6175" s="7">
        <f ca="1">IFERROR(__xludf.DUMMYFUNCTION("""COMPUTED_VALUE"""),1)</f>
        <v>1</v>
      </c>
      <c r="D6175" s="8">
        <f ca="1">IFERROR(__xludf.DUMMYFUNCTION("""COMPUTED_VALUE"""),1)</f>
        <v>1</v>
      </c>
      <c r="E6175" s="2">
        <f ca="1">IFERROR(__xludf.DUMMYFUNCTION("""COMPUTED_VALUE"""),1)</f>
        <v>1</v>
      </c>
    </row>
    <row r="6176" spans="1:5" ht="13">
      <c r="A6176" s="2" t="str">
        <f ca="1">IFERROR(__xludf.DUMMYFUNCTION("""COMPUTED_VALUE"""),"Owen, Jerry")</f>
        <v>Owen, Jerry</v>
      </c>
      <c r="B6176" s="3">
        <f ca="1">IFERROR(__xludf.DUMMYFUNCTION("""COMPUTED_VALUE"""),1)</f>
        <v>1</v>
      </c>
      <c r="C6176" s="7">
        <f ca="1">IFERROR(__xludf.DUMMYFUNCTION("""COMPUTED_VALUE"""),1)</f>
        <v>1</v>
      </c>
      <c r="D6176" s="8">
        <f ca="1">IFERROR(__xludf.DUMMYFUNCTION("""COMPUTED_VALUE"""),1)</f>
        <v>1</v>
      </c>
      <c r="E6176" s="2">
        <f ca="1">IFERROR(__xludf.DUMMYFUNCTION("""COMPUTED_VALUE"""),1)</f>
        <v>1</v>
      </c>
    </row>
    <row r="6177" spans="1:5" ht="13">
      <c r="A6177" s="2" t="str">
        <f ca="1">IFERROR(__xludf.DUMMYFUNCTION("""COMPUTED_VALUE"""),"Owen, John Warren")</f>
        <v>Owen, John Warren</v>
      </c>
      <c r="B6177" s="3">
        <f ca="1">IFERROR(__xludf.DUMMYFUNCTION("""COMPUTED_VALUE"""),1)</f>
        <v>1</v>
      </c>
      <c r="C6177" s="7">
        <f ca="1">IFERROR(__xludf.DUMMYFUNCTION("""COMPUTED_VALUE"""),1)</f>
        <v>1</v>
      </c>
      <c r="D6177" s="8">
        <f ca="1">IFERROR(__xludf.DUMMYFUNCTION("""COMPUTED_VALUE"""),5)</f>
        <v>5</v>
      </c>
      <c r="E6177" s="2">
        <f ca="1">IFERROR(__xludf.DUMMYFUNCTION("""COMPUTED_VALUE"""),2)</f>
        <v>2</v>
      </c>
    </row>
    <row r="6178" spans="1:5" ht="13">
      <c r="A6178" s="2" t="str">
        <f ca="1">IFERROR(__xludf.DUMMYFUNCTION("""COMPUTED_VALUE"""),"Owen, Steve")</f>
        <v>Owen, Steve</v>
      </c>
      <c r="B6178" s="3">
        <f ca="1">IFERROR(__xludf.DUMMYFUNCTION("""COMPUTED_VALUE"""),1)</f>
        <v>1</v>
      </c>
      <c r="C6178" s="7">
        <f ca="1">IFERROR(__xludf.DUMMYFUNCTION("""COMPUTED_VALUE"""),1)</f>
        <v>1</v>
      </c>
      <c r="D6178" s="8">
        <f ca="1">IFERROR(__xludf.DUMMYFUNCTION("""COMPUTED_VALUE"""),1)</f>
        <v>1</v>
      </c>
      <c r="E6178" s="2">
        <f ca="1">IFERROR(__xludf.DUMMYFUNCTION("""COMPUTED_VALUE"""),1)</f>
        <v>1</v>
      </c>
    </row>
    <row r="6179" spans="1:5" ht="13">
      <c r="A6179" s="2" t="str">
        <f ca="1">IFERROR(__xludf.DUMMYFUNCTION("""COMPUTED_VALUE"""),"Owen, William")</f>
        <v>Owen, William</v>
      </c>
      <c r="B6179" s="3">
        <f ca="1">IFERROR(__xludf.DUMMYFUNCTION("""COMPUTED_VALUE"""),1)</f>
        <v>1</v>
      </c>
      <c r="C6179" s="7">
        <f ca="1">IFERROR(__xludf.DUMMYFUNCTION("""COMPUTED_VALUE"""),1)</f>
        <v>1</v>
      </c>
      <c r="D6179" s="8">
        <f ca="1">IFERROR(__xludf.DUMMYFUNCTION("""COMPUTED_VALUE"""),5)</f>
        <v>5</v>
      </c>
      <c r="E6179" s="2">
        <f ca="1">IFERROR(__xludf.DUMMYFUNCTION("""COMPUTED_VALUE"""),2)</f>
        <v>2</v>
      </c>
    </row>
    <row r="6180" spans="1:5" ht="13">
      <c r="A6180" s="2" t="str">
        <f ca="1">IFERROR(__xludf.DUMMYFUNCTION("""COMPUTED_VALUE"""),"Owens, Don")</f>
        <v>Owens, Don</v>
      </c>
      <c r="B6180" s="3">
        <f ca="1">IFERROR(__xludf.DUMMYFUNCTION("""COMPUTED_VALUE"""),1)</f>
        <v>1</v>
      </c>
      <c r="C6180" s="7">
        <f ca="1">IFERROR(__xludf.DUMMYFUNCTION("""COMPUTED_VALUE"""),1)</f>
        <v>1</v>
      </c>
      <c r="D6180" s="8">
        <f ca="1">IFERROR(__xludf.DUMMYFUNCTION("""COMPUTED_VALUE"""),1)</f>
        <v>1</v>
      </c>
      <c r="E6180" s="2">
        <f ca="1">IFERROR(__xludf.DUMMYFUNCTION("""COMPUTED_VALUE"""),1)</f>
        <v>1</v>
      </c>
    </row>
    <row r="6181" spans="1:5" ht="13">
      <c r="A6181" s="2" t="str">
        <f ca="1">IFERROR(__xludf.DUMMYFUNCTION("""COMPUTED_VALUE"""),"Oxford, Dylan / A Mighty Wind")</f>
        <v>Oxford, Dylan / A Mighty Wind</v>
      </c>
      <c r="B6181" s="3">
        <f ca="1">IFERROR(__xludf.DUMMYFUNCTION("""COMPUTED_VALUE"""),1)</f>
        <v>1</v>
      </c>
      <c r="C6181" s="7">
        <f ca="1">IFERROR(__xludf.DUMMYFUNCTION("""COMPUTED_VALUE"""),1)</f>
        <v>1</v>
      </c>
      <c r="D6181" s="8">
        <f ca="1">IFERROR(__xludf.DUMMYFUNCTION("""COMPUTED_VALUE"""),1)</f>
        <v>1</v>
      </c>
      <c r="E6181" s="2">
        <f ca="1">IFERROR(__xludf.DUMMYFUNCTION("""COMPUTED_VALUE"""),1)</f>
        <v>1</v>
      </c>
    </row>
    <row r="6182" spans="1:5" ht="13">
      <c r="A6182" s="2" t="str">
        <f ca="1">IFERROR(__xludf.DUMMYFUNCTION("""COMPUTED_VALUE"""),"Ozley, Chris")</f>
        <v>Ozley, Chris</v>
      </c>
      <c r="B6182" s="3">
        <f ca="1">IFERROR(__xludf.DUMMYFUNCTION("""COMPUTED_VALUE"""),1)</f>
        <v>1</v>
      </c>
      <c r="C6182" s="7">
        <f ca="1">IFERROR(__xludf.DUMMYFUNCTION("""COMPUTED_VALUE"""),1)</f>
        <v>1</v>
      </c>
      <c r="D6182" s="8">
        <f ca="1">IFERROR(__xludf.DUMMYFUNCTION("""COMPUTED_VALUE"""),1)</f>
        <v>1</v>
      </c>
      <c r="E6182" s="2">
        <f ca="1">IFERROR(__xludf.DUMMYFUNCTION("""COMPUTED_VALUE"""),1)</f>
        <v>1</v>
      </c>
    </row>
    <row r="6183" spans="1:5" ht="13">
      <c r="A6183" s="2" t="str">
        <f ca="1">IFERROR(__xludf.DUMMYFUNCTION("""COMPUTED_VALUE"""),"P.D.Q Bach")</f>
        <v>P.D.Q Bach</v>
      </c>
      <c r="B6183" s="3">
        <f ca="1">IFERROR(__xludf.DUMMYFUNCTION("""COMPUTED_VALUE"""),1)</f>
        <v>1</v>
      </c>
      <c r="C6183" s="7">
        <f ca="1">IFERROR(__xludf.DUMMYFUNCTION("""COMPUTED_VALUE"""),1)</f>
        <v>1</v>
      </c>
      <c r="D6183" s="8">
        <f ca="1">IFERROR(__xludf.DUMMYFUNCTION("""COMPUTED_VALUE"""),1)</f>
        <v>1</v>
      </c>
      <c r="E6183" s="2">
        <f ca="1">IFERROR(__xludf.DUMMYFUNCTION("""COMPUTED_VALUE"""),1)</f>
        <v>1</v>
      </c>
    </row>
    <row r="6184" spans="1:5" ht="13">
      <c r="A6184" s="2" t="str">
        <f ca="1">IFERROR(__xludf.DUMMYFUNCTION("""COMPUTED_VALUE"""),"Paakkunainen, Seppo")</f>
        <v>Paakkunainen, Seppo</v>
      </c>
      <c r="B6184" s="3">
        <f ca="1">IFERROR(__xludf.DUMMYFUNCTION("""COMPUTED_VALUE"""),1)</f>
        <v>1</v>
      </c>
      <c r="C6184" s="7">
        <f ca="1">IFERROR(__xludf.DUMMYFUNCTION("""COMPUTED_VALUE"""),1)</f>
        <v>1</v>
      </c>
      <c r="D6184" s="8">
        <f ca="1">IFERROR(__xludf.DUMMYFUNCTION("""COMPUTED_VALUE"""),1)</f>
        <v>1</v>
      </c>
      <c r="E6184" s="2">
        <f ca="1">IFERROR(__xludf.DUMMYFUNCTION("""COMPUTED_VALUE"""),1)</f>
        <v>1</v>
      </c>
    </row>
    <row r="6185" spans="1:5" ht="13">
      <c r="A6185" s="2" t="str">
        <f ca="1">IFERROR(__xludf.DUMMYFUNCTION("""COMPUTED_VALUE"""),"Paarup, Christian")</f>
        <v>Paarup, Christian</v>
      </c>
      <c r="B6185" s="3">
        <f ca="1">IFERROR(__xludf.DUMMYFUNCTION("""COMPUTED_VALUE"""),1)</f>
        <v>1</v>
      </c>
      <c r="C6185" s="7">
        <f ca="1">IFERROR(__xludf.DUMMYFUNCTION("""COMPUTED_VALUE"""),1)</f>
        <v>1</v>
      </c>
      <c r="D6185" s="8">
        <f ca="1">IFERROR(__xludf.DUMMYFUNCTION("""COMPUTED_VALUE"""),1)</f>
        <v>1</v>
      </c>
      <c r="E6185" s="2">
        <f ca="1">IFERROR(__xludf.DUMMYFUNCTION("""COMPUTED_VALUE"""),1)</f>
        <v>1</v>
      </c>
    </row>
    <row r="6186" spans="1:5" ht="13">
      <c r="A6186" s="2" t="str">
        <f ca="1">IFERROR(__xludf.DUMMYFUNCTION("""COMPUTED_VALUE"""),"Pachebel")</f>
        <v>Pachebel</v>
      </c>
      <c r="B6186" s="3">
        <f ca="1">IFERROR(__xludf.DUMMYFUNCTION("""COMPUTED_VALUE"""),1)</f>
        <v>1</v>
      </c>
      <c r="C6186" s="7">
        <f ca="1">IFERROR(__xludf.DUMMYFUNCTION("""COMPUTED_VALUE"""),1)</f>
        <v>1</v>
      </c>
      <c r="D6186" s="8">
        <f ca="1">IFERROR(__xludf.DUMMYFUNCTION("""COMPUTED_VALUE"""),5)</f>
        <v>5</v>
      </c>
      <c r="E6186" s="2">
        <f ca="1">IFERROR(__xludf.DUMMYFUNCTION("""COMPUTED_VALUE"""),2)</f>
        <v>2</v>
      </c>
    </row>
    <row r="6187" spans="1:5" ht="13">
      <c r="A6187" s="2" t="str">
        <f ca="1">IFERROR(__xludf.DUMMYFUNCTION("""COMPUTED_VALUE"""),"Pachebel, Johann")</f>
        <v>Pachebel, Johann</v>
      </c>
      <c r="B6187" s="3">
        <f ca="1">IFERROR(__xludf.DUMMYFUNCTION("""COMPUTED_VALUE"""),1)</f>
        <v>1</v>
      </c>
      <c r="C6187" s="7">
        <f ca="1">IFERROR(__xludf.DUMMYFUNCTION("""COMPUTED_VALUE"""),1)</f>
        <v>1</v>
      </c>
      <c r="D6187" s="8">
        <f ca="1">IFERROR(__xludf.DUMMYFUNCTION("""COMPUTED_VALUE"""),5)</f>
        <v>5</v>
      </c>
      <c r="E6187" s="2">
        <f ca="1">IFERROR(__xludf.DUMMYFUNCTION("""COMPUTED_VALUE"""),2)</f>
        <v>2</v>
      </c>
    </row>
    <row r="6188" spans="1:5" ht="13">
      <c r="A6188" s="2" t="str">
        <f ca="1">IFERROR(__xludf.DUMMYFUNCTION("""COMPUTED_VALUE"""),"Pachelbel, Johann")</f>
        <v>Pachelbel, Johann</v>
      </c>
      <c r="B6188" s="3">
        <f ca="1">IFERROR(__xludf.DUMMYFUNCTION("""COMPUTED_VALUE"""),1)</f>
        <v>1</v>
      </c>
      <c r="C6188" s="7">
        <f ca="1">IFERROR(__xludf.DUMMYFUNCTION("""COMPUTED_VALUE"""),1)</f>
        <v>1</v>
      </c>
      <c r="D6188" s="8">
        <f ca="1">IFERROR(__xludf.DUMMYFUNCTION("""COMPUTED_VALUE"""),5)</f>
        <v>5</v>
      </c>
      <c r="E6188" s="3">
        <f ca="1">IFERROR(__xludf.DUMMYFUNCTION("""COMPUTED_VALUE"""),2)</f>
        <v>2</v>
      </c>
    </row>
    <row r="6189" spans="1:5" ht="13">
      <c r="A6189" s="2" t="str">
        <f ca="1">IFERROR(__xludf.DUMMYFUNCTION("""COMPUTED_VALUE"""),"Pacini, Giovanni")</f>
        <v>Pacini, Giovanni</v>
      </c>
      <c r="B6189" s="3">
        <f ca="1">IFERROR(__xludf.DUMMYFUNCTION("""COMPUTED_VALUE"""),1)</f>
        <v>1</v>
      </c>
      <c r="C6189" s="7">
        <f ca="1">IFERROR(__xludf.DUMMYFUNCTION("""COMPUTED_VALUE"""),1)</f>
        <v>1</v>
      </c>
      <c r="D6189" s="8">
        <f ca="1">IFERROR(__xludf.DUMMYFUNCTION("""COMPUTED_VALUE"""),5)</f>
        <v>5</v>
      </c>
      <c r="E6189" s="2">
        <f ca="1">IFERROR(__xludf.DUMMYFUNCTION("""COMPUTED_VALUE"""),2)</f>
        <v>2</v>
      </c>
    </row>
    <row r="6190" spans="1:5" ht="13">
      <c r="A6190" s="2" t="str">
        <f ca="1">IFERROR(__xludf.DUMMYFUNCTION("""COMPUTED_VALUE"""),"Packer, Martin")</f>
        <v>Packer, Martin</v>
      </c>
      <c r="B6190" s="3">
        <f ca="1">IFERROR(__xludf.DUMMYFUNCTION("""COMPUTED_VALUE"""),1)</f>
        <v>1</v>
      </c>
      <c r="C6190" s="7">
        <f ca="1">IFERROR(__xludf.DUMMYFUNCTION("""COMPUTED_VALUE"""),1)</f>
        <v>1</v>
      </c>
      <c r="D6190" s="8">
        <f ca="1">IFERROR(__xludf.DUMMYFUNCTION("""COMPUTED_VALUE"""),1)</f>
        <v>1</v>
      </c>
      <c r="E6190" s="2">
        <f ca="1">IFERROR(__xludf.DUMMYFUNCTION("""COMPUTED_VALUE"""),1)</f>
        <v>1</v>
      </c>
    </row>
    <row r="6191" spans="1:5" ht="13">
      <c r="A6191" s="2" t="str">
        <f ca="1">IFERROR(__xludf.DUMMYFUNCTION("""COMPUTED_VALUE"""),"Paderewski, Ignacy Jan")</f>
        <v>Paderewski, Ignacy Jan</v>
      </c>
      <c r="B6191" s="3">
        <f ca="1">IFERROR(__xludf.DUMMYFUNCTION("""COMPUTED_VALUE"""),1)</f>
        <v>1</v>
      </c>
      <c r="C6191" s="7">
        <f ca="1">IFERROR(__xludf.DUMMYFUNCTION("""COMPUTED_VALUE"""),1)</f>
        <v>1</v>
      </c>
      <c r="D6191" s="8">
        <f ca="1">IFERROR(__xludf.DUMMYFUNCTION("""COMPUTED_VALUE"""),5)</f>
        <v>5</v>
      </c>
      <c r="E6191" s="2">
        <f ca="1">IFERROR(__xludf.DUMMYFUNCTION("""COMPUTED_VALUE"""),2)</f>
        <v>2</v>
      </c>
    </row>
    <row r="6192" spans="1:5" ht="13">
      <c r="A6192" s="8" t="str">
        <f ca="1">IFERROR(__xludf.DUMMYFUNCTION("""COMPUTED_VALUE"""),"Paderewski, Jan")</f>
        <v>Paderewski, Jan</v>
      </c>
      <c r="B6192" s="3">
        <f ca="1">IFERROR(__xludf.DUMMYFUNCTION("""COMPUTED_VALUE"""),1)</f>
        <v>1</v>
      </c>
      <c r="C6192" s="7">
        <f ca="1">IFERROR(__xludf.DUMMYFUNCTION("""COMPUTED_VALUE"""),1)</f>
        <v>1</v>
      </c>
      <c r="D6192" s="8">
        <f ca="1">IFERROR(__xludf.DUMMYFUNCTION("""COMPUTED_VALUE"""),5)</f>
        <v>5</v>
      </c>
      <c r="E6192" s="2">
        <f ca="1">IFERROR(__xludf.DUMMYFUNCTION("""COMPUTED_VALUE"""),2)</f>
        <v>2</v>
      </c>
    </row>
    <row r="6193" spans="1:5" ht="13">
      <c r="A6193" s="2" t="str">
        <f ca="1">IFERROR(__xludf.DUMMYFUNCTION("""COMPUTED_VALUE"""),"Padilla, Jose")</f>
        <v>Padilla, Jose</v>
      </c>
      <c r="B6193" s="2">
        <f ca="1">IFERROR(__xludf.DUMMYFUNCTION("""COMPUTED_VALUE"""),1)</f>
        <v>1</v>
      </c>
      <c r="C6193" s="7">
        <f ca="1">IFERROR(__xludf.DUMMYFUNCTION("""COMPUTED_VALUE"""),1)</f>
        <v>1</v>
      </c>
      <c r="D6193" s="8">
        <f ca="1">IFERROR(__xludf.DUMMYFUNCTION("""COMPUTED_VALUE"""),5)</f>
        <v>5</v>
      </c>
      <c r="E6193" s="2">
        <f ca="1">IFERROR(__xludf.DUMMYFUNCTION("""COMPUTED_VALUE"""),2)</f>
        <v>2</v>
      </c>
    </row>
    <row r="6194" spans="1:5" ht="13">
      <c r="A6194" s="2" t="str">
        <f ca="1">IFERROR(__xludf.DUMMYFUNCTION("""COMPUTED_VALUE"""),"Padovano, Annibale")</f>
        <v>Padovano, Annibale</v>
      </c>
      <c r="B6194" s="2">
        <f ca="1">IFERROR(__xludf.DUMMYFUNCTION("""COMPUTED_VALUE"""),1)</f>
        <v>1</v>
      </c>
      <c r="C6194" s="7">
        <f ca="1">IFERROR(__xludf.DUMMYFUNCTION("""COMPUTED_VALUE"""),1)</f>
        <v>1</v>
      </c>
      <c r="D6194" s="8">
        <f ca="1">IFERROR(__xludf.DUMMYFUNCTION("""COMPUTED_VALUE"""),5)</f>
        <v>5</v>
      </c>
      <c r="E6194" s="2">
        <f ca="1">IFERROR(__xludf.DUMMYFUNCTION("""COMPUTED_VALUE"""),2)</f>
        <v>2</v>
      </c>
    </row>
    <row r="6195" spans="1:5" ht="13">
      <c r="A6195" s="2" t="str">
        <f ca="1">IFERROR(__xludf.DUMMYFUNCTION("""COMPUTED_VALUE"""),"Padworski, Kevin")</f>
        <v>Padworski, Kevin</v>
      </c>
      <c r="B6195" s="3">
        <f ca="1">IFERROR(__xludf.DUMMYFUNCTION("""COMPUTED_VALUE"""),1)</f>
        <v>1</v>
      </c>
      <c r="C6195" s="7">
        <f ca="1">IFERROR(__xludf.DUMMYFUNCTION("""COMPUTED_VALUE"""),1)</f>
        <v>1</v>
      </c>
      <c r="D6195" s="8">
        <f ca="1">IFERROR(__xludf.DUMMYFUNCTION("""COMPUTED_VALUE"""),1)</f>
        <v>1</v>
      </c>
      <c r="E6195" s="2">
        <f ca="1">IFERROR(__xludf.DUMMYFUNCTION("""COMPUTED_VALUE"""),1)</f>
        <v>1</v>
      </c>
    </row>
    <row r="6196" spans="1:5" ht="13">
      <c r="A6196" s="8" t="str">
        <f ca="1">IFERROR(__xludf.DUMMYFUNCTION("""COMPUTED_VALUE"""),"Padworski, Kevin T.")</f>
        <v>Padworski, Kevin T.</v>
      </c>
      <c r="B6196" s="3">
        <f ca="1">IFERROR(__xludf.DUMMYFUNCTION("""COMPUTED_VALUE"""),1)</f>
        <v>1</v>
      </c>
      <c r="C6196" s="7">
        <f ca="1">IFERROR(__xludf.DUMMYFUNCTION("""COMPUTED_VALUE"""),1)</f>
        <v>1</v>
      </c>
      <c r="D6196" s="8">
        <f ca="1">IFERROR(__xludf.DUMMYFUNCTION("""COMPUTED_VALUE"""),1)</f>
        <v>1</v>
      </c>
      <c r="E6196" s="2">
        <f ca="1">IFERROR(__xludf.DUMMYFUNCTION("""COMPUTED_VALUE"""),1)</f>
        <v>1</v>
      </c>
    </row>
    <row r="6197" spans="1:5" ht="13">
      <c r="A6197" s="2" t="str">
        <f ca="1">IFERROR(__xludf.DUMMYFUNCTION("""COMPUTED_VALUE"""),"Paer, Ferdinando")</f>
        <v>Paer, Ferdinando</v>
      </c>
      <c r="B6197" s="2">
        <f ca="1">IFERROR(__xludf.DUMMYFUNCTION("""COMPUTED_VALUE"""),1)</f>
        <v>1</v>
      </c>
      <c r="C6197" s="7">
        <f ca="1">IFERROR(__xludf.DUMMYFUNCTION("""COMPUTED_VALUE"""),1)</f>
        <v>1</v>
      </c>
      <c r="D6197" s="8">
        <f ca="1">IFERROR(__xludf.DUMMYFUNCTION("""COMPUTED_VALUE"""),5)</f>
        <v>5</v>
      </c>
      <c r="E6197" s="2">
        <f ca="1">IFERROR(__xludf.DUMMYFUNCTION("""COMPUTED_VALUE"""),2)</f>
        <v>2</v>
      </c>
    </row>
    <row r="6198" spans="1:5" ht="13">
      <c r="A6198" s="2" t="str">
        <f ca="1">IFERROR(__xludf.DUMMYFUNCTION("""COMPUTED_VALUE"""),"Paessler, Carlo")</f>
        <v>Paessler, Carlo</v>
      </c>
      <c r="B6198" s="2">
        <f ca="1">IFERROR(__xludf.DUMMYFUNCTION("""COMPUTED_VALUE"""),1)</f>
        <v>1</v>
      </c>
      <c r="C6198" s="2">
        <f ca="1">IFERROR(__xludf.DUMMYFUNCTION("""COMPUTED_VALUE"""),1)</f>
        <v>1</v>
      </c>
      <c r="D6198" s="8">
        <f ca="1">IFERROR(__xludf.DUMMYFUNCTION("""COMPUTED_VALUE"""),5)</f>
        <v>5</v>
      </c>
      <c r="E6198" s="2">
        <f ca="1">IFERROR(__xludf.DUMMYFUNCTION("""COMPUTED_VALUE"""),2)</f>
        <v>2</v>
      </c>
    </row>
    <row r="6199" spans="1:5" ht="13">
      <c r="A6199" s="2" t="str">
        <f ca="1">IFERROR(__xludf.DUMMYFUNCTION("""COMPUTED_VALUE"""),"Paganini")</f>
        <v>Paganini</v>
      </c>
      <c r="B6199" s="3">
        <f ca="1">IFERROR(__xludf.DUMMYFUNCTION("""COMPUTED_VALUE"""),1)</f>
        <v>1</v>
      </c>
      <c r="C6199" s="7">
        <f ca="1">IFERROR(__xludf.DUMMYFUNCTION("""COMPUTED_VALUE"""),1)</f>
        <v>1</v>
      </c>
      <c r="D6199" s="8">
        <f ca="1">IFERROR(__xludf.DUMMYFUNCTION("""COMPUTED_VALUE"""),5)</f>
        <v>5</v>
      </c>
      <c r="E6199" s="2">
        <f ca="1">IFERROR(__xludf.DUMMYFUNCTION("""COMPUTED_VALUE"""),2)</f>
        <v>2</v>
      </c>
    </row>
    <row r="6200" spans="1:5" ht="13">
      <c r="A6200" s="2" t="str">
        <f ca="1">IFERROR(__xludf.DUMMYFUNCTION("""COMPUTED_VALUE"""),"Paganini, Niccolò")</f>
        <v>Paganini, Niccolò</v>
      </c>
      <c r="B6200" s="3">
        <f ca="1">IFERROR(__xludf.DUMMYFUNCTION("""COMPUTED_VALUE"""),1)</f>
        <v>1</v>
      </c>
      <c r="C6200" s="7">
        <f ca="1">IFERROR(__xludf.DUMMYFUNCTION("""COMPUTED_VALUE"""),1)</f>
        <v>1</v>
      </c>
      <c r="D6200" s="8">
        <f ca="1">IFERROR(__xludf.DUMMYFUNCTION("""COMPUTED_VALUE"""),5)</f>
        <v>5</v>
      </c>
      <c r="E6200" s="2">
        <f ca="1">IFERROR(__xludf.DUMMYFUNCTION("""COMPUTED_VALUE"""),2)</f>
        <v>2</v>
      </c>
    </row>
    <row r="6201" spans="1:5" ht="13">
      <c r="A6201" s="8" t="str">
        <f ca="1">IFERROR(__xludf.DUMMYFUNCTION("""COMPUTED_VALUE"""),"Page, N. Clifford")</f>
        <v>Page, N. Clifford</v>
      </c>
      <c r="B6201" s="3">
        <f ca="1">IFERROR(__xludf.DUMMYFUNCTION("""COMPUTED_VALUE"""),1)</f>
        <v>1</v>
      </c>
      <c r="C6201" s="7">
        <f ca="1">IFERROR(__xludf.DUMMYFUNCTION("""COMPUTED_VALUE"""),1)</f>
        <v>1</v>
      </c>
      <c r="D6201" s="8">
        <f ca="1">IFERROR(__xludf.DUMMYFUNCTION("""COMPUTED_VALUE"""),5)</f>
        <v>5</v>
      </c>
      <c r="E6201" s="2">
        <f ca="1">IFERROR(__xludf.DUMMYFUNCTION("""COMPUTED_VALUE"""),2)</f>
        <v>2</v>
      </c>
    </row>
    <row r="6202" spans="1:5" ht="13">
      <c r="A6202" s="8" t="str">
        <f ca="1">IFERROR(__xludf.DUMMYFUNCTION("""COMPUTED_VALUE"""),"Page, Nick")</f>
        <v>Page, Nick</v>
      </c>
      <c r="B6202" s="3">
        <f ca="1">IFERROR(__xludf.DUMMYFUNCTION("""COMPUTED_VALUE"""),1)</f>
        <v>1</v>
      </c>
      <c r="C6202" s="7">
        <f ca="1">IFERROR(__xludf.DUMMYFUNCTION("""COMPUTED_VALUE"""),1)</f>
        <v>1</v>
      </c>
      <c r="D6202" s="8">
        <f ca="1">IFERROR(__xludf.DUMMYFUNCTION("""COMPUTED_VALUE"""),1)</f>
        <v>1</v>
      </c>
      <c r="E6202" s="2">
        <f ca="1">IFERROR(__xludf.DUMMYFUNCTION("""COMPUTED_VALUE"""),1)</f>
        <v>1</v>
      </c>
    </row>
    <row r="6203" spans="1:5" ht="13">
      <c r="A6203" s="2" t="str">
        <f ca="1">IFERROR(__xludf.DUMMYFUNCTION("""COMPUTED_VALUE"""),"Page, Richard")</f>
        <v>Page, Richard</v>
      </c>
      <c r="B6203" s="3">
        <f ca="1">IFERROR(__xludf.DUMMYFUNCTION("""COMPUTED_VALUE"""),1)</f>
        <v>1</v>
      </c>
      <c r="C6203" s="7">
        <f ca="1">IFERROR(__xludf.DUMMYFUNCTION("""COMPUTED_VALUE"""),1)</f>
        <v>1</v>
      </c>
      <c r="D6203" s="8">
        <f ca="1">IFERROR(__xludf.DUMMYFUNCTION("""COMPUTED_VALUE"""),1)</f>
        <v>1</v>
      </c>
      <c r="E6203" s="2">
        <f ca="1">IFERROR(__xludf.DUMMYFUNCTION("""COMPUTED_VALUE"""),1)</f>
        <v>1</v>
      </c>
    </row>
    <row r="6204" spans="1:5" ht="13">
      <c r="A6204" s="2" t="str">
        <f ca="1">IFERROR(__xludf.DUMMYFUNCTION("""COMPUTED_VALUE"""),"Page, Richard / George, Steve / Lang, John")</f>
        <v>Page, Richard / George, Steve / Lang, John</v>
      </c>
      <c r="B6204" s="2">
        <f ca="1">IFERROR(__xludf.DUMMYFUNCTION("""COMPUTED_VALUE"""),1)</f>
        <v>1</v>
      </c>
      <c r="C6204" s="2">
        <f ca="1">IFERROR(__xludf.DUMMYFUNCTION("""COMPUTED_VALUE"""),1)</f>
        <v>1</v>
      </c>
      <c r="D6204" s="8">
        <f ca="1">IFERROR(__xludf.DUMMYFUNCTION("""COMPUTED_VALUE"""),1)</f>
        <v>1</v>
      </c>
      <c r="E6204" s="2">
        <f ca="1">IFERROR(__xludf.DUMMYFUNCTION("""COMPUTED_VALUE"""),1)</f>
        <v>1</v>
      </c>
    </row>
    <row r="6205" spans="1:5" ht="13">
      <c r="A6205" s="8" t="str">
        <f ca="1">IFERROR(__xludf.DUMMYFUNCTION("""COMPUTED_VALUE"""),"Page, Robert")</f>
        <v>Page, Robert</v>
      </c>
      <c r="B6205" s="3">
        <f ca="1">IFERROR(__xludf.DUMMYFUNCTION("""COMPUTED_VALUE"""),1)</f>
        <v>1</v>
      </c>
      <c r="C6205" s="7">
        <f ca="1">IFERROR(__xludf.DUMMYFUNCTION("""COMPUTED_VALUE"""),1)</f>
        <v>1</v>
      </c>
      <c r="D6205" s="8">
        <f ca="1">IFERROR(__xludf.DUMMYFUNCTION("""COMPUTED_VALUE"""),5)</f>
        <v>5</v>
      </c>
      <c r="E6205" s="2">
        <f ca="1">IFERROR(__xludf.DUMMYFUNCTION("""COMPUTED_VALUE"""),2)</f>
        <v>2</v>
      </c>
    </row>
    <row r="6206" spans="1:5" ht="13">
      <c r="A6206" s="2" t="str">
        <f ca="1">IFERROR(__xludf.DUMMYFUNCTION("""COMPUTED_VALUE"""),"Paich, David / Porcaro, Jeff")</f>
        <v>Paich, David / Porcaro, Jeff</v>
      </c>
      <c r="B6206" s="3">
        <f ca="1">IFERROR(__xludf.DUMMYFUNCTION("""COMPUTED_VALUE"""),1)</f>
        <v>1</v>
      </c>
      <c r="C6206" s="7">
        <f ca="1">IFERROR(__xludf.DUMMYFUNCTION("""COMPUTED_VALUE"""),1)</f>
        <v>1</v>
      </c>
      <c r="D6206" s="8">
        <f ca="1">IFERROR(__xludf.DUMMYFUNCTION("""COMPUTED_VALUE"""),1)</f>
        <v>1</v>
      </c>
      <c r="E6206" s="2">
        <f ca="1">IFERROR(__xludf.DUMMYFUNCTION("""COMPUTED_VALUE"""),1)</f>
        <v>1</v>
      </c>
    </row>
    <row r="6207" spans="1:5" ht="13">
      <c r="A6207" s="8" t="str">
        <f ca="1">IFERROR(__xludf.DUMMYFUNCTION("""COMPUTED_VALUE"""),"Paich, Marty / Steinquest, David")</f>
        <v>Paich, Marty / Steinquest, David</v>
      </c>
      <c r="B6207" s="3">
        <f ca="1">IFERROR(__xludf.DUMMYFUNCTION("""COMPUTED_VALUE"""),1)</f>
        <v>1</v>
      </c>
      <c r="C6207" s="7">
        <f ca="1">IFERROR(__xludf.DUMMYFUNCTION("""COMPUTED_VALUE"""),1)</f>
        <v>1</v>
      </c>
      <c r="D6207" s="8">
        <f ca="1">IFERROR(__xludf.DUMMYFUNCTION("""COMPUTED_VALUE"""),1)</f>
        <v>1</v>
      </c>
      <c r="E6207" s="2">
        <f ca="1">IFERROR(__xludf.DUMMYFUNCTION("""COMPUTED_VALUE"""),1)</f>
        <v>1</v>
      </c>
    </row>
    <row r="6208" spans="1:5" ht="13">
      <c r="A6208" s="2" t="str">
        <f ca="1">IFERROR(__xludf.DUMMYFUNCTION("""COMPUTED_VALUE"""),"Paige, Jon")</f>
        <v>Paige, Jon</v>
      </c>
      <c r="B6208" s="3">
        <f ca="1">IFERROR(__xludf.DUMMYFUNCTION("""COMPUTED_VALUE"""),1)</f>
        <v>1</v>
      </c>
      <c r="C6208" s="7">
        <f ca="1">IFERROR(__xludf.DUMMYFUNCTION("""COMPUTED_VALUE"""),1)</f>
        <v>1</v>
      </c>
      <c r="D6208" s="8">
        <f ca="1">IFERROR(__xludf.DUMMYFUNCTION("""COMPUTED_VALUE"""),1)</f>
        <v>1</v>
      </c>
      <c r="E6208" s="2">
        <f ca="1">IFERROR(__xludf.DUMMYFUNCTION("""COMPUTED_VALUE"""),1)</f>
        <v>1</v>
      </c>
    </row>
    <row r="6209" spans="1:5" ht="13">
      <c r="A6209" s="2" t="str">
        <f ca="1">IFERROR(__xludf.DUMMYFUNCTION("""COMPUTED_VALUE"""),"Paine, John Knowles")</f>
        <v>Paine, John Knowles</v>
      </c>
      <c r="B6209" s="3">
        <f ca="1">IFERROR(__xludf.DUMMYFUNCTION("""COMPUTED_VALUE"""),1)</f>
        <v>1</v>
      </c>
      <c r="C6209" s="7">
        <f ca="1">IFERROR(__xludf.DUMMYFUNCTION("""COMPUTED_VALUE"""),1)</f>
        <v>1</v>
      </c>
      <c r="D6209" s="8">
        <f ca="1">IFERROR(__xludf.DUMMYFUNCTION("""COMPUTED_VALUE"""),5)</f>
        <v>5</v>
      </c>
      <c r="E6209" s="2">
        <f ca="1">IFERROR(__xludf.DUMMYFUNCTION("""COMPUTED_VALUE"""),2)</f>
        <v>2</v>
      </c>
    </row>
    <row r="6210" spans="1:5" ht="13">
      <c r="A6210" s="8" t="str">
        <f ca="1">IFERROR(__xludf.DUMMYFUNCTION("""COMPUTED_VALUE"""),"Paisiello, Giovanni")</f>
        <v>Paisiello, Giovanni</v>
      </c>
      <c r="B6210" s="3">
        <f ca="1">IFERROR(__xludf.DUMMYFUNCTION("""COMPUTED_VALUE"""),1)</f>
        <v>1</v>
      </c>
      <c r="C6210" s="7">
        <f ca="1">IFERROR(__xludf.DUMMYFUNCTION("""COMPUTED_VALUE"""),1)</f>
        <v>1</v>
      </c>
      <c r="D6210" s="8">
        <f ca="1">IFERROR(__xludf.DUMMYFUNCTION("""COMPUTED_VALUE"""),5)</f>
        <v>5</v>
      </c>
      <c r="E6210" s="2">
        <f ca="1">IFERROR(__xludf.DUMMYFUNCTION("""COMPUTED_VALUE"""),2)</f>
        <v>2</v>
      </c>
    </row>
    <row r="6211" spans="1:5" ht="13">
      <c r="A6211" s="2" t="str">
        <f ca="1">IFERROR(__xludf.DUMMYFUNCTION("""COMPUTED_VALUE"""),"Paix, Jacob")</f>
        <v>Paix, Jacob</v>
      </c>
      <c r="B6211" s="3">
        <f ca="1">IFERROR(__xludf.DUMMYFUNCTION("""COMPUTED_VALUE"""),1)</f>
        <v>1</v>
      </c>
      <c r="C6211" s="7">
        <f ca="1">IFERROR(__xludf.DUMMYFUNCTION("""COMPUTED_VALUE"""),1)</f>
        <v>1</v>
      </c>
      <c r="D6211" s="8">
        <f ca="1">IFERROR(__xludf.DUMMYFUNCTION("""COMPUTED_VALUE"""),5)</f>
        <v>5</v>
      </c>
      <c r="E6211" s="2">
        <f ca="1">IFERROR(__xludf.DUMMYFUNCTION("""COMPUTED_VALUE"""),2)</f>
        <v>2</v>
      </c>
    </row>
    <row r="6212" spans="1:5" ht="13">
      <c r="A6212" s="2" t="str">
        <f ca="1">IFERROR(__xludf.DUMMYFUNCTION("""COMPUTED_VALUE"""),"Paladilhe, Emile")</f>
        <v>Paladilhe, Emile</v>
      </c>
      <c r="B6212" s="3">
        <f ca="1">IFERROR(__xludf.DUMMYFUNCTION("""COMPUTED_VALUE"""),1)</f>
        <v>1</v>
      </c>
      <c r="C6212" s="7">
        <f ca="1">IFERROR(__xludf.DUMMYFUNCTION("""COMPUTED_VALUE"""),1)</f>
        <v>1</v>
      </c>
      <c r="D6212" s="8">
        <f ca="1">IFERROR(__xludf.DUMMYFUNCTION("""COMPUTED_VALUE"""),5)</f>
        <v>5</v>
      </c>
      <c r="E6212" s="2">
        <f ca="1">IFERROR(__xludf.DUMMYFUNCTION("""COMPUTED_VALUE"""),2)</f>
        <v>2</v>
      </c>
    </row>
    <row r="6213" spans="1:5" ht="13">
      <c r="A6213" s="2" t="str">
        <f ca="1">IFERROR(__xludf.DUMMYFUNCTION("""COMPUTED_VALUE"""),"Palange, William")</f>
        <v>Palange, William</v>
      </c>
      <c r="B6213" s="3">
        <f ca="1">IFERROR(__xludf.DUMMYFUNCTION("""COMPUTED_VALUE"""),1)</f>
        <v>1</v>
      </c>
      <c r="C6213" s="7">
        <f ca="1">IFERROR(__xludf.DUMMYFUNCTION("""COMPUTED_VALUE"""),1)</f>
        <v>1</v>
      </c>
      <c r="D6213" s="8">
        <f ca="1">IFERROR(__xludf.DUMMYFUNCTION("""COMPUTED_VALUE"""),5)</f>
        <v>5</v>
      </c>
      <c r="E6213" s="2">
        <f ca="1">IFERROR(__xludf.DUMMYFUNCTION("""COMPUTED_VALUE"""),2)</f>
        <v>2</v>
      </c>
    </row>
    <row r="6214" spans="1:5" ht="13">
      <c r="A6214" s="2" t="str">
        <f ca="1">IFERROR(__xludf.DUMMYFUNCTION("""COMPUTED_VALUE"""),"Palestrina, Giovanni")</f>
        <v>Palestrina, Giovanni</v>
      </c>
      <c r="B6214" s="3">
        <f ca="1">IFERROR(__xludf.DUMMYFUNCTION("""COMPUTED_VALUE"""),1)</f>
        <v>1</v>
      </c>
      <c r="C6214" s="7">
        <f ca="1">IFERROR(__xludf.DUMMYFUNCTION("""COMPUTED_VALUE"""),1)</f>
        <v>1</v>
      </c>
      <c r="D6214" s="8">
        <f ca="1">IFERROR(__xludf.DUMMYFUNCTION("""COMPUTED_VALUE"""),5)</f>
        <v>5</v>
      </c>
      <c r="E6214" s="2">
        <f ca="1">IFERROR(__xludf.DUMMYFUNCTION("""COMPUTED_VALUE"""),2)</f>
        <v>2</v>
      </c>
    </row>
    <row r="6215" spans="1:5" ht="13">
      <c r="A6215" s="2" t="str">
        <f ca="1">IFERROR(__xludf.DUMMYFUNCTION("""COMPUTED_VALUE"""),"Pallett, Owen")</f>
        <v>Pallett, Owen</v>
      </c>
      <c r="B6215" s="3">
        <f ca="1">IFERROR(__xludf.DUMMYFUNCTION("""COMPUTED_VALUE"""),1)</f>
        <v>1</v>
      </c>
      <c r="C6215" s="7">
        <f ca="1">IFERROR(__xludf.DUMMYFUNCTION("""COMPUTED_VALUE"""),1)</f>
        <v>1</v>
      </c>
      <c r="D6215" s="8">
        <f ca="1">IFERROR(__xludf.DUMMYFUNCTION("""COMPUTED_VALUE"""),1)</f>
        <v>1</v>
      </c>
      <c r="E6215" s="2">
        <f ca="1">IFERROR(__xludf.DUMMYFUNCTION("""COMPUTED_VALUE"""),1)</f>
        <v>1</v>
      </c>
    </row>
    <row r="6216" spans="1:5" ht="13">
      <c r="A6216" s="8" t="str">
        <f ca="1">IFERROR(__xludf.DUMMYFUNCTION("""COMPUTED_VALUE"""),"Pallhuber, Hermann")</f>
        <v>Pallhuber, Hermann</v>
      </c>
      <c r="B6216" s="3">
        <f ca="1">IFERROR(__xludf.DUMMYFUNCTION("""COMPUTED_VALUE"""),1)</f>
        <v>1</v>
      </c>
      <c r="C6216" s="7">
        <f ca="1">IFERROR(__xludf.DUMMYFUNCTION("""COMPUTED_VALUE"""),1)</f>
        <v>1</v>
      </c>
      <c r="D6216" s="8">
        <f ca="1">IFERROR(__xludf.DUMMYFUNCTION("""COMPUTED_VALUE"""),1)</f>
        <v>1</v>
      </c>
      <c r="E6216" s="2">
        <f ca="1">IFERROR(__xludf.DUMMYFUNCTION("""COMPUTED_VALUE"""),1)</f>
        <v>1</v>
      </c>
    </row>
    <row r="6217" spans="1:5" ht="13">
      <c r="A6217" s="2" t="str">
        <f ca="1">IFERROR(__xludf.DUMMYFUNCTION("""COMPUTED_VALUE"""),"Palmer")</f>
        <v>Palmer</v>
      </c>
      <c r="B6217" s="3">
        <f ca="1">IFERROR(__xludf.DUMMYFUNCTION("""COMPUTED_VALUE"""),1)</f>
        <v>1</v>
      </c>
      <c r="C6217" s="7">
        <f ca="1">IFERROR(__xludf.DUMMYFUNCTION("""COMPUTED_VALUE"""),1)</f>
        <v>1</v>
      </c>
      <c r="D6217" s="8">
        <f ca="1">IFERROR(__xludf.DUMMYFUNCTION("""COMPUTED_VALUE"""),1)</f>
        <v>1</v>
      </c>
      <c r="E6217" s="2">
        <f ca="1">IFERROR(__xludf.DUMMYFUNCTION("""COMPUTED_VALUE"""),1)</f>
        <v>1</v>
      </c>
    </row>
    <row r="6218" spans="1:5" ht="13">
      <c r="A6218" s="2" t="str">
        <f ca="1">IFERROR(__xludf.DUMMYFUNCTION("""COMPUTED_VALUE"""),"Palmer, Anthony")</f>
        <v>Palmer, Anthony</v>
      </c>
      <c r="B6218" s="3">
        <f ca="1">IFERROR(__xludf.DUMMYFUNCTION("""COMPUTED_VALUE"""),1)</f>
        <v>1</v>
      </c>
      <c r="C6218" s="7">
        <f ca="1">IFERROR(__xludf.DUMMYFUNCTION("""COMPUTED_VALUE"""),1)</f>
        <v>1</v>
      </c>
      <c r="D6218" s="8">
        <f ca="1">IFERROR(__xludf.DUMMYFUNCTION("""COMPUTED_VALUE"""),1)</f>
        <v>1</v>
      </c>
      <c r="E6218" s="2">
        <f ca="1">IFERROR(__xludf.DUMMYFUNCTION("""COMPUTED_VALUE"""),1)</f>
        <v>1</v>
      </c>
    </row>
    <row r="6219" spans="1:5" ht="13">
      <c r="A6219" s="2" t="str">
        <f ca="1">IFERROR(__xludf.DUMMYFUNCTION("""COMPUTED_VALUE"""),"Palmer, Craig")</f>
        <v>Palmer, Craig</v>
      </c>
      <c r="B6219" s="3">
        <f ca="1">IFERROR(__xludf.DUMMYFUNCTION("""COMPUTED_VALUE"""),1)</f>
        <v>1</v>
      </c>
      <c r="C6219" s="7">
        <f ca="1">IFERROR(__xludf.DUMMYFUNCTION("""COMPUTED_VALUE"""),1)</f>
        <v>1</v>
      </c>
      <c r="D6219" s="8">
        <f ca="1">IFERROR(__xludf.DUMMYFUNCTION("""COMPUTED_VALUE"""),1)</f>
        <v>1</v>
      </c>
      <c r="E6219" s="2">
        <f ca="1">IFERROR(__xludf.DUMMYFUNCTION("""COMPUTED_VALUE"""),1)</f>
        <v>1</v>
      </c>
    </row>
    <row r="6220" spans="1:5" ht="13">
      <c r="A6220" s="2" t="str">
        <f ca="1">IFERROR(__xludf.DUMMYFUNCTION("""COMPUTED_VALUE"""),"Palmer, Jack / Williams, Spencer")</f>
        <v>Palmer, Jack / Williams, Spencer</v>
      </c>
      <c r="B6220" s="3">
        <f ca="1">IFERROR(__xludf.DUMMYFUNCTION("""COMPUTED_VALUE"""),1)</f>
        <v>1</v>
      </c>
      <c r="C6220" s="7">
        <f ca="1">IFERROR(__xludf.DUMMYFUNCTION("""COMPUTED_VALUE"""),1)</f>
        <v>1</v>
      </c>
      <c r="D6220" s="8">
        <f ca="1">IFERROR(__xludf.DUMMYFUNCTION("""COMPUTED_VALUE"""),5)</f>
        <v>5</v>
      </c>
      <c r="E6220" s="2">
        <f ca="1">IFERROR(__xludf.DUMMYFUNCTION("""COMPUTED_VALUE"""),2)</f>
        <v>2</v>
      </c>
    </row>
    <row r="6221" spans="1:5" ht="13">
      <c r="A6221" s="2" t="str">
        <f ca="1">IFERROR(__xludf.DUMMYFUNCTION("""COMPUTED_VALUE"""),"Palmer, Jim")</f>
        <v>Palmer, Jim</v>
      </c>
      <c r="B6221" s="3">
        <f ca="1">IFERROR(__xludf.DUMMYFUNCTION("""COMPUTED_VALUE"""),1)</f>
        <v>1</v>
      </c>
      <c r="C6221" s="7">
        <f ca="1">IFERROR(__xludf.DUMMYFUNCTION("""COMPUTED_VALUE"""),1)</f>
        <v>1</v>
      </c>
      <c r="D6221" s="8">
        <f ca="1">IFERROR(__xludf.DUMMYFUNCTION("""COMPUTED_VALUE"""),1)</f>
        <v>1</v>
      </c>
      <c r="E6221" s="2">
        <f ca="1">IFERROR(__xludf.DUMMYFUNCTION("""COMPUTED_VALUE"""),1)</f>
        <v>1</v>
      </c>
    </row>
    <row r="6222" spans="1:5" ht="13">
      <c r="A6222" s="2" t="str">
        <f ca="1">IFERROR(__xludf.DUMMYFUNCTION("""COMPUTED_VALUE"""),"Palmer, Robert")</f>
        <v>Palmer, Robert</v>
      </c>
      <c r="B6222" s="3">
        <f ca="1">IFERROR(__xludf.DUMMYFUNCTION("""COMPUTED_VALUE"""),1)</f>
        <v>1</v>
      </c>
      <c r="C6222" s="7">
        <f ca="1">IFERROR(__xludf.DUMMYFUNCTION("""COMPUTED_VALUE"""),1)</f>
        <v>1</v>
      </c>
      <c r="D6222" s="8">
        <f ca="1">IFERROR(__xludf.DUMMYFUNCTION("""COMPUTED_VALUE"""),1)</f>
        <v>1</v>
      </c>
      <c r="E6222" s="2">
        <f ca="1">IFERROR(__xludf.DUMMYFUNCTION("""COMPUTED_VALUE"""),1)</f>
        <v>1</v>
      </c>
    </row>
    <row r="6223" spans="1:5" ht="13">
      <c r="A6223" s="2" t="str">
        <f ca="1">IFERROR(__xludf.DUMMYFUNCTION("""COMPUTED_VALUE"""),"Palmgren, Selim")</f>
        <v>Palmgren, Selim</v>
      </c>
      <c r="B6223" s="3">
        <f ca="1">IFERROR(__xludf.DUMMYFUNCTION("""COMPUTED_VALUE"""),1)</f>
        <v>1</v>
      </c>
      <c r="C6223" s="7">
        <f ca="1">IFERROR(__xludf.DUMMYFUNCTION("""COMPUTED_VALUE"""),1)</f>
        <v>1</v>
      </c>
      <c r="D6223" s="8">
        <f ca="1">IFERROR(__xludf.DUMMYFUNCTION("""COMPUTED_VALUE"""),5)</f>
        <v>5</v>
      </c>
      <c r="E6223" s="2">
        <f ca="1">IFERROR(__xludf.DUMMYFUNCTION("""COMPUTED_VALUE"""),2)</f>
        <v>2</v>
      </c>
    </row>
    <row r="6224" spans="1:5" ht="13">
      <c r="A6224" s="2" t="str">
        <f ca="1">IFERROR(__xludf.DUMMYFUNCTION("""COMPUTED_VALUE"""),"Palomar, Enric")</f>
        <v>Palomar, Enric</v>
      </c>
      <c r="B6224" s="3">
        <f ca="1">IFERROR(__xludf.DUMMYFUNCTION("""COMPUTED_VALUE"""),1)</f>
        <v>1</v>
      </c>
      <c r="C6224" s="7">
        <f ca="1">IFERROR(__xludf.DUMMYFUNCTION("""COMPUTED_VALUE"""),1)</f>
        <v>1</v>
      </c>
      <c r="D6224" s="8">
        <f ca="1">IFERROR(__xludf.DUMMYFUNCTION("""COMPUTED_VALUE"""),1)</f>
        <v>1</v>
      </c>
      <c r="E6224" s="2">
        <f ca="1">IFERROR(__xludf.DUMMYFUNCTION("""COMPUTED_VALUE"""),1)</f>
        <v>1</v>
      </c>
    </row>
    <row r="6225" spans="1:5" ht="13">
      <c r="A6225" s="2" t="str">
        <f ca="1">IFERROR(__xludf.DUMMYFUNCTION("""COMPUTED_VALUE"""),"Palomo, Lorenzo")</f>
        <v>Palomo, Lorenzo</v>
      </c>
      <c r="B6225" s="2">
        <f ca="1">IFERROR(__xludf.DUMMYFUNCTION("""COMPUTED_VALUE"""),1)</f>
        <v>1</v>
      </c>
      <c r="C6225" s="2">
        <f ca="1">IFERROR(__xludf.DUMMYFUNCTION("""COMPUTED_VALUE"""),1)</f>
        <v>1</v>
      </c>
      <c r="D6225" s="8">
        <f ca="1">IFERROR(__xludf.DUMMYFUNCTION("""COMPUTED_VALUE"""),1)</f>
        <v>1</v>
      </c>
      <c r="E6225" s="2">
        <f ca="1">IFERROR(__xludf.DUMMYFUNCTION("""COMPUTED_VALUE"""),1)</f>
        <v>1</v>
      </c>
    </row>
    <row r="6226" spans="1:5" ht="13">
      <c r="A6226" s="2" t="str">
        <f ca="1">IFERROR(__xludf.DUMMYFUNCTION("""COMPUTED_VALUE"""),"Pálsson, Páll Ragnar")</f>
        <v>Pálsson, Páll Ragnar</v>
      </c>
      <c r="B6226" s="3">
        <f ca="1">IFERROR(__xludf.DUMMYFUNCTION("""COMPUTED_VALUE"""),1)</f>
        <v>1</v>
      </c>
      <c r="C6226" s="7">
        <f ca="1">IFERROR(__xludf.DUMMYFUNCTION("""COMPUTED_VALUE"""),1)</f>
        <v>1</v>
      </c>
      <c r="D6226" s="8">
        <f ca="1">IFERROR(__xludf.DUMMYFUNCTION("""COMPUTED_VALUE"""),1)</f>
        <v>1</v>
      </c>
      <c r="E6226" s="2">
        <f ca="1">IFERROR(__xludf.DUMMYFUNCTION("""COMPUTED_VALUE"""),1)</f>
        <v>1</v>
      </c>
    </row>
    <row r="6227" spans="1:5" ht="13">
      <c r="A6227" s="8" t="str">
        <f ca="1">IFERROR(__xludf.DUMMYFUNCTION("""COMPUTED_VALUE"""),"Pancarowicz, Ray")</f>
        <v>Pancarowicz, Ray</v>
      </c>
      <c r="B6227" s="3">
        <f ca="1">IFERROR(__xludf.DUMMYFUNCTION("""COMPUTED_VALUE"""),1)</f>
        <v>1</v>
      </c>
      <c r="C6227" s="7">
        <f ca="1">IFERROR(__xludf.DUMMYFUNCTION("""COMPUTED_VALUE"""),1)</f>
        <v>1</v>
      </c>
      <c r="D6227" s="8">
        <f ca="1">IFERROR(__xludf.DUMMYFUNCTION("""COMPUTED_VALUE"""),5)</f>
        <v>5</v>
      </c>
      <c r="E6227" s="2">
        <f ca="1">IFERROR(__xludf.DUMMYFUNCTION("""COMPUTED_VALUE"""),2)</f>
        <v>2</v>
      </c>
    </row>
    <row r="6228" spans="1:5" ht="13">
      <c r="A6228" s="2" t="str">
        <f ca="1">IFERROR(__xludf.DUMMYFUNCTION("""COMPUTED_VALUE"""),"Panella, Frank")</f>
        <v>Panella, Frank</v>
      </c>
      <c r="B6228" s="2">
        <f ca="1">IFERROR(__xludf.DUMMYFUNCTION("""COMPUTED_VALUE"""),1)</f>
        <v>1</v>
      </c>
      <c r="C6228" s="7">
        <f ca="1">IFERROR(__xludf.DUMMYFUNCTION("""COMPUTED_VALUE"""),1)</f>
        <v>1</v>
      </c>
      <c r="D6228" s="8">
        <f ca="1">IFERROR(__xludf.DUMMYFUNCTION("""COMPUTED_VALUE"""),5)</f>
        <v>5</v>
      </c>
      <c r="E6228" s="2">
        <f ca="1">IFERROR(__xludf.DUMMYFUNCTION("""COMPUTED_VALUE"""),2)</f>
        <v>2</v>
      </c>
    </row>
    <row r="6229" spans="1:5" ht="13">
      <c r="A6229" s="2" t="str">
        <f ca="1">IFERROR(__xludf.DUMMYFUNCTION("""COMPUTED_VALUE"""),"Panerio, Robert")</f>
        <v>Panerio, Robert</v>
      </c>
      <c r="B6229" s="2">
        <f ca="1">IFERROR(__xludf.DUMMYFUNCTION("""COMPUTED_VALUE"""),1)</f>
        <v>1</v>
      </c>
      <c r="C6229" s="7">
        <f ca="1">IFERROR(__xludf.DUMMYFUNCTION("""COMPUTED_VALUE"""),1)</f>
        <v>1</v>
      </c>
      <c r="D6229" s="8">
        <f ca="1">IFERROR(__xludf.DUMMYFUNCTION("""COMPUTED_VALUE"""),5)</f>
        <v>5</v>
      </c>
      <c r="E6229" s="2">
        <f ca="1">IFERROR(__xludf.DUMMYFUNCTION("""COMPUTED_VALUE"""),2)</f>
        <v>2</v>
      </c>
    </row>
    <row r="6230" spans="1:5" ht="13">
      <c r="A6230" s="2" t="str">
        <f ca="1">IFERROR(__xludf.DUMMYFUNCTION("""COMPUTED_VALUE"""),"Pankow, James")</f>
        <v>Pankow, James</v>
      </c>
      <c r="B6230" s="3">
        <f ca="1">IFERROR(__xludf.DUMMYFUNCTION("""COMPUTED_VALUE"""),1)</f>
        <v>1</v>
      </c>
      <c r="C6230" s="7">
        <f ca="1">IFERROR(__xludf.DUMMYFUNCTION("""COMPUTED_VALUE"""),1)</f>
        <v>1</v>
      </c>
      <c r="D6230" s="8">
        <f ca="1">IFERROR(__xludf.DUMMYFUNCTION("""COMPUTED_VALUE"""),1)</f>
        <v>1</v>
      </c>
      <c r="E6230" s="2">
        <f ca="1">IFERROR(__xludf.DUMMYFUNCTION("""COMPUTED_VALUE"""),1)</f>
        <v>1</v>
      </c>
    </row>
    <row r="6231" spans="1:5" ht="13">
      <c r="A6231" s="2" t="str">
        <f ca="1">IFERROR(__xludf.DUMMYFUNCTION("""COMPUTED_VALUE"""),"Pann, Carter")</f>
        <v>Pann, Carter</v>
      </c>
      <c r="B6231" s="3">
        <f ca="1">IFERROR(__xludf.DUMMYFUNCTION("""COMPUTED_VALUE"""),1)</f>
        <v>1</v>
      </c>
      <c r="C6231" s="7">
        <f ca="1">IFERROR(__xludf.DUMMYFUNCTION("""COMPUTED_VALUE"""),1)</f>
        <v>1</v>
      </c>
      <c r="D6231" s="8">
        <f ca="1">IFERROR(__xludf.DUMMYFUNCTION("""COMPUTED_VALUE"""),1)</f>
        <v>1</v>
      </c>
      <c r="E6231" s="2">
        <f ca="1">IFERROR(__xludf.DUMMYFUNCTION("""COMPUTED_VALUE"""),1)</f>
        <v>1</v>
      </c>
    </row>
    <row r="6232" spans="1:5" ht="13">
      <c r="A6232" s="2" t="str">
        <f ca="1">IFERROR(__xludf.DUMMYFUNCTION("""COMPUTED_VALUE"""),"Panteleev, Martin")</f>
        <v>Panteleev, Martin</v>
      </c>
      <c r="B6232" s="3">
        <f ca="1">IFERROR(__xludf.DUMMYFUNCTION("""COMPUTED_VALUE"""),1)</f>
        <v>1</v>
      </c>
      <c r="C6232" s="7">
        <f ca="1">IFERROR(__xludf.DUMMYFUNCTION("""COMPUTED_VALUE"""),1)</f>
        <v>1</v>
      </c>
      <c r="D6232" s="8">
        <f ca="1">IFERROR(__xludf.DUMMYFUNCTION("""COMPUTED_VALUE"""),1)</f>
        <v>1</v>
      </c>
      <c r="E6232" s="2">
        <f ca="1">IFERROR(__xludf.DUMMYFUNCTION("""COMPUTED_VALUE"""),1)</f>
        <v>1</v>
      </c>
    </row>
    <row r="6233" spans="1:5" ht="13">
      <c r="A6233" s="2" t="str">
        <f ca="1">IFERROR(__xludf.DUMMYFUNCTION("""COMPUTED_VALUE"""),"Panufnik, Andrzej")</f>
        <v>Panufnik, Andrzej</v>
      </c>
      <c r="B6233" s="3">
        <f ca="1">IFERROR(__xludf.DUMMYFUNCTION("""COMPUTED_VALUE"""),1)</f>
        <v>1</v>
      </c>
      <c r="C6233" s="7">
        <f ca="1">IFERROR(__xludf.DUMMYFUNCTION("""COMPUTED_VALUE"""),1)</f>
        <v>1</v>
      </c>
      <c r="D6233" s="8">
        <f ca="1">IFERROR(__xludf.DUMMYFUNCTION("""COMPUTED_VALUE"""),5)</f>
        <v>5</v>
      </c>
      <c r="E6233" s="2">
        <f ca="1">IFERROR(__xludf.DUMMYFUNCTION("""COMPUTED_VALUE"""),2)</f>
        <v>2</v>
      </c>
    </row>
    <row r="6234" spans="1:5" ht="13">
      <c r="A6234" s="8" t="str">
        <f ca="1">IFERROR(__xludf.DUMMYFUNCTION("""COMPUTED_VALUE"""),"Papageorgiou, Christos")</f>
        <v>Papageorgiou, Christos</v>
      </c>
      <c r="B6234" s="3">
        <f ca="1">IFERROR(__xludf.DUMMYFUNCTION("""COMPUTED_VALUE"""),1)</f>
        <v>1</v>
      </c>
      <c r="C6234" s="7">
        <f ca="1">IFERROR(__xludf.DUMMYFUNCTION("""COMPUTED_VALUE"""),1)</f>
        <v>1</v>
      </c>
      <c r="D6234" s="8">
        <f ca="1">IFERROR(__xludf.DUMMYFUNCTION("""COMPUTED_VALUE"""),1)</f>
        <v>1</v>
      </c>
      <c r="E6234" s="2">
        <f ca="1">IFERROR(__xludf.DUMMYFUNCTION("""COMPUTED_VALUE"""),1)</f>
        <v>1</v>
      </c>
    </row>
    <row r="6235" spans="1:5" ht="13">
      <c r="A6235" s="2" t="str">
        <f ca="1">IFERROR(__xludf.DUMMYFUNCTION("""COMPUTED_VALUE"""),"Papandopulo, Boris")</f>
        <v>Papandopulo, Boris</v>
      </c>
      <c r="B6235" s="3">
        <f ca="1">IFERROR(__xludf.DUMMYFUNCTION("""COMPUTED_VALUE"""),1)</f>
        <v>1</v>
      </c>
      <c r="C6235" s="7">
        <f ca="1">IFERROR(__xludf.DUMMYFUNCTION("""COMPUTED_VALUE"""),1)</f>
        <v>1</v>
      </c>
      <c r="D6235" s="8">
        <f ca="1">IFERROR(__xludf.DUMMYFUNCTION("""COMPUTED_VALUE"""),5)</f>
        <v>5</v>
      </c>
      <c r="E6235" s="2">
        <f ca="1">IFERROR(__xludf.DUMMYFUNCTION("""COMPUTED_VALUE"""),2)</f>
        <v>2</v>
      </c>
    </row>
    <row r="6236" spans="1:5" ht="13">
      <c r="A6236" s="2" t="str">
        <f ca="1">IFERROR(__xludf.DUMMYFUNCTION("""COMPUTED_VALUE"""),"Papini, Guido")</f>
        <v>Papini, Guido</v>
      </c>
      <c r="B6236" s="2">
        <f ca="1">IFERROR(__xludf.DUMMYFUNCTION("""COMPUTED_VALUE"""),1)</f>
        <v>1</v>
      </c>
      <c r="C6236" s="7">
        <f ca="1">IFERROR(__xludf.DUMMYFUNCTION("""COMPUTED_VALUE"""),1)</f>
        <v>1</v>
      </c>
      <c r="D6236" s="8">
        <f ca="1">IFERROR(__xludf.DUMMYFUNCTION("""COMPUTED_VALUE"""),5)</f>
        <v>5</v>
      </c>
      <c r="E6236" s="2">
        <f ca="1">IFERROR(__xludf.DUMMYFUNCTION("""COMPUTED_VALUE"""),2)</f>
        <v>2</v>
      </c>
    </row>
    <row r="6237" spans="1:5" ht="13">
      <c r="A6237" s="8" t="str">
        <f ca="1">IFERROR(__xludf.DUMMYFUNCTION("""COMPUTED_VALUE"""),"Papoulis, Jim")</f>
        <v>Papoulis, Jim</v>
      </c>
      <c r="B6237" s="3">
        <f ca="1">IFERROR(__xludf.DUMMYFUNCTION("""COMPUTED_VALUE"""),1)</f>
        <v>1</v>
      </c>
      <c r="C6237" s="7">
        <f ca="1">IFERROR(__xludf.DUMMYFUNCTION("""COMPUTED_VALUE"""),1)</f>
        <v>1</v>
      </c>
      <c r="D6237" s="8">
        <f ca="1">IFERROR(__xludf.DUMMYFUNCTION("""COMPUTED_VALUE"""),1)</f>
        <v>1</v>
      </c>
      <c r="E6237" s="2">
        <f ca="1">IFERROR(__xludf.DUMMYFUNCTION("""COMPUTED_VALUE"""),1)</f>
        <v>1</v>
      </c>
    </row>
    <row r="6238" spans="1:5" ht="13">
      <c r="A6238" s="2" t="str">
        <f ca="1">IFERROR(__xludf.DUMMYFUNCTION("""COMPUTED_VALUE"""),"Pappajohn, Frank")</f>
        <v>Pappajohn, Frank</v>
      </c>
      <c r="B6238" s="3">
        <f ca="1">IFERROR(__xludf.DUMMYFUNCTION("""COMPUTED_VALUE"""),1)</f>
        <v>1</v>
      </c>
      <c r="C6238" s="7">
        <f ca="1">IFERROR(__xludf.DUMMYFUNCTION("""COMPUTED_VALUE"""),1)</f>
        <v>1</v>
      </c>
      <c r="D6238" s="8">
        <f ca="1">IFERROR(__xludf.DUMMYFUNCTION("""COMPUTED_VALUE"""),5)</f>
        <v>5</v>
      </c>
      <c r="E6238" s="2">
        <f ca="1">IFERROR(__xludf.DUMMYFUNCTION("""COMPUTED_VALUE"""),2)</f>
        <v>2</v>
      </c>
    </row>
    <row r="6239" spans="1:5" ht="13">
      <c r="A6239" s="2" t="str">
        <f ca="1">IFERROR(__xludf.DUMMYFUNCTION("""COMPUTED_VALUE"""),"Pappas, Joseph")</f>
        <v>Pappas, Joseph</v>
      </c>
      <c r="B6239" s="3">
        <f ca="1">IFERROR(__xludf.DUMMYFUNCTION("""COMPUTED_VALUE"""),1)</f>
        <v>1</v>
      </c>
      <c r="C6239" s="7">
        <f ca="1">IFERROR(__xludf.DUMMYFUNCTION("""COMPUTED_VALUE"""),1)</f>
        <v>1</v>
      </c>
      <c r="D6239" s="8">
        <f ca="1">IFERROR(__xludf.DUMMYFUNCTION("""COMPUTED_VALUE"""),1)</f>
        <v>1</v>
      </c>
      <c r="E6239" s="2">
        <f ca="1">IFERROR(__xludf.DUMMYFUNCTION("""COMPUTED_VALUE"""),1)</f>
        <v>1</v>
      </c>
    </row>
    <row r="6240" spans="1:5" ht="13">
      <c r="A6240" s="8" t="str">
        <f ca="1">IFERROR(__xludf.DUMMYFUNCTION("""COMPUTED_VALUE"""),"Pappin, Malcolm C.")</f>
        <v>Pappin, Malcolm C.</v>
      </c>
      <c r="B6240" s="3">
        <f ca="1">IFERROR(__xludf.DUMMYFUNCTION("""COMPUTED_VALUE"""),1)</f>
        <v>1</v>
      </c>
      <c r="C6240" s="7">
        <f ca="1">IFERROR(__xludf.DUMMYFUNCTION("""COMPUTED_VALUE"""),1)</f>
        <v>1</v>
      </c>
      <c r="D6240" s="8">
        <f ca="1">IFERROR(__xludf.DUMMYFUNCTION("""COMPUTED_VALUE"""),5)</f>
        <v>5</v>
      </c>
      <c r="E6240" s="2">
        <f ca="1">IFERROR(__xludf.DUMMYFUNCTION("""COMPUTED_VALUE"""),2)</f>
        <v>2</v>
      </c>
    </row>
    <row r="6241" spans="1:5" ht="13">
      <c r="A6241" s="8" t="str">
        <f ca="1">IFERROR(__xludf.DUMMYFUNCTION("""COMPUTED_VALUE"""),"Paradise, Paul")</f>
        <v>Paradise, Paul</v>
      </c>
      <c r="B6241" s="3">
        <f ca="1">IFERROR(__xludf.DUMMYFUNCTION("""COMPUTED_VALUE"""),1)</f>
        <v>1</v>
      </c>
      <c r="C6241" s="7">
        <f ca="1">IFERROR(__xludf.DUMMYFUNCTION("""COMPUTED_VALUE"""),1)</f>
        <v>1</v>
      </c>
      <c r="D6241" s="8">
        <f ca="1">IFERROR(__xludf.DUMMYFUNCTION("""COMPUTED_VALUE"""),5)</f>
        <v>5</v>
      </c>
      <c r="E6241" s="2">
        <f ca="1">IFERROR(__xludf.DUMMYFUNCTION("""COMPUTED_VALUE"""),2)</f>
        <v>2</v>
      </c>
    </row>
    <row r="6242" spans="1:5" ht="13">
      <c r="A6242" s="2" t="str">
        <f ca="1">IFERROR(__xludf.DUMMYFUNCTION("""COMPUTED_VALUE"""),"Paranjoti, Victor")</f>
        <v>Paranjoti, Victor</v>
      </c>
      <c r="B6242" s="3">
        <f ca="1">IFERROR(__xludf.DUMMYFUNCTION("""COMPUTED_VALUE"""),1)</f>
        <v>1</v>
      </c>
      <c r="C6242" s="7">
        <f ca="1">IFERROR(__xludf.DUMMYFUNCTION("""COMPUTED_VALUE"""),1)</f>
        <v>1</v>
      </c>
      <c r="D6242" s="8">
        <f ca="1">IFERROR(__xludf.DUMMYFUNCTION("""COMPUTED_VALUE"""),5)</f>
        <v>5</v>
      </c>
      <c r="E6242" s="2">
        <f ca="1">IFERROR(__xludf.DUMMYFUNCTION("""COMPUTED_VALUE"""),2)</f>
        <v>2</v>
      </c>
    </row>
    <row r="6243" spans="1:5" ht="13">
      <c r="A6243" s="2" t="str">
        <f ca="1">IFERROR(__xludf.DUMMYFUNCTION("""COMPUTED_VALUE"""),"Parente, Thomas")</f>
        <v>Parente, Thomas</v>
      </c>
      <c r="B6243" s="3">
        <f ca="1">IFERROR(__xludf.DUMMYFUNCTION("""COMPUTED_VALUE"""),1)</f>
        <v>1</v>
      </c>
      <c r="C6243" s="7">
        <f ca="1">IFERROR(__xludf.DUMMYFUNCTION("""COMPUTED_VALUE"""),1)</f>
        <v>1</v>
      </c>
      <c r="D6243" s="8">
        <f ca="1">IFERROR(__xludf.DUMMYFUNCTION("""COMPUTED_VALUE"""),1)</f>
        <v>1</v>
      </c>
      <c r="E6243" s="2">
        <f ca="1">IFERROR(__xludf.DUMMYFUNCTION("""COMPUTED_VALUE"""),1)</f>
        <v>1</v>
      </c>
    </row>
    <row r="6244" spans="1:5" ht="13">
      <c r="A6244" s="2" t="str">
        <f ca="1">IFERROR(__xludf.DUMMYFUNCTION("""COMPUTED_VALUE"""),"Parera, Antonio")</f>
        <v>Parera, Antonio</v>
      </c>
      <c r="B6244" s="2">
        <f ca="1">IFERROR(__xludf.DUMMYFUNCTION("""COMPUTED_VALUE"""),1)</f>
        <v>1</v>
      </c>
      <c r="C6244" s="7">
        <f ca="1">IFERROR(__xludf.DUMMYFUNCTION("""COMPUTED_VALUE"""),1)</f>
        <v>1</v>
      </c>
      <c r="D6244" s="8">
        <f ca="1">IFERROR(__xludf.DUMMYFUNCTION("""COMPUTED_VALUE"""),1)</f>
        <v>1</v>
      </c>
      <c r="E6244" s="2">
        <f ca="1">IFERROR(__xludf.DUMMYFUNCTION("""COMPUTED_VALUE"""),1)</f>
        <v>1</v>
      </c>
    </row>
    <row r="6245" spans="1:5" ht="13">
      <c r="A6245" s="2" t="str">
        <f ca="1">IFERROR(__xludf.DUMMYFUNCTION("""COMPUTED_VALUE"""),"Pares, Gabriel")</f>
        <v>Pares, Gabriel</v>
      </c>
      <c r="B6245" s="3">
        <f ca="1">IFERROR(__xludf.DUMMYFUNCTION("""COMPUTED_VALUE"""),1)</f>
        <v>1</v>
      </c>
      <c r="C6245" s="7">
        <f ca="1">IFERROR(__xludf.DUMMYFUNCTION("""COMPUTED_VALUE"""),1)</f>
        <v>1</v>
      </c>
      <c r="D6245" s="8">
        <f ca="1">IFERROR(__xludf.DUMMYFUNCTION("""COMPUTED_VALUE"""),5)</f>
        <v>5</v>
      </c>
      <c r="E6245" s="2">
        <f ca="1">IFERROR(__xludf.DUMMYFUNCTION("""COMPUTED_VALUE"""),2)</f>
        <v>2</v>
      </c>
    </row>
    <row r="6246" spans="1:5" ht="13">
      <c r="A6246" s="2" t="str">
        <f ca="1">IFERROR(__xludf.DUMMYFUNCTION("""COMPUTED_VALUE"""),"Paris, Rutherford")</f>
        <v>Paris, Rutherford</v>
      </c>
      <c r="B6246" s="3">
        <f ca="1">IFERROR(__xludf.DUMMYFUNCTION("""COMPUTED_VALUE"""),1)</f>
        <v>1</v>
      </c>
      <c r="C6246" s="7">
        <f ca="1">IFERROR(__xludf.DUMMYFUNCTION("""COMPUTED_VALUE"""),1)</f>
        <v>1</v>
      </c>
      <c r="D6246" s="8">
        <f ca="1">IFERROR(__xludf.DUMMYFUNCTION("""COMPUTED_VALUE"""),1)</f>
        <v>1</v>
      </c>
      <c r="E6246" s="2">
        <f ca="1">IFERROR(__xludf.DUMMYFUNCTION("""COMPUTED_VALUE"""),1)</f>
        <v>1</v>
      </c>
    </row>
    <row r="6247" spans="1:5" ht="13">
      <c r="A6247" s="2" t="str">
        <f ca="1">IFERROR(__xludf.DUMMYFUNCTION("""COMPUTED_VALUE"""),"Parish, Mitchell / Perkins, Frank")</f>
        <v>Parish, Mitchell / Perkins, Frank</v>
      </c>
      <c r="B6247" s="2">
        <f ca="1">IFERROR(__xludf.DUMMYFUNCTION("""COMPUTED_VALUE"""),1)</f>
        <v>1</v>
      </c>
      <c r="C6247" s="7">
        <f ca="1">IFERROR(__xludf.DUMMYFUNCTION("""COMPUTED_VALUE"""),1)</f>
        <v>1</v>
      </c>
      <c r="D6247" s="8">
        <f ca="1">IFERROR(__xludf.DUMMYFUNCTION("""COMPUTED_VALUE"""),5)</f>
        <v>5</v>
      </c>
      <c r="E6247" s="2">
        <f ca="1">IFERROR(__xludf.DUMMYFUNCTION("""COMPUTED_VALUE"""),2)</f>
        <v>2</v>
      </c>
    </row>
    <row r="6248" spans="1:5" ht="13">
      <c r="A6248" s="2" t="str">
        <f ca="1">IFERROR(__xludf.DUMMYFUNCTION("""COMPUTED_VALUE"""),"Parker, Charles Wesley")</f>
        <v>Parker, Charles Wesley</v>
      </c>
      <c r="B6248" s="2">
        <f ca="1">IFERROR(__xludf.DUMMYFUNCTION("""COMPUTED_VALUE"""),1)</f>
        <v>1</v>
      </c>
      <c r="C6248" s="7">
        <f ca="1">IFERROR(__xludf.DUMMYFUNCTION("""COMPUTED_VALUE"""),1)</f>
        <v>1</v>
      </c>
      <c r="D6248" s="8">
        <f ca="1">IFERROR(__xludf.DUMMYFUNCTION("""COMPUTED_VALUE"""),5)</f>
        <v>5</v>
      </c>
      <c r="E6248" s="2">
        <f ca="1">IFERROR(__xludf.DUMMYFUNCTION("""COMPUTED_VALUE"""),2)</f>
        <v>2</v>
      </c>
    </row>
    <row r="6249" spans="1:5" ht="13">
      <c r="A6249" s="2" t="str">
        <f ca="1">IFERROR(__xludf.DUMMYFUNCTION("""COMPUTED_VALUE"""),"Parker, Donald")</f>
        <v>Parker, Donald</v>
      </c>
      <c r="B6249" s="3">
        <f ca="1">IFERROR(__xludf.DUMMYFUNCTION("""COMPUTED_VALUE"""),1)</f>
        <v>1</v>
      </c>
      <c r="C6249" s="7">
        <f ca="1">IFERROR(__xludf.DUMMYFUNCTION("""COMPUTED_VALUE"""),1)</f>
        <v>1</v>
      </c>
      <c r="D6249" s="8">
        <f ca="1">IFERROR(__xludf.DUMMYFUNCTION("""COMPUTED_VALUE"""),1)</f>
        <v>1</v>
      </c>
      <c r="E6249" s="2">
        <f ca="1">IFERROR(__xludf.DUMMYFUNCTION("""COMPUTED_VALUE"""),1)</f>
        <v>1</v>
      </c>
    </row>
    <row r="6250" spans="1:5" ht="13">
      <c r="A6250" s="2" t="str">
        <f ca="1">IFERROR(__xludf.DUMMYFUNCTION("""COMPUTED_VALUE"""),"Parker, Horatio")</f>
        <v>Parker, Horatio</v>
      </c>
      <c r="B6250" s="3">
        <f ca="1">IFERROR(__xludf.DUMMYFUNCTION("""COMPUTED_VALUE"""),1)</f>
        <v>1</v>
      </c>
      <c r="C6250" s="7">
        <f ca="1">IFERROR(__xludf.DUMMYFUNCTION("""COMPUTED_VALUE"""),1)</f>
        <v>1</v>
      </c>
      <c r="D6250" s="8">
        <f ca="1">IFERROR(__xludf.DUMMYFUNCTION("""COMPUTED_VALUE"""),5)</f>
        <v>5</v>
      </c>
      <c r="E6250" s="2">
        <f ca="1">IFERROR(__xludf.DUMMYFUNCTION("""COMPUTED_VALUE"""),2)</f>
        <v>2</v>
      </c>
    </row>
    <row r="6251" spans="1:5" ht="13">
      <c r="A6251" s="2" t="str">
        <f ca="1">IFERROR(__xludf.DUMMYFUNCTION("""COMPUTED_VALUE"""),"Parker, James Cutler Dunn")</f>
        <v>Parker, James Cutler Dunn</v>
      </c>
      <c r="B6251" s="3">
        <f ca="1">IFERROR(__xludf.DUMMYFUNCTION("""COMPUTED_VALUE"""),1)</f>
        <v>1</v>
      </c>
      <c r="C6251" s="7">
        <f ca="1">IFERROR(__xludf.DUMMYFUNCTION("""COMPUTED_VALUE"""),1)</f>
        <v>1</v>
      </c>
      <c r="D6251" s="8">
        <f ca="1">IFERROR(__xludf.DUMMYFUNCTION("""COMPUTED_VALUE"""),5)</f>
        <v>5</v>
      </c>
      <c r="E6251" s="2">
        <f ca="1">IFERROR(__xludf.DUMMYFUNCTION("""COMPUTED_VALUE"""),2)</f>
        <v>2</v>
      </c>
    </row>
    <row r="6252" spans="1:5" ht="13">
      <c r="A6252" s="8" t="str">
        <f ca="1">IFERROR(__xludf.DUMMYFUNCTION("""COMPUTED_VALUE"""),"Parker, John")</f>
        <v>Parker, John</v>
      </c>
      <c r="B6252" s="3">
        <f ca="1">IFERROR(__xludf.DUMMYFUNCTION("""COMPUTED_VALUE"""),1)</f>
        <v>1</v>
      </c>
      <c r="C6252" s="7">
        <f ca="1">IFERROR(__xludf.DUMMYFUNCTION("""COMPUTED_VALUE"""),1)</f>
        <v>1</v>
      </c>
      <c r="D6252" s="8">
        <f ca="1">IFERROR(__xludf.DUMMYFUNCTION("""COMPUTED_VALUE"""),1)</f>
        <v>1</v>
      </c>
      <c r="E6252" s="2">
        <f ca="1">IFERROR(__xludf.DUMMYFUNCTION("""COMPUTED_VALUE"""),1)</f>
        <v>1</v>
      </c>
    </row>
    <row r="6253" spans="1:5" ht="13">
      <c r="A6253" s="2" t="str">
        <f ca="1">IFERROR(__xludf.DUMMYFUNCTION("""COMPUTED_VALUE"""),"Parker, John / Gilpin, Greg")</f>
        <v>Parker, John / Gilpin, Greg</v>
      </c>
      <c r="B6253" s="3">
        <f ca="1">IFERROR(__xludf.DUMMYFUNCTION("""COMPUTED_VALUE"""),1)</f>
        <v>1</v>
      </c>
      <c r="C6253" s="7">
        <f ca="1">IFERROR(__xludf.DUMMYFUNCTION("""COMPUTED_VALUE"""),1)</f>
        <v>1</v>
      </c>
      <c r="D6253" s="8">
        <f ca="1">IFERROR(__xludf.DUMMYFUNCTION("""COMPUTED_VALUE"""),1)</f>
        <v>1</v>
      </c>
      <c r="E6253" s="2">
        <f ca="1">IFERROR(__xludf.DUMMYFUNCTION("""COMPUTED_VALUE"""),1)</f>
        <v>1</v>
      </c>
    </row>
    <row r="6254" spans="1:5" ht="13">
      <c r="A6254" s="8" t="str">
        <f ca="1">IFERROR(__xludf.DUMMYFUNCTION("""COMPUTED_VALUE"""),"Parker, Robert")</f>
        <v>Parker, Robert</v>
      </c>
      <c r="B6254" s="3">
        <f ca="1">IFERROR(__xludf.DUMMYFUNCTION("""COMPUTED_VALUE"""),1)</f>
        <v>1</v>
      </c>
      <c r="C6254" s="7">
        <f ca="1">IFERROR(__xludf.DUMMYFUNCTION("""COMPUTED_VALUE"""),1)</f>
        <v>1</v>
      </c>
      <c r="D6254" s="8">
        <f ca="1">IFERROR(__xludf.DUMMYFUNCTION("""COMPUTED_VALUE"""),5)</f>
        <v>5</v>
      </c>
      <c r="E6254" s="2">
        <f ca="1">IFERROR(__xludf.DUMMYFUNCTION("""COMPUTED_VALUE"""),2)</f>
        <v>2</v>
      </c>
    </row>
    <row r="6255" spans="1:5" ht="13">
      <c r="A6255" s="2" t="str">
        <f ca="1">IFERROR(__xludf.DUMMYFUNCTION("""COMPUTED_VALUE"""),"Parker, Ross / Charles, Hughie")</f>
        <v>Parker, Ross / Charles, Hughie</v>
      </c>
      <c r="B6255" s="2">
        <f ca="1">IFERROR(__xludf.DUMMYFUNCTION("""COMPUTED_VALUE"""),1)</f>
        <v>1</v>
      </c>
      <c r="C6255" s="7">
        <f ca="1">IFERROR(__xludf.DUMMYFUNCTION("""COMPUTED_VALUE"""),1)</f>
        <v>1</v>
      </c>
      <c r="D6255" s="8">
        <f ca="1">IFERROR(__xludf.DUMMYFUNCTION("""COMPUTED_VALUE"""),5)</f>
        <v>5</v>
      </c>
      <c r="E6255" s="2">
        <f ca="1">IFERROR(__xludf.DUMMYFUNCTION("""COMPUTED_VALUE"""),2)</f>
        <v>2</v>
      </c>
    </row>
    <row r="6256" spans="1:5" ht="13">
      <c r="A6256" s="2" t="str">
        <f ca="1">IFERROR(__xludf.DUMMYFUNCTION("""COMPUTED_VALUE"""),"Parkin, Michael")</f>
        <v>Parkin, Michael</v>
      </c>
      <c r="B6256" s="3">
        <f ca="1">IFERROR(__xludf.DUMMYFUNCTION("""COMPUTED_VALUE"""),1)</f>
        <v>1</v>
      </c>
      <c r="C6256" s="7">
        <f ca="1">IFERROR(__xludf.DUMMYFUNCTION("""COMPUTED_VALUE"""),1)</f>
        <v>1</v>
      </c>
      <c r="D6256" s="8">
        <f ca="1">IFERROR(__xludf.DUMMYFUNCTION("""COMPUTED_VALUE"""),1)</f>
        <v>1</v>
      </c>
      <c r="E6256" s="2">
        <f ca="1">IFERROR(__xludf.DUMMYFUNCTION("""COMPUTED_VALUE"""),1)</f>
        <v>1</v>
      </c>
    </row>
    <row r="6257" spans="1:5" ht="13">
      <c r="A6257" s="2" t="str">
        <f ca="1">IFERROR(__xludf.DUMMYFUNCTION("""COMPUTED_VALUE"""),"Parks, Gary")</f>
        <v>Parks, Gary</v>
      </c>
      <c r="B6257" s="3">
        <f ca="1">IFERROR(__xludf.DUMMYFUNCTION("""COMPUTED_VALUE"""),1)</f>
        <v>1</v>
      </c>
      <c r="C6257" s="7">
        <f ca="1">IFERROR(__xludf.DUMMYFUNCTION("""COMPUTED_VALUE"""),1)</f>
        <v>1</v>
      </c>
      <c r="D6257" s="8">
        <f ca="1">IFERROR(__xludf.DUMMYFUNCTION("""COMPUTED_VALUE"""),1)</f>
        <v>1</v>
      </c>
      <c r="E6257" s="2">
        <f ca="1">IFERROR(__xludf.DUMMYFUNCTION("""COMPUTED_VALUE"""),1)</f>
        <v>1</v>
      </c>
    </row>
    <row r="6258" spans="1:5" ht="13">
      <c r="A6258" s="2" t="str">
        <f ca="1">IFERROR(__xludf.DUMMYFUNCTION("""COMPUTED_VALUE"""),"Parks, Gary E.")</f>
        <v>Parks, Gary E.</v>
      </c>
      <c r="B6258" s="3">
        <f ca="1">IFERROR(__xludf.DUMMYFUNCTION("""COMPUTED_VALUE"""),1)</f>
        <v>1</v>
      </c>
      <c r="C6258" s="7">
        <f ca="1">IFERROR(__xludf.DUMMYFUNCTION("""COMPUTED_VALUE"""),1)</f>
        <v>1</v>
      </c>
      <c r="D6258" s="8">
        <f ca="1">IFERROR(__xludf.DUMMYFUNCTION("""COMPUTED_VALUE"""),1)</f>
        <v>1</v>
      </c>
      <c r="E6258" s="2">
        <f ca="1">IFERROR(__xludf.DUMMYFUNCTION("""COMPUTED_VALUE"""),1)</f>
        <v>1</v>
      </c>
    </row>
    <row r="6259" spans="1:5" ht="13">
      <c r="A6259" s="2" t="str">
        <f ca="1">IFERROR(__xludf.DUMMYFUNCTION("""COMPUTED_VALUE"""),"Parlow, Albert")</f>
        <v>Parlow, Albert</v>
      </c>
      <c r="B6259" s="3">
        <f ca="1">IFERROR(__xludf.DUMMYFUNCTION("""COMPUTED_VALUE"""),1)</f>
        <v>1</v>
      </c>
      <c r="C6259" s="7">
        <f ca="1">IFERROR(__xludf.DUMMYFUNCTION("""COMPUTED_VALUE"""),1)</f>
        <v>1</v>
      </c>
      <c r="D6259" s="8">
        <f ca="1">IFERROR(__xludf.DUMMYFUNCTION("""COMPUTED_VALUE"""),5)</f>
        <v>5</v>
      </c>
      <c r="E6259" s="2">
        <f ca="1">IFERROR(__xludf.DUMMYFUNCTION("""COMPUTED_VALUE"""),2)</f>
        <v>2</v>
      </c>
    </row>
    <row r="6260" spans="1:5" ht="13">
      <c r="A6260" s="8" t="str">
        <f ca="1">IFERROR(__xludf.DUMMYFUNCTION("""COMPUTED_VALUE"""),"Parman, Joshua")</f>
        <v>Parman, Joshua</v>
      </c>
      <c r="B6260" s="3">
        <f ca="1">IFERROR(__xludf.DUMMYFUNCTION("""COMPUTED_VALUE"""),1)</f>
        <v>1</v>
      </c>
      <c r="C6260" s="7">
        <f ca="1">IFERROR(__xludf.DUMMYFUNCTION("""COMPUTED_VALUE"""),1)</f>
        <v>1</v>
      </c>
      <c r="D6260" s="8">
        <f ca="1">IFERROR(__xludf.DUMMYFUNCTION("""COMPUTED_VALUE"""),1)</f>
        <v>1</v>
      </c>
      <c r="E6260" s="2">
        <f ca="1">IFERROR(__xludf.DUMMYFUNCTION("""COMPUTED_VALUE"""),1)</f>
        <v>1</v>
      </c>
    </row>
    <row r="6261" spans="1:5" ht="13">
      <c r="A6261" s="2" t="str">
        <f ca="1">IFERROR(__xludf.DUMMYFUNCTION("""COMPUTED_VALUE"""),"Parr, Andrew")</f>
        <v>Parr, Andrew</v>
      </c>
      <c r="B6261" s="3">
        <f ca="1">IFERROR(__xludf.DUMMYFUNCTION("""COMPUTED_VALUE"""),1)</f>
        <v>1</v>
      </c>
      <c r="C6261" s="7">
        <f ca="1">IFERROR(__xludf.DUMMYFUNCTION("""COMPUTED_VALUE"""),1)</f>
        <v>1</v>
      </c>
      <c r="D6261" s="8">
        <f ca="1">IFERROR(__xludf.DUMMYFUNCTION("""COMPUTED_VALUE"""),1)</f>
        <v>1</v>
      </c>
      <c r="E6261" s="2">
        <f ca="1">IFERROR(__xludf.DUMMYFUNCTION("""COMPUTED_VALUE"""),1)</f>
        <v>1</v>
      </c>
    </row>
    <row r="6262" spans="1:5" ht="13">
      <c r="A6262" s="8" t="str">
        <f ca="1">IFERROR(__xludf.DUMMYFUNCTION("""COMPUTED_VALUE"""),"Parr, Clayton")</f>
        <v>Parr, Clayton</v>
      </c>
      <c r="B6262" s="9">
        <f ca="1">IFERROR(__xludf.DUMMYFUNCTION("""COMPUTED_VALUE"""),1)</f>
        <v>1</v>
      </c>
      <c r="C6262" s="7">
        <f ca="1">IFERROR(__xludf.DUMMYFUNCTION("""COMPUTED_VALUE"""),1)</f>
        <v>1</v>
      </c>
      <c r="D6262" s="8">
        <f ca="1">IFERROR(__xludf.DUMMYFUNCTION("""COMPUTED_VALUE"""),1)</f>
        <v>1</v>
      </c>
      <c r="E6262" s="9">
        <f ca="1">IFERROR(__xludf.DUMMYFUNCTION("""COMPUTED_VALUE"""),1)</f>
        <v>1</v>
      </c>
    </row>
    <row r="6263" spans="1:5" ht="13">
      <c r="A6263" s="8" t="str">
        <f ca="1">IFERROR(__xludf.DUMMYFUNCTION("""COMPUTED_VALUE"""),"Parra, Hèctor")</f>
        <v>Parra, Hèctor</v>
      </c>
      <c r="B6263" s="3">
        <f ca="1">IFERROR(__xludf.DUMMYFUNCTION("""COMPUTED_VALUE"""),1)</f>
        <v>1</v>
      </c>
      <c r="C6263" s="7">
        <f ca="1">IFERROR(__xludf.DUMMYFUNCTION("""COMPUTED_VALUE"""),1)</f>
        <v>1</v>
      </c>
      <c r="D6263" s="8">
        <f ca="1">IFERROR(__xludf.DUMMYFUNCTION("""COMPUTED_VALUE"""),1)</f>
        <v>1</v>
      </c>
      <c r="E6263" s="2">
        <f ca="1">IFERROR(__xludf.DUMMYFUNCTION("""COMPUTED_VALUE"""),1)</f>
        <v>1</v>
      </c>
    </row>
    <row r="6264" spans="1:5" ht="13">
      <c r="A6264" s="2" t="str">
        <f ca="1">IFERROR(__xludf.DUMMYFUNCTION("""COMPUTED_VALUE"""),"Parrish, Darrell")</f>
        <v>Parrish, Darrell</v>
      </c>
      <c r="B6264" s="3">
        <f ca="1">IFERROR(__xludf.DUMMYFUNCTION("""COMPUTED_VALUE"""),1)</f>
        <v>1</v>
      </c>
      <c r="C6264" s="7">
        <f ca="1">IFERROR(__xludf.DUMMYFUNCTION("""COMPUTED_VALUE"""),1)</f>
        <v>1</v>
      </c>
      <c r="D6264" s="8">
        <f ca="1">IFERROR(__xludf.DUMMYFUNCTION("""COMPUTED_VALUE"""),1)</f>
        <v>1</v>
      </c>
      <c r="E6264" s="2">
        <f ca="1">IFERROR(__xludf.DUMMYFUNCTION("""COMPUTED_VALUE"""),1)</f>
        <v>1</v>
      </c>
    </row>
    <row r="6265" spans="1:5" ht="13">
      <c r="A6265" s="2" t="str">
        <f ca="1">IFERROR(__xludf.DUMMYFUNCTION("""COMPUTED_VALUE"""),"Parrish, Todd")</f>
        <v>Parrish, Todd</v>
      </c>
      <c r="B6265" s="3">
        <f ca="1">IFERROR(__xludf.DUMMYFUNCTION("""COMPUTED_VALUE"""),1)</f>
        <v>1</v>
      </c>
      <c r="C6265" s="7">
        <f ca="1">IFERROR(__xludf.DUMMYFUNCTION("""COMPUTED_VALUE"""),1)</f>
        <v>1</v>
      </c>
      <c r="D6265" s="8">
        <f ca="1">IFERROR(__xludf.DUMMYFUNCTION("""COMPUTED_VALUE"""),1)</f>
        <v>1</v>
      </c>
      <c r="E6265" s="2">
        <f ca="1">IFERROR(__xludf.DUMMYFUNCTION("""COMPUTED_VALUE"""),1)</f>
        <v>1</v>
      </c>
    </row>
    <row r="6266" spans="1:5" ht="13">
      <c r="A6266" s="2" t="str">
        <f ca="1">IFERROR(__xludf.DUMMYFUNCTION("""COMPUTED_VALUE"""),"Parry, Ben")</f>
        <v>Parry, Ben</v>
      </c>
      <c r="B6266" s="3">
        <f ca="1">IFERROR(__xludf.DUMMYFUNCTION("""COMPUTED_VALUE"""),1)</f>
        <v>1</v>
      </c>
      <c r="C6266" s="7">
        <f ca="1">IFERROR(__xludf.DUMMYFUNCTION("""COMPUTED_VALUE"""),1)</f>
        <v>1</v>
      </c>
      <c r="D6266" s="8">
        <f ca="1">IFERROR(__xludf.DUMMYFUNCTION("""COMPUTED_VALUE"""),1)</f>
        <v>1</v>
      </c>
      <c r="E6266" s="2">
        <f ca="1">IFERROR(__xludf.DUMMYFUNCTION("""COMPUTED_VALUE"""),1)</f>
        <v>1</v>
      </c>
    </row>
    <row r="6267" spans="1:5" ht="13">
      <c r="A6267" s="2" t="str">
        <f ca="1">IFERROR(__xludf.DUMMYFUNCTION("""COMPUTED_VALUE"""),"Parry, C. Hubert")</f>
        <v>Parry, C. Hubert</v>
      </c>
      <c r="B6267" s="3">
        <f ca="1">IFERROR(__xludf.DUMMYFUNCTION("""COMPUTED_VALUE"""),1)</f>
        <v>1</v>
      </c>
      <c r="C6267" s="7">
        <f ca="1">IFERROR(__xludf.DUMMYFUNCTION("""COMPUTED_VALUE"""),1)</f>
        <v>1</v>
      </c>
      <c r="D6267" s="8">
        <f ca="1">IFERROR(__xludf.DUMMYFUNCTION("""COMPUTED_VALUE"""),5)</f>
        <v>5</v>
      </c>
      <c r="E6267" s="2">
        <f ca="1">IFERROR(__xludf.DUMMYFUNCTION("""COMPUTED_VALUE"""),2)</f>
        <v>2</v>
      </c>
    </row>
    <row r="6268" spans="1:5" ht="13">
      <c r="A6268" s="2" t="str">
        <f ca="1">IFERROR(__xludf.DUMMYFUNCTION("""COMPUTED_VALUE"""),"Parry, Charles Hubert")</f>
        <v>Parry, Charles Hubert</v>
      </c>
      <c r="B6268" s="3">
        <f ca="1">IFERROR(__xludf.DUMMYFUNCTION("""COMPUTED_VALUE"""),1)</f>
        <v>1</v>
      </c>
      <c r="C6268" s="7">
        <f ca="1">IFERROR(__xludf.DUMMYFUNCTION("""COMPUTED_VALUE"""),1)</f>
        <v>1</v>
      </c>
      <c r="D6268" s="8">
        <f ca="1">IFERROR(__xludf.DUMMYFUNCTION("""COMPUTED_VALUE"""),5)</f>
        <v>5</v>
      </c>
      <c r="E6268" s="2">
        <f ca="1">IFERROR(__xludf.DUMMYFUNCTION("""COMPUTED_VALUE"""),2)</f>
        <v>2</v>
      </c>
    </row>
    <row r="6269" spans="1:5" ht="13">
      <c r="A6269" s="2" t="str">
        <f ca="1">IFERROR(__xludf.DUMMYFUNCTION("""COMPUTED_VALUE"""),"Parry, Hubert")</f>
        <v>Parry, Hubert</v>
      </c>
      <c r="B6269" s="3">
        <f ca="1">IFERROR(__xludf.DUMMYFUNCTION("""COMPUTED_VALUE"""),1)</f>
        <v>1</v>
      </c>
      <c r="C6269" s="7">
        <f ca="1">IFERROR(__xludf.DUMMYFUNCTION("""COMPUTED_VALUE"""),1)</f>
        <v>1</v>
      </c>
      <c r="D6269" s="8">
        <f ca="1">IFERROR(__xludf.DUMMYFUNCTION("""COMPUTED_VALUE"""),5)</f>
        <v>5</v>
      </c>
      <c r="E6269" s="2">
        <f ca="1">IFERROR(__xludf.DUMMYFUNCTION("""COMPUTED_VALUE"""),2)</f>
        <v>2</v>
      </c>
    </row>
    <row r="6270" spans="1:5" ht="13">
      <c r="A6270" s="2" t="str">
        <f ca="1">IFERROR(__xludf.DUMMYFUNCTION("""COMPUTED_VALUE"""),"Parry, Joseph")</f>
        <v>Parry, Joseph</v>
      </c>
      <c r="B6270" s="3">
        <f ca="1">IFERROR(__xludf.DUMMYFUNCTION("""COMPUTED_VALUE"""),1)</f>
        <v>1</v>
      </c>
      <c r="C6270" s="7">
        <f ca="1">IFERROR(__xludf.DUMMYFUNCTION("""COMPUTED_VALUE"""),1)</f>
        <v>1</v>
      </c>
      <c r="D6270" s="8">
        <f ca="1">IFERROR(__xludf.DUMMYFUNCTION("""COMPUTED_VALUE"""),5)</f>
        <v>5</v>
      </c>
      <c r="E6270" s="2">
        <f ca="1">IFERROR(__xludf.DUMMYFUNCTION("""COMPUTED_VALUE"""),2)</f>
        <v>2</v>
      </c>
    </row>
    <row r="6271" spans="1:5" ht="13">
      <c r="A6271" s="2" t="str">
        <f ca="1">IFERROR(__xludf.DUMMYFUNCTION("""COMPUTED_VALUE"""),"Parry, Sir Hubert H.")</f>
        <v>Parry, Sir Hubert H.</v>
      </c>
      <c r="B6271" s="3">
        <f ca="1">IFERROR(__xludf.DUMMYFUNCTION("""COMPUTED_VALUE"""),1)</f>
        <v>1</v>
      </c>
      <c r="C6271" s="7">
        <f ca="1">IFERROR(__xludf.DUMMYFUNCTION("""COMPUTED_VALUE"""),1)</f>
        <v>1</v>
      </c>
      <c r="D6271" s="8">
        <f ca="1">IFERROR(__xludf.DUMMYFUNCTION("""COMPUTED_VALUE"""),5)</f>
        <v>5</v>
      </c>
      <c r="E6271" s="2">
        <f ca="1">IFERROR(__xludf.DUMMYFUNCTION("""COMPUTED_VALUE"""),2)</f>
        <v>2</v>
      </c>
    </row>
    <row r="6272" spans="1:5" ht="13">
      <c r="A6272" s="2" t="str">
        <f ca="1">IFERROR(__xludf.DUMMYFUNCTION("""COMPUTED_VALUE"""),"Parsley, Osbert")</f>
        <v>Parsley, Osbert</v>
      </c>
      <c r="B6272" s="3">
        <f ca="1">IFERROR(__xludf.DUMMYFUNCTION("""COMPUTED_VALUE"""),1)</f>
        <v>1</v>
      </c>
      <c r="C6272" s="7">
        <f ca="1">IFERROR(__xludf.DUMMYFUNCTION("""COMPUTED_VALUE"""),1)</f>
        <v>1</v>
      </c>
      <c r="D6272" s="8">
        <f ca="1">IFERROR(__xludf.DUMMYFUNCTION("""COMPUTED_VALUE"""),5)</f>
        <v>5</v>
      </c>
      <c r="E6272" s="2">
        <f ca="1">IFERROR(__xludf.DUMMYFUNCTION("""COMPUTED_VALUE"""),2)</f>
        <v>2</v>
      </c>
    </row>
    <row r="6273" spans="1:5" ht="13">
      <c r="A6273" s="2" t="str">
        <f ca="1">IFERROR(__xludf.DUMMYFUNCTION("""COMPUTED_VALUE"""),"Parsons, Robert")</f>
        <v>Parsons, Robert</v>
      </c>
      <c r="B6273" s="3">
        <f ca="1">IFERROR(__xludf.DUMMYFUNCTION("""COMPUTED_VALUE"""),1)</f>
        <v>1</v>
      </c>
      <c r="C6273" s="7">
        <f ca="1">IFERROR(__xludf.DUMMYFUNCTION("""COMPUTED_VALUE"""),1)</f>
        <v>1</v>
      </c>
      <c r="D6273" s="8">
        <f ca="1">IFERROR(__xludf.DUMMYFUNCTION("""COMPUTED_VALUE"""),5)</f>
        <v>5</v>
      </c>
      <c r="E6273" s="2">
        <f ca="1">IFERROR(__xludf.DUMMYFUNCTION("""COMPUTED_VALUE"""),2)</f>
        <v>2</v>
      </c>
    </row>
    <row r="6274" spans="1:5" ht="13">
      <c r="A6274" s="2" t="str">
        <f ca="1">IFERROR(__xludf.DUMMYFUNCTION("""COMPUTED_VALUE"""),"Parsons, Steve")</f>
        <v>Parsons, Steve</v>
      </c>
      <c r="B6274" s="3">
        <f ca="1">IFERROR(__xludf.DUMMYFUNCTION("""COMPUTED_VALUE"""),1)</f>
        <v>1</v>
      </c>
      <c r="C6274" s="7">
        <f ca="1">IFERROR(__xludf.DUMMYFUNCTION("""COMPUTED_VALUE"""),1)</f>
        <v>1</v>
      </c>
      <c r="D6274" s="8">
        <f ca="1">IFERROR(__xludf.DUMMYFUNCTION("""COMPUTED_VALUE"""),1)</f>
        <v>1</v>
      </c>
      <c r="E6274" s="2">
        <f ca="1">IFERROR(__xludf.DUMMYFUNCTION("""COMPUTED_VALUE"""),1)</f>
        <v>1</v>
      </c>
    </row>
    <row r="6275" spans="1:5" ht="13">
      <c r="A6275" s="2" t="str">
        <f ca="1">IFERROR(__xludf.DUMMYFUNCTION("""COMPUTED_VALUE"""),"Pärt, Arvo")</f>
        <v>Pärt, Arvo</v>
      </c>
      <c r="B6275" s="3">
        <f ca="1">IFERROR(__xludf.DUMMYFUNCTION("""COMPUTED_VALUE"""),1)</f>
        <v>1</v>
      </c>
      <c r="C6275" s="7">
        <f ca="1">IFERROR(__xludf.DUMMYFUNCTION("""COMPUTED_VALUE"""),1)</f>
        <v>1</v>
      </c>
      <c r="D6275" s="8">
        <f ca="1">IFERROR(__xludf.DUMMYFUNCTION("""COMPUTED_VALUE"""),1)</f>
        <v>1</v>
      </c>
      <c r="E6275" s="2">
        <f ca="1">IFERROR(__xludf.DUMMYFUNCTION("""COMPUTED_VALUE"""),1)</f>
        <v>1</v>
      </c>
    </row>
    <row r="6276" spans="1:5" ht="13">
      <c r="A6276" s="8" t="str">
        <f ca="1">IFERROR(__xludf.DUMMYFUNCTION("""COMPUTED_VALUE"""),"Partch, Harry")</f>
        <v>Partch, Harry</v>
      </c>
      <c r="B6276" s="3">
        <f ca="1">IFERROR(__xludf.DUMMYFUNCTION("""COMPUTED_VALUE"""),1)</f>
        <v>1</v>
      </c>
      <c r="C6276" s="7">
        <f ca="1">IFERROR(__xludf.DUMMYFUNCTION("""COMPUTED_VALUE"""),1)</f>
        <v>1</v>
      </c>
      <c r="D6276" s="8">
        <f ca="1">IFERROR(__xludf.DUMMYFUNCTION("""COMPUTED_VALUE"""),5)</f>
        <v>5</v>
      </c>
      <c r="E6276" s="2">
        <f ca="1">IFERROR(__xludf.DUMMYFUNCTION("""COMPUTED_VALUE"""),2)</f>
        <v>2</v>
      </c>
    </row>
    <row r="6277" spans="1:5" ht="13">
      <c r="A6277" s="2" t="str">
        <f ca="1">IFERROR(__xludf.DUMMYFUNCTION("""COMPUTED_VALUE"""),"Parthun, Jeff")</f>
        <v>Parthun, Jeff</v>
      </c>
      <c r="B6277" s="3">
        <f ca="1">IFERROR(__xludf.DUMMYFUNCTION("""COMPUTED_VALUE"""),1)</f>
        <v>1</v>
      </c>
      <c r="C6277" s="7">
        <f ca="1">IFERROR(__xludf.DUMMYFUNCTION("""COMPUTED_VALUE"""),1)</f>
        <v>1</v>
      </c>
      <c r="D6277" s="8">
        <f ca="1">IFERROR(__xludf.DUMMYFUNCTION("""COMPUTED_VALUE"""),1)</f>
        <v>1</v>
      </c>
      <c r="E6277" s="2">
        <f ca="1">IFERROR(__xludf.DUMMYFUNCTION("""COMPUTED_VALUE"""),1)</f>
        <v>1</v>
      </c>
    </row>
    <row r="6278" spans="1:5" ht="13">
      <c r="A6278" s="2" t="str">
        <f ca="1">IFERROR(__xludf.DUMMYFUNCTION("""COMPUTED_VALUE"""),"Parthun, Jeffrey")</f>
        <v>Parthun, Jeffrey</v>
      </c>
      <c r="B6278" s="3">
        <f ca="1">IFERROR(__xludf.DUMMYFUNCTION("""COMPUTED_VALUE"""),1)</f>
        <v>1</v>
      </c>
      <c r="C6278" s="7">
        <f ca="1">IFERROR(__xludf.DUMMYFUNCTION("""COMPUTED_VALUE"""),1)</f>
        <v>1</v>
      </c>
      <c r="D6278" s="8">
        <f ca="1">IFERROR(__xludf.DUMMYFUNCTION("""COMPUTED_VALUE"""),1)</f>
        <v>1</v>
      </c>
      <c r="E6278" s="2">
        <f ca="1">IFERROR(__xludf.DUMMYFUNCTION("""COMPUTED_VALUE"""),1)</f>
        <v>1</v>
      </c>
    </row>
    <row r="6279" spans="1:5" ht="13">
      <c r="A6279" s="2" t="str">
        <f ca="1">IFERROR(__xludf.DUMMYFUNCTION("""COMPUTED_VALUE"""),"Partichela, F.A.")</f>
        <v>Partichela, F.A.</v>
      </c>
      <c r="B6279" s="2">
        <f ca="1">IFERROR(__xludf.DUMMYFUNCTION("""COMPUTED_VALUE"""),1)</f>
        <v>1</v>
      </c>
      <c r="C6279" s="7">
        <f ca="1">IFERROR(__xludf.DUMMYFUNCTION("""COMPUTED_VALUE"""),1)</f>
        <v>1</v>
      </c>
      <c r="D6279" s="8">
        <f ca="1">IFERROR(__xludf.DUMMYFUNCTION("""COMPUTED_VALUE"""),5)</f>
        <v>5</v>
      </c>
      <c r="E6279" s="2">
        <f ca="1">IFERROR(__xludf.DUMMYFUNCTION("""COMPUTED_VALUE"""),2)</f>
        <v>2</v>
      </c>
    </row>
    <row r="6280" spans="1:5" ht="13">
      <c r="A6280" s="2" t="str">
        <f ca="1">IFERROR(__xludf.DUMMYFUNCTION("""COMPUTED_VALUE"""),"Pártos, Ödön")</f>
        <v>Pártos, Ödön</v>
      </c>
      <c r="B6280" s="3">
        <f ca="1">IFERROR(__xludf.DUMMYFUNCTION("""COMPUTED_VALUE"""),1)</f>
        <v>1</v>
      </c>
      <c r="C6280" s="7">
        <f ca="1">IFERROR(__xludf.DUMMYFUNCTION("""COMPUTED_VALUE"""),1)</f>
        <v>1</v>
      </c>
      <c r="D6280" s="8">
        <f ca="1">IFERROR(__xludf.DUMMYFUNCTION("""COMPUTED_VALUE"""),5)</f>
        <v>5</v>
      </c>
      <c r="E6280" s="2">
        <f ca="1">IFERROR(__xludf.DUMMYFUNCTION("""COMPUTED_VALUE"""),2)</f>
        <v>2</v>
      </c>
    </row>
    <row r="6281" spans="1:5" ht="13">
      <c r="A6281" s="2" t="str">
        <f ca="1">IFERROR(__xludf.DUMMYFUNCTION("""COMPUTED_VALUE"""),"Pascanu, Alexandru")</f>
        <v>Pascanu, Alexandru</v>
      </c>
      <c r="B6281" s="2">
        <f ca="1">IFERROR(__xludf.DUMMYFUNCTION("""COMPUTED_VALUE"""),1)</f>
        <v>1</v>
      </c>
      <c r="C6281" s="7">
        <f ca="1">IFERROR(__xludf.DUMMYFUNCTION("""COMPUTED_VALUE"""),1)</f>
        <v>1</v>
      </c>
      <c r="D6281" s="8">
        <f ca="1">IFERROR(__xludf.DUMMYFUNCTION("""COMPUTED_VALUE"""),5)</f>
        <v>5</v>
      </c>
      <c r="E6281" s="2">
        <f ca="1">IFERROR(__xludf.DUMMYFUNCTION("""COMPUTED_VALUE"""),2)</f>
        <v>2</v>
      </c>
    </row>
    <row r="6282" spans="1:5" ht="13">
      <c r="A6282" s="2" t="str">
        <f ca="1">IFERROR(__xludf.DUMMYFUNCTION("""COMPUTED_VALUE"""),"Pascual Falco, Gustavo")</f>
        <v>Pascual Falco, Gustavo</v>
      </c>
      <c r="B6282" s="3">
        <f ca="1">IFERROR(__xludf.DUMMYFUNCTION("""COMPUTED_VALUE"""),1)</f>
        <v>1</v>
      </c>
      <c r="C6282" s="7">
        <f ca="1">IFERROR(__xludf.DUMMYFUNCTION("""COMPUTED_VALUE"""),1)</f>
        <v>1</v>
      </c>
      <c r="D6282" s="8">
        <f ca="1">IFERROR(__xludf.DUMMYFUNCTION("""COMPUTED_VALUE"""),5)</f>
        <v>5</v>
      </c>
      <c r="E6282" s="2">
        <f ca="1">IFERROR(__xludf.DUMMYFUNCTION("""COMPUTED_VALUE"""),2)</f>
        <v>2</v>
      </c>
    </row>
    <row r="6283" spans="1:5" ht="13">
      <c r="A6283" s="2" t="str">
        <f ca="1">IFERROR(__xludf.DUMMYFUNCTION("""COMPUTED_VALUE"""),"Pascual, Tomas")</f>
        <v>Pascual, Tomas</v>
      </c>
      <c r="B6283" s="3">
        <f ca="1">IFERROR(__xludf.DUMMYFUNCTION("""COMPUTED_VALUE"""),1)</f>
        <v>1</v>
      </c>
      <c r="C6283" s="7">
        <f ca="1">IFERROR(__xludf.DUMMYFUNCTION("""COMPUTED_VALUE"""),1)</f>
        <v>1</v>
      </c>
      <c r="D6283" s="8">
        <f ca="1">IFERROR(__xludf.DUMMYFUNCTION("""COMPUTED_VALUE"""),5)</f>
        <v>5</v>
      </c>
      <c r="E6283" s="2">
        <f ca="1">IFERROR(__xludf.DUMMYFUNCTION("""COMPUTED_VALUE"""),2)</f>
        <v>2</v>
      </c>
    </row>
    <row r="6284" spans="1:5" ht="13">
      <c r="A6284" s="2" t="str">
        <f ca="1">IFERROR(__xludf.DUMMYFUNCTION("""COMPUTED_VALUE"""),"Pascuzzi, Gregory")</f>
        <v>Pascuzzi, Gregory</v>
      </c>
      <c r="B6284" s="3">
        <f ca="1">IFERROR(__xludf.DUMMYFUNCTION("""COMPUTED_VALUE"""),1)</f>
        <v>1</v>
      </c>
      <c r="C6284" s="7">
        <f ca="1">IFERROR(__xludf.DUMMYFUNCTION("""COMPUTED_VALUE"""),1)</f>
        <v>1</v>
      </c>
      <c r="D6284" s="8">
        <f ca="1">IFERROR(__xludf.DUMMYFUNCTION("""COMPUTED_VALUE"""),1)</f>
        <v>1</v>
      </c>
      <c r="E6284" s="2">
        <f ca="1">IFERROR(__xludf.DUMMYFUNCTION("""COMPUTED_VALUE"""),1)</f>
        <v>1</v>
      </c>
    </row>
    <row r="6285" spans="1:5" ht="13">
      <c r="A6285" s="2" t="str">
        <f ca="1">IFERROR(__xludf.DUMMYFUNCTION("""COMPUTED_VALUE"""),"Pasek, Benj / Paul, Justin")</f>
        <v>Pasek, Benj / Paul, Justin</v>
      </c>
      <c r="B6285" s="3">
        <f ca="1">IFERROR(__xludf.DUMMYFUNCTION("""COMPUTED_VALUE"""),1)</f>
        <v>1</v>
      </c>
      <c r="C6285" s="7">
        <f ca="1">IFERROR(__xludf.DUMMYFUNCTION("""COMPUTED_VALUE"""),1)</f>
        <v>1</v>
      </c>
      <c r="D6285" s="8">
        <f ca="1">IFERROR(__xludf.DUMMYFUNCTION("""COMPUTED_VALUE"""),1)</f>
        <v>1</v>
      </c>
      <c r="E6285" s="2">
        <f ca="1">IFERROR(__xludf.DUMMYFUNCTION("""COMPUTED_VALUE"""),1)</f>
        <v>1</v>
      </c>
    </row>
    <row r="6286" spans="1:5" ht="13">
      <c r="A6286" s="2" t="str">
        <f ca="1">IFERROR(__xludf.DUMMYFUNCTION("""COMPUTED_VALUE"""),"Pasquet, Jean")</f>
        <v>Pasquet, Jean</v>
      </c>
      <c r="B6286" s="3">
        <f ca="1">IFERROR(__xludf.DUMMYFUNCTION("""COMPUTED_VALUE"""),1)</f>
        <v>1</v>
      </c>
      <c r="C6286" s="7">
        <f ca="1">IFERROR(__xludf.DUMMYFUNCTION("""COMPUTED_VALUE"""),1)</f>
        <v>1</v>
      </c>
      <c r="D6286" s="8">
        <f ca="1">IFERROR(__xludf.DUMMYFUNCTION("""COMPUTED_VALUE"""),5)</f>
        <v>5</v>
      </c>
      <c r="E6286" s="2">
        <f ca="1">IFERROR(__xludf.DUMMYFUNCTION("""COMPUTED_VALUE"""),2)</f>
        <v>2</v>
      </c>
    </row>
    <row r="6287" spans="1:5" ht="13">
      <c r="A6287" s="2" t="str">
        <f ca="1">IFERROR(__xludf.DUMMYFUNCTION("""COMPUTED_VALUE"""),"Pasquini, Bernardo")</f>
        <v>Pasquini, Bernardo</v>
      </c>
      <c r="B6287" s="3">
        <f ca="1">IFERROR(__xludf.DUMMYFUNCTION("""COMPUTED_VALUE"""),1)</f>
        <v>1</v>
      </c>
      <c r="C6287" s="7">
        <f ca="1">IFERROR(__xludf.DUMMYFUNCTION("""COMPUTED_VALUE"""),1)</f>
        <v>1</v>
      </c>
      <c r="D6287" s="8">
        <f ca="1">IFERROR(__xludf.DUMMYFUNCTION("""COMPUTED_VALUE"""),5)</f>
        <v>5</v>
      </c>
      <c r="E6287" s="2">
        <f ca="1">IFERROR(__xludf.DUMMYFUNCTION("""COMPUTED_VALUE"""),2)</f>
        <v>2</v>
      </c>
    </row>
    <row r="6288" spans="1:5" ht="13">
      <c r="A6288" s="2" t="str">
        <f ca="1">IFERROR(__xludf.DUMMYFUNCTION("""COMPUTED_VALUE"""),"Passereau, Pierre")</f>
        <v>Passereau, Pierre</v>
      </c>
      <c r="B6288" s="3">
        <f ca="1">IFERROR(__xludf.DUMMYFUNCTION("""COMPUTED_VALUE"""),1)</f>
        <v>1</v>
      </c>
      <c r="C6288" s="7">
        <f ca="1">IFERROR(__xludf.DUMMYFUNCTION("""COMPUTED_VALUE"""),1)</f>
        <v>1</v>
      </c>
      <c r="D6288" s="8">
        <f ca="1">IFERROR(__xludf.DUMMYFUNCTION("""COMPUTED_VALUE"""),5)</f>
        <v>5</v>
      </c>
      <c r="E6288" s="2">
        <f ca="1">IFERROR(__xludf.DUMMYFUNCTION("""COMPUTED_VALUE"""),2)</f>
        <v>2</v>
      </c>
    </row>
    <row r="6289" spans="1:5" ht="13">
      <c r="A6289" s="2" t="str">
        <f ca="1">IFERROR(__xludf.DUMMYFUNCTION("""COMPUTED_VALUE"""),"Pasternak, Jason")</f>
        <v>Pasternak, Jason</v>
      </c>
      <c r="B6289" s="3">
        <f ca="1">IFERROR(__xludf.DUMMYFUNCTION("""COMPUTED_VALUE"""),1)</f>
        <v>1</v>
      </c>
      <c r="C6289" s="7">
        <f ca="1">IFERROR(__xludf.DUMMYFUNCTION("""COMPUTED_VALUE"""),1)</f>
        <v>1</v>
      </c>
      <c r="D6289" s="8">
        <f ca="1">IFERROR(__xludf.DUMMYFUNCTION("""COMPUTED_VALUE"""),1)</f>
        <v>1</v>
      </c>
      <c r="E6289" s="2">
        <f ca="1">IFERROR(__xludf.DUMMYFUNCTION("""COMPUTED_VALUE"""),1)</f>
        <v>1</v>
      </c>
    </row>
    <row r="6290" spans="1:5" ht="13">
      <c r="A6290" s="2" t="str">
        <f ca="1">IFERROR(__xludf.DUMMYFUNCTION("""COMPUTED_VALUE"""),"Pasternak, John")</f>
        <v>Pasternak, John</v>
      </c>
      <c r="B6290" s="3">
        <f ca="1">IFERROR(__xludf.DUMMYFUNCTION("""COMPUTED_VALUE"""),1)</f>
        <v>1</v>
      </c>
      <c r="C6290" s="7">
        <f ca="1">IFERROR(__xludf.DUMMYFUNCTION("""COMPUTED_VALUE"""),1)</f>
        <v>1</v>
      </c>
      <c r="D6290" s="8">
        <f ca="1">IFERROR(__xludf.DUMMYFUNCTION("""COMPUTED_VALUE"""),1)</f>
        <v>1</v>
      </c>
      <c r="E6290" s="2">
        <f ca="1">IFERROR(__xludf.DUMMYFUNCTION("""COMPUTED_VALUE"""),1)</f>
        <v>1</v>
      </c>
    </row>
    <row r="6291" spans="1:5" ht="13">
      <c r="A6291" s="2" t="str">
        <f ca="1">IFERROR(__xludf.DUMMYFUNCTION("""COMPUTED_VALUE"""),"Pastore, Carmine")</f>
        <v>Pastore, Carmine</v>
      </c>
      <c r="B6291" s="3">
        <f ca="1">IFERROR(__xludf.DUMMYFUNCTION("""COMPUTED_VALUE"""),1)</f>
        <v>1</v>
      </c>
      <c r="C6291" s="7">
        <f ca="1">IFERROR(__xludf.DUMMYFUNCTION("""COMPUTED_VALUE"""),1)</f>
        <v>1</v>
      </c>
      <c r="D6291" s="8">
        <f ca="1">IFERROR(__xludf.DUMMYFUNCTION("""COMPUTED_VALUE"""),1)</f>
        <v>1</v>
      </c>
      <c r="E6291" s="2">
        <f ca="1">IFERROR(__xludf.DUMMYFUNCTION("""COMPUTED_VALUE"""),1)</f>
        <v>1</v>
      </c>
    </row>
    <row r="6292" spans="1:5" ht="13">
      <c r="A6292" s="2" t="str">
        <f ca="1">IFERROR(__xludf.DUMMYFUNCTION("""COMPUTED_VALUE"""),"Pastorious, Jaco")</f>
        <v>Pastorious, Jaco</v>
      </c>
      <c r="B6292" s="2">
        <f ca="1">IFERROR(__xludf.DUMMYFUNCTION("""COMPUTED_VALUE"""),1)</f>
        <v>1</v>
      </c>
      <c r="C6292" s="7">
        <f ca="1">IFERROR(__xludf.DUMMYFUNCTION("""COMPUTED_VALUE"""),1)</f>
        <v>1</v>
      </c>
      <c r="D6292" s="8">
        <f ca="1">IFERROR(__xludf.DUMMYFUNCTION("""COMPUTED_VALUE"""),5)</f>
        <v>5</v>
      </c>
      <c r="E6292" s="2">
        <f ca="1">IFERROR(__xludf.DUMMYFUNCTION("""COMPUTED_VALUE"""),2)</f>
        <v>2</v>
      </c>
    </row>
    <row r="6293" spans="1:5" ht="13">
      <c r="A6293" s="2" t="str">
        <f ca="1">IFERROR(__xludf.DUMMYFUNCTION("""COMPUTED_VALUE"""),"Pastorius, Jaco")</f>
        <v>Pastorius, Jaco</v>
      </c>
      <c r="B6293" s="2">
        <f ca="1">IFERROR(__xludf.DUMMYFUNCTION("""COMPUTED_VALUE"""),1)</f>
        <v>1</v>
      </c>
      <c r="C6293" s="7">
        <f ca="1">IFERROR(__xludf.DUMMYFUNCTION("""COMPUTED_VALUE"""),1)</f>
        <v>1</v>
      </c>
      <c r="D6293" s="8">
        <f ca="1">IFERROR(__xludf.DUMMYFUNCTION("""COMPUTED_VALUE"""),5)</f>
        <v>5</v>
      </c>
      <c r="E6293" s="2">
        <f ca="1">IFERROR(__xludf.DUMMYFUNCTION("""COMPUTED_VALUE"""),2)</f>
        <v>2</v>
      </c>
    </row>
    <row r="6294" spans="1:5" ht="13">
      <c r="A6294" s="2" t="str">
        <f ca="1">IFERROR(__xludf.DUMMYFUNCTION("""COMPUTED_VALUE"""),"Pastorius, Jaco / Herzog, Bob")</f>
        <v>Pastorius, Jaco / Herzog, Bob</v>
      </c>
      <c r="B6294" s="2">
        <f ca="1">IFERROR(__xludf.DUMMYFUNCTION("""COMPUTED_VALUE"""),1)</f>
        <v>1</v>
      </c>
      <c r="C6294" s="7">
        <f ca="1">IFERROR(__xludf.DUMMYFUNCTION("""COMPUTED_VALUE"""),1)</f>
        <v>1</v>
      </c>
      <c r="D6294" s="8">
        <f ca="1">IFERROR(__xludf.DUMMYFUNCTION("""COMPUTED_VALUE"""),5)</f>
        <v>5</v>
      </c>
      <c r="E6294" s="2">
        <f ca="1">IFERROR(__xludf.DUMMYFUNCTION("""COMPUTED_VALUE"""),2)</f>
        <v>2</v>
      </c>
    </row>
    <row r="6295" spans="1:5" ht="13">
      <c r="A6295" s="2" t="str">
        <f ca="1">IFERROR(__xludf.DUMMYFUNCTION("""COMPUTED_VALUE"""),"Paterson, Rob")</f>
        <v>Paterson, Rob</v>
      </c>
      <c r="B6295" s="3">
        <f ca="1">IFERROR(__xludf.DUMMYFUNCTION("""COMPUTED_VALUE"""),1)</f>
        <v>1</v>
      </c>
      <c r="C6295" s="7">
        <f ca="1">IFERROR(__xludf.DUMMYFUNCTION("""COMPUTED_VALUE"""),1)</f>
        <v>1</v>
      </c>
      <c r="D6295" s="8">
        <f ca="1">IFERROR(__xludf.DUMMYFUNCTION("""COMPUTED_VALUE"""),1)</f>
        <v>1</v>
      </c>
      <c r="E6295" s="2">
        <f ca="1">IFERROR(__xludf.DUMMYFUNCTION("""COMPUTED_VALUE"""),1)</f>
        <v>1</v>
      </c>
    </row>
    <row r="6296" spans="1:5" ht="13">
      <c r="A6296" s="2" t="str">
        <f ca="1">IFERROR(__xludf.DUMMYFUNCTION("""COMPUTED_VALUE"""),"Patitucci, John")</f>
        <v>Patitucci, John</v>
      </c>
      <c r="B6296" s="3">
        <f ca="1">IFERROR(__xludf.DUMMYFUNCTION("""COMPUTED_VALUE"""),1)</f>
        <v>1</v>
      </c>
      <c r="C6296" s="7">
        <f ca="1">IFERROR(__xludf.DUMMYFUNCTION("""COMPUTED_VALUE"""),1)</f>
        <v>1</v>
      </c>
      <c r="D6296" s="8">
        <f ca="1">IFERROR(__xludf.DUMMYFUNCTION("""COMPUTED_VALUE"""),1)</f>
        <v>1</v>
      </c>
      <c r="E6296" s="2">
        <f ca="1">IFERROR(__xludf.DUMMYFUNCTION("""COMPUTED_VALUE"""),1)</f>
        <v>1</v>
      </c>
    </row>
    <row r="6297" spans="1:5" ht="13">
      <c r="A6297" s="2" t="str">
        <f ca="1">IFERROR(__xludf.DUMMYFUNCTION("""COMPUTED_VALUE"""),"Patriquin, Donald")</f>
        <v>Patriquin, Donald</v>
      </c>
      <c r="B6297" s="3">
        <f ca="1">IFERROR(__xludf.DUMMYFUNCTION("""COMPUTED_VALUE"""),1)</f>
        <v>1</v>
      </c>
      <c r="C6297" s="7">
        <f ca="1">IFERROR(__xludf.DUMMYFUNCTION("""COMPUTED_VALUE"""),1)</f>
        <v>1</v>
      </c>
      <c r="D6297" s="8">
        <f ca="1">IFERROR(__xludf.DUMMYFUNCTION("""COMPUTED_VALUE"""),1)</f>
        <v>1</v>
      </c>
      <c r="E6297" s="2">
        <f ca="1">IFERROR(__xludf.DUMMYFUNCTION("""COMPUTED_VALUE"""),1)</f>
        <v>1</v>
      </c>
    </row>
    <row r="6298" spans="1:5" ht="13">
      <c r="A6298" s="2" t="str">
        <f ca="1">IFERROR(__xludf.DUMMYFUNCTION("""COMPUTED_VALUE"""),"Patriquin, Donald / Grau, Alberto")</f>
        <v>Patriquin, Donald / Grau, Alberto</v>
      </c>
      <c r="B6298" s="3">
        <f ca="1">IFERROR(__xludf.DUMMYFUNCTION("""COMPUTED_VALUE"""),1)</f>
        <v>1</v>
      </c>
      <c r="C6298" s="7">
        <f ca="1">IFERROR(__xludf.DUMMYFUNCTION("""COMPUTED_VALUE"""),1)</f>
        <v>1</v>
      </c>
      <c r="D6298" s="8" t="str">
        <f ca="1">IFERROR(__xludf.DUMMYFUNCTION("""COMPUTED_VALUE"""),"")</f>
        <v/>
      </c>
      <c r="E6298" s="2" t="str">
        <f ca="1">IFERROR(__xludf.DUMMYFUNCTION("""COMPUTED_VALUE"""),"1&amp;2")</f>
        <v>1&amp;2</v>
      </c>
    </row>
    <row r="6299" spans="1:5" ht="13">
      <c r="A6299" s="2" t="str">
        <f ca="1">IFERROR(__xludf.DUMMYFUNCTION("""COMPUTED_VALUE"""),"Patterson, Andy")</f>
        <v>Patterson, Andy</v>
      </c>
      <c r="B6299" s="3">
        <f ca="1">IFERROR(__xludf.DUMMYFUNCTION("""COMPUTED_VALUE"""),1)</f>
        <v>1</v>
      </c>
      <c r="C6299" s="7">
        <f ca="1">IFERROR(__xludf.DUMMYFUNCTION("""COMPUTED_VALUE"""),1)</f>
        <v>1</v>
      </c>
      <c r="D6299" s="8">
        <f ca="1">IFERROR(__xludf.DUMMYFUNCTION("""COMPUTED_VALUE"""),1)</f>
        <v>1</v>
      </c>
      <c r="E6299" s="2">
        <f ca="1">IFERROR(__xludf.DUMMYFUNCTION("""COMPUTED_VALUE"""),1)</f>
        <v>1</v>
      </c>
    </row>
    <row r="6300" spans="1:5" ht="13">
      <c r="A6300" s="2" t="str">
        <f ca="1">IFERROR(__xludf.DUMMYFUNCTION("""COMPUTED_VALUE"""),"Patterson, Don")</f>
        <v>Patterson, Don</v>
      </c>
      <c r="B6300" s="3">
        <f ca="1">IFERROR(__xludf.DUMMYFUNCTION("""COMPUTED_VALUE"""),1)</f>
        <v>1</v>
      </c>
      <c r="C6300" s="7">
        <f ca="1">IFERROR(__xludf.DUMMYFUNCTION("""COMPUTED_VALUE"""),1)</f>
        <v>1</v>
      </c>
      <c r="D6300" s="8">
        <f ca="1">IFERROR(__xludf.DUMMYFUNCTION("""COMPUTED_VALUE"""),1)</f>
        <v>1</v>
      </c>
      <c r="E6300" s="2">
        <f ca="1">IFERROR(__xludf.DUMMYFUNCTION("""COMPUTED_VALUE"""),1)</f>
        <v>1</v>
      </c>
    </row>
    <row r="6301" spans="1:5" ht="13">
      <c r="A6301" s="2" t="str">
        <f ca="1">IFERROR(__xludf.DUMMYFUNCTION("""COMPUTED_VALUE"""),"Patterson, Donald")</f>
        <v>Patterson, Donald</v>
      </c>
      <c r="B6301" s="3">
        <f ca="1">IFERROR(__xludf.DUMMYFUNCTION("""COMPUTED_VALUE"""),1)</f>
        <v>1</v>
      </c>
      <c r="C6301" s="7">
        <f ca="1">IFERROR(__xludf.DUMMYFUNCTION("""COMPUTED_VALUE"""),1)</f>
        <v>1</v>
      </c>
      <c r="D6301" s="8">
        <f ca="1">IFERROR(__xludf.DUMMYFUNCTION("""COMPUTED_VALUE"""),1)</f>
        <v>1</v>
      </c>
      <c r="E6301" s="2">
        <f ca="1">IFERROR(__xludf.DUMMYFUNCTION("""COMPUTED_VALUE"""),1)</f>
        <v>1</v>
      </c>
    </row>
    <row r="6302" spans="1:5" ht="13">
      <c r="A6302" s="2" t="str">
        <f ca="1">IFERROR(__xludf.DUMMYFUNCTION("""COMPUTED_VALUE"""),"Patterson, Mark")</f>
        <v>Patterson, Mark</v>
      </c>
      <c r="B6302" s="3">
        <f ca="1">IFERROR(__xludf.DUMMYFUNCTION("""COMPUTED_VALUE"""),1)</f>
        <v>1</v>
      </c>
      <c r="C6302" s="7">
        <f ca="1">IFERROR(__xludf.DUMMYFUNCTION("""COMPUTED_VALUE"""),1)</f>
        <v>1</v>
      </c>
      <c r="D6302" s="8">
        <f ca="1">IFERROR(__xludf.DUMMYFUNCTION("""COMPUTED_VALUE"""),1)</f>
        <v>1</v>
      </c>
      <c r="E6302" s="2">
        <f ca="1">IFERROR(__xludf.DUMMYFUNCTION("""COMPUTED_VALUE"""),1)</f>
        <v>1</v>
      </c>
    </row>
    <row r="6303" spans="1:5" ht="13">
      <c r="A6303" s="2" t="str">
        <f ca="1">IFERROR(__xludf.DUMMYFUNCTION("""COMPUTED_VALUE"""),"Patterson, Merlin")</f>
        <v>Patterson, Merlin</v>
      </c>
      <c r="B6303" s="3">
        <f ca="1">IFERROR(__xludf.DUMMYFUNCTION("""COMPUTED_VALUE"""),1)</f>
        <v>1</v>
      </c>
      <c r="C6303" s="7">
        <f ca="1">IFERROR(__xludf.DUMMYFUNCTION("""COMPUTED_VALUE"""),1)</f>
        <v>1</v>
      </c>
      <c r="D6303" s="8">
        <f ca="1">IFERROR(__xludf.DUMMYFUNCTION("""COMPUTED_VALUE"""),1)</f>
        <v>1</v>
      </c>
      <c r="E6303" s="2">
        <f ca="1">IFERROR(__xludf.DUMMYFUNCTION("""COMPUTED_VALUE"""),1)</f>
        <v>1</v>
      </c>
    </row>
    <row r="6304" spans="1:5" ht="13">
      <c r="A6304" s="8" t="str">
        <f ca="1">IFERROR(__xludf.DUMMYFUNCTION("""COMPUTED_VALUE"""),"Patterson, Michael")</f>
        <v>Patterson, Michael</v>
      </c>
      <c r="B6304" s="3">
        <f ca="1">IFERROR(__xludf.DUMMYFUNCTION("""COMPUTED_VALUE"""),1)</f>
        <v>1</v>
      </c>
      <c r="C6304" s="7">
        <f ca="1">IFERROR(__xludf.DUMMYFUNCTION("""COMPUTED_VALUE"""),1)</f>
        <v>1</v>
      </c>
      <c r="D6304" s="8">
        <f ca="1">IFERROR(__xludf.DUMMYFUNCTION("""COMPUTED_VALUE"""),1)</f>
        <v>1</v>
      </c>
      <c r="E6304" s="2">
        <f ca="1">IFERROR(__xludf.DUMMYFUNCTION("""COMPUTED_VALUE"""),1)</f>
        <v>1</v>
      </c>
    </row>
    <row r="6305" spans="1:5" ht="13">
      <c r="A6305" s="2" t="str">
        <f ca="1">IFERROR(__xludf.DUMMYFUNCTION("""COMPUTED_VALUE"""),"Patterson, Robert")</f>
        <v>Patterson, Robert</v>
      </c>
      <c r="B6305" s="3">
        <f ca="1">IFERROR(__xludf.DUMMYFUNCTION("""COMPUTED_VALUE"""),1)</f>
        <v>1</v>
      </c>
      <c r="C6305" s="7">
        <f ca="1">IFERROR(__xludf.DUMMYFUNCTION("""COMPUTED_VALUE"""),1)</f>
        <v>1</v>
      </c>
      <c r="D6305" s="8">
        <f ca="1">IFERROR(__xludf.DUMMYFUNCTION("""COMPUTED_VALUE"""),1)</f>
        <v>1</v>
      </c>
      <c r="E6305" s="2">
        <f ca="1">IFERROR(__xludf.DUMMYFUNCTION("""COMPUTED_VALUE"""),1)</f>
        <v>1</v>
      </c>
    </row>
    <row r="6306" spans="1:5" ht="13">
      <c r="A6306" s="2" t="str">
        <f ca="1">IFERROR(__xludf.DUMMYFUNCTION("""COMPUTED_VALUE"""),"Patterson, Robert G.")</f>
        <v>Patterson, Robert G.</v>
      </c>
      <c r="B6306" s="3">
        <f ca="1">IFERROR(__xludf.DUMMYFUNCTION("""COMPUTED_VALUE"""),1)</f>
        <v>1</v>
      </c>
      <c r="C6306" s="7">
        <f ca="1">IFERROR(__xludf.DUMMYFUNCTION("""COMPUTED_VALUE"""),1)</f>
        <v>1</v>
      </c>
      <c r="D6306" s="8">
        <f ca="1">IFERROR(__xludf.DUMMYFUNCTION("""COMPUTED_VALUE"""),1)</f>
        <v>1</v>
      </c>
      <c r="E6306" s="2">
        <f ca="1">IFERROR(__xludf.DUMMYFUNCTION("""COMPUTED_VALUE"""),1)</f>
        <v>1</v>
      </c>
    </row>
    <row r="6307" spans="1:5" ht="13">
      <c r="A6307" s="2" t="str">
        <f ca="1">IFERROR(__xludf.DUMMYFUNCTION("""COMPUTED_VALUE"""),"Patton, Matthew")</f>
        <v>Patton, Matthew</v>
      </c>
      <c r="B6307" s="2">
        <f ca="1">IFERROR(__xludf.DUMMYFUNCTION("""COMPUTED_VALUE"""),1)</f>
        <v>1</v>
      </c>
      <c r="C6307" s="2">
        <f ca="1">IFERROR(__xludf.DUMMYFUNCTION("""COMPUTED_VALUE"""),1)</f>
        <v>1</v>
      </c>
      <c r="D6307" s="8">
        <f ca="1">IFERROR(__xludf.DUMMYFUNCTION("""COMPUTED_VALUE"""),1)</f>
        <v>1</v>
      </c>
      <c r="E6307" s="2">
        <f ca="1">IFERROR(__xludf.DUMMYFUNCTION("""COMPUTED_VALUE"""),1)</f>
        <v>1</v>
      </c>
    </row>
    <row r="6308" spans="1:5" ht="13">
      <c r="A6308" s="2" t="str">
        <f ca="1">IFERROR(__xludf.DUMMYFUNCTION("""COMPUTED_VALUE"""),"Paul McCartney, John Lennon")</f>
        <v>Paul McCartney, John Lennon</v>
      </c>
      <c r="B6308" s="2">
        <f ca="1">IFERROR(__xludf.DUMMYFUNCTION("""COMPUTED_VALUE"""),1)</f>
        <v>1</v>
      </c>
      <c r="C6308" s="7">
        <f ca="1">IFERROR(__xludf.DUMMYFUNCTION("""COMPUTED_VALUE"""),1)</f>
        <v>1</v>
      </c>
      <c r="D6308" s="8">
        <f ca="1">IFERROR(__xludf.DUMMYFUNCTION("""COMPUTED_VALUE"""),5)</f>
        <v>5</v>
      </c>
      <c r="E6308" s="2">
        <f ca="1">IFERROR(__xludf.DUMMYFUNCTION("""COMPUTED_VALUE"""),2)</f>
        <v>2</v>
      </c>
    </row>
    <row r="6309" spans="1:5" ht="13">
      <c r="A6309" s="8" t="str">
        <f ca="1">IFERROR(__xludf.DUMMYFUNCTION("""COMPUTED_VALUE"""),"Paul, R. Kevin")</f>
        <v>Paul, R. Kevin</v>
      </c>
      <c r="B6309" s="3">
        <f ca="1">IFERROR(__xludf.DUMMYFUNCTION("""COMPUTED_VALUE"""),1)</f>
        <v>1</v>
      </c>
      <c r="C6309" s="7">
        <f ca="1">IFERROR(__xludf.DUMMYFUNCTION("""COMPUTED_VALUE"""),1)</f>
        <v>1</v>
      </c>
      <c r="D6309" s="8">
        <f ca="1">IFERROR(__xludf.DUMMYFUNCTION("""COMPUTED_VALUE"""),1)</f>
        <v>1</v>
      </c>
      <c r="E6309" s="2">
        <f ca="1">IFERROR(__xludf.DUMMYFUNCTION("""COMPUTED_VALUE"""),1)</f>
        <v>1</v>
      </c>
    </row>
    <row r="6310" spans="1:5" ht="13">
      <c r="A6310" s="2" t="str">
        <f ca="1">IFERROR(__xludf.DUMMYFUNCTION("""COMPUTED_VALUE"""),"Pauler, Bernhard")</f>
        <v>Pauler, Bernhard</v>
      </c>
      <c r="B6310" s="3">
        <f ca="1">IFERROR(__xludf.DUMMYFUNCTION("""COMPUTED_VALUE"""),1)</f>
        <v>1</v>
      </c>
      <c r="C6310" s="7">
        <f ca="1">IFERROR(__xludf.DUMMYFUNCTION("""COMPUTED_VALUE"""),1)</f>
        <v>1</v>
      </c>
      <c r="D6310" s="8">
        <f ca="1">IFERROR(__xludf.DUMMYFUNCTION("""COMPUTED_VALUE"""),1)</f>
        <v>1</v>
      </c>
      <c r="E6310" s="2">
        <f ca="1">IFERROR(__xludf.DUMMYFUNCTION("""COMPUTED_VALUE"""),1)</f>
        <v>1</v>
      </c>
    </row>
    <row r="6311" spans="1:5" ht="13">
      <c r="A6311" s="2" t="str">
        <f ca="1">IFERROR(__xludf.DUMMYFUNCTION("""COMPUTED_VALUE"""),"Paull, E.T.")</f>
        <v>Paull, E.T.</v>
      </c>
      <c r="B6311" s="3">
        <f ca="1">IFERROR(__xludf.DUMMYFUNCTION("""COMPUTED_VALUE"""),1)</f>
        <v>1</v>
      </c>
      <c r="C6311" s="7">
        <f ca="1">IFERROR(__xludf.DUMMYFUNCTION("""COMPUTED_VALUE"""),1)</f>
        <v>1</v>
      </c>
      <c r="D6311" s="8">
        <f ca="1">IFERROR(__xludf.DUMMYFUNCTION("""COMPUTED_VALUE"""),5)</f>
        <v>5</v>
      </c>
      <c r="E6311" s="2">
        <f ca="1">IFERROR(__xludf.DUMMYFUNCTION("""COMPUTED_VALUE"""),2)</f>
        <v>2</v>
      </c>
    </row>
    <row r="6312" spans="1:5" ht="13">
      <c r="A6312" s="2" t="str">
        <f ca="1">IFERROR(__xludf.DUMMYFUNCTION("""COMPUTED_VALUE"""),"Paulli, Holger Simon")</f>
        <v>Paulli, Holger Simon</v>
      </c>
      <c r="B6312" s="3">
        <f ca="1">IFERROR(__xludf.DUMMYFUNCTION("""COMPUTED_VALUE"""),1)</f>
        <v>1</v>
      </c>
      <c r="C6312" s="7">
        <f ca="1">IFERROR(__xludf.DUMMYFUNCTION("""COMPUTED_VALUE"""),1)</f>
        <v>1</v>
      </c>
      <c r="D6312" s="8">
        <f ca="1">IFERROR(__xludf.DUMMYFUNCTION("""COMPUTED_VALUE"""),5)</f>
        <v>5</v>
      </c>
      <c r="E6312" s="2">
        <f ca="1">IFERROR(__xludf.DUMMYFUNCTION("""COMPUTED_VALUE"""),2)</f>
        <v>2</v>
      </c>
    </row>
    <row r="6313" spans="1:5" ht="13">
      <c r="A6313" s="2" t="str">
        <f ca="1">IFERROR(__xludf.DUMMYFUNCTION("""COMPUTED_VALUE"""),"Paulson, Glenn")</f>
        <v>Paulson, Glenn</v>
      </c>
      <c r="B6313" s="2">
        <f ca="1">IFERROR(__xludf.DUMMYFUNCTION("""COMPUTED_VALUE"""),1)</f>
        <v>1</v>
      </c>
      <c r="C6313" s="7">
        <f ca="1">IFERROR(__xludf.DUMMYFUNCTION("""COMPUTED_VALUE"""),1)</f>
        <v>1</v>
      </c>
      <c r="D6313" s="8">
        <f ca="1">IFERROR(__xludf.DUMMYFUNCTION("""COMPUTED_VALUE"""),1)</f>
        <v>1</v>
      </c>
      <c r="E6313" s="2">
        <f ca="1">IFERROR(__xludf.DUMMYFUNCTION("""COMPUTED_VALUE"""),1)</f>
        <v>1</v>
      </c>
    </row>
    <row r="6314" spans="1:5" ht="13">
      <c r="A6314" s="2" t="str">
        <f ca="1">IFERROR(__xludf.DUMMYFUNCTION("""COMPUTED_VALUE"""),"Paulson, John")</f>
        <v>Paulson, John</v>
      </c>
      <c r="B6314" s="3">
        <f ca="1">IFERROR(__xludf.DUMMYFUNCTION("""COMPUTED_VALUE"""),1)</f>
        <v>1</v>
      </c>
      <c r="C6314" s="7">
        <f ca="1">IFERROR(__xludf.DUMMYFUNCTION("""COMPUTED_VALUE"""),1)</f>
        <v>1</v>
      </c>
      <c r="D6314" s="8">
        <f ca="1">IFERROR(__xludf.DUMMYFUNCTION("""COMPUTED_VALUE"""),1)</f>
        <v>1</v>
      </c>
      <c r="E6314" s="2">
        <f ca="1">IFERROR(__xludf.DUMMYFUNCTION("""COMPUTED_VALUE"""),1)</f>
        <v>1</v>
      </c>
    </row>
    <row r="6315" spans="1:5" ht="13">
      <c r="A6315" s="2" t="str">
        <f ca="1">IFERROR(__xludf.DUMMYFUNCTION("""COMPUTED_VALUE"""),"Paulson, MSgt Glenn")</f>
        <v>Paulson, MSgt Glenn</v>
      </c>
      <c r="B6315" s="3">
        <f ca="1">IFERROR(__xludf.DUMMYFUNCTION("""COMPUTED_VALUE"""),1)</f>
        <v>1</v>
      </c>
      <c r="C6315" s="7">
        <f ca="1">IFERROR(__xludf.DUMMYFUNCTION("""COMPUTED_VALUE"""),1)</f>
        <v>1</v>
      </c>
      <c r="D6315" s="8">
        <f ca="1">IFERROR(__xludf.DUMMYFUNCTION("""COMPUTED_VALUE"""),1)</f>
        <v>1</v>
      </c>
      <c r="E6315" s="2">
        <f ca="1">IFERROR(__xludf.DUMMYFUNCTION("""COMPUTED_VALUE"""),1)</f>
        <v>1</v>
      </c>
    </row>
    <row r="6316" spans="1:5" ht="13">
      <c r="A6316" s="2" t="str">
        <f ca="1">IFERROR(__xludf.DUMMYFUNCTION("""COMPUTED_VALUE"""),"Paulsson, Anders")</f>
        <v>Paulsson, Anders</v>
      </c>
      <c r="B6316" s="3">
        <f ca="1">IFERROR(__xludf.DUMMYFUNCTION("""COMPUTED_VALUE"""),1)</f>
        <v>1</v>
      </c>
      <c r="C6316" s="7">
        <f ca="1">IFERROR(__xludf.DUMMYFUNCTION("""COMPUTED_VALUE"""),1)</f>
        <v>1</v>
      </c>
      <c r="D6316" s="8">
        <f ca="1">IFERROR(__xludf.DUMMYFUNCTION("""COMPUTED_VALUE"""),1)</f>
        <v>1</v>
      </c>
      <c r="E6316" s="2">
        <f ca="1">IFERROR(__xludf.DUMMYFUNCTION("""COMPUTED_VALUE"""),1)</f>
        <v>1</v>
      </c>
    </row>
    <row r="6317" spans="1:5" ht="13">
      <c r="A6317" s="2" t="str">
        <f ca="1">IFERROR(__xludf.DUMMYFUNCTION("""COMPUTED_VALUE"""),"Paulus, Stephen")</f>
        <v>Paulus, Stephen</v>
      </c>
      <c r="B6317" s="3">
        <f ca="1">IFERROR(__xludf.DUMMYFUNCTION("""COMPUTED_VALUE"""),1)</f>
        <v>1</v>
      </c>
      <c r="C6317" s="7">
        <f ca="1">IFERROR(__xludf.DUMMYFUNCTION("""COMPUTED_VALUE"""),1)</f>
        <v>1</v>
      </c>
      <c r="D6317" s="8">
        <f ca="1">IFERROR(__xludf.DUMMYFUNCTION("""COMPUTED_VALUE"""),5)</f>
        <v>5</v>
      </c>
      <c r="E6317" s="2">
        <f ca="1">IFERROR(__xludf.DUMMYFUNCTION("""COMPUTED_VALUE"""),2)</f>
        <v>2</v>
      </c>
    </row>
    <row r="6318" spans="1:5" ht="13">
      <c r="A6318" s="8" t="str">
        <f ca="1">IFERROR(__xludf.DUMMYFUNCTION("""COMPUTED_VALUE"""),"Pauly, Reinhard")</f>
        <v>Pauly, Reinhard</v>
      </c>
      <c r="B6318" s="9">
        <f ca="1">IFERROR(__xludf.DUMMYFUNCTION("""COMPUTED_VALUE"""),1)</f>
        <v>1</v>
      </c>
      <c r="C6318" s="7">
        <f ca="1">IFERROR(__xludf.DUMMYFUNCTION("""COMPUTED_VALUE"""),1)</f>
        <v>1</v>
      </c>
      <c r="D6318" s="8">
        <f ca="1">IFERROR(__xludf.DUMMYFUNCTION("""COMPUTED_VALUE"""),1)</f>
        <v>1</v>
      </c>
      <c r="E6318" s="9">
        <f ca="1">IFERROR(__xludf.DUMMYFUNCTION("""COMPUTED_VALUE"""),1)</f>
        <v>1</v>
      </c>
    </row>
    <row r="6319" spans="1:5" ht="13">
      <c r="A6319" s="2" t="str">
        <f ca="1">IFERROR(__xludf.DUMMYFUNCTION("""COMPUTED_VALUE"""),"Pawasser, Rüdiger")</f>
        <v>Pawasser, Rüdiger</v>
      </c>
      <c r="B6319" s="2">
        <f ca="1">IFERROR(__xludf.DUMMYFUNCTION("""COMPUTED_VALUE"""),1)</f>
        <v>1</v>
      </c>
      <c r="C6319" s="7">
        <f ca="1">IFERROR(__xludf.DUMMYFUNCTION("""COMPUTED_VALUE"""),1)</f>
        <v>1</v>
      </c>
      <c r="D6319" s="8">
        <f ca="1">IFERROR(__xludf.DUMMYFUNCTION("""COMPUTED_VALUE"""),1)</f>
        <v>1</v>
      </c>
      <c r="E6319" s="2">
        <f ca="1">IFERROR(__xludf.DUMMYFUNCTION("""COMPUTED_VALUE"""),1)</f>
        <v>1</v>
      </c>
    </row>
    <row r="6320" spans="1:5" ht="13">
      <c r="A6320" s="2" t="str">
        <f ca="1">IFERROR(__xludf.DUMMYFUNCTION("""COMPUTED_VALUE"""),"Payne, Roger")</f>
        <v>Payne, Roger</v>
      </c>
      <c r="B6320" s="2">
        <f ca="1">IFERROR(__xludf.DUMMYFUNCTION("""COMPUTED_VALUE"""),1)</f>
        <v>1</v>
      </c>
      <c r="C6320" s="7">
        <f ca="1">IFERROR(__xludf.DUMMYFUNCTION("""COMPUTED_VALUE"""),1)</f>
        <v>1</v>
      </c>
      <c r="D6320" s="8">
        <f ca="1">IFERROR(__xludf.DUMMYFUNCTION("""COMPUTED_VALUE"""),5)</f>
        <v>5</v>
      </c>
      <c r="E6320" s="2">
        <f ca="1">IFERROR(__xludf.DUMMYFUNCTION("""COMPUTED_VALUE"""),2)</f>
        <v>2</v>
      </c>
    </row>
    <row r="6321" spans="1:5" ht="13">
      <c r="A6321" s="2" t="str">
        <f ca="1">IFERROR(__xludf.DUMMYFUNCTION("""COMPUTED_VALUE"""),"Payne, Tony")</f>
        <v>Payne, Tony</v>
      </c>
      <c r="B6321" s="3">
        <f ca="1">IFERROR(__xludf.DUMMYFUNCTION("""COMPUTED_VALUE"""),1)</f>
        <v>1</v>
      </c>
      <c r="C6321" s="7">
        <f ca="1">IFERROR(__xludf.DUMMYFUNCTION("""COMPUTED_VALUE"""),1)</f>
        <v>1</v>
      </c>
      <c r="D6321" s="8">
        <f ca="1">IFERROR(__xludf.DUMMYFUNCTION("""COMPUTED_VALUE"""),1)</f>
        <v>1</v>
      </c>
      <c r="E6321" s="2">
        <f ca="1">IFERROR(__xludf.DUMMYFUNCTION("""COMPUTED_VALUE"""),1)</f>
        <v>1</v>
      </c>
    </row>
    <row r="6322" spans="1:5" ht="13">
      <c r="A6322" s="2" t="str">
        <f ca="1">IFERROR(__xludf.DUMMYFUNCTION("""COMPUTED_VALUE"""),"Paynter, John")</f>
        <v>Paynter, John</v>
      </c>
      <c r="B6322" s="3">
        <f ca="1">IFERROR(__xludf.DUMMYFUNCTION("""COMPUTED_VALUE"""),1)</f>
        <v>1</v>
      </c>
      <c r="C6322" s="7">
        <f ca="1">IFERROR(__xludf.DUMMYFUNCTION("""COMPUTED_VALUE"""),1)</f>
        <v>1</v>
      </c>
      <c r="D6322" s="8">
        <f ca="1">IFERROR(__xludf.DUMMYFUNCTION("""COMPUTED_VALUE"""),5)</f>
        <v>5</v>
      </c>
      <c r="E6322" s="2">
        <f ca="1">IFERROR(__xludf.DUMMYFUNCTION("""COMPUTED_VALUE"""),2)</f>
        <v>2</v>
      </c>
    </row>
    <row r="6323" spans="1:5" ht="13">
      <c r="A6323" s="2" t="str">
        <f ca="1">IFERROR(__xludf.DUMMYFUNCTION("""COMPUTED_VALUE"""),"Pazdziora, Eric")</f>
        <v>Pazdziora, Eric</v>
      </c>
      <c r="B6323" s="3">
        <f ca="1">IFERROR(__xludf.DUMMYFUNCTION("""COMPUTED_VALUE"""),1)</f>
        <v>1</v>
      </c>
      <c r="C6323" s="7">
        <f ca="1">IFERROR(__xludf.DUMMYFUNCTION("""COMPUTED_VALUE"""),1)</f>
        <v>1</v>
      </c>
      <c r="D6323" s="8">
        <f ca="1">IFERROR(__xludf.DUMMYFUNCTION("""COMPUTED_VALUE"""),1)</f>
        <v>1</v>
      </c>
      <c r="E6323" s="2">
        <f ca="1">IFERROR(__xludf.DUMMYFUNCTION("""COMPUTED_VALUE"""),1)</f>
        <v>1</v>
      </c>
    </row>
    <row r="6324" spans="1:5" ht="13">
      <c r="A6324" s="2" t="str">
        <f ca="1">IFERROR(__xludf.DUMMYFUNCTION("""COMPUTED_VALUE"""),"Pearsall, Robert")</f>
        <v>Pearsall, Robert</v>
      </c>
      <c r="B6324" s="2">
        <f ca="1">IFERROR(__xludf.DUMMYFUNCTION("""COMPUTED_VALUE"""),1)</f>
        <v>1</v>
      </c>
      <c r="C6324" s="7">
        <f ca="1">IFERROR(__xludf.DUMMYFUNCTION("""COMPUTED_VALUE"""),1)</f>
        <v>1</v>
      </c>
      <c r="D6324" s="8">
        <f ca="1">IFERROR(__xludf.DUMMYFUNCTION("""COMPUTED_VALUE"""),5)</f>
        <v>5</v>
      </c>
      <c r="E6324" s="2">
        <f ca="1">IFERROR(__xludf.DUMMYFUNCTION("""COMPUTED_VALUE"""),2)</f>
        <v>2</v>
      </c>
    </row>
    <row r="6325" spans="1:5" ht="13">
      <c r="A6325" s="2" t="str">
        <f ca="1">IFERROR(__xludf.DUMMYFUNCTION("""COMPUTED_VALUE"""),"Pearson, Bruce")</f>
        <v>Pearson, Bruce</v>
      </c>
      <c r="B6325" s="3">
        <f ca="1">IFERROR(__xludf.DUMMYFUNCTION("""COMPUTED_VALUE"""),1)</f>
        <v>1</v>
      </c>
      <c r="C6325" s="7">
        <f ca="1">IFERROR(__xludf.DUMMYFUNCTION("""COMPUTED_VALUE"""),1)</f>
        <v>1</v>
      </c>
      <c r="D6325" s="8">
        <f ca="1">IFERROR(__xludf.DUMMYFUNCTION("""COMPUTED_VALUE"""),1)</f>
        <v>1</v>
      </c>
      <c r="E6325" s="2">
        <f ca="1">IFERROR(__xludf.DUMMYFUNCTION("""COMPUTED_VALUE"""),1)</f>
        <v>1</v>
      </c>
    </row>
    <row r="6326" spans="1:5" ht="13">
      <c r="A6326" s="2" t="str">
        <f ca="1">IFERROR(__xludf.DUMMYFUNCTION("""COMPUTED_VALUE"""),"Pearson, E.M.")</f>
        <v>Pearson, E.M.</v>
      </c>
      <c r="B6326" s="3">
        <f ca="1">IFERROR(__xludf.DUMMYFUNCTION("""COMPUTED_VALUE"""),1)</f>
        <v>1</v>
      </c>
      <c r="C6326" s="7">
        <f ca="1">IFERROR(__xludf.DUMMYFUNCTION("""COMPUTED_VALUE"""),1)</f>
        <v>1</v>
      </c>
      <c r="D6326" s="8">
        <f ca="1">IFERROR(__xludf.DUMMYFUNCTION("""COMPUTED_VALUE"""),5)</f>
        <v>5</v>
      </c>
      <c r="E6326" s="2">
        <f ca="1">IFERROR(__xludf.DUMMYFUNCTION("""COMPUTED_VALUE"""),2)</f>
        <v>2</v>
      </c>
    </row>
    <row r="6327" spans="1:5" ht="13">
      <c r="A6327" s="2" t="str">
        <f ca="1">IFERROR(__xludf.DUMMYFUNCTION("""COMPUTED_VALUE"""),"Peaslee, Richard")</f>
        <v>Peaslee, Richard</v>
      </c>
      <c r="B6327" s="3">
        <f ca="1">IFERROR(__xludf.DUMMYFUNCTION("""COMPUTED_VALUE"""),1)</f>
        <v>1</v>
      </c>
      <c r="C6327" s="7">
        <f ca="1">IFERROR(__xludf.DUMMYFUNCTION("""COMPUTED_VALUE"""),1)</f>
        <v>1</v>
      </c>
      <c r="D6327" s="8">
        <f ca="1">IFERROR(__xludf.DUMMYFUNCTION("""COMPUTED_VALUE"""),5)</f>
        <v>5</v>
      </c>
      <c r="E6327" s="2">
        <f ca="1">IFERROR(__xludf.DUMMYFUNCTION("""COMPUTED_VALUE"""),2)</f>
        <v>2</v>
      </c>
    </row>
    <row r="6328" spans="1:5" ht="13">
      <c r="A6328" s="2" t="str">
        <f ca="1">IFERROR(__xludf.DUMMYFUNCTION("""COMPUTED_VALUE"""),"Peck, Paul")</f>
        <v>Peck, Paul</v>
      </c>
      <c r="B6328" s="3">
        <f ca="1">IFERROR(__xludf.DUMMYFUNCTION("""COMPUTED_VALUE"""),1)</f>
        <v>1</v>
      </c>
      <c r="C6328" s="7">
        <f ca="1">IFERROR(__xludf.DUMMYFUNCTION("""COMPUTED_VALUE"""),1)</f>
        <v>1</v>
      </c>
      <c r="D6328" s="8">
        <f ca="1">IFERROR(__xludf.DUMMYFUNCTION("""COMPUTED_VALUE"""),1)</f>
        <v>1</v>
      </c>
      <c r="E6328" s="2">
        <f ca="1">IFERROR(__xludf.DUMMYFUNCTION("""COMPUTED_VALUE"""),1)</f>
        <v>1</v>
      </c>
    </row>
    <row r="6329" spans="1:5" ht="13">
      <c r="A6329" s="2" t="str">
        <f ca="1">IFERROR(__xludf.DUMMYFUNCTION("""COMPUTED_VALUE"""),"Peck, Russell")</f>
        <v>Peck, Russell</v>
      </c>
      <c r="B6329" s="3">
        <f ca="1">IFERROR(__xludf.DUMMYFUNCTION("""COMPUTED_VALUE"""),1)</f>
        <v>1</v>
      </c>
      <c r="C6329" s="7">
        <f ca="1">IFERROR(__xludf.DUMMYFUNCTION("""COMPUTED_VALUE"""),1)</f>
        <v>1</v>
      </c>
      <c r="D6329" s="8">
        <f ca="1">IFERROR(__xludf.DUMMYFUNCTION("""COMPUTED_VALUE"""),5)</f>
        <v>5</v>
      </c>
      <c r="E6329" s="2">
        <f ca="1">IFERROR(__xludf.DUMMYFUNCTION("""COMPUTED_VALUE"""),2)</f>
        <v>2</v>
      </c>
    </row>
    <row r="6330" spans="1:5" ht="13">
      <c r="A6330" s="2" t="str">
        <f ca="1">IFERROR(__xludf.DUMMYFUNCTION("""COMPUTED_VALUE"""),"Pecking, Hermann")</f>
        <v>Pecking, Hermann</v>
      </c>
      <c r="B6330" s="3">
        <f ca="1">IFERROR(__xludf.DUMMYFUNCTION("""COMPUTED_VALUE"""),1)</f>
        <v>1</v>
      </c>
      <c r="C6330" s="7">
        <f ca="1">IFERROR(__xludf.DUMMYFUNCTION("""COMPUTED_VALUE"""),1)</f>
        <v>1</v>
      </c>
      <c r="D6330" s="8">
        <f ca="1">IFERROR(__xludf.DUMMYFUNCTION("""COMPUTED_VALUE"""),5)</f>
        <v>5</v>
      </c>
      <c r="E6330" s="2">
        <f ca="1">IFERROR(__xludf.DUMMYFUNCTION("""COMPUTED_VALUE"""),2)</f>
        <v>2</v>
      </c>
    </row>
    <row r="6331" spans="1:5" ht="13">
      <c r="A6331" s="2" t="str">
        <f ca="1">IFERROR(__xludf.DUMMYFUNCTION("""COMPUTED_VALUE"""),"Pederson, Kyle")</f>
        <v>Pederson, Kyle</v>
      </c>
      <c r="B6331" s="3">
        <f ca="1">IFERROR(__xludf.DUMMYFUNCTION("""COMPUTED_VALUE"""),1)</f>
        <v>1</v>
      </c>
      <c r="C6331" s="7">
        <f ca="1">IFERROR(__xludf.DUMMYFUNCTION("""COMPUTED_VALUE"""),1)</f>
        <v>1</v>
      </c>
      <c r="D6331" s="8">
        <f ca="1">IFERROR(__xludf.DUMMYFUNCTION("""COMPUTED_VALUE"""),1)</f>
        <v>1</v>
      </c>
      <c r="E6331" s="2">
        <f ca="1">IFERROR(__xludf.DUMMYFUNCTION("""COMPUTED_VALUE"""),1)</f>
        <v>1</v>
      </c>
    </row>
    <row r="6332" spans="1:5" ht="13">
      <c r="A6332" s="2" t="str">
        <f ca="1">IFERROR(__xludf.DUMMYFUNCTION("""COMPUTED_VALUE"""),"Pederson, Tommy")</f>
        <v>Pederson, Tommy</v>
      </c>
      <c r="B6332" s="3">
        <f ca="1">IFERROR(__xludf.DUMMYFUNCTION("""COMPUTED_VALUE"""),1)</f>
        <v>1</v>
      </c>
      <c r="C6332" s="7">
        <f ca="1">IFERROR(__xludf.DUMMYFUNCTION("""COMPUTED_VALUE"""),1)</f>
        <v>1</v>
      </c>
      <c r="D6332" s="8">
        <f ca="1">IFERROR(__xludf.DUMMYFUNCTION("""COMPUTED_VALUE"""),5)</f>
        <v>5</v>
      </c>
      <c r="E6332" s="2">
        <f ca="1">IFERROR(__xludf.DUMMYFUNCTION("""COMPUTED_VALUE"""),2)</f>
        <v>2</v>
      </c>
    </row>
    <row r="6333" spans="1:5" ht="13">
      <c r="A6333" s="2" t="str">
        <f ca="1">IFERROR(__xludf.DUMMYFUNCTION("""COMPUTED_VALUE"""),"Pedrazzini, Davide A.")</f>
        <v>Pedrazzini, Davide A.</v>
      </c>
      <c r="B6333" s="3">
        <f ca="1">IFERROR(__xludf.DUMMYFUNCTION("""COMPUTED_VALUE"""),1)</f>
        <v>1</v>
      </c>
      <c r="C6333" s="7">
        <f ca="1">IFERROR(__xludf.DUMMYFUNCTION("""COMPUTED_VALUE"""),1)</f>
        <v>1</v>
      </c>
      <c r="D6333" s="8">
        <f ca="1">IFERROR(__xludf.DUMMYFUNCTION("""COMPUTED_VALUE"""),1)</f>
        <v>1</v>
      </c>
      <c r="E6333" s="2">
        <f ca="1">IFERROR(__xludf.DUMMYFUNCTION("""COMPUTED_VALUE"""),1)</f>
        <v>1</v>
      </c>
    </row>
    <row r="6334" spans="1:5" ht="13">
      <c r="A6334" s="2" t="str">
        <f ca="1">IFERROR(__xludf.DUMMYFUNCTION("""COMPUTED_VALUE"""),"Peebles, Chris")</f>
        <v>Peebles, Chris</v>
      </c>
      <c r="B6334" s="3">
        <f ca="1">IFERROR(__xludf.DUMMYFUNCTION("""COMPUTED_VALUE"""),1)</f>
        <v>1</v>
      </c>
      <c r="C6334" s="7">
        <f ca="1">IFERROR(__xludf.DUMMYFUNCTION("""COMPUTED_VALUE"""),1)</f>
        <v>1</v>
      </c>
      <c r="D6334" s="8">
        <f ca="1">IFERROR(__xludf.DUMMYFUNCTION("""COMPUTED_VALUE"""),1)</f>
        <v>1</v>
      </c>
      <c r="E6334" s="2">
        <f ca="1">IFERROR(__xludf.DUMMYFUNCTION("""COMPUTED_VALUE"""),1)</f>
        <v>1</v>
      </c>
    </row>
    <row r="6335" spans="1:5" ht="13">
      <c r="A6335" s="2" t="str">
        <f ca="1">IFERROR(__xludf.DUMMYFUNCTION("""COMPUTED_VALUE"""),"Peel, Eric C. W.")</f>
        <v>Peel, Eric C. W.</v>
      </c>
      <c r="B6335" s="3">
        <f ca="1">IFERROR(__xludf.DUMMYFUNCTION("""COMPUTED_VALUE"""),1)</f>
        <v>1</v>
      </c>
      <c r="C6335" s="7">
        <f ca="1">IFERROR(__xludf.DUMMYFUNCTION("""COMPUTED_VALUE"""),1)</f>
        <v>1</v>
      </c>
      <c r="D6335" s="8">
        <f ca="1">IFERROR(__xludf.DUMMYFUNCTION("""COMPUTED_VALUE"""),1)</f>
        <v>1</v>
      </c>
      <c r="E6335" s="2">
        <f ca="1">IFERROR(__xludf.DUMMYFUNCTION("""COMPUTED_VALUE"""),1)</f>
        <v>1</v>
      </c>
    </row>
    <row r="6336" spans="1:5" ht="13">
      <c r="A6336" s="2" t="str">
        <f ca="1">IFERROR(__xludf.DUMMYFUNCTION("""COMPUTED_VALUE"""),"Peerson, Martin")</f>
        <v>Peerson, Martin</v>
      </c>
      <c r="B6336" s="3">
        <f ca="1">IFERROR(__xludf.DUMMYFUNCTION("""COMPUTED_VALUE"""),1)</f>
        <v>1</v>
      </c>
      <c r="C6336" s="7">
        <f ca="1">IFERROR(__xludf.DUMMYFUNCTION("""COMPUTED_VALUE"""),1)</f>
        <v>1</v>
      </c>
      <c r="D6336" s="8">
        <f ca="1">IFERROR(__xludf.DUMMYFUNCTION("""COMPUTED_VALUE"""),5)</f>
        <v>5</v>
      </c>
      <c r="E6336" s="2">
        <f ca="1">IFERROR(__xludf.DUMMYFUNCTION("""COMPUTED_VALUE"""),2)</f>
        <v>2</v>
      </c>
    </row>
    <row r="6337" spans="1:5" ht="13">
      <c r="A6337" s="2" t="str">
        <f ca="1">IFERROR(__xludf.DUMMYFUNCTION("""COMPUTED_VALUE"""),"Peery, Charles E.")</f>
        <v>Peery, Charles E.</v>
      </c>
      <c r="B6337" s="3">
        <f ca="1">IFERROR(__xludf.DUMMYFUNCTION("""COMPUTED_VALUE"""),1)</f>
        <v>1</v>
      </c>
      <c r="C6337" s="7">
        <f ca="1">IFERROR(__xludf.DUMMYFUNCTION("""COMPUTED_VALUE"""),1)</f>
        <v>1</v>
      </c>
      <c r="D6337" s="8">
        <f ca="1">IFERROR(__xludf.DUMMYFUNCTION("""COMPUTED_VALUE"""),1)</f>
        <v>1</v>
      </c>
      <c r="E6337" s="2">
        <f ca="1">IFERROR(__xludf.DUMMYFUNCTION("""COMPUTED_VALUE"""),1)</f>
        <v>1</v>
      </c>
    </row>
    <row r="6338" spans="1:5" ht="13">
      <c r="A6338" s="2" t="str">
        <f ca="1">IFERROR(__xludf.DUMMYFUNCTION("""COMPUTED_VALUE"""),"Peeters, Flor")</f>
        <v>Peeters, Flor</v>
      </c>
      <c r="B6338" s="3">
        <f ca="1">IFERROR(__xludf.DUMMYFUNCTION("""COMPUTED_VALUE"""),1)</f>
        <v>1</v>
      </c>
      <c r="C6338" s="7">
        <f ca="1">IFERROR(__xludf.DUMMYFUNCTION("""COMPUTED_VALUE"""),1)</f>
        <v>1</v>
      </c>
      <c r="D6338" s="8">
        <f ca="1">IFERROR(__xludf.DUMMYFUNCTION("""COMPUTED_VALUE"""),5)</f>
        <v>5</v>
      </c>
      <c r="E6338" s="2">
        <f ca="1">IFERROR(__xludf.DUMMYFUNCTION("""COMPUTED_VALUE"""),2)</f>
        <v>2</v>
      </c>
    </row>
    <row r="6339" spans="1:5" ht="13">
      <c r="A6339" s="2" t="str">
        <f ca="1">IFERROR(__xludf.DUMMYFUNCTION("""COMPUTED_VALUE"""),"Pegram, Jules")</f>
        <v>Pegram, Jules</v>
      </c>
      <c r="B6339" s="3">
        <f ca="1">IFERROR(__xludf.DUMMYFUNCTION("""COMPUTED_VALUE"""),1)</f>
        <v>1</v>
      </c>
      <c r="C6339" s="7">
        <f ca="1">IFERROR(__xludf.DUMMYFUNCTION("""COMPUTED_VALUE"""),1)</f>
        <v>1</v>
      </c>
      <c r="D6339" s="8">
        <f ca="1">IFERROR(__xludf.DUMMYFUNCTION("""COMPUTED_VALUE"""),1)</f>
        <v>1</v>
      </c>
      <c r="E6339" s="2">
        <f ca="1">IFERROR(__xludf.DUMMYFUNCTION("""COMPUTED_VALUE"""),1)</f>
        <v>1</v>
      </c>
    </row>
    <row r="6340" spans="1:5" ht="13">
      <c r="A6340" s="2" t="str">
        <f ca="1">IFERROR(__xludf.DUMMYFUNCTION("""COMPUTED_VALUE"""),"Pegram, Wayne")</f>
        <v>Pegram, Wayne</v>
      </c>
      <c r="B6340" s="3">
        <f ca="1">IFERROR(__xludf.DUMMYFUNCTION("""COMPUTED_VALUE"""),1)</f>
        <v>1</v>
      </c>
      <c r="C6340" s="7">
        <f ca="1">IFERROR(__xludf.DUMMYFUNCTION("""COMPUTED_VALUE"""),1)</f>
        <v>1</v>
      </c>
      <c r="D6340" s="8">
        <f ca="1">IFERROR(__xludf.DUMMYFUNCTION("""COMPUTED_VALUE"""),1)</f>
        <v>1</v>
      </c>
      <c r="E6340" s="2">
        <f ca="1">IFERROR(__xludf.DUMMYFUNCTION("""COMPUTED_VALUE"""),1)</f>
        <v>1</v>
      </c>
    </row>
    <row r="6341" spans="1:5" ht="13">
      <c r="A6341" s="2" t="str">
        <f ca="1">IFERROR(__xludf.DUMMYFUNCTION("""COMPUTED_VALUE"""),"Peire Serrate, Tomàs")</f>
        <v>Peire Serrate, Tomàs</v>
      </c>
      <c r="B6341" s="2">
        <f ca="1">IFERROR(__xludf.DUMMYFUNCTION("""COMPUTED_VALUE"""),1)</f>
        <v>1</v>
      </c>
      <c r="C6341" s="2">
        <f ca="1">IFERROR(__xludf.DUMMYFUNCTION("""COMPUTED_VALUE"""),1)</f>
        <v>1</v>
      </c>
      <c r="D6341" s="8">
        <f ca="1">IFERROR(__xludf.DUMMYFUNCTION("""COMPUTED_VALUE"""),1)</f>
        <v>1</v>
      </c>
      <c r="E6341" s="2">
        <f ca="1">IFERROR(__xludf.DUMMYFUNCTION("""COMPUTED_VALUE"""),1)</f>
        <v>1</v>
      </c>
    </row>
    <row r="6342" spans="1:5" ht="13">
      <c r="A6342" s="2" t="str">
        <f ca="1">IFERROR(__xludf.DUMMYFUNCTION("""COMPUTED_VALUE"""),"Pelletier, Charles")</f>
        <v>Pelletier, Charles</v>
      </c>
      <c r="B6342" s="3">
        <f ca="1">IFERROR(__xludf.DUMMYFUNCTION("""COMPUTED_VALUE"""),1)</f>
        <v>1</v>
      </c>
      <c r="C6342" s="7">
        <f ca="1">IFERROR(__xludf.DUMMYFUNCTION("""COMPUTED_VALUE"""),1)</f>
        <v>1</v>
      </c>
      <c r="D6342" s="8">
        <f ca="1">IFERROR(__xludf.DUMMYFUNCTION("""COMPUTED_VALUE"""),1)</f>
        <v>1</v>
      </c>
      <c r="E6342" s="2">
        <f ca="1">IFERROR(__xludf.DUMMYFUNCTION("""COMPUTED_VALUE"""),1)</f>
        <v>1</v>
      </c>
    </row>
    <row r="6343" spans="1:5" ht="13">
      <c r="A6343" s="2" t="str">
        <f ca="1">IFERROR(__xludf.DUMMYFUNCTION("""COMPUTED_VALUE"""),"Pelosi, Don")</f>
        <v>Pelosi, Don</v>
      </c>
      <c r="B6343" s="2">
        <f ca="1">IFERROR(__xludf.DUMMYFUNCTION("""COMPUTED_VALUE"""),1)</f>
        <v>1</v>
      </c>
      <c r="C6343" s="7">
        <f ca="1">IFERROR(__xludf.DUMMYFUNCTION("""COMPUTED_VALUE"""),1)</f>
        <v>1</v>
      </c>
      <c r="D6343" s="8">
        <f ca="1">IFERROR(__xludf.DUMMYFUNCTION("""COMPUTED_VALUE"""),5)</f>
        <v>5</v>
      </c>
      <c r="E6343" s="2">
        <f ca="1">IFERROR(__xludf.DUMMYFUNCTION("""COMPUTED_VALUE"""),2)</f>
        <v>2</v>
      </c>
    </row>
    <row r="6344" spans="1:5" ht="13">
      <c r="A6344" s="2" t="str">
        <f ca="1">IFERROR(__xludf.DUMMYFUNCTION("""COMPUTED_VALUE"""),"Pelz, Walter")</f>
        <v>Pelz, Walter</v>
      </c>
      <c r="B6344" s="3">
        <f ca="1">IFERROR(__xludf.DUMMYFUNCTION("""COMPUTED_VALUE"""),1)</f>
        <v>1</v>
      </c>
      <c r="C6344" s="7">
        <f ca="1">IFERROR(__xludf.DUMMYFUNCTION("""COMPUTED_VALUE"""),1)</f>
        <v>1</v>
      </c>
      <c r="D6344" s="8">
        <f ca="1">IFERROR(__xludf.DUMMYFUNCTION("""COMPUTED_VALUE"""),1)</f>
        <v>1</v>
      </c>
      <c r="E6344" s="2">
        <f ca="1">IFERROR(__xludf.DUMMYFUNCTION("""COMPUTED_VALUE"""),1)</f>
        <v>1</v>
      </c>
    </row>
    <row r="6345" spans="1:5" ht="13">
      <c r="A6345" s="2" t="str">
        <f ca="1">IFERROR(__xludf.DUMMYFUNCTION("""COMPUTED_VALUE"""),"Penderecki, Kryzyztof")</f>
        <v>Penderecki, Kryzyztof</v>
      </c>
      <c r="B6345" s="3">
        <f ca="1">IFERROR(__xludf.DUMMYFUNCTION("""COMPUTED_VALUE"""),1)</f>
        <v>1</v>
      </c>
      <c r="C6345" s="7">
        <f ca="1">IFERROR(__xludf.DUMMYFUNCTION("""COMPUTED_VALUE"""),1)</f>
        <v>1</v>
      </c>
      <c r="D6345" s="8">
        <f ca="1">IFERROR(__xludf.DUMMYFUNCTION("""COMPUTED_VALUE"""),5)</f>
        <v>5</v>
      </c>
      <c r="E6345" s="2">
        <f ca="1">IFERROR(__xludf.DUMMYFUNCTION("""COMPUTED_VALUE"""),2)</f>
        <v>2</v>
      </c>
    </row>
    <row r="6346" spans="1:5" ht="13">
      <c r="A6346" s="2" t="str">
        <f ca="1">IFERROR(__xludf.DUMMYFUNCTION("""COMPUTED_VALUE"""),"Penderecki, Krzysztof")</f>
        <v>Penderecki, Krzysztof</v>
      </c>
      <c r="B6346" s="3">
        <f ca="1">IFERROR(__xludf.DUMMYFUNCTION("""COMPUTED_VALUE"""),1)</f>
        <v>1</v>
      </c>
      <c r="C6346" s="7">
        <f ca="1">IFERROR(__xludf.DUMMYFUNCTION("""COMPUTED_VALUE"""),1)</f>
        <v>1</v>
      </c>
      <c r="D6346" s="8">
        <f ca="1">IFERROR(__xludf.DUMMYFUNCTION("""COMPUTED_VALUE"""),5)</f>
        <v>5</v>
      </c>
      <c r="E6346" s="2">
        <f ca="1">IFERROR(__xludf.DUMMYFUNCTION("""COMPUTED_VALUE"""),2)</f>
        <v>2</v>
      </c>
    </row>
    <row r="6347" spans="1:5" ht="13">
      <c r="A6347" s="2" t="str">
        <f ca="1">IFERROR(__xludf.DUMMYFUNCTION("""COMPUTED_VALUE"""),"Penders, Jef")</f>
        <v>Penders, Jef</v>
      </c>
      <c r="B6347" s="3">
        <f ca="1">IFERROR(__xludf.DUMMYFUNCTION("""COMPUTED_VALUE"""),1)</f>
        <v>1</v>
      </c>
      <c r="C6347" s="7">
        <f ca="1">IFERROR(__xludf.DUMMYFUNCTION("""COMPUTED_VALUE"""),1)</f>
        <v>1</v>
      </c>
      <c r="D6347" s="8">
        <f ca="1">IFERROR(__xludf.DUMMYFUNCTION("""COMPUTED_VALUE"""),1)</f>
        <v>1</v>
      </c>
      <c r="E6347" s="2">
        <f ca="1">IFERROR(__xludf.DUMMYFUNCTION("""COMPUTED_VALUE"""),1)</f>
        <v>1</v>
      </c>
    </row>
    <row r="6348" spans="1:5" ht="13">
      <c r="A6348" s="2" t="str">
        <f ca="1">IFERROR(__xludf.DUMMYFUNCTION("""COMPUTED_VALUE"""),"Pendowski, Michael")</f>
        <v>Pendowski, Michael</v>
      </c>
      <c r="B6348" s="3">
        <f ca="1">IFERROR(__xludf.DUMMYFUNCTION("""COMPUTED_VALUE"""),1)</f>
        <v>1</v>
      </c>
      <c r="C6348" s="7">
        <f ca="1">IFERROR(__xludf.DUMMYFUNCTION("""COMPUTED_VALUE"""),1)</f>
        <v>1</v>
      </c>
      <c r="D6348" s="8">
        <f ca="1">IFERROR(__xludf.DUMMYFUNCTION("""COMPUTED_VALUE"""),1)</f>
        <v>1</v>
      </c>
      <c r="E6348" s="2">
        <f ca="1">IFERROR(__xludf.DUMMYFUNCTION("""COMPUTED_VALUE"""),1)</f>
        <v>1</v>
      </c>
    </row>
    <row r="6349" spans="1:5" ht="13">
      <c r="A6349" s="8" t="str">
        <f ca="1">IFERROR(__xludf.DUMMYFUNCTION("""COMPUTED_VALUE"""),"Penella, Manuel")</f>
        <v>Penella, Manuel</v>
      </c>
      <c r="B6349" s="3">
        <f ca="1">IFERROR(__xludf.DUMMYFUNCTION("""COMPUTED_VALUE"""),1)</f>
        <v>1</v>
      </c>
      <c r="C6349" s="7">
        <f ca="1">IFERROR(__xludf.DUMMYFUNCTION("""COMPUTED_VALUE"""),1)</f>
        <v>1</v>
      </c>
      <c r="D6349" s="8">
        <f ca="1">IFERROR(__xludf.DUMMYFUNCTION("""COMPUTED_VALUE"""),5)</f>
        <v>5</v>
      </c>
      <c r="E6349" s="2">
        <f ca="1">IFERROR(__xludf.DUMMYFUNCTION("""COMPUTED_VALUE"""),2)</f>
        <v>2</v>
      </c>
    </row>
    <row r="6350" spans="1:5" ht="13">
      <c r="A6350" s="2" t="str">
        <f ca="1">IFERROR(__xludf.DUMMYFUNCTION("""COMPUTED_VALUE"""),"Peninger, David")</f>
        <v>Peninger, David</v>
      </c>
      <c r="B6350" s="3">
        <f ca="1">IFERROR(__xludf.DUMMYFUNCTION("""COMPUTED_VALUE"""),1)</f>
        <v>1</v>
      </c>
      <c r="C6350" s="7">
        <f ca="1">IFERROR(__xludf.DUMMYFUNCTION("""COMPUTED_VALUE"""),1)</f>
        <v>1</v>
      </c>
      <c r="D6350" s="8">
        <f ca="1">IFERROR(__xludf.DUMMYFUNCTION("""COMPUTED_VALUE"""),1)</f>
        <v>1</v>
      </c>
      <c r="E6350" s="2">
        <f ca="1">IFERROR(__xludf.DUMMYFUNCTION("""COMPUTED_VALUE"""),1)</f>
        <v>1</v>
      </c>
    </row>
    <row r="6351" spans="1:5" ht="13">
      <c r="A6351" s="2" t="str">
        <f ca="1">IFERROR(__xludf.DUMMYFUNCTION("""COMPUTED_VALUE"""),"Penman, Alastair")</f>
        <v>Penman, Alastair</v>
      </c>
      <c r="B6351" s="2">
        <f ca="1">IFERROR(__xludf.DUMMYFUNCTION("""COMPUTED_VALUE"""),1)</f>
        <v>1</v>
      </c>
      <c r="C6351" s="7">
        <f ca="1">IFERROR(__xludf.DUMMYFUNCTION("""COMPUTED_VALUE"""),1)</f>
        <v>1</v>
      </c>
      <c r="D6351" s="8">
        <f ca="1">IFERROR(__xludf.DUMMYFUNCTION("""COMPUTED_VALUE"""),1)</f>
        <v>1</v>
      </c>
      <c r="E6351" s="2">
        <f ca="1">IFERROR(__xludf.DUMMYFUNCTION("""COMPUTED_VALUE"""),1)</f>
        <v>1</v>
      </c>
    </row>
    <row r="6352" spans="1:5" ht="13">
      <c r="A6352" s="2" t="str">
        <f ca="1">IFERROR(__xludf.DUMMYFUNCTION("""COMPUTED_VALUE"""),"Penn, William")</f>
        <v>Penn, William</v>
      </c>
      <c r="B6352" s="3">
        <f ca="1">IFERROR(__xludf.DUMMYFUNCTION("""COMPUTED_VALUE"""),1)</f>
        <v>1</v>
      </c>
      <c r="C6352" s="7">
        <f ca="1">IFERROR(__xludf.DUMMYFUNCTION("""COMPUTED_VALUE"""),1)</f>
        <v>1</v>
      </c>
      <c r="D6352" s="8">
        <f ca="1">IFERROR(__xludf.DUMMYFUNCTION("""COMPUTED_VALUE"""),1)</f>
        <v>1</v>
      </c>
      <c r="E6352" s="2">
        <f ca="1">IFERROR(__xludf.DUMMYFUNCTION("""COMPUTED_VALUE"""),1)</f>
        <v>1</v>
      </c>
    </row>
    <row r="6353" spans="1:5" ht="13">
      <c r="A6353" s="2" t="str">
        <f ca="1">IFERROR(__xludf.DUMMYFUNCTION("""COMPUTED_VALUE"""),"Pennequin, J.G.")</f>
        <v>Pennequin, J.G.</v>
      </c>
      <c r="B6353" s="2">
        <f ca="1">IFERROR(__xludf.DUMMYFUNCTION("""COMPUTED_VALUE"""),1)</f>
        <v>1</v>
      </c>
      <c r="C6353" s="2">
        <f ca="1">IFERROR(__xludf.DUMMYFUNCTION("""COMPUTED_VALUE"""),1)</f>
        <v>1</v>
      </c>
      <c r="D6353" s="8">
        <f ca="1">IFERROR(__xludf.DUMMYFUNCTION("""COMPUTED_VALUE"""),5)</f>
        <v>5</v>
      </c>
      <c r="E6353" s="2">
        <f ca="1">IFERROR(__xludf.DUMMYFUNCTION("""COMPUTED_VALUE"""),2)</f>
        <v>2</v>
      </c>
    </row>
    <row r="6354" spans="1:5" ht="13">
      <c r="A6354" s="2" t="str">
        <f ca="1">IFERROR(__xludf.DUMMYFUNCTION("""COMPUTED_VALUE"""),"Pennington, John")</f>
        <v>Pennington, John</v>
      </c>
      <c r="B6354" s="2">
        <f ca="1">IFERROR(__xludf.DUMMYFUNCTION("""COMPUTED_VALUE"""),1)</f>
        <v>1</v>
      </c>
      <c r="C6354" s="7">
        <f ca="1">IFERROR(__xludf.DUMMYFUNCTION("""COMPUTED_VALUE"""),1)</f>
        <v>1</v>
      </c>
      <c r="D6354" s="8">
        <f ca="1">IFERROR(__xludf.DUMMYFUNCTION("""COMPUTED_VALUE"""),1)</f>
        <v>1</v>
      </c>
      <c r="E6354" s="2">
        <f ca="1">IFERROR(__xludf.DUMMYFUNCTION("""COMPUTED_VALUE"""),1)</f>
        <v>1</v>
      </c>
    </row>
    <row r="6355" spans="1:5" ht="13">
      <c r="A6355" s="2" t="str">
        <f ca="1">IFERROR(__xludf.DUMMYFUNCTION("""COMPUTED_VALUE"""),"Pennycook, Bruce")</f>
        <v>Pennycook, Bruce</v>
      </c>
      <c r="B6355" s="3">
        <f ca="1">IFERROR(__xludf.DUMMYFUNCTION("""COMPUTED_VALUE"""),1)</f>
        <v>1</v>
      </c>
      <c r="C6355" s="7">
        <f ca="1">IFERROR(__xludf.DUMMYFUNCTION("""COMPUTED_VALUE"""),1)</f>
        <v>1</v>
      </c>
      <c r="D6355" s="8">
        <f ca="1">IFERROR(__xludf.DUMMYFUNCTION("""COMPUTED_VALUE"""),1)</f>
        <v>1</v>
      </c>
      <c r="E6355" s="2">
        <f ca="1">IFERROR(__xludf.DUMMYFUNCTION("""COMPUTED_VALUE"""),1)</f>
        <v>1</v>
      </c>
    </row>
    <row r="6356" spans="1:5" ht="13">
      <c r="A6356" s="2" t="str">
        <f ca="1">IFERROR(__xludf.DUMMYFUNCTION("""COMPUTED_VALUE"""),"Pepping, Ernst")</f>
        <v>Pepping, Ernst</v>
      </c>
      <c r="B6356" s="3">
        <f ca="1">IFERROR(__xludf.DUMMYFUNCTION("""COMPUTED_VALUE"""),1)</f>
        <v>1</v>
      </c>
      <c r="C6356" s="7">
        <f ca="1">IFERROR(__xludf.DUMMYFUNCTION("""COMPUTED_VALUE"""),1)</f>
        <v>1</v>
      </c>
      <c r="D6356" s="8">
        <f ca="1">IFERROR(__xludf.DUMMYFUNCTION("""COMPUTED_VALUE"""),5)</f>
        <v>5</v>
      </c>
      <c r="E6356" s="2">
        <f ca="1">IFERROR(__xludf.DUMMYFUNCTION("""COMPUTED_VALUE"""),2)</f>
        <v>2</v>
      </c>
    </row>
    <row r="6357" spans="1:5" ht="13">
      <c r="A6357" s="2" t="str">
        <f ca="1">IFERROR(__xludf.DUMMYFUNCTION("""COMPUTED_VALUE"""),"Pepusch, John Christoper")</f>
        <v>Pepusch, John Christoper</v>
      </c>
      <c r="B6357" s="3">
        <f ca="1">IFERROR(__xludf.DUMMYFUNCTION("""COMPUTED_VALUE"""),1)</f>
        <v>1</v>
      </c>
      <c r="C6357" s="7">
        <f ca="1">IFERROR(__xludf.DUMMYFUNCTION("""COMPUTED_VALUE"""),1)</f>
        <v>1</v>
      </c>
      <c r="D6357" s="8">
        <f ca="1">IFERROR(__xludf.DUMMYFUNCTION("""COMPUTED_VALUE"""),5)</f>
        <v>5</v>
      </c>
      <c r="E6357" s="2">
        <f ca="1">IFERROR(__xludf.DUMMYFUNCTION("""COMPUTED_VALUE"""),2)</f>
        <v>2</v>
      </c>
    </row>
    <row r="6358" spans="1:5" ht="13">
      <c r="A6358" s="2" t="str">
        <f ca="1">IFERROR(__xludf.DUMMYFUNCTION("""COMPUTED_VALUE"""),"Percival, Richard")</f>
        <v>Percival, Richard</v>
      </c>
      <c r="B6358" s="3">
        <f ca="1">IFERROR(__xludf.DUMMYFUNCTION("""COMPUTED_VALUE"""),1)</f>
        <v>1</v>
      </c>
      <c r="C6358" s="7">
        <f ca="1">IFERROR(__xludf.DUMMYFUNCTION("""COMPUTED_VALUE"""),1)</f>
        <v>1</v>
      </c>
      <c r="D6358" s="8">
        <f ca="1">IFERROR(__xludf.DUMMYFUNCTION("""COMPUTED_VALUE"""),1)</f>
        <v>1</v>
      </c>
      <c r="E6358" s="2">
        <f ca="1">IFERROR(__xludf.DUMMYFUNCTION("""COMPUTED_VALUE"""),1)</f>
        <v>1</v>
      </c>
    </row>
    <row r="6359" spans="1:5" ht="13">
      <c r="A6359" s="2" t="str">
        <f ca="1">IFERROR(__xludf.DUMMYFUNCTION("""COMPUTED_VALUE"""),"Pereira, Joseph")</f>
        <v>Pereira, Joseph</v>
      </c>
      <c r="B6359" s="3">
        <f ca="1">IFERROR(__xludf.DUMMYFUNCTION("""COMPUTED_VALUE"""),1)</f>
        <v>1</v>
      </c>
      <c r="C6359" s="7">
        <f ca="1">IFERROR(__xludf.DUMMYFUNCTION("""COMPUTED_VALUE"""),1)</f>
        <v>1</v>
      </c>
      <c r="D6359" s="8">
        <f ca="1">IFERROR(__xludf.DUMMYFUNCTION("""COMPUTED_VALUE"""),1)</f>
        <v>1</v>
      </c>
      <c r="E6359" s="2">
        <f ca="1">IFERROR(__xludf.DUMMYFUNCTION("""COMPUTED_VALUE"""),1)</f>
        <v>1</v>
      </c>
    </row>
    <row r="6360" spans="1:5" ht="13">
      <c r="A6360" s="2" t="str">
        <f ca="1">IFERROR(__xludf.DUMMYFUNCTION("""COMPUTED_VALUE"""),"Perera, Ronald")</f>
        <v>Perera, Ronald</v>
      </c>
      <c r="B6360" s="3">
        <f ca="1">IFERROR(__xludf.DUMMYFUNCTION("""COMPUTED_VALUE"""),1)</f>
        <v>1</v>
      </c>
      <c r="C6360" s="7">
        <f ca="1">IFERROR(__xludf.DUMMYFUNCTION("""COMPUTED_VALUE"""),1)</f>
        <v>1</v>
      </c>
      <c r="D6360" s="8">
        <f ca="1">IFERROR(__xludf.DUMMYFUNCTION("""COMPUTED_VALUE"""),1)</f>
        <v>1</v>
      </c>
      <c r="E6360" s="2">
        <f ca="1">IFERROR(__xludf.DUMMYFUNCTION("""COMPUTED_VALUE"""),1)</f>
        <v>1</v>
      </c>
    </row>
    <row r="6361" spans="1:5" ht="13">
      <c r="A6361" s="8" t="str">
        <f ca="1">IFERROR(__xludf.DUMMYFUNCTION("""COMPUTED_VALUE"""),"Peress, Maurice")</f>
        <v>Peress, Maurice</v>
      </c>
      <c r="B6361" s="2">
        <f ca="1">IFERROR(__xludf.DUMMYFUNCTION("""COMPUTED_VALUE"""),1)</f>
        <v>1</v>
      </c>
      <c r="C6361" s="7">
        <f ca="1">IFERROR(__xludf.DUMMYFUNCTION("""COMPUTED_VALUE"""),1)</f>
        <v>1</v>
      </c>
      <c r="D6361" s="8">
        <f ca="1">IFERROR(__xludf.DUMMYFUNCTION("""COMPUTED_VALUE"""),5)</f>
        <v>5</v>
      </c>
      <c r="E6361" s="2">
        <f ca="1">IFERROR(__xludf.DUMMYFUNCTION("""COMPUTED_VALUE"""),2)</f>
        <v>2</v>
      </c>
    </row>
    <row r="6362" spans="1:5" ht="13">
      <c r="A6362" s="2" t="str">
        <f ca="1">IFERROR(__xludf.DUMMYFUNCTION("""COMPUTED_VALUE"""),"Perez, Brian")</f>
        <v>Perez, Brian</v>
      </c>
      <c r="B6362" s="3">
        <f ca="1">IFERROR(__xludf.DUMMYFUNCTION("""COMPUTED_VALUE"""),1)</f>
        <v>1</v>
      </c>
      <c r="C6362" s="7">
        <f ca="1">IFERROR(__xludf.DUMMYFUNCTION("""COMPUTED_VALUE"""),1)</f>
        <v>1</v>
      </c>
      <c r="D6362" s="8">
        <f ca="1">IFERROR(__xludf.DUMMYFUNCTION("""COMPUTED_VALUE"""),1)</f>
        <v>1</v>
      </c>
      <c r="E6362" s="2">
        <f ca="1">IFERROR(__xludf.DUMMYFUNCTION("""COMPUTED_VALUE"""),1)</f>
        <v>1</v>
      </c>
    </row>
    <row r="6363" spans="1:5" ht="13">
      <c r="A6363" s="2" t="str">
        <f ca="1">IFERROR(__xludf.DUMMYFUNCTION("""COMPUTED_VALUE"""),"Perez, Juan A.")</f>
        <v>Perez, Juan A.</v>
      </c>
      <c r="B6363" s="3">
        <f ca="1">IFERROR(__xludf.DUMMYFUNCTION("""COMPUTED_VALUE"""),1)</f>
        <v>1</v>
      </c>
      <c r="C6363" s="7">
        <f ca="1">IFERROR(__xludf.DUMMYFUNCTION("""COMPUTED_VALUE"""),1)</f>
        <v>1</v>
      </c>
      <c r="D6363" s="8">
        <f ca="1">IFERROR(__xludf.DUMMYFUNCTION("""COMPUTED_VALUE"""),1)</f>
        <v>1</v>
      </c>
      <c r="E6363" s="2">
        <f ca="1">IFERROR(__xludf.DUMMYFUNCTION("""COMPUTED_VALUE"""),1)</f>
        <v>1</v>
      </c>
    </row>
    <row r="6364" spans="1:5" ht="13">
      <c r="A6364" s="2" t="str">
        <f ca="1">IFERROR(__xludf.DUMMYFUNCTION("""COMPUTED_VALUE"""),"Perfect, Albert")</f>
        <v>Perfect, Albert</v>
      </c>
      <c r="B6364" s="3">
        <f ca="1">IFERROR(__xludf.DUMMYFUNCTION("""COMPUTED_VALUE"""),1)</f>
        <v>1</v>
      </c>
      <c r="C6364" s="7">
        <f ca="1">IFERROR(__xludf.DUMMYFUNCTION("""COMPUTED_VALUE"""),1)</f>
        <v>1</v>
      </c>
      <c r="D6364" s="8">
        <f ca="1">IFERROR(__xludf.DUMMYFUNCTION("""COMPUTED_VALUE"""),5)</f>
        <v>5</v>
      </c>
      <c r="E6364" s="2">
        <f ca="1">IFERROR(__xludf.DUMMYFUNCTION("""COMPUTED_VALUE"""),2)</f>
        <v>2</v>
      </c>
    </row>
    <row r="6365" spans="1:5" ht="13">
      <c r="A6365" s="2" t="str">
        <f ca="1">IFERROR(__xludf.DUMMYFUNCTION("""COMPUTED_VALUE"""),"Pergolesi, Giovanni Battista")</f>
        <v>Pergolesi, Giovanni Battista</v>
      </c>
      <c r="B6365" s="3">
        <f ca="1">IFERROR(__xludf.DUMMYFUNCTION("""COMPUTED_VALUE"""),1)</f>
        <v>1</v>
      </c>
      <c r="C6365" s="7">
        <f ca="1">IFERROR(__xludf.DUMMYFUNCTION("""COMPUTED_VALUE"""),1)</f>
        <v>1</v>
      </c>
      <c r="D6365" s="8">
        <f ca="1">IFERROR(__xludf.DUMMYFUNCTION("""COMPUTED_VALUE"""),5)</f>
        <v>5</v>
      </c>
      <c r="E6365" s="2">
        <f ca="1">IFERROR(__xludf.DUMMYFUNCTION("""COMPUTED_VALUE"""),2)</f>
        <v>2</v>
      </c>
    </row>
    <row r="6366" spans="1:5" ht="13">
      <c r="A6366" s="2" t="str">
        <f ca="1">IFERROR(__xludf.DUMMYFUNCTION("""COMPUTED_VALUE"""),"Peri, Jacobo")</f>
        <v>Peri, Jacobo</v>
      </c>
      <c r="B6366" s="3">
        <f ca="1">IFERROR(__xludf.DUMMYFUNCTION("""COMPUTED_VALUE"""),1)</f>
        <v>1</v>
      </c>
      <c r="C6366" s="7">
        <f ca="1">IFERROR(__xludf.DUMMYFUNCTION("""COMPUTED_VALUE"""),1)</f>
        <v>1</v>
      </c>
      <c r="D6366" s="8">
        <f ca="1">IFERROR(__xludf.DUMMYFUNCTION("""COMPUTED_VALUE"""),5)</f>
        <v>5</v>
      </c>
      <c r="E6366" s="2">
        <f ca="1">IFERROR(__xludf.DUMMYFUNCTION("""COMPUTED_VALUE"""),2)</f>
        <v>2</v>
      </c>
    </row>
    <row r="6367" spans="1:5" ht="13">
      <c r="A6367" s="2" t="str">
        <f ca="1">IFERROR(__xludf.DUMMYFUNCTION("""COMPUTED_VALUE"""),"Perkins, Andrew")</f>
        <v>Perkins, Andrew</v>
      </c>
      <c r="B6367" s="3">
        <f ca="1">IFERROR(__xludf.DUMMYFUNCTION("""COMPUTED_VALUE"""),1)</f>
        <v>1</v>
      </c>
      <c r="C6367" s="7">
        <f ca="1">IFERROR(__xludf.DUMMYFUNCTION("""COMPUTED_VALUE"""),1)</f>
        <v>1</v>
      </c>
      <c r="D6367" s="8">
        <f ca="1">IFERROR(__xludf.DUMMYFUNCTION("""COMPUTED_VALUE"""),1)</f>
        <v>1</v>
      </c>
      <c r="E6367" s="2">
        <f ca="1">IFERROR(__xludf.DUMMYFUNCTION("""COMPUTED_VALUE"""),1)</f>
        <v>1</v>
      </c>
    </row>
    <row r="6368" spans="1:5" ht="13">
      <c r="A6368" s="2" t="str">
        <f ca="1">IFERROR(__xludf.DUMMYFUNCTION("""COMPUTED_VALUE"""),"Perkins, Andrew David")</f>
        <v>Perkins, Andrew David</v>
      </c>
      <c r="B6368" s="3">
        <f ca="1">IFERROR(__xludf.DUMMYFUNCTION("""COMPUTED_VALUE"""),1)</f>
        <v>1</v>
      </c>
      <c r="C6368" s="7">
        <f ca="1">IFERROR(__xludf.DUMMYFUNCTION("""COMPUTED_VALUE"""),1)</f>
        <v>1</v>
      </c>
      <c r="D6368" s="8">
        <f ca="1">IFERROR(__xludf.DUMMYFUNCTION("""COMPUTED_VALUE"""),1)</f>
        <v>1</v>
      </c>
      <c r="E6368" s="2">
        <f ca="1">IFERROR(__xludf.DUMMYFUNCTION("""COMPUTED_VALUE"""),1)</f>
        <v>1</v>
      </c>
    </row>
    <row r="6369" spans="1:5" ht="13">
      <c r="A6369" s="2" t="str">
        <f ca="1">IFERROR(__xludf.DUMMYFUNCTION("""COMPUTED_VALUE"""),"Perkins, Brian")</f>
        <v>Perkins, Brian</v>
      </c>
      <c r="B6369" s="2">
        <f ca="1">IFERROR(__xludf.DUMMYFUNCTION("""COMPUTED_VALUE"""),1)</f>
        <v>1</v>
      </c>
      <c r="C6369" s="7">
        <f ca="1">IFERROR(__xludf.DUMMYFUNCTION("""COMPUTED_VALUE"""),1)</f>
        <v>1</v>
      </c>
      <c r="D6369" s="8">
        <f ca="1">IFERROR(__xludf.DUMMYFUNCTION("""COMPUTED_VALUE"""),1)</f>
        <v>1</v>
      </c>
      <c r="E6369" s="2">
        <f ca="1">IFERROR(__xludf.DUMMYFUNCTION("""COMPUTED_VALUE"""),1)</f>
        <v>1</v>
      </c>
    </row>
    <row r="6370" spans="1:5" ht="13">
      <c r="A6370" s="2" t="str">
        <f ca="1">IFERROR(__xludf.DUMMYFUNCTION("""COMPUTED_VALUE"""),"Perkins, David")</f>
        <v>Perkins, David</v>
      </c>
      <c r="B6370" s="3">
        <f ca="1">IFERROR(__xludf.DUMMYFUNCTION("""COMPUTED_VALUE"""),1)</f>
        <v>1</v>
      </c>
      <c r="C6370" s="7">
        <f ca="1">IFERROR(__xludf.DUMMYFUNCTION("""COMPUTED_VALUE"""),1)</f>
        <v>1</v>
      </c>
      <c r="D6370" s="8">
        <f ca="1">IFERROR(__xludf.DUMMYFUNCTION("""COMPUTED_VALUE"""),1)</f>
        <v>1</v>
      </c>
      <c r="E6370" s="2">
        <f ca="1">IFERROR(__xludf.DUMMYFUNCTION("""COMPUTED_VALUE"""),1)</f>
        <v>1</v>
      </c>
    </row>
    <row r="6371" spans="1:5" ht="13">
      <c r="A6371" s="2" t="str">
        <f ca="1">IFERROR(__xludf.DUMMYFUNCTION("""COMPUTED_VALUE"""),"Perkins, Frank")</f>
        <v>Perkins, Frank</v>
      </c>
      <c r="B6371" s="3">
        <f ca="1">IFERROR(__xludf.DUMMYFUNCTION("""COMPUTED_VALUE"""),1)</f>
        <v>1</v>
      </c>
      <c r="C6371" s="7">
        <f ca="1">IFERROR(__xludf.DUMMYFUNCTION("""COMPUTED_VALUE"""),1)</f>
        <v>1</v>
      </c>
      <c r="D6371" s="8">
        <f ca="1">IFERROR(__xludf.DUMMYFUNCTION("""COMPUTED_VALUE"""),5)</f>
        <v>5</v>
      </c>
      <c r="E6371" s="2">
        <f ca="1">IFERROR(__xludf.DUMMYFUNCTION("""COMPUTED_VALUE"""),2)</f>
        <v>2</v>
      </c>
    </row>
    <row r="6372" spans="1:5" ht="13">
      <c r="A6372" s="2" t="str">
        <f ca="1">IFERROR(__xludf.DUMMYFUNCTION("""COMPUTED_VALUE"""),"Perkins, Walter")</f>
        <v>Perkins, Walter</v>
      </c>
      <c r="B6372" s="2">
        <f ca="1">IFERROR(__xludf.DUMMYFUNCTION("""COMPUTED_VALUE"""),1)</f>
        <v>1</v>
      </c>
      <c r="C6372" s="7">
        <f ca="1">IFERROR(__xludf.DUMMYFUNCTION("""COMPUTED_VALUE"""),1)</f>
        <v>1</v>
      </c>
      <c r="D6372" s="8">
        <f ca="1">IFERROR(__xludf.DUMMYFUNCTION("""COMPUTED_VALUE"""),1)</f>
        <v>1</v>
      </c>
      <c r="E6372" s="2">
        <f ca="1">IFERROR(__xludf.DUMMYFUNCTION("""COMPUTED_VALUE"""),1)</f>
        <v>1</v>
      </c>
    </row>
    <row r="6373" spans="1:5" ht="13">
      <c r="A6373" s="2" t="str">
        <f ca="1">IFERROR(__xludf.DUMMYFUNCTION("""COMPUTED_VALUE"""),"Perla, Jack")</f>
        <v>Perla, Jack</v>
      </c>
      <c r="B6373" s="3">
        <f ca="1">IFERROR(__xludf.DUMMYFUNCTION("""COMPUTED_VALUE"""),1)</f>
        <v>1</v>
      </c>
      <c r="C6373" s="7">
        <f ca="1">IFERROR(__xludf.DUMMYFUNCTION("""COMPUTED_VALUE"""),1)</f>
        <v>1</v>
      </c>
      <c r="D6373" s="8">
        <f ca="1">IFERROR(__xludf.DUMMYFUNCTION("""COMPUTED_VALUE"""),1)</f>
        <v>1</v>
      </c>
      <c r="E6373" s="2">
        <f ca="1">IFERROR(__xludf.DUMMYFUNCTION("""COMPUTED_VALUE"""),1)</f>
        <v>1</v>
      </c>
    </row>
    <row r="6374" spans="1:5" ht="13">
      <c r="A6374" s="2" t="str">
        <f ca="1">IFERROR(__xludf.DUMMYFUNCTION("""COMPUTED_VALUE"""),"Perna, Dana")</f>
        <v>Perna, Dana</v>
      </c>
      <c r="B6374" s="3">
        <f ca="1">IFERROR(__xludf.DUMMYFUNCTION("""COMPUTED_VALUE"""),1)</f>
        <v>1</v>
      </c>
      <c r="C6374" s="7">
        <f ca="1">IFERROR(__xludf.DUMMYFUNCTION("""COMPUTED_VALUE"""),1)</f>
        <v>1</v>
      </c>
      <c r="D6374" s="8">
        <f ca="1">IFERROR(__xludf.DUMMYFUNCTION("""COMPUTED_VALUE"""),1)</f>
        <v>1</v>
      </c>
      <c r="E6374" s="2">
        <f ca="1">IFERROR(__xludf.DUMMYFUNCTION("""COMPUTED_VALUE"""),1)</f>
        <v>1</v>
      </c>
    </row>
    <row r="6375" spans="1:5" ht="13">
      <c r="A6375" s="2" t="str">
        <f ca="1">IFERROR(__xludf.DUMMYFUNCTION("""COMPUTED_VALUE"""),"Perna, Dana Paul")</f>
        <v>Perna, Dana Paul</v>
      </c>
      <c r="B6375" s="3">
        <f ca="1">IFERROR(__xludf.DUMMYFUNCTION("""COMPUTED_VALUE"""),1)</f>
        <v>1</v>
      </c>
      <c r="C6375" s="7">
        <f ca="1">IFERROR(__xludf.DUMMYFUNCTION("""COMPUTED_VALUE"""),1)</f>
        <v>1</v>
      </c>
      <c r="D6375" s="8">
        <f ca="1">IFERROR(__xludf.DUMMYFUNCTION("""COMPUTED_VALUE"""),1)</f>
        <v>1</v>
      </c>
      <c r="E6375" s="2">
        <f ca="1">IFERROR(__xludf.DUMMYFUNCTION("""COMPUTED_VALUE"""),1)</f>
        <v>1</v>
      </c>
    </row>
    <row r="6376" spans="1:5" ht="13">
      <c r="A6376" s="2" t="str">
        <f ca="1">IFERROR(__xludf.DUMMYFUNCTION("""COMPUTED_VALUE"""),"Perrine, Aaron")</f>
        <v>Perrine, Aaron</v>
      </c>
      <c r="B6376" s="3">
        <f ca="1">IFERROR(__xludf.DUMMYFUNCTION("""COMPUTED_VALUE"""),1)</f>
        <v>1</v>
      </c>
      <c r="C6376" s="7">
        <f ca="1">IFERROR(__xludf.DUMMYFUNCTION("""COMPUTED_VALUE"""),1)</f>
        <v>1</v>
      </c>
      <c r="D6376" s="8">
        <f ca="1">IFERROR(__xludf.DUMMYFUNCTION("""COMPUTED_VALUE"""),1)</f>
        <v>1</v>
      </c>
      <c r="E6376" s="2">
        <f ca="1">IFERROR(__xludf.DUMMYFUNCTION("""COMPUTED_VALUE"""),1)</f>
        <v>1</v>
      </c>
    </row>
    <row r="6377" spans="1:5" ht="13">
      <c r="A6377" s="2" t="str">
        <f ca="1">IFERROR(__xludf.DUMMYFUNCTION("""COMPUTED_VALUE"""),"Perry, Dave")</f>
        <v>Perry, Dave</v>
      </c>
      <c r="B6377" s="2">
        <f ca="1">IFERROR(__xludf.DUMMYFUNCTION("""COMPUTED_VALUE"""),1)</f>
        <v>1</v>
      </c>
      <c r="C6377" s="2">
        <f ca="1">IFERROR(__xludf.DUMMYFUNCTION("""COMPUTED_VALUE"""),1)</f>
        <v>1</v>
      </c>
      <c r="D6377" s="8">
        <f ca="1">IFERROR(__xludf.DUMMYFUNCTION("""COMPUTED_VALUE"""),1)</f>
        <v>1</v>
      </c>
      <c r="E6377" s="2">
        <f ca="1">IFERROR(__xludf.DUMMYFUNCTION("""COMPUTED_VALUE"""),1)</f>
        <v>1</v>
      </c>
    </row>
    <row r="6378" spans="1:5" ht="13">
      <c r="A6378" s="2" t="str">
        <f ca="1">IFERROR(__xludf.DUMMYFUNCTION("""COMPUTED_VALUE"""),"Perry, Harold")</f>
        <v>Perry, Harold</v>
      </c>
      <c r="B6378" s="3">
        <f ca="1">IFERROR(__xludf.DUMMYFUNCTION("""COMPUTED_VALUE"""),1)</f>
        <v>1</v>
      </c>
      <c r="C6378" s="7">
        <f ca="1">IFERROR(__xludf.DUMMYFUNCTION("""COMPUTED_VALUE"""),1)</f>
        <v>1</v>
      </c>
      <c r="D6378" s="8">
        <f ca="1">IFERROR(__xludf.DUMMYFUNCTION("""COMPUTED_VALUE"""),5)</f>
        <v>5</v>
      </c>
      <c r="E6378" s="2">
        <f ca="1">IFERROR(__xludf.DUMMYFUNCTION("""COMPUTED_VALUE"""),2)</f>
        <v>2</v>
      </c>
    </row>
    <row r="6379" spans="1:5" ht="13">
      <c r="A6379" s="8" t="str">
        <f ca="1">IFERROR(__xludf.DUMMYFUNCTION("""COMPUTED_VALUE"""),"Perry, Lou")</f>
        <v>Perry, Lou</v>
      </c>
      <c r="B6379" s="3">
        <f ca="1">IFERROR(__xludf.DUMMYFUNCTION("""COMPUTED_VALUE"""),1)</f>
        <v>1</v>
      </c>
      <c r="C6379" s="7">
        <f ca="1">IFERROR(__xludf.DUMMYFUNCTION("""COMPUTED_VALUE"""),1)</f>
        <v>1</v>
      </c>
      <c r="D6379" s="8">
        <f ca="1">IFERROR(__xludf.DUMMYFUNCTION("""COMPUTED_VALUE"""),5)</f>
        <v>5</v>
      </c>
      <c r="E6379" s="2">
        <f ca="1">IFERROR(__xludf.DUMMYFUNCTION("""COMPUTED_VALUE"""),2)</f>
        <v>2</v>
      </c>
    </row>
    <row r="6380" spans="1:5" ht="13">
      <c r="A6380" s="2" t="str">
        <f ca="1">IFERROR(__xludf.DUMMYFUNCTION("""COMPUTED_VALUE"""),"Perry, Steve")</f>
        <v>Perry, Steve</v>
      </c>
      <c r="B6380" s="3">
        <f ca="1">IFERROR(__xludf.DUMMYFUNCTION("""COMPUTED_VALUE"""),1)</f>
        <v>1</v>
      </c>
      <c r="C6380" s="7">
        <f ca="1">IFERROR(__xludf.DUMMYFUNCTION("""COMPUTED_VALUE"""),1)</f>
        <v>1</v>
      </c>
      <c r="D6380" s="8">
        <f ca="1">IFERROR(__xludf.DUMMYFUNCTION("""COMPUTED_VALUE"""),1)</f>
        <v>1</v>
      </c>
      <c r="E6380" s="2">
        <f ca="1">IFERROR(__xludf.DUMMYFUNCTION("""COMPUTED_VALUE"""),1)</f>
        <v>1</v>
      </c>
    </row>
    <row r="6381" spans="1:5" ht="13">
      <c r="A6381" s="2" t="str">
        <f ca="1">IFERROR(__xludf.DUMMYFUNCTION("""COMPUTED_VALUE"""),"Persichetti, Vincent")</f>
        <v>Persichetti, Vincent</v>
      </c>
      <c r="B6381" s="3">
        <f ca="1">IFERROR(__xludf.DUMMYFUNCTION("""COMPUTED_VALUE"""),1)</f>
        <v>1</v>
      </c>
      <c r="C6381" s="7">
        <f ca="1">IFERROR(__xludf.DUMMYFUNCTION("""COMPUTED_VALUE"""),1)</f>
        <v>1</v>
      </c>
      <c r="D6381" s="8">
        <f ca="1">IFERROR(__xludf.DUMMYFUNCTION("""COMPUTED_VALUE"""),5)</f>
        <v>5</v>
      </c>
      <c r="E6381" s="2">
        <f ca="1">IFERROR(__xludf.DUMMYFUNCTION("""COMPUTED_VALUE"""),2)</f>
        <v>2</v>
      </c>
    </row>
    <row r="6382" spans="1:5" ht="13">
      <c r="A6382" s="8" t="str">
        <f ca="1">IFERROR(__xludf.DUMMYFUNCTION("""COMPUTED_VALUE"""),"Perti, Giacomo Antonio")</f>
        <v>Perti, Giacomo Antonio</v>
      </c>
      <c r="B6382" s="3">
        <f ca="1">IFERROR(__xludf.DUMMYFUNCTION("""COMPUTED_VALUE"""),1)</f>
        <v>1</v>
      </c>
      <c r="C6382" s="7">
        <f ca="1">IFERROR(__xludf.DUMMYFUNCTION("""COMPUTED_VALUE"""),1)</f>
        <v>1</v>
      </c>
      <c r="D6382" s="8">
        <f ca="1">IFERROR(__xludf.DUMMYFUNCTION("""COMPUTED_VALUE"""),5)</f>
        <v>5</v>
      </c>
      <c r="E6382" s="2">
        <f ca="1">IFERROR(__xludf.DUMMYFUNCTION("""COMPUTED_VALUE"""),2)</f>
        <v>2</v>
      </c>
    </row>
    <row r="6383" spans="1:5" ht="13">
      <c r="A6383" s="2" t="str">
        <f ca="1">IFERROR(__xludf.DUMMYFUNCTION("""COMPUTED_VALUE"""),"Perti, Giocamo Antonio")</f>
        <v>Perti, Giocamo Antonio</v>
      </c>
      <c r="B6383" s="3">
        <f ca="1">IFERROR(__xludf.DUMMYFUNCTION("""COMPUTED_VALUE"""),1)</f>
        <v>1</v>
      </c>
      <c r="C6383" s="7">
        <f ca="1">IFERROR(__xludf.DUMMYFUNCTION("""COMPUTED_VALUE"""),1)</f>
        <v>1</v>
      </c>
      <c r="D6383" s="8">
        <f ca="1">IFERROR(__xludf.DUMMYFUNCTION("""COMPUTED_VALUE"""),5)</f>
        <v>5</v>
      </c>
      <c r="E6383" s="2">
        <f ca="1">IFERROR(__xludf.DUMMYFUNCTION("""COMPUTED_VALUE"""),2)</f>
        <v>2</v>
      </c>
    </row>
    <row r="6384" spans="1:5" ht="13">
      <c r="A6384" s="2" t="str">
        <f ca="1">IFERROR(__xludf.DUMMYFUNCTION("""COMPUTED_VALUE"""),"Perttu, Daniel")</f>
        <v>Perttu, Daniel</v>
      </c>
      <c r="B6384" s="3">
        <f ca="1">IFERROR(__xludf.DUMMYFUNCTION("""COMPUTED_VALUE"""),1)</f>
        <v>1</v>
      </c>
      <c r="C6384" s="7">
        <f ca="1">IFERROR(__xludf.DUMMYFUNCTION("""COMPUTED_VALUE"""),1)</f>
        <v>1</v>
      </c>
      <c r="D6384" s="8">
        <f ca="1">IFERROR(__xludf.DUMMYFUNCTION("""COMPUTED_VALUE"""),1)</f>
        <v>1</v>
      </c>
      <c r="E6384" s="2">
        <f ca="1">IFERROR(__xludf.DUMMYFUNCTION("""COMPUTED_VALUE"""),1)</f>
        <v>1</v>
      </c>
    </row>
    <row r="6385" spans="1:5" ht="13">
      <c r="A6385" s="2" t="str">
        <f ca="1">IFERROR(__xludf.DUMMYFUNCTION("""COMPUTED_VALUE"""),"Pesca, Daniel")</f>
        <v>Pesca, Daniel</v>
      </c>
      <c r="B6385" s="2">
        <f ca="1">IFERROR(__xludf.DUMMYFUNCTION("""COMPUTED_VALUE"""),1)</f>
        <v>1</v>
      </c>
      <c r="C6385" s="2">
        <f ca="1">IFERROR(__xludf.DUMMYFUNCTION("""COMPUTED_VALUE"""),1)</f>
        <v>1</v>
      </c>
      <c r="D6385" s="8">
        <f ca="1">IFERROR(__xludf.DUMMYFUNCTION("""COMPUTED_VALUE"""),1)</f>
        <v>1</v>
      </c>
      <c r="E6385" s="2">
        <f ca="1">IFERROR(__xludf.DUMMYFUNCTION("""COMPUTED_VALUE"""),1)</f>
        <v>1</v>
      </c>
    </row>
    <row r="6386" spans="1:5" ht="13">
      <c r="A6386" s="2" t="str">
        <f ca="1">IFERROR(__xludf.DUMMYFUNCTION("""COMPUTED_VALUE"""),"Peskin, Vladimir")</f>
        <v>Peskin, Vladimir</v>
      </c>
      <c r="B6386" s="3">
        <f ca="1">IFERROR(__xludf.DUMMYFUNCTION("""COMPUTED_VALUE"""),1)</f>
        <v>1</v>
      </c>
      <c r="C6386" s="7">
        <f ca="1">IFERROR(__xludf.DUMMYFUNCTION("""COMPUTED_VALUE"""),1)</f>
        <v>1</v>
      </c>
      <c r="D6386" s="8">
        <f ca="1">IFERROR(__xludf.DUMMYFUNCTION("""COMPUTED_VALUE"""),5)</f>
        <v>5</v>
      </c>
      <c r="E6386" s="2">
        <f ca="1">IFERROR(__xludf.DUMMYFUNCTION("""COMPUTED_VALUE"""),2)</f>
        <v>2</v>
      </c>
    </row>
    <row r="6387" spans="1:5" ht="13">
      <c r="A6387" s="8" t="str">
        <f ca="1">IFERROR(__xludf.DUMMYFUNCTION("""COMPUTED_VALUE"""),"Pessard, Émile")</f>
        <v>Pessard, Émile</v>
      </c>
      <c r="B6387" s="3">
        <f ca="1">IFERROR(__xludf.DUMMYFUNCTION("""COMPUTED_VALUE"""),1)</f>
        <v>1</v>
      </c>
      <c r="C6387" s="7">
        <f ca="1">IFERROR(__xludf.DUMMYFUNCTION("""COMPUTED_VALUE"""),1)</f>
        <v>1</v>
      </c>
      <c r="D6387" s="8">
        <f ca="1">IFERROR(__xludf.DUMMYFUNCTION("""COMPUTED_VALUE"""),5)</f>
        <v>5</v>
      </c>
      <c r="E6387" s="2">
        <f ca="1">IFERROR(__xludf.DUMMYFUNCTION("""COMPUTED_VALUE"""),2)</f>
        <v>2</v>
      </c>
    </row>
    <row r="6388" spans="1:5" ht="13">
      <c r="A6388" s="2" t="str">
        <f ca="1">IFERROR(__xludf.DUMMYFUNCTION("""COMPUTED_VALUE"""),"Pestalozzi, Johann Heinrich")</f>
        <v>Pestalozzi, Johann Heinrich</v>
      </c>
      <c r="B6388" s="2">
        <f ca="1">IFERROR(__xludf.DUMMYFUNCTION("""COMPUTED_VALUE"""),1)</f>
        <v>1</v>
      </c>
      <c r="C6388" s="7">
        <f ca="1">IFERROR(__xludf.DUMMYFUNCTION("""COMPUTED_VALUE"""),1)</f>
        <v>1</v>
      </c>
      <c r="D6388" s="8">
        <f ca="1">IFERROR(__xludf.DUMMYFUNCTION("""COMPUTED_VALUE"""),5)</f>
        <v>5</v>
      </c>
      <c r="E6388" s="2">
        <f ca="1">IFERROR(__xludf.DUMMYFUNCTION("""COMPUTED_VALUE"""),2)</f>
        <v>2</v>
      </c>
    </row>
    <row r="6389" spans="1:5" ht="13">
      <c r="A6389" s="2" t="str">
        <f ca="1">IFERROR(__xludf.DUMMYFUNCTION("""COMPUTED_VALUE"""),"Peter, Johann Friedrich")</f>
        <v>Peter, Johann Friedrich</v>
      </c>
      <c r="B6389" s="2">
        <f ca="1">IFERROR(__xludf.DUMMYFUNCTION("""COMPUTED_VALUE"""),1)</f>
        <v>1</v>
      </c>
      <c r="C6389" s="7">
        <f ca="1">IFERROR(__xludf.DUMMYFUNCTION("""COMPUTED_VALUE"""),1)</f>
        <v>1</v>
      </c>
      <c r="D6389" s="8">
        <f ca="1">IFERROR(__xludf.DUMMYFUNCTION("""COMPUTED_VALUE"""),5)</f>
        <v>5</v>
      </c>
      <c r="E6389" s="2">
        <f ca="1">IFERROR(__xludf.DUMMYFUNCTION("""COMPUTED_VALUE"""),2)</f>
        <v>2</v>
      </c>
    </row>
    <row r="6390" spans="1:5" ht="13">
      <c r="A6390" s="2" t="str">
        <f ca="1">IFERROR(__xludf.DUMMYFUNCTION("""COMPUTED_VALUE"""),"Peter, Terry,")</f>
        <v>Peter, Terry,</v>
      </c>
      <c r="B6390" s="3">
        <f ca="1">IFERROR(__xludf.DUMMYFUNCTION("""COMPUTED_VALUE"""),1)</f>
        <v>1</v>
      </c>
      <c r="C6390" s="7">
        <f ca="1">IFERROR(__xludf.DUMMYFUNCTION("""COMPUTED_VALUE"""),1)</f>
        <v>1</v>
      </c>
      <c r="D6390" s="8">
        <f ca="1">IFERROR(__xludf.DUMMYFUNCTION("""COMPUTED_VALUE"""),1)</f>
        <v>1</v>
      </c>
      <c r="E6390" s="2">
        <f ca="1">IFERROR(__xludf.DUMMYFUNCTION("""COMPUTED_VALUE"""),1)</f>
        <v>1</v>
      </c>
    </row>
    <row r="6391" spans="1:5" ht="13">
      <c r="A6391" s="2" t="str">
        <f ca="1">IFERROR(__xludf.DUMMYFUNCTION("""COMPUTED_VALUE"""),"Petering, Mark")</f>
        <v>Petering, Mark</v>
      </c>
      <c r="B6391" s="3">
        <f ca="1">IFERROR(__xludf.DUMMYFUNCTION("""COMPUTED_VALUE"""),1)</f>
        <v>1</v>
      </c>
      <c r="C6391" s="7">
        <f ca="1">IFERROR(__xludf.DUMMYFUNCTION("""COMPUTED_VALUE"""),1)</f>
        <v>1</v>
      </c>
      <c r="D6391" s="8">
        <f ca="1">IFERROR(__xludf.DUMMYFUNCTION("""COMPUTED_VALUE"""),1)</f>
        <v>1</v>
      </c>
      <c r="E6391" s="2">
        <f ca="1">IFERROR(__xludf.DUMMYFUNCTION("""COMPUTED_VALUE"""),1)</f>
        <v>1</v>
      </c>
    </row>
    <row r="6392" spans="1:5" ht="13">
      <c r="A6392" s="2" t="str">
        <f ca="1">IFERROR(__xludf.DUMMYFUNCTION("""COMPUTED_VALUE"""),"Peters, Charles Parker")</f>
        <v>Peters, Charles Parker</v>
      </c>
      <c r="B6392" s="2">
        <f ca="1">IFERROR(__xludf.DUMMYFUNCTION("""COMPUTED_VALUE"""),1)</f>
        <v>1</v>
      </c>
      <c r="C6392" s="7">
        <f ca="1">IFERROR(__xludf.DUMMYFUNCTION("""COMPUTED_VALUE"""),1)</f>
        <v>1</v>
      </c>
      <c r="D6392" s="8">
        <f ca="1">IFERROR(__xludf.DUMMYFUNCTION("""COMPUTED_VALUE"""),5)</f>
        <v>5</v>
      </c>
      <c r="E6392" s="2">
        <f ca="1">IFERROR(__xludf.DUMMYFUNCTION("""COMPUTED_VALUE"""),2)</f>
        <v>2</v>
      </c>
    </row>
    <row r="6393" spans="1:5" ht="13">
      <c r="A6393" s="8" t="str">
        <f ca="1">IFERROR(__xludf.DUMMYFUNCTION("""COMPUTED_VALUE"""),"Peters, Jonathan")</f>
        <v>Peters, Jonathan</v>
      </c>
      <c r="B6393" s="3">
        <f ca="1">IFERROR(__xludf.DUMMYFUNCTION("""COMPUTED_VALUE"""),1)</f>
        <v>1</v>
      </c>
      <c r="C6393" s="7">
        <f ca="1">IFERROR(__xludf.DUMMYFUNCTION("""COMPUTED_VALUE"""),1)</f>
        <v>1</v>
      </c>
      <c r="D6393" s="8">
        <f ca="1">IFERROR(__xludf.DUMMYFUNCTION("""COMPUTED_VALUE"""),1)</f>
        <v>1</v>
      </c>
      <c r="E6393" s="2">
        <f ca="1">IFERROR(__xludf.DUMMYFUNCTION("""COMPUTED_VALUE"""),1)</f>
        <v>1</v>
      </c>
    </row>
    <row r="6394" spans="1:5" ht="13">
      <c r="A6394" s="8" t="str">
        <f ca="1">IFERROR(__xludf.DUMMYFUNCTION("""COMPUTED_VALUE"""),"Peters, Mitchell")</f>
        <v>Peters, Mitchell</v>
      </c>
      <c r="B6394" s="3">
        <f ca="1">IFERROR(__xludf.DUMMYFUNCTION("""COMPUTED_VALUE"""),1)</f>
        <v>1</v>
      </c>
      <c r="C6394" s="7">
        <f ca="1">IFERROR(__xludf.DUMMYFUNCTION("""COMPUTED_VALUE"""),1)</f>
        <v>1</v>
      </c>
      <c r="D6394" s="8">
        <f ca="1">IFERROR(__xludf.DUMMYFUNCTION("""COMPUTED_VALUE"""),5)</f>
        <v>5</v>
      </c>
      <c r="E6394" s="2">
        <f ca="1">IFERROR(__xludf.DUMMYFUNCTION("""COMPUTED_VALUE"""),2)</f>
        <v>2</v>
      </c>
    </row>
    <row r="6395" spans="1:5" ht="13">
      <c r="A6395" s="2" t="str">
        <f ca="1">IFERROR(__xludf.DUMMYFUNCTION("""COMPUTED_VALUE"""),"Peters, Richard")</f>
        <v>Peters, Richard</v>
      </c>
      <c r="B6395" s="2">
        <f ca="1">IFERROR(__xludf.DUMMYFUNCTION("""COMPUTED_VALUE"""),1)</f>
        <v>1</v>
      </c>
      <c r="C6395" s="7">
        <f ca="1">IFERROR(__xludf.DUMMYFUNCTION("""COMPUTED_VALUE"""),1)</f>
        <v>1</v>
      </c>
      <c r="D6395" s="8">
        <f ca="1">IFERROR(__xludf.DUMMYFUNCTION("""COMPUTED_VALUE"""),1)</f>
        <v>1</v>
      </c>
      <c r="E6395" s="2">
        <f ca="1">IFERROR(__xludf.DUMMYFUNCTION("""COMPUTED_VALUE"""),1)</f>
        <v>1</v>
      </c>
    </row>
    <row r="6396" spans="1:5" ht="13">
      <c r="A6396" s="2" t="str">
        <f ca="1">IFERROR(__xludf.DUMMYFUNCTION("""COMPUTED_VALUE"""),"Peterson, Jeff")</f>
        <v>Peterson, Jeff</v>
      </c>
      <c r="B6396" s="2">
        <f ca="1">IFERROR(__xludf.DUMMYFUNCTION("""COMPUTED_VALUE"""),1)</f>
        <v>1</v>
      </c>
      <c r="C6396" s="2">
        <f ca="1">IFERROR(__xludf.DUMMYFUNCTION("""COMPUTED_VALUE"""),1)</f>
        <v>1</v>
      </c>
      <c r="D6396" s="8">
        <f ca="1">IFERROR(__xludf.DUMMYFUNCTION("""COMPUTED_VALUE"""),1)</f>
        <v>1</v>
      </c>
      <c r="E6396" s="2">
        <f ca="1">IFERROR(__xludf.DUMMYFUNCTION("""COMPUTED_VALUE"""),1)</f>
        <v>1</v>
      </c>
    </row>
    <row r="6397" spans="1:5" ht="13">
      <c r="A6397" s="2" t="str">
        <f ca="1">IFERROR(__xludf.DUMMYFUNCTION("""COMPUTED_VALUE"""),"Peterson, Keith")</f>
        <v>Peterson, Keith</v>
      </c>
      <c r="B6397" s="3">
        <f ca="1">IFERROR(__xludf.DUMMYFUNCTION("""COMPUTED_VALUE"""),1)</f>
        <v>1</v>
      </c>
      <c r="C6397" s="7">
        <f ca="1">IFERROR(__xludf.DUMMYFUNCTION("""COMPUTED_VALUE"""),1)</f>
        <v>1</v>
      </c>
      <c r="D6397" s="8">
        <f ca="1">IFERROR(__xludf.DUMMYFUNCTION("""COMPUTED_VALUE"""),1)</f>
        <v>1</v>
      </c>
      <c r="E6397" s="2">
        <f ca="1">IFERROR(__xludf.DUMMYFUNCTION("""COMPUTED_VALUE"""),1)</f>
        <v>1</v>
      </c>
    </row>
    <row r="6398" spans="1:5" ht="13">
      <c r="A6398" s="8" t="str">
        <f ca="1">IFERROR(__xludf.DUMMYFUNCTION("""COMPUTED_VALUE"""),"Peterson, Russell")</f>
        <v>Peterson, Russell</v>
      </c>
      <c r="B6398" s="3">
        <f ca="1">IFERROR(__xludf.DUMMYFUNCTION("""COMPUTED_VALUE"""),1)</f>
        <v>1</v>
      </c>
      <c r="C6398" s="7">
        <f ca="1">IFERROR(__xludf.DUMMYFUNCTION("""COMPUTED_VALUE"""),1)</f>
        <v>1</v>
      </c>
      <c r="D6398" s="8">
        <f ca="1">IFERROR(__xludf.DUMMYFUNCTION("""COMPUTED_VALUE"""),1)</f>
        <v>1</v>
      </c>
      <c r="E6398" s="2">
        <f ca="1">IFERROR(__xludf.DUMMYFUNCTION("""COMPUTED_VALUE"""),1)</f>
        <v>1</v>
      </c>
    </row>
    <row r="6399" spans="1:5" ht="13">
      <c r="A6399" s="2" t="str">
        <f ca="1">IFERROR(__xludf.DUMMYFUNCTION("""COMPUTED_VALUE"""),"Peterson, Thomas")</f>
        <v>Peterson, Thomas</v>
      </c>
      <c r="B6399" s="3">
        <f ca="1">IFERROR(__xludf.DUMMYFUNCTION("""COMPUTED_VALUE"""),1)</f>
        <v>1</v>
      </c>
      <c r="C6399" s="7">
        <f ca="1">IFERROR(__xludf.DUMMYFUNCTION("""COMPUTED_VALUE"""),1)</f>
        <v>1</v>
      </c>
      <c r="D6399" s="8">
        <f ca="1">IFERROR(__xludf.DUMMYFUNCTION("""COMPUTED_VALUE"""),1)</f>
        <v>1</v>
      </c>
      <c r="E6399" s="2">
        <f ca="1">IFERROR(__xludf.DUMMYFUNCTION("""COMPUTED_VALUE"""),1)</f>
        <v>1</v>
      </c>
    </row>
    <row r="6400" spans="1:5" ht="13">
      <c r="A6400" s="2" t="str">
        <f ca="1">IFERROR(__xludf.DUMMYFUNCTION("""COMPUTED_VALUE"""),"Peterson, Vince")</f>
        <v>Peterson, Vince</v>
      </c>
      <c r="B6400" s="3">
        <f ca="1">IFERROR(__xludf.DUMMYFUNCTION("""COMPUTED_VALUE"""),1)</f>
        <v>1</v>
      </c>
      <c r="C6400" s="7">
        <f ca="1">IFERROR(__xludf.DUMMYFUNCTION("""COMPUTED_VALUE"""),1)</f>
        <v>1</v>
      </c>
      <c r="D6400" s="8">
        <f ca="1">IFERROR(__xludf.DUMMYFUNCTION("""COMPUTED_VALUE"""),1)</f>
        <v>1</v>
      </c>
      <c r="E6400" s="2">
        <f ca="1">IFERROR(__xludf.DUMMYFUNCTION("""COMPUTED_VALUE"""),1)</f>
        <v>1</v>
      </c>
    </row>
    <row r="6401" spans="1:5" ht="13">
      <c r="A6401" s="2" t="str">
        <f ca="1">IFERROR(__xludf.DUMMYFUNCTION("""COMPUTED_VALUE"""),"Petersson, Simon")</f>
        <v>Petersson, Simon</v>
      </c>
      <c r="B6401" s="3">
        <f ca="1">IFERROR(__xludf.DUMMYFUNCTION("""COMPUTED_VALUE"""),1)</f>
        <v>1</v>
      </c>
      <c r="C6401" s="7">
        <f ca="1">IFERROR(__xludf.DUMMYFUNCTION("""COMPUTED_VALUE"""),1)</f>
        <v>1</v>
      </c>
      <c r="D6401" s="8">
        <f ca="1">IFERROR(__xludf.DUMMYFUNCTION("""COMPUTED_VALUE"""),1)</f>
        <v>1</v>
      </c>
      <c r="E6401" s="2">
        <f ca="1">IFERROR(__xludf.DUMMYFUNCTION("""COMPUTED_VALUE"""),1)</f>
        <v>1</v>
      </c>
    </row>
    <row r="6402" spans="1:5" ht="13">
      <c r="A6402" s="2" t="str">
        <f ca="1">IFERROR(__xludf.DUMMYFUNCTION("""COMPUTED_VALUE"""),"Pethel, Stan")</f>
        <v>Pethel, Stan</v>
      </c>
      <c r="B6402" s="3">
        <f ca="1">IFERROR(__xludf.DUMMYFUNCTION("""COMPUTED_VALUE"""),1)</f>
        <v>1</v>
      </c>
      <c r="C6402" s="7">
        <f ca="1">IFERROR(__xludf.DUMMYFUNCTION("""COMPUTED_VALUE"""),1)</f>
        <v>1</v>
      </c>
      <c r="D6402" s="8">
        <f ca="1">IFERROR(__xludf.DUMMYFUNCTION("""COMPUTED_VALUE"""),1)</f>
        <v>1</v>
      </c>
      <c r="E6402" s="2">
        <f ca="1">IFERROR(__xludf.DUMMYFUNCTION("""COMPUTED_VALUE"""),1)</f>
        <v>1</v>
      </c>
    </row>
    <row r="6403" spans="1:5" ht="13">
      <c r="A6403" s="2" t="str">
        <f ca="1">IFERROR(__xludf.DUMMYFUNCTION("""COMPUTED_VALUE"""),"Petker, Allan")</f>
        <v>Petker, Allan</v>
      </c>
      <c r="B6403" s="3">
        <f ca="1">IFERROR(__xludf.DUMMYFUNCTION("""COMPUTED_VALUE"""),1)</f>
        <v>1</v>
      </c>
      <c r="C6403" s="7">
        <f ca="1">IFERROR(__xludf.DUMMYFUNCTION("""COMPUTED_VALUE"""),1)</f>
        <v>1</v>
      </c>
      <c r="D6403" s="8">
        <f ca="1">IFERROR(__xludf.DUMMYFUNCTION("""COMPUTED_VALUE"""),1)</f>
        <v>1</v>
      </c>
      <c r="E6403" s="2">
        <f ca="1">IFERROR(__xludf.DUMMYFUNCTION("""COMPUTED_VALUE"""),1)</f>
        <v>1</v>
      </c>
    </row>
    <row r="6404" spans="1:5" ht="13">
      <c r="A6404" s="2" t="str">
        <f ca="1">IFERROR(__xludf.DUMMYFUNCTION("""COMPUTED_VALUE"""),"Petrassi, Goffredo")</f>
        <v>Petrassi, Goffredo</v>
      </c>
      <c r="B6404" s="3">
        <f ca="1">IFERROR(__xludf.DUMMYFUNCTION("""COMPUTED_VALUE"""),1)</f>
        <v>1</v>
      </c>
      <c r="C6404" s="7">
        <f ca="1">IFERROR(__xludf.DUMMYFUNCTION("""COMPUTED_VALUE"""),1)</f>
        <v>1</v>
      </c>
      <c r="D6404" s="8">
        <f ca="1">IFERROR(__xludf.DUMMYFUNCTION("""COMPUTED_VALUE"""),5)</f>
        <v>5</v>
      </c>
      <c r="E6404" s="2">
        <f ca="1">IFERROR(__xludf.DUMMYFUNCTION("""COMPUTED_VALUE"""),2)</f>
        <v>2</v>
      </c>
    </row>
    <row r="6405" spans="1:5" ht="13">
      <c r="A6405" s="2" t="str">
        <f ca="1">IFERROR(__xludf.DUMMYFUNCTION("""COMPUTED_VALUE"""),"Petricca, Nicholas")</f>
        <v>Petricca, Nicholas</v>
      </c>
      <c r="B6405" s="3">
        <f ca="1">IFERROR(__xludf.DUMMYFUNCTION("""COMPUTED_VALUE"""),1)</f>
        <v>1</v>
      </c>
      <c r="C6405" s="7">
        <f ca="1">IFERROR(__xludf.DUMMYFUNCTION("""COMPUTED_VALUE"""),1)</f>
        <v>1</v>
      </c>
      <c r="D6405" s="8">
        <f ca="1">IFERROR(__xludf.DUMMYFUNCTION("""COMPUTED_VALUE"""),1)</f>
        <v>1</v>
      </c>
      <c r="E6405" s="2">
        <f ca="1">IFERROR(__xludf.DUMMYFUNCTION("""COMPUTED_VALUE"""),1)</f>
        <v>1</v>
      </c>
    </row>
    <row r="6406" spans="1:5" ht="13">
      <c r="A6406" s="2" t="str">
        <f ca="1">IFERROR(__xludf.DUMMYFUNCTION("""COMPUTED_VALUE"""),"Petrich, Roger")</f>
        <v>Petrich, Roger</v>
      </c>
      <c r="B6406" s="3">
        <f ca="1">IFERROR(__xludf.DUMMYFUNCTION("""COMPUTED_VALUE"""),1)</f>
        <v>1</v>
      </c>
      <c r="C6406" s="7">
        <f ca="1">IFERROR(__xludf.DUMMYFUNCTION("""COMPUTED_VALUE"""),1)</f>
        <v>1</v>
      </c>
      <c r="D6406" s="8">
        <f ca="1">IFERROR(__xludf.DUMMYFUNCTION("""COMPUTED_VALUE"""),5)</f>
        <v>5</v>
      </c>
      <c r="E6406" s="2">
        <f ca="1">IFERROR(__xludf.DUMMYFUNCTION("""COMPUTED_VALUE"""),2)</f>
        <v>2</v>
      </c>
    </row>
    <row r="6407" spans="1:5" ht="13">
      <c r="A6407" s="2" t="str">
        <f ca="1">IFERROR(__xludf.DUMMYFUNCTION("""COMPUTED_VALUE"""),"Petrov, Andrei")</f>
        <v>Petrov, Andrei</v>
      </c>
      <c r="B6407" s="3">
        <f ca="1">IFERROR(__xludf.DUMMYFUNCTION("""COMPUTED_VALUE"""),1)</f>
        <v>1</v>
      </c>
      <c r="C6407" s="7">
        <f ca="1">IFERROR(__xludf.DUMMYFUNCTION("""COMPUTED_VALUE"""),1)</f>
        <v>1</v>
      </c>
      <c r="D6407" s="8">
        <f ca="1">IFERROR(__xludf.DUMMYFUNCTION("""COMPUTED_VALUE"""),5)</f>
        <v>5</v>
      </c>
      <c r="E6407" s="2">
        <f ca="1">IFERROR(__xludf.DUMMYFUNCTION("""COMPUTED_VALUE"""),2)</f>
        <v>2</v>
      </c>
    </row>
    <row r="6408" spans="1:5" ht="13">
      <c r="A6408" s="8" t="str">
        <f ca="1">IFERROR(__xludf.DUMMYFUNCTION("""COMPUTED_VALUE"""),"Petti, Anthony")</f>
        <v>Petti, Anthony</v>
      </c>
      <c r="B6408" s="3">
        <f ca="1">IFERROR(__xludf.DUMMYFUNCTION("""COMPUTED_VALUE"""),1)</f>
        <v>1</v>
      </c>
      <c r="C6408" s="7">
        <f ca="1">IFERROR(__xludf.DUMMYFUNCTION("""COMPUTED_VALUE"""),1)</f>
        <v>1</v>
      </c>
      <c r="D6408" s="8">
        <f ca="1">IFERROR(__xludf.DUMMYFUNCTION("""COMPUTED_VALUE"""),1)</f>
        <v>1</v>
      </c>
      <c r="E6408" s="2">
        <f ca="1">IFERROR(__xludf.DUMMYFUNCTION("""COMPUTED_VALUE"""),1)</f>
        <v>1</v>
      </c>
    </row>
    <row r="6409" spans="1:5" ht="13">
      <c r="A6409" s="2" t="str">
        <f ca="1">IFERROR(__xludf.DUMMYFUNCTION("""COMPUTED_VALUE"""),"Pettis, Jack / Meyers, Billy / Schoebel, Elmer")</f>
        <v>Pettis, Jack / Meyers, Billy / Schoebel, Elmer</v>
      </c>
      <c r="B6409" s="2">
        <f ca="1">IFERROR(__xludf.DUMMYFUNCTION("""COMPUTED_VALUE"""),1)</f>
        <v>1</v>
      </c>
      <c r="C6409" s="7">
        <f ca="1">IFERROR(__xludf.DUMMYFUNCTION("""COMPUTED_VALUE"""),1)</f>
        <v>1</v>
      </c>
      <c r="D6409" s="8">
        <f ca="1">IFERROR(__xludf.DUMMYFUNCTION("""COMPUTED_VALUE"""),5)</f>
        <v>5</v>
      </c>
      <c r="E6409" s="2">
        <f ca="1">IFERROR(__xludf.DUMMYFUNCTION("""COMPUTED_VALUE"""),2)</f>
        <v>2</v>
      </c>
    </row>
    <row r="6410" spans="1:5" ht="13">
      <c r="A6410" s="2" t="str">
        <f ca="1">IFERROR(__xludf.DUMMYFUNCTION("""COMPUTED_VALUE"""),"Pettit, Darren")</f>
        <v>Pettit, Darren</v>
      </c>
      <c r="B6410" s="3">
        <f ca="1">IFERROR(__xludf.DUMMYFUNCTION("""COMPUTED_VALUE"""),1)</f>
        <v>1</v>
      </c>
      <c r="C6410" s="7">
        <f ca="1">IFERROR(__xludf.DUMMYFUNCTION("""COMPUTED_VALUE"""),1)</f>
        <v>1</v>
      </c>
      <c r="D6410" s="8">
        <f ca="1">IFERROR(__xludf.DUMMYFUNCTION("""COMPUTED_VALUE"""),1)</f>
        <v>1</v>
      </c>
      <c r="E6410" s="2">
        <f ca="1">IFERROR(__xludf.DUMMYFUNCTION("""COMPUTED_VALUE"""),1)</f>
        <v>1</v>
      </c>
    </row>
    <row r="6411" spans="1:5" ht="13">
      <c r="A6411" s="2" t="str">
        <f ca="1">IFERROR(__xludf.DUMMYFUNCTION("""COMPUTED_VALUE"""),"Peuerl, Paul")</f>
        <v>Peuerl, Paul</v>
      </c>
      <c r="B6411" s="3">
        <f ca="1">IFERROR(__xludf.DUMMYFUNCTION("""COMPUTED_VALUE"""),1)</f>
        <v>1</v>
      </c>
      <c r="C6411" s="7">
        <f ca="1">IFERROR(__xludf.DUMMYFUNCTION("""COMPUTED_VALUE"""),1)</f>
        <v>1</v>
      </c>
      <c r="D6411" s="8">
        <f ca="1">IFERROR(__xludf.DUMMYFUNCTION("""COMPUTED_VALUE"""),5)</f>
        <v>5</v>
      </c>
      <c r="E6411" s="2">
        <f ca="1">IFERROR(__xludf.DUMMYFUNCTION("""COMPUTED_VALUE"""),2)</f>
        <v>2</v>
      </c>
    </row>
    <row r="6412" spans="1:5" ht="13">
      <c r="A6412" s="8" t="str">
        <f ca="1">IFERROR(__xludf.DUMMYFUNCTION("""COMPUTED_VALUE"""),"Peurl, Paul")</f>
        <v>Peurl, Paul</v>
      </c>
      <c r="B6412" s="3">
        <f ca="1">IFERROR(__xludf.DUMMYFUNCTION("""COMPUTED_VALUE"""),1)</f>
        <v>1</v>
      </c>
      <c r="C6412" s="7">
        <f ca="1">IFERROR(__xludf.DUMMYFUNCTION("""COMPUTED_VALUE"""),1)</f>
        <v>1</v>
      </c>
      <c r="D6412" s="8">
        <f ca="1">IFERROR(__xludf.DUMMYFUNCTION("""COMPUTED_VALUE"""),5)</f>
        <v>5</v>
      </c>
      <c r="E6412" s="2">
        <f ca="1">IFERROR(__xludf.DUMMYFUNCTION("""COMPUTED_VALUE"""),2)</f>
        <v>2</v>
      </c>
    </row>
    <row r="6413" spans="1:5" ht="13">
      <c r="A6413" s="2" t="str">
        <f ca="1">IFERROR(__xludf.DUMMYFUNCTION("""COMPUTED_VALUE"""),"Pevernage, Andreas")</f>
        <v>Pevernage, Andreas</v>
      </c>
      <c r="B6413" s="3">
        <f ca="1">IFERROR(__xludf.DUMMYFUNCTION("""COMPUTED_VALUE"""),1)</f>
        <v>1</v>
      </c>
      <c r="C6413" s="7">
        <f ca="1">IFERROR(__xludf.DUMMYFUNCTION("""COMPUTED_VALUE"""),1)</f>
        <v>1</v>
      </c>
      <c r="D6413" s="8">
        <f ca="1">IFERROR(__xludf.DUMMYFUNCTION("""COMPUTED_VALUE"""),5)</f>
        <v>5</v>
      </c>
      <c r="E6413" s="2">
        <f ca="1">IFERROR(__xludf.DUMMYFUNCTION("""COMPUTED_VALUE"""),2)</f>
        <v>2</v>
      </c>
    </row>
    <row r="6414" spans="1:5" ht="13">
      <c r="A6414" s="2" t="str">
        <f ca="1">IFERROR(__xludf.DUMMYFUNCTION("""COMPUTED_VALUE"""),"Pez, Johann Christoph")</f>
        <v>Pez, Johann Christoph</v>
      </c>
      <c r="B6414" s="2">
        <f ca="1">IFERROR(__xludf.DUMMYFUNCTION("""COMPUTED_VALUE"""),1)</f>
        <v>1</v>
      </c>
      <c r="C6414" s="7">
        <f ca="1">IFERROR(__xludf.DUMMYFUNCTION("""COMPUTED_VALUE"""),1)</f>
        <v>1</v>
      </c>
      <c r="D6414" s="8">
        <f ca="1">IFERROR(__xludf.DUMMYFUNCTION("""COMPUTED_VALUE"""),5)</f>
        <v>5</v>
      </c>
      <c r="E6414" s="2">
        <f ca="1">IFERROR(__xludf.DUMMYFUNCTION("""COMPUTED_VALUE"""),2)</f>
        <v>2</v>
      </c>
    </row>
    <row r="6415" spans="1:5" ht="13">
      <c r="A6415" s="2" t="str">
        <f ca="1">IFERROR(__xludf.DUMMYFUNCTION("""COMPUTED_VALUE"""),"Pezel, Johann")</f>
        <v>Pezel, Johann</v>
      </c>
      <c r="B6415" s="3">
        <f ca="1">IFERROR(__xludf.DUMMYFUNCTION("""COMPUTED_VALUE"""),1)</f>
        <v>1</v>
      </c>
      <c r="C6415" s="7">
        <f ca="1">IFERROR(__xludf.DUMMYFUNCTION("""COMPUTED_VALUE"""),1)</f>
        <v>1</v>
      </c>
      <c r="D6415" s="8">
        <f ca="1">IFERROR(__xludf.DUMMYFUNCTION("""COMPUTED_VALUE"""),5)</f>
        <v>5</v>
      </c>
      <c r="E6415" s="2">
        <f ca="1">IFERROR(__xludf.DUMMYFUNCTION("""COMPUTED_VALUE"""),2)</f>
        <v>2</v>
      </c>
    </row>
    <row r="6416" spans="1:5" ht="13">
      <c r="A6416" s="2" t="str">
        <f ca="1">IFERROR(__xludf.DUMMYFUNCTION("""COMPUTED_VALUE"""),"Pfaffman, Steve")</f>
        <v>Pfaffman, Steve</v>
      </c>
      <c r="B6416" s="3">
        <f ca="1">IFERROR(__xludf.DUMMYFUNCTION("""COMPUTED_VALUE"""),1)</f>
        <v>1</v>
      </c>
      <c r="C6416" s="7">
        <f ca="1">IFERROR(__xludf.DUMMYFUNCTION("""COMPUTED_VALUE"""),1)</f>
        <v>1</v>
      </c>
      <c r="D6416" s="8">
        <f ca="1">IFERROR(__xludf.DUMMYFUNCTION("""COMPUTED_VALUE"""),1)</f>
        <v>1</v>
      </c>
      <c r="E6416" s="2">
        <f ca="1">IFERROR(__xludf.DUMMYFUNCTION("""COMPUTED_VALUE"""),1)</f>
        <v>1</v>
      </c>
    </row>
    <row r="6417" spans="1:5" ht="13">
      <c r="A6417" s="8" t="str">
        <f ca="1">IFERROR(__xludf.DUMMYFUNCTION("""COMPUTED_VALUE"""),"Pfautsch, Lloyd")</f>
        <v>Pfautsch, Lloyd</v>
      </c>
      <c r="B6417" s="3">
        <f ca="1">IFERROR(__xludf.DUMMYFUNCTION("""COMPUTED_VALUE"""),1)</f>
        <v>1</v>
      </c>
      <c r="C6417" s="7">
        <f ca="1">IFERROR(__xludf.DUMMYFUNCTION("""COMPUTED_VALUE"""),1)</f>
        <v>1</v>
      </c>
      <c r="D6417" s="8">
        <f ca="1">IFERROR(__xludf.DUMMYFUNCTION("""COMPUTED_VALUE"""),5)</f>
        <v>5</v>
      </c>
      <c r="E6417" s="2">
        <f ca="1">IFERROR(__xludf.DUMMYFUNCTION("""COMPUTED_VALUE"""),2)</f>
        <v>2</v>
      </c>
    </row>
    <row r="6418" spans="1:5" ht="13">
      <c r="A6418" s="2" t="str">
        <f ca="1">IFERROR(__xludf.DUMMYFUNCTION("""COMPUTED_VALUE"""),"Pfautsch, Lloyd / Oltman, Matthew")</f>
        <v>Pfautsch, Lloyd / Oltman, Matthew</v>
      </c>
      <c r="B6418" s="2">
        <f ca="1">IFERROR(__xludf.DUMMYFUNCTION("""COMPUTED_VALUE"""),1)</f>
        <v>1</v>
      </c>
      <c r="C6418" s="2">
        <f ca="1">IFERROR(__xludf.DUMMYFUNCTION("""COMPUTED_VALUE"""),1)</f>
        <v>1</v>
      </c>
      <c r="D6418" s="8">
        <f ca="1">IFERROR(__xludf.DUMMYFUNCTION("""COMPUTED_VALUE"""),5)</f>
        <v>5</v>
      </c>
      <c r="E6418" s="2">
        <f ca="1">IFERROR(__xludf.DUMMYFUNCTION("""COMPUTED_VALUE"""),2)</f>
        <v>2</v>
      </c>
    </row>
    <row r="6419" spans="1:5" ht="13">
      <c r="A6419" s="2" t="str">
        <f ca="1">IFERROR(__xludf.DUMMYFUNCTION("""COMPUTED_VALUE"""),"Pfeifer, Neil")</f>
        <v>Pfeifer, Neil</v>
      </c>
      <c r="B6419" s="3">
        <f ca="1">IFERROR(__xludf.DUMMYFUNCTION("""COMPUTED_VALUE"""),1)</f>
        <v>1</v>
      </c>
      <c r="C6419" s="7">
        <f ca="1">IFERROR(__xludf.DUMMYFUNCTION("""COMPUTED_VALUE"""),1)</f>
        <v>1</v>
      </c>
      <c r="D6419" s="8">
        <f ca="1">IFERROR(__xludf.DUMMYFUNCTION("""COMPUTED_VALUE"""),1)</f>
        <v>1</v>
      </c>
      <c r="E6419" s="2">
        <f ca="1">IFERROR(__xludf.DUMMYFUNCTION("""COMPUTED_VALUE"""),1)</f>
        <v>1</v>
      </c>
    </row>
    <row r="6420" spans="1:5" ht="13">
      <c r="A6420" s="2" t="str">
        <f ca="1">IFERROR(__xludf.DUMMYFUNCTION("""COMPUTED_VALUE"""),"Pfeil, Brad")</f>
        <v>Pfeil, Brad</v>
      </c>
      <c r="B6420" s="3">
        <f ca="1">IFERROR(__xludf.DUMMYFUNCTION("""COMPUTED_VALUE"""),1)</f>
        <v>1</v>
      </c>
      <c r="C6420" s="7">
        <f ca="1">IFERROR(__xludf.DUMMYFUNCTION("""COMPUTED_VALUE"""),1)</f>
        <v>1</v>
      </c>
      <c r="D6420" s="8">
        <f ca="1">IFERROR(__xludf.DUMMYFUNCTION("""COMPUTED_VALUE"""),1)</f>
        <v>1</v>
      </c>
      <c r="E6420" s="2">
        <f ca="1">IFERROR(__xludf.DUMMYFUNCTION("""COMPUTED_VALUE"""),1)</f>
        <v>1</v>
      </c>
    </row>
    <row r="6421" spans="1:5" ht="13">
      <c r="A6421" s="2" t="str">
        <f ca="1">IFERROR(__xludf.DUMMYFUNCTION("""COMPUTED_VALUE"""),"Pfeil, Heinrich")</f>
        <v>Pfeil, Heinrich</v>
      </c>
      <c r="B6421" s="3">
        <f ca="1">IFERROR(__xludf.DUMMYFUNCTION("""COMPUTED_VALUE"""),1)</f>
        <v>1</v>
      </c>
      <c r="C6421" s="7">
        <f ca="1">IFERROR(__xludf.DUMMYFUNCTION("""COMPUTED_VALUE"""),1)</f>
        <v>1</v>
      </c>
      <c r="D6421" s="8">
        <f ca="1">IFERROR(__xludf.DUMMYFUNCTION("""COMPUTED_VALUE"""),5)</f>
        <v>5</v>
      </c>
      <c r="E6421" s="2">
        <f ca="1">IFERROR(__xludf.DUMMYFUNCTION("""COMPUTED_VALUE"""),2)</f>
        <v>2</v>
      </c>
    </row>
    <row r="6422" spans="1:5" ht="13">
      <c r="A6422" s="2" t="str">
        <f ca="1">IFERROR(__xludf.DUMMYFUNCTION("""COMPUTED_VALUE"""),"Pfitzner, Hans")</f>
        <v>Pfitzner, Hans</v>
      </c>
      <c r="B6422" s="3">
        <f ca="1">IFERROR(__xludf.DUMMYFUNCTION("""COMPUTED_VALUE"""),1)</f>
        <v>1</v>
      </c>
      <c r="C6422" s="7">
        <f ca="1">IFERROR(__xludf.DUMMYFUNCTION("""COMPUTED_VALUE"""),1)</f>
        <v>1</v>
      </c>
      <c r="D6422" s="8">
        <f ca="1">IFERROR(__xludf.DUMMYFUNCTION("""COMPUTED_VALUE"""),5)</f>
        <v>5</v>
      </c>
      <c r="E6422" s="2">
        <f ca="1">IFERROR(__xludf.DUMMYFUNCTION("""COMPUTED_VALUE"""),2)</f>
        <v>2</v>
      </c>
    </row>
    <row r="6423" spans="1:5" ht="13">
      <c r="A6423" s="2" t="str">
        <f ca="1">IFERROR(__xludf.DUMMYFUNCTION("""COMPUTED_VALUE"""),"Pharmer, Henry")</f>
        <v>Pharmer, Henry</v>
      </c>
      <c r="B6423" s="3">
        <f ca="1">IFERROR(__xludf.DUMMYFUNCTION("""COMPUTED_VALUE"""),1)</f>
        <v>1</v>
      </c>
      <c r="C6423" s="7">
        <f ca="1">IFERROR(__xludf.DUMMYFUNCTION("""COMPUTED_VALUE"""),1)</f>
        <v>1</v>
      </c>
      <c r="D6423" s="8">
        <f ca="1">IFERROR(__xludf.DUMMYFUNCTION("""COMPUTED_VALUE"""),5)</f>
        <v>5</v>
      </c>
      <c r="E6423" s="2">
        <f ca="1">IFERROR(__xludf.DUMMYFUNCTION("""COMPUTED_VALUE"""),2)</f>
        <v>2</v>
      </c>
    </row>
    <row r="6424" spans="1:5" ht="13">
      <c r="A6424" s="2" t="str">
        <f ca="1">IFERROR(__xludf.DUMMYFUNCTION("""COMPUTED_VALUE"""),"Phelps, Jon")</f>
        <v>Phelps, Jon</v>
      </c>
      <c r="B6424" s="3">
        <f ca="1">IFERROR(__xludf.DUMMYFUNCTION("""COMPUTED_VALUE"""),1)</f>
        <v>1</v>
      </c>
      <c r="C6424" s="7">
        <f ca="1">IFERROR(__xludf.DUMMYFUNCTION("""COMPUTED_VALUE"""),1)</f>
        <v>1</v>
      </c>
      <c r="D6424" s="8">
        <f ca="1">IFERROR(__xludf.DUMMYFUNCTION("""COMPUTED_VALUE"""),1)</f>
        <v>1</v>
      </c>
      <c r="E6424" s="2">
        <f ca="1">IFERROR(__xludf.DUMMYFUNCTION("""COMPUTED_VALUE"""),1)</f>
        <v>1</v>
      </c>
    </row>
    <row r="6425" spans="1:5" ht="13">
      <c r="A6425" s="2" t="str">
        <f ca="1">IFERROR(__xludf.DUMMYFUNCTION("""COMPUTED_VALUE"""),"Phile, Philip")</f>
        <v>Phile, Philip</v>
      </c>
      <c r="B6425" s="2">
        <f ca="1">IFERROR(__xludf.DUMMYFUNCTION("""COMPUTED_VALUE"""),1)</f>
        <v>1</v>
      </c>
      <c r="C6425" s="7">
        <f ca="1">IFERROR(__xludf.DUMMYFUNCTION("""COMPUTED_VALUE"""),1)</f>
        <v>1</v>
      </c>
      <c r="D6425" s="8">
        <f ca="1">IFERROR(__xludf.DUMMYFUNCTION("""COMPUTED_VALUE"""),5)</f>
        <v>5</v>
      </c>
      <c r="E6425" s="2">
        <f ca="1">IFERROR(__xludf.DUMMYFUNCTION("""COMPUTED_VALUE"""),2)</f>
        <v>2</v>
      </c>
    </row>
    <row r="6426" spans="1:5" ht="13">
      <c r="A6426" s="2" t="str">
        <f ca="1">IFERROR(__xludf.DUMMYFUNCTION("""COMPUTED_VALUE"""),"Philiador, Andre")</f>
        <v>Philiador, Andre</v>
      </c>
      <c r="B6426" s="2">
        <f ca="1">IFERROR(__xludf.DUMMYFUNCTION("""COMPUTED_VALUE"""),1)</f>
        <v>1</v>
      </c>
      <c r="C6426" s="2">
        <f ca="1">IFERROR(__xludf.DUMMYFUNCTION("""COMPUTED_VALUE"""),1)</f>
        <v>1</v>
      </c>
      <c r="D6426" s="8">
        <f ca="1">IFERROR(__xludf.DUMMYFUNCTION("""COMPUTED_VALUE"""),5)</f>
        <v>5</v>
      </c>
      <c r="E6426" s="2">
        <f ca="1">IFERROR(__xludf.DUMMYFUNCTION("""COMPUTED_VALUE"""),2)</f>
        <v>2</v>
      </c>
    </row>
    <row r="6427" spans="1:5" ht="13">
      <c r="A6427" s="2" t="str">
        <f ca="1">IFERROR(__xludf.DUMMYFUNCTION("""COMPUTED_VALUE"""),"Philippe, Roy")</f>
        <v>Philippe, Roy</v>
      </c>
      <c r="B6427" s="3">
        <f ca="1">IFERROR(__xludf.DUMMYFUNCTION("""COMPUTED_VALUE"""),1)</f>
        <v>1</v>
      </c>
      <c r="C6427" s="7">
        <f ca="1">IFERROR(__xludf.DUMMYFUNCTION("""COMPUTED_VALUE"""),1)</f>
        <v>1</v>
      </c>
      <c r="D6427" s="8">
        <f ca="1">IFERROR(__xludf.DUMMYFUNCTION("""COMPUTED_VALUE"""),1)</f>
        <v>1</v>
      </c>
      <c r="E6427" s="2">
        <f ca="1">IFERROR(__xludf.DUMMYFUNCTION("""COMPUTED_VALUE"""),1)</f>
        <v>1</v>
      </c>
    </row>
    <row r="6428" spans="1:5" ht="13">
      <c r="A6428" s="2" t="str">
        <f ca="1">IFERROR(__xludf.DUMMYFUNCTION("""COMPUTED_VALUE"""),"Philips, Bob")</f>
        <v>Philips, Bob</v>
      </c>
      <c r="B6428" s="3">
        <f ca="1">IFERROR(__xludf.DUMMYFUNCTION("""COMPUTED_VALUE"""),1)</f>
        <v>1</v>
      </c>
      <c r="C6428" s="7">
        <f ca="1">IFERROR(__xludf.DUMMYFUNCTION("""COMPUTED_VALUE"""),1)</f>
        <v>1</v>
      </c>
      <c r="D6428" s="8">
        <f ca="1">IFERROR(__xludf.DUMMYFUNCTION("""COMPUTED_VALUE"""),1)</f>
        <v>1</v>
      </c>
      <c r="E6428" s="2">
        <f ca="1">IFERROR(__xludf.DUMMYFUNCTION("""COMPUTED_VALUE"""),1)</f>
        <v>1</v>
      </c>
    </row>
    <row r="6429" spans="1:5" ht="13">
      <c r="A6429" s="2" t="str">
        <f ca="1">IFERROR(__xludf.DUMMYFUNCTION("""COMPUTED_VALUE"""),"Philips, Peter")</f>
        <v>Philips, Peter</v>
      </c>
      <c r="B6429" s="3">
        <f ca="1">IFERROR(__xludf.DUMMYFUNCTION("""COMPUTED_VALUE"""),1)</f>
        <v>1</v>
      </c>
      <c r="C6429" s="7">
        <f ca="1">IFERROR(__xludf.DUMMYFUNCTION("""COMPUTED_VALUE"""),1)</f>
        <v>1</v>
      </c>
      <c r="D6429" s="8">
        <f ca="1">IFERROR(__xludf.DUMMYFUNCTION("""COMPUTED_VALUE"""),5)</f>
        <v>5</v>
      </c>
      <c r="E6429" s="2">
        <f ca="1">IFERROR(__xludf.DUMMYFUNCTION("""COMPUTED_VALUE"""),2)</f>
        <v>2</v>
      </c>
    </row>
    <row r="6430" spans="1:5" ht="13">
      <c r="A6430" s="2" t="str">
        <f ca="1">IFERROR(__xludf.DUMMYFUNCTION("""COMPUTED_VALUE"""),"Philips, Todd")</f>
        <v>Philips, Todd</v>
      </c>
      <c r="B6430" s="3">
        <f ca="1">IFERROR(__xludf.DUMMYFUNCTION("""COMPUTED_VALUE"""),1)</f>
        <v>1</v>
      </c>
      <c r="C6430" s="7">
        <f ca="1">IFERROR(__xludf.DUMMYFUNCTION("""COMPUTED_VALUE"""),1)</f>
        <v>1</v>
      </c>
      <c r="D6430" s="8">
        <f ca="1">IFERROR(__xludf.DUMMYFUNCTION("""COMPUTED_VALUE"""),1)</f>
        <v>1</v>
      </c>
      <c r="E6430" s="2">
        <f ca="1">IFERROR(__xludf.DUMMYFUNCTION("""COMPUTED_VALUE"""),1)</f>
        <v>1</v>
      </c>
    </row>
    <row r="6431" spans="1:5" ht="13">
      <c r="A6431" s="2" t="str">
        <f ca="1">IFERROR(__xludf.DUMMYFUNCTION("""COMPUTED_VALUE"""),"Phillippe, Roy")</f>
        <v>Phillippe, Roy</v>
      </c>
      <c r="B6431" s="3">
        <f ca="1">IFERROR(__xludf.DUMMYFUNCTION("""COMPUTED_VALUE"""),1)</f>
        <v>1</v>
      </c>
      <c r="C6431" s="7">
        <f ca="1">IFERROR(__xludf.DUMMYFUNCTION("""COMPUTED_VALUE"""),1)</f>
        <v>1</v>
      </c>
      <c r="D6431" s="8">
        <f ca="1">IFERROR(__xludf.DUMMYFUNCTION("""COMPUTED_VALUE"""),1)</f>
        <v>1</v>
      </c>
      <c r="E6431" s="2">
        <f ca="1">IFERROR(__xludf.DUMMYFUNCTION("""COMPUTED_VALUE"""),1)</f>
        <v>1</v>
      </c>
    </row>
    <row r="6432" spans="1:5" ht="13">
      <c r="A6432" s="2" t="str">
        <f ca="1">IFERROR(__xludf.DUMMYFUNCTION("""COMPUTED_VALUE"""),"Phillips")</f>
        <v>Phillips</v>
      </c>
      <c r="B6432" s="3">
        <f ca="1">IFERROR(__xludf.DUMMYFUNCTION("""COMPUTED_VALUE"""),1)</f>
        <v>1</v>
      </c>
      <c r="C6432" s="7">
        <f ca="1">IFERROR(__xludf.DUMMYFUNCTION("""COMPUTED_VALUE"""),1)</f>
        <v>1</v>
      </c>
      <c r="D6432" s="8">
        <f ca="1">IFERROR(__xludf.DUMMYFUNCTION("""COMPUTED_VALUE"""),1)</f>
        <v>1</v>
      </c>
      <c r="E6432" s="2">
        <f ca="1">IFERROR(__xludf.DUMMYFUNCTION("""COMPUTED_VALUE"""),1)</f>
        <v>1</v>
      </c>
    </row>
    <row r="6433" spans="1:5" ht="13">
      <c r="A6433" s="2" t="str">
        <f ca="1">IFERROR(__xludf.DUMMYFUNCTION("""COMPUTED_VALUE"""),"Phillips, Bob")</f>
        <v>Phillips, Bob</v>
      </c>
      <c r="B6433" s="3">
        <f ca="1">IFERROR(__xludf.DUMMYFUNCTION("""COMPUTED_VALUE"""),1)</f>
        <v>1</v>
      </c>
      <c r="C6433" s="7">
        <f ca="1">IFERROR(__xludf.DUMMYFUNCTION("""COMPUTED_VALUE"""),1)</f>
        <v>1</v>
      </c>
      <c r="D6433" s="8">
        <f ca="1">IFERROR(__xludf.DUMMYFUNCTION("""COMPUTED_VALUE"""),1)</f>
        <v>1</v>
      </c>
      <c r="E6433" s="2">
        <f ca="1">IFERROR(__xludf.DUMMYFUNCTION("""COMPUTED_VALUE"""),1)</f>
        <v>1</v>
      </c>
    </row>
    <row r="6434" spans="1:5" ht="13">
      <c r="A6434" s="8" t="str">
        <f ca="1">IFERROR(__xludf.DUMMYFUNCTION("""COMPUTED_VALUE"""),"Phillips, Burrill")</f>
        <v>Phillips, Burrill</v>
      </c>
      <c r="B6434" s="3">
        <f ca="1">IFERROR(__xludf.DUMMYFUNCTION("""COMPUTED_VALUE"""),1)</f>
        <v>1</v>
      </c>
      <c r="C6434" s="7">
        <f ca="1">IFERROR(__xludf.DUMMYFUNCTION("""COMPUTED_VALUE"""),1)</f>
        <v>1</v>
      </c>
      <c r="D6434" s="8">
        <f ca="1">IFERROR(__xludf.DUMMYFUNCTION("""COMPUTED_VALUE"""),5)</f>
        <v>5</v>
      </c>
      <c r="E6434" s="2">
        <f ca="1">IFERROR(__xludf.DUMMYFUNCTION("""COMPUTED_VALUE"""),2)</f>
        <v>2</v>
      </c>
    </row>
    <row r="6435" spans="1:5" ht="13">
      <c r="A6435" s="8" t="str">
        <f ca="1">IFERROR(__xludf.DUMMYFUNCTION("""COMPUTED_VALUE"""),"Phillips, Joel")</f>
        <v>Phillips, Joel</v>
      </c>
      <c r="B6435" s="3">
        <f ca="1">IFERROR(__xludf.DUMMYFUNCTION("""COMPUTED_VALUE"""),1)</f>
        <v>1</v>
      </c>
      <c r="C6435" s="7">
        <f ca="1">IFERROR(__xludf.DUMMYFUNCTION("""COMPUTED_VALUE"""),1)</f>
        <v>1</v>
      </c>
      <c r="D6435" s="8">
        <f ca="1">IFERROR(__xludf.DUMMYFUNCTION("""COMPUTED_VALUE"""),1)</f>
        <v>1</v>
      </c>
      <c r="E6435" s="2">
        <f ca="1">IFERROR(__xludf.DUMMYFUNCTION("""COMPUTED_VALUE"""),1)</f>
        <v>1</v>
      </c>
    </row>
    <row r="6436" spans="1:5" ht="13">
      <c r="A6436" s="2" t="str">
        <f ca="1">IFERROR(__xludf.DUMMYFUNCTION("""COMPUTED_VALUE"""),"Phillips, John")</f>
        <v>Phillips, John</v>
      </c>
      <c r="B6436" s="3">
        <f ca="1">IFERROR(__xludf.DUMMYFUNCTION("""COMPUTED_VALUE"""),1)</f>
        <v>1</v>
      </c>
      <c r="C6436" s="7">
        <f ca="1">IFERROR(__xludf.DUMMYFUNCTION("""COMPUTED_VALUE"""),1)</f>
        <v>1</v>
      </c>
      <c r="D6436" s="8">
        <f ca="1">IFERROR(__xludf.DUMMYFUNCTION("""COMPUTED_VALUE"""),5)</f>
        <v>5</v>
      </c>
      <c r="E6436" s="2">
        <f ca="1">IFERROR(__xludf.DUMMYFUNCTION("""COMPUTED_VALUE"""),2)</f>
        <v>2</v>
      </c>
    </row>
    <row r="6437" spans="1:5" ht="13">
      <c r="A6437" s="2" t="str">
        <f ca="1">IFERROR(__xludf.DUMMYFUNCTION("""COMPUTED_VALUE"""),"Phillips, John / McKenzie, Scott / Love, Mike / Melcher, Terry")</f>
        <v>Phillips, John / McKenzie, Scott / Love, Mike / Melcher, Terry</v>
      </c>
      <c r="B6437" s="3">
        <f ca="1">IFERROR(__xludf.DUMMYFUNCTION("""COMPUTED_VALUE"""),1)</f>
        <v>1</v>
      </c>
      <c r="C6437" s="7">
        <f ca="1">IFERROR(__xludf.DUMMYFUNCTION("""COMPUTED_VALUE"""),1)</f>
        <v>1</v>
      </c>
      <c r="D6437" s="8">
        <f ca="1">IFERROR(__xludf.DUMMYFUNCTION("""COMPUTED_VALUE"""),1)</f>
        <v>1</v>
      </c>
      <c r="E6437" s="2">
        <f ca="1">IFERROR(__xludf.DUMMYFUNCTION("""COMPUTED_VALUE"""),1)</f>
        <v>1</v>
      </c>
    </row>
    <row r="6438" spans="1:5" ht="13">
      <c r="A6438" s="8" t="str">
        <f ca="1">IFERROR(__xludf.DUMMYFUNCTION("""COMPUTED_VALUE"""),"Phillips, Joseph")</f>
        <v>Phillips, Joseph</v>
      </c>
      <c r="B6438" s="3">
        <f ca="1">IFERROR(__xludf.DUMMYFUNCTION("""COMPUTED_VALUE"""),1)</f>
        <v>1</v>
      </c>
      <c r="C6438" s="7">
        <f ca="1">IFERROR(__xludf.DUMMYFUNCTION("""COMPUTED_VALUE"""),1)</f>
        <v>1</v>
      </c>
      <c r="D6438" s="8">
        <f ca="1">IFERROR(__xludf.DUMMYFUNCTION("""COMPUTED_VALUE"""),1)</f>
        <v>1</v>
      </c>
      <c r="E6438" s="2">
        <f ca="1">IFERROR(__xludf.DUMMYFUNCTION("""COMPUTED_VALUE"""),1)</f>
        <v>1</v>
      </c>
    </row>
    <row r="6439" spans="1:5" ht="13">
      <c r="A6439" s="2" t="str">
        <f ca="1">IFERROR(__xludf.DUMMYFUNCTION("""COMPUTED_VALUE"""),"Phillips, Mark")</f>
        <v>Phillips, Mark</v>
      </c>
      <c r="B6439" s="3">
        <f ca="1">IFERROR(__xludf.DUMMYFUNCTION("""COMPUTED_VALUE"""),1)</f>
        <v>1</v>
      </c>
      <c r="C6439" s="7">
        <f ca="1">IFERROR(__xludf.DUMMYFUNCTION("""COMPUTED_VALUE"""),1)</f>
        <v>1</v>
      </c>
      <c r="D6439" s="8">
        <f ca="1">IFERROR(__xludf.DUMMYFUNCTION("""COMPUTED_VALUE"""),1)</f>
        <v>1</v>
      </c>
      <c r="E6439" s="2">
        <f ca="1">IFERROR(__xludf.DUMMYFUNCTION("""COMPUTED_VALUE"""),1)</f>
        <v>1</v>
      </c>
    </row>
    <row r="6440" spans="1:5" ht="13">
      <c r="A6440" s="2" t="str">
        <f ca="1">IFERROR(__xludf.DUMMYFUNCTION("""COMPUTED_VALUE"""),"Phillips, Nick")</f>
        <v>Phillips, Nick</v>
      </c>
      <c r="B6440" s="3">
        <f ca="1">IFERROR(__xludf.DUMMYFUNCTION("""COMPUTED_VALUE"""),1)</f>
        <v>1</v>
      </c>
      <c r="C6440" s="7">
        <f ca="1">IFERROR(__xludf.DUMMYFUNCTION("""COMPUTED_VALUE"""),1)</f>
        <v>1</v>
      </c>
      <c r="D6440" s="8">
        <f ca="1">IFERROR(__xludf.DUMMYFUNCTION("""COMPUTED_VALUE"""),1)</f>
        <v>1</v>
      </c>
      <c r="E6440" s="2">
        <f ca="1">IFERROR(__xludf.DUMMYFUNCTION("""COMPUTED_VALUE"""),1)</f>
        <v>1</v>
      </c>
    </row>
    <row r="6441" spans="1:5" ht="13">
      <c r="A6441" s="2" t="str">
        <f ca="1">IFERROR(__xludf.DUMMYFUNCTION("""COMPUTED_VALUE"""),"Phillips, Peter")</f>
        <v>Phillips, Peter</v>
      </c>
      <c r="B6441" s="3">
        <f ca="1">IFERROR(__xludf.DUMMYFUNCTION("""COMPUTED_VALUE"""),1)</f>
        <v>1</v>
      </c>
      <c r="C6441" s="7">
        <f ca="1">IFERROR(__xludf.DUMMYFUNCTION("""COMPUTED_VALUE"""),1)</f>
        <v>1</v>
      </c>
      <c r="D6441" s="8">
        <f ca="1">IFERROR(__xludf.DUMMYFUNCTION("""COMPUTED_VALUE"""),1)</f>
        <v>1</v>
      </c>
      <c r="E6441" s="2">
        <f ca="1">IFERROR(__xludf.DUMMYFUNCTION("""COMPUTED_VALUE"""),1)</f>
        <v>1</v>
      </c>
    </row>
    <row r="6442" spans="1:5" ht="13">
      <c r="A6442" s="2" t="str">
        <f ca="1">IFERROR(__xludf.DUMMYFUNCTION("""COMPUTED_VALUE"""),"Phillips, Todd")</f>
        <v>Phillips, Todd</v>
      </c>
      <c r="B6442" s="3">
        <f ca="1">IFERROR(__xludf.DUMMYFUNCTION("""COMPUTED_VALUE"""),1)</f>
        <v>1</v>
      </c>
      <c r="C6442" s="7">
        <f ca="1">IFERROR(__xludf.DUMMYFUNCTION("""COMPUTED_VALUE"""),1)</f>
        <v>1</v>
      </c>
      <c r="D6442" s="8">
        <f ca="1">IFERROR(__xludf.DUMMYFUNCTION("""COMPUTED_VALUE"""),1)</f>
        <v>1</v>
      </c>
      <c r="E6442" s="2">
        <f ca="1">IFERROR(__xludf.DUMMYFUNCTION("""COMPUTED_VALUE"""),1)</f>
        <v>1</v>
      </c>
    </row>
    <row r="6443" spans="1:5" ht="13">
      <c r="A6443" s="2" t="str">
        <f ca="1">IFERROR(__xludf.DUMMYFUNCTION("""COMPUTED_VALUE"""),"Piantadosi, Al")</f>
        <v>Piantadosi, Al</v>
      </c>
      <c r="B6443" s="2">
        <f ca="1">IFERROR(__xludf.DUMMYFUNCTION("""COMPUTED_VALUE"""),1)</f>
        <v>1</v>
      </c>
      <c r="C6443" s="7">
        <f ca="1">IFERROR(__xludf.DUMMYFUNCTION("""COMPUTED_VALUE"""),1)</f>
        <v>1</v>
      </c>
      <c r="D6443" s="8">
        <f ca="1">IFERROR(__xludf.DUMMYFUNCTION("""COMPUTED_VALUE"""),5)</f>
        <v>5</v>
      </c>
      <c r="E6443" s="2">
        <f ca="1">IFERROR(__xludf.DUMMYFUNCTION("""COMPUTED_VALUE"""),2)</f>
        <v>2</v>
      </c>
    </row>
    <row r="6444" spans="1:5" ht="13">
      <c r="A6444" s="2" t="str">
        <f ca="1">IFERROR(__xludf.DUMMYFUNCTION("""COMPUTED_VALUE"""),"Piato, Albert")</f>
        <v>Piato, Albert</v>
      </c>
      <c r="B6444" s="3">
        <f ca="1">IFERROR(__xludf.DUMMYFUNCTION("""COMPUTED_VALUE"""),1)</f>
        <v>1</v>
      </c>
      <c r="C6444" s="7">
        <f ca="1">IFERROR(__xludf.DUMMYFUNCTION("""COMPUTED_VALUE"""),1)</f>
        <v>1</v>
      </c>
      <c r="D6444" s="8">
        <f ca="1">IFERROR(__xludf.DUMMYFUNCTION("""COMPUTED_VALUE"""),5)</f>
        <v>5</v>
      </c>
      <c r="E6444" s="2">
        <f ca="1">IFERROR(__xludf.DUMMYFUNCTION("""COMPUTED_VALUE"""),2)</f>
        <v>2</v>
      </c>
    </row>
    <row r="6445" spans="1:5" ht="13">
      <c r="A6445" s="2" t="str">
        <f ca="1">IFERROR(__xludf.DUMMYFUNCTION("""COMPUTED_VALUE"""),"Picchi, Ermanno")</f>
        <v>Picchi, Ermanno</v>
      </c>
      <c r="B6445" s="2">
        <f ca="1">IFERROR(__xludf.DUMMYFUNCTION("""COMPUTED_VALUE"""),1)</f>
        <v>1</v>
      </c>
      <c r="C6445" s="7">
        <f ca="1">IFERROR(__xludf.DUMMYFUNCTION("""COMPUTED_VALUE"""),1)</f>
        <v>1</v>
      </c>
      <c r="D6445" s="8">
        <f ca="1">IFERROR(__xludf.DUMMYFUNCTION("""COMPUTED_VALUE"""),5)</f>
        <v>5</v>
      </c>
      <c r="E6445" s="2">
        <f ca="1">IFERROR(__xludf.DUMMYFUNCTION("""COMPUTED_VALUE"""),2)</f>
        <v>2</v>
      </c>
    </row>
    <row r="6446" spans="1:5" ht="13">
      <c r="A6446" s="2" t="str">
        <f ca="1">IFERROR(__xludf.DUMMYFUNCTION("""COMPUTED_VALUE"""),"Piccini, Niccolo")</f>
        <v>Piccini, Niccolo</v>
      </c>
      <c r="B6446" s="2">
        <f ca="1">IFERROR(__xludf.DUMMYFUNCTION("""COMPUTED_VALUE"""),1)</f>
        <v>1</v>
      </c>
      <c r="C6446" s="7">
        <f ca="1">IFERROR(__xludf.DUMMYFUNCTION("""COMPUTED_VALUE"""),1)</f>
        <v>1</v>
      </c>
      <c r="D6446" s="8">
        <f ca="1">IFERROR(__xludf.DUMMYFUNCTION("""COMPUTED_VALUE"""),5)</f>
        <v>5</v>
      </c>
      <c r="E6446" s="2">
        <f ca="1">IFERROR(__xludf.DUMMYFUNCTION("""COMPUTED_VALUE"""),2)</f>
        <v>2</v>
      </c>
    </row>
    <row r="6447" spans="1:5" ht="13">
      <c r="A6447" s="2" t="str">
        <f ca="1">IFERROR(__xludf.DUMMYFUNCTION("""COMPUTED_VALUE"""),"Piccinni, Niccolo")</f>
        <v>Piccinni, Niccolo</v>
      </c>
      <c r="B6447" s="2">
        <f ca="1">IFERROR(__xludf.DUMMYFUNCTION("""COMPUTED_VALUE"""),1)</f>
        <v>1</v>
      </c>
      <c r="C6447" s="7">
        <f ca="1">IFERROR(__xludf.DUMMYFUNCTION("""COMPUTED_VALUE"""),1)</f>
        <v>1</v>
      </c>
      <c r="D6447" s="8">
        <f ca="1">IFERROR(__xludf.DUMMYFUNCTION("""COMPUTED_VALUE"""),5)</f>
        <v>5</v>
      </c>
      <c r="E6447" s="2">
        <f ca="1">IFERROR(__xludf.DUMMYFUNCTION("""COMPUTED_VALUE"""),2)</f>
        <v>2</v>
      </c>
    </row>
    <row r="6448" spans="1:5" ht="13">
      <c r="A6448" s="2" t="str">
        <f ca="1">IFERROR(__xludf.DUMMYFUNCTION("""COMPUTED_VALUE"""),"Pichugin, Sergei")</f>
        <v>Pichugin, Sergei</v>
      </c>
      <c r="B6448" s="2">
        <f ca="1">IFERROR(__xludf.DUMMYFUNCTION("""COMPUTED_VALUE"""),1)</f>
        <v>1</v>
      </c>
      <c r="C6448" s="7">
        <f ca="1">IFERROR(__xludf.DUMMYFUNCTION("""COMPUTED_VALUE"""),1)</f>
        <v>1</v>
      </c>
      <c r="D6448" s="8">
        <f ca="1">IFERROR(__xludf.DUMMYFUNCTION("""COMPUTED_VALUE"""),5)</f>
        <v>5</v>
      </c>
      <c r="E6448" s="2">
        <f ca="1">IFERROR(__xludf.DUMMYFUNCTION("""COMPUTED_VALUE"""),2)</f>
        <v>2</v>
      </c>
    </row>
    <row r="6449" spans="1:5" ht="13">
      <c r="A6449" s="2" t="str">
        <f ca="1">IFERROR(__xludf.DUMMYFUNCTION("""COMPUTED_VALUE"""),"Picker, Tobias")</f>
        <v>Picker, Tobias</v>
      </c>
      <c r="B6449" s="3">
        <f ca="1">IFERROR(__xludf.DUMMYFUNCTION("""COMPUTED_VALUE"""),1)</f>
        <v>1</v>
      </c>
      <c r="C6449" s="7">
        <f ca="1">IFERROR(__xludf.DUMMYFUNCTION("""COMPUTED_VALUE"""),1)</f>
        <v>1</v>
      </c>
      <c r="D6449" s="8">
        <f ca="1">IFERROR(__xludf.DUMMYFUNCTION("""COMPUTED_VALUE"""),1)</f>
        <v>1</v>
      </c>
      <c r="E6449" s="2">
        <f ca="1">IFERROR(__xludf.DUMMYFUNCTION("""COMPUTED_VALUE"""),1)</f>
        <v>1</v>
      </c>
    </row>
    <row r="6450" spans="1:5" ht="13">
      <c r="A6450" s="2" t="str">
        <f ca="1">IFERROR(__xludf.DUMMYFUNCTION("""COMPUTED_VALUE"""),"Pickering, Caleb")</f>
        <v>Pickering, Caleb</v>
      </c>
      <c r="B6450" s="3">
        <f ca="1">IFERROR(__xludf.DUMMYFUNCTION("""COMPUTED_VALUE"""),1)</f>
        <v>1</v>
      </c>
      <c r="C6450" s="7">
        <f ca="1">IFERROR(__xludf.DUMMYFUNCTION("""COMPUTED_VALUE"""),1)</f>
        <v>1</v>
      </c>
      <c r="D6450" s="8">
        <f ca="1">IFERROR(__xludf.DUMMYFUNCTION("""COMPUTED_VALUE"""),1)</f>
        <v>1</v>
      </c>
      <c r="E6450" s="2">
        <f ca="1">IFERROR(__xludf.DUMMYFUNCTION("""COMPUTED_VALUE"""),1)</f>
        <v>1</v>
      </c>
    </row>
    <row r="6451" spans="1:5" ht="13">
      <c r="A6451" s="8" t="str">
        <f ca="1">IFERROR(__xludf.DUMMYFUNCTION("""COMPUTED_VALUE"""),"Pickett, Boris / Capizzi, Leonard")</f>
        <v>Pickett, Boris / Capizzi, Leonard</v>
      </c>
      <c r="B6451" s="3">
        <f ca="1">IFERROR(__xludf.DUMMYFUNCTION("""COMPUTED_VALUE"""),1)</f>
        <v>1</v>
      </c>
      <c r="C6451" s="7">
        <f ca="1">IFERROR(__xludf.DUMMYFUNCTION("""COMPUTED_VALUE"""),1)</f>
        <v>1</v>
      </c>
      <c r="D6451" s="8">
        <f ca="1">IFERROR(__xludf.DUMMYFUNCTION("""COMPUTED_VALUE"""),5)</f>
        <v>5</v>
      </c>
      <c r="E6451" s="2">
        <f ca="1">IFERROR(__xludf.DUMMYFUNCTION("""COMPUTED_VALUE"""),2)</f>
        <v>2</v>
      </c>
    </row>
    <row r="6452" spans="1:5" ht="13">
      <c r="A6452" s="2" t="str">
        <f ca="1">IFERROR(__xludf.DUMMYFUNCTION("""COMPUTED_VALUE"""),"Picqueur, Bart")</f>
        <v>Picqueur, Bart</v>
      </c>
      <c r="B6452" s="3">
        <f ca="1">IFERROR(__xludf.DUMMYFUNCTION("""COMPUTED_VALUE"""),1)</f>
        <v>1</v>
      </c>
      <c r="C6452" s="7">
        <f ca="1">IFERROR(__xludf.DUMMYFUNCTION("""COMPUTED_VALUE"""),1)</f>
        <v>1</v>
      </c>
      <c r="D6452" s="8">
        <f ca="1">IFERROR(__xludf.DUMMYFUNCTION("""COMPUTED_VALUE"""),1)</f>
        <v>1</v>
      </c>
      <c r="E6452" s="2">
        <f ca="1">IFERROR(__xludf.DUMMYFUNCTION("""COMPUTED_VALUE"""),1)</f>
        <v>1</v>
      </c>
    </row>
    <row r="6453" spans="1:5" ht="13">
      <c r="A6453" s="2" t="str">
        <f ca="1">IFERROR(__xludf.DUMMYFUNCTION("""COMPUTED_VALUE"""),"Piefke, Johann")</f>
        <v>Piefke, Johann</v>
      </c>
      <c r="B6453" s="3">
        <f ca="1">IFERROR(__xludf.DUMMYFUNCTION("""COMPUTED_VALUE"""),1)</f>
        <v>1</v>
      </c>
      <c r="C6453" s="7">
        <f ca="1">IFERROR(__xludf.DUMMYFUNCTION("""COMPUTED_VALUE"""),1)</f>
        <v>1</v>
      </c>
      <c r="D6453" s="8">
        <f ca="1">IFERROR(__xludf.DUMMYFUNCTION("""COMPUTED_VALUE"""),5)</f>
        <v>5</v>
      </c>
      <c r="E6453" s="2">
        <f ca="1">IFERROR(__xludf.DUMMYFUNCTION("""COMPUTED_VALUE"""),2)</f>
        <v>2</v>
      </c>
    </row>
    <row r="6454" spans="1:5" ht="13">
      <c r="A6454" s="2" t="str">
        <f ca="1">IFERROR(__xludf.DUMMYFUNCTION("""COMPUTED_VALUE"""),"Piefke, Johann Gottfried")</f>
        <v>Piefke, Johann Gottfried</v>
      </c>
      <c r="B6454" s="3">
        <f ca="1">IFERROR(__xludf.DUMMYFUNCTION("""COMPUTED_VALUE"""),1)</f>
        <v>1</v>
      </c>
      <c r="C6454" s="7">
        <f ca="1">IFERROR(__xludf.DUMMYFUNCTION("""COMPUTED_VALUE"""),1)</f>
        <v>1</v>
      </c>
      <c r="D6454" s="8">
        <f ca="1">IFERROR(__xludf.DUMMYFUNCTION("""COMPUTED_VALUE"""),5)</f>
        <v>5</v>
      </c>
      <c r="E6454" s="2">
        <f ca="1">IFERROR(__xludf.DUMMYFUNCTION("""COMPUTED_VALUE"""),2)</f>
        <v>2</v>
      </c>
    </row>
    <row r="6455" spans="1:5" ht="13">
      <c r="A6455" s="8" t="str">
        <f ca="1">IFERROR(__xludf.DUMMYFUNCTION("""COMPUTED_VALUE"""),"Pierce, Brent")</f>
        <v>Pierce, Brent</v>
      </c>
      <c r="B6455" s="3">
        <f ca="1">IFERROR(__xludf.DUMMYFUNCTION("""COMPUTED_VALUE"""),1)</f>
        <v>1</v>
      </c>
      <c r="C6455" s="7">
        <f ca="1">IFERROR(__xludf.DUMMYFUNCTION("""COMPUTED_VALUE"""),1)</f>
        <v>1</v>
      </c>
      <c r="D6455" s="8">
        <f ca="1">IFERROR(__xludf.DUMMYFUNCTION("""COMPUTED_VALUE"""),1)</f>
        <v>1</v>
      </c>
      <c r="E6455" s="2">
        <f ca="1">IFERROR(__xludf.DUMMYFUNCTION("""COMPUTED_VALUE"""),1)</f>
        <v>1</v>
      </c>
    </row>
    <row r="6456" spans="1:5" ht="13">
      <c r="A6456" s="2" t="str">
        <f ca="1">IFERROR(__xludf.DUMMYFUNCTION("""COMPUTED_VALUE"""),"Pierne, Gabriel")</f>
        <v>Pierne, Gabriel</v>
      </c>
      <c r="B6456" s="3">
        <f ca="1">IFERROR(__xludf.DUMMYFUNCTION("""COMPUTED_VALUE"""),1)</f>
        <v>1</v>
      </c>
      <c r="C6456" s="7">
        <f ca="1">IFERROR(__xludf.DUMMYFUNCTION("""COMPUTED_VALUE"""),1)</f>
        <v>1</v>
      </c>
      <c r="D6456" s="8">
        <f ca="1">IFERROR(__xludf.DUMMYFUNCTION("""COMPUTED_VALUE"""),5)</f>
        <v>5</v>
      </c>
      <c r="E6456" s="2">
        <f ca="1">IFERROR(__xludf.DUMMYFUNCTION("""COMPUTED_VALUE"""),2)</f>
        <v>2</v>
      </c>
    </row>
    <row r="6457" spans="1:5" ht="13">
      <c r="A6457" s="8" t="str">
        <f ca="1">IFERROR(__xludf.DUMMYFUNCTION("""COMPUTED_VALUE"""),"Pierné, Gabriel")</f>
        <v>Pierné, Gabriel</v>
      </c>
      <c r="B6457" s="2">
        <f ca="1">IFERROR(__xludf.DUMMYFUNCTION("""COMPUTED_VALUE"""),1)</f>
        <v>1</v>
      </c>
      <c r="C6457" s="7">
        <f ca="1">IFERROR(__xludf.DUMMYFUNCTION("""COMPUTED_VALUE"""),1)</f>
        <v>1</v>
      </c>
      <c r="D6457" s="8">
        <f ca="1">IFERROR(__xludf.DUMMYFUNCTION("""COMPUTED_VALUE"""),5)</f>
        <v>5</v>
      </c>
      <c r="E6457" s="2">
        <f ca="1">IFERROR(__xludf.DUMMYFUNCTION("""COMPUTED_VALUE"""),2)</f>
        <v>2</v>
      </c>
    </row>
    <row r="6458" spans="1:5" ht="13">
      <c r="A6458" s="2" t="str">
        <f ca="1">IFERROR(__xludf.DUMMYFUNCTION("""COMPUTED_VALUE"""),"Pierpont, James")</f>
        <v>Pierpont, James</v>
      </c>
      <c r="B6458" s="3">
        <f ca="1">IFERROR(__xludf.DUMMYFUNCTION("""COMPUTED_VALUE"""),1)</f>
        <v>1</v>
      </c>
      <c r="C6458" s="7">
        <f ca="1">IFERROR(__xludf.DUMMYFUNCTION("""COMPUTED_VALUE"""),1)</f>
        <v>1</v>
      </c>
      <c r="D6458" s="8">
        <f ca="1">IFERROR(__xludf.DUMMYFUNCTION("""COMPUTED_VALUE"""),5)</f>
        <v>5</v>
      </c>
      <c r="E6458" s="2">
        <f ca="1">IFERROR(__xludf.DUMMYFUNCTION("""COMPUTED_VALUE"""),2)</f>
        <v>2</v>
      </c>
    </row>
    <row r="6459" spans="1:5" ht="13">
      <c r="A6459" s="2" t="str">
        <f ca="1">IFERROR(__xludf.DUMMYFUNCTION("""COMPUTED_VALUE"""),"Piersol, Frank")</f>
        <v>Piersol, Frank</v>
      </c>
      <c r="B6459" s="3">
        <f ca="1">IFERROR(__xludf.DUMMYFUNCTION("""COMPUTED_VALUE"""),1)</f>
        <v>1</v>
      </c>
      <c r="C6459" s="7">
        <f ca="1">IFERROR(__xludf.DUMMYFUNCTION("""COMPUTED_VALUE"""),1)</f>
        <v>1</v>
      </c>
      <c r="D6459" s="8">
        <f ca="1">IFERROR(__xludf.DUMMYFUNCTION("""COMPUTED_VALUE"""),5)</f>
        <v>5</v>
      </c>
      <c r="E6459" s="2">
        <f ca="1">IFERROR(__xludf.DUMMYFUNCTION("""COMPUTED_VALUE"""),2)</f>
        <v>2</v>
      </c>
    </row>
    <row r="6460" spans="1:5" ht="13">
      <c r="A6460" s="2" t="str">
        <f ca="1">IFERROR(__xludf.DUMMYFUNCTION("""COMPUTED_VALUE"""),"Pierson, Brooke")</f>
        <v>Pierson, Brooke</v>
      </c>
      <c r="B6460" s="3">
        <f ca="1">IFERROR(__xludf.DUMMYFUNCTION("""COMPUTED_VALUE"""),1)</f>
        <v>1</v>
      </c>
      <c r="C6460" s="7">
        <f ca="1">IFERROR(__xludf.DUMMYFUNCTION("""COMPUTED_VALUE"""),1)</f>
        <v>1</v>
      </c>
      <c r="D6460" s="8">
        <f ca="1">IFERROR(__xludf.DUMMYFUNCTION("""COMPUTED_VALUE"""),1)</f>
        <v>1</v>
      </c>
      <c r="E6460" s="2">
        <f ca="1">IFERROR(__xludf.DUMMYFUNCTION("""COMPUTED_VALUE"""),1)</f>
        <v>1</v>
      </c>
    </row>
    <row r="6461" spans="1:5" ht="13">
      <c r="A6461" s="8" t="str">
        <f ca="1">IFERROR(__xludf.DUMMYFUNCTION("""COMPUTED_VALUE"""),"Pieslak, Jonathan")</f>
        <v>Pieslak, Jonathan</v>
      </c>
      <c r="B6461" s="3">
        <f ca="1">IFERROR(__xludf.DUMMYFUNCTION("""COMPUTED_VALUE"""),1)</f>
        <v>1</v>
      </c>
      <c r="C6461" s="7">
        <f ca="1">IFERROR(__xludf.DUMMYFUNCTION("""COMPUTED_VALUE"""),1)</f>
        <v>1</v>
      </c>
      <c r="D6461" s="8">
        <f ca="1">IFERROR(__xludf.DUMMYFUNCTION("""COMPUTED_VALUE"""),1)</f>
        <v>1</v>
      </c>
      <c r="E6461" s="2">
        <f ca="1">IFERROR(__xludf.DUMMYFUNCTION("""COMPUTED_VALUE"""),1)</f>
        <v>1</v>
      </c>
    </row>
    <row r="6462" spans="1:5" ht="13">
      <c r="A6462" s="2" t="str">
        <f ca="1">IFERROR(__xludf.DUMMYFUNCTION("""COMPUTED_VALUE"""),"Pigovat, Boris")</f>
        <v>Pigovat, Boris</v>
      </c>
      <c r="B6462" s="3">
        <f ca="1">IFERROR(__xludf.DUMMYFUNCTION("""COMPUTED_VALUE"""),1)</f>
        <v>1</v>
      </c>
      <c r="C6462" s="7">
        <f ca="1">IFERROR(__xludf.DUMMYFUNCTION("""COMPUTED_VALUE"""),1)</f>
        <v>1</v>
      </c>
      <c r="D6462" s="8">
        <f ca="1">IFERROR(__xludf.DUMMYFUNCTION("""COMPUTED_VALUE"""),1)</f>
        <v>1</v>
      </c>
      <c r="E6462" s="2">
        <f ca="1">IFERROR(__xludf.DUMMYFUNCTION("""COMPUTED_VALUE"""),1)</f>
        <v>1</v>
      </c>
    </row>
    <row r="6463" spans="1:5" ht="13">
      <c r="A6463" s="2" t="str">
        <f ca="1">IFERROR(__xludf.DUMMYFUNCTION("""COMPUTED_VALUE"""),"Piket, Frederick")</f>
        <v>Piket, Frederick</v>
      </c>
      <c r="B6463" s="3">
        <f ca="1">IFERROR(__xludf.DUMMYFUNCTION("""COMPUTED_VALUE"""),1)</f>
        <v>1</v>
      </c>
      <c r="C6463" s="7">
        <f ca="1">IFERROR(__xludf.DUMMYFUNCTION("""COMPUTED_VALUE"""),1)</f>
        <v>1</v>
      </c>
      <c r="D6463" s="8">
        <f ca="1">IFERROR(__xludf.DUMMYFUNCTION("""COMPUTED_VALUE"""),5)</f>
        <v>5</v>
      </c>
      <c r="E6463" s="2">
        <f ca="1">IFERROR(__xludf.DUMMYFUNCTION("""COMPUTED_VALUE"""),2)</f>
        <v>2</v>
      </c>
    </row>
    <row r="6464" spans="1:5" ht="13">
      <c r="A6464" s="2" t="str">
        <f ca="1">IFERROR(__xludf.DUMMYFUNCTION("""COMPUTED_VALUE"""),"Pilafian, Sam &amp; Sheridan, Patrick")</f>
        <v>Pilafian, Sam &amp; Sheridan, Patrick</v>
      </c>
      <c r="B6464" s="3">
        <f ca="1">IFERROR(__xludf.DUMMYFUNCTION("""COMPUTED_VALUE"""),1)</f>
        <v>1</v>
      </c>
      <c r="C6464" s="7">
        <f ca="1">IFERROR(__xludf.DUMMYFUNCTION("""COMPUTED_VALUE"""),1)</f>
        <v>1</v>
      </c>
      <c r="D6464" s="8">
        <f ca="1">IFERROR(__xludf.DUMMYFUNCTION("""COMPUTED_VALUE"""),1)</f>
        <v>1</v>
      </c>
      <c r="E6464" s="2">
        <f ca="1">IFERROR(__xludf.DUMMYFUNCTION("""COMPUTED_VALUE"""),1)</f>
        <v>1</v>
      </c>
    </row>
    <row r="6465" spans="1:5" ht="13">
      <c r="A6465" s="2" t="str">
        <f ca="1">IFERROR(__xludf.DUMMYFUNCTION("""COMPUTED_VALUE"""),"Pilato, Nikk")</f>
        <v>Pilato, Nikk</v>
      </c>
      <c r="B6465" s="3">
        <f ca="1">IFERROR(__xludf.DUMMYFUNCTION("""COMPUTED_VALUE"""),1)</f>
        <v>1</v>
      </c>
      <c r="C6465" s="7">
        <f ca="1">IFERROR(__xludf.DUMMYFUNCTION("""COMPUTED_VALUE"""),1)</f>
        <v>1</v>
      </c>
      <c r="D6465" s="8">
        <f ca="1">IFERROR(__xludf.DUMMYFUNCTION("""COMPUTED_VALUE"""),1)</f>
        <v>1</v>
      </c>
      <c r="E6465" s="2">
        <f ca="1">IFERROR(__xludf.DUMMYFUNCTION("""COMPUTED_VALUE"""),1)</f>
        <v>1</v>
      </c>
    </row>
    <row r="6466" spans="1:5" ht="13">
      <c r="A6466" s="8" t="str">
        <f ca="1">IFERROR(__xludf.DUMMYFUNCTION("""COMPUTED_VALUE"""),"Pilkington, Francis")</f>
        <v>Pilkington, Francis</v>
      </c>
      <c r="B6466" s="2">
        <f ca="1">IFERROR(__xludf.DUMMYFUNCTION("""COMPUTED_VALUE"""),1)</f>
        <v>1</v>
      </c>
      <c r="C6466" s="7">
        <f ca="1">IFERROR(__xludf.DUMMYFUNCTION("""COMPUTED_VALUE"""),1)</f>
        <v>1</v>
      </c>
      <c r="D6466" s="8">
        <f ca="1">IFERROR(__xludf.DUMMYFUNCTION("""COMPUTED_VALUE"""),5)</f>
        <v>5</v>
      </c>
      <c r="E6466" s="2">
        <f ca="1">IFERROR(__xludf.DUMMYFUNCTION("""COMPUTED_VALUE"""),2)</f>
        <v>2</v>
      </c>
    </row>
    <row r="6467" spans="1:5" ht="13">
      <c r="A6467" s="2" t="str">
        <f ca="1">IFERROR(__xludf.DUMMYFUNCTION("""COMPUTED_VALUE"""),"Pilsner, Chris")</f>
        <v>Pilsner, Chris</v>
      </c>
      <c r="B6467" s="3">
        <f ca="1">IFERROR(__xludf.DUMMYFUNCTION("""COMPUTED_VALUE"""),1)</f>
        <v>1</v>
      </c>
      <c r="C6467" s="7">
        <f ca="1">IFERROR(__xludf.DUMMYFUNCTION("""COMPUTED_VALUE"""),1)</f>
        <v>1</v>
      </c>
      <c r="D6467" s="8">
        <f ca="1">IFERROR(__xludf.DUMMYFUNCTION("""COMPUTED_VALUE"""),1)</f>
        <v>1</v>
      </c>
      <c r="E6467" s="2">
        <f ca="1">IFERROR(__xludf.DUMMYFUNCTION("""COMPUTED_VALUE"""),1)</f>
        <v>1</v>
      </c>
    </row>
    <row r="6468" spans="1:5" ht="13">
      <c r="A6468" s="8" t="str">
        <f ca="1">IFERROR(__xludf.DUMMYFUNCTION("""COMPUTED_VALUE"""),"Pilss, Karl")</f>
        <v>Pilss, Karl</v>
      </c>
      <c r="B6468" s="3">
        <f ca="1">IFERROR(__xludf.DUMMYFUNCTION("""COMPUTED_VALUE"""),1)</f>
        <v>1</v>
      </c>
      <c r="C6468" s="7">
        <f ca="1">IFERROR(__xludf.DUMMYFUNCTION("""COMPUTED_VALUE"""),1)</f>
        <v>1</v>
      </c>
      <c r="D6468" s="8">
        <f ca="1">IFERROR(__xludf.DUMMYFUNCTION("""COMPUTED_VALUE"""),1)</f>
        <v>1</v>
      </c>
      <c r="E6468" s="2">
        <f ca="1">IFERROR(__xludf.DUMMYFUNCTION("""COMPUTED_VALUE"""),1)</f>
        <v>1</v>
      </c>
    </row>
    <row r="6469" spans="1:5" ht="13">
      <c r="A6469" s="2" t="str">
        <f ca="1">IFERROR(__xludf.DUMMYFUNCTION("""COMPUTED_VALUE"""),"Pink Floyd")</f>
        <v>Pink Floyd</v>
      </c>
      <c r="B6469" s="3">
        <f ca="1">IFERROR(__xludf.DUMMYFUNCTION("""COMPUTED_VALUE"""),1)</f>
        <v>1</v>
      </c>
      <c r="C6469" s="7">
        <f ca="1">IFERROR(__xludf.DUMMYFUNCTION("""COMPUTED_VALUE"""),1)</f>
        <v>1</v>
      </c>
      <c r="D6469" s="8">
        <f ca="1">IFERROR(__xludf.DUMMYFUNCTION("""COMPUTED_VALUE"""),1)</f>
        <v>1</v>
      </c>
      <c r="E6469" s="2">
        <f ca="1">IFERROR(__xludf.DUMMYFUNCTION("""COMPUTED_VALUE"""),1)</f>
        <v>1</v>
      </c>
    </row>
    <row r="6470" spans="1:5" ht="13">
      <c r="A6470" s="2" t="str">
        <f ca="1">IFERROR(__xludf.DUMMYFUNCTION("""COMPUTED_VALUE"""),"Pinkham, Daniel")</f>
        <v>Pinkham, Daniel</v>
      </c>
      <c r="B6470" s="2">
        <f ca="1">IFERROR(__xludf.DUMMYFUNCTION("""COMPUTED_VALUE"""),1)</f>
        <v>1</v>
      </c>
      <c r="C6470" s="7">
        <f ca="1">IFERROR(__xludf.DUMMYFUNCTION("""COMPUTED_VALUE"""),1)</f>
        <v>1</v>
      </c>
      <c r="D6470" s="8">
        <f ca="1">IFERROR(__xludf.DUMMYFUNCTION("""COMPUTED_VALUE"""),5)</f>
        <v>5</v>
      </c>
      <c r="E6470" s="2">
        <f ca="1">IFERROR(__xludf.DUMMYFUNCTION("""COMPUTED_VALUE"""),2)</f>
        <v>2</v>
      </c>
    </row>
    <row r="6471" spans="1:5" ht="13">
      <c r="A6471" s="2" t="str">
        <f ca="1">IFERROR(__xludf.DUMMYFUNCTION("""COMPUTED_VALUE"""),"Pinkston, Russell")</f>
        <v>Pinkston, Russell</v>
      </c>
      <c r="B6471" s="3">
        <f ca="1">IFERROR(__xludf.DUMMYFUNCTION("""COMPUTED_VALUE"""),1)</f>
        <v>1</v>
      </c>
      <c r="C6471" s="7">
        <f ca="1">IFERROR(__xludf.DUMMYFUNCTION("""COMPUTED_VALUE"""),1)</f>
        <v>1</v>
      </c>
      <c r="D6471" s="8">
        <f ca="1">IFERROR(__xludf.DUMMYFUNCTION("""COMPUTED_VALUE"""),1)</f>
        <v>1</v>
      </c>
      <c r="E6471" s="2">
        <f ca="1">IFERROR(__xludf.DUMMYFUNCTION("""COMPUTED_VALUE"""),1)</f>
        <v>1</v>
      </c>
    </row>
    <row r="6472" spans="1:5" ht="13">
      <c r="A6472" s="8" t="str">
        <f ca="1">IFERROR(__xludf.DUMMYFUNCTION("""COMPUTED_VALUE"""),"Pinner, Jay-Martin")</f>
        <v>Pinner, Jay-Martin</v>
      </c>
      <c r="B6472" s="3">
        <f ca="1">IFERROR(__xludf.DUMMYFUNCTION("""COMPUTED_VALUE"""),1)</f>
        <v>1</v>
      </c>
      <c r="C6472" s="7">
        <f ca="1">IFERROR(__xludf.DUMMYFUNCTION("""COMPUTED_VALUE"""),1)</f>
        <v>1</v>
      </c>
      <c r="D6472" s="8">
        <f ca="1">IFERROR(__xludf.DUMMYFUNCTION("""COMPUTED_VALUE"""),1)</f>
        <v>1</v>
      </c>
      <c r="E6472" s="2">
        <f ca="1">IFERROR(__xludf.DUMMYFUNCTION("""COMPUTED_VALUE"""),1)</f>
        <v>1</v>
      </c>
    </row>
    <row r="6473" spans="1:5" ht="13">
      <c r="A6473" s="2" t="str">
        <f ca="1">IFERROR(__xludf.DUMMYFUNCTION("""COMPUTED_VALUE"""),"Pinsonneault, Albert")</f>
        <v>Pinsonneault, Albert</v>
      </c>
      <c r="B6473" s="3">
        <f ca="1">IFERROR(__xludf.DUMMYFUNCTION("""COMPUTED_VALUE"""),1)</f>
        <v>1</v>
      </c>
      <c r="C6473" s="7">
        <f ca="1">IFERROR(__xludf.DUMMYFUNCTION("""COMPUTED_VALUE"""),1)</f>
        <v>1</v>
      </c>
      <c r="D6473" s="8">
        <f ca="1">IFERROR(__xludf.DUMMYFUNCTION("""COMPUTED_VALUE"""),1)</f>
        <v>1</v>
      </c>
      <c r="E6473" s="2">
        <f ca="1">IFERROR(__xludf.DUMMYFUNCTION("""COMPUTED_VALUE"""),1)</f>
        <v>1</v>
      </c>
    </row>
    <row r="6474" spans="1:5" ht="13">
      <c r="A6474" s="2" t="str">
        <f ca="1">IFERROR(__xludf.DUMMYFUNCTION("""COMPUTED_VALUE"""),"Pintscher, Mathias")</f>
        <v>Pintscher, Mathias</v>
      </c>
      <c r="B6474" s="3">
        <f ca="1">IFERROR(__xludf.DUMMYFUNCTION("""COMPUTED_VALUE"""),1)</f>
        <v>1</v>
      </c>
      <c r="C6474" s="7">
        <f ca="1">IFERROR(__xludf.DUMMYFUNCTION("""COMPUTED_VALUE"""),1)</f>
        <v>1</v>
      </c>
      <c r="D6474" s="8">
        <f ca="1">IFERROR(__xludf.DUMMYFUNCTION("""COMPUTED_VALUE"""),1)</f>
        <v>1</v>
      </c>
      <c r="E6474" s="2">
        <f ca="1">IFERROR(__xludf.DUMMYFUNCTION("""COMPUTED_VALUE"""),1)</f>
        <v>1</v>
      </c>
    </row>
    <row r="6475" spans="1:5" ht="13">
      <c r="A6475" s="2" t="str">
        <f ca="1">IFERROR(__xludf.DUMMYFUNCTION("""COMPUTED_VALUE"""),"Pintscher, Matthias")</f>
        <v>Pintscher, Matthias</v>
      </c>
      <c r="B6475" s="3">
        <f ca="1">IFERROR(__xludf.DUMMYFUNCTION("""COMPUTED_VALUE"""),1)</f>
        <v>1</v>
      </c>
      <c r="C6475" s="7">
        <f ca="1">IFERROR(__xludf.DUMMYFUNCTION("""COMPUTED_VALUE"""),1)</f>
        <v>1</v>
      </c>
      <c r="D6475" s="8">
        <f ca="1">IFERROR(__xludf.DUMMYFUNCTION("""COMPUTED_VALUE"""),1)</f>
        <v>1</v>
      </c>
      <c r="E6475" s="2">
        <f ca="1">IFERROR(__xludf.DUMMYFUNCTION("""COMPUTED_VALUE"""),1)</f>
        <v>1</v>
      </c>
    </row>
    <row r="6476" spans="1:5" ht="13">
      <c r="A6476" s="2" t="str">
        <f ca="1">IFERROR(__xludf.DUMMYFUNCTION("""COMPUTED_VALUE"""),"Pisano, Richard")</f>
        <v>Pisano, Richard</v>
      </c>
      <c r="B6476" s="3">
        <f ca="1">IFERROR(__xludf.DUMMYFUNCTION("""COMPUTED_VALUE"""),1)</f>
        <v>1</v>
      </c>
      <c r="C6476" s="7">
        <f ca="1">IFERROR(__xludf.DUMMYFUNCTION("""COMPUTED_VALUE"""),1)</f>
        <v>1</v>
      </c>
      <c r="D6476" s="8">
        <f ca="1">IFERROR(__xludf.DUMMYFUNCTION("""COMPUTED_VALUE"""),1)</f>
        <v>1</v>
      </c>
      <c r="E6476" s="2">
        <f ca="1">IFERROR(__xludf.DUMMYFUNCTION("""COMPUTED_VALUE"""),1)</f>
        <v>1</v>
      </c>
    </row>
    <row r="6477" spans="1:5" ht="13">
      <c r="A6477" s="2" t="str">
        <f ca="1">IFERROR(__xludf.DUMMYFUNCTION("""COMPUTED_VALUE"""),"Pisendel, Johann Georg")</f>
        <v>Pisendel, Johann Georg</v>
      </c>
      <c r="B6477" s="3">
        <f ca="1">IFERROR(__xludf.DUMMYFUNCTION("""COMPUTED_VALUE"""),1)</f>
        <v>1</v>
      </c>
      <c r="C6477" s="7">
        <f ca="1">IFERROR(__xludf.DUMMYFUNCTION("""COMPUTED_VALUE"""),1)</f>
        <v>1</v>
      </c>
      <c r="D6477" s="8">
        <f ca="1">IFERROR(__xludf.DUMMYFUNCTION("""COMPUTED_VALUE"""),5)</f>
        <v>5</v>
      </c>
      <c r="E6477" s="2">
        <f ca="1">IFERROR(__xludf.DUMMYFUNCTION("""COMPUTED_VALUE"""),2)</f>
        <v>2</v>
      </c>
    </row>
    <row r="6478" spans="1:5" ht="13">
      <c r="A6478" s="2" t="str">
        <f ca="1">IFERROR(__xludf.DUMMYFUNCTION("""COMPUTED_VALUE"""),"Piston, Walter")</f>
        <v>Piston, Walter</v>
      </c>
      <c r="B6478" s="3">
        <f ca="1">IFERROR(__xludf.DUMMYFUNCTION("""COMPUTED_VALUE"""),1)</f>
        <v>1</v>
      </c>
      <c r="C6478" s="7">
        <f ca="1">IFERROR(__xludf.DUMMYFUNCTION("""COMPUTED_VALUE"""),1)</f>
        <v>1</v>
      </c>
      <c r="D6478" s="8">
        <f ca="1">IFERROR(__xludf.DUMMYFUNCTION("""COMPUTED_VALUE"""),5)</f>
        <v>5</v>
      </c>
      <c r="E6478" s="2">
        <f ca="1">IFERROR(__xludf.DUMMYFUNCTION("""COMPUTED_VALUE"""),2)</f>
        <v>2</v>
      </c>
    </row>
    <row r="6479" spans="1:5" ht="13">
      <c r="A6479" s="2" t="str">
        <f ca="1">IFERROR(__xludf.DUMMYFUNCTION("""COMPUTED_VALUE"""),"Pitfield, Thomas")</f>
        <v>Pitfield, Thomas</v>
      </c>
      <c r="B6479" s="3">
        <f ca="1">IFERROR(__xludf.DUMMYFUNCTION("""COMPUTED_VALUE"""),1)</f>
        <v>1</v>
      </c>
      <c r="C6479" s="7">
        <f ca="1">IFERROR(__xludf.DUMMYFUNCTION("""COMPUTED_VALUE"""),1)</f>
        <v>1</v>
      </c>
      <c r="D6479" s="8">
        <f ca="1">IFERROR(__xludf.DUMMYFUNCTION("""COMPUTED_VALUE"""),5)</f>
        <v>5</v>
      </c>
      <c r="E6479" s="2">
        <f ca="1">IFERROR(__xludf.DUMMYFUNCTION("""COMPUTED_VALUE"""),2)</f>
        <v>2</v>
      </c>
    </row>
    <row r="6480" spans="1:5" ht="13">
      <c r="A6480" s="2" t="str">
        <f ca="1">IFERROR(__xludf.DUMMYFUNCTION("""COMPUTED_VALUE"""),"Pitney, Gene / Mangiaracina, Cayet")</f>
        <v>Pitney, Gene / Mangiaracina, Cayet</v>
      </c>
      <c r="B6480" s="2">
        <f ca="1">IFERROR(__xludf.DUMMYFUNCTION("""COMPUTED_VALUE"""),1)</f>
        <v>1</v>
      </c>
      <c r="C6480" s="7">
        <f ca="1">IFERROR(__xludf.DUMMYFUNCTION("""COMPUTED_VALUE"""),1)</f>
        <v>1</v>
      </c>
      <c r="D6480" s="8">
        <f ca="1">IFERROR(__xludf.DUMMYFUNCTION("""COMPUTED_VALUE"""),5)</f>
        <v>5</v>
      </c>
      <c r="E6480" s="2">
        <f ca="1">IFERROR(__xludf.DUMMYFUNCTION("""COMPUTED_VALUE"""),2)</f>
        <v>2</v>
      </c>
    </row>
    <row r="6481" spans="1:5" ht="13">
      <c r="A6481" s="2" t="str">
        <f ca="1">IFERROR(__xludf.DUMMYFUNCTION("""COMPUTED_VALUE"""),"Pitoni, Giuseppe")</f>
        <v>Pitoni, Giuseppe</v>
      </c>
      <c r="B6481" s="3">
        <f ca="1">IFERROR(__xludf.DUMMYFUNCTION("""COMPUTED_VALUE"""),1)</f>
        <v>1</v>
      </c>
      <c r="C6481" s="7">
        <f ca="1">IFERROR(__xludf.DUMMYFUNCTION("""COMPUTED_VALUE"""),1)</f>
        <v>1</v>
      </c>
      <c r="D6481" s="8">
        <f ca="1">IFERROR(__xludf.DUMMYFUNCTION("""COMPUTED_VALUE"""),5)</f>
        <v>5</v>
      </c>
      <c r="E6481" s="2">
        <f ca="1">IFERROR(__xludf.DUMMYFUNCTION("""COMPUTED_VALUE"""),2)</f>
        <v>2</v>
      </c>
    </row>
    <row r="6482" spans="1:5" ht="13">
      <c r="A6482" s="2" t="str">
        <f ca="1">IFERROR(__xludf.DUMMYFUNCTION("""COMPUTED_VALUE"""),"Pitoni, Giuseppe Ottavio")</f>
        <v>Pitoni, Giuseppe Ottavio</v>
      </c>
      <c r="B6482" s="3">
        <f ca="1">IFERROR(__xludf.DUMMYFUNCTION("""COMPUTED_VALUE"""),1)</f>
        <v>1</v>
      </c>
      <c r="C6482" s="7">
        <f ca="1">IFERROR(__xludf.DUMMYFUNCTION("""COMPUTED_VALUE"""),1)</f>
        <v>1</v>
      </c>
      <c r="D6482" s="8">
        <f ca="1">IFERROR(__xludf.DUMMYFUNCTION("""COMPUTED_VALUE"""),5)</f>
        <v>5</v>
      </c>
      <c r="E6482" s="2">
        <f ca="1">IFERROR(__xludf.DUMMYFUNCTION("""COMPUTED_VALUE"""),2)</f>
        <v>2</v>
      </c>
    </row>
    <row r="6483" spans="1:5" ht="13">
      <c r="A6483" s="2" t="str">
        <f ca="1">IFERROR(__xludf.DUMMYFUNCTION("""COMPUTED_VALUE"""),"Pitter, Donald")</f>
        <v>Pitter, Donald</v>
      </c>
      <c r="B6483" s="2">
        <f ca="1">IFERROR(__xludf.DUMMYFUNCTION("""COMPUTED_VALUE"""),1)</f>
        <v>1</v>
      </c>
      <c r="C6483" s="7">
        <f ca="1">IFERROR(__xludf.DUMMYFUNCTION("""COMPUTED_VALUE"""),1)</f>
        <v>1</v>
      </c>
      <c r="D6483" s="8">
        <f ca="1">IFERROR(__xludf.DUMMYFUNCTION("""COMPUTED_VALUE"""),5)</f>
        <v>5</v>
      </c>
      <c r="E6483" s="2">
        <f ca="1">IFERROR(__xludf.DUMMYFUNCTION("""COMPUTED_VALUE"""),2)</f>
        <v>2</v>
      </c>
    </row>
    <row r="6484" spans="1:5" ht="13">
      <c r="A6484" s="2" t="str">
        <f ca="1">IFERROR(__xludf.DUMMYFUNCTION("""COMPUTED_VALUE"""),"Pitts, William")</f>
        <v>Pitts, William</v>
      </c>
      <c r="B6484" s="3">
        <f ca="1">IFERROR(__xludf.DUMMYFUNCTION("""COMPUTED_VALUE"""),1)</f>
        <v>1</v>
      </c>
      <c r="C6484" s="7">
        <f ca="1">IFERROR(__xludf.DUMMYFUNCTION("""COMPUTED_VALUE"""),1)</f>
        <v>1</v>
      </c>
      <c r="D6484" s="8">
        <f ca="1">IFERROR(__xludf.DUMMYFUNCTION("""COMPUTED_VALUE"""),1)</f>
        <v>1</v>
      </c>
      <c r="E6484" s="2">
        <f ca="1">IFERROR(__xludf.DUMMYFUNCTION("""COMPUTED_VALUE"""),1)</f>
        <v>1</v>
      </c>
    </row>
    <row r="6485" spans="1:5" ht="13">
      <c r="A6485" s="2" t="str">
        <f ca="1">IFERROR(__xludf.DUMMYFUNCTION("""COMPUTED_VALUE"""),"Pixel")</f>
        <v>Pixel</v>
      </c>
      <c r="B6485" s="2">
        <f ca="1">IFERROR(__xludf.DUMMYFUNCTION("""COMPUTED_VALUE"""),1)</f>
        <v>1</v>
      </c>
      <c r="C6485" s="7">
        <f ca="1">IFERROR(__xludf.DUMMYFUNCTION("""COMPUTED_VALUE"""),1)</f>
        <v>1</v>
      </c>
      <c r="D6485" s="8">
        <f ca="1">IFERROR(__xludf.DUMMYFUNCTION("""COMPUTED_VALUE"""),1)</f>
        <v>1</v>
      </c>
      <c r="E6485" s="2">
        <f ca="1">IFERROR(__xludf.DUMMYFUNCTION("""COMPUTED_VALUE"""),1)</f>
        <v>1</v>
      </c>
    </row>
    <row r="6486" spans="1:5" ht="13">
      <c r="A6486" s="2" t="str">
        <f ca="1">IFERROR(__xludf.DUMMYFUNCTION("""COMPUTED_VALUE"""),"Pizzetti, Ildebrando")</f>
        <v>Pizzetti, Ildebrando</v>
      </c>
      <c r="B6486" s="3">
        <f ca="1">IFERROR(__xludf.DUMMYFUNCTION("""COMPUTED_VALUE"""),1)</f>
        <v>1</v>
      </c>
      <c r="C6486" s="7">
        <f ca="1">IFERROR(__xludf.DUMMYFUNCTION("""COMPUTED_VALUE"""),1)</f>
        <v>1</v>
      </c>
      <c r="D6486" s="8">
        <f ca="1">IFERROR(__xludf.DUMMYFUNCTION("""COMPUTED_VALUE"""),5)</f>
        <v>5</v>
      </c>
      <c r="E6486" s="2">
        <f ca="1">IFERROR(__xludf.DUMMYFUNCTION("""COMPUTED_VALUE"""),2)</f>
        <v>2</v>
      </c>
    </row>
    <row r="6487" spans="1:5" ht="13">
      <c r="A6487" s="2" t="str">
        <f ca="1">IFERROR(__xludf.DUMMYFUNCTION("""COMPUTED_VALUE"""),"Pla, Joan Baptista")</f>
        <v>Pla, Joan Baptista</v>
      </c>
      <c r="B6487" s="3">
        <f ca="1">IFERROR(__xludf.DUMMYFUNCTION("""COMPUTED_VALUE"""),1)</f>
        <v>1</v>
      </c>
      <c r="C6487" s="7">
        <f ca="1">IFERROR(__xludf.DUMMYFUNCTION("""COMPUTED_VALUE"""),1)</f>
        <v>1</v>
      </c>
      <c r="D6487" s="8">
        <f ca="1">IFERROR(__xludf.DUMMYFUNCTION("""COMPUTED_VALUE"""),5)</f>
        <v>5</v>
      </c>
      <c r="E6487" s="2">
        <f ca="1">IFERROR(__xludf.DUMMYFUNCTION("""COMPUTED_VALUE"""),2)</f>
        <v>2</v>
      </c>
    </row>
    <row r="6488" spans="1:5" ht="13">
      <c r="A6488" s="2" t="str">
        <f ca="1">IFERROR(__xludf.DUMMYFUNCTION("""COMPUTED_VALUE"""),"Plank, David T.")</f>
        <v>Plank, David T.</v>
      </c>
      <c r="B6488" s="3">
        <f ca="1">IFERROR(__xludf.DUMMYFUNCTION("""COMPUTED_VALUE"""),1)</f>
        <v>1</v>
      </c>
      <c r="C6488" s="7">
        <f ca="1">IFERROR(__xludf.DUMMYFUNCTION("""COMPUTED_VALUE"""),1)</f>
        <v>1</v>
      </c>
      <c r="D6488" s="8">
        <f ca="1">IFERROR(__xludf.DUMMYFUNCTION("""COMPUTED_VALUE"""),5)</f>
        <v>5</v>
      </c>
      <c r="E6488" s="2">
        <f ca="1">IFERROR(__xludf.DUMMYFUNCTION("""COMPUTED_VALUE"""),2)</f>
        <v>2</v>
      </c>
    </row>
    <row r="6489" spans="1:5" ht="13">
      <c r="A6489" s="2" t="str">
        <f ca="1">IFERROR(__xludf.DUMMYFUNCTION("""COMPUTED_VALUE"""),"Planquette, Jean Robert")</f>
        <v>Planquette, Jean Robert</v>
      </c>
      <c r="B6489" s="3">
        <f ca="1">IFERROR(__xludf.DUMMYFUNCTION("""COMPUTED_VALUE"""),1)</f>
        <v>1</v>
      </c>
      <c r="C6489" s="7">
        <f ca="1">IFERROR(__xludf.DUMMYFUNCTION("""COMPUTED_VALUE"""),1)</f>
        <v>1</v>
      </c>
      <c r="D6489" s="8">
        <f ca="1">IFERROR(__xludf.DUMMYFUNCTION("""COMPUTED_VALUE"""),5)</f>
        <v>5</v>
      </c>
      <c r="E6489" s="2">
        <f ca="1">IFERROR(__xludf.DUMMYFUNCTION("""COMPUTED_VALUE"""),2)</f>
        <v>2</v>
      </c>
    </row>
    <row r="6490" spans="1:5" ht="13">
      <c r="A6490" s="2" t="str">
        <f ca="1">IFERROR(__xludf.DUMMYFUNCTION("""COMPUTED_VALUE"""),"Platt, Russell")</f>
        <v>Platt, Russell</v>
      </c>
      <c r="B6490" s="3">
        <f ca="1">IFERROR(__xludf.DUMMYFUNCTION("""COMPUTED_VALUE"""),1)</f>
        <v>1</v>
      </c>
      <c r="C6490" s="7">
        <f ca="1">IFERROR(__xludf.DUMMYFUNCTION("""COMPUTED_VALUE"""),1)</f>
        <v>1</v>
      </c>
      <c r="D6490" s="8">
        <f ca="1">IFERROR(__xludf.DUMMYFUNCTION("""COMPUTED_VALUE"""),1)</f>
        <v>1</v>
      </c>
      <c r="E6490" s="2">
        <f ca="1">IFERROR(__xludf.DUMMYFUNCTION("""COMPUTED_VALUE"""),1)</f>
        <v>1</v>
      </c>
    </row>
    <row r="6491" spans="1:5" ht="13">
      <c r="A6491" s="2" t="str">
        <f ca="1">IFERROR(__xludf.DUMMYFUNCTION("""COMPUTED_VALUE"""),"Platti, Benedetto Giovanni")</f>
        <v>Platti, Benedetto Giovanni</v>
      </c>
      <c r="B6491" s="3">
        <f ca="1">IFERROR(__xludf.DUMMYFUNCTION("""COMPUTED_VALUE"""),1)</f>
        <v>1</v>
      </c>
      <c r="C6491" s="7">
        <f ca="1">IFERROR(__xludf.DUMMYFUNCTION("""COMPUTED_VALUE"""),1)</f>
        <v>1</v>
      </c>
      <c r="D6491" s="8">
        <f ca="1">IFERROR(__xludf.DUMMYFUNCTION("""COMPUTED_VALUE"""),5)</f>
        <v>5</v>
      </c>
      <c r="E6491" s="2">
        <f ca="1">IFERROR(__xludf.DUMMYFUNCTION("""COMPUTED_VALUE"""),2)</f>
        <v>2</v>
      </c>
    </row>
    <row r="6492" spans="1:5" ht="13">
      <c r="A6492" s="2" t="str">
        <f ca="1">IFERROR(__xludf.DUMMYFUNCTION("""COMPUTED_VALUE"""),"Plau, Arild")</f>
        <v>Plau, Arild</v>
      </c>
      <c r="B6492" s="3">
        <f ca="1">IFERROR(__xludf.DUMMYFUNCTION("""COMPUTED_VALUE"""),1)</f>
        <v>1</v>
      </c>
      <c r="C6492" s="7">
        <f ca="1">IFERROR(__xludf.DUMMYFUNCTION("""COMPUTED_VALUE"""),1)</f>
        <v>1</v>
      </c>
      <c r="D6492" s="8">
        <f ca="1">IFERROR(__xludf.DUMMYFUNCTION("""COMPUTED_VALUE"""),1)</f>
        <v>1</v>
      </c>
      <c r="E6492" s="2">
        <f ca="1">IFERROR(__xludf.DUMMYFUNCTION("""COMPUTED_VALUE"""),1)</f>
        <v>1</v>
      </c>
    </row>
    <row r="6493" spans="1:5" ht="13">
      <c r="A6493" s="2" t="str">
        <f ca="1">IFERROR(__xludf.DUMMYFUNCTION("""COMPUTED_VALUE"""),"Playford, John")</f>
        <v>Playford, John</v>
      </c>
      <c r="B6493" s="2">
        <f ca="1">IFERROR(__xludf.DUMMYFUNCTION("""COMPUTED_VALUE"""),1)</f>
        <v>1</v>
      </c>
      <c r="C6493" s="7">
        <f ca="1">IFERROR(__xludf.DUMMYFUNCTION("""COMPUTED_VALUE"""),1)</f>
        <v>1</v>
      </c>
      <c r="D6493" s="8">
        <f ca="1">IFERROR(__xludf.DUMMYFUNCTION("""COMPUTED_VALUE"""),5)</f>
        <v>5</v>
      </c>
      <c r="E6493" s="2">
        <f ca="1">IFERROR(__xludf.DUMMYFUNCTION("""COMPUTED_VALUE"""),2)</f>
        <v>2</v>
      </c>
    </row>
    <row r="6494" spans="1:5" ht="13">
      <c r="A6494" s="2" t="str">
        <f ca="1">IFERROR(__xludf.DUMMYFUNCTION("""COMPUTED_VALUE"""),"Plessis, Jesse")</f>
        <v>Plessis, Jesse</v>
      </c>
      <c r="B6494" s="3">
        <f ca="1">IFERROR(__xludf.DUMMYFUNCTION("""COMPUTED_VALUE"""),1)</f>
        <v>1</v>
      </c>
      <c r="C6494" s="7">
        <f ca="1">IFERROR(__xludf.DUMMYFUNCTION("""COMPUTED_VALUE"""),1)</f>
        <v>1</v>
      </c>
      <c r="D6494" s="8">
        <f ca="1">IFERROR(__xludf.DUMMYFUNCTION("""COMPUTED_VALUE"""),5)</f>
        <v>5</v>
      </c>
      <c r="E6494" s="2">
        <f ca="1">IFERROR(__xludf.DUMMYFUNCTION("""COMPUTED_VALUE"""),2)</f>
        <v>2</v>
      </c>
    </row>
    <row r="6495" spans="1:5" ht="13">
      <c r="A6495" s="2" t="str">
        <f ca="1">IFERROR(__xludf.DUMMYFUNCTION("""COMPUTED_VALUE"""),"Pleyel, Ignaz")</f>
        <v>Pleyel, Ignaz</v>
      </c>
      <c r="B6495" s="3">
        <f ca="1">IFERROR(__xludf.DUMMYFUNCTION("""COMPUTED_VALUE"""),1)</f>
        <v>1</v>
      </c>
      <c r="C6495" s="7">
        <f ca="1">IFERROR(__xludf.DUMMYFUNCTION("""COMPUTED_VALUE"""),1)</f>
        <v>1</v>
      </c>
      <c r="D6495" s="8">
        <f ca="1">IFERROR(__xludf.DUMMYFUNCTION("""COMPUTED_VALUE"""),5)</f>
        <v>5</v>
      </c>
      <c r="E6495" s="2">
        <f ca="1">IFERROR(__xludf.DUMMYFUNCTION("""COMPUTED_VALUE"""),2)</f>
        <v>2</v>
      </c>
    </row>
    <row r="6496" spans="1:5" ht="13">
      <c r="A6496" s="2" t="str">
        <f ca="1">IFERROR(__xludf.DUMMYFUNCTION("""COMPUTED_VALUE"""),"Plog, Anthony")</f>
        <v>Plog, Anthony</v>
      </c>
      <c r="B6496" s="3">
        <f ca="1">IFERROR(__xludf.DUMMYFUNCTION("""COMPUTED_VALUE"""),1)</f>
        <v>1</v>
      </c>
      <c r="C6496" s="7">
        <f ca="1">IFERROR(__xludf.DUMMYFUNCTION("""COMPUTED_VALUE"""),1)</f>
        <v>1</v>
      </c>
      <c r="D6496" s="8">
        <f ca="1">IFERROR(__xludf.DUMMYFUNCTION("""COMPUTED_VALUE"""),1)</f>
        <v>1</v>
      </c>
      <c r="E6496" s="2">
        <f ca="1">IFERROR(__xludf.DUMMYFUNCTION("""COMPUTED_VALUE"""),1)</f>
        <v>1</v>
      </c>
    </row>
    <row r="6497" spans="1:5" ht="13">
      <c r="A6497" s="2" t="str">
        <f ca="1">IFERROR(__xludf.DUMMYFUNCTION("""COMPUTED_VALUE"""),"Ployhar, James")</f>
        <v>Ployhar, James</v>
      </c>
      <c r="B6497" s="3">
        <f ca="1">IFERROR(__xludf.DUMMYFUNCTION("""COMPUTED_VALUE"""),1)</f>
        <v>1</v>
      </c>
      <c r="C6497" s="7">
        <f ca="1">IFERROR(__xludf.DUMMYFUNCTION("""COMPUTED_VALUE"""),1)</f>
        <v>1</v>
      </c>
      <c r="D6497" s="8">
        <f ca="1">IFERROR(__xludf.DUMMYFUNCTION("""COMPUTED_VALUE"""),5)</f>
        <v>5</v>
      </c>
      <c r="E6497" s="2">
        <f ca="1">IFERROR(__xludf.DUMMYFUNCTION("""COMPUTED_VALUE"""),2)</f>
        <v>2</v>
      </c>
    </row>
    <row r="6498" spans="1:5" ht="13">
      <c r="A6498" s="8" t="str">
        <f ca="1">IFERROR(__xludf.DUMMYFUNCTION("""COMPUTED_VALUE"""),"Plumb, Edward")</f>
        <v>Plumb, Edward</v>
      </c>
      <c r="B6498" s="3">
        <f ca="1">IFERROR(__xludf.DUMMYFUNCTION("""COMPUTED_VALUE"""),1)</f>
        <v>1</v>
      </c>
      <c r="C6498" s="7">
        <f ca="1">IFERROR(__xludf.DUMMYFUNCTION("""COMPUTED_VALUE"""),1)</f>
        <v>1</v>
      </c>
      <c r="D6498" s="8">
        <f ca="1">IFERROR(__xludf.DUMMYFUNCTION("""COMPUTED_VALUE"""),5)</f>
        <v>5</v>
      </c>
      <c r="E6498" s="2">
        <f ca="1">IFERROR(__xludf.DUMMYFUNCTION("""COMPUTED_VALUE"""),2)</f>
        <v>2</v>
      </c>
    </row>
    <row r="6499" spans="1:5" ht="13">
      <c r="A6499" s="2" t="str">
        <f ca="1">IFERROR(__xludf.DUMMYFUNCTION("""COMPUTED_VALUE"""),"Pluta, Sam")</f>
        <v>Pluta, Sam</v>
      </c>
      <c r="B6499" s="3">
        <f ca="1">IFERROR(__xludf.DUMMYFUNCTION("""COMPUTED_VALUE"""),1)</f>
        <v>1</v>
      </c>
      <c r="C6499" s="7">
        <f ca="1">IFERROR(__xludf.DUMMYFUNCTION("""COMPUTED_VALUE"""),1)</f>
        <v>1</v>
      </c>
      <c r="D6499" s="8">
        <f ca="1">IFERROR(__xludf.DUMMYFUNCTION("""COMPUTED_VALUE"""),1)</f>
        <v>1</v>
      </c>
      <c r="E6499" s="2">
        <f ca="1">IFERROR(__xludf.DUMMYFUNCTION("""COMPUTED_VALUE"""),1)</f>
        <v>1</v>
      </c>
    </row>
    <row r="6500" spans="1:5" ht="13">
      <c r="A6500" s="8" t="str">
        <f ca="1">IFERROR(__xludf.DUMMYFUNCTION("""COMPUTED_VALUE"""),"Pochon, Alfred")</f>
        <v>Pochon, Alfred</v>
      </c>
      <c r="B6500" s="3">
        <f ca="1">IFERROR(__xludf.DUMMYFUNCTION("""COMPUTED_VALUE"""),1)</f>
        <v>1</v>
      </c>
      <c r="C6500" s="7">
        <f ca="1">IFERROR(__xludf.DUMMYFUNCTION("""COMPUTED_VALUE"""),1)</f>
        <v>1</v>
      </c>
      <c r="D6500" s="8">
        <f ca="1">IFERROR(__xludf.DUMMYFUNCTION("""COMPUTED_VALUE"""),5)</f>
        <v>5</v>
      </c>
      <c r="E6500" s="2">
        <f ca="1">IFERROR(__xludf.DUMMYFUNCTION("""COMPUTED_VALUE"""),2)</f>
        <v>2</v>
      </c>
    </row>
    <row r="6501" spans="1:5" ht="13">
      <c r="A6501" s="2" t="str">
        <f ca="1">IFERROR(__xludf.DUMMYFUNCTION("""COMPUTED_VALUE"""),"Pöckel, Thorvald")</f>
        <v>Pöckel, Thorvald</v>
      </c>
      <c r="B6501" s="2">
        <f ca="1">IFERROR(__xludf.DUMMYFUNCTION("""COMPUTED_VALUE"""),1)</f>
        <v>1</v>
      </c>
      <c r="C6501" s="7">
        <f ca="1">IFERROR(__xludf.DUMMYFUNCTION("""COMPUTED_VALUE"""),1)</f>
        <v>1</v>
      </c>
      <c r="D6501" s="8">
        <f ca="1">IFERROR(__xludf.DUMMYFUNCTION("""COMPUTED_VALUE"""),5)</f>
        <v>5</v>
      </c>
      <c r="E6501" s="2">
        <f ca="1">IFERROR(__xludf.DUMMYFUNCTION("""COMPUTED_VALUE"""),2)</f>
        <v>2</v>
      </c>
    </row>
    <row r="6502" spans="1:5" ht="13">
      <c r="A6502" s="2" t="str">
        <f ca="1">IFERROR(__xludf.DUMMYFUNCTION("""COMPUTED_VALUE"""),"Podd, Adam / Podd, Matt")</f>
        <v>Podd, Adam / Podd, Matt</v>
      </c>
      <c r="B6502" s="2">
        <f ca="1">IFERROR(__xludf.DUMMYFUNCTION("""COMPUTED_VALUE"""),1)</f>
        <v>1</v>
      </c>
      <c r="C6502" s="2">
        <f ca="1">IFERROR(__xludf.DUMMYFUNCTION("""COMPUTED_VALUE"""),1)</f>
        <v>1</v>
      </c>
      <c r="D6502" s="8">
        <f ca="1">IFERROR(__xludf.DUMMYFUNCTION("""COMPUTED_VALUE"""),1)</f>
        <v>1</v>
      </c>
      <c r="E6502" s="2">
        <f ca="1">IFERROR(__xludf.DUMMYFUNCTION("""COMPUTED_VALUE"""),1)</f>
        <v>1</v>
      </c>
    </row>
    <row r="6503" spans="1:5" ht="13">
      <c r="A6503" s="2" t="str">
        <f ca="1">IFERROR(__xludf.DUMMYFUNCTION("""COMPUTED_VALUE"""),"Podd, Matt")</f>
        <v>Podd, Matt</v>
      </c>
      <c r="B6503" s="3">
        <f ca="1">IFERROR(__xludf.DUMMYFUNCTION("""COMPUTED_VALUE"""),1)</f>
        <v>1</v>
      </c>
      <c r="C6503" s="7">
        <f ca="1">IFERROR(__xludf.DUMMYFUNCTION("""COMPUTED_VALUE"""),1)</f>
        <v>1</v>
      </c>
      <c r="D6503" s="8">
        <f ca="1">IFERROR(__xludf.DUMMYFUNCTION("""COMPUTED_VALUE"""),1)</f>
        <v>1</v>
      </c>
      <c r="E6503" s="2">
        <f ca="1">IFERROR(__xludf.DUMMYFUNCTION("""COMPUTED_VALUE"""),1)</f>
        <v>1</v>
      </c>
    </row>
    <row r="6504" spans="1:5" ht="13">
      <c r="A6504" s="2" t="str">
        <f ca="1">IFERROR(__xludf.DUMMYFUNCTION("""COMPUTED_VALUE"""),"Podell, Stefan")</f>
        <v>Podell, Stefan</v>
      </c>
      <c r="B6504" s="2">
        <f ca="1">IFERROR(__xludf.DUMMYFUNCTION("""COMPUTED_VALUE"""),1)</f>
        <v>1</v>
      </c>
      <c r="C6504" s="2">
        <f ca="1">IFERROR(__xludf.DUMMYFUNCTION("""COMPUTED_VALUE"""),1)</f>
        <v>1</v>
      </c>
      <c r="D6504" s="8">
        <f ca="1">IFERROR(__xludf.DUMMYFUNCTION("""COMPUTED_VALUE"""),1)</f>
        <v>1</v>
      </c>
      <c r="E6504" s="2">
        <f ca="1">IFERROR(__xludf.DUMMYFUNCTION("""COMPUTED_VALUE"""),1)</f>
        <v>1</v>
      </c>
    </row>
    <row r="6505" spans="1:5" ht="13">
      <c r="A6505" s="2" t="str">
        <f ca="1">IFERROR(__xludf.DUMMYFUNCTION("""COMPUTED_VALUE"""),"Poelking, Kevin")</f>
        <v>Poelking, Kevin</v>
      </c>
      <c r="B6505" s="3">
        <f ca="1">IFERROR(__xludf.DUMMYFUNCTION("""COMPUTED_VALUE"""),1)</f>
        <v>1</v>
      </c>
      <c r="C6505" s="7">
        <f ca="1">IFERROR(__xludf.DUMMYFUNCTION("""COMPUTED_VALUE"""),1)</f>
        <v>1</v>
      </c>
      <c r="D6505" s="8">
        <f ca="1">IFERROR(__xludf.DUMMYFUNCTION("""COMPUTED_VALUE"""),1)</f>
        <v>1</v>
      </c>
      <c r="E6505" s="2">
        <f ca="1">IFERROR(__xludf.DUMMYFUNCTION("""COMPUTED_VALUE"""),1)</f>
        <v>1</v>
      </c>
    </row>
    <row r="6506" spans="1:5" ht="13">
      <c r="A6506" s="2" t="str">
        <f ca="1">IFERROR(__xludf.DUMMYFUNCTION("""COMPUTED_VALUE"""),"Pola, Eddie / Wyle, George")</f>
        <v>Pola, Eddie / Wyle, George</v>
      </c>
      <c r="B6506" s="3">
        <f ca="1">IFERROR(__xludf.DUMMYFUNCTION("""COMPUTED_VALUE"""),1)</f>
        <v>1</v>
      </c>
      <c r="C6506" s="7">
        <f ca="1">IFERROR(__xludf.DUMMYFUNCTION("""COMPUTED_VALUE"""),1)</f>
        <v>1</v>
      </c>
      <c r="D6506" s="8">
        <f ca="1">IFERROR(__xludf.DUMMYFUNCTION("""COMPUTED_VALUE"""),5)</f>
        <v>5</v>
      </c>
      <c r="E6506" s="2">
        <f ca="1">IFERROR(__xludf.DUMMYFUNCTION("""COMPUTED_VALUE"""),2)</f>
        <v>2</v>
      </c>
    </row>
    <row r="6507" spans="1:5" ht="13">
      <c r="A6507" s="8" t="str">
        <f ca="1">IFERROR(__xludf.DUMMYFUNCTION("""COMPUTED_VALUE"""),"Polay, Bruce")</f>
        <v>Polay, Bruce</v>
      </c>
      <c r="B6507" s="3">
        <f ca="1">IFERROR(__xludf.DUMMYFUNCTION("""COMPUTED_VALUE"""),1)</f>
        <v>1</v>
      </c>
      <c r="C6507" s="7">
        <f ca="1">IFERROR(__xludf.DUMMYFUNCTION("""COMPUTED_VALUE"""),1)</f>
        <v>1</v>
      </c>
      <c r="D6507" s="8">
        <f ca="1">IFERROR(__xludf.DUMMYFUNCTION("""COMPUTED_VALUE"""),5)</f>
        <v>5</v>
      </c>
      <c r="E6507" s="2">
        <f ca="1">IFERROR(__xludf.DUMMYFUNCTION("""COMPUTED_VALUE"""),2)</f>
        <v>2</v>
      </c>
    </row>
    <row r="6508" spans="1:5" ht="13">
      <c r="A6508" s="2" t="str">
        <f ca="1">IFERROR(__xludf.DUMMYFUNCTION("""COMPUTED_VALUE"""),"Poldini, Ede (Eduard)")</f>
        <v>Poldini, Ede (Eduard)</v>
      </c>
      <c r="B6508" s="2">
        <f ca="1">IFERROR(__xludf.DUMMYFUNCTION("""COMPUTED_VALUE"""),1)</f>
        <v>1</v>
      </c>
      <c r="C6508" s="7">
        <f ca="1">IFERROR(__xludf.DUMMYFUNCTION("""COMPUTED_VALUE"""),1)</f>
        <v>1</v>
      </c>
      <c r="D6508" s="8">
        <f ca="1">IFERROR(__xludf.DUMMYFUNCTION("""COMPUTED_VALUE"""),5)</f>
        <v>5</v>
      </c>
      <c r="E6508" s="2">
        <f ca="1">IFERROR(__xludf.DUMMYFUNCTION("""COMPUTED_VALUE"""),2)</f>
        <v>2</v>
      </c>
    </row>
    <row r="6509" spans="1:5" ht="13">
      <c r="A6509" s="2" t="str">
        <f ca="1">IFERROR(__xludf.DUMMYFUNCTION("""COMPUTED_VALUE"""),"Poletti, Luca")</f>
        <v>Poletti, Luca</v>
      </c>
      <c r="B6509" s="2">
        <f ca="1">IFERROR(__xludf.DUMMYFUNCTION("""COMPUTED_VALUE"""),1)</f>
        <v>1</v>
      </c>
      <c r="C6509" s="7">
        <f ca="1">IFERROR(__xludf.DUMMYFUNCTION("""COMPUTED_VALUE"""),1)</f>
        <v>1</v>
      </c>
      <c r="D6509" s="8">
        <f ca="1">IFERROR(__xludf.DUMMYFUNCTION("""COMPUTED_VALUE"""),1)</f>
        <v>1</v>
      </c>
      <c r="E6509" s="2">
        <f ca="1">IFERROR(__xludf.DUMMYFUNCTION("""COMPUTED_VALUE"""),1)</f>
        <v>1</v>
      </c>
    </row>
    <row r="6510" spans="1:5" ht="13">
      <c r="A6510" s="2" t="str">
        <f ca="1">IFERROR(__xludf.DUMMYFUNCTION("""COMPUTED_VALUE"""),"Polifrone, Jon J.")</f>
        <v>Polifrone, Jon J.</v>
      </c>
      <c r="B6510" s="3">
        <f ca="1">IFERROR(__xludf.DUMMYFUNCTION("""COMPUTED_VALUE"""),1)</f>
        <v>1</v>
      </c>
      <c r="C6510" s="7">
        <f ca="1">IFERROR(__xludf.DUMMYFUNCTION("""COMPUTED_VALUE"""),1)</f>
        <v>1</v>
      </c>
      <c r="D6510" s="8">
        <f ca="1">IFERROR(__xludf.DUMMYFUNCTION("""COMPUTED_VALUE"""),5)</f>
        <v>5</v>
      </c>
      <c r="E6510" s="2">
        <f ca="1">IFERROR(__xludf.DUMMYFUNCTION("""COMPUTED_VALUE"""),2)</f>
        <v>2</v>
      </c>
    </row>
    <row r="6511" spans="1:5" ht="13">
      <c r="A6511" s="8" t="str">
        <f ca="1">IFERROR(__xludf.DUMMYFUNCTION("""COMPUTED_VALUE"""),"Polnauer, Josef")</f>
        <v>Polnauer, Josef</v>
      </c>
      <c r="B6511" s="3">
        <f ca="1">IFERROR(__xludf.DUMMYFUNCTION("""COMPUTED_VALUE"""),1)</f>
        <v>1</v>
      </c>
      <c r="C6511" s="7">
        <f ca="1">IFERROR(__xludf.DUMMYFUNCTION("""COMPUTED_VALUE"""),1)</f>
        <v>1</v>
      </c>
      <c r="D6511" s="8">
        <f ca="1">IFERROR(__xludf.DUMMYFUNCTION("""COMPUTED_VALUE"""),5)</f>
        <v>5</v>
      </c>
      <c r="E6511" s="2">
        <f ca="1">IFERROR(__xludf.DUMMYFUNCTION("""COMPUTED_VALUE"""),2)</f>
        <v>2</v>
      </c>
    </row>
    <row r="6512" spans="1:5" ht="13">
      <c r="A6512" s="2" t="str">
        <f ca="1">IFERROR(__xludf.DUMMYFUNCTION("""COMPUTED_VALUE"""),"Polster, Ian")</f>
        <v>Polster, Ian</v>
      </c>
      <c r="B6512" s="2">
        <f ca="1">IFERROR(__xludf.DUMMYFUNCTION("""COMPUTED_VALUE"""),1)</f>
        <v>1</v>
      </c>
      <c r="C6512" s="7">
        <f ca="1">IFERROR(__xludf.DUMMYFUNCTION("""COMPUTED_VALUE"""),1)</f>
        <v>1</v>
      </c>
      <c r="D6512" s="8">
        <f ca="1">IFERROR(__xludf.DUMMYFUNCTION("""COMPUTED_VALUE"""),1)</f>
        <v>1</v>
      </c>
      <c r="E6512" s="2">
        <f ca="1">IFERROR(__xludf.DUMMYFUNCTION("""COMPUTED_VALUE"""),1)</f>
        <v>1</v>
      </c>
    </row>
    <row r="6513" spans="1:5" ht="13">
      <c r="A6513" s="2" t="str">
        <f ca="1">IFERROR(__xludf.DUMMYFUNCTION("""COMPUTED_VALUE"""),"Ponchielli, Amilcare")</f>
        <v>Ponchielli, Amilcare</v>
      </c>
      <c r="B6513" s="3">
        <f ca="1">IFERROR(__xludf.DUMMYFUNCTION("""COMPUTED_VALUE"""),1)</f>
        <v>1</v>
      </c>
      <c r="C6513" s="7">
        <f ca="1">IFERROR(__xludf.DUMMYFUNCTION("""COMPUTED_VALUE"""),1)</f>
        <v>1</v>
      </c>
      <c r="D6513" s="8">
        <f ca="1">IFERROR(__xludf.DUMMYFUNCTION("""COMPUTED_VALUE"""),5)</f>
        <v>5</v>
      </c>
      <c r="E6513" s="3">
        <f ca="1">IFERROR(__xludf.DUMMYFUNCTION("""COMPUTED_VALUE"""),2)</f>
        <v>2</v>
      </c>
    </row>
    <row r="6514" spans="1:5" ht="13">
      <c r="A6514" s="2" t="str">
        <f ca="1">IFERROR(__xludf.DUMMYFUNCTION("""COMPUTED_VALUE"""),"Poole, David")</f>
        <v>Poole, David</v>
      </c>
      <c r="B6514" s="3">
        <f ca="1">IFERROR(__xludf.DUMMYFUNCTION("""COMPUTED_VALUE"""),1)</f>
        <v>1</v>
      </c>
      <c r="C6514" s="7">
        <f ca="1">IFERROR(__xludf.DUMMYFUNCTION("""COMPUTED_VALUE"""),1)</f>
        <v>1</v>
      </c>
      <c r="D6514" s="8">
        <f ca="1">IFERROR(__xludf.DUMMYFUNCTION("""COMPUTED_VALUE"""),1)</f>
        <v>1</v>
      </c>
      <c r="E6514" s="2">
        <f ca="1">IFERROR(__xludf.DUMMYFUNCTION("""COMPUTED_VALUE"""),1)</f>
        <v>1</v>
      </c>
    </row>
    <row r="6515" spans="1:5" ht="13">
      <c r="A6515" s="2" t="str">
        <f ca="1">IFERROR(__xludf.DUMMYFUNCTION("""COMPUTED_VALUE"""),"Poor, Andrew F.")</f>
        <v>Poor, Andrew F.</v>
      </c>
      <c r="B6515" s="3">
        <f ca="1">IFERROR(__xludf.DUMMYFUNCTION("""COMPUTED_VALUE"""),1)</f>
        <v>1</v>
      </c>
      <c r="C6515" s="7">
        <f ca="1">IFERROR(__xludf.DUMMYFUNCTION("""COMPUTED_VALUE"""),1)</f>
        <v>1</v>
      </c>
      <c r="D6515" s="8">
        <f ca="1">IFERROR(__xludf.DUMMYFUNCTION("""COMPUTED_VALUE"""),1)</f>
        <v>1</v>
      </c>
      <c r="E6515" s="2">
        <f ca="1">IFERROR(__xludf.DUMMYFUNCTION("""COMPUTED_VALUE"""),1)</f>
        <v>1</v>
      </c>
    </row>
    <row r="6516" spans="1:5" ht="13">
      <c r="A6516" s="2" t="str">
        <f ca="1">IFERROR(__xludf.DUMMYFUNCTION("""COMPUTED_VALUE"""),"Pop, Adrian")</f>
        <v>Pop, Adrian</v>
      </c>
      <c r="B6516" s="3">
        <f ca="1">IFERROR(__xludf.DUMMYFUNCTION("""COMPUTED_VALUE"""),1)</f>
        <v>1</v>
      </c>
      <c r="C6516" s="7">
        <f ca="1">IFERROR(__xludf.DUMMYFUNCTION("""COMPUTED_VALUE"""),1)</f>
        <v>1</v>
      </c>
      <c r="D6516" s="8">
        <f ca="1">IFERROR(__xludf.DUMMYFUNCTION("""COMPUTED_VALUE"""),1)</f>
        <v>1</v>
      </c>
      <c r="E6516" s="2">
        <f ca="1">IFERROR(__xludf.DUMMYFUNCTION("""COMPUTED_VALUE"""),1)</f>
        <v>1</v>
      </c>
    </row>
    <row r="6517" spans="1:5" ht="13">
      <c r="A6517" s="2" t="str">
        <f ca="1">IFERROR(__xludf.DUMMYFUNCTION("""COMPUTED_VALUE"""),"Popp, Harold")</f>
        <v>Popp, Harold</v>
      </c>
      <c r="B6517" s="3">
        <f ca="1">IFERROR(__xludf.DUMMYFUNCTION("""COMPUTED_VALUE"""),1)</f>
        <v>1</v>
      </c>
      <c r="C6517" s="7">
        <f ca="1">IFERROR(__xludf.DUMMYFUNCTION("""COMPUTED_VALUE"""),1)</f>
        <v>1</v>
      </c>
      <c r="D6517" s="8">
        <f ca="1">IFERROR(__xludf.DUMMYFUNCTION("""COMPUTED_VALUE"""),1)</f>
        <v>1</v>
      </c>
      <c r="E6517" s="2">
        <f ca="1">IFERROR(__xludf.DUMMYFUNCTION("""COMPUTED_VALUE"""),1)</f>
        <v>1</v>
      </c>
    </row>
    <row r="6518" spans="1:5" ht="13">
      <c r="A6518" s="8" t="str">
        <f ca="1">IFERROR(__xludf.DUMMYFUNCTION("""COMPUTED_VALUE"""),"Popp, William")</f>
        <v>Popp, William</v>
      </c>
      <c r="B6518" s="3">
        <f ca="1">IFERROR(__xludf.DUMMYFUNCTION("""COMPUTED_VALUE"""),1)</f>
        <v>1</v>
      </c>
      <c r="C6518" s="7">
        <f ca="1">IFERROR(__xludf.DUMMYFUNCTION("""COMPUTED_VALUE"""),1)</f>
        <v>1</v>
      </c>
      <c r="D6518" s="8">
        <f ca="1">IFERROR(__xludf.DUMMYFUNCTION("""COMPUTED_VALUE"""),1)</f>
        <v>1</v>
      </c>
      <c r="E6518" s="2">
        <f ca="1">IFERROR(__xludf.DUMMYFUNCTION("""COMPUTED_VALUE"""),1)</f>
        <v>1</v>
      </c>
    </row>
    <row r="6519" spans="1:5" ht="13">
      <c r="A6519" s="2" t="str">
        <f ca="1">IFERROR(__xludf.DUMMYFUNCTION("""COMPUTED_VALUE"""),"Poppe, Enno")</f>
        <v>Poppe, Enno</v>
      </c>
      <c r="B6519" s="3">
        <f ca="1">IFERROR(__xludf.DUMMYFUNCTION("""COMPUTED_VALUE"""),1)</f>
        <v>1</v>
      </c>
      <c r="C6519" s="7">
        <f ca="1">IFERROR(__xludf.DUMMYFUNCTION("""COMPUTED_VALUE"""),1)</f>
        <v>1</v>
      </c>
      <c r="D6519" s="8">
        <f ca="1">IFERROR(__xludf.DUMMYFUNCTION("""COMPUTED_VALUE"""),1)</f>
        <v>1</v>
      </c>
      <c r="E6519" s="2">
        <f ca="1">IFERROR(__xludf.DUMMYFUNCTION("""COMPUTED_VALUE"""),1)</f>
        <v>1</v>
      </c>
    </row>
    <row r="6520" spans="1:5" ht="13">
      <c r="A6520" s="2" t="str">
        <f ca="1">IFERROR(__xludf.DUMMYFUNCTION("""COMPUTED_VALUE"""),"Popper, David")</f>
        <v>Popper, David</v>
      </c>
      <c r="B6520" s="3">
        <f ca="1">IFERROR(__xludf.DUMMYFUNCTION("""COMPUTED_VALUE"""),1)</f>
        <v>1</v>
      </c>
      <c r="C6520" s="7">
        <f ca="1">IFERROR(__xludf.DUMMYFUNCTION("""COMPUTED_VALUE"""),1)</f>
        <v>1</v>
      </c>
      <c r="D6520" s="8">
        <f ca="1">IFERROR(__xludf.DUMMYFUNCTION("""COMPUTED_VALUE"""),5)</f>
        <v>5</v>
      </c>
      <c r="E6520" s="2">
        <f ca="1">IFERROR(__xludf.DUMMYFUNCTION("""COMPUTED_VALUE"""),2)</f>
        <v>2</v>
      </c>
    </row>
    <row r="6521" spans="1:5" ht="13">
      <c r="A6521" s="2" t="str">
        <f ca="1">IFERROR(__xludf.DUMMYFUNCTION("""COMPUTED_VALUE"""),"Pordon, William")</f>
        <v>Pordon, William</v>
      </c>
      <c r="B6521" s="3">
        <f ca="1">IFERROR(__xludf.DUMMYFUNCTION("""COMPUTED_VALUE"""),1)</f>
        <v>1</v>
      </c>
      <c r="C6521" s="7">
        <f ca="1">IFERROR(__xludf.DUMMYFUNCTION("""COMPUTED_VALUE"""),1)</f>
        <v>1</v>
      </c>
      <c r="D6521" s="8">
        <f ca="1">IFERROR(__xludf.DUMMYFUNCTION("""COMPUTED_VALUE"""),5)</f>
        <v>5</v>
      </c>
      <c r="E6521" s="2">
        <f ca="1">IFERROR(__xludf.DUMMYFUNCTION("""COMPUTED_VALUE"""),2)</f>
        <v>2</v>
      </c>
    </row>
    <row r="6522" spans="1:5" ht="13">
      <c r="A6522" s="2" t="str">
        <f ca="1">IFERROR(__xludf.DUMMYFUNCTION("""COMPUTED_VALUE"""),"Porpora, Nicola")</f>
        <v>Porpora, Nicola</v>
      </c>
      <c r="B6522" s="3">
        <f ca="1">IFERROR(__xludf.DUMMYFUNCTION("""COMPUTED_VALUE"""),1)</f>
        <v>1</v>
      </c>
      <c r="C6522" s="7">
        <f ca="1">IFERROR(__xludf.DUMMYFUNCTION("""COMPUTED_VALUE"""),1)</f>
        <v>1</v>
      </c>
      <c r="D6522" s="8">
        <f ca="1">IFERROR(__xludf.DUMMYFUNCTION("""COMPUTED_VALUE"""),5)</f>
        <v>5</v>
      </c>
      <c r="E6522" s="2">
        <f ca="1">IFERROR(__xludf.DUMMYFUNCTION("""COMPUTED_VALUE"""),2)</f>
        <v>2</v>
      </c>
    </row>
    <row r="6523" spans="1:5" ht="13">
      <c r="A6523" s="2" t="str">
        <f ca="1">IFERROR(__xludf.DUMMYFUNCTION("""COMPUTED_VALUE"""),"Porter, Cole")</f>
        <v>Porter, Cole</v>
      </c>
      <c r="B6523" s="3">
        <f ca="1">IFERROR(__xludf.DUMMYFUNCTION("""COMPUTED_VALUE"""),1)</f>
        <v>1</v>
      </c>
      <c r="C6523" s="7">
        <f ca="1">IFERROR(__xludf.DUMMYFUNCTION("""COMPUTED_VALUE"""),1)</f>
        <v>1</v>
      </c>
      <c r="D6523" s="8">
        <f ca="1">IFERROR(__xludf.DUMMYFUNCTION("""COMPUTED_VALUE"""),5)</f>
        <v>5</v>
      </c>
      <c r="E6523" s="2">
        <f ca="1">IFERROR(__xludf.DUMMYFUNCTION("""COMPUTED_VALUE"""),2)</f>
        <v>2</v>
      </c>
    </row>
    <row r="6524" spans="1:5" ht="13">
      <c r="A6524" s="2" t="str">
        <f ca="1">IFERROR(__xludf.DUMMYFUNCTION("""COMPUTED_VALUE"""),"Porter, Cole orch. Koechlin")</f>
        <v>Porter, Cole orch. Koechlin</v>
      </c>
      <c r="B6524" s="3">
        <f ca="1">IFERROR(__xludf.DUMMYFUNCTION("""COMPUTED_VALUE"""),1)</f>
        <v>1</v>
      </c>
      <c r="C6524" s="7">
        <f ca="1">IFERROR(__xludf.DUMMYFUNCTION("""COMPUTED_VALUE"""),1)</f>
        <v>1</v>
      </c>
      <c r="D6524" s="8">
        <f ca="1">IFERROR(__xludf.DUMMYFUNCTION("""COMPUTED_VALUE"""),5)</f>
        <v>5</v>
      </c>
      <c r="E6524" s="2">
        <f ca="1">IFERROR(__xludf.DUMMYFUNCTION("""COMPUTED_VALUE"""),2)</f>
        <v>2</v>
      </c>
    </row>
    <row r="6525" spans="1:5" ht="13">
      <c r="A6525" s="2" t="str">
        <f ca="1">IFERROR(__xludf.DUMMYFUNCTION("""COMPUTED_VALUE"""),"Porter, Gregg")</f>
        <v>Porter, Gregg</v>
      </c>
      <c r="B6525" s="3">
        <f ca="1">IFERROR(__xludf.DUMMYFUNCTION("""COMPUTED_VALUE"""),1)</f>
        <v>1</v>
      </c>
      <c r="C6525" s="7">
        <f ca="1">IFERROR(__xludf.DUMMYFUNCTION("""COMPUTED_VALUE"""),1)</f>
        <v>1</v>
      </c>
      <c r="D6525" s="8">
        <f ca="1">IFERROR(__xludf.DUMMYFUNCTION("""COMPUTED_VALUE"""),1)</f>
        <v>1</v>
      </c>
      <c r="E6525" s="2">
        <f ca="1">IFERROR(__xludf.DUMMYFUNCTION("""COMPUTED_VALUE"""),1)</f>
        <v>1</v>
      </c>
    </row>
    <row r="6526" spans="1:5" ht="13">
      <c r="A6526" s="2" t="str">
        <f ca="1">IFERROR(__xludf.DUMMYFUNCTION("""COMPUTED_VALUE"""),"Porter, Quincy")</f>
        <v>Porter, Quincy</v>
      </c>
      <c r="B6526" s="3">
        <f ca="1">IFERROR(__xludf.DUMMYFUNCTION("""COMPUTED_VALUE"""),1)</f>
        <v>1</v>
      </c>
      <c r="C6526" s="7">
        <f ca="1">IFERROR(__xludf.DUMMYFUNCTION("""COMPUTED_VALUE"""),1)</f>
        <v>1</v>
      </c>
      <c r="D6526" s="8">
        <f ca="1">IFERROR(__xludf.DUMMYFUNCTION("""COMPUTED_VALUE"""),5)</f>
        <v>5</v>
      </c>
      <c r="E6526" s="2">
        <f ca="1">IFERROR(__xludf.DUMMYFUNCTION("""COMPUTED_VALUE"""),2)</f>
        <v>2</v>
      </c>
    </row>
    <row r="6527" spans="1:5" ht="13">
      <c r="A6527" s="2" t="str">
        <f ca="1">IFERROR(__xludf.DUMMYFUNCTION("""COMPUTED_VALUE"""),"Porter, Steven")</f>
        <v>Porter, Steven</v>
      </c>
      <c r="B6527" s="3">
        <f ca="1">IFERROR(__xludf.DUMMYFUNCTION("""COMPUTED_VALUE"""),1)</f>
        <v>1</v>
      </c>
      <c r="C6527" s="7">
        <f ca="1">IFERROR(__xludf.DUMMYFUNCTION("""COMPUTED_VALUE"""),1)</f>
        <v>1</v>
      </c>
      <c r="D6527" s="8">
        <f ca="1">IFERROR(__xludf.DUMMYFUNCTION("""COMPUTED_VALUE"""),1)</f>
        <v>1</v>
      </c>
      <c r="E6527" s="2">
        <f ca="1">IFERROR(__xludf.DUMMYFUNCTION("""COMPUTED_VALUE"""),1)</f>
        <v>1</v>
      </c>
    </row>
    <row r="6528" spans="1:5" ht="13">
      <c r="A6528" s="2" t="str">
        <f ca="1">IFERROR(__xludf.DUMMYFUNCTION("""COMPUTED_VALUE"""),"Porter, Tom")</f>
        <v>Porter, Tom</v>
      </c>
      <c r="B6528" s="3">
        <f ca="1">IFERROR(__xludf.DUMMYFUNCTION("""COMPUTED_VALUE"""),1)</f>
        <v>1</v>
      </c>
      <c r="C6528" s="7">
        <f ca="1">IFERROR(__xludf.DUMMYFUNCTION("""COMPUTED_VALUE"""),1)</f>
        <v>1</v>
      </c>
      <c r="D6528" s="8">
        <f ca="1">IFERROR(__xludf.DUMMYFUNCTION("""COMPUTED_VALUE"""),1)</f>
        <v>1</v>
      </c>
      <c r="E6528" s="2">
        <f ca="1">IFERROR(__xludf.DUMMYFUNCTION("""COMPUTED_VALUE"""),1)</f>
        <v>1</v>
      </c>
    </row>
    <row r="6529" spans="1:5" ht="13">
      <c r="A6529" s="2" t="str">
        <f ca="1">IFERROR(__xludf.DUMMYFUNCTION("""COMPUTED_VALUE"""),"Porter, Walter")</f>
        <v>Porter, Walter</v>
      </c>
      <c r="B6529" s="2">
        <f ca="1">IFERROR(__xludf.DUMMYFUNCTION("""COMPUTED_VALUE"""),1)</f>
        <v>1</v>
      </c>
      <c r="C6529" s="7">
        <f ca="1">IFERROR(__xludf.DUMMYFUNCTION("""COMPUTED_VALUE"""),1)</f>
        <v>1</v>
      </c>
      <c r="D6529" s="8">
        <f ca="1">IFERROR(__xludf.DUMMYFUNCTION("""COMPUTED_VALUE"""),5)</f>
        <v>5</v>
      </c>
      <c r="E6529" s="2">
        <f ca="1">IFERROR(__xludf.DUMMYFUNCTION("""COMPUTED_VALUE"""),2)</f>
        <v>2</v>
      </c>
    </row>
    <row r="6530" spans="1:5" ht="13">
      <c r="A6530" s="8" t="str">
        <f ca="1">IFERROR(__xludf.DUMMYFUNCTION("""COMPUTED_VALUE"""),"Portnoy, Marshall")</f>
        <v>Portnoy, Marshall</v>
      </c>
      <c r="B6530" s="3">
        <f ca="1">IFERROR(__xludf.DUMMYFUNCTION("""COMPUTED_VALUE"""),1)</f>
        <v>1</v>
      </c>
      <c r="C6530" s="7">
        <f ca="1">IFERROR(__xludf.DUMMYFUNCTION("""COMPUTED_VALUE"""),1)</f>
        <v>1</v>
      </c>
      <c r="D6530" s="8">
        <f ca="1">IFERROR(__xludf.DUMMYFUNCTION("""COMPUTED_VALUE"""),1)</f>
        <v>1</v>
      </c>
      <c r="E6530" s="2">
        <f ca="1">IFERROR(__xludf.DUMMYFUNCTION("""COMPUTED_VALUE"""),1)</f>
        <v>1</v>
      </c>
    </row>
    <row r="6531" spans="1:5" ht="13">
      <c r="A6531" s="8" t="str">
        <f ca="1">IFERROR(__xludf.DUMMYFUNCTION("""COMPUTED_VALUE"""),"Post, Mike / Carpenter, Pete")</f>
        <v>Post, Mike / Carpenter, Pete</v>
      </c>
      <c r="B6531" s="3">
        <f ca="1">IFERROR(__xludf.DUMMYFUNCTION("""COMPUTED_VALUE"""),1)</f>
        <v>1</v>
      </c>
      <c r="C6531" s="7">
        <f ca="1">IFERROR(__xludf.DUMMYFUNCTION("""COMPUTED_VALUE"""),1)</f>
        <v>1</v>
      </c>
      <c r="D6531" s="8">
        <f ca="1">IFERROR(__xludf.DUMMYFUNCTION("""COMPUTED_VALUE"""),5)</f>
        <v>5</v>
      </c>
      <c r="E6531" s="2">
        <f ca="1">IFERROR(__xludf.DUMMYFUNCTION("""COMPUTED_VALUE"""),2)</f>
        <v>2</v>
      </c>
    </row>
    <row r="6532" spans="1:5" ht="13">
      <c r="A6532" s="2" t="str">
        <f ca="1">IFERROR(__xludf.DUMMYFUNCTION("""COMPUTED_VALUE"""),"Pote, Allen")</f>
        <v>Pote, Allen</v>
      </c>
      <c r="B6532" s="3">
        <f ca="1">IFERROR(__xludf.DUMMYFUNCTION("""COMPUTED_VALUE"""),1)</f>
        <v>1</v>
      </c>
      <c r="C6532" s="7">
        <f ca="1">IFERROR(__xludf.DUMMYFUNCTION("""COMPUTED_VALUE"""),1)</f>
        <v>1</v>
      </c>
      <c r="D6532" s="8">
        <f ca="1">IFERROR(__xludf.DUMMYFUNCTION("""COMPUTED_VALUE"""),1)</f>
        <v>1</v>
      </c>
      <c r="E6532" s="2">
        <f ca="1">IFERROR(__xludf.DUMMYFUNCTION("""COMPUTED_VALUE"""),1)</f>
        <v>1</v>
      </c>
    </row>
    <row r="6533" spans="1:5" ht="13">
      <c r="A6533" s="2" t="str">
        <f ca="1">IFERROR(__xludf.DUMMYFUNCTION("""COMPUTED_VALUE"""),"Pote, David")</f>
        <v>Pote, David</v>
      </c>
      <c r="B6533" s="3">
        <f ca="1">IFERROR(__xludf.DUMMYFUNCTION("""COMPUTED_VALUE"""),1)</f>
        <v>1</v>
      </c>
      <c r="C6533" s="7">
        <f ca="1">IFERROR(__xludf.DUMMYFUNCTION("""COMPUTED_VALUE"""),1)</f>
        <v>1</v>
      </c>
      <c r="D6533" s="8">
        <f ca="1">IFERROR(__xludf.DUMMYFUNCTION("""COMPUTED_VALUE"""),1)</f>
        <v>1</v>
      </c>
      <c r="E6533" s="2">
        <f ca="1">IFERROR(__xludf.DUMMYFUNCTION("""COMPUTED_VALUE"""),1)</f>
        <v>1</v>
      </c>
    </row>
    <row r="6534" spans="1:5" ht="13">
      <c r="A6534" s="8" t="str">
        <f ca="1">IFERROR(__xludf.DUMMYFUNCTION("""COMPUTED_VALUE"""),"Pote, Michael")</f>
        <v>Pote, Michael</v>
      </c>
      <c r="B6534" s="3">
        <f ca="1">IFERROR(__xludf.DUMMYFUNCTION("""COMPUTED_VALUE"""),1)</f>
        <v>1</v>
      </c>
      <c r="C6534" s="7">
        <f ca="1">IFERROR(__xludf.DUMMYFUNCTION("""COMPUTED_VALUE"""),1)</f>
        <v>1</v>
      </c>
      <c r="D6534" s="8">
        <f ca="1">IFERROR(__xludf.DUMMYFUNCTION("""COMPUTED_VALUE"""),1)</f>
        <v>1</v>
      </c>
      <c r="E6534" s="2">
        <f ca="1">IFERROR(__xludf.DUMMYFUNCTION("""COMPUTED_VALUE"""),1)</f>
        <v>1</v>
      </c>
    </row>
    <row r="6535" spans="1:5" ht="13">
      <c r="A6535" s="2" t="str">
        <f ca="1">IFERROR(__xludf.DUMMYFUNCTION("""COMPUTED_VALUE"""),"Potter, Chris")</f>
        <v>Potter, Chris</v>
      </c>
      <c r="B6535" s="3">
        <f ca="1">IFERROR(__xludf.DUMMYFUNCTION("""COMPUTED_VALUE"""),1)</f>
        <v>1</v>
      </c>
      <c r="C6535" s="7">
        <f ca="1">IFERROR(__xludf.DUMMYFUNCTION("""COMPUTED_VALUE"""),1)</f>
        <v>1</v>
      </c>
      <c r="D6535" s="8">
        <f ca="1">IFERROR(__xludf.DUMMYFUNCTION("""COMPUTED_VALUE"""),1)</f>
        <v>1</v>
      </c>
      <c r="E6535" s="2">
        <f ca="1">IFERROR(__xludf.DUMMYFUNCTION("""COMPUTED_VALUE"""),1)</f>
        <v>1</v>
      </c>
    </row>
    <row r="6536" spans="1:5" ht="13">
      <c r="A6536" s="2" t="str">
        <f ca="1">IFERROR(__xludf.DUMMYFUNCTION("""COMPUTED_VALUE"""),"Potter, Kenney")</f>
        <v>Potter, Kenney</v>
      </c>
      <c r="B6536" s="3">
        <f ca="1">IFERROR(__xludf.DUMMYFUNCTION("""COMPUTED_VALUE"""),1)</f>
        <v>1</v>
      </c>
      <c r="C6536" s="7">
        <f ca="1">IFERROR(__xludf.DUMMYFUNCTION("""COMPUTED_VALUE"""),1)</f>
        <v>1</v>
      </c>
      <c r="D6536" s="8">
        <f ca="1">IFERROR(__xludf.DUMMYFUNCTION("""COMPUTED_VALUE"""),1)</f>
        <v>1</v>
      </c>
      <c r="E6536" s="2">
        <f ca="1">IFERROR(__xludf.DUMMYFUNCTION("""COMPUTED_VALUE"""),1)</f>
        <v>1</v>
      </c>
    </row>
    <row r="6537" spans="1:5" ht="13">
      <c r="A6537" s="2" t="str">
        <f ca="1">IFERROR(__xludf.DUMMYFUNCTION("""COMPUTED_VALUE"""),"Pottle, Sam")</f>
        <v>Pottle, Sam</v>
      </c>
      <c r="B6537" s="3">
        <f ca="1">IFERROR(__xludf.DUMMYFUNCTION("""COMPUTED_VALUE"""),1)</f>
        <v>1</v>
      </c>
      <c r="C6537" s="7">
        <f ca="1">IFERROR(__xludf.DUMMYFUNCTION("""COMPUTED_VALUE"""),1)</f>
        <v>1</v>
      </c>
      <c r="D6537" s="8">
        <f ca="1">IFERROR(__xludf.DUMMYFUNCTION("""COMPUTED_VALUE"""),5)</f>
        <v>5</v>
      </c>
      <c r="E6537" s="2">
        <f ca="1">IFERROR(__xludf.DUMMYFUNCTION("""COMPUTED_VALUE"""),2)</f>
        <v>2</v>
      </c>
    </row>
    <row r="6538" spans="1:5" ht="13">
      <c r="A6538" s="8" t="str">
        <f ca="1">IFERROR(__xludf.DUMMYFUNCTION("""COMPUTED_VALUE"""),"Pottle, Sam / Henson, Jim")</f>
        <v>Pottle, Sam / Henson, Jim</v>
      </c>
      <c r="B6538" s="3">
        <f ca="1">IFERROR(__xludf.DUMMYFUNCTION("""COMPUTED_VALUE"""),1)</f>
        <v>1</v>
      </c>
      <c r="C6538" s="7">
        <f ca="1">IFERROR(__xludf.DUMMYFUNCTION("""COMPUTED_VALUE"""),1)</f>
        <v>1</v>
      </c>
      <c r="D6538" s="8">
        <f ca="1">IFERROR(__xludf.DUMMYFUNCTION("""COMPUTED_VALUE"""),5)</f>
        <v>5</v>
      </c>
      <c r="E6538" s="2">
        <f ca="1">IFERROR(__xludf.DUMMYFUNCTION("""COMPUTED_VALUE"""),2)</f>
        <v>2</v>
      </c>
    </row>
    <row r="6539" spans="1:5" ht="13">
      <c r="A6539" s="2" t="str">
        <f ca="1">IFERROR(__xludf.DUMMYFUNCTION("""COMPUTED_VALUE"""),"Potts, Bill")</f>
        <v>Potts, Bill</v>
      </c>
      <c r="B6539" s="3">
        <f ca="1">IFERROR(__xludf.DUMMYFUNCTION("""COMPUTED_VALUE"""),1)</f>
        <v>1</v>
      </c>
      <c r="C6539" s="7">
        <f ca="1">IFERROR(__xludf.DUMMYFUNCTION("""COMPUTED_VALUE"""),1)</f>
        <v>1</v>
      </c>
      <c r="D6539" s="8">
        <f ca="1">IFERROR(__xludf.DUMMYFUNCTION("""COMPUTED_VALUE"""),1)</f>
        <v>1</v>
      </c>
      <c r="E6539" s="2">
        <f ca="1">IFERROR(__xludf.DUMMYFUNCTION("""COMPUTED_VALUE"""),1)</f>
        <v>1</v>
      </c>
    </row>
    <row r="6540" spans="1:5" ht="13">
      <c r="A6540" s="2" t="str">
        <f ca="1">IFERROR(__xludf.DUMMYFUNCTION("""COMPUTED_VALUE"""),"Poulan, Key")</f>
        <v>Poulan, Key</v>
      </c>
      <c r="B6540" s="3">
        <f ca="1">IFERROR(__xludf.DUMMYFUNCTION("""COMPUTED_VALUE"""),1)</f>
        <v>1</v>
      </c>
      <c r="C6540" s="7">
        <f ca="1">IFERROR(__xludf.DUMMYFUNCTION("""COMPUTED_VALUE"""),1)</f>
        <v>1</v>
      </c>
      <c r="D6540" s="8">
        <f ca="1">IFERROR(__xludf.DUMMYFUNCTION("""COMPUTED_VALUE"""),1)</f>
        <v>1</v>
      </c>
      <c r="E6540" s="2">
        <f ca="1">IFERROR(__xludf.DUMMYFUNCTION("""COMPUTED_VALUE"""),1)</f>
        <v>1</v>
      </c>
    </row>
    <row r="6541" spans="1:5" ht="13">
      <c r="A6541" s="2" t="str">
        <f ca="1">IFERROR(__xludf.DUMMYFUNCTION("""COMPUTED_VALUE"""),"Poulenc, Francis")</f>
        <v>Poulenc, Francis</v>
      </c>
      <c r="B6541" s="3">
        <f ca="1">IFERROR(__xludf.DUMMYFUNCTION("""COMPUTED_VALUE"""),1)</f>
        <v>1</v>
      </c>
      <c r="C6541" s="7">
        <f ca="1">IFERROR(__xludf.DUMMYFUNCTION("""COMPUTED_VALUE"""),1)</f>
        <v>1</v>
      </c>
      <c r="D6541" s="8">
        <f ca="1">IFERROR(__xludf.DUMMYFUNCTION("""COMPUTED_VALUE"""),5)</f>
        <v>5</v>
      </c>
      <c r="E6541" s="2">
        <f ca="1">IFERROR(__xludf.DUMMYFUNCTION("""COMPUTED_VALUE"""),2)</f>
        <v>2</v>
      </c>
    </row>
    <row r="6542" spans="1:5" ht="13">
      <c r="A6542" s="2" t="str">
        <f ca="1">IFERROR(__xludf.DUMMYFUNCTION("""COMPUTED_VALUE"""),"Poulter, Zachary")</f>
        <v>Poulter, Zachary</v>
      </c>
      <c r="B6542" s="3">
        <f ca="1">IFERROR(__xludf.DUMMYFUNCTION("""COMPUTED_VALUE"""),1)</f>
        <v>1</v>
      </c>
      <c r="C6542" s="7">
        <f ca="1">IFERROR(__xludf.DUMMYFUNCTION("""COMPUTED_VALUE"""),1)</f>
        <v>1</v>
      </c>
      <c r="D6542" s="8">
        <f ca="1">IFERROR(__xludf.DUMMYFUNCTION("""COMPUTED_VALUE"""),1)</f>
        <v>1</v>
      </c>
      <c r="E6542" s="2">
        <f ca="1">IFERROR(__xludf.DUMMYFUNCTION("""COMPUTED_VALUE"""),1)</f>
        <v>1</v>
      </c>
    </row>
    <row r="6543" spans="1:5" ht="13">
      <c r="A6543" s="2" t="str">
        <f ca="1">IFERROR(__xludf.DUMMYFUNCTION("""COMPUTED_VALUE"""),"Poulton, George / Presley, Elvis / Matson, Vera / Fosdick, W.")</f>
        <v>Poulton, George / Presley, Elvis / Matson, Vera / Fosdick, W.</v>
      </c>
      <c r="B6543" s="2">
        <f ca="1">IFERROR(__xludf.DUMMYFUNCTION("""COMPUTED_VALUE"""),1)</f>
        <v>1</v>
      </c>
      <c r="C6543" s="7">
        <f ca="1">IFERROR(__xludf.DUMMYFUNCTION("""COMPUTED_VALUE"""),1)</f>
        <v>1</v>
      </c>
      <c r="D6543" s="8">
        <f ca="1">IFERROR(__xludf.DUMMYFUNCTION("""COMPUTED_VALUE"""),5)</f>
        <v>5</v>
      </c>
      <c r="E6543" s="2">
        <f ca="1">IFERROR(__xludf.DUMMYFUNCTION("""COMPUTED_VALUE"""),2)</f>
        <v>2</v>
      </c>
    </row>
    <row r="6544" spans="1:5" ht="13">
      <c r="A6544" s="8" t="str">
        <f ca="1">IFERROR(__xludf.DUMMYFUNCTION("""COMPUTED_VALUE"""),"Poulton, George R.")</f>
        <v>Poulton, George R.</v>
      </c>
      <c r="B6544" s="3">
        <f ca="1">IFERROR(__xludf.DUMMYFUNCTION("""COMPUTED_VALUE"""),1)</f>
        <v>1</v>
      </c>
      <c r="C6544" s="7">
        <f ca="1">IFERROR(__xludf.DUMMYFUNCTION("""COMPUTED_VALUE"""),1)</f>
        <v>1</v>
      </c>
      <c r="D6544" s="8">
        <f ca="1">IFERROR(__xludf.DUMMYFUNCTION("""COMPUTED_VALUE"""),5)</f>
        <v>5</v>
      </c>
      <c r="E6544" s="2">
        <f ca="1">IFERROR(__xludf.DUMMYFUNCTION("""COMPUTED_VALUE"""),2)</f>
        <v>2</v>
      </c>
    </row>
    <row r="6545" spans="1:5" ht="13">
      <c r="A6545" s="2" t="str">
        <f ca="1">IFERROR(__xludf.DUMMYFUNCTION("""COMPUTED_VALUE"""),"Powell, John")</f>
        <v>Powell, John</v>
      </c>
      <c r="B6545" s="3">
        <f ca="1">IFERROR(__xludf.DUMMYFUNCTION("""COMPUTED_VALUE"""),1)</f>
        <v>1</v>
      </c>
      <c r="C6545" s="7">
        <f ca="1">IFERROR(__xludf.DUMMYFUNCTION("""COMPUTED_VALUE"""),1)</f>
        <v>1</v>
      </c>
      <c r="D6545" s="8">
        <f ca="1">IFERROR(__xludf.DUMMYFUNCTION("""COMPUTED_VALUE"""),1)</f>
        <v>1</v>
      </c>
      <c r="E6545" s="2">
        <f ca="1">IFERROR(__xludf.DUMMYFUNCTION("""COMPUTED_VALUE"""),1)</f>
        <v>1</v>
      </c>
    </row>
    <row r="6546" spans="1:5" ht="13">
      <c r="A6546" s="8" t="str">
        <f ca="1">IFERROR(__xludf.DUMMYFUNCTION("""COMPUTED_VALUE"""),"Powell, Laurence")</f>
        <v>Powell, Laurence</v>
      </c>
      <c r="B6546" s="3">
        <f ca="1">IFERROR(__xludf.DUMMYFUNCTION("""COMPUTED_VALUE"""),1)</f>
        <v>1</v>
      </c>
      <c r="C6546" s="7">
        <f ca="1">IFERROR(__xludf.DUMMYFUNCTION("""COMPUTED_VALUE"""),1)</f>
        <v>1</v>
      </c>
      <c r="D6546" s="8">
        <f ca="1">IFERROR(__xludf.DUMMYFUNCTION("""COMPUTED_VALUE"""),5)</f>
        <v>5</v>
      </c>
      <c r="E6546" s="2">
        <f ca="1">IFERROR(__xludf.DUMMYFUNCTION("""COMPUTED_VALUE"""),2)</f>
        <v>2</v>
      </c>
    </row>
    <row r="6547" spans="1:5" ht="13">
      <c r="A6547" s="2" t="str">
        <f ca="1">IFERROR(__xludf.DUMMYFUNCTION("""COMPUTED_VALUE"""),"Powell, Mel")</f>
        <v>Powell, Mel</v>
      </c>
      <c r="B6547" s="3">
        <f ca="1">IFERROR(__xludf.DUMMYFUNCTION("""COMPUTED_VALUE"""),1)</f>
        <v>1</v>
      </c>
      <c r="C6547" s="7">
        <f ca="1">IFERROR(__xludf.DUMMYFUNCTION("""COMPUTED_VALUE"""),1)</f>
        <v>1</v>
      </c>
      <c r="D6547" s="8">
        <f ca="1">IFERROR(__xludf.DUMMYFUNCTION("""COMPUTED_VALUE"""),5)</f>
        <v>5</v>
      </c>
      <c r="E6547" s="2">
        <f ca="1">IFERROR(__xludf.DUMMYFUNCTION("""COMPUTED_VALUE"""),2)</f>
        <v>2</v>
      </c>
    </row>
    <row r="6548" spans="1:5" ht="13">
      <c r="A6548" s="2" t="str">
        <f ca="1">IFERROR(__xludf.DUMMYFUNCTION("""COMPUTED_VALUE"""),"Powell, Timothy")</f>
        <v>Powell, Timothy</v>
      </c>
      <c r="B6548" s="3">
        <f ca="1">IFERROR(__xludf.DUMMYFUNCTION("""COMPUTED_VALUE"""),1)</f>
        <v>1</v>
      </c>
      <c r="C6548" s="7">
        <f ca="1">IFERROR(__xludf.DUMMYFUNCTION("""COMPUTED_VALUE"""),1)</f>
        <v>1</v>
      </c>
      <c r="D6548" s="8">
        <f ca="1">IFERROR(__xludf.DUMMYFUNCTION("""COMPUTED_VALUE"""),1)</f>
        <v>1</v>
      </c>
      <c r="E6548" s="2">
        <f ca="1">IFERROR(__xludf.DUMMYFUNCTION("""COMPUTED_VALUE"""),1)</f>
        <v>1</v>
      </c>
    </row>
    <row r="6549" spans="1:5" ht="13">
      <c r="A6549" s="2" t="str">
        <f ca="1">IFERROR(__xludf.DUMMYFUNCTION("""COMPUTED_VALUE"""),"Powell, William")</f>
        <v>Powell, William</v>
      </c>
      <c r="B6549" s="3">
        <f ca="1">IFERROR(__xludf.DUMMYFUNCTION("""COMPUTED_VALUE"""),1)</f>
        <v>1</v>
      </c>
      <c r="C6549" s="7">
        <f ca="1">IFERROR(__xludf.DUMMYFUNCTION("""COMPUTED_VALUE"""),1)</f>
        <v>1</v>
      </c>
      <c r="D6549" s="8">
        <f ca="1">IFERROR(__xludf.DUMMYFUNCTION("""COMPUTED_VALUE"""),1)</f>
        <v>1</v>
      </c>
      <c r="E6549" s="2">
        <f ca="1">IFERROR(__xludf.DUMMYFUNCTION("""COMPUTED_VALUE"""),1)</f>
        <v>1</v>
      </c>
    </row>
    <row r="6550" spans="1:5" ht="13">
      <c r="A6550" s="2" t="str">
        <f ca="1">IFERROR(__xludf.DUMMYFUNCTION("""COMPUTED_VALUE"""),"Powers, Evan")</f>
        <v>Powers, Evan</v>
      </c>
      <c r="B6550" s="3">
        <f ca="1">IFERROR(__xludf.DUMMYFUNCTION("""COMPUTED_VALUE"""),1)</f>
        <v>1</v>
      </c>
      <c r="C6550" s="7">
        <f ca="1">IFERROR(__xludf.DUMMYFUNCTION("""COMPUTED_VALUE"""),1)</f>
        <v>1</v>
      </c>
      <c r="D6550" s="8">
        <f ca="1">IFERROR(__xludf.DUMMYFUNCTION("""COMPUTED_VALUE"""),1)</f>
        <v>1</v>
      </c>
      <c r="E6550" s="2">
        <f ca="1">IFERROR(__xludf.DUMMYFUNCTION("""COMPUTED_VALUE"""),1)</f>
        <v>1</v>
      </c>
    </row>
    <row r="6551" spans="1:5" ht="13">
      <c r="A6551" s="2" t="str">
        <f ca="1">IFERROR(__xludf.DUMMYFUNCTION("""COMPUTED_VALUE"""),"Powers, Robert (aka John Kinyon)")</f>
        <v>Powers, Robert (aka John Kinyon)</v>
      </c>
      <c r="B6551" s="2">
        <f ca="1">IFERROR(__xludf.DUMMYFUNCTION("""COMPUTED_VALUE"""),1)</f>
        <v>1</v>
      </c>
      <c r="C6551" s="7">
        <f ca="1">IFERROR(__xludf.DUMMYFUNCTION("""COMPUTED_VALUE"""),1)</f>
        <v>1</v>
      </c>
      <c r="D6551" s="8">
        <f ca="1">IFERROR(__xludf.DUMMYFUNCTION("""COMPUTED_VALUE"""),5)</f>
        <v>5</v>
      </c>
      <c r="E6551" s="2">
        <f ca="1">IFERROR(__xludf.DUMMYFUNCTION("""COMPUTED_VALUE"""),2)</f>
        <v>2</v>
      </c>
    </row>
    <row r="6552" spans="1:5" ht="13">
      <c r="A6552" s="8" t="str">
        <f ca="1">IFERROR(__xludf.DUMMYFUNCTION("""COMPUTED_VALUE"""),"Pozdro, John")</f>
        <v>Pozdro, John</v>
      </c>
      <c r="B6552" s="3">
        <f ca="1">IFERROR(__xludf.DUMMYFUNCTION("""COMPUTED_VALUE"""),1)</f>
        <v>1</v>
      </c>
      <c r="C6552" s="7">
        <f ca="1">IFERROR(__xludf.DUMMYFUNCTION("""COMPUTED_VALUE"""),1)</f>
        <v>1</v>
      </c>
      <c r="D6552" s="8">
        <f ca="1">IFERROR(__xludf.DUMMYFUNCTION("""COMPUTED_VALUE"""),5)</f>
        <v>5</v>
      </c>
      <c r="E6552" s="2">
        <f ca="1">IFERROR(__xludf.DUMMYFUNCTION("""COMPUTED_VALUE"""),2)</f>
        <v>2</v>
      </c>
    </row>
    <row r="6553" spans="1:5" ht="13">
      <c r="A6553" s="8" t="str">
        <f ca="1">IFERROR(__xludf.DUMMYFUNCTION("""COMPUTED_VALUE"""),"Poznanski, Isaac")</f>
        <v>Poznanski, Isaac</v>
      </c>
      <c r="B6553" s="3">
        <f ca="1">IFERROR(__xludf.DUMMYFUNCTION("""COMPUTED_VALUE"""),1)</f>
        <v>1</v>
      </c>
      <c r="C6553" s="7">
        <f ca="1">IFERROR(__xludf.DUMMYFUNCTION("""COMPUTED_VALUE"""),1)</f>
        <v>1</v>
      </c>
      <c r="D6553" s="8">
        <f ca="1">IFERROR(__xludf.DUMMYFUNCTION("""COMPUTED_VALUE"""),5)</f>
        <v>5</v>
      </c>
      <c r="E6553" s="2">
        <f ca="1">IFERROR(__xludf.DUMMYFUNCTION("""COMPUTED_VALUE"""),2)</f>
        <v>2</v>
      </c>
    </row>
    <row r="6554" spans="1:5" ht="13">
      <c r="A6554" s="2" t="str">
        <f ca="1">IFERROR(__xludf.DUMMYFUNCTION("""COMPUTED_VALUE"""),"Praetorius, Michael")</f>
        <v>Praetorius, Michael</v>
      </c>
      <c r="B6554" s="3">
        <f ca="1">IFERROR(__xludf.DUMMYFUNCTION("""COMPUTED_VALUE"""),1)</f>
        <v>1</v>
      </c>
      <c r="C6554" s="7">
        <f ca="1">IFERROR(__xludf.DUMMYFUNCTION("""COMPUTED_VALUE"""),1)</f>
        <v>1</v>
      </c>
      <c r="D6554" s="8">
        <f ca="1">IFERROR(__xludf.DUMMYFUNCTION("""COMPUTED_VALUE"""),5)</f>
        <v>5</v>
      </c>
      <c r="E6554" s="2">
        <f ca="1">IFERROR(__xludf.DUMMYFUNCTION("""COMPUTED_VALUE"""),2)</f>
        <v>2</v>
      </c>
    </row>
    <row r="6555" spans="1:5" ht="13">
      <c r="A6555" s="2" t="str">
        <f ca="1">IFERROR(__xludf.DUMMYFUNCTION("""COMPUTED_VALUE"""),"Prahl, Victor")</f>
        <v>Prahl, Victor</v>
      </c>
      <c r="B6555" s="3">
        <f ca="1">IFERROR(__xludf.DUMMYFUNCTION("""COMPUTED_VALUE"""),1)</f>
        <v>1</v>
      </c>
      <c r="C6555" s="7">
        <f ca="1">IFERROR(__xludf.DUMMYFUNCTION("""COMPUTED_VALUE"""),1)</f>
        <v>1</v>
      </c>
      <c r="D6555" s="8">
        <f ca="1">IFERROR(__xludf.DUMMYFUNCTION("""COMPUTED_VALUE"""),5)</f>
        <v>5</v>
      </c>
      <c r="E6555" s="2">
        <f ca="1">IFERROR(__xludf.DUMMYFUNCTION("""COMPUTED_VALUE"""),2)</f>
        <v>2</v>
      </c>
    </row>
    <row r="6556" spans="1:5" ht="13">
      <c r="A6556" s="2" t="str">
        <f ca="1">IFERROR(__xludf.DUMMYFUNCTION("""COMPUTED_VALUE"""),"Praulinš, Ugis")</f>
        <v>Praulinš, Ugis</v>
      </c>
      <c r="B6556" s="2">
        <f ca="1">IFERROR(__xludf.DUMMYFUNCTION("""COMPUTED_VALUE"""),1)</f>
        <v>1</v>
      </c>
      <c r="C6556" s="7">
        <f ca="1">IFERROR(__xludf.DUMMYFUNCTION("""COMPUTED_VALUE"""),1)</f>
        <v>1</v>
      </c>
      <c r="D6556" s="8">
        <f ca="1">IFERROR(__xludf.DUMMYFUNCTION("""COMPUTED_VALUE"""),1)</f>
        <v>1</v>
      </c>
      <c r="E6556" s="2">
        <f ca="1">IFERROR(__xludf.DUMMYFUNCTION("""COMPUTED_VALUE"""),1)</f>
        <v>1</v>
      </c>
    </row>
    <row r="6557" spans="1:5" ht="13">
      <c r="A6557" s="8" t="str">
        <f ca="1">IFERROR(__xludf.DUMMYFUNCTION("""COMPUTED_VALUE"""),"Prechtl, Brian")</f>
        <v>Prechtl, Brian</v>
      </c>
      <c r="B6557" s="3">
        <f ca="1">IFERROR(__xludf.DUMMYFUNCTION("""COMPUTED_VALUE"""),1)</f>
        <v>1</v>
      </c>
      <c r="C6557" s="7">
        <f ca="1">IFERROR(__xludf.DUMMYFUNCTION("""COMPUTED_VALUE"""),1)</f>
        <v>1</v>
      </c>
      <c r="D6557" s="8">
        <f ca="1">IFERROR(__xludf.DUMMYFUNCTION("""COMPUTED_VALUE"""),1)</f>
        <v>1</v>
      </c>
      <c r="E6557" s="2">
        <f ca="1">IFERROR(__xludf.DUMMYFUNCTION("""COMPUTED_VALUE"""),1)</f>
        <v>1</v>
      </c>
    </row>
    <row r="6558" spans="1:5" ht="13">
      <c r="A6558" s="2" t="str">
        <f ca="1">IFERROR(__xludf.DUMMYFUNCTION("""COMPUTED_VALUE"""),"Premru, Raymond")</f>
        <v>Premru, Raymond</v>
      </c>
      <c r="B6558" s="3">
        <f ca="1">IFERROR(__xludf.DUMMYFUNCTION("""COMPUTED_VALUE"""),1)</f>
        <v>1</v>
      </c>
      <c r="C6558" s="7">
        <f ca="1">IFERROR(__xludf.DUMMYFUNCTION("""COMPUTED_VALUE"""),1)</f>
        <v>1</v>
      </c>
      <c r="D6558" s="8">
        <f ca="1">IFERROR(__xludf.DUMMYFUNCTION("""COMPUTED_VALUE"""),5)</f>
        <v>5</v>
      </c>
      <c r="E6558" s="2">
        <f ca="1">IFERROR(__xludf.DUMMYFUNCTION("""COMPUTED_VALUE"""),2)</f>
        <v>2</v>
      </c>
    </row>
    <row r="6559" spans="1:5" ht="13">
      <c r="A6559" s="2" t="str">
        <f ca="1">IFERROR(__xludf.DUMMYFUNCTION("""COMPUTED_VALUE"""),"Prentice, Christopher")</f>
        <v>Prentice, Christopher</v>
      </c>
      <c r="B6559" s="2">
        <f ca="1">IFERROR(__xludf.DUMMYFUNCTION("""COMPUTED_VALUE"""),1)</f>
        <v>1</v>
      </c>
      <c r="C6559" s="7">
        <f ca="1">IFERROR(__xludf.DUMMYFUNCTION("""COMPUTED_VALUE"""),1)</f>
        <v>1</v>
      </c>
      <c r="D6559" s="8" t="str">
        <f ca="1">IFERROR(__xludf.DUMMYFUNCTION("""COMPUTED_VALUE"""),"")</f>
        <v/>
      </c>
      <c r="E6559" s="2"/>
    </row>
    <row r="6560" spans="1:5" ht="13">
      <c r="A6560" s="2" t="str">
        <f ca="1">IFERROR(__xludf.DUMMYFUNCTION("""COMPUTED_VALUE"""),"Prentice, Fred")</f>
        <v>Prentice, Fred</v>
      </c>
      <c r="B6560" s="3">
        <f ca="1">IFERROR(__xludf.DUMMYFUNCTION("""COMPUTED_VALUE"""),1)</f>
        <v>1</v>
      </c>
      <c r="C6560" s="7">
        <f ca="1">IFERROR(__xludf.DUMMYFUNCTION("""COMPUTED_VALUE"""),1)</f>
        <v>1</v>
      </c>
      <c r="D6560" s="8">
        <f ca="1">IFERROR(__xludf.DUMMYFUNCTION("""COMPUTED_VALUE"""),1)</f>
        <v>1</v>
      </c>
      <c r="E6560" s="2">
        <f ca="1">IFERROR(__xludf.DUMMYFUNCTION("""COMPUTED_VALUE"""),1)</f>
        <v>1</v>
      </c>
    </row>
    <row r="6561" spans="1:5" ht="13">
      <c r="A6561" s="2" t="str">
        <f ca="1">IFERROR(__xludf.DUMMYFUNCTION("""COMPUTED_VALUE"""),"Prescott, John")</f>
        <v>Prescott, John</v>
      </c>
      <c r="B6561" s="3">
        <f ca="1">IFERROR(__xludf.DUMMYFUNCTION("""COMPUTED_VALUE"""),1)</f>
        <v>1</v>
      </c>
      <c r="C6561" s="7">
        <f ca="1">IFERROR(__xludf.DUMMYFUNCTION("""COMPUTED_VALUE"""),1)</f>
        <v>1</v>
      </c>
      <c r="D6561" s="8">
        <f ca="1">IFERROR(__xludf.DUMMYFUNCTION("""COMPUTED_VALUE"""),1)</f>
        <v>1</v>
      </c>
      <c r="E6561" s="2">
        <f ca="1">IFERROR(__xludf.DUMMYFUNCTION("""COMPUTED_VALUE"""),1)</f>
        <v>1</v>
      </c>
    </row>
    <row r="6562" spans="1:5" ht="13">
      <c r="A6562" s="2" t="str">
        <f ca="1">IFERROR(__xludf.DUMMYFUNCTION("""COMPUTED_VALUE"""),"Press, Jacques")</f>
        <v>Press, Jacques</v>
      </c>
      <c r="B6562" s="3">
        <f ca="1">IFERROR(__xludf.DUMMYFUNCTION("""COMPUTED_VALUE"""),1)</f>
        <v>1</v>
      </c>
      <c r="C6562" s="7">
        <f ca="1">IFERROR(__xludf.DUMMYFUNCTION("""COMPUTED_VALUE"""),1)</f>
        <v>1</v>
      </c>
      <c r="D6562" s="8">
        <f ca="1">IFERROR(__xludf.DUMMYFUNCTION("""COMPUTED_VALUE"""),5)</f>
        <v>5</v>
      </c>
      <c r="E6562" s="2">
        <f ca="1">IFERROR(__xludf.DUMMYFUNCTION("""COMPUTED_VALUE"""),2)</f>
        <v>2</v>
      </c>
    </row>
    <row r="6563" spans="1:5" ht="13">
      <c r="A6563" s="8" t="str">
        <f ca="1">IFERROR(__xludf.DUMMYFUNCTION("""COMPUTED_VALUE"""),"Presser, William")</f>
        <v>Presser, William</v>
      </c>
      <c r="B6563" s="3">
        <f ca="1">IFERROR(__xludf.DUMMYFUNCTION("""COMPUTED_VALUE"""),1)</f>
        <v>1</v>
      </c>
      <c r="C6563" s="7">
        <f ca="1">IFERROR(__xludf.DUMMYFUNCTION("""COMPUTED_VALUE"""),1)</f>
        <v>1</v>
      </c>
      <c r="D6563" s="8">
        <f ca="1">IFERROR(__xludf.DUMMYFUNCTION("""COMPUTED_VALUE"""),5)</f>
        <v>5</v>
      </c>
      <c r="E6563" s="2">
        <f ca="1">IFERROR(__xludf.DUMMYFUNCTION("""COMPUTED_VALUE"""),2)</f>
        <v>2</v>
      </c>
    </row>
    <row r="6564" spans="1:5" ht="13">
      <c r="A6564" s="2" t="str">
        <f ca="1">IFERROR(__xludf.DUMMYFUNCTION("""COMPUTED_VALUE"""),"Pressley, Richard")</f>
        <v>Pressley, Richard</v>
      </c>
      <c r="B6564" s="3">
        <f ca="1">IFERROR(__xludf.DUMMYFUNCTION("""COMPUTED_VALUE"""),1)</f>
        <v>1</v>
      </c>
      <c r="C6564" s="7">
        <f ca="1">IFERROR(__xludf.DUMMYFUNCTION("""COMPUTED_VALUE"""),1)</f>
        <v>1</v>
      </c>
      <c r="D6564" s="8">
        <f ca="1">IFERROR(__xludf.DUMMYFUNCTION("""COMPUTED_VALUE"""),1)</f>
        <v>1</v>
      </c>
      <c r="E6564" s="2">
        <f ca="1">IFERROR(__xludf.DUMMYFUNCTION("""COMPUTED_VALUE"""),1)</f>
        <v>1</v>
      </c>
    </row>
    <row r="6565" spans="1:5" ht="13">
      <c r="A6565" s="2" t="str">
        <f ca="1">IFERROR(__xludf.DUMMYFUNCTION("""COMPUTED_VALUE"""),"Preuninger, Bruce")</f>
        <v>Preuninger, Bruce</v>
      </c>
      <c r="B6565" s="3">
        <f ca="1">IFERROR(__xludf.DUMMYFUNCTION("""COMPUTED_VALUE"""),1)</f>
        <v>1</v>
      </c>
      <c r="C6565" s="7">
        <f ca="1">IFERROR(__xludf.DUMMYFUNCTION("""COMPUTED_VALUE"""),1)</f>
        <v>1</v>
      </c>
      <c r="D6565" s="8">
        <f ca="1">IFERROR(__xludf.DUMMYFUNCTION("""COMPUTED_VALUE"""),5)</f>
        <v>5</v>
      </c>
      <c r="E6565" s="3">
        <f ca="1">IFERROR(__xludf.DUMMYFUNCTION("""COMPUTED_VALUE"""),2)</f>
        <v>2</v>
      </c>
    </row>
    <row r="6566" spans="1:5" ht="13">
      <c r="A6566" s="2" t="str">
        <f ca="1">IFERROR(__xludf.DUMMYFUNCTION("""COMPUTED_VALUE"""),"Previn, Andre")</f>
        <v>Previn, Andre</v>
      </c>
      <c r="B6566" s="3">
        <f ca="1">IFERROR(__xludf.DUMMYFUNCTION("""COMPUTED_VALUE"""),1)</f>
        <v>1</v>
      </c>
      <c r="C6566" s="7">
        <f ca="1">IFERROR(__xludf.DUMMYFUNCTION("""COMPUTED_VALUE"""),1)</f>
        <v>1</v>
      </c>
      <c r="D6566" s="8">
        <f ca="1">IFERROR(__xludf.DUMMYFUNCTION("""COMPUTED_VALUE"""),5)</f>
        <v>5</v>
      </c>
      <c r="E6566" s="2">
        <f ca="1">IFERROR(__xludf.DUMMYFUNCTION("""COMPUTED_VALUE"""),2)</f>
        <v>2</v>
      </c>
    </row>
    <row r="6567" spans="1:5" ht="13">
      <c r="A6567" s="2" t="str">
        <f ca="1">IFERROR(__xludf.DUMMYFUNCTION("""COMPUTED_VALUE"""),"Previn, André")</f>
        <v>Previn, André</v>
      </c>
      <c r="B6567" s="3">
        <f ca="1">IFERROR(__xludf.DUMMYFUNCTION("""COMPUTED_VALUE"""),1)</f>
        <v>1</v>
      </c>
      <c r="C6567" s="7">
        <f ca="1">IFERROR(__xludf.DUMMYFUNCTION("""COMPUTED_VALUE"""),1)</f>
        <v>1</v>
      </c>
      <c r="D6567" s="8">
        <f ca="1">IFERROR(__xludf.DUMMYFUNCTION("""COMPUTED_VALUE"""),5)</f>
        <v>5</v>
      </c>
      <c r="E6567" s="2">
        <f ca="1">IFERROR(__xludf.DUMMYFUNCTION("""COMPUTED_VALUE"""),2)</f>
        <v>2</v>
      </c>
    </row>
    <row r="6568" spans="1:5" ht="13">
      <c r="A6568" s="2" t="str">
        <f ca="1">IFERROR(__xludf.DUMMYFUNCTION("""COMPUTED_VALUE"""),"Priano, Jonny")</f>
        <v>Priano, Jonny</v>
      </c>
      <c r="B6568" s="3">
        <f ca="1">IFERROR(__xludf.DUMMYFUNCTION("""COMPUTED_VALUE"""),1)</f>
        <v>1</v>
      </c>
      <c r="C6568" s="7">
        <f ca="1">IFERROR(__xludf.DUMMYFUNCTION("""COMPUTED_VALUE"""),1)</f>
        <v>1</v>
      </c>
      <c r="D6568" s="8">
        <f ca="1">IFERROR(__xludf.DUMMYFUNCTION("""COMPUTED_VALUE"""),1)</f>
        <v>1</v>
      </c>
      <c r="E6568" s="2">
        <f ca="1">IFERROR(__xludf.DUMMYFUNCTION("""COMPUTED_VALUE"""),1)</f>
        <v>1</v>
      </c>
    </row>
    <row r="6569" spans="1:5" ht="13">
      <c r="A6569" s="2" t="str">
        <f ca="1">IFERROR(__xludf.DUMMYFUNCTION("""COMPUTED_VALUE"""),"Price, Beryl")</f>
        <v>Price, Beryl</v>
      </c>
      <c r="B6569" s="3">
        <f ca="1">IFERROR(__xludf.DUMMYFUNCTION("""COMPUTED_VALUE"""),1)</f>
        <v>1</v>
      </c>
      <c r="C6569" s="7">
        <f ca="1">IFERROR(__xludf.DUMMYFUNCTION("""COMPUTED_VALUE"""),1)</f>
        <v>1</v>
      </c>
      <c r="D6569" s="8">
        <f ca="1">IFERROR(__xludf.DUMMYFUNCTION("""COMPUTED_VALUE"""),5)</f>
        <v>5</v>
      </c>
      <c r="E6569" s="2">
        <f ca="1">IFERROR(__xludf.DUMMYFUNCTION("""COMPUTED_VALUE"""),2)</f>
        <v>2</v>
      </c>
    </row>
    <row r="6570" spans="1:5" ht="13">
      <c r="A6570" s="2" t="str">
        <f ca="1">IFERROR(__xludf.DUMMYFUNCTION("""COMPUTED_VALUE"""),"Price, Milburn")</f>
        <v>Price, Milburn</v>
      </c>
      <c r="B6570" s="3">
        <f ca="1">IFERROR(__xludf.DUMMYFUNCTION("""COMPUTED_VALUE"""),1)</f>
        <v>1</v>
      </c>
      <c r="C6570" s="7">
        <f ca="1">IFERROR(__xludf.DUMMYFUNCTION("""COMPUTED_VALUE"""),1)</f>
        <v>1</v>
      </c>
      <c r="D6570" s="8">
        <f ca="1">IFERROR(__xludf.DUMMYFUNCTION("""COMPUTED_VALUE"""),5)</f>
        <v>5</v>
      </c>
      <c r="E6570" s="2">
        <f ca="1">IFERROR(__xludf.DUMMYFUNCTION("""COMPUTED_VALUE"""),2)</f>
        <v>2</v>
      </c>
    </row>
    <row r="6571" spans="1:5" ht="13">
      <c r="A6571" s="2" t="str">
        <f ca="1">IFERROR(__xludf.DUMMYFUNCTION("""COMPUTED_VALUE"""),"Prichard, Rowland")</f>
        <v>Prichard, Rowland</v>
      </c>
      <c r="B6571" s="2">
        <f ca="1">IFERROR(__xludf.DUMMYFUNCTION("""COMPUTED_VALUE"""),1)</f>
        <v>1</v>
      </c>
      <c r="C6571" s="7">
        <f ca="1">IFERROR(__xludf.DUMMYFUNCTION("""COMPUTED_VALUE"""),1)</f>
        <v>1</v>
      </c>
      <c r="D6571" s="8">
        <f ca="1">IFERROR(__xludf.DUMMYFUNCTION("""COMPUTED_VALUE"""),5)</f>
        <v>5</v>
      </c>
      <c r="E6571" s="2">
        <f ca="1">IFERROR(__xludf.DUMMYFUNCTION("""COMPUTED_VALUE"""),2)</f>
        <v>2</v>
      </c>
    </row>
    <row r="6572" spans="1:5" ht="13">
      <c r="A6572" s="2" t="str">
        <f ca="1">IFERROR(__xludf.DUMMYFUNCTION("""COMPUTED_VALUE"""),"Prima, Louis")</f>
        <v>Prima, Louis</v>
      </c>
      <c r="B6572" s="2">
        <f ca="1">IFERROR(__xludf.DUMMYFUNCTION("""COMPUTED_VALUE"""),1)</f>
        <v>1</v>
      </c>
      <c r="C6572" s="7">
        <f ca="1">IFERROR(__xludf.DUMMYFUNCTION("""COMPUTED_VALUE"""),1)</f>
        <v>1</v>
      </c>
      <c r="D6572" s="8">
        <f ca="1">IFERROR(__xludf.DUMMYFUNCTION("""COMPUTED_VALUE"""),5)</f>
        <v>5</v>
      </c>
      <c r="E6572" s="2">
        <f ca="1">IFERROR(__xludf.DUMMYFUNCTION("""COMPUTED_VALUE"""),2)</f>
        <v>2</v>
      </c>
    </row>
    <row r="6573" spans="1:5" ht="13">
      <c r="A6573" s="8" t="str">
        <f ca="1">IFERROR(__xludf.DUMMYFUNCTION("""COMPUTED_VALUE"""),"Printz, Brad")</f>
        <v>Printz, Brad</v>
      </c>
      <c r="B6573" s="3">
        <f ca="1">IFERROR(__xludf.DUMMYFUNCTION("""COMPUTED_VALUE"""),1)</f>
        <v>1</v>
      </c>
      <c r="C6573" s="7">
        <f ca="1">IFERROR(__xludf.DUMMYFUNCTION("""COMPUTED_VALUE"""),1)</f>
        <v>1</v>
      </c>
      <c r="D6573" s="8">
        <f ca="1">IFERROR(__xludf.DUMMYFUNCTION("""COMPUTED_VALUE"""),5)</f>
        <v>5</v>
      </c>
      <c r="E6573" s="2">
        <f ca="1">IFERROR(__xludf.DUMMYFUNCTION("""COMPUTED_VALUE"""),2)</f>
        <v>2</v>
      </c>
    </row>
    <row r="6574" spans="1:5" ht="13">
      <c r="A6574" s="2" t="str">
        <f ca="1">IFERROR(__xludf.DUMMYFUNCTION("""COMPUTED_VALUE"""),"Prior, Richard")</f>
        <v>Prior, Richard</v>
      </c>
      <c r="B6574" s="3">
        <f ca="1">IFERROR(__xludf.DUMMYFUNCTION("""COMPUTED_VALUE"""),1)</f>
        <v>1</v>
      </c>
      <c r="C6574" s="7">
        <f ca="1">IFERROR(__xludf.DUMMYFUNCTION("""COMPUTED_VALUE"""),1)</f>
        <v>1</v>
      </c>
      <c r="D6574" s="8">
        <f ca="1">IFERROR(__xludf.DUMMYFUNCTION("""COMPUTED_VALUE"""),1)</f>
        <v>1</v>
      </c>
      <c r="E6574" s="2">
        <f ca="1">IFERROR(__xludf.DUMMYFUNCTION("""COMPUTED_VALUE"""),1)</f>
        <v>1</v>
      </c>
    </row>
    <row r="6575" spans="1:5" ht="13">
      <c r="A6575" s="2" t="str">
        <f ca="1">IFERROR(__xludf.DUMMYFUNCTION("""COMPUTED_VALUE"""),"Pritsker, Gene")</f>
        <v>Pritsker, Gene</v>
      </c>
      <c r="B6575" s="3">
        <f ca="1">IFERROR(__xludf.DUMMYFUNCTION("""COMPUTED_VALUE"""),1)</f>
        <v>1</v>
      </c>
      <c r="C6575" s="7">
        <f ca="1">IFERROR(__xludf.DUMMYFUNCTION("""COMPUTED_VALUE"""),1)</f>
        <v>1</v>
      </c>
      <c r="D6575" s="8">
        <f ca="1">IFERROR(__xludf.DUMMYFUNCTION("""COMPUTED_VALUE"""),1)</f>
        <v>1</v>
      </c>
      <c r="E6575" s="2">
        <f ca="1">IFERROR(__xludf.DUMMYFUNCTION("""COMPUTED_VALUE"""),1)</f>
        <v>1</v>
      </c>
    </row>
    <row r="6576" spans="1:5" ht="13">
      <c r="A6576" s="2" t="str">
        <f ca="1">IFERROR(__xludf.DUMMYFUNCTION("""COMPUTED_VALUE"""),"Proch, Heinrich")</f>
        <v>Proch, Heinrich</v>
      </c>
      <c r="B6576" s="2">
        <f ca="1">IFERROR(__xludf.DUMMYFUNCTION("""COMPUTED_VALUE"""),1)</f>
        <v>1</v>
      </c>
      <c r="C6576" s="7">
        <f ca="1">IFERROR(__xludf.DUMMYFUNCTION("""COMPUTED_VALUE"""),1)</f>
        <v>1</v>
      </c>
      <c r="D6576" s="8">
        <f ca="1">IFERROR(__xludf.DUMMYFUNCTION("""COMPUTED_VALUE"""),5)</f>
        <v>5</v>
      </c>
      <c r="E6576" s="2">
        <f ca="1">IFERROR(__xludf.DUMMYFUNCTION("""COMPUTED_VALUE"""),2)</f>
        <v>2</v>
      </c>
    </row>
    <row r="6577" spans="1:5" ht="13">
      <c r="A6577" s="2" t="str">
        <f ca="1">IFERROR(__xludf.DUMMYFUNCTION("""COMPUTED_VALUE"""),"Prokhorov, Vadim")</f>
        <v>Prokhorov, Vadim</v>
      </c>
      <c r="B6577" s="3">
        <f ca="1">IFERROR(__xludf.DUMMYFUNCTION("""COMPUTED_VALUE"""),1)</f>
        <v>1</v>
      </c>
      <c r="C6577" s="7">
        <f ca="1">IFERROR(__xludf.DUMMYFUNCTION("""COMPUTED_VALUE"""),1)</f>
        <v>1</v>
      </c>
      <c r="D6577" s="8">
        <f ca="1">IFERROR(__xludf.DUMMYFUNCTION("""COMPUTED_VALUE"""),1)</f>
        <v>1</v>
      </c>
      <c r="E6577" s="2">
        <f ca="1">IFERROR(__xludf.DUMMYFUNCTION("""COMPUTED_VALUE"""),1)</f>
        <v>1</v>
      </c>
    </row>
    <row r="6578" spans="1:5" ht="13">
      <c r="A6578" s="2" t="str">
        <f ca="1">IFERROR(__xludf.DUMMYFUNCTION("""COMPUTED_VALUE"""),"Prokofiev, Gabriel")</f>
        <v>Prokofiev, Gabriel</v>
      </c>
      <c r="B6578" s="3">
        <f ca="1">IFERROR(__xludf.DUMMYFUNCTION("""COMPUTED_VALUE"""),1)</f>
        <v>1</v>
      </c>
      <c r="C6578" s="7">
        <f ca="1">IFERROR(__xludf.DUMMYFUNCTION("""COMPUTED_VALUE"""),1)</f>
        <v>1</v>
      </c>
      <c r="D6578" s="8">
        <f ca="1">IFERROR(__xludf.DUMMYFUNCTION("""COMPUTED_VALUE"""),1)</f>
        <v>1</v>
      </c>
      <c r="E6578" s="2">
        <f ca="1">IFERROR(__xludf.DUMMYFUNCTION("""COMPUTED_VALUE"""),1)</f>
        <v>1</v>
      </c>
    </row>
    <row r="6579" spans="1:5" ht="13">
      <c r="A6579" s="2" t="str">
        <f ca="1">IFERROR(__xludf.DUMMYFUNCTION("""COMPUTED_VALUE"""),"Prokofiev, Sergey")</f>
        <v>Prokofiev, Sergey</v>
      </c>
      <c r="B6579" s="3">
        <f ca="1">IFERROR(__xludf.DUMMYFUNCTION("""COMPUTED_VALUE"""),1)</f>
        <v>1</v>
      </c>
      <c r="C6579" s="7">
        <f ca="1">IFERROR(__xludf.DUMMYFUNCTION("""COMPUTED_VALUE"""),1)</f>
        <v>1</v>
      </c>
      <c r="D6579" s="8">
        <f ca="1">IFERROR(__xludf.DUMMYFUNCTION("""COMPUTED_VALUE"""),5)</f>
        <v>5</v>
      </c>
      <c r="E6579" s="2">
        <f ca="1">IFERROR(__xludf.DUMMYFUNCTION("""COMPUTED_VALUE"""),2)</f>
        <v>2</v>
      </c>
    </row>
    <row r="6580" spans="1:5" ht="13">
      <c r="A6580" s="2" t="str">
        <f ca="1">IFERROR(__xludf.DUMMYFUNCTION("""COMPUTED_VALUE"""),"Proto, Frank")</f>
        <v>Proto, Frank</v>
      </c>
      <c r="B6580" s="2">
        <f ca="1">IFERROR(__xludf.DUMMYFUNCTION("""COMPUTED_VALUE"""),1)</f>
        <v>1</v>
      </c>
      <c r="C6580" s="2">
        <f ca="1">IFERROR(__xludf.DUMMYFUNCTION("""COMPUTED_VALUE"""),1)</f>
        <v>1</v>
      </c>
      <c r="D6580" s="8">
        <f ca="1">IFERROR(__xludf.DUMMYFUNCTION("""COMPUTED_VALUE"""),1)</f>
        <v>1</v>
      </c>
      <c r="E6580" s="2">
        <f ca="1">IFERROR(__xludf.DUMMYFUNCTION("""COMPUTED_VALUE"""),1)</f>
        <v>1</v>
      </c>
    </row>
    <row r="6581" spans="1:5" ht="13">
      <c r="A6581" s="2" t="str">
        <f ca="1">IFERROR(__xludf.DUMMYFUNCTION("""COMPUTED_VALUE"""),"Proulx, Richard")</f>
        <v>Proulx, Richard</v>
      </c>
      <c r="B6581" s="3">
        <f ca="1">IFERROR(__xludf.DUMMYFUNCTION("""COMPUTED_VALUE"""),1)</f>
        <v>1</v>
      </c>
      <c r="C6581" s="7">
        <f ca="1">IFERROR(__xludf.DUMMYFUNCTION("""COMPUTED_VALUE"""),1)</f>
        <v>1</v>
      </c>
      <c r="D6581" s="8">
        <f ca="1">IFERROR(__xludf.DUMMYFUNCTION("""COMPUTED_VALUE"""),5)</f>
        <v>5</v>
      </c>
      <c r="E6581" s="2">
        <f ca="1">IFERROR(__xludf.DUMMYFUNCTION("""COMPUTED_VALUE"""),2)</f>
        <v>2</v>
      </c>
    </row>
    <row r="6582" spans="1:5" ht="13">
      <c r="A6582" s="2" t="str">
        <f ca="1">IFERROR(__xludf.DUMMYFUNCTION("""COMPUTED_VALUE"""),"Provenzale, Francesco")</f>
        <v>Provenzale, Francesco</v>
      </c>
      <c r="B6582" s="3">
        <f ca="1">IFERROR(__xludf.DUMMYFUNCTION("""COMPUTED_VALUE"""),1)</f>
        <v>1</v>
      </c>
      <c r="C6582" s="7">
        <f ca="1">IFERROR(__xludf.DUMMYFUNCTION("""COMPUTED_VALUE"""),1)</f>
        <v>1</v>
      </c>
      <c r="D6582" s="8">
        <f ca="1">IFERROR(__xludf.DUMMYFUNCTION("""COMPUTED_VALUE"""),5)</f>
        <v>5</v>
      </c>
      <c r="E6582" s="2">
        <f ca="1">IFERROR(__xludf.DUMMYFUNCTION("""COMPUTED_VALUE"""),2)</f>
        <v>2</v>
      </c>
    </row>
    <row r="6583" spans="1:5" ht="13">
      <c r="A6583" s="2" t="str">
        <f ca="1">IFERROR(__xludf.DUMMYFUNCTION("""COMPUTED_VALUE"""),"Pryor, Arthur")</f>
        <v>Pryor, Arthur</v>
      </c>
      <c r="B6583" s="3">
        <f ca="1">IFERROR(__xludf.DUMMYFUNCTION("""COMPUTED_VALUE"""),1)</f>
        <v>1</v>
      </c>
      <c r="C6583" s="7">
        <f ca="1">IFERROR(__xludf.DUMMYFUNCTION("""COMPUTED_VALUE"""),1)</f>
        <v>1</v>
      </c>
      <c r="D6583" s="8">
        <f ca="1">IFERROR(__xludf.DUMMYFUNCTION("""COMPUTED_VALUE"""),5)</f>
        <v>5</v>
      </c>
      <c r="E6583" s="2">
        <f ca="1">IFERROR(__xludf.DUMMYFUNCTION("""COMPUTED_VALUE"""),2)</f>
        <v>2</v>
      </c>
    </row>
    <row r="6584" spans="1:5" ht="13">
      <c r="A6584" s="2" t="str">
        <f ca="1">IFERROR(__xludf.DUMMYFUNCTION("""COMPUTED_VALUE"""),"Psathas, John")</f>
        <v>Psathas, John</v>
      </c>
      <c r="B6584" s="3">
        <f ca="1">IFERROR(__xludf.DUMMYFUNCTION("""COMPUTED_VALUE"""),1)</f>
        <v>1</v>
      </c>
      <c r="C6584" s="7">
        <f ca="1">IFERROR(__xludf.DUMMYFUNCTION("""COMPUTED_VALUE"""),1)</f>
        <v>1</v>
      </c>
      <c r="D6584" s="8">
        <f ca="1">IFERROR(__xludf.DUMMYFUNCTION("""COMPUTED_VALUE"""),1)</f>
        <v>1</v>
      </c>
      <c r="E6584" s="2">
        <f ca="1">IFERROR(__xludf.DUMMYFUNCTION("""COMPUTED_VALUE"""),1)</f>
        <v>1</v>
      </c>
    </row>
    <row r="6585" spans="1:5" ht="13">
      <c r="A6585" s="2" t="str">
        <f ca="1">IFERROR(__xludf.DUMMYFUNCTION("""COMPUTED_VALUE"""),"Puccini, Giacomo")</f>
        <v>Puccini, Giacomo</v>
      </c>
      <c r="B6585" s="3">
        <f ca="1">IFERROR(__xludf.DUMMYFUNCTION("""COMPUTED_VALUE"""),1)</f>
        <v>1</v>
      </c>
      <c r="C6585" s="7">
        <f ca="1">IFERROR(__xludf.DUMMYFUNCTION("""COMPUTED_VALUE"""),1)</f>
        <v>1</v>
      </c>
      <c r="D6585" s="8">
        <f ca="1">IFERROR(__xludf.DUMMYFUNCTION("""COMPUTED_VALUE"""),5)</f>
        <v>5</v>
      </c>
      <c r="E6585" s="2">
        <f ca="1">IFERROR(__xludf.DUMMYFUNCTION("""COMPUTED_VALUE"""),2)</f>
        <v>2</v>
      </c>
    </row>
    <row r="6586" spans="1:5" ht="13">
      <c r="A6586" s="8" t="str">
        <f ca="1">IFERROR(__xludf.DUMMYFUNCTION("""COMPUTED_VALUE"""),"Puccini, Jacopo")</f>
        <v>Puccini, Jacopo</v>
      </c>
      <c r="B6586" s="3">
        <f ca="1">IFERROR(__xludf.DUMMYFUNCTION("""COMPUTED_VALUE"""),1)</f>
        <v>1</v>
      </c>
      <c r="C6586" s="7">
        <f ca="1">IFERROR(__xludf.DUMMYFUNCTION("""COMPUTED_VALUE"""),1)</f>
        <v>1</v>
      </c>
      <c r="D6586" s="8">
        <f ca="1">IFERROR(__xludf.DUMMYFUNCTION("""COMPUTED_VALUE"""),5)</f>
        <v>5</v>
      </c>
      <c r="E6586" s="2">
        <f ca="1">IFERROR(__xludf.DUMMYFUNCTION("""COMPUTED_VALUE"""),2)</f>
        <v>2</v>
      </c>
    </row>
    <row r="6587" spans="1:5" ht="13">
      <c r="A6587" s="2" t="str">
        <f ca="1">IFERROR(__xludf.DUMMYFUNCTION("""COMPUTED_VALUE"""),"Puccini, Niccolo")</f>
        <v>Puccini, Niccolo</v>
      </c>
      <c r="B6587" s="2">
        <f ca="1">IFERROR(__xludf.DUMMYFUNCTION("""COMPUTED_VALUE"""),1)</f>
        <v>1</v>
      </c>
      <c r="C6587" s="7">
        <f ca="1">IFERROR(__xludf.DUMMYFUNCTION("""COMPUTED_VALUE"""),1)</f>
        <v>1</v>
      </c>
      <c r="D6587" s="8">
        <f ca="1">IFERROR(__xludf.DUMMYFUNCTION("""COMPUTED_VALUE"""),5)</f>
        <v>5</v>
      </c>
      <c r="E6587" s="2">
        <f ca="1">IFERROR(__xludf.DUMMYFUNCTION("""COMPUTED_VALUE"""),2)</f>
        <v>2</v>
      </c>
    </row>
    <row r="6588" spans="1:5" ht="13">
      <c r="A6588" s="2" t="str">
        <f ca="1">IFERROR(__xludf.DUMMYFUNCTION("""COMPUTED_VALUE"""),"Puckett, Joel")</f>
        <v>Puckett, Joel</v>
      </c>
      <c r="B6588" s="3">
        <f ca="1">IFERROR(__xludf.DUMMYFUNCTION("""COMPUTED_VALUE"""),1)</f>
        <v>1</v>
      </c>
      <c r="C6588" s="7">
        <f ca="1">IFERROR(__xludf.DUMMYFUNCTION("""COMPUTED_VALUE"""),1)</f>
        <v>1</v>
      </c>
      <c r="D6588" s="8">
        <f ca="1">IFERROR(__xludf.DUMMYFUNCTION("""COMPUTED_VALUE"""),1)</f>
        <v>1</v>
      </c>
      <c r="E6588" s="2">
        <f ca="1">IFERROR(__xludf.DUMMYFUNCTION("""COMPUTED_VALUE"""),1)</f>
        <v>1</v>
      </c>
    </row>
    <row r="6589" spans="1:5" ht="13">
      <c r="A6589" s="2" t="str">
        <f ca="1">IFERROR(__xludf.DUMMYFUNCTION("""COMPUTED_VALUE"""),"Puddy, Mark")</f>
        <v>Puddy, Mark</v>
      </c>
      <c r="B6589" s="3">
        <f ca="1">IFERROR(__xludf.DUMMYFUNCTION("""COMPUTED_VALUE"""),1)</f>
        <v>1</v>
      </c>
      <c r="C6589" s="7">
        <f ca="1">IFERROR(__xludf.DUMMYFUNCTION("""COMPUTED_VALUE"""),1)</f>
        <v>1</v>
      </c>
      <c r="D6589" s="8">
        <f ca="1">IFERROR(__xludf.DUMMYFUNCTION("""COMPUTED_VALUE"""),1)</f>
        <v>1</v>
      </c>
      <c r="E6589" s="2">
        <f ca="1">IFERROR(__xludf.DUMMYFUNCTION("""COMPUTED_VALUE"""),1)</f>
        <v>1</v>
      </c>
    </row>
    <row r="6590" spans="1:5" ht="13">
      <c r="A6590" s="2" t="str">
        <f ca="1">IFERROR(__xludf.DUMMYFUNCTION("""COMPUTED_VALUE"""),"Puerling, Gene")</f>
        <v>Puerling, Gene</v>
      </c>
      <c r="B6590" s="2">
        <f ca="1">IFERROR(__xludf.DUMMYFUNCTION("""COMPUTED_VALUE"""),1)</f>
        <v>1</v>
      </c>
      <c r="C6590" s="7">
        <f ca="1">IFERROR(__xludf.DUMMYFUNCTION("""COMPUTED_VALUE"""),1)</f>
        <v>1</v>
      </c>
      <c r="D6590" s="8">
        <f ca="1">IFERROR(__xludf.DUMMYFUNCTION("""COMPUTED_VALUE"""),5)</f>
        <v>5</v>
      </c>
      <c r="E6590" s="2">
        <f ca="1">IFERROR(__xludf.DUMMYFUNCTION("""COMPUTED_VALUE"""),2)</f>
        <v>2</v>
      </c>
    </row>
    <row r="6591" spans="1:5" ht="13">
      <c r="A6591" s="2" t="str">
        <f ca="1">IFERROR(__xludf.DUMMYFUNCTION("""COMPUTED_VALUE"""),"Puerner, Charles")</f>
        <v>Puerner, Charles</v>
      </c>
      <c r="B6591" s="2">
        <f ca="1">IFERROR(__xludf.DUMMYFUNCTION("""COMPUTED_VALUE"""),1)</f>
        <v>1</v>
      </c>
      <c r="C6591" s="7">
        <f ca="1">IFERROR(__xludf.DUMMYFUNCTION("""COMPUTED_VALUE"""),1)</f>
        <v>1</v>
      </c>
      <c r="D6591" s="8">
        <f ca="1">IFERROR(__xludf.DUMMYFUNCTION("""COMPUTED_VALUE"""),5)</f>
        <v>5</v>
      </c>
      <c r="E6591" s="2">
        <f ca="1">IFERROR(__xludf.DUMMYFUNCTION("""COMPUTED_VALUE"""),2)</f>
        <v>2</v>
      </c>
    </row>
    <row r="6592" spans="1:5" ht="13">
      <c r="A6592" s="2" t="str">
        <f ca="1">IFERROR(__xludf.DUMMYFUNCTION("""COMPUTED_VALUE"""),"Pugh, James")</f>
        <v>Pugh, James</v>
      </c>
      <c r="B6592" s="2">
        <f ca="1">IFERROR(__xludf.DUMMYFUNCTION("""COMPUTED_VALUE"""),1)</f>
        <v>1</v>
      </c>
      <c r="C6592" s="7">
        <f ca="1">IFERROR(__xludf.DUMMYFUNCTION("""COMPUTED_VALUE"""),1)</f>
        <v>1</v>
      </c>
      <c r="D6592" s="8">
        <f ca="1">IFERROR(__xludf.DUMMYFUNCTION("""COMPUTED_VALUE"""),5)</f>
        <v>5</v>
      </c>
      <c r="E6592" s="2">
        <f ca="1">IFERROR(__xludf.DUMMYFUNCTION("""COMPUTED_VALUE"""),2)</f>
        <v>2</v>
      </c>
    </row>
    <row r="6593" spans="1:5" ht="13">
      <c r="A6593" s="2" t="str">
        <f ca="1">IFERROR(__xludf.DUMMYFUNCTION("""COMPUTED_VALUE"""),"Pugh, Jim")</f>
        <v>Pugh, Jim</v>
      </c>
      <c r="B6593" s="3">
        <f ca="1">IFERROR(__xludf.DUMMYFUNCTION("""COMPUTED_VALUE"""),1)</f>
        <v>1</v>
      </c>
      <c r="C6593" s="7">
        <f ca="1">IFERROR(__xludf.DUMMYFUNCTION("""COMPUTED_VALUE"""),1)</f>
        <v>1</v>
      </c>
      <c r="D6593" s="8">
        <f ca="1">IFERROR(__xludf.DUMMYFUNCTION("""COMPUTED_VALUE"""),1)</f>
        <v>1</v>
      </c>
      <c r="E6593" s="2">
        <f ca="1">IFERROR(__xludf.DUMMYFUNCTION("""COMPUTED_VALUE"""),1)</f>
        <v>1</v>
      </c>
    </row>
    <row r="6594" spans="1:5" ht="13">
      <c r="A6594" s="2" t="str">
        <f ca="1">IFERROR(__xludf.DUMMYFUNCTION("""COMPUTED_VALUE"""),"Pugh, Larry")</f>
        <v>Pugh, Larry</v>
      </c>
      <c r="B6594" s="3">
        <f ca="1">IFERROR(__xludf.DUMMYFUNCTION("""COMPUTED_VALUE"""),1)</f>
        <v>1</v>
      </c>
      <c r="C6594" s="7">
        <f ca="1">IFERROR(__xludf.DUMMYFUNCTION("""COMPUTED_VALUE"""),1)</f>
        <v>1</v>
      </c>
      <c r="D6594" s="8">
        <f ca="1">IFERROR(__xludf.DUMMYFUNCTION("""COMPUTED_VALUE"""),1)</f>
        <v>1</v>
      </c>
      <c r="E6594" s="2">
        <f ca="1">IFERROR(__xludf.DUMMYFUNCTION("""COMPUTED_VALUE"""),1)</f>
        <v>1</v>
      </c>
    </row>
    <row r="6595" spans="1:5" ht="13">
      <c r="A6595" s="2" t="str">
        <f ca="1">IFERROR(__xludf.DUMMYFUNCTION("""COMPUTED_VALUE"""),"Pugni, Cesare")</f>
        <v>Pugni, Cesare</v>
      </c>
      <c r="B6595" s="3">
        <f ca="1">IFERROR(__xludf.DUMMYFUNCTION("""COMPUTED_VALUE"""),1)</f>
        <v>1</v>
      </c>
      <c r="C6595" s="7">
        <f ca="1">IFERROR(__xludf.DUMMYFUNCTION("""COMPUTED_VALUE"""),1)</f>
        <v>1</v>
      </c>
      <c r="D6595" s="8">
        <f ca="1">IFERROR(__xludf.DUMMYFUNCTION("""COMPUTED_VALUE"""),5)</f>
        <v>5</v>
      </c>
      <c r="E6595" s="2">
        <f ca="1">IFERROR(__xludf.DUMMYFUNCTION("""COMPUTED_VALUE"""),2)</f>
        <v>2</v>
      </c>
    </row>
    <row r="6596" spans="1:5" ht="13">
      <c r="A6596" s="2" t="str">
        <f ca="1">IFERROR(__xludf.DUMMYFUNCTION("""COMPUTED_VALUE"""),"Pulverenti, Pasquale")</f>
        <v>Pulverenti, Pasquale</v>
      </c>
      <c r="B6596" s="3">
        <f ca="1">IFERROR(__xludf.DUMMYFUNCTION("""COMPUTED_VALUE"""),1)</f>
        <v>1</v>
      </c>
      <c r="C6596" s="7">
        <f ca="1">IFERROR(__xludf.DUMMYFUNCTION("""COMPUTED_VALUE"""),1)</f>
        <v>1</v>
      </c>
      <c r="D6596" s="8">
        <f ca="1">IFERROR(__xludf.DUMMYFUNCTION("""COMPUTED_VALUE"""),5)</f>
        <v>5</v>
      </c>
      <c r="E6596" s="2">
        <f ca="1">IFERROR(__xludf.DUMMYFUNCTION("""COMPUTED_VALUE"""),2)</f>
        <v>2</v>
      </c>
    </row>
    <row r="6597" spans="1:5" ht="13">
      <c r="A6597" s="2" t="str">
        <f ca="1">IFERROR(__xludf.DUMMYFUNCTION("""COMPUTED_VALUE"""),"Puntin, Claudio")</f>
        <v>Puntin, Claudio</v>
      </c>
      <c r="B6597" s="3">
        <f ca="1">IFERROR(__xludf.DUMMYFUNCTION("""COMPUTED_VALUE"""),1)</f>
        <v>1</v>
      </c>
      <c r="C6597" s="7">
        <f ca="1">IFERROR(__xludf.DUMMYFUNCTION("""COMPUTED_VALUE"""),1)</f>
        <v>1</v>
      </c>
      <c r="D6597" s="8">
        <f ca="1">IFERROR(__xludf.DUMMYFUNCTION("""COMPUTED_VALUE"""),1)</f>
        <v>1</v>
      </c>
      <c r="E6597" s="2">
        <f ca="1">IFERROR(__xludf.DUMMYFUNCTION("""COMPUTED_VALUE"""),1)</f>
        <v>1</v>
      </c>
    </row>
    <row r="6598" spans="1:5" ht="13">
      <c r="A6598" s="2" t="str">
        <f ca="1">IFERROR(__xludf.DUMMYFUNCTION("""COMPUTED_VALUE"""),"Purcell, Henry")</f>
        <v>Purcell, Henry</v>
      </c>
      <c r="B6598" s="3">
        <f ca="1">IFERROR(__xludf.DUMMYFUNCTION("""COMPUTED_VALUE"""),1)</f>
        <v>1</v>
      </c>
      <c r="C6598" s="7">
        <f ca="1">IFERROR(__xludf.DUMMYFUNCTION("""COMPUTED_VALUE"""),1)</f>
        <v>1</v>
      </c>
      <c r="D6598" s="8">
        <f ca="1">IFERROR(__xludf.DUMMYFUNCTION("""COMPUTED_VALUE"""),5)</f>
        <v>5</v>
      </c>
      <c r="E6598" s="2">
        <f ca="1">IFERROR(__xludf.DUMMYFUNCTION("""COMPUTED_VALUE"""),2)</f>
        <v>2</v>
      </c>
    </row>
    <row r="6599" spans="1:5" ht="13">
      <c r="A6599" s="2" t="str">
        <f ca="1">IFERROR(__xludf.DUMMYFUNCTION("""COMPUTED_VALUE"""),"Purcell, Henry / Stucky, Steven")</f>
        <v>Purcell, Henry / Stucky, Steven</v>
      </c>
      <c r="B6599" s="3">
        <f ca="1">IFERROR(__xludf.DUMMYFUNCTION("""COMPUTED_VALUE"""),1)</f>
        <v>1</v>
      </c>
      <c r="C6599" s="7">
        <f ca="1">IFERROR(__xludf.DUMMYFUNCTION("""COMPUTED_VALUE"""),1)</f>
        <v>1</v>
      </c>
      <c r="D6599" s="8">
        <f ca="1">IFERROR(__xludf.DUMMYFUNCTION("""COMPUTED_VALUE"""),5)</f>
        <v>5</v>
      </c>
      <c r="E6599" s="2">
        <f ca="1">IFERROR(__xludf.DUMMYFUNCTION("""COMPUTED_VALUE"""),2)</f>
        <v>2</v>
      </c>
    </row>
    <row r="6600" spans="1:5" ht="13">
      <c r="A6600" s="2" t="str">
        <f ca="1">IFERROR(__xludf.DUMMYFUNCTION("""COMPUTED_VALUE"""),"Purcell, Shawn")</f>
        <v>Purcell, Shawn</v>
      </c>
      <c r="B6600" s="2">
        <f ca="1">IFERROR(__xludf.DUMMYFUNCTION("""COMPUTED_VALUE"""),1)</f>
        <v>1</v>
      </c>
      <c r="C6600" s="7">
        <f ca="1">IFERROR(__xludf.DUMMYFUNCTION("""COMPUTED_VALUE"""),1)</f>
        <v>1</v>
      </c>
      <c r="D6600" s="8">
        <f ca="1">IFERROR(__xludf.DUMMYFUNCTION("""COMPUTED_VALUE"""),1)</f>
        <v>1</v>
      </c>
      <c r="E6600" s="2">
        <f ca="1">IFERROR(__xludf.DUMMYFUNCTION("""COMPUTED_VALUE"""),1)</f>
        <v>1</v>
      </c>
    </row>
    <row r="6601" spans="1:5" ht="13">
      <c r="A6601" s="2" t="str">
        <f ca="1">IFERROR(__xludf.DUMMYFUNCTION("""COMPUTED_VALUE"""),"Purdy, William T.")</f>
        <v>Purdy, William T.</v>
      </c>
      <c r="B6601" s="3">
        <f ca="1">IFERROR(__xludf.DUMMYFUNCTION("""COMPUTED_VALUE"""),1)</f>
        <v>1</v>
      </c>
      <c r="C6601" s="7">
        <f ca="1">IFERROR(__xludf.DUMMYFUNCTION("""COMPUTED_VALUE"""),1)</f>
        <v>1</v>
      </c>
      <c r="D6601" s="8">
        <f ca="1">IFERROR(__xludf.DUMMYFUNCTION("""COMPUTED_VALUE"""),5)</f>
        <v>5</v>
      </c>
      <c r="E6601" s="2">
        <f ca="1">IFERROR(__xludf.DUMMYFUNCTION("""COMPUTED_VALUE"""),2)</f>
        <v>2</v>
      </c>
    </row>
    <row r="6602" spans="1:5" ht="13">
      <c r="A6602" s="8" t="str">
        <f ca="1">IFERROR(__xludf.DUMMYFUNCTION("""COMPUTED_VALUE"""),"Purifoy, John")</f>
        <v>Purifoy, John</v>
      </c>
      <c r="B6602" s="3">
        <f ca="1">IFERROR(__xludf.DUMMYFUNCTION("""COMPUTED_VALUE"""),1)</f>
        <v>1</v>
      </c>
      <c r="C6602" s="7">
        <f ca="1">IFERROR(__xludf.DUMMYFUNCTION("""COMPUTED_VALUE"""),1)</f>
        <v>1</v>
      </c>
      <c r="D6602" s="8">
        <f ca="1">IFERROR(__xludf.DUMMYFUNCTION("""COMPUTED_VALUE"""),1)</f>
        <v>1</v>
      </c>
      <c r="E6602" s="2">
        <f ca="1">IFERROR(__xludf.DUMMYFUNCTION("""COMPUTED_VALUE"""),1)</f>
        <v>1</v>
      </c>
    </row>
    <row r="6603" spans="1:5" ht="13">
      <c r="A6603" s="2" t="str">
        <f ca="1">IFERROR(__xludf.DUMMYFUNCTION("""COMPUTED_VALUE"""),"Pursell, Anthony")</f>
        <v>Pursell, Anthony</v>
      </c>
      <c r="B6603" s="3">
        <f ca="1">IFERROR(__xludf.DUMMYFUNCTION("""COMPUTED_VALUE"""),1)</f>
        <v>1</v>
      </c>
      <c r="C6603" s="7">
        <f ca="1">IFERROR(__xludf.DUMMYFUNCTION("""COMPUTED_VALUE"""),1)</f>
        <v>1</v>
      </c>
      <c r="D6603" s="8">
        <f ca="1">IFERROR(__xludf.DUMMYFUNCTION("""COMPUTED_VALUE"""),1)</f>
        <v>1</v>
      </c>
      <c r="E6603" s="2">
        <f ca="1">IFERROR(__xludf.DUMMYFUNCTION("""COMPUTED_VALUE"""),1)</f>
        <v>1</v>
      </c>
    </row>
    <row r="6604" spans="1:5" ht="13">
      <c r="A6604" s="2" t="str">
        <f ca="1">IFERROR(__xludf.DUMMYFUNCTION("""COMPUTED_VALUE"""),"Pursell, Anthony / Robertson, Troy")</f>
        <v>Pursell, Anthony / Robertson, Troy</v>
      </c>
      <c r="B6604" s="3">
        <f ca="1">IFERROR(__xludf.DUMMYFUNCTION("""COMPUTED_VALUE"""),1)</f>
        <v>1</v>
      </c>
      <c r="C6604" s="7">
        <f ca="1">IFERROR(__xludf.DUMMYFUNCTION("""COMPUTED_VALUE"""),1)</f>
        <v>1</v>
      </c>
      <c r="D6604" s="8">
        <f ca="1">IFERROR(__xludf.DUMMYFUNCTION("""COMPUTED_VALUE"""),1)</f>
        <v>1</v>
      </c>
      <c r="E6604" s="2">
        <f ca="1">IFERROR(__xludf.DUMMYFUNCTION("""COMPUTED_VALUE"""),1)</f>
        <v>1</v>
      </c>
    </row>
    <row r="6605" spans="1:5" ht="13">
      <c r="A6605" s="2" t="str">
        <f ca="1">IFERROR(__xludf.DUMMYFUNCTION("""COMPUTED_VALUE"""),"Purvis, Stanley")</f>
        <v>Purvis, Stanley</v>
      </c>
      <c r="B6605" s="3">
        <f ca="1">IFERROR(__xludf.DUMMYFUNCTION("""COMPUTED_VALUE"""),1)</f>
        <v>1</v>
      </c>
      <c r="C6605" s="7">
        <f ca="1">IFERROR(__xludf.DUMMYFUNCTION("""COMPUTED_VALUE"""),1)</f>
        <v>1</v>
      </c>
      <c r="D6605" s="8">
        <f ca="1">IFERROR(__xludf.DUMMYFUNCTION("""COMPUTED_VALUE"""),1)</f>
        <v>1</v>
      </c>
      <c r="E6605" s="2">
        <f ca="1">IFERROR(__xludf.DUMMYFUNCTION("""COMPUTED_VALUE"""),1)</f>
        <v>1</v>
      </c>
    </row>
    <row r="6606" spans="1:5" ht="13">
      <c r="A6606" s="2" t="str">
        <f ca="1">IFERROR(__xludf.DUMMYFUNCTION("""COMPUTED_VALUE"""),"Pushkin, Alexander")</f>
        <v>Pushkin, Alexander</v>
      </c>
      <c r="B6606" s="2">
        <f ca="1">IFERROR(__xludf.DUMMYFUNCTION("""COMPUTED_VALUE"""),1)</f>
        <v>1</v>
      </c>
      <c r="C6606" s="7">
        <f ca="1">IFERROR(__xludf.DUMMYFUNCTION("""COMPUTED_VALUE"""),1)</f>
        <v>1</v>
      </c>
      <c r="D6606" s="8">
        <f ca="1">IFERROR(__xludf.DUMMYFUNCTION("""COMPUTED_VALUE"""),5)</f>
        <v>5</v>
      </c>
      <c r="E6606" s="2">
        <f ca="1">IFERROR(__xludf.DUMMYFUNCTION("""COMPUTED_VALUE"""),2)</f>
        <v>2</v>
      </c>
    </row>
    <row r="6607" spans="1:5" ht="13">
      <c r="A6607" s="2" t="str">
        <f ca="1">IFERROR(__xludf.DUMMYFUNCTION("""COMPUTED_VALUE"""),"Putnam, Matthew")</f>
        <v>Putnam, Matthew</v>
      </c>
      <c r="B6607" s="3">
        <f ca="1">IFERROR(__xludf.DUMMYFUNCTION("""COMPUTED_VALUE"""),1)</f>
        <v>1</v>
      </c>
      <c r="C6607" s="7">
        <f ca="1">IFERROR(__xludf.DUMMYFUNCTION("""COMPUTED_VALUE"""),1)</f>
        <v>1</v>
      </c>
      <c r="D6607" s="8">
        <f ca="1">IFERROR(__xludf.DUMMYFUNCTION("""COMPUTED_VALUE"""),1)</f>
        <v>1</v>
      </c>
      <c r="E6607" s="2">
        <f ca="1">IFERROR(__xludf.DUMMYFUNCTION("""COMPUTED_VALUE"""),1)</f>
        <v>1</v>
      </c>
    </row>
    <row r="6608" spans="1:5" ht="13">
      <c r="A6608" s="2" t="str">
        <f ca="1">IFERROR(__xludf.DUMMYFUNCTION("""COMPUTED_VALUE"""),"Putnam, Matthew R.")</f>
        <v>Putnam, Matthew R.</v>
      </c>
      <c r="B6608" s="3">
        <f ca="1">IFERROR(__xludf.DUMMYFUNCTION("""COMPUTED_VALUE"""),1)</f>
        <v>1</v>
      </c>
      <c r="C6608" s="7">
        <f ca="1">IFERROR(__xludf.DUMMYFUNCTION("""COMPUTED_VALUE"""),1)</f>
        <v>1</v>
      </c>
      <c r="D6608" s="8">
        <f ca="1">IFERROR(__xludf.DUMMYFUNCTION("""COMPUTED_VALUE"""),1)</f>
        <v>1</v>
      </c>
      <c r="E6608" s="2">
        <f ca="1">IFERROR(__xludf.DUMMYFUNCTION("""COMPUTED_VALUE"""),1)</f>
        <v>1</v>
      </c>
    </row>
    <row r="6609" spans="1:5" ht="13">
      <c r="A6609" s="2" t="str">
        <f ca="1">IFERROR(__xludf.DUMMYFUNCTION("""COMPUTED_VALUE"""),"Puts, Kevin")</f>
        <v>Puts, Kevin</v>
      </c>
      <c r="B6609" s="3">
        <f ca="1">IFERROR(__xludf.DUMMYFUNCTION("""COMPUTED_VALUE"""),1)</f>
        <v>1</v>
      </c>
      <c r="C6609" s="7">
        <f ca="1">IFERROR(__xludf.DUMMYFUNCTION("""COMPUTED_VALUE"""),1)</f>
        <v>1</v>
      </c>
      <c r="D6609" s="8">
        <f ca="1">IFERROR(__xludf.DUMMYFUNCTION("""COMPUTED_VALUE"""),1)</f>
        <v>1</v>
      </c>
      <c r="E6609" s="2">
        <f ca="1">IFERROR(__xludf.DUMMYFUNCTION("""COMPUTED_VALUE"""),1)</f>
        <v>1</v>
      </c>
    </row>
    <row r="6610" spans="1:5" ht="13">
      <c r="A6610" s="2" t="str">
        <f ca="1">IFERROR(__xludf.DUMMYFUNCTION("""COMPUTED_VALUE"""),"Pütz, Marco")</f>
        <v>Pütz, Marco</v>
      </c>
      <c r="B6610" s="3">
        <f ca="1">IFERROR(__xludf.DUMMYFUNCTION("""COMPUTED_VALUE"""),1)</f>
        <v>1</v>
      </c>
      <c r="C6610" s="7">
        <f ca="1">IFERROR(__xludf.DUMMYFUNCTION("""COMPUTED_VALUE"""),1)</f>
        <v>1</v>
      </c>
      <c r="D6610" s="8">
        <f ca="1">IFERROR(__xludf.DUMMYFUNCTION("""COMPUTED_VALUE"""),1)</f>
        <v>1</v>
      </c>
      <c r="E6610" s="2">
        <f ca="1">IFERROR(__xludf.DUMMYFUNCTION("""COMPUTED_VALUE"""),1)</f>
        <v>1</v>
      </c>
    </row>
    <row r="6611" spans="1:5" ht="13">
      <c r="A6611" s="8" t="str">
        <f ca="1">IFERROR(__xludf.DUMMYFUNCTION("""COMPUTED_VALUE"""),"Pyle, Francis")</f>
        <v>Pyle, Francis</v>
      </c>
      <c r="B6611" s="3">
        <f ca="1">IFERROR(__xludf.DUMMYFUNCTION("""COMPUTED_VALUE"""),1)</f>
        <v>1</v>
      </c>
      <c r="C6611" s="7">
        <f ca="1">IFERROR(__xludf.DUMMYFUNCTION("""COMPUTED_VALUE"""),1)</f>
        <v>1</v>
      </c>
      <c r="D6611" s="8">
        <f ca="1">IFERROR(__xludf.DUMMYFUNCTION("""COMPUTED_VALUE"""),5)</f>
        <v>5</v>
      </c>
      <c r="E6611" s="2">
        <f ca="1">IFERROR(__xludf.DUMMYFUNCTION("""COMPUTED_VALUE"""),2)</f>
        <v>2</v>
      </c>
    </row>
    <row r="6612" spans="1:5" ht="13">
      <c r="A6612" s="2" t="str">
        <f ca="1">IFERROR(__xludf.DUMMYFUNCTION("""COMPUTED_VALUE"""),"Pyter, Steven")</f>
        <v>Pyter, Steven</v>
      </c>
      <c r="B6612" s="3">
        <f ca="1">IFERROR(__xludf.DUMMYFUNCTION("""COMPUTED_VALUE"""),1)</f>
        <v>1</v>
      </c>
      <c r="C6612" s="7">
        <f ca="1">IFERROR(__xludf.DUMMYFUNCTION("""COMPUTED_VALUE"""),1)</f>
        <v>1</v>
      </c>
      <c r="D6612" s="8">
        <f ca="1">IFERROR(__xludf.DUMMYFUNCTION("""COMPUTED_VALUE"""),1)</f>
        <v>1</v>
      </c>
      <c r="E6612" s="2">
        <f ca="1">IFERROR(__xludf.DUMMYFUNCTION("""COMPUTED_VALUE"""),1)</f>
        <v>1</v>
      </c>
    </row>
    <row r="6613" spans="1:5" ht="13">
      <c r="A6613" s="2" t="str">
        <f ca="1">IFERROR(__xludf.DUMMYFUNCTION("""COMPUTED_VALUE"""),"Pyter, Steven J.")</f>
        <v>Pyter, Steven J.</v>
      </c>
      <c r="B6613" s="3">
        <f ca="1">IFERROR(__xludf.DUMMYFUNCTION("""COMPUTED_VALUE"""),1)</f>
        <v>1</v>
      </c>
      <c r="C6613" s="7">
        <f ca="1">IFERROR(__xludf.DUMMYFUNCTION("""COMPUTED_VALUE"""),1)</f>
        <v>1</v>
      </c>
      <c r="D6613" s="8">
        <f ca="1">IFERROR(__xludf.DUMMYFUNCTION("""COMPUTED_VALUE"""),1)</f>
        <v>1</v>
      </c>
      <c r="E6613" s="2">
        <f ca="1">IFERROR(__xludf.DUMMYFUNCTION("""COMPUTED_VALUE"""),1)</f>
        <v>1</v>
      </c>
    </row>
    <row r="6614" spans="1:5" ht="13">
      <c r="A6614" s="8" t="str">
        <f ca="1">IFERROR(__xludf.DUMMYFUNCTION("""COMPUTED_VALUE"""),"Quagenti, Samuel")</f>
        <v>Quagenti, Samuel</v>
      </c>
      <c r="B6614" s="3">
        <f ca="1">IFERROR(__xludf.DUMMYFUNCTION("""COMPUTED_VALUE"""),1)</f>
        <v>1</v>
      </c>
      <c r="C6614" s="7">
        <f ca="1">IFERROR(__xludf.DUMMYFUNCTION("""COMPUTED_VALUE"""),1)</f>
        <v>1</v>
      </c>
      <c r="D6614" s="8">
        <f ca="1">IFERROR(__xludf.DUMMYFUNCTION("""COMPUTED_VALUE"""),5)</f>
        <v>5</v>
      </c>
      <c r="E6614" s="2">
        <f ca="1">IFERROR(__xludf.DUMMYFUNCTION("""COMPUTED_VALUE"""),2)</f>
        <v>2</v>
      </c>
    </row>
    <row r="6615" spans="1:5" ht="13">
      <c r="A6615" s="8" t="str">
        <f ca="1">IFERROR(__xludf.DUMMYFUNCTION("""COMPUTED_VALUE"""),"Quaid, Eddie")</f>
        <v>Quaid, Eddie</v>
      </c>
      <c r="B6615" s="2">
        <f ca="1">IFERROR(__xludf.DUMMYFUNCTION("""COMPUTED_VALUE"""),1)</f>
        <v>1</v>
      </c>
      <c r="C6615" s="7">
        <f ca="1">IFERROR(__xludf.DUMMYFUNCTION("""COMPUTED_VALUE"""),1)</f>
        <v>1</v>
      </c>
      <c r="D6615" s="8">
        <f ca="1">IFERROR(__xludf.DUMMYFUNCTION("""COMPUTED_VALUE"""),1)</f>
        <v>1</v>
      </c>
      <c r="E6615" s="2">
        <f ca="1">IFERROR(__xludf.DUMMYFUNCTION("""COMPUTED_VALUE"""),1)</f>
        <v>1</v>
      </c>
    </row>
    <row r="6616" spans="1:5" ht="13">
      <c r="A6616" s="2" t="str">
        <f ca="1">IFERROR(__xludf.DUMMYFUNCTION("""COMPUTED_VALUE"""),"Quantz, Johann Joachim")</f>
        <v>Quantz, Johann Joachim</v>
      </c>
      <c r="B6616" s="3">
        <f ca="1">IFERROR(__xludf.DUMMYFUNCTION("""COMPUTED_VALUE"""),1)</f>
        <v>1</v>
      </c>
      <c r="C6616" s="7">
        <f ca="1">IFERROR(__xludf.DUMMYFUNCTION("""COMPUTED_VALUE"""),1)</f>
        <v>1</v>
      </c>
      <c r="D6616" s="8">
        <f ca="1">IFERROR(__xludf.DUMMYFUNCTION("""COMPUTED_VALUE"""),5)</f>
        <v>5</v>
      </c>
      <c r="E6616" s="2">
        <f ca="1">IFERROR(__xludf.DUMMYFUNCTION("""COMPUTED_VALUE"""),2)</f>
        <v>2</v>
      </c>
    </row>
    <row r="6617" spans="1:5" ht="13">
      <c r="A6617" s="2" t="str">
        <f ca="1">IFERROR(__xludf.DUMMYFUNCTION("""COMPUTED_VALUE"""),"Querry, Brian")</f>
        <v>Querry, Brian</v>
      </c>
      <c r="B6617" s="3">
        <f ca="1">IFERROR(__xludf.DUMMYFUNCTION("""COMPUTED_VALUE"""),1)</f>
        <v>1</v>
      </c>
      <c r="C6617" s="7">
        <f ca="1">IFERROR(__xludf.DUMMYFUNCTION("""COMPUTED_VALUE"""),1)</f>
        <v>1</v>
      </c>
      <c r="D6617" s="8">
        <f ca="1">IFERROR(__xludf.DUMMYFUNCTION("""COMPUTED_VALUE"""),1)</f>
        <v>1</v>
      </c>
      <c r="E6617" s="2">
        <f ca="1">IFERROR(__xludf.DUMMYFUNCTION("""COMPUTED_VALUE"""),1)</f>
        <v>1</v>
      </c>
    </row>
    <row r="6618" spans="1:5" ht="13">
      <c r="A6618" s="8" t="str">
        <f ca="1">IFERROR(__xludf.DUMMYFUNCTION("""COMPUTED_VALUE"""),"Quick, Jonathan")</f>
        <v>Quick, Jonathan</v>
      </c>
      <c r="B6618" s="3">
        <f ca="1">IFERROR(__xludf.DUMMYFUNCTION("""COMPUTED_VALUE"""),1)</f>
        <v>1</v>
      </c>
      <c r="C6618" s="7">
        <f ca="1">IFERROR(__xludf.DUMMYFUNCTION("""COMPUTED_VALUE"""),1)</f>
        <v>1</v>
      </c>
      <c r="D6618" s="8">
        <f ca="1">IFERROR(__xludf.DUMMYFUNCTION("""COMPUTED_VALUE"""),1)</f>
        <v>1</v>
      </c>
      <c r="E6618" s="2">
        <f ca="1">IFERROR(__xludf.DUMMYFUNCTION("""COMPUTED_VALUE"""),1)</f>
        <v>1</v>
      </c>
    </row>
    <row r="6619" spans="1:5" ht="13">
      <c r="A6619" s="2" t="str">
        <f ca="1">IFERROR(__xludf.DUMMYFUNCTION("""COMPUTED_VALUE"""),"Quigley, Patrick Dupre")</f>
        <v>Quigley, Patrick Dupre</v>
      </c>
      <c r="B6619" s="3">
        <f ca="1">IFERROR(__xludf.DUMMYFUNCTION("""COMPUTED_VALUE"""),1)</f>
        <v>1</v>
      </c>
      <c r="C6619" s="7">
        <f ca="1">IFERROR(__xludf.DUMMYFUNCTION("""COMPUTED_VALUE"""),1)</f>
        <v>1</v>
      </c>
      <c r="D6619" s="8">
        <f ca="1">IFERROR(__xludf.DUMMYFUNCTION("""COMPUTED_VALUE"""),1)</f>
        <v>1</v>
      </c>
      <c r="E6619" s="2">
        <f ca="1">IFERROR(__xludf.DUMMYFUNCTION("""COMPUTED_VALUE"""),1)</f>
        <v>1</v>
      </c>
    </row>
    <row r="6620" spans="1:5" ht="13">
      <c r="A6620" s="2" t="str">
        <f ca="1">IFERROR(__xludf.DUMMYFUNCTION("""COMPUTED_VALUE"""),"Quilter, Roger")</f>
        <v>Quilter, Roger</v>
      </c>
      <c r="B6620" s="3">
        <f ca="1">IFERROR(__xludf.DUMMYFUNCTION("""COMPUTED_VALUE"""),1)</f>
        <v>1</v>
      </c>
      <c r="C6620" s="7">
        <f ca="1">IFERROR(__xludf.DUMMYFUNCTION("""COMPUTED_VALUE"""),1)</f>
        <v>1</v>
      </c>
      <c r="D6620" s="8">
        <f ca="1">IFERROR(__xludf.DUMMYFUNCTION("""COMPUTED_VALUE"""),5)</f>
        <v>5</v>
      </c>
      <c r="E6620" s="2">
        <f ca="1">IFERROR(__xludf.DUMMYFUNCTION("""COMPUTED_VALUE"""),2)</f>
        <v>2</v>
      </c>
    </row>
    <row r="6621" spans="1:5" ht="13">
      <c r="A6621" s="2" t="str">
        <f ca="1">IFERROR(__xludf.DUMMYFUNCTION("""COMPUTED_VALUE"""),"Quinn, James")</f>
        <v>Quinn, James</v>
      </c>
      <c r="B6621" s="3">
        <f ca="1">IFERROR(__xludf.DUMMYFUNCTION("""COMPUTED_VALUE"""),1)</f>
        <v>1</v>
      </c>
      <c r="C6621" s="7">
        <f ca="1">IFERROR(__xludf.DUMMYFUNCTION("""COMPUTED_VALUE"""),1)</f>
        <v>1</v>
      </c>
      <c r="D6621" s="8">
        <f ca="1">IFERROR(__xludf.DUMMYFUNCTION("""COMPUTED_VALUE"""),5)</f>
        <v>5</v>
      </c>
      <c r="E6621" s="3">
        <f ca="1">IFERROR(__xludf.DUMMYFUNCTION("""COMPUTED_VALUE"""),2)</f>
        <v>2</v>
      </c>
    </row>
    <row r="6622" spans="1:5" ht="13">
      <c r="A6622" s="2" t="str">
        <f ca="1">IFERROR(__xludf.DUMMYFUNCTION("""COMPUTED_VALUE"""),"Rabaud, Henri")</f>
        <v>Rabaud, Henri</v>
      </c>
      <c r="B6622" s="3">
        <f ca="1">IFERROR(__xludf.DUMMYFUNCTION("""COMPUTED_VALUE"""),1)</f>
        <v>1</v>
      </c>
      <c r="C6622" s="7">
        <f ca="1">IFERROR(__xludf.DUMMYFUNCTION("""COMPUTED_VALUE"""),1)</f>
        <v>1</v>
      </c>
      <c r="D6622" s="8">
        <f ca="1">IFERROR(__xludf.DUMMYFUNCTION("""COMPUTED_VALUE"""),5)</f>
        <v>5</v>
      </c>
      <c r="E6622" s="2">
        <f ca="1">IFERROR(__xludf.DUMMYFUNCTION("""COMPUTED_VALUE"""),2)</f>
        <v>2</v>
      </c>
    </row>
    <row r="6623" spans="1:5" ht="13">
      <c r="A6623" s="2" t="str">
        <f ca="1">IFERROR(__xludf.DUMMYFUNCTION("""COMPUTED_VALUE"""),"Rabbath, François")</f>
        <v>Rabbath, François</v>
      </c>
      <c r="B6623" s="2">
        <f ca="1">IFERROR(__xludf.DUMMYFUNCTION("""COMPUTED_VALUE"""),1)</f>
        <v>1</v>
      </c>
      <c r="C6623" s="7">
        <f ca="1">IFERROR(__xludf.DUMMYFUNCTION("""COMPUTED_VALUE"""),1)</f>
        <v>1</v>
      </c>
      <c r="D6623" s="8">
        <f ca="1">IFERROR(__xludf.DUMMYFUNCTION("""COMPUTED_VALUE"""),1)</f>
        <v>1</v>
      </c>
      <c r="E6623" s="2">
        <f ca="1">IFERROR(__xludf.DUMMYFUNCTION("""COMPUTED_VALUE"""),1)</f>
        <v>1</v>
      </c>
    </row>
    <row r="6624" spans="1:5" ht="13">
      <c r="A6624" s="2" t="str">
        <f ca="1">IFERROR(__xludf.DUMMYFUNCTION("""COMPUTED_VALUE"""),"Raberg, Emil")</f>
        <v>Raberg, Emil</v>
      </c>
      <c r="B6624" s="2">
        <f ca="1">IFERROR(__xludf.DUMMYFUNCTION("""COMPUTED_VALUE"""),1)</f>
        <v>1</v>
      </c>
      <c r="C6624" s="7">
        <f ca="1">IFERROR(__xludf.DUMMYFUNCTION("""COMPUTED_VALUE"""),1)</f>
        <v>1</v>
      </c>
      <c r="D6624" s="8">
        <f ca="1">IFERROR(__xludf.DUMMYFUNCTION("""COMPUTED_VALUE"""),1)</f>
        <v>1</v>
      </c>
      <c r="E6624" s="2">
        <f ca="1">IFERROR(__xludf.DUMMYFUNCTION("""COMPUTED_VALUE"""),1)</f>
        <v>1</v>
      </c>
    </row>
    <row r="6625" spans="1:5" ht="13">
      <c r="A6625" s="2" t="str">
        <f ca="1">IFERROR(__xludf.DUMMYFUNCTION("""COMPUTED_VALUE"""),"Rabinovitch-Barakovsky, Alexandre")</f>
        <v>Rabinovitch-Barakovsky, Alexandre</v>
      </c>
      <c r="B6625" s="3">
        <f ca="1">IFERROR(__xludf.DUMMYFUNCTION("""COMPUTED_VALUE"""),1)</f>
        <v>1</v>
      </c>
      <c r="C6625" s="7">
        <f ca="1">IFERROR(__xludf.DUMMYFUNCTION("""COMPUTED_VALUE"""),1)</f>
        <v>1</v>
      </c>
      <c r="D6625" s="8">
        <f ca="1">IFERROR(__xludf.DUMMYFUNCTION("""COMPUTED_VALUE"""),1)</f>
        <v>1</v>
      </c>
      <c r="E6625" s="2">
        <f ca="1">IFERROR(__xludf.DUMMYFUNCTION("""COMPUTED_VALUE"""),1)</f>
        <v>1</v>
      </c>
    </row>
    <row r="6626" spans="1:5" ht="13">
      <c r="A6626" s="2" t="str">
        <f ca="1">IFERROR(__xludf.DUMMYFUNCTION("""COMPUTED_VALUE"""),"Racek, Fritz")</f>
        <v>Racek, Fritz</v>
      </c>
      <c r="B6626" s="2">
        <f ca="1">IFERROR(__xludf.DUMMYFUNCTION("""COMPUTED_VALUE"""),1)</f>
        <v>1</v>
      </c>
      <c r="C6626" s="7">
        <f ca="1">IFERROR(__xludf.DUMMYFUNCTION("""COMPUTED_VALUE"""),1)</f>
        <v>1</v>
      </c>
      <c r="D6626" s="8">
        <f ca="1">IFERROR(__xludf.DUMMYFUNCTION("""COMPUTED_VALUE"""),5)</f>
        <v>5</v>
      </c>
      <c r="E6626" s="2">
        <f ca="1">IFERROR(__xludf.DUMMYFUNCTION("""COMPUTED_VALUE"""),2)</f>
        <v>2</v>
      </c>
    </row>
    <row r="6627" spans="1:5" ht="13">
      <c r="A6627" s="2" t="str">
        <f ca="1">IFERROR(__xludf.DUMMYFUNCTION("""COMPUTED_VALUE"""),"Rachmaninoff, Sergei")</f>
        <v>Rachmaninoff, Sergei</v>
      </c>
      <c r="B6627" s="3">
        <f ca="1">IFERROR(__xludf.DUMMYFUNCTION("""COMPUTED_VALUE"""),1)</f>
        <v>1</v>
      </c>
      <c r="C6627" s="7">
        <f ca="1">IFERROR(__xludf.DUMMYFUNCTION("""COMPUTED_VALUE"""),1)</f>
        <v>1</v>
      </c>
      <c r="D6627" s="8">
        <f ca="1">IFERROR(__xludf.DUMMYFUNCTION("""COMPUTED_VALUE"""),5)</f>
        <v>5</v>
      </c>
      <c r="E6627" s="2">
        <f ca="1">IFERROR(__xludf.DUMMYFUNCTION("""COMPUTED_VALUE"""),2)</f>
        <v>2</v>
      </c>
    </row>
    <row r="6628" spans="1:5" ht="13">
      <c r="A6628" s="2" t="str">
        <f ca="1">IFERROR(__xludf.DUMMYFUNCTION("""COMPUTED_VALUE"""),"Raczynski, Mark")</f>
        <v>Raczynski, Mark</v>
      </c>
      <c r="B6628" s="3">
        <f ca="1">IFERROR(__xludf.DUMMYFUNCTION("""COMPUTED_VALUE"""),1)</f>
        <v>1</v>
      </c>
      <c r="C6628" s="7">
        <f ca="1">IFERROR(__xludf.DUMMYFUNCTION("""COMPUTED_VALUE"""),1)</f>
        <v>1</v>
      </c>
      <c r="D6628" s="8">
        <f ca="1">IFERROR(__xludf.DUMMYFUNCTION("""COMPUTED_VALUE"""),1)</f>
        <v>1</v>
      </c>
      <c r="E6628" s="2">
        <f ca="1">IFERROR(__xludf.DUMMYFUNCTION("""COMPUTED_VALUE"""),1)</f>
        <v>1</v>
      </c>
    </row>
    <row r="6629" spans="1:5" ht="13">
      <c r="A6629" s="2" t="str">
        <f ca="1">IFERROR(__xludf.DUMMYFUNCTION("""COMPUTED_VALUE"""),"Radaelli, Luigi")</f>
        <v>Radaelli, Luigi</v>
      </c>
      <c r="B6629" s="2">
        <f ca="1">IFERROR(__xludf.DUMMYFUNCTION("""COMPUTED_VALUE"""),1)</f>
        <v>1</v>
      </c>
      <c r="C6629" s="7">
        <f ca="1">IFERROR(__xludf.DUMMYFUNCTION("""COMPUTED_VALUE"""),1)</f>
        <v>1</v>
      </c>
      <c r="D6629" s="8">
        <f ca="1">IFERROR(__xludf.DUMMYFUNCTION("""COMPUTED_VALUE"""),5)</f>
        <v>5</v>
      </c>
      <c r="E6629" s="2">
        <f ca="1">IFERROR(__xludf.DUMMYFUNCTION("""COMPUTED_VALUE"""),2)</f>
        <v>2</v>
      </c>
    </row>
    <row r="6630" spans="1:5" ht="13">
      <c r="A6630" s="2" t="str">
        <f ca="1">IFERROR(__xludf.DUMMYFUNCTION("""COMPUTED_VALUE"""),"Raddin, Phil")</f>
        <v>Raddin, Phil</v>
      </c>
      <c r="B6630" s="3">
        <f ca="1">IFERROR(__xludf.DUMMYFUNCTION("""COMPUTED_VALUE"""),1)</f>
        <v>1</v>
      </c>
      <c r="C6630" s="7">
        <f ca="1">IFERROR(__xludf.DUMMYFUNCTION("""COMPUTED_VALUE"""),1)</f>
        <v>1</v>
      </c>
      <c r="D6630" s="8">
        <f ca="1">IFERROR(__xludf.DUMMYFUNCTION("""COMPUTED_VALUE"""),5)</f>
        <v>5</v>
      </c>
      <c r="E6630" s="2">
        <f ca="1">IFERROR(__xludf.DUMMYFUNCTION("""COMPUTED_VALUE"""),2)</f>
        <v>2</v>
      </c>
    </row>
    <row r="6631" spans="1:5" ht="13">
      <c r="A6631" s="2" t="str">
        <f ca="1">IFERROR(__xludf.DUMMYFUNCTION("""COMPUTED_VALUE"""),"Radermacher, Friedrich")</f>
        <v>Radermacher, Friedrich</v>
      </c>
      <c r="B6631" s="3">
        <f ca="1">IFERROR(__xludf.DUMMYFUNCTION("""COMPUTED_VALUE"""),1)</f>
        <v>1</v>
      </c>
      <c r="C6631" s="7">
        <f ca="1">IFERROR(__xludf.DUMMYFUNCTION("""COMPUTED_VALUE"""),1)</f>
        <v>1</v>
      </c>
      <c r="D6631" s="8">
        <f ca="1">IFERROR(__xludf.DUMMYFUNCTION("""COMPUTED_VALUE"""),5)</f>
        <v>5</v>
      </c>
      <c r="E6631" s="2">
        <f ca="1">IFERROR(__xludf.DUMMYFUNCTION("""COMPUTED_VALUE"""),2)</f>
        <v>2</v>
      </c>
    </row>
    <row r="6632" spans="1:5" ht="13">
      <c r="A6632" s="2" t="str">
        <f ca="1">IFERROR(__xludf.DUMMYFUNCTION("""COMPUTED_VALUE"""),"Radiohead")</f>
        <v>Radiohead</v>
      </c>
      <c r="B6632" s="3">
        <f ca="1">IFERROR(__xludf.DUMMYFUNCTION("""COMPUTED_VALUE"""),1)</f>
        <v>1</v>
      </c>
      <c r="C6632" s="7">
        <f ca="1">IFERROR(__xludf.DUMMYFUNCTION("""COMPUTED_VALUE"""),1)</f>
        <v>1</v>
      </c>
      <c r="D6632" s="8">
        <f ca="1">IFERROR(__xludf.DUMMYFUNCTION("""COMPUTED_VALUE"""),1)</f>
        <v>1</v>
      </c>
      <c r="E6632" s="2">
        <f ca="1">IFERROR(__xludf.DUMMYFUNCTION("""COMPUTED_VALUE"""),1)</f>
        <v>1</v>
      </c>
    </row>
    <row r="6633" spans="1:5" ht="13">
      <c r="A6633" s="8" t="str">
        <f ca="1">IFERROR(__xludf.DUMMYFUNCTION("""COMPUTED_VALUE"""),"Rado, James / Ragni, Gerome")</f>
        <v>Rado, James / Ragni, Gerome</v>
      </c>
      <c r="B6633" s="3">
        <f ca="1">IFERROR(__xludf.DUMMYFUNCTION("""COMPUTED_VALUE"""),1)</f>
        <v>1</v>
      </c>
      <c r="C6633" s="7">
        <f ca="1">IFERROR(__xludf.DUMMYFUNCTION("""COMPUTED_VALUE"""),1)</f>
        <v>1</v>
      </c>
      <c r="D6633" s="8">
        <f ca="1">IFERROR(__xludf.DUMMYFUNCTION("""COMPUTED_VALUE"""),1)</f>
        <v>1</v>
      </c>
      <c r="E6633" s="2">
        <f ca="1">IFERROR(__xludf.DUMMYFUNCTION("""COMPUTED_VALUE"""),1)</f>
        <v>1</v>
      </c>
    </row>
    <row r="6634" spans="1:5" ht="13">
      <c r="A6634" s="2" t="str">
        <f ca="1">IFERROR(__xludf.DUMMYFUNCTION("""COMPUTED_VALUE"""),"Rae, James")</f>
        <v>Rae, James</v>
      </c>
      <c r="B6634" s="3">
        <f ca="1">IFERROR(__xludf.DUMMYFUNCTION("""COMPUTED_VALUE"""),1)</f>
        <v>1</v>
      </c>
      <c r="C6634" s="7">
        <f ca="1">IFERROR(__xludf.DUMMYFUNCTION("""COMPUTED_VALUE"""),1)</f>
        <v>1</v>
      </c>
      <c r="D6634" s="8">
        <f ca="1">IFERROR(__xludf.DUMMYFUNCTION("""COMPUTED_VALUE"""),1)</f>
        <v>1</v>
      </c>
      <c r="E6634" s="2">
        <f ca="1">IFERROR(__xludf.DUMMYFUNCTION("""COMPUTED_VALUE"""),1)</f>
        <v>1</v>
      </c>
    </row>
    <row r="6635" spans="1:5" ht="13">
      <c r="A6635" s="2" t="str">
        <f ca="1">IFERROR(__xludf.DUMMYFUNCTION("""COMPUTED_VALUE"""),"Raff, Joachim")</f>
        <v>Raff, Joachim</v>
      </c>
      <c r="B6635" s="3">
        <f ca="1">IFERROR(__xludf.DUMMYFUNCTION("""COMPUTED_VALUE"""),1)</f>
        <v>1</v>
      </c>
      <c r="C6635" s="7">
        <f ca="1">IFERROR(__xludf.DUMMYFUNCTION("""COMPUTED_VALUE"""),1)</f>
        <v>1</v>
      </c>
      <c r="D6635" s="8">
        <f ca="1">IFERROR(__xludf.DUMMYFUNCTION("""COMPUTED_VALUE"""),5)</f>
        <v>5</v>
      </c>
      <c r="E6635" s="2">
        <f ca="1">IFERROR(__xludf.DUMMYFUNCTION("""COMPUTED_VALUE"""),2)</f>
        <v>2</v>
      </c>
    </row>
    <row r="6636" spans="1:5" ht="13">
      <c r="A6636" s="2" t="str">
        <f ca="1">IFERROR(__xludf.DUMMYFUNCTION("""COMPUTED_VALUE"""),"Raffy, Louis")</f>
        <v>Raffy, Louis</v>
      </c>
      <c r="B6636" s="2">
        <f ca="1">IFERROR(__xludf.DUMMYFUNCTION("""COMPUTED_VALUE"""),1)</f>
        <v>1</v>
      </c>
      <c r="C6636" s="7">
        <f ca="1">IFERROR(__xludf.DUMMYFUNCTION("""COMPUTED_VALUE"""),1)</f>
        <v>1</v>
      </c>
      <c r="D6636" s="8">
        <f ca="1">IFERROR(__xludf.DUMMYFUNCTION("""COMPUTED_VALUE"""),5)</f>
        <v>5</v>
      </c>
      <c r="E6636" s="2">
        <f ca="1">IFERROR(__xludf.DUMMYFUNCTION("""COMPUTED_VALUE"""),2)</f>
        <v>2</v>
      </c>
    </row>
    <row r="6637" spans="1:5" ht="13">
      <c r="A6637" s="2" t="str">
        <f ca="1">IFERROR(__xludf.DUMMYFUNCTION("""COMPUTED_VALUE"""),"Rager, Dan")</f>
        <v>Rager, Dan</v>
      </c>
      <c r="B6637" s="3">
        <f ca="1">IFERROR(__xludf.DUMMYFUNCTION("""COMPUTED_VALUE"""),1)</f>
        <v>1</v>
      </c>
      <c r="C6637" s="7">
        <f ca="1">IFERROR(__xludf.DUMMYFUNCTION("""COMPUTED_VALUE"""),1)</f>
        <v>1</v>
      </c>
      <c r="D6637" s="8">
        <f ca="1">IFERROR(__xludf.DUMMYFUNCTION("""COMPUTED_VALUE"""),1)</f>
        <v>1</v>
      </c>
      <c r="E6637" s="2">
        <f ca="1">IFERROR(__xludf.DUMMYFUNCTION("""COMPUTED_VALUE"""),1)</f>
        <v>1</v>
      </c>
    </row>
    <row r="6638" spans="1:5" ht="13">
      <c r="A6638" s="2" t="str">
        <f ca="1">IFERROR(__xludf.DUMMYFUNCTION("""COMPUTED_VALUE"""),"Ragsdale, Chalon")</f>
        <v>Ragsdale, Chalon</v>
      </c>
      <c r="B6638" s="3">
        <f ca="1">IFERROR(__xludf.DUMMYFUNCTION("""COMPUTED_VALUE"""),1)</f>
        <v>1</v>
      </c>
      <c r="C6638" s="7">
        <f ca="1">IFERROR(__xludf.DUMMYFUNCTION("""COMPUTED_VALUE"""),1)</f>
        <v>1</v>
      </c>
      <c r="D6638" s="8">
        <f ca="1">IFERROR(__xludf.DUMMYFUNCTION("""COMPUTED_VALUE"""),1)</f>
        <v>1</v>
      </c>
      <c r="E6638" s="2">
        <f ca="1">IFERROR(__xludf.DUMMYFUNCTION("""COMPUTED_VALUE"""),1)</f>
        <v>1</v>
      </c>
    </row>
    <row r="6639" spans="1:5" ht="13">
      <c r="A6639" s="2" t="str">
        <f ca="1">IFERROR(__xludf.DUMMYFUNCTION("""COMPUTED_VALUE"""),"Ragsdale, Scott")</f>
        <v>Ragsdale, Scott</v>
      </c>
      <c r="B6639" s="3">
        <f ca="1">IFERROR(__xludf.DUMMYFUNCTION("""COMPUTED_VALUE"""),1)</f>
        <v>1</v>
      </c>
      <c r="C6639" s="7">
        <f ca="1">IFERROR(__xludf.DUMMYFUNCTION("""COMPUTED_VALUE"""),1)</f>
        <v>1</v>
      </c>
      <c r="D6639" s="8">
        <f ca="1">IFERROR(__xludf.DUMMYFUNCTION("""COMPUTED_VALUE"""),1)</f>
        <v>1</v>
      </c>
      <c r="E6639" s="2">
        <f ca="1">IFERROR(__xludf.DUMMYFUNCTION("""COMPUTED_VALUE"""),1)</f>
        <v>1</v>
      </c>
    </row>
    <row r="6640" spans="1:5" ht="13">
      <c r="A6640" s="2" t="str">
        <f ca="1">IFERROR(__xludf.DUMMYFUNCTION("""COMPUTED_VALUE"""),"Ragsdale, Van")</f>
        <v>Ragsdale, Van</v>
      </c>
      <c r="B6640" s="3">
        <f ca="1">IFERROR(__xludf.DUMMYFUNCTION("""COMPUTED_VALUE"""),1)</f>
        <v>1</v>
      </c>
      <c r="C6640" s="7">
        <f ca="1">IFERROR(__xludf.DUMMYFUNCTION("""COMPUTED_VALUE"""),1)</f>
        <v>1</v>
      </c>
      <c r="D6640" s="8">
        <f ca="1">IFERROR(__xludf.DUMMYFUNCTION("""COMPUTED_VALUE"""),1)</f>
        <v>1</v>
      </c>
      <c r="E6640" s="2">
        <f ca="1">IFERROR(__xludf.DUMMYFUNCTION("""COMPUTED_VALUE"""),1)</f>
        <v>1</v>
      </c>
    </row>
    <row r="6641" spans="1:5" ht="13">
      <c r="A6641" s="2" t="str">
        <f ca="1">IFERROR(__xludf.DUMMYFUNCTION("""COMPUTED_VALUE"""),"Raichl, Miroslav")</f>
        <v>Raichl, Miroslav</v>
      </c>
      <c r="B6641" s="3">
        <f ca="1">IFERROR(__xludf.DUMMYFUNCTION("""COMPUTED_VALUE"""),1)</f>
        <v>1</v>
      </c>
      <c r="C6641" s="7">
        <f ca="1">IFERROR(__xludf.DUMMYFUNCTION("""COMPUTED_VALUE"""),1)</f>
        <v>1</v>
      </c>
      <c r="D6641" s="8">
        <f ca="1">IFERROR(__xludf.DUMMYFUNCTION("""COMPUTED_VALUE"""),5)</f>
        <v>5</v>
      </c>
      <c r="E6641" s="2">
        <f ca="1">IFERROR(__xludf.DUMMYFUNCTION("""COMPUTED_VALUE"""),2)</f>
        <v>2</v>
      </c>
    </row>
    <row r="6642" spans="1:5" ht="13">
      <c r="A6642" s="2" t="str">
        <f ca="1">IFERROR(__xludf.DUMMYFUNCTION("""COMPUTED_VALUE"""),"Raimi, Max")</f>
        <v>Raimi, Max</v>
      </c>
      <c r="B6642" s="3">
        <f ca="1">IFERROR(__xludf.DUMMYFUNCTION("""COMPUTED_VALUE"""),1)</f>
        <v>1</v>
      </c>
      <c r="C6642" s="7">
        <f ca="1">IFERROR(__xludf.DUMMYFUNCTION("""COMPUTED_VALUE"""),1)</f>
        <v>1</v>
      </c>
      <c r="D6642" s="8">
        <f ca="1">IFERROR(__xludf.DUMMYFUNCTION("""COMPUTED_VALUE"""),1)</f>
        <v>1</v>
      </c>
      <c r="E6642" s="2">
        <f ca="1">IFERROR(__xludf.DUMMYFUNCTION("""COMPUTED_VALUE"""),1)</f>
        <v>1</v>
      </c>
    </row>
    <row r="6643" spans="1:5" ht="13">
      <c r="A6643" s="8" t="str">
        <f ca="1">IFERROR(__xludf.DUMMYFUNCTION("""COMPUTED_VALUE"""),"Raines, Alan")</f>
        <v>Raines, Alan</v>
      </c>
      <c r="B6643" s="9">
        <f ca="1">IFERROR(__xludf.DUMMYFUNCTION("""COMPUTED_VALUE"""),1)</f>
        <v>1</v>
      </c>
      <c r="C6643" s="7">
        <f ca="1">IFERROR(__xludf.DUMMYFUNCTION("""COMPUTED_VALUE"""),1)</f>
        <v>1</v>
      </c>
      <c r="D6643" s="8">
        <f ca="1">IFERROR(__xludf.DUMMYFUNCTION("""COMPUTED_VALUE"""),1)</f>
        <v>1</v>
      </c>
      <c r="E6643" s="9">
        <f ca="1">IFERROR(__xludf.DUMMYFUNCTION("""COMPUTED_VALUE"""),1)</f>
        <v>1</v>
      </c>
    </row>
    <row r="6644" spans="1:5" ht="13">
      <c r="A6644" s="2" t="str">
        <f ca="1">IFERROR(__xludf.DUMMYFUNCTION("""COMPUTED_VALUE"""),"Rakowski, David")</f>
        <v>Rakowski, David</v>
      </c>
      <c r="B6644" s="3">
        <f ca="1">IFERROR(__xludf.DUMMYFUNCTION("""COMPUTED_VALUE"""),1)</f>
        <v>1</v>
      </c>
      <c r="C6644" s="7">
        <f ca="1">IFERROR(__xludf.DUMMYFUNCTION("""COMPUTED_VALUE"""),1)</f>
        <v>1</v>
      </c>
      <c r="D6644" s="8">
        <f ca="1">IFERROR(__xludf.DUMMYFUNCTION("""COMPUTED_VALUE"""),1)</f>
        <v>1</v>
      </c>
      <c r="E6644" s="2">
        <f ca="1">IFERROR(__xludf.DUMMYFUNCTION("""COMPUTED_VALUE"""),1)</f>
        <v>1</v>
      </c>
    </row>
    <row r="6645" spans="1:5" ht="13">
      <c r="A6645" s="2" t="str">
        <f ca="1">IFERROR(__xludf.DUMMYFUNCTION("""COMPUTED_VALUE"""),"Ramal, Bill")</f>
        <v>Ramal, Bill</v>
      </c>
      <c r="B6645" s="3">
        <f ca="1">IFERROR(__xludf.DUMMYFUNCTION("""COMPUTED_VALUE"""),1)</f>
        <v>1</v>
      </c>
      <c r="C6645" s="7">
        <f ca="1">IFERROR(__xludf.DUMMYFUNCTION("""COMPUTED_VALUE"""),1)</f>
        <v>1</v>
      </c>
      <c r="D6645" s="8">
        <f ca="1">IFERROR(__xludf.DUMMYFUNCTION("""COMPUTED_VALUE"""),5)</f>
        <v>5</v>
      </c>
      <c r="E6645" s="2">
        <f ca="1">IFERROR(__xludf.DUMMYFUNCTION("""COMPUTED_VALUE"""),2)</f>
        <v>2</v>
      </c>
    </row>
    <row r="6646" spans="1:5" ht="13">
      <c r="A6646" s="2" t="str">
        <f ca="1">IFERROR(__xludf.DUMMYFUNCTION("""COMPUTED_VALUE"""),"Rameau, Jean-Philippe")</f>
        <v>Rameau, Jean-Philippe</v>
      </c>
      <c r="B6646" s="3">
        <f ca="1">IFERROR(__xludf.DUMMYFUNCTION("""COMPUTED_VALUE"""),1)</f>
        <v>1</v>
      </c>
      <c r="C6646" s="7">
        <f ca="1">IFERROR(__xludf.DUMMYFUNCTION("""COMPUTED_VALUE"""),1)</f>
        <v>1</v>
      </c>
      <c r="D6646" s="8">
        <f ca="1">IFERROR(__xludf.DUMMYFUNCTION("""COMPUTED_VALUE"""),5)</f>
        <v>5</v>
      </c>
      <c r="E6646" s="2">
        <f ca="1">IFERROR(__xludf.DUMMYFUNCTION("""COMPUTED_VALUE"""),2)</f>
        <v>2</v>
      </c>
    </row>
    <row r="6647" spans="1:5" ht="13">
      <c r="A6647" s="2" t="str">
        <f ca="1">IFERROR(__xludf.DUMMYFUNCTION("""COMPUTED_VALUE"""),"Ramin, Ron")</f>
        <v>Ramin, Ron</v>
      </c>
      <c r="B6647" s="2">
        <f ca="1">IFERROR(__xludf.DUMMYFUNCTION("""COMPUTED_VALUE"""),1)</f>
        <v>1</v>
      </c>
      <c r="C6647" s="2">
        <f ca="1">IFERROR(__xludf.DUMMYFUNCTION("""COMPUTED_VALUE"""),1)</f>
        <v>1</v>
      </c>
      <c r="D6647" s="8">
        <f ca="1">IFERROR(__xludf.DUMMYFUNCTION("""COMPUTED_VALUE"""),1)</f>
        <v>1</v>
      </c>
      <c r="E6647" s="2">
        <f ca="1">IFERROR(__xludf.DUMMYFUNCTION("""COMPUTED_VALUE"""),1)</f>
        <v>1</v>
      </c>
    </row>
    <row r="6648" spans="1:5" ht="13">
      <c r="A6648" s="2" t="str">
        <f ca="1">IFERROR(__xludf.DUMMYFUNCTION("""COMPUTED_VALUE"""),"Raminsh, Imant")</f>
        <v>Raminsh, Imant</v>
      </c>
      <c r="B6648" s="3">
        <f ca="1">IFERROR(__xludf.DUMMYFUNCTION("""COMPUTED_VALUE"""),1)</f>
        <v>1</v>
      </c>
      <c r="C6648" s="7">
        <f ca="1">IFERROR(__xludf.DUMMYFUNCTION("""COMPUTED_VALUE"""),1)</f>
        <v>1</v>
      </c>
      <c r="D6648" s="8">
        <f ca="1">IFERROR(__xludf.DUMMYFUNCTION("""COMPUTED_VALUE"""),1)</f>
        <v>1</v>
      </c>
      <c r="E6648" s="2">
        <f ca="1">IFERROR(__xludf.DUMMYFUNCTION("""COMPUTED_VALUE"""),1)</f>
        <v>1</v>
      </c>
    </row>
    <row r="6649" spans="1:5" ht="13">
      <c r="A6649" s="2" t="str">
        <f ca="1">IFERROR(__xludf.DUMMYFUNCTION("""COMPUTED_VALUE"""),"Ramroth, Martin")</f>
        <v>Ramroth, Martin</v>
      </c>
      <c r="B6649" s="3">
        <f ca="1">IFERROR(__xludf.DUMMYFUNCTION("""COMPUTED_VALUE"""),1)</f>
        <v>1</v>
      </c>
      <c r="C6649" s="7">
        <f ca="1">IFERROR(__xludf.DUMMYFUNCTION("""COMPUTED_VALUE"""),1)</f>
        <v>1</v>
      </c>
      <c r="D6649" s="8">
        <f ca="1">IFERROR(__xludf.DUMMYFUNCTION("""COMPUTED_VALUE"""),1)</f>
        <v>1</v>
      </c>
      <c r="E6649" s="2">
        <f ca="1">IFERROR(__xludf.DUMMYFUNCTION("""COMPUTED_VALUE"""),1)</f>
        <v>1</v>
      </c>
    </row>
    <row r="6650" spans="1:5" ht="13">
      <c r="A6650" s="2" t="str">
        <f ca="1">IFERROR(__xludf.DUMMYFUNCTION("""COMPUTED_VALUE"""),"Ramsay, Wes")</f>
        <v>Ramsay, Wes</v>
      </c>
      <c r="B6650" s="3">
        <f ca="1">IFERROR(__xludf.DUMMYFUNCTION("""COMPUTED_VALUE"""),1)</f>
        <v>1</v>
      </c>
      <c r="C6650" s="7">
        <f ca="1">IFERROR(__xludf.DUMMYFUNCTION("""COMPUTED_VALUE"""),1)</f>
        <v>1</v>
      </c>
      <c r="D6650" s="8">
        <f ca="1">IFERROR(__xludf.DUMMYFUNCTION("""COMPUTED_VALUE"""),1)</f>
        <v>1</v>
      </c>
      <c r="E6650" s="2">
        <f ca="1">IFERROR(__xludf.DUMMYFUNCTION("""COMPUTED_VALUE"""),1)</f>
        <v>1</v>
      </c>
    </row>
    <row r="6651" spans="1:5" ht="13">
      <c r="A6651" s="2" t="str">
        <f ca="1">IFERROR(__xludf.DUMMYFUNCTION("""COMPUTED_VALUE"""),"Ramsey, Robert")</f>
        <v>Ramsey, Robert</v>
      </c>
      <c r="B6651" s="2">
        <f ca="1">IFERROR(__xludf.DUMMYFUNCTION("""COMPUTED_VALUE"""),1)</f>
        <v>1</v>
      </c>
      <c r="C6651" s="7">
        <f ca="1">IFERROR(__xludf.DUMMYFUNCTION("""COMPUTED_VALUE"""),1)</f>
        <v>1</v>
      </c>
      <c r="D6651" s="8">
        <f ca="1">IFERROR(__xludf.DUMMYFUNCTION("""COMPUTED_VALUE"""),5)</f>
        <v>5</v>
      </c>
      <c r="E6651" s="2">
        <f ca="1">IFERROR(__xludf.DUMMYFUNCTION("""COMPUTED_VALUE"""),2)</f>
        <v>2</v>
      </c>
    </row>
    <row r="6652" spans="1:5" ht="13">
      <c r="A6652" s="2" t="str">
        <f ca="1">IFERROR(__xludf.DUMMYFUNCTION("""COMPUTED_VALUE"""),"Ramsfield, Jerome")</f>
        <v>Ramsfield, Jerome</v>
      </c>
      <c r="B6652" s="3">
        <f ca="1">IFERROR(__xludf.DUMMYFUNCTION("""COMPUTED_VALUE"""),1)</f>
        <v>1</v>
      </c>
      <c r="C6652" s="7">
        <f ca="1">IFERROR(__xludf.DUMMYFUNCTION("""COMPUTED_VALUE"""),1)</f>
        <v>1</v>
      </c>
      <c r="D6652" s="8">
        <f ca="1">IFERROR(__xludf.DUMMYFUNCTION("""COMPUTED_VALUE"""),5)</f>
        <v>5</v>
      </c>
      <c r="E6652" s="2">
        <f ca="1">IFERROR(__xludf.DUMMYFUNCTION("""COMPUTED_VALUE"""),2)</f>
        <v>2</v>
      </c>
    </row>
    <row r="6653" spans="1:5" ht="13">
      <c r="A6653" s="2" t="str">
        <f ca="1">IFERROR(__xludf.DUMMYFUNCTION("""COMPUTED_VALUE"""),"Randall, William")</f>
        <v>Randall, William</v>
      </c>
      <c r="B6653" s="3">
        <f ca="1">IFERROR(__xludf.DUMMYFUNCTION("""COMPUTED_VALUE"""),1)</f>
        <v>1</v>
      </c>
      <c r="C6653" s="7">
        <f ca="1">IFERROR(__xludf.DUMMYFUNCTION("""COMPUTED_VALUE"""),1)</f>
        <v>1</v>
      </c>
      <c r="D6653" s="8">
        <f ca="1">IFERROR(__xludf.DUMMYFUNCTION("""COMPUTED_VALUE"""),1)</f>
        <v>1</v>
      </c>
      <c r="E6653" s="2">
        <f ca="1">IFERROR(__xludf.DUMMYFUNCTION("""COMPUTED_VALUE"""),1)</f>
        <v>1</v>
      </c>
    </row>
    <row r="6654" spans="1:5" ht="13">
      <c r="A6654" s="2" t="str">
        <f ca="1">IFERROR(__xludf.DUMMYFUNCTION("""COMPUTED_VALUE"""),"Rands, Bernard")</f>
        <v>Rands, Bernard</v>
      </c>
      <c r="B6654" s="3">
        <f ca="1">IFERROR(__xludf.DUMMYFUNCTION("""COMPUTED_VALUE"""),1)</f>
        <v>1</v>
      </c>
      <c r="C6654" s="7">
        <f ca="1">IFERROR(__xludf.DUMMYFUNCTION("""COMPUTED_VALUE"""),1)</f>
        <v>1</v>
      </c>
      <c r="D6654" s="8">
        <f ca="1">IFERROR(__xludf.DUMMYFUNCTION("""COMPUTED_VALUE"""),1)</f>
        <v>1</v>
      </c>
      <c r="E6654" s="2">
        <f ca="1">IFERROR(__xludf.DUMMYFUNCTION("""COMPUTED_VALUE"""),1)</f>
        <v>1</v>
      </c>
    </row>
    <row r="6655" spans="1:5" ht="13">
      <c r="A6655" s="8" t="str">
        <f ca="1">IFERROR(__xludf.DUMMYFUNCTION("""COMPUTED_VALUE"""),"Raney, Joel")</f>
        <v>Raney, Joel</v>
      </c>
      <c r="B6655" s="3">
        <f ca="1">IFERROR(__xludf.DUMMYFUNCTION("""COMPUTED_VALUE"""),1)</f>
        <v>1</v>
      </c>
      <c r="C6655" s="7">
        <f ca="1">IFERROR(__xludf.DUMMYFUNCTION("""COMPUTED_VALUE"""),1)</f>
        <v>1</v>
      </c>
      <c r="D6655" s="8">
        <f ca="1">IFERROR(__xludf.DUMMYFUNCTION("""COMPUTED_VALUE"""),1)</f>
        <v>1</v>
      </c>
      <c r="E6655" s="2">
        <f ca="1">IFERROR(__xludf.DUMMYFUNCTION("""COMPUTED_VALUE"""),1)</f>
        <v>1</v>
      </c>
    </row>
    <row r="6656" spans="1:5" ht="13">
      <c r="A6656" s="2" t="str">
        <f ca="1">IFERROR(__xludf.DUMMYFUNCTION("""COMPUTED_VALUE"""),"Rangstrom, Ture")</f>
        <v>Rangstrom, Ture</v>
      </c>
      <c r="B6656" s="3">
        <f ca="1">IFERROR(__xludf.DUMMYFUNCTION("""COMPUTED_VALUE"""),1)</f>
        <v>1</v>
      </c>
      <c r="C6656" s="7">
        <f ca="1">IFERROR(__xludf.DUMMYFUNCTION("""COMPUTED_VALUE"""),1)</f>
        <v>1</v>
      </c>
      <c r="D6656" s="8">
        <f ca="1">IFERROR(__xludf.DUMMYFUNCTION("""COMPUTED_VALUE"""),5)</f>
        <v>5</v>
      </c>
      <c r="E6656" s="2">
        <f ca="1">IFERROR(__xludf.DUMMYFUNCTION("""COMPUTED_VALUE"""),2)</f>
        <v>2</v>
      </c>
    </row>
    <row r="6657" spans="1:5" ht="13">
      <c r="A6657" s="2" t="str">
        <f ca="1">IFERROR(__xludf.DUMMYFUNCTION("""COMPUTED_VALUE"""),"Rankin, Robert")</f>
        <v>Rankin, Robert</v>
      </c>
      <c r="B6657" s="3">
        <f ca="1">IFERROR(__xludf.DUMMYFUNCTION("""COMPUTED_VALUE"""),1)</f>
        <v>1</v>
      </c>
      <c r="C6657" s="7">
        <f ca="1">IFERROR(__xludf.DUMMYFUNCTION("""COMPUTED_VALUE"""),1)</f>
        <v>1</v>
      </c>
      <c r="D6657" s="8">
        <f ca="1">IFERROR(__xludf.DUMMYFUNCTION("""COMPUTED_VALUE"""),1)</f>
        <v>1</v>
      </c>
      <c r="E6657" s="2">
        <f ca="1">IFERROR(__xludf.DUMMYFUNCTION("""COMPUTED_VALUE"""),1)</f>
        <v>1</v>
      </c>
    </row>
    <row r="6658" spans="1:5" ht="13">
      <c r="A6658" s="2" t="str">
        <f ca="1">IFERROR(__xludf.DUMMYFUNCTION("""COMPUTED_VALUE"""),"Rapée, Ernö")</f>
        <v>Rapée, Ernö</v>
      </c>
      <c r="B6658" s="2">
        <f ca="1">IFERROR(__xludf.DUMMYFUNCTION("""COMPUTED_VALUE"""),1)</f>
        <v>1</v>
      </c>
      <c r="C6658" s="7">
        <f ca="1">IFERROR(__xludf.DUMMYFUNCTION("""COMPUTED_VALUE"""),1)</f>
        <v>1</v>
      </c>
      <c r="D6658" s="8">
        <f ca="1">IFERROR(__xludf.DUMMYFUNCTION("""COMPUTED_VALUE"""),5)</f>
        <v>5</v>
      </c>
      <c r="E6658" s="2">
        <f ca="1">IFERROR(__xludf.DUMMYFUNCTION("""COMPUTED_VALUE"""),2)</f>
        <v>2</v>
      </c>
    </row>
    <row r="6659" spans="1:5" ht="13">
      <c r="A6659" s="2" t="str">
        <f ca="1">IFERROR(__xludf.DUMMYFUNCTION("""COMPUTED_VALUE"""),"Raphael, Günter")</f>
        <v>Raphael, Günter</v>
      </c>
      <c r="B6659" s="3">
        <f ca="1">IFERROR(__xludf.DUMMYFUNCTION("""COMPUTED_VALUE"""),1)</f>
        <v>1</v>
      </c>
      <c r="C6659" s="7">
        <f ca="1">IFERROR(__xludf.DUMMYFUNCTION("""COMPUTED_VALUE"""),1)</f>
        <v>1</v>
      </c>
      <c r="D6659" s="8">
        <f ca="1">IFERROR(__xludf.DUMMYFUNCTION("""COMPUTED_VALUE"""),5)</f>
        <v>5</v>
      </c>
      <c r="E6659" s="2">
        <f ca="1">IFERROR(__xludf.DUMMYFUNCTION("""COMPUTED_VALUE"""),2)</f>
        <v>2</v>
      </c>
    </row>
    <row r="6660" spans="1:5" ht="13">
      <c r="A6660" s="2" t="str">
        <f ca="1">IFERROR(__xludf.DUMMYFUNCTION("""COMPUTED_VALUE"""),"Raphling, Sam")</f>
        <v>Raphling, Sam</v>
      </c>
      <c r="B6660" s="3">
        <f ca="1">IFERROR(__xludf.DUMMYFUNCTION("""COMPUTED_VALUE"""),1)</f>
        <v>1</v>
      </c>
      <c r="C6660" s="7">
        <f ca="1">IFERROR(__xludf.DUMMYFUNCTION("""COMPUTED_VALUE"""),1)</f>
        <v>1</v>
      </c>
      <c r="D6660" s="8">
        <f ca="1">IFERROR(__xludf.DUMMYFUNCTION("""COMPUTED_VALUE"""),5)</f>
        <v>5</v>
      </c>
      <c r="E6660" s="2">
        <f ca="1">IFERROR(__xludf.DUMMYFUNCTION("""COMPUTED_VALUE"""),2)</f>
        <v>2</v>
      </c>
    </row>
    <row r="6661" spans="1:5" ht="13">
      <c r="A6661" s="2" t="str">
        <f ca="1">IFERROR(__xludf.DUMMYFUNCTION("""COMPUTED_VALUE"""),"Raposo, Joe, Bruce Hart, and Jon Stone")</f>
        <v>Raposo, Joe, Bruce Hart, and Jon Stone</v>
      </c>
      <c r="B6661" s="3">
        <f ca="1">IFERROR(__xludf.DUMMYFUNCTION("""COMPUTED_VALUE"""),1)</f>
        <v>1</v>
      </c>
      <c r="C6661" s="7">
        <f ca="1">IFERROR(__xludf.DUMMYFUNCTION("""COMPUTED_VALUE"""),1)</f>
        <v>1</v>
      </c>
      <c r="D6661" s="8">
        <f ca="1">IFERROR(__xludf.DUMMYFUNCTION("""COMPUTED_VALUE"""),1)</f>
        <v>1</v>
      </c>
      <c r="E6661" s="2">
        <f ca="1">IFERROR(__xludf.DUMMYFUNCTION("""COMPUTED_VALUE"""),1)</f>
        <v>1</v>
      </c>
    </row>
    <row r="6662" spans="1:5" ht="13">
      <c r="A6662" s="2" t="str">
        <f ca="1">IFERROR(__xludf.DUMMYFUNCTION("""COMPUTED_VALUE"""),"Rardin, Paul")</f>
        <v>Rardin, Paul</v>
      </c>
      <c r="B6662" s="3">
        <f ca="1">IFERROR(__xludf.DUMMYFUNCTION("""COMPUTED_VALUE"""),1)</f>
        <v>1</v>
      </c>
      <c r="C6662" s="7">
        <f ca="1">IFERROR(__xludf.DUMMYFUNCTION("""COMPUTED_VALUE"""),1)</f>
        <v>1</v>
      </c>
      <c r="D6662" s="8">
        <f ca="1">IFERROR(__xludf.DUMMYFUNCTION("""COMPUTED_VALUE"""),1)</f>
        <v>1</v>
      </c>
      <c r="E6662" s="2">
        <f ca="1">IFERROR(__xludf.DUMMYFUNCTION("""COMPUTED_VALUE"""),1)</f>
        <v>1</v>
      </c>
    </row>
    <row r="6663" spans="1:5" ht="13">
      <c r="A6663" s="2" t="str">
        <f ca="1">IFERROR(__xludf.DUMMYFUNCTION("""COMPUTED_VALUE"""),"Rarick, Tom")</f>
        <v>Rarick, Tom</v>
      </c>
      <c r="B6663" s="3">
        <f ca="1">IFERROR(__xludf.DUMMYFUNCTION("""COMPUTED_VALUE"""),1)</f>
        <v>1</v>
      </c>
      <c r="C6663" s="7">
        <f ca="1">IFERROR(__xludf.DUMMYFUNCTION("""COMPUTED_VALUE"""),1)</f>
        <v>1</v>
      </c>
      <c r="D6663" s="8">
        <f ca="1">IFERROR(__xludf.DUMMYFUNCTION("""COMPUTED_VALUE"""),1)</f>
        <v>1</v>
      </c>
      <c r="E6663" s="2">
        <f ca="1">IFERROR(__xludf.DUMMYFUNCTION("""COMPUTED_VALUE"""),1)</f>
        <v>1</v>
      </c>
    </row>
    <row r="6664" spans="1:5" ht="13">
      <c r="A6664" s="2" t="str">
        <f ca="1">IFERROR(__xludf.DUMMYFUNCTION("""COMPUTED_VALUE"""),"Rasbach, David")</f>
        <v>Rasbach, David</v>
      </c>
      <c r="B6664" s="3">
        <f ca="1">IFERROR(__xludf.DUMMYFUNCTION("""COMPUTED_VALUE"""),1)</f>
        <v>1</v>
      </c>
      <c r="C6664" s="7">
        <f ca="1">IFERROR(__xludf.DUMMYFUNCTION("""COMPUTED_VALUE"""),1)</f>
        <v>1</v>
      </c>
      <c r="D6664" s="8">
        <f ca="1">IFERROR(__xludf.DUMMYFUNCTION("""COMPUTED_VALUE"""),1)</f>
        <v>1</v>
      </c>
      <c r="E6664" s="2">
        <f ca="1">IFERROR(__xludf.DUMMYFUNCTION("""COMPUTED_VALUE"""),1)</f>
        <v>1</v>
      </c>
    </row>
    <row r="6665" spans="1:5" ht="13">
      <c r="A6665" s="2" t="str">
        <f ca="1">IFERROR(__xludf.DUMMYFUNCTION("""COMPUTED_VALUE"""),"Rasch, Torsten")</f>
        <v>Rasch, Torsten</v>
      </c>
      <c r="B6665" s="3">
        <f ca="1">IFERROR(__xludf.DUMMYFUNCTION("""COMPUTED_VALUE"""),1)</f>
        <v>1</v>
      </c>
      <c r="C6665" s="7">
        <f ca="1">IFERROR(__xludf.DUMMYFUNCTION("""COMPUTED_VALUE"""),1)</f>
        <v>1</v>
      </c>
      <c r="D6665" s="8">
        <f ca="1">IFERROR(__xludf.DUMMYFUNCTION("""COMPUTED_VALUE"""),1)</f>
        <v>1</v>
      </c>
      <c r="E6665" s="2">
        <f ca="1">IFERROR(__xludf.DUMMYFUNCTION("""COMPUTED_VALUE"""),1)</f>
        <v>1</v>
      </c>
    </row>
    <row r="6666" spans="1:5" ht="13">
      <c r="A6666" s="2" t="str">
        <f ca="1">IFERROR(__xludf.DUMMYFUNCTION("""COMPUTED_VALUE"""),"Rash, Daniel")</f>
        <v>Rash, Daniel</v>
      </c>
      <c r="B6666" s="3">
        <f ca="1">IFERROR(__xludf.DUMMYFUNCTION("""COMPUTED_VALUE"""),1)</f>
        <v>1</v>
      </c>
      <c r="C6666" s="7">
        <f ca="1">IFERROR(__xludf.DUMMYFUNCTION("""COMPUTED_VALUE"""),1)</f>
        <v>1</v>
      </c>
      <c r="D6666" s="8">
        <f ca="1">IFERROR(__xludf.DUMMYFUNCTION("""COMPUTED_VALUE"""),1)</f>
        <v>1</v>
      </c>
      <c r="E6666" s="2">
        <f ca="1">IFERROR(__xludf.DUMMYFUNCTION("""COMPUTED_VALUE"""),1)</f>
        <v>1</v>
      </c>
    </row>
    <row r="6667" spans="1:5" ht="13">
      <c r="A6667" s="2" t="str">
        <f ca="1">IFERROR(__xludf.DUMMYFUNCTION("""COMPUTED_VALUE"""),"Raskatov, Alexander")</f>
        <v>Raskatov, Alexander</v>
      </c>
      <c r="B6667" s="3">
        <f ca="1">IFERROR(__xludf.DUMMYFUNCTION("""COMPUTED_VALUE"""),1)</f>
        <v>1</v>
      </c>
      <c r="C6667" s="7">
        <f ca="1">IFERROR(__xludf.DUMMYFUNCTION("""COMPUTED_VALUE"""),1)</f>
        <v>1</v>
      </c>
      <c r="D6667" s="8">
        <f ca="1">IFERROR(__xludf.DUMMYFUNCTION("""COMPUTED_VALUE"""),1)</f>
        <v>1</v>
      </c>
      <c r="E6667" s="2">
        <f ca="1">IFERROR(__xludf.DUMMYFUNCTION("""COMPUTED_VALUE"""),1)</f>
        <v>1</v>
      </c>
    </row>
    <row r="6668" spans="1:5" ht="13">
      <c r="A6668" s="2" t="str">
        <f ca="1">IFERROR(__xludf.DUMMYFUNCTION("""COMPUTED_VALUE"""),"Rataj, Michal")</f>
        <v>Rataj, Michal</v>
      </c>
      <c r="B6668" s="3">
        <f ca="1">IFERROR(__xludf.DUMMYFUNCTION("""COMPUTED_VALUE"""),1)</f>
        <v>1</v>
      </c>
      <c r="C6668" s="7">
        <f ca="1">IFERROR(__xludf.DUMMYFUNCTION("""COMPUTED_VALUE"""),1)</f>
        <v>1</v>
      </c>
      <c r="D6668" s="8">
        <f ca="1">IFERROR(__xludf.DUMMYFUNCTION("""COMPUTED_VALUE"""),1)</f>
        <v>1</v>
      </c>
      <c r="E6668" s="2">
        <f ca="1">IFERROR(__xludf.DUMMYFUNCTION("""COMPUTED_VALUE"""),1)</f>
        <v>1</v>
      </c>
    </row>
    <row r="6669" spans="1:5" ht="13">
      <c r="A6669" s="2" t="str">
        <f ca="1">IFERROR(__xludf.DUMMYFUNCTION("""COMPUTED_VALUE"""),"Ratcliff, Cary")</f>
        <v>Ratcliff, Cary</v>
      </c>
      <c r="B6669" s="3">
        <f ca="1">IFERROR(__xludf.DUMMYFUNCTION("""COMPUTED_VALUE"""),1)</f>
        <v>1</v>
      </c>
      <c r="C6669" s="7">
        <f ca="1">IFERROR(__xludf.DUMMYFUNCTION("""COMPUTED_VALUE"""),1)</f>
        <v>1</v>
      </c>
      <c r="D6669" s="8">
        <f ca="1">IFERROR(__xludf.DUMMYFUNCTION("""COMPUTED_VALUE"""),1)</f>
        <v>1</v>
      </c>
      <c r="E6669" s="2">
        <f ca="1">IFERROR(__xludf.DUMMYFUNCTION("""COMPUTED_VALUE"""),1)</f>
        <v>1</v>
      </c>
    </row>
    <row r="6670" spans="1:5" ht="13">
      <c r="A6670" s="2" t="str">
        <f ca="1">IFERROR(__xludf.DUMMYFUNCTION("""COMPUTED_VALUE"""),"Rath, Eric")</f>
        <v>Rath, Eric</v>
      </c>
      <c r="B6670" s="3">
        <f ca="1">IFERROR(__xludf.DUMMYFUNCTION("""COMPUTED_VALUE"""),1)</f>
        <v>1</v>
      </c>
      <c r="C6670" s="7">
        <f ca="1">IFERROR(__xludf.DUMMYFUNCTION("""COMPUTED_VALUE"""),1)</f>
        <v>1</v>
      </c>
      <c r="D6670" s="8">
        <f ca="1">IFERROR(__xludf.DUMMYFUNCTION("""COMPUTED_VALUE"""),1)</f>
        <v>1</v>
      </c>
      <c r="E6670" s="2">
        <f ca="1">IFERROR(__xludf.DUMMYFUNCTION("""COMPUTED_VALUE"""),1)</f>
        <v>1</v>
      </c>
    </row>
    <row r="6671" spans="1:5" ht="13">
      <c r="A6671" s="8" t="str">
        <f ca="1">IFERROR(__xludf.DUMMYFUNCTION("""COMPUTED_VALUE"""),"Rathaus, Karol")</f>
        <v>Rathaus, Karol</v>
      </c>
      <c r="B6671" s="3">
        <f ca="1">IFERROR(__xludf.DUMMYFUNCTION("""COMPUTED_VALUE"""),1)</f>
        <v>1</v>
      </c>
      <c r="C6671" s="7">
        <f ca="1">IFERROR(__xludf.DUMMYFUNCTION("""COMPUTED_VALUE"""),1)</f>
        <v>1</v>
      </c>
      <c r="D6671" s="8">
        <f ca="1">IFERROR(__xludf.DUMMYFUNCTION("""COMPUTED_VALUE"""),5)</f>
        <v>5</v>
      </c>
      <c r="E6671" s="2">
        <f ca="1">IFERROR(__xludf.DUMMYFUNCTION("""COMPUTED_VALUE"""),2)</f>
        <v>2</v>
      </c>
    </row>
    <row r="6672" spans="1:5" ht="13">
      <c r="A6672" s="8" t="str">
        <f ca="1">IFERROR(__xludf.DUMMYFUNCTION("""COMPUTED_VALUE"""),"Rathbone, Jonathan")</f>
        <v>Rathbone, Jonathan</v>
      </c>
      <c r="B6672" s="3">
        <f ca="1">IFERROR(__xludf.DUMMYFUNCTION("""COMPUTED_VALUE"""),1)</f>
        <v>1</v>
      </c>
      <c r="C6672" s="7">
        <f ca="1">IFERROR(__xludf.DUMMYFUNCTION("""COMPUTED_VALUE"""),1)</f>
        <v>1</v>
      </c>
      <c r="D6672" s="8">
        <f ca="1">IFERROR(__xludf.DUMMYFUNCTION("""COMPUTED_VALUE"""),1)</f>
        <v>1</v>
      </c>
      <c r="E6672" s="2">
        <f ca="1">IFERROR(__xludf.DUMMYFUNCTION("""COMPUTED_VALUE"""),1)</f>
        <v>1</v>
      </c>
    </row>
    <row r="6673" spans="1:5" ht="13">
      <c r="A6673" s="2" t="str">
        <f ca="1">IFERROR(__xludf.DUMMYFUNCTION("""COMPUTED_VALUE"""),"Ratledge, John")</f>
        <v>Ratledge, John</v>
      </c>
      <c r="B6673" s="3">
        <f ca="1">IFERROR(__xludf.DUMMYFUNCTION("""COMPUTED_VALUE"""),1)</f>
        <v>1</v>
      </c>
      <c r="C6673" s="7">
        <f ca="1">IFERROR(__xludf.DUMMYFUNCTION("""COMPUTED_VALUE"""),1)</f>
        <v>1</v>
      </c>
      <c r="D6673" s="8">
        <f ca="1">IFERROR(__xludf.DUMMYFUNCTION("""COMPUTED_VALUE"""),1)</f>
        <v>1</v>
      </c>
      <c r="E6673" s="2">
        <f ca="1">IFERROR(__xludf.DUMMYFUNCTION("""COMPUTED_VALUE"""),1)</f>
        <v>1</v>
      </c>
    </row>
    <row r="6674" spans="1:5" ht="13">
      <c r="A6674" s="2" t="str">
        <f ca="1">IFERROR(__xludf.DUMMYFUNCTION("""COMPUTED_VALUE"""),"Rauch, Peter")</f>
        <v>Rauch, Peter</v>
      </c>
      <c r="B6674" s="3">
        <f ca="1">IFERROR(__xludf.DUMMYFUNCTION("""COMPUTED_VALUE"""),1)</f>
        <v>1</v>
      </c>
      <c r="C6674" s="7">
        <f ca="1">IFERROR(__xludf.DUMMYFUNCTION("""COMPUTED_VALUE"""),1)</f>
        <v>1</v>
      </c>
      <c r="D6674" s="8">
        <f ca="1">IFERROR(__xludf.DUMMYFUNCTION("""COMPUTED_VALUE"""),1)</f>
        <v>1</v>
      </c>
      <c r="E6674" s="2">
        <f ca="1">IFERROR(__xludf.DUMMYFUNCTION("""COMPUTED_VALUE"""),1)</f>
        <v>1</v>
      </c>
    </row>
    <row r="6675" spans="1:5" ht="13">
      <c r="A6675" s="2" t="str">
        <f ca="1">IFERROR(__xludf.DUMMYFUNCTION("""COMPUTED_VALUE"""),"Rausch, Kent")</f>
        <v>Rausch, Kent</v>
      </c>
      <c r="B6675" s="3">
        <f ca="1">IFERROR(__xludf.DUMMYFUNCTION("""COMPUTED_VALUE"""),1)</f>
        <v>1</v>
      </c>
      <c r="C6675" s="7">
        <f ca="1">IFERROR(__xludf.DUMMYFUNCTION("""COMPUTED_VALUE"""),1)</f>
        <v>1</v>
      </c>
      <c r="D6675" s="8">
        <f ca="1">IFERROR(__xludf.DUMMYFUNCTION("""COMPUTED_VALUE"""),1)</f>
        <v>1</v>
      </c>
      <c r="E6675" s="2">
        <f ca="1">IFERROR(__xludf.DUMMYFUNCTION("""COMPUTED_VALUE"""),1)</f>
        <v>1</v>
      </c>
    </row>
    <row r="6676" spans="1:5" ht="13">
      <c r="A6676" s="2" t="str">
        <f ca="1">IFERROR(__xludf.DUMMYFUNCTION("""COMPUTED_VALUE"""),"Rautavaara, Einojuhani")</f>
        <v>Rautavaara, Einojuhani</v>
      </c>
      <c r="B6676" s="3">
        <f ca="1">IFERROR(__xludf.DUMMYFUNCTION("""COMPUTED_VALUE"""),1)</f>
        <v>1</v>
      </c>
      <c r="C6676" s="7">
        <f ca="1">IFERROR(__xludf.DUMMYFUNCTION("""COMPUTED_VALUE"""),1)</f>
        <v>1</v>
      </c>
      <c r="D6676" s="8">
        <f ca="1">IFERROR(__xludf.DUMMYFUNCTION("""COMPUTED_VALUE"""),5)</f>
        <v>5</v>
      </c>
      <c r="E6676" s="2">
        <f ca="1">IFERROR(__xludf.DUMMYFUNCTION("""COMPUTED_VALUE"""),2)</f>
        <v>2</v>
      </c>
    </row>
    <row r="6677" spans="1:5" ht="13">
      <c r="A6677" s="2" t="str">
        <f ca="1">IFERROR(__xludf.DUMMYFUNCTION("""COMPUTED_VALUE"""),"Rauter, Ferdinand")</f>
        <v>Rauter, Ferdinand</v>
      </c>
      <c r="B6677" s="3">
        <f ca="1">IFERROR(__xludf.DUMMYFUNCTION("""COMPUTED_VALUE"""),1)</f>
        <v>1</v>
      </c>
      <c r="C6677" s="7">
        <f ca="1">IFERROR(__xludf.DUMMYFUNCTION("""COMPUTED_VALUE"""),1)</f>
        <v>1</v>
      </c>
      <c r="D6677" s="8">
        <f ca="1">IFERROR(__xludf.DUMMYFUNCTION("""COMPUTED_VALUE"""),5)</f>
        <v>5</v>
      </c>
      <c r="E6677" s="2">
        <f ca="1">IFERROR(__xludf.DUMMYFUNCTION("""COMPUTED_VALUE"""),2)</f>
        <v>2</v>
      </c>
    </row>
    <row r="6678" spans="1:5" ht="13">
      <c r="A6678" s="2" t="str">
        <f ca="1">IFERROR(__xludf.DUMMYFUNCTION("""COMPUTED_VALUE"""),"Rava, Enrico")</f>
        <v>Rava, Enrico</v>
      </c>
      <c r="B6678" s="3">
        <f ca="1">IFERROR(__xludf.DUMMYFUNCTION("""COMPUTED_VALUE"""),1)</f>
        <v>1</v>
      </c>
      <c r="C6678" s="7">
        <f ca="1">IFERROR(__xludf.DUMMYFUNCTION("""COMPUTED_VALUE"""),1)</f>
        <v>1</v>
      </c>
      <c r="D6678" s="8">
        <f ca="1">IFERROR(__xludf.DUMMYFUNCTION("""COMPUTED_VALUE"""),5)</f>
        <v>5</v>
      </c>
      <c r="E6678" s="2">
        <f ca="1">IFERROR(__xludf.DUMMYFUNCTION("""COMPUTED_VALUE"""),2)</f>
        <v>2</v>
      </c>
    </row>
    <row r="6679" spans="1:5" ht="13">
      <c r="A6679" s="2" t="str">
        <f ca="1">IFERROR(__xludf.DUMMYFUNCTION("""COMPUTED_VALUE"""),"Ravel, Maurice")</f>
        <v>Ravel, Maurice</v>
      </c>
      <c r="B6679" s="3">
        <f ca="1">IFERROR(__xludf.DUMMYFUNCTION("""COMPUTED_VALUE"""),1)</f>
        <v>1</v>
      </c>
      <c r="C6679" s="7">
        <f ca="1">IFERROR(__xludf.DUMMYFUNCTION("""COMPUTED_VALUE"""),1)</f>
        <v>1</v>
      </c>
      <c r="D6679" s="8">
        <f ca="1">IFERROR(__xludf.DUMMYFUNCTION("""COMPUTED_VALUE"""),5)</f>
        <v>5</v>
      </c>
      <c r="E6679" s="2">
        <f ca="1">IFERROR(__xludf.DUMMYFUNCTION("""COMPUTED_VALUE"""),2)</f>
        <v>2</v>
      </c>
    </row>
    <row r="6680" spans="1:5" ht="13">
      <c r="A6680" s="2" t="str">
        <f ca="1">IFERROR(__xludf.DUMMYFUNCTION("""COMPUTED_VALUE"""),"Ravenscroft, Thomas")</f>
        <v>Ravenscroft, Thomas</v>
      </c>
      <c r="B6680" s="2">
        <f ca="1">IFERROR(__xludf.DUMMYFUNCTION("""COMPUTED_VALUE"""),1)</f>
        <v>1</v>
      </c>
      <c r="C6680" s="7">
        <f ca="1">IFERROR(__xludf.DUMMYFUNCTION("""COMPUTED_VALUE"""),1)</f>
        <v>1</v>
      </c>
      <c r="D6680" s="8">
        <f ca="1">IFERROR(__xludf.DUMMYFUNCTION("""COMPUTED_VALUE"""),5)</f>
        <v>5</v>
      </c>
      <c r="E6680" s="2">
        <f ca="1">IFERROR(__xludf.DUMMYFUNCTION("""COMPUTED_VALUE"""),2)</f>
        <v>2</v>
      </c>
    </row>
    <row r="6681" spans="1:5" ht="13">
      <c r="A6681" s="8" t="str">
        <f ca="1">IFERROR(__xludf.DUMMYFUNCTION("""COMPUTED_VALUE"""),"Ravina, Jean-Henri")</f>
        <v>Ravina, Jean-Henri</v>
      </c>
      <c r="B6681" s="3">
        <f ca="1">IFERROR(__xludf.DUMMYFUNCTION("""COMPUTED_VALUE"""),1)</f>
        <v>1</v>
      </c>
      <c r="C6681" s="7">
        <f ca="1">IFERROR(__xludf.DUMMYFUNCTION("""COMPUTED_VALUE"""),1)</f>
        <v>1</v>
      </c>
      <c r="D6681" s="8">
        <f ca="1">IFERROR(__xludf.DUMMYFUNCTION("""COMPUTED_VALUE"""),5)</f>
        <v>5</v>
      </c>
      <c r="E6681" s="2">
        <f ca="1">IFERROR(__xludf.DUMMYFUNCTION("""COMPUTED_VALUE"""),2)</f>
        <v>2</v>
      </c>
    </row>
    <row r="6682" spans="1:5" ht="13">
      <c r="A6682" s="2" t="str">
        <f ca="1">IFERROR(__xludf.DUMMYFUNCTION("""COMPUTED_VALUE"""),"Rawsthorne, Alan")</f>
        <v>Rawsthorne, Alan</v>
      </c>
      <c r="B6682" s="2">
        <f ca="1">IFERROR(__xludf.DUMMYFUNCTION("""COMPUTED_VALUE"""),1)</f>
        <v>1</v>
      </c>
      <c r="C6682" s="7">
        <f ca="1">IFERROR(__xludf.DUMMYFUNCTION("""COMPUTED_VALUE"""),1)</f>
        <v>1</v>
      </c>
      <c r="D6682" s="8">
        <f ca="1">IFERROR(__xludf.DUMMYFUNCTION("""COMPUTED_VALUE"""),5)</f>
        <v>5</v>
      </c>
      <c r="E6682" s="2">
        <f ca="1">IFERROR(__xludf.DUMMYFUNCTION("""COMPUTED_VALUE"""),2)</f>
        <v>2</v>
      </c>
    </row>
    <row r="6683" spans="1:5" ht="13">
      <c r="A6683" s="2" t="str">
        <f ca="1">IFERROR(__xludf.DUMMYFUNCTION("""COMPUTED_VALUE"""),"Ray, Jamey")</f>
        <v>Ray, Jamey</v>
      </c>
      <c r="B6683" s="3">
        <f ca="1">IFERROR(__xludf.DUMMYFUNCTION("""COMPUTED_VALUE"""),1)</f>
        <v>1</v>
      </c>
      <c r="C6683" s="7">
        <f ca="1">IFERROR(__xludf.DUMMYFUNCTION("""COMPUTED_VALUE"""),1)</f>
        <v>1</v>
      </c>
      <c r="D6683" s="8">
        <f ca="1">IFERROR(__xludf.DUMMYFUNCTION("""COMPUTED_VALUE"""),1)</f>
        <v>1</v>
      </c>
      <c r="E6683" s="2">
        <f ca="1">IFERROR(__xludf.DUMMYFUNCTION("""COMPUTED_VALUE"""),1)</f>
        <v>1</v>
      </c>
    </row>
    <row r="6684" spans="1:5" ht="13">
      <c r="A6684" s="2" t="str">
        <f ca="1">IFERROR(__xludf.DUMMYFUNCTION("""COMPUTED_VALUE"""),"Ray, Kevin")</f>
        <v>Ray, Kevin</v>
      </c>
      <c r="B6684" s="2">
        <f ca="1">IFERROR(__xludf.DUMMYFUNCTION("""COMPUTED_VALUE"""),1)</f>
        <v>1</v>
      </c>
      <c r="C6684" s="7">
        <f ca="1">IFERROR(__xludf.DUMMYFUNCTION("""COMPUTED_VALUE"""),1)</f>
        <v>1</v>
      </c>
      <c r="D6684" s="8">
        <f ca="1">IFERROR(__xludf.DUMMYFUNCTION("""COMPUTED_VALUE"""),1)</f>
        <v>1</v>
      </c>
      <c r="E6684" s="2">
        <f ca="1">IFERROR(__xludf.DUMMYFUNCTION("""COMPUTED_VALUE"""),1)</f>
        <v>1</v>
      </c>
    </row>
    <row r="6685" spans="1:5" ht="13">
      <c r="A6685" s="2" t="str">
        <f ca="1">IFERROR(__xludf.DUMMYFUNCTION("""COMPUTED_VALUE"""),"Ray, Lilian")</f>
        <v>Ray, Lilian</v>
      </c>
      <c r="B6685" s="2">
        <f ca="1">IFERROR(__xludf.DUMMYFUNCTION("""COMPUTED_VALUE"""),1)</f>
        <v>1</v>
      </c>
      <c r="C6685" s="7">
        <f ca="1">IFERROR(__xludf.DUMMYFUNCTION("""COMPUTED_VALUE"""),1)</f>
        <v>1</v>
      </c>
      <c r="D6685" s="8">
        <f ca="1">IFERROR(__xludf.DUMMYFUNCTION("""COMPUTED_VALUE"""),5)</f>
        <v>5</v>
      </c>
      <c r="E6685" s="2">
        <f ca="1">IFERROR(__xludf.DUMMYFUNCTION("""COMPUTED_VALUE"""),2)</f>
        <v>2</v>
      </c>
    </row>
    <row r="6686" spans="1:5" ht="13">
      <c r="A6686" s="2" t="str">
        <f ca="1">IFERROR(__xludf.DUMMYFUNCTION("""COMPUTED_VALUE"""),"Re, Adrien")</f>
        <v>Re, Adrien</v>
      </c>
      <c r="B6686" s="3">
        <f ca="1">IFERROR(__xludf.DUMMYFUNCTION("""COMPUTED_VALUE"""),1)</f>
        <v>1</v>
      </c>
      <c r="C6686" s="7">
        <f ca="1">IFERROR(__xludf.DUMMYFUNCTION("""COMPUTED_VALUE"""),1)</f>
        <v>1</v>
      </c>
      <c r="D6686" s="8">
        <f ca="1">IFERROR(__xludf.DUMMYFUNCTION("""COMPUTED_VALUE"""),1)</f>
        <v>1</v>
      </c>
      <c r="E6686" s="2">
        <f ca="1">IFERROR(__xludf.DUMMYFUNCTION("""COMPUTED_VALUE"""),1)</f>
        <v>1</v>
      </c>
    </row>
    <row r="6687" spans="1:5" ht="13">
      <c r="A6687" s="2" t="str">
        <f ca="1">IFERROR(__xludf.DUMMYFUNCTION("""COMPUTED_VALUE"""),"Rea, John")</f>
        <v>Rea, John</v>
      </c>
      <c r="B6687" s="3">
        <f ca="1">IFERROR(__xludf.DUMMYFUNCTION("""COMPUTED_VALUE"""),1)</f>
        <v>1</v>
      </c>
      <c r="C6687" s="7">
        <f ca="1">IFERROR(__xludf.DUMMYFUNCTION("""COMPUTED_VALUE"""),1)</f>
        <v>1</v>
      </c>
      <c r="D6687" s="8">
        <f ca="1">IFERROR(__xludf.DUMMYFUNCTION("""COMPUTED_VALUE"""),1)</f>
        <v>1</v>
      </c>
      <c r="E6687" s="2">
        <f ca="1">IFERROR(__xludf.DUMMYFUNCTION("""COMPUTED_VALUE"""),1)</f>
        <v>1</v>
      </c>
    </row>
    <row r="6688" spans="1:5" ht="13">
      <c r="A6688" s="2" t="str">
        <f ca="1">IFERROR(__xludf.DUMMYFUNCTION("""COMPUTED_VALUE"""),"Read, Daniel")</f>
        <v>Read, Daniel</v>
      </c>
      <c r="B6688" s="2">
        <f ca="1">IFERROR(__xludf.DUMMYFUNCTION("""COMPUTED_VALUE"""),1)</f>
        <v>1</v>
      </c>
      <c r="C6688" s="7">
        <f ca="1">IFERROR(__xludf.DUMMYFUNCTION("""COMPUTED_VALUE"""),1)</f>
        <v>1</v>
      </c>
      <c r="D6688" s="8">
        <f ca="1">IFERROR(__xludf.DUMMYFUNCTION("""COMPUTED_VALUE"""),5)</f>
        <v>5</v>
      </c>
      <c r="E6688" s="2">
        <f ca="1">IFERROR(__xludf.DUMMYFUNCTION("""COMPUTED_VALUE"""),2)</f>
        <v>2</v>
      </c>
    </row>
    <row r="6689" spans="1:5" ht="13">
      <c r="A6689" s="2" t="str">
        <f ca="1">IFERROR(__xludf.DUMMYFUNCTION("""COMPUTED_VALUE"""),"Read, Gardner")</f>
        <v>Read, Gardner</v>
      </c>
      <c r="B6689" s="3">
        <f ca="1">IFERROR(__xludf.DUMMYFUNCTION("""COMPUTED_VALUE"""),1)</f>
        <v>1</v>
      </c>
      <c r="C6689" s="7">
        <f ca="1">IFERROR(__xludf.DUMMYFUNCTION("""COMPUTED_VALUE"""),1)</f>
        <v>1</v>
      </c>
      <c r="D6689" s="8">
        <f ca="1">IFERROR(__xludf.DUMMYFUNCTION("""COMPUTED_VALUE"""),5)</f>
        <v>5</v>
      </c>
      <c r="E6689" s="2">
        <f ca="1">IFERROR(__xludf.DUMMYFUNCTION("""COMPUTED_VALUE"""),2)</f>
        <v>2</v>
      </c>
    </row>
    <row r="6690" spans="1:5" ht="13">
      <c r="A6690" s="2" t="str">
        <f ca="1">IFERROR(__xludf.DUMMYFUNCTION("""COMPUTED_VALUE"""),"Read, Paul")</f>
        <v>Read, Paul</v>
      </c>
      <c r="B6690" s="3">
        <f ca="1">IFERROR(__xludf.DUMMYFUNCTION("""COMPUTED_VALUE"""),1)</f>
        <v>1</v>
      </c>
      <c r="C6690" s="7">
        <f ca="1">IFERROR(__xludf.DUMMYFUNCTION("""COMPUTED_VALUE"""),1)</f>
        <v>1</v>
      </c>
      <c r="D6690" s="8">
        <f ca="1">IFERROR(__xludf.DUMMYFUNCTION("""COMPUTED_VALUE"""),1)</f>
        <v>1</v>
      </c>
      <c r="E6690" s="2">
        <f ca="1">IFERROR(__xludf.DUMMYFUNCTION("""COMPUTED_VALUE"""),1)</f>
        <v>1</v>
      </c>
    </row>
    <row r="6691" spans="1:5" ht="13">
      <c r="A6691" s="2" t="str">
        <f ca="1">IFERROR(__xludf.DUMMYFUNCTION("""COMPUTED_VALUE"""),"Reade, Paul")</f>
        <v>Reade, Paul</v>
      </c>
      <c r="B6691" s="3">
        <f ca="1">IFERROR(__xludf.DUMMYFUNCTION("""COMPUTED_VALUE"""),1)</f>
        <v>1</v>
      </c>
      <c r="C6691" s="7">
        <f ca="1">IFERROR(__xludf.DUMMYFUNCTION("""COMPUTED_VALUE"""),1)</f>
        <v>1</v>
      </c>
      <c r="D6691" s="8">
        <f ca="1">IFERROR(__xludf.DUMMYFUNCTION("""COMPUTED_VALUE"""),1)</f>
        <v>1</v>
      </c>
      <c r="E6691" s="2">
        <f ca="1">IFERROR(__xludf.DUMMYFUNCTION("""COMPUTED_VALUE"""),1)</f>
        <v>1</v>
      </c>
    </row>
    <row r="6692" spans="1:5" ht="13">
      <c r="A6692" s="2" t="str">
        <f ca="1">IFERROR(__xludf.DUMMYFUNCTION("""COMPUTED_VALUE"""),"Rebel, Jean-Féry")</f>
        <v>Rebel, Jean-Féry</v>
      </c>
      <c r="B6692" s="3">
        <f ca="1">IFERROR(__xludf.DUMMYFUNCTION("""COMPUTED_VALUE"""),1)</f>
        <v>1</v>
      </c>
      <c r="C6692" s="7">
        <f ca="1">IFERROR(__xludf.DUMMYFUNCTION("""COMPUTED_VALUE"""),1)</f>
        <v>1</v>
      </c>
      <c r="D6692" s="8">
        <f ca="1">IFERROR(__xludf.DUMMYFUNCTION("""COMPUTED_VALUE"""),5)</f>
        <v>5</v>
      </c>
      <c r="E6692" s="2">
        <f ca="1">IFERROR(__xludf.DUMMYFUNCTION("""COMPUTED_VALUE"""),2)</f>
        <v>2</v>
      </c>
    </row>
    <row r="6693" spans="1:5" ht="13">
      <c r="A6693" s="2" t="str">
        <f ca="1">IFERROR(__xludf.DUMMYFUNCTION("""COMPUTED_VALUE"""),"Rebikov, Vladimir")</f>
        <v>Rebikov, Vladimir</v>
      </c>
      <c r="B6693" s="3">
        <f ca="1">IFERROR(__xludf.DUMMYFUNCTION("""COMPUTED_VALUE"""),1)</f>
        <v>1</v>
      </c>
      <c r="C6693" s="7">
        <f ca="1">IFERROR(__xludf.DUMMYFUNCTION("""COMPUTED_VALUE"""),1)</f>
        <v>1</v>
      </c>
      <c r="D6693" s="8">
        <f ca="1">IFERROR(__xludf.DUMMYFUNCTION("""COMPUTED_VALUE"""),5)</f>
        <v>5</v>
      </c>
      <c r="E6693" s="2">
        <f ca="1">IFERROR(__xludf.DUMMYFUNCTION("""COMPUTED_VALUE"""),2)</f>
        <v>2</v>
      </c>
    </row>
    <row r="6694" spans="1:5" ht="13">
      <c r="A6694" s="8" t="str">
        <f ca="1">IFERROR(__xludf.DUMMYFUNCTION("""COMPUTED_VALUE"""),"Rebmann, Victor L.F.")</f>
        <v>Rebmann, Victor L.F.</v>
      </c>
      <c r="B6694" s="3">
        <f ca="1">IFERROR(__xludf.DUMMYFUNCTION("""COMPUTED_VALUE"""),1)</f>
        <v>1</v>
      </c>
      <c r="C6694" s="7">
        <f ca="1">IFERROR(__xludf.DUMMYFUNCTION("""COMPUTED_VALUE"""),1)</f>
        <v>1</v>
      </c>
      <c r="D6694" s="8">
        <f ca="1">IFERROR(__xludf.DUMMYFUNCTION("""COMPUTED_VALUE"""),5)</f>
        <v>5</v>
      </c>
      <c r="E6694" s="2">
        <f ca="1">IFERROR(__xludf.DUMMYFUNCTION("""COMPUTED_VALUE"""),2)</f>
        <v>2</v>
      </c>
    </row>
    <row r="6695" spans="1:5" ht="13">
      <c r="A6695" s="2" t="str">
        <f ca="1">IFERROR(__xludf.DUMMYFUNCTION("""COMPUTED_VALUE"""),"Rechtman, Mordechai")</f>
        <v>Rechtman, Mordechai</v>
      </c>
      <c r="B6695" s="3">
        <f ca="1">IFERROR(__xludf.DUMMYFUNCTION("""COMPUTED_VALUE"""),1)</f>
        <v>1</v>
      </c>
      <c r="C6695" s="7">
        <f ca="1">IFERROR(__xludf.DUMMYFUNCTION("""COMPUTED_VALUE"""),1)</f>
        <v>1</v>
      </c>
      <c r="D6695" s="8">
        <f ca="1">IFERROR(__xludf.DUMMYFUNCTION("""COMPUTED_VALUE"""),1)</f>
        <v>1</v>
      </c>
      <c r="E6695" s="2">
        <f ca="1">IFERROR(__xludf.DUMMYFUNCTION("""COMPUTED_VALUE"""),1)</f>
        <v>1</v>
      </c>
    </row>
    <row r="6696" spans="1:5" ht="13">
      <c r="A6696" s="2" t="str">
        <f ca="1">IFERROR(__xludf.DUMMYFUNCTION("""COMPUTED_VALUE"""),"Rector, Morris (""Mo"")")</f>
        <v>Rector, Morris ("Mo")</v>
      </c>
      <c r="B6696" s="2">
        <f ca="1">IFERROR(__xludf.DUMMYFUNCTION("""COMPUTED_VALUE"""),1)</f>
        <v>1</v>
      </c>
      <c r="C6696" s="7">
        <f ca="1">IFERROR(__xludf.DUMMYFUNCTION("""COMPUTED_VALUE"""),1)</f>
        <v>1</v>
      </c>
      <c r="D6696" s="8">
        <f ca="1">IFERROR(__xludf.DUMMYFUNCTION("""COMPUTED_VALUE"""),5)</f>
        <v>5</v>
      </c>
      <c r="E6696" s="2">
        <f ca="1">IFERROR(__xludf.DUMMYFUNCTION("""COMPUTED_VALUE"""),2)</f>
        <v>2</v>
      </c>
    </row>
    <row r="6697" spans="1:5" ht="13">
      <c r="A6697" s="2" t="str">
        <f ca="1">IFERROR(__xludf.DUMMYFUNCTION("""COMPUTED_VALUE"""),"Rector, Morris (""Mo"") / Bergman, Nancy")</f>
        <v>Rector, Morris ("Mo") / Bergman, Nancy</v>
      </c>
      <c r="B6697" s="2">
        <f ca="1">IFERROR(__xludf.DUMMYFUNCTION("""COMPUTED_VALUE"""),1)</f>
        <v>1</v>
      </c>
      <c r="C6697" s="7">
        <f ca="1">IFERROR(__xludf.DUMMYFUNCTION("""COMPUTED_VALUE"""),1)</f>
        <v>1</v>
      </c>
      <c r="D6697" s="8">
        <f ca="1">IFERROR(__xludf.DUMMYFUNCTION("""COMPUTED_VALUE"""),5)</f>
        <v>5</v>
      </c>
      <c r="E6697" s="2">
        <f ca="1">IFERROR(__xludf.DUMMYFUNCTION("""COMPUTED_VALUE"""),2)</f>
        <v>2</v>
      </c>
    </row>
    <row r="6698" spans="1:5" ht="13">
      <c r="A6698" s="2" t="str">
        <f ca="1">IFERROR(__xludf.DUMMYFUNCTION("""COMPUTED_VALUE"""),"Reddick, Marcus")</f>
        <v>Reddick, Marcus</v>
      </c>
      <c r="B6698" s="3">
        <f ca="1">IFERROR(__xludf.DUMMYFUNCTION("""COMPUTED_VALUE"""),1)</f>
        <v>1</v>
      </c>
      <c r="C6698" s="7">
        <f ca="1">IFERROR(__xludf.DUMMYFUNCTION("""COMPUTED_VALUE"""),1)</f>
        <v>1</v>
      </c>
      <c r="D6698" s="8">
        <f ca="1">IFERROR(__xludf.DUMMYFUNCTION("""COMPUTED_VALUE"""),1)</f>
        <v>1</v>
      </c>
      <c r="E6698" s="2">
        <f ca="1">IFERROR(__xludf.DUMMYFUNCTION("""COMPUTED_VALUE"""),1)</f>
        <v>1</v>
      </c>
    </row>
    <row r="6699" spans="1:5" ht="13">
      <c r="A6699" s="2" t="str">
        <f ca="1">IFERROR(__xludf.DUMMYFUNCTION("""COMPUTED_VALUE"""),"Redding, Edward")</f>
        <v>Redding, Edward</v>
      </c>
      <c r="B6699" s="3">
        <f ca="1">IFERROR(__xludf.DUMMYFUNCTION("""COMPUTED_VALUE"""),1)</f>
        <v>1</v>
      </c>
      <c r="C6699" s="7">
        <f ca="1">IFERROR(__xludf.DUMMYFUNCTION("""COMPUTED_VALUE"""),1)</f>
        <v>1</v>
      </c>
      <c r="D6699" s="8">
        <f ca="1">IFERROR(__xludf.DUMMYFUNCTION("""COMPUTED_VALUE"""),5)</f>
        <v>5</v>
      </c>
      <c r="E6699" s="2">
        <f ca="1">IFERROR(__xludf.DUMMYFUNCTION("""COMPUTED_VALUE"""),2)</f>
        <v>2</v>
      </c>
    </row>
    <row r="6700" spans="1:5" ht="13">
      <c r="A6700" s="2" t="str">
        <f ca="1">IFERROR(__xludf.DUMMYFUNCTION("""COMPUTED_VALUE"""),"Redei, Rob")</f>
        <v>Redei, Rob</v>
      </c>
      <c r="B6700" s="3">
        <f ca="1">IFERROR(__xludf.DUMMYFUNCTION("""COMPUTED_VALUE"""),1)</f>
        <v>1</v>
      </c>
      <c r="C6700" s="7">
        <f ca="1">IFERROR(__xludf.DUMMYFUNCTION("""COMPUTED_VALUE"""),1)</f>
        <v>1</v>
      </c>
      <c r="D6700" s="8">
        <f ca="1">IFERROR(__xludf.DUMMYFUNCTION("""COMPUTED_VALUE"""),1)</f>
        <v>1</v>
      </c>
      <c r="E6700" s="2">
        <f ca="1">IFERROR(__xludf.DUMMYFUNCTION("""COMPUTED_VALUE"""),1)</f>
        <v>1</v>
      </c>
    </row>
    <row r="6701" spans="1:5" ht="13">
      <c r="A6701" s="2" t="str">
        <f ca="1">IFERROR(__xludf.DUMMYFUNCTION("""COMPUTED_VALUE"""),"Redhead, Robert")</f>
        <v>Redhead, Robert</v>
      </c>
      <c r="B6701" s="3">
        <f ca="1">IFERROR(__xludf.DUMMYFUNCTION("""COMPUTED_VALUE"""),1)</f>
        <v>1</v>
      </c>
      <c r="C6701" s="7">
        <f ca="1">IFERROR(__xludf.DUMMYFUNCTION("""COMPUTED_VALUE"""),1)</f>
        <v>1</v>
      </c>
      <c r="D6701" s="8">
        <f ca="1">IFERROR(__xludf.DUMMYFUNCTION("""COMPUTED_VALUE"""),1)</f>
        <v>1</v>
      </c>
      <c r="E6701" s="2">
        <f ca="1">IFERROR(__xludf.DUMMYFUNCTION("""COMPUTED_VALUE"""),1)</f>
        <v>1</v>
      </c>
    </row>
    <row r="6702" spans="1:5" ht="13">
      <c r="A6702" s="2" t="str">
        <f ca="1">IFERROR(__xludf.DUMMYFUNCTION("""COMPUTED_VALUE"""),"Reding, Joseph")</f>
        <v>Reding, Joseph</v>
      </c>
      <c r="B6702" s="2">
        <f ca="1">IFERROR(__xludf.DUMMYFUNCTION("""COMPUTED_VALUE"""),1)</f>
        <v>1</v>
      </c>
      <c r="C6702" s="7">
        <f ca="1">IFERROR(__xludf.DUMMYFUNCTION("""COMPUTED_VALUE"""),1)</f>
        <v>1</v>
      </c>
      <c r="D6702" s="8">
        <f ca="1">IFERROR(__xludf.DUMMYFUNCTION("""COMPUTED_VALUE"""),1)</f>
        <v>1</v>
      </c>
      <c r="E6702" s="2">
        <f ca="1">IFERROR(__xludf.DUMMYFUNCTION("""COMPUTED_VALUE"""),1)</f>
        <v>1</v>
      </c>
    </row>
    <row r="6703" spans="1:5" ht="13">
      <c r="A6703" s="2" t="str">
        <f ca="1">IFERROR(__xludf.DUMMYFUNCTION("""COMPUTED_VALUE"""),"Redlich, Hans Ferdinand")</f>
        <v>Redlich, Hans Ferdinand</v>
      </c>
      <c r="B6703" s="3">
        <f ca="1">IFERROR(__xludf.DUMMYFUNCTION("""COMPUTED_VALUE"""),1)</f>
        <v>1</v>
      </c>
      <c r="C6703" s="7">
        <f ca="1">IFERROR(__xludf.DUMMYFUNCTION("""COMPUTED_VALUE"""),1)</f>
        <v>1</v>
      </c>
      <c r="D6703" s="8">
        <f ca="1">IFERROR(__xludf.DUMMYFUNCTION("""COMPUTED_VALUE"""),5)</f>
        <v>5</v>
      </c>
      <c r="E6703" s="2">
        <f ca="1">IFERROR(__xludf.DUMMYFUNCTION("""COMPUTED_VALUE"""),2)</f>
        <v>2</v>
      </c>
    </row>
    <row r="6704" spans="1:5" ht="13">
      <c r="A6704" s="2" t="str">
        <f ca="1">IFERROR(__xludf.DUMMYFUNCTION("""COMPUTED_VALUE"""),"Reed, Alfred")</f>
        <v>Reed, Alfred</v>
      </c>
      <c r="B6704" s="3">
        <f ca="1">IFERROR(__xludf.DUMMYFUNCTION("""COMPUTED_VALUE"""),1)</f>
        <v>1</v>
      </c>
      <c r="C6704" s="7">
        <f ca="1">IFERROR(__xludf.DUMMYFUNCTION("""COMPUTED_VALUE"""),1)</f>
        <v>1</v>
      </c>
      <c r="D6704" s="8">
        <f ca="1">IFERROR(__xludf.DUMMYFUNCTION("""COMPUTED_VALUE"""),5)</f>
        <v>5</v>
      </c>
      <c r="E6704" s="2">
        <f ca="1">IFERROR(__xludf.DUMMYFUNCTION("""COMPUTED_VALUE"""),2)</f>
        <v>2</v>
      </c>
    </row>
    <row r="6705" spans="1:5" ht="13">
      <c r="A6705" s="2" t="str">
        <f ca="1">IFERROR(__xludf.DUMMYFUNCTION("""COMPUTED_VALUE"""),"Reed, Daniel")</f>
        <v>Reed, Daniel</v>
      </c>
      <c r="B6705" s="3">
        <f ca="1">IFERROR(__xludf.DUMMYFUNCTION("""COMPUTED_VALUE"""),1)</f>
        <v>1</v>
      </c>
      <c r="C6705" s="7">
        <f ca="1">IFERROR(__xludf.DUMMYFUNCTION("""COMPUTED_VALUE"""),1)</f>
        <v>1</v>
      </c>
      <c r="D6705" s="8">
        <f ca="1">IFERROR(__xludf.DUMMYFUNCTION("""COMPUTED_VALUE"""),5)</f>
        <v>5</v>
      </c>
      <c r="E6705" s="2">
        <f ca="1">IFERROR(__xludf.DUMMYFUNCTION("""COMPUTED_VALUE"""),2)</f>
        <v>2</v>
      </c>
    </row>
    <row r="6706" spans="1:5" ht="13">
      <c r="A6706" s="8" t="str">
        <f ca="1">IFERROR(__xludf.DUMMYFUNCTION("""COMPUTED_VALUE"""),"Reed, Everett")</f>
        <v>Reed, Everett</v>
      </c>
      <c r="B6706" s="3">
        <f ca="1">IFERROR(__xludf.DUMMYFUNCTION("""COMPUTED_VALUE"""),1)</f>
        <v>1</v>
      </c>
      <c r="C6706" s="7">
        <f ca="1">IFERROR(__xludf.DUMMYFUNCTION("""COMPUTED_VALUE"""),1)</f>
        <v>1</v>
      </c>
      <c r="D6706" s="8">
        <f ca="1">IFERROR(__xludf.DUMMYFUNCTION("""COMPUTED_VALUE"""),1)</f>
        <v>1</v>
      </c>
      <c r="E6706" s="2">
        <f ca="1">IFERROR(__xludf.DUMMYFUNCTION("""COMPUTED_VALUE"""),1)</f>
        <v>1</v>
      </c>
    </row>
    <row r="6707" spans="1:5" ht="13">
      <c r="A6707" s="2" t="str">
        <f ca="1">IFERROR(__xludf.DUMMYFUNCTION("""COMPUTED_VALUE"""),"Reed, H. Owen")</f>
        <v>Reed, H. Owen</v>
      </c>
      <c r="B6707" s="3">
        <f ca="1">IFERROR(__xludf.DUMMYFUNCTION("""COMPUTED_VALUE"""),1)</f>
        <v>1</v>
      </c>
      <c r="C6707" s="7">
        <f ca="1">IFERROR(__xludf.DUMMYFUNCTION("""COMPUTED_VALUE"""),1)</f>
        <v>1</v>
      </c>
      <c r="D6707" s="8">
        <f ca="1">IFERROR(__xludf.DUMMYFUNCTION("""COMPUTED_VALUE"""),5)</f>
        <v>5</v>
      </c>
      <c r="E6707" s="2">
        <f ca="1">IFERROR(__xludf.DUMMYFUNCTION("""COMPUTED_VALUE"""),2)</f>
        <v>2</v>
      </c>
    </row>
    <row r="6708" spans="1:5" ht="13">
      <c r="A6708" s="2" t="str">
        <f ca="1">IFERROR(__xludf.DUMMYFUNCTION("""COMPUTED_VALUE"""),"Reed, John Clifford")</f>
        <v>Reed, John Clifford</v>
      </c>
      <c r="B6708" s="3">
        <f ca="1">IFERROR(__xludf.DUMMYFUNCTION("""COMPUTED_VALUE"""),1)</f>
        <v>1</v>
      </c>
      <c r="C6708" s="7">
        <f ca="1">IFERROR(__xludf.DUMMYFUNCTION("""COMPUTED_VALUE"""),1)</f>
        <v>1</v>
      </c>
      <c r="D6708" s="8">
        <f ca="1">IFERROR(__xludf.DUMMYFUNCTION("""COMPUTED_VALUE"""),5)</f>
        <v>5</v>
      </c>
      <c r="E6708" s="2">
        <f ca="1">IFERROR(__xludf.DUMMYFUNCTION("""COMPUTED_VALUE"""),2)</f>
        <v>2</v>
      </c>
    </row>
    <row r="6709" spans="1:5" ht="13">
      <c r="A6709" s="2" t="str">
        <f ca="1">IFERROR(__xludf.DUMMYFUNCTION("""COMPUTED_VALUE"""),"Reed, Jonathan")</f>
        <v>Reed, Jonathan</v>
      </c>
      <c r="B6709" s="3">
        <f ca="1">IFERROR(__xludf.DUMMYFUNCTION("""COMPUTED_VALUE"""),1)</f>
        <v>1</v>
      </c>
      <c r="C6709" s="7">
        <f ca="1">IFERROR(__xludf.DUMMYFUNCTION("""COMPUTED_VALUE"""),1)</f>
        <v>1</v>
      </c>
      <c r="D6709" s="8">
        <f ca="1">IFERROR(__xludf.DUMMYFUNCTION("""COMPUTED_VALUE"""),1)</f>
        <v>1</v>
      </c>
      <c r="E6709" s="2">
        <f ca="1">IFERROR(__xludf.DUMMYFUNCTION("""COMPUTED_VALUE"""),1)</f>
        <v>1</v>
      </c>
    </row>
    <row r="6710" spans="1:5" ht="13">
      <c r="A6710" s="2" t="str">
        <f ca="1">IFERROR(__xludf.DUMMYFUNCTION("""COMPUTED_VALUE"""),"Reed, Robert")</f>
        <v>Reed, Robert</v>
      </c>
      <c r="B6710" s="3">
        <f ca="1">IFERROR(__xludf.DUMMYFUNCTION("""COMPUTED_VALUE"""),1)</f>
        <v>1</v>
      </c>
      <c r="C6710" s="7">
        <f ca="1">IFERROR(__xludf.DUMMYFUNCTION("""COMPUTED_VALUE"""),1)</f>
        <v>1</v>
      </c>
      <c r="D6710" s="8">
        <f ca="1">IFERROR(__xludf.DUMMYFUNCTION("""COMPUTED_VALUE"""),1)</f>
        <v>1</v>
      </c>
      <c r="E6710" s="2">
        <f ca="1">IFERROR(__xludf.DUMMYFUNCTION("""COMPUTED_VALUE"""),1)</f>
        <v>1</v>
      </c>
    </row>
    <row r="6711" spans="1:5" ht="13">
      <c r="A6711" s="2" t="str">
        <f ca="1">IFERROR(__xludf.DUMMYFUNCTION("""COMPUTED_VALUE"""),"Reeks, John")</f>
        <v>Reeks, John</v>
      </c>
      <c r="B6711" s="2">
        <f ca="1">IFERROR(__xludf.DUMMYFUNCTION("""COMPUTED_VALUE"""),1)</f>
        <v>1</v>
      </c>
      <c r="C6711" s="2">
        <f ca="1">IFERROR(__xludf.DUMMYFUNCTION("""COMPUTED_VALUE"""),1)</f>
        <v>1</v>
      </c>
      <c r="D6711" s="8">
        <f ca="1">IFERROR(__xludf.DUMMYFUNCTION("""COMPUTED_VALUE"""),1)</f>
        <v>1</v>
      </c>
      <c r="E6711" s="2">
        <f ca="1">IFERROR(__xludf.DUMMYFUNCTION("""COMPUTED_VALUE"""),1)</f>
        <v>1</v>
      </c>
    </row>
    <row r="6712" spans="1:5" ht="13">
      <c r="A6712" s="2" t="str">
        <f ca="1">IFERROR(__xludf.DUMMYFUNCTION("""COMPUTED_VALUE"""),"Rees, Jay")</f>
        <v>Rees, Jay</v>
      </c>
      <c r="B6712" s="3">
        <f ca="1">IFERROR(__xludf.DUMMYFUNCTION("""COMPUTED_VALUE"""),1)</f>
        <v>1</v>
      </c>
      <c r="C6712" s="7">
        <f ca="1">IFERROR(__xludf.DUMMYFUNCTION("""COMPUTED_VALUE"""),1)</f>
        <v>1</v>
      </c>
      <c r="D6712" s="8">
        <f ca="1">IFERROR(__xludf.DUMMYFUNCTION("""COMPUTED_VALUE"""),1)</f>
        <v>1</v>
      </c>
      <c r="E6712" s="2">
        <f ca="1">IFERROR(__xludf.DUMMYFUNCTION("""COMPUTED_VALUE"""),1)</f>
        <v>1</v>
      </c>
    </row>
    <row r="6713" spans="1:5" ht="13">
      <c r="A6713" s="2" t="str">
        <f ca="1">IFERROR(__xludf.DUMMYFUNCTION("""COMPUTED_VALUE"""),"Reese, Noah")</f>
        <v>Reese, Noah</v>
      </c>
      <c r="B6713" s="3">
        <f ca="1">IFERROR(__xludf.DUMMYFUNCTION("""COMPUTED_VALUE"""),1)</f>
        <v>1</v>
      </c>
      <c r="C6713" s="7">
        <f ca="1">IFERROR(__xludf.DUMMYFUNCTION("""COMPUTED_VALUE"""),1)</f>
        <v>1</v>
      </c>
      <c r="D6713" s="8">
        <f ca="1">IFERROR(__xludf.DUMMYFUNCTION("""COMPUTED_VALUE"""),1)</f>
        <v>1</v>
      </c>
      <c r="E6713" s="2">
        <f ca="1">IFERROR(__xludf.DUMMYFUNCTION("""COMPUTED_VALUE"""),1)</f>
        <v>1</v>
      </c>
    </row>
    <row r="6714" spans="1:5" ht="13">
      <c r="A6714" s="2" t="str">
        <f ca="1">IFERROR(__xludf.DUMMYFUNCTION("""COMPUTED_VALUE"""),"Reeves, Daniel")</f>
        <v>Reeves, Daniel</v>
      </c>
      <c r="B6714" s="2">
        <f ca="1">IFERROR(__xludf.DUMMYFUNCTION("""COMPUTED_VALUE"""),1)</f>
        <v>1</v>
      </c>
      <c r="C6714" s="7">
        <f ca="1">IFERROR(__xludf.DUMMYFUNCTION("""COMPUTED_VALUE"""),1)</f>
        <v>1</v>
      </c>
      <c r="D6714" s="8">
        <f ca="1">IFERROR(__xludf.DUMMYFUNCTION("""COMPUTED_VALUE"""),5)</f>
        <v>5</v>
      </c>
      <c r="E6714" s="2">
        <f ca="1">IFERROR(__xludf.DUMMYFUNCTION("""COMPUTED_VALUE"""),2)</f>
        <v>2</v>
      </c>
    </row>
    <row r="6715" spans="1:5" ht="13">
      <c r="A6715" s="2" t="str">
        <f ca="1">IFERROR(__xludf.DUMMYFUNCTION("""COMPUTED_VALUE"""),"Reeves, David")</f>
        <v>Reeves, David</v>
      </c>
      <c r="B6715" s="2">
        <f ca="1">IFERROR(__xludf.DUMMYFUNCTION("""COMPUTED_VALUE"""),1)</f>
        <v>1</v>
      </c>
      <c r="C6715" s="7">
        <f ca="1">IFERROR(__xludf.DUMMYFUNCTION("""COMPUTED_VALUE"""),1)</f>
        <v>1</v>
      </c>
      <c r="D6715" s="8">
        <f ca="1">IFERROR(__xludf.DUMMYFUNCTION("""COMPUTED_VALUE"""),1)</f>
        <v>1</v>
      </c>
      <c r="E6715" s="2">
        <f ca="1">IFERROR(__xludf.DUMMYFUNCTION("""COMPUTED_VALUE"""),1)</f>
        <v>1</v>
      </c>
    </row>
    <row r="6716" spans="1:5" ht="13">
      <c r="A6716" s="2" t="str">
        <f ca="1">IFERROR(__xludf.DUMMYFUNCTION("""COMPUTED_VALUE"""),"Reeves, David Wallace")</f>
        <v>Reeves, David Wallace</v>
      </c>
      <c r="B6716" s="3">
        <f ca="1">IFERROR(__xludf.DUMMYFUNCTION("""COMPUTED_VALUE"""),1)</f>
        <v>1</v>
      </c>
      <c r="C6716" s="7">
        <f ca="1">IFERROR(__xludf.DUMMYFUNCTION("""COMPUTED_VALUE"""),1)</f>
        <v>1</v>
      </c>
      <c r="D6716" s="8">
        <f ca="1">IFERROR(__xludf.DUMMYFUNCTION("""COMPUTED_VALUE"""),5)</f>
        <v>5</v>
      </c>
      <c r="E6716" s="2">
        <f ca="1">IFERROR(__xludf.DUMMYFUNCTION("""COMPUTED_VALUE"""),2)</f>
        <v>2</v>
      </c>
    </row>
    <row r="6717" spans="1:5" ht="13">
      <c r="A6717" s="2" t="str">
        <f ca="1">IFERROR(__xludf.DUMMYFUNCTION("""COMPUTED_VALUE"""),"Reeves, David Wallace / Fry, Tommy")</f>
        <v>Reeves, David Wallace / Fry, Tommy</v>
      </c>
      <c r="B6717" s="3">
        <f ca="1">IFERROR(__xludf.DUMMYFUNCTION("""COMPUTED_VALUE"""),1)</f>
        <v>1</v>
      </c>
      <c r="C6717" s="7">
        <f ca="1">IFERROR(__xludf.DUMMYFUNCTION("""COMPUTED_VALUE"""),1)</f>
        <v>1</v>
      </c>
      <c r="D6717" s="8">
        <f ca="1">IFERROR(__xludf.DUMMYFUNCTION("""COMPUTED_VALUE"""),5)</f>
        <v>5</v>
      </c>
      <c r="E6717" s="2">
        <f ca="1">IFERROR(__xludf.DUMMYFUNCTION("""COMPUTED_VALUE"""),2)</f>
        <v>2</v>
      </c>
    </row>
    <row r="6718" spans="1:5" ht="13">
      <c r="A6718" s="2" t="str">
        <f ca="1">IFERROR(__xludf.DUMMYFUNCTION("""COMPUTED_VALUE"""),"Reeves, G.H.")</f>
        <v>Reeves, G.H.</v>
      </c>
      <c r="B6718" s="2">
        <f ca="1">IFERROR(__xludf.DUMMYFUNCTION("""COMPUTED_VALUE"""),1)</f>
        <v>1</v>
      </c>
      <c r="C6718" s="7">
        <f ca="1">IFERROR(__xludf.DUMMYFUNCTION("""COMPUTED_VALUE"""),1)</f>
        <v>1</v>
      </c>
      <c r="D6718" s="8">
        <f ca="1">IFERROR(__xludf.DUMMYFUNCTION("""COMPUTED_VALUE"""),5)</f>
        <v>5</v>
      </c>
      <c r="E6718" s="2">
        <f ca="1">IFERROR(__xludf.DUMMYFUNCTION("""COMPUTED_VALUE"""),2)</f>
        <v>2</v>
      </c>
    </row>
    <row r="6719" spans="1:5" ht="13">
      <c r="A6719" s="2" t="str">
        <f ca="1">IFERROR(__xludf.DUMMYFUNCTION("""COMPUTED_VALUE"""),"Refice, Licinio")</f>
        <v>Refice, Licinio</v>
      </c>
      <c r="B6719" s="3">
        <f ca="1">IFERROR(__xludf.DUMMYFUNCTION("""COMPUTED_VALUE"""),1)</f>
        <v>1</v>
      </c>
      <c r="C6719" s="7">
        <f ca="1">IFERROR(__xludf.DUMMYFUNCTION("""COMPUTED_VALUE"""),1)</f>
        <v>1</v>
      </c>
      <c r="D6719" s="8">
        <f ca="1">IFERROR(__xludf.DUMMYFUNCTION("""COMPUTED_VALUE"""),5)</f>
        <v>5</v>
      </c>
      <c r="E6719" s="2">
        <f ca="1">IFERROR(__xludf.DUMMYFUNCTION("""COMPUTED_VALUE"""),2)</f>
        <v>2</v>
      </c>
    </row>
    <row r="6720" spans="1:5" ht="13">
      <c r="A6720" s="2" t="str">
        <f ca="1">IFERROR(__xludf.DUMMYFUNCTION("""COMPUTED_VALUE"""),"Reger, Max")</f>
        <v>Reger, Max</v>
      </c>
      <c r="B6720" s="3">
        <f ca="1">IFERROR(__xludf.DUMMYFUNCTION("""COMPUTED_VALUE"""),1)</f>
        <v>1</v>
      </c>
      <c r="C6720" s="7">
        <f ca="1">IFERROR(__xludf.DUMMYFUNCTION("""COMPUTED_VALUE"""),1)</f>
        <v>1</v>
      </c>
      <c r="D6720" s="8">
        <f ca="1">IFERROR(__xludf.DUMMYFUNCTION("""COMPUTED_VALUE"""),5)</f>
        <v>5</v>
      </c>
      <c r="E6720" s="2">
        <f ca="1">IFERROR(__xludf.DUMMYFUNCTION("""COMPUTED_VALUE"""),2)</f>
        <v>2</v>
      </c>
    </row>
    <row r="6721" spans="1:5" ht="13">
      <c r="A6721" s="2" t="str">
        <f ca="1">IFERROR(__xludf.DUMMYFUNCTION("""COMPUTED_VALUE"""),"Regnart, Jacob")</f>
        <v>Regnart, Jacob</v>
      </c>
      <c r="B6721" s="3">
        <f ca="1">IFERROR(__xludf.DUMMYFUNCTION("""COMPUTED_VALUE"""),1)</f>
        <v>1</v>
      </c>
      <c r="C6721" s="7">
        <f ca="1">IFERROR(__xludf.DUMMYFUNCTION("""COMPUTED_VALUE"""),1)</f>
        <v>1</v>
      </c>
      <c r="D6721" s="8">
        <f ca="1">IFERROR(__xludf.DUMMYFUNCTION("""COMPUTED_VALUE"""),5)</f>
        <v>5</v>
      </c>
      <c r="E6721" s="2">
        <f ca="1">IFERROR(__xludf.DUMMYFUNCTION("""COMPUTED_VALUE"""),2)</f>
        <v>2</v>
      </c>
    </row>
    <row r="6722" spans="1:5" ht="13">
      <c r="A6722" s="8" t="str">
        <f ca="1">IFERROR(__xludf.DUMMYFUNCTION("""COMPUTED_VALUE"""),"Regney, Noel")</f>
        <v>Regney, Noel</v>
      </c>
      <c r="B6722" s="3">
        <f ca="1">IFERROR(__xludf.DUMMYFUNCTION("""COMPUTED_VALUE"""),1)</f>
        <v>1</v>
      </c>
      <c r="C6722" s="7">
        <f ca="1">IFERROR(__xludf.DUMMYFUNCTION("""COMPUTED_VALUE"""),1)</f>
        <v>1</v>
      </c>
      <c r="D6722" s="8">
        <f ca="1">IFERROR(__xludf.DUMMYFUNCTION("""COMPUTED_VALUE"""),5)</f>
        <v>5</v>
      </c>
      <c r="E6722" s="2">
        <f ca="1">IFERROR(__xludf.DUMMYFUNCTION("""COMPUTED_VALUE"""),2)</f>
        <v>2</v>
      </c>
    </row>
    <row r="6723" spans="1:5" ht="13">
      <c r="A6723" s="2" t="str">
        <f ca="1">IFERROR(__xludf.DUMMYFUNCTION("""COMPUTED_VALUE"""),"Regnier, Dalton H.")</f>
        <v>Regnier, Dalton H.</v>
      </c>
      <c r="B6723" s="3">
        <f ca="1">IFERROR(__xludf.DUMMYFUNCTION("""COMPUTED_VALUE"""),1)</f>
        <v>1</v>
      </c>
      <c r="C6723" s="7">
        <f ca="1">IFERROR(__xludf.DUMMYFUNCTION("""COMPUTED_VALUE"""),1)</f>
        <v>1</v>
      </c>
      <c r="D6723" s="8">
        <f ca="1">IFERROR(__xludf.DUMMYFUNCTION("""COMPUTED_VALUE"""),1)</f>
        <v>1</v>
      </c>
      <c r="E6723" s="2">
        <f ca="1">IFERROR(__xludf.DUMMYFUNCTION("""COMPUTED_VALUE"""),1)</f>
        <v>1</v>
      </c>
    </row>
    <row r="6724" spans="1:5" ht="13">
      <c r="A6724" s="2" t="str">
        <f ca="1">IFERROR(__xludf.DUMMYFUNCTION("""COMPUTED_VALUE"""),"Regnier, Jonas")</f>
        <v>Regnier, Jonas</v>
      </c>
      <c r="B6724" s="3">
        <f ca="1">IFERROR(__xludf.DUMMYFUNCTION("""COMPUTED_VALUE"""),1)</f>
        <v>1</v>
      </c>
      <c r="C6724" s="7">
        <f ca="1">IFERROR(__xludf.DUMMYFUNCTION("""COMPUTED_VALUE"""),1)</f>
        <v>1</v>
      </c>
      <c r="D6724" s="8">
        <f ca="1">IFERROR(__xludf.DUMMYFUNCTION("""COMPUTED_VALUE"""),1)</f>
        <v>1</v>
      </c>
      <c r="E6724" s="2">
        <f ca="1">IFERROR(__xludf.DUMMYFUNCTION("""COMPUTED_VALUE"""),1)</f>
        <v>1</v>
      </c>
    </row>
    <row r="6725" spans="1:5" ht="13">
      <c r="A6725" s="2" t="str">
        <f ca="1">IFERROR(__xludf.DUMMYFUNCTION("""COMPUTED_VALUE"""),"Rehkop, Al")</f>
        <v>Rehkop, Al</v>
      </c>
      <c r="B6725" s="3">
        <f ca="1">IFERROR(__xludf.DUMMYFUNCTION("""COMPUTED_VALUE"""),1)</f>
        <v>1</v>
      </c>
      <c r="C6725" s="7">
        <f ca="1">IFERROR(__xludf.DUMMYFUNCTION("""COMPUTED_VALUE"""),1)</f>
        <v>1</v>
      </c>
      <c r="D6725" s="8">
        <f ca="1">IFERROR(__xludf.DUMMYFUNCTION("""COMPUTED_VALUE"""),1)</f>
        <v>1</v>
      </c>
      <c r="E6725" s="2">
        <f ca="1">IFERROR(__xludf.DUMMYFUNCTION("""COMPUTED_VALUE"""),1)</f>
        <v>1</v>
      </c>
    </row>
    <row r="6726" spans="1:5" ht="13">
      <c r="A6726" s="2" t="str">
        <f ca="1">IFERROR(__xludf.DUMMYFUNCTION("""COMPUTED_VALUE"""),"Reibold, Bruno")</f>
        <v>Reibold, Bruno</v>
      </c>
      <c r="B6726" s="2">
        <f ca="1">IFERROR(__xludf.DUMMYFUNCTION("""COMPUTED_VALUE"""),1)</f>
        <v>1</v>
      </c>
      <c r="C6726" s="7">
        <f ca="1">IFERROR(__xludf.DUMMYFUNCTION("""COMPUTED_VALUE"""),1)</f>
        <v>1</v>
      </c>
      <c r="D6726" s="8">
        <f ca="1">IFERROR(__xludf.DUMMYFUNCTION("""COMPUTED_VALUE"""),5)</f>
        <v>5</v>
      </c>
      <c r="E6726" s="2">
        <f ca="1">IFERROR(__xludf.DUMMYFUNCTION("""COMPUTED_VALUE"""),2)</f>
        <v>2</v>
      </c>
    </row>
    <row r="6727" spans="1:5" ht="13">
      <c r="A6727" s="2" t="str">
        <f ca="1">IFERROR(__xludf.DUMMYFUNCTION("""COMPUTED_VALUE"""),"Reich, Andrew")</f>
        <v>Reich, Andrew</v>
      </c>
      <c r="B6727" s="3">
        <f ca="1">IFERROR(__xludf.DUMMYFUNCTION("""COMPUTED_VALUE"""),1)</f>
        <v>1</v>
      </c>
      <c r="C6727" s="7">
        <f ca="1">IFERROR(__xludf.DUMMYFUNCTION("""COMPUTED_VALUE"""),1)</f>
        <v>1</v>
      </c>
      <c r="D6727" s="8">
        <f ca="1">IFERROR(__xludf.DUMMYFUNCTION("""COMPUTED_VALUE"""),1)</f>
        <v>1</v>
      </c>
      <c r="E6727" s="2">
        <f ca="1">IFERROR(__xludf.DUMMYFUNCTION("""COMPUTED_VALUE"""),1)</f>
        <v>1</v>
      </c>
    </row>
    <row r="6728" spans="1:5" ht="13">
      <c r="A6728" s="2" t="str">
        <f ca="1">IFERROR(__xludf.DUMMYFUNCTION("""COMPUTED_VALUE"""),"Reich, Steve")</f>
        <v>Reich, Steve</v>
      </c>
      <c r="B6728" s="3">
        <f ca="1">IFERROR(__xludf.DUMMYFUNCTION("""COMPUTED_VALUE"""),1)</f>
        <v>1</v>
      </c>
      <c r="C6728" s="7">
        <f ca="1">IFERROR(__xludf.DUMMYFUNCTION("""COMPUTED_VALUE"""),1)</f>
        <v>1</v>
      </c>
      <c r="D6728" s="8">
        <f ca="1">IFERROR(__xludf.DUMMYFUNCTION("""COMPUTED_VALUE"""),1)</f>
        <v>1</v>
      </c>
      <c r="E6728" s="2">
        <f ca="1">IFERROR(__xludf.DUMMYFUNCTION("""COMPUTED_VALUE"""),1)</f>
        <v>1</v>
      </c>
    </row>
    <row r="6729" spans="1:5" ht="13">
      <c r="A6729" s="2" t="str">
        <f ca="1">IFERROR(__xludf.DUMMYFUNCTION("""COMPUTED_VALUE"""),"Reicha, Anton")</f>
        <v>Reicha, Anton</v>
      </c>
      <c r="B6729" s="3">
        <f ca="1">IFERROR(__xludf.DUMMYFUNCTION("""COMPUTED_VALUE"""),1)</f>
        <v>1</v>
      </c>
      <c r="C6729" s="7">
        <f ca="1">IFERROR(__xludf.DUMMYFUNCTION("""COMPUTED_VALUE"""),1)</f>
        <v>1</v>
      </c>
      <c r="D6729" s="8">
        <f ca="1">IFERROR(__xludf.DUMMYFUNCTION("""COMPUTED_VALUE"""),5)</f>
        <v>5</v>
      </c>
      <c r="E6729" s="2">
        <f ca="1">IFERROR(__xludf.DUMMYFUNCTION("""COMPUTED_VALUE"""),2)</f>
        <v>2</v>
      </c>
    </row>
    <row r="6730" spans="1:5" ht="13">
      <c r="A6730" s="2" t="str">
        <f ca="1">IFERROR(__xludf.DUMMYFUNCTION("""COMPUTED_VALUE"""),"Reicha, Joseph")</f>
        <v>Reicha, Joseph</v>
      </c>
      <c r="B6730" s="3">
        <f ca="1">IFERROR(__xludf.DUMMYFUNCTION("""COMPUTED_VALUE"""),1)</f>
        <v>1</v>
      </c>
      <c r="C6730" s="7">
        <f ca="1">IFERROR(__xludf.DUMMYFUNCTION("""COMPUTED_VALUE"""),1)</f>
        <v>1</v>
      </c>
      <c r="D6730" s="8">
        <f ca="1">IFERROR(__xludf.DUMMYFUNCTION("""COMPUTED_VALUE"""),5)</f>
        <v>5</v>
      </c>
      <c r="E6730" s="2">
        <f ca="1">IFERROR(__xludf.DUMMYFUNCTION("""COMPUTED_VALUE"""),2)</f>
        <v>2</v>
      </c>
    </row>
    <row r="6731" spans="1:5" ht="13">
      <c r="A6731" s="2" t="str">
        <f ca="1">IFERROR(__xludf.DUMMYFUNCTION("""COMPUTED_VALUE"""),"Reichardt, Johann")</f>
        <v>Reichardt, Johann</v>
      </c>
      <c r="B6731" s="2">
        <f ca="1">IFERROR(__xludf.DUMMYFUNCTION("""COMPUTED_VALUE"""),1)</f>
        <v>1</v>
      </c>
      <c r="C6731" s="7">
        <f ca="1">IFERROR(__xludf.DUMMYFUNCTION("""COMPUTED_VALUE"""),1)</f>
        <v>1</v>
      </c>
      <c r="D6731" s="8">
        <f ca="1">IFERROR(__xludf.DUMMYFUNCTION("""COMPUTED_VALUE"""),5)</f>
        <v>5</v>
      </c>
      <c r="E6731" s="2">
        <f ca="1">IFERROR(__xludf.DUMMYFUNCTION("""COMPUTED_VALUE"""),2)</f>
        <v>2</v>
      </c>
    </row>
    <row r="6732" spans="1:5" ht="13">
      <c r="A6732" s="2" t="str">
        <f ca="1">IFERROR(__xludf.DUMMYFUNCTION("""COMPUTED_VALUE"""),"Reiche, Gottfried")</f>
        <v>Reiche, Gottfried</v>
      </c>
      <c r="B6732" s="3">
        <f ca="1">IFERROR(__xludf.DUMMYFUNCTION("""COMPUTED_VALUE"""),1)</f>
        <v>1</v>
      </c>
      <c r="C6732" s="7">
        <f ca="1">IFERROR(__xludf.DUMMYFUNCTION("""COMPUTED_VALUE"""),1)</f>
        <v>1</v>
      </c>
      <c r="D6732" s="8">
        <f ca="1">IFERROR(__xludf.DUMMYFUNCTION("""COMPUTED_VALUE"""),5)</f>
        <v>5</v>
      </c>
      <c r="E6732" s="2">
        <f ca="1">IFERROR(__xludf.DUMMYFUNCTION("""COMPUTED_VALUE"""),2)</f>
        <v>2</v>
      </c>
    </row>
    <row r="6733" spans="1:5" ht="13">
      <c r="A6733" s="2" t="str">
        <f ca="1">IFERROR(__xludf.DUMMYFUNCTION("""COMPUTED_VALUE"""),"Reichenbach, Bill")</f>
        <v>Reichenbach, Bill</v>
      </c>
      <c r="B6733" s="3">
        <f ca="1">IFERROR(__xludf.DUMMYFUNCTION("""COMPUTED_VALUE"""),1)</f>
        <v>1</v>
      </c>
      <c r="C6733" s="7">
        <f ca="1">IFERROR(__xludf.DUMMYFUNCTION("""COMPUTED_VALUE"""),1)</f>
        <v>1</v>
      </c>
      <c r="D6733" s="8">
        <f ca="1">IFERROR(__xludf.DUMMYFUNCTION("""COMPUTED_VALUE"""),1)</f>
        <v>1</v>
      </c>
      <c r="E6733" s="2">
        <f ca="1">IFERROR(__xludf.DUMMYFUNCTION("""COMPUTED_VALUE"""),1)</f>
        <v>1</v>
      </c>
    </row>
    <row r="6734" spans="1:5" ht="13">
      <c r="A6734" s="2" t="str">
        <f ca="1">IFERROR(__xludf.DUMMYFUNCTION("""COMPUTED_VALUE"""),"Reid, Jonathan")</f>
        <v>Reid, Jonathan</v>
      </c>
      <c r="B6734" s="3">
        <f ca="1">IFERROR(__xludf.DUMMYFUNCTION("""COMPUTED_VALUE"""),1)</f>
        <v>1</v>
      </c>
      <c r="C6734" s="7">
        <f ca="1">IFERROR(__xludf.DUMMYFUNCTION("""COMPUTED_VALUE"""),1)</f>
        <v>1</v>
      </c>
      <c r="D6734" s="8">
        <f ca="1">IFERROR(__xludf.DUMMYFUNCTION("""COMPUTED_VALUE"""),1)</f>
        <v>1</v>
      </c>
      <c r="E6734" s="2">
        <f ca="1">IFERROR(__xludf.DUMMYFUNCTION("""COMPUTED_VALUE"""),1)</f>
        <v>1</v>
      </c>
    </row>
    <row r="6735" spans="1:5" ht="13">
      <c r="A6735" s="2" t="str">
        <f ca="1">IFERROR(__xludf.DUMMYFUNCTION("""COMPUTED_VALUE"""),"Reigngoud, Ilja")</f>
        <v>Reigngoud, Ilja</v>
      </c>
      <c r="B6735" s="3">
        <f ca="1">IFERROR(__xludf.DUMMYFUNCTION("""COMPUTED_VALUE"""),1)</f>
        <v>1</v>
      </c>
      <c r="C6735" s="7">
        <f ca="1">IFERROR(__xludf.DUMMYFUNCTION("""COMPUTED_VALUE"""),1)</f>
        <v>1</v>
      </c>
      <c r="D6735" s="8">
        <f ca="1">IFERROR(__xludf.DUMMYFUNCTION("""COMPUTED_VALUE"""),1)</f>
        <v>1</v>
      </c>
      <c r="E6735" s="2">
        <f ca="1">IFERROR(__xludf.DUMMYFUNCTION("""COMPUTED_VALUE"""),1)</f>
        <v>1</v>
      </c>
    </row>
    <row r="6736" spans="1:5" ht="13">
      <c r="A6736" s="2" t="str">
        <f ca="1">IFERROR(__xludf.DUMMYFUNCTION("""COMPUTED_VALUE"""),"Reilly, Michael")</f>
        <v>Reilly, Michael</v>
      </c>
      <c r="B6736" s="3">
        <f ca="1">IFERROR(__xludf.DUMMYFUNCTION("""COMPUTED_VALUE"""),1)</f>
        <v>1</v>
      </c>
      <c r="C6736" s="7">
        <f ca="1">IFERROR(__xludf.DUMMYFUNCTION("""COMPUTED_VALUE"""),1)</f>
        <v>1</v>
      </c>
      <c r="D6736" s="8">
        <f ca="1">IFERROR(__xludf.DUMMYFUNCTION("""COMPUTED_VALUE"""),1)</f>
        <v>1</v>
      </c>
      <c r="E6736" s="2">
        <f ca="1">IFERROR(__xludf.DUMMYFUNCTION("""COMPUTED_VALUE"""),1)</f>
        <v>1</v>
      </c>
    </row>
    <row r="6737" spans="1:5" ht="13">
      <c r="A6737" s="2" t="str">
        <f ca="1">IFERROR(__xludf.DUMMYFUNCTION("""COMPUTED_VALUE"""),"Reimann, Heinrich")</f>
        <v>Reimann, Heinrich</v>
      </c>
      <c r="B6737" s="2">
        <f ca="1">IFERROR(__xludf.DUMMYFUNCTION("""COMPUTED_VALUE"""),1)</f>
        <v>1</v>
      </c>
      <c r="C6737" s="7">
        <f ca="1">IFERROR(__xludf.DUMMYFUNCTION("""COMPUTED_VALUE"""),1)</f>
        <v>1</v>
      </c>
      <c r="D6737" s="8">
        <f ca="1">IFERROR(__xludf.DUMMYFUNCTION("""COMPUTED_VALUE"""),5)</f>
        <v>5</v>
      </c>
      <c r="E6737" s="2">
        <f ca="1">IFERROR(__xludf.DUMMYFUNCTION("""COMPUTED_VALUE"""),2)</f>
        <v>2</v>
      </c>
    </row>
    <row r="6738" spans="1:5" ht="13">
      <c r="A6738" s="2" t="str">
        <f ca="1">IFERROR(__xludf.DUMMYFUNCTION("""COMPUTED_VALUE"""),"Reimnitz, Adam")</f>
        <v>Reimnitz, Adam</v>
      </c>
      <c r="B6738" s="3">
        <f ca="1">IFERROR(__xludf.DUMMYFUNCTION("""COMPUTED_VALUE"""),1)</f>
        <v>1</v>
      </c>
      <c r="C6738" s="7">
        <f ca="1">IFERROR(__xludf.DUMMYFUNCTION("""COMPUTED_VALUE"""),1)</f>
        <v>1</v>
      </c>
      <c r="D6738" s="8">
        <f ca="1">IFERROR(__xludf.DUMMYFUNCTION("""COMPUTED_VALUE"""),1)</f>
        <v>1</v>
      </c>
      <c r="E6738" s="2">
        <f ca="1">IFERROR(__xludf.DUMMYFUNCTION("""COMPUTED_VALUE"""),1)</f>
        <v>1</v>
      </c>
    </row>
    <row r="6739" spans="1:5" ht="13">
      <c r="A6739" s="2" t="str">
        <f ca="1">IFERROR(__xludf.DUMMYFUNCTION("""COMPUTED_VALUE"""),"Reinecke, Carl")</f>
        <v>Reinecke, Carl</v>
      </c>
      <c r="B6739" s="3">
        <f ca="1">IFERROR(__xludf.DUMMYFUNCTION("""COMPUTED_VALUE"""),1)</f>
        <v>1</v>
      </c>
      <c r="C6739" s="7">
        <f ca="1">IFERROR(__xludf.DUMMYFUNCTION("""COMPUTED_VALUE"""),1)</f>
        <v>1</v>
      </c>
      <c r="D6739" s="8">
        <f ca="1">IFERROR(__xludf.DUMMYFUNCTION("""COMPUTED_VALUE"""),5)</f>
        <v>5</v>
      </c>
      <c r="E6739" s="2">
        <f ca="1">IFERROR(__xludf.DUMMYFUNCTION("""COMPUTED_VALUE"""),2)</f>
        <v>2</v>
      </c>
    </row>
    <row r="6740" spans="1:5" ht="13">
      <c r="A6740" s="2" t="str">
        <f ca="1">IFERROR(__xludf.DUMMYFUNCTION("""COMPUTED_VALUE"""),"Reineke, Steven")</f>
        <v>Reineke, Steven</v>
      </c>
      <c r="B6740" s="3">
        <f ca="1">IFERROR(__xludf.DUMMYFUNCTION("""COMPUTED_VALUE"""),1)</f>
        <v>1</v>
      </c>
      <c r="C6740" s="7">
        <f ca="1">IFERROR(__xludf.DUMMYFUNCTION("""COMPUTED_VALUE"""),1)</f>
        <v>1</v>
      </c>
      <c r="D6740" s="8">
        <f ca="1">IFERROR(__xludf.DUMMYFUNCTION("""COMPUTED_VALUE"""),1)</f>
        <v>1</v>
      </c>
      <c r="E6740" s="2">
        <f ca="1">IFERROR(__xludf.DUMMYFUNCTION("""COMPUTED_VALUE"""),1)</f>
        <v>1</v>
      </c>
    </row>
    <row r="6741" spans="1:5" ht="13">
      <c r="A6741" s="8" t="str">
        <f ca="1">IFERROR(__xludf.DUMMYFUNCTION("""COMPUTED_VALUE"""),"Reiner, Andy")</f>
        <v>Reiner, Andy</v>
      </c>
      <c r="B6741" s="3">
        <f ca="1">IFERROR(__xludf.DUMMYFUNCTION("""COMPUTED_VALUE"""),1)</f>
        <v>1</v>
      </c>
      <c r="C6741" s="7">
        <f ca="1">IFERROR(__xludf.DUMMYFUNCTION("""COMPUTED_VALUE"""),1)</f>
        <v>1</v>
      </c>
      <c r="D6741" s="8">
        <f ca="1">IFERROR(__xludf.DUMMYFUNCTION("""COMPUTED_VALUE"""),1)</f>
        <v>1</v>
      </c>
      <c r="E6741" s="2">
        <f ca="1">IFERROR(__xludf.DUMMYFUNCTION("""COMPUTED_VALUE"""),1)</f>
        <v>1</v>
      </c>
    </row>
    <row r="6742" spans="1:5" ht="13">
      <c r="A6742" s="2" t="str">
        <f ca="1">IFERROR(__xludf.DUMMYFUNCTION("""COMPUTED_VALUE"""),"Reinhardt, Django")</f>
        <v>Reinhardt, Django</v>
      </c>
      <c r="B6742" s="2">
        <f ca="1">IFERROR(__xludf.DUMMYFUNCTION("""COMPUTED_VALUE"""),1)</f>
        <v>1</v>
      </c>
      <c r="C6742" s="7">
        <f ca="1">IFERROR(__xludf.DUMMYFUNCTION("""COMPUTED_VALUE"""),1)</f>
        <v>1</v>
      </c>
      <c r="D6742" s="8">
        <f ca="1">IFERROR(__xludf.DUMMYFUNCTION("""COMPUTED_VALUE"""),5)</f>
        <v>5</v>
      </c>
      <c r="E6742" s="2">
        <f ca="1">IFERROR(__xludf.DUMMYFUNCTION("""COMPUTED_VALUE"""),2)</f>
        <v>2</v>
      </c>
    </row>
    <row r="6743" spans="1:5" ht="13">
      <c r="A6743" s="2" t="str">
        <f ca="1">IFERROR(__xludf.DUMMYFUNCTION("""COMPUTED_VALUE"""),"Reinhardt, Heinrich")</f>
        <v>Reinhardt, Heinrich</v>
      </c>
      <c r="B6743" s="2">
        <f ca="1">IFERROR(__xludf.DUMMYFUNCTION("""COMPUTED_VALUE"""),1)</f>
        <v>1</v>
      </c>
      <c r="C6743" s="7">
        <f ca="1">IFERROR(__xludf.DUMMYFUNCTION("""COMPUTED_VALUE"""),1)</f>
        <v>1</v>
      </c>
      <c r="D6743" s="8">
        <f ca="1">IFERROR(__xludf.DUMMYFUNCTION("""COMPUTED_VALUE"""),5)</f>
        <v>5</v>
      </c>
      <c r="E6743" s="2">
        <f ca="1">IFERROR(__xludf.DUMMYFUNCTION("""COMPUTED_VALUE"""),2)</f>
        <v>2</v>
      </c>
    </row>
    <row r="6744" spans="1:5" ht="13">
      <c r="A6744" s="2" t="str">
        <f ca="1">IFERROR(__xludf.DUMMYFUNCTION("""COMPUTED_VALUE"""),"Reinvere, Jüri")</f>
        <v>Reinvere, Jüri</v>
      </c>
      <c r="B6744" s="3">
        <f ca="1">IFERROR(__xludf.DUMMYFUNCTION("""COMPUTED_VALUE"""),1)</f>
        <v>1</v>
      </c>
      <c r="C6744" s="7">
        <f ca="1">IFERROR(__xludf.DUMMYFUNCTION("""COMPUTED_VALUE"""),1)</f>
        <v>1</v>
      </c>
      <c r="D6744" s="8">
        <f ca="1">IFERROR(__xludf.DUMMYFUNCTION("""COMPUTED_VALUE"""),1)</f>
        <v>1</v>
      </c>
      <c r="E6744" s="2">
        <f ca="1">IFERROR(__xludf.DUMMYFUNCTION("""COMPUTED_VALUE"""),1)</f>
        <v>1</v>
      </c>
    </row>
    <row r="6745" spans="1:5" ht="13">
      <c r="A6745" s="2" t="str">
        <f ca="1">IFERROR(__xludf.DUMMYFUNCTION("""COMPUTED_VALUE"""),"Reisdorff, Earl")</f>
        <v>Reisdorff, Earl</v>
      </c>
      <c r="B6745" s="3">
        <f ca="1">IFERROR(__xludf.DUMMYFUNCTION("""COMPUTED_VALUE"""),1)</f>
        <v>1</v>
      </c>
      <c r="C6745" s="7">
        <f ca="1">IFERROR(__xludf.DUMMYFUNCTION("""COMPUTED_VALUE"""),1)</f>
        <v>1</v>
      </c>
      <c r="D6745" s="8">
        <f ca="1">IFERROR(__xludf.DUMMYFUNCTION("""COMPUTED_VALUE"""),1)</f>
        <v>1</v>
      </c>
      <c r="E6745" s="2">
        <f ca="1">IFERROR(__xludf.DUMMYFUNCTION("""COMPUTED_VALUE"""),1)</f>
        <v>1</v>
      </c>
    </row>
    <row r="6746" spans="1:5" ht="13">
      <c r="A6746" s="2" t="str">
        <f ca="1">IFERROR(__xludf.DUMMYFUNCTION("""COMPUTED_VALUE"""),"Reisteter, Steve")</f>
        <v>Reisteter, Steve</v>
      </c>
      <c r="B6746" s="3">
        <f ca="1">IFERROR(__xludf.DUMMYFUNCTION("""COMPUTED_VALUE"""),1)</f>
        <v>1</v>
      </c>
      <c r="C6746" s="7">
        <f ca="1">IFERROR(__xludf.DUMMYFUNCTION("""COMPUTED_VALUE"""),1)</f>
        <v>1</v>
      </c>
      <c r="D6746" s="8">
        <f ca="1">IFERROR(__xludf.DUMMYFUNCTION("""COMPUTED_VALUE"""),1)</f>
        <v>1</v>
      </c>
      <c r="E6746" s="2">
        <f ca="1">IFERROR(__xludf.DUMMYFUNCTION("""COMPUTED_VALUE"""),1)</f>
        <v>1</v>
      </c>
    </row>
    <row r="6747" spans="1:5" ht="13">
      <c r="A6747" s="2" t="str">
        <f ca="1">IFERROR(__xludf.DUMMYFUNCTION("""COMPUTED_VALUE"""),"Reiter, Josef")</f>
        <v>Reiter, Josef</v>
      </c>
      <c r="B6747" s="3">
        <f ca="1">IFERROR(__xludf.DUMMYFUNCTION("""COMPUTED_VALUE"""),1)</f>
        <v>1</v>
      </c>
      <c r="C6747" s="7">
        <f ca="1">IFERROR(__xludf.DUMMYFUNCTION("""COMPUTED_VALUE"""),1)</f>
        <v>1</v>
      </c>
      <c r="D6747" s="8">
        <f ca="1">IFERROR(__xludf.DUMMYFUNCTION("""COMPUTED_VALUE"""),5)</f>
        <v>5</v>
      </c>
      <c r="E6747" s="2">
        <f ca="1">IFERROR(__xludf.DUMMYFUNCTION("""COMPUTED_VALUE"""),2)</f>
        <v>2</v>
      </c>
    </row>
    <row r="6748" spans="1:5" ht="13">
      <c r="A6748" s="2" t="str">
        <f ca="1">IFERROR(__xludf.DUMMYFUNCTION("""COMPUTED_VALUE"""),"Remington, Jacob")</f>
        <v>Remington, Jacob</v>
      </c>
      <c r="B6748" s="3">
        <f ca="1">IFERROR(__xludf.DUMMYFUNCTION("""COMPUTED_VALUE"""),1)</f>
        <v>1</v>
      </c>
      <c r="C6748" s="7">
        <f ca="1">IFERROR(__xludf.DUMMYFUNCTION("""COMPUTED_VALUE"""),1)</f>
        <v>1</v>
      </c>
      <c r="D6748" s="8">
        <f ca="1">IFERROR(__xludf.DUMMYFUNCTION("""COMPUTED_VALUE"""),1)</f>
        <v>1</v>
      </c>
      <c r="E6748" s="2">
        <f ca="1">IFERROR(__xludf.DUMMYFUNCTION("""COMPUTED_VALUE"""),1)</f>
        <v>1</v>
      </c>
    </row>
    <row r="6749" spans="1:5" ht="13">
      <c r="A6749" s="2" t="str">
        <f ca="1">IFERROR(__xludf.DUMMYFUNCTION("""COMPUTED_VALUE"""),"Rennick, Paul")</f>
        <v>Rennick, Paul</v>
      </c>
      <c r="B6749" s="3">
        <f ca="1">IFERROR(__xludf.DUMMYFUNCTION("""COMPUTED_VALUE"""),1)</f>
        <v>1</v>
      </c>
      <c r="C6749" s="7">
        <f ca="1">IFERROR(__xludf.DUMMYFUNCTION("""COMPUTED_VALUE"""),1)</f>
        <v>1</v>
      </c>
      <c r="D6749" s="8">
        <f ca="1">IFERROR(__xludf.DUMMYFUNCTION("""COMPUTED_VALUE"""),1)</f>
        <v>1</v>
      </c>
      <c r="E6749" s="2">
        <f ca="1">IFERROR(__xludf.DUMMYFUNCTION("""COMPUTED_VALUE"""),1)</f>
        <v>1</v>
      </c>
    </row>
    <row r="6750" spans="1:5" ht="13">
      <c r="A6750" s="2" t="str">
        <f ca="1">IFERROR(__xludf.DUMMYFUNCTION("""COMPUTED_VALUE"""),"Renshaw, Jeffrey")</f>
        <v>Renshaw, Jeffrey</v>
      </c>
      <c r="B6750" s="3">
        <f ca="1">IFERROR(__xludf.DUMMYFUNCTION("""COMPUTED_VALUE"""),1)</f>
        <v>1</v>
      </c>
      <c r="C6750" s="7">
        <f ca="1">IFERROR(__xludf.DUMMYFUNCTION("""COMPUTED_VALUE"""),1)</f>
        <v>1</v>
      </c>
      <c r="D6750" s="8">
        <f ca="1">IFERROR(__xludf.DUMMYFUNCTION("""COMPUTED_VALUE"""),1)</f>
        <v>1</v>
      </c>
      <c r="E6750" s="2">
        <f ca="1">IFERROR(__xludf.DUMMYFUNCTION("""COMPUTED_VALUE"""),1)</f>
        <v>1</v>
      </c>
    </row>
    <row r="6751" spans="1:5" ht="13">
      <c r="A6751" s="2" t="str">
        <f ca="1">IFERROR(__xludf.DUMMYFUNCTION("""COMPUTED_VALUE"""),"Repp, Peter")</f>
        <v>Repp, Peter</v>
      </c>
      <c r="B6751" s="3">
        <f ca="1">IFERROR(__xludf.DUMMYFUNCTION("""COMPUTED_VALUE"""),1)</f>
        <v>1</v>
      </c>
      <c r="C6751" s="7">
        <f ca="1">IFERROR(__xludf.DUMMYFUNCTION("""COMPUTED_VALUE"""),1)</f>
        <v>1</v>
      </c>
      <c r="D6751" s="8">
        <f ca="1">IFERROR(__xludf.DUMMYFUNCTION("""COMPUTED_VALUE"""),1)</f>
        <v>1</v>
      </c>
      <c r="E6751" s="2">
        <f ca="1">IFERROR(__xludf.DUMMYFUNCTION("""COMPUTED_VALUE"""),1)</f>
        <v>1</v>
      </c>
    </row>
    <row r="6752" spans="1:5" ht="13">
      <c r="A6752" s="8" t="str">
        <f ca="1">IFERROR(__xludf.DUMMYFUNCTION("""COMPUTED_VALUE"""),"Resnick, David")</f>
        <v>Resnick, David</v>
      </c>
      <c r="B6752" s="3">
        <f ca="1">IFERROR(__xludf.DUMMYFUNCTION("""COMPUTED_VALUE"""),1)</f>
        <v>1</v>
      </c>
      <c r="C6752" s="7">
        <f ca="1">IFERROR(__xludf.DUMMYFUNCTION("""COMPUTED_VALUE"""),1)</f>
        <v>1</v>
      </c>
      <c r="D6752" s="8">
        <f ca="1">IFERROR(__xludf.DUMMYFUNCTION("""COMPUTED_VALUE"""),1)</f>
        <v>1</v>
      </c>
      <c r="E6752" s="2">
        <f ca="1">IFERROR(__xludf.DUMMYFUNCTION("""COMPUTED_VALUE"""),1)</f>
        <v>1</v>
      </c>
    </row>
    <row r="6753" spans="1:5" ht="13">
      <c r="A6753" s="2" t="str">
        <f ca="1">IFERROR(__xludf.DUMMYFUNCTION("""COMPUTED_VALUE"""),"Respighi, Ottorino")</f>
        <v>Respighi, Ottorino</v>
      </c>
      <c r="B6753" s="3">
        <f ca="1">IFERROR(__xludf.DUMMYFUNCTION("""COMPUTED_VALUE"""),1)</f>
        <v>1</v>
      </c>
      <c r="C6753" s="7">
        <f ca="1">IFERROR(__xludf.DUMMYFUNCTION("""COMPUTED_VALUE"""),1)</f>
        <v>1</v>
      </c>
      <c r="D6753" s="8">
        <f ca="1">IFERROR(__xludf.DUMMYFUNCTION("""COMPUTED_VALUE"""),5)</f>
        <v>5</v>
      </c>
      <c r="E6753" s="2">
        <f ca="1">IFERROR(__xludf.DUMMYFUNCTION("""COMPUTED_VALUE"""),2)</f>
        <v>2</v>
      </c>
    </row>
    <row r="6754" spans="1:5" ht="13">
      <c r="A6754" s="2" t="str">
        <f ca="1">IFERROR(__xludf.DUMMYFUNCTION("""COMPUTED_VALUE"""),"Respighi, Ottorino / Godfrey, Dan")</f>
        <v>Respighi, Ottorino / Godfrey, Dan</v>
      </c>
      <c r="B6754" s="2">
        <f ca="1">IFERROR(__xludf.DUMMYFUNCTION("""COMPUTED_VALUE"""),1)</f>
        <v>1</v>
      </c>
      <c r="C6754" s="2">
        <f ca="1">IFERROR(__xludf.DUMMYFUNCTION("""COMPUTED_VALUE"""),1)</f>
        <v>1</v>
      </c>
      <c r="D6754" s="8">
        <f ca="1">IFERROR(__xludf.DUMMYFUNCTION("""COMPUTED_VALUE"""),5)</f>
        <v>5</v>
      </c>
      <c r="E6754" s="2">
        <f ca="1">IFERROR(__xludf.DUMMYFUNCTION("""COMPUTED_VALUE"""),2)</f>
        <v>2</v>
      </c>
    </row>
    <row r="6755" spans="1:5" ht="13">
      <c r="A6755" s="2" t="str">
        <f ca="1">IFERROR(__xludf.DUMMYFUNCTION("""COMPUTED_VALUE"""),"Respighi, Ottorino / Mahaffey, Jim")</f>
        <v>Respighi, Ottorino / Mahaffey, Jim</v>
      </c>
      <c r="B6755" s="2">
        <f ca="1">IFERROR(__xludf.DUMMYFUNCTION("""COMPUTED_VALUE"""),1)</f>
        <v>1</v>
      </c>
      <c r="C6755" s="2">
        <f ca="1">IFERROR(__xludf.DUMMYFUNCTION("""COMPUTED_VALUE"""),1)</f>
        <v>1</v>
      </c>
      <c r="D6755" s="8">
        <f ca="1">IFERROR(__xludf.DUMMYFUNCTION("""COMPUTED_VALUE"""),5)</f>
        <v>5</v>
      </c>
      <c r="E6755" s="2">
        <f ca="1">IFERROR(__xludf.DUMMYFUNCTION("""COMPUTED_VALUE"""),2)</f>
        <v>2</v>
      </c>
    </row>
    <row r="6756" spans="1:5" ht="13">
      <c r="A6756" s="2" t="str">
        <f ca="1">IFERROR(__xludf.DUMMYFUNCTION("""COMPUTED_VALUE"""),"Resseger, Robert E.")</f>
        <v>Resseger, Robert E.</v>
      </c>
      <c r="B6756" s="3">
        <f ca="1">IFERROR(__xludf.DUMMYFUNCTION("""COMPUTED_VALUE"""),1)</f>
        <v>1</v>
      </c>
      <c r="C6756" s="7">
        <f ca="1">IFERROR(__xludf.DUMMYFUNCTION("""COMPUTED_VALUE"""),1)</f>
        <v>1</v>
      </c>
      <c r="D6756" s="8">
        <f ca="1">IFERROR(__xludf.DUMMYFUNCTION("""COMPUTED_VALUE"""),5)</f>
        <v>5</v>
      </c>
      <c r="E6756" s="2">
        <f ca="1">IFERROR(__xludf.DUMMYFUNCTION("""COMPUTED_VALUE"""),2)</f>
        <v>2</v>
      </c>
    </row>
    <row r="6757" spans="1:5" ht="13">
      <c r="A6757" s="2" t="str">
        <f ca="1">IFERROR(__xludf.DUMMYFUNCTION("""COMPUTED_VALUE"""),"Reunecke")</f>
        <v>Reunecke</v>
      </c>
      <c r="B6757" s="3">
        <f ca="1">IFERROR(__xludf.DUMMYFUNCTION("""COMPUTED_VALUE"""),1)</f>
        <v>1</v>
      </c>
      <c r="C6757" s="7">
        <f ca="1">IFERROR(__xludf.DUMMYFUNCTION("""COMPUTED_VALUE"""),1)</f>
        <v>1</v>
      </c>
      <c r="D6757" s="8">
        <f ca="1">IFERROR(__xludf.DUMMYFUNCTION("""COMPUTED_VALUE"""),1)</f>
        <v>1</v>
      </c>
      <c r="E6757" s="2">
        <f ca="1">IFERROR(__xludf.DUMMYFUNCTION("""COMPUTED_VALUE"""),1)</f>
        <v>1</v>
      </c>
    </row>
    <row r="6758" spans="1:5" ht="13">
      <c r="A6758" s="2" t="str">
        <f ca="1">IFERROR(__xludf.DUMMYFUNCTION("""COMPUTED_VALUE"""),"Reutter, Georg")</f>
        <v>Reutter, Georg</v>
      </c>
      <c r="B6758" s="3">
        <f ca="1">IFERROR(__xludf.DUMMYFUNCTION("""COMPUTED_VALUE"""),1)</f>
        <v>1</v>
      </c>
      <c r="C6758" s="7">
        <f ca="1">IFERROR(__xludf.DUMMYFUNCTION("""COMPUTED_VALUE"""),1)</f>
        <v>1</v>
      </c>
      <c r="D6758" s="8">
        <f ca="1">IFERROR(__xludf.DUMMYFUNCTION("""COMPUTED_VALUE"""),5)</f>
        <v>5</v>
      </c>
      <c r="E6758" s="2">
        <f ca="1">IFERROR(__xludf.DUMMYFUNCTION("""COMPUTED_VALUE"""),2)</f>
        <v>2</v>
      </c>
    </row>
    <row r="6759" spans="1:5" ht="13">
      <c r="A6759" s="2" t="str">
        <f ca="1">IFERROR(__xludf.DUMMYFUNCTION("""COMPUTED_VALUE"""),"Revaux, Jacques")</f>
        <v>Revaux, Jacques</v>
      </c>
      <c r="B6759" s="2">
        <f ca="1">IFERROR(__xludf.DUMMYFUNCTION("""COMPUTED_VALUE"""),1)</f>
        <v>1</v>
      </c>
      <c r="C6759" s="2">
        <f ca="1">IFERROR(__xludf.DUMMYFUNCTION("""COMPUTED_VALUE"""),1)</f>
        <v>1</v>
      </c>
      <c r="D6759" s="8">
        <f ca="1">IFERROR(__xludf.DUMMYFUNCTION("""COMPUTED_VALUE"""),1)</f>
        <v>1</v>
      </c>
      <c r="E6759" s="2">
        <f ca="1">IFERROR(__xludf.DUMMYFUNCTION("""COMPUTED_VALUE"""),1)</f>
        <v>1</v>
      </c>
    </row>
    <row r="6760" spans="1:5" ht="13">
      <c r="A6760" s="2" t="str">
        <f ca="1">IFERROR(__xludf.DUMMYFUNCTION("""COMPUTED_VALUE"""),"Revelli, William")</f>
        <v>Revelli, William</v>
      </c>
      <c r="B6760" s="3">
        <f ca="1">IFERROR(__xludf.DUMMYFUNCTION("""COMPUTED_VALUE"""),1)</f>
        <v>1</v>
      </c>
      <c r="C6760" s="7">
        <f ca="1">IFERROR(__xludf.DUMMYFUNCTION("""COMPUTED_VALUE"""),1)</f>
        <v>1</v>
      </c>
      <c r="D6760" s="8">
        <f ca="1">IFERROR(__xludf.DUMMYFUNCTION("""COMPUTED_VALUE"""),5)</f>
        <v>5</v>
      </c>
      <c r="E6760" s="2">
        <f ca="1">IFERROR(__xludf.DUMMYFUNCTION("""COMPUTED_VALUE"""),2)</f>
        <v>2</v>
      </c>
    </row>
    <row r="6761" spans="1:5" ht="13">
      <c r="A6761" s="2" t="str">
        <f ca="1">IFERROR(__xludf.DUMMYFUNCTION("""COMPUTED_VALUE"""),"Revicki, Robert")</f>
        <v>Revicki, Robert</v>
      </c>
      <c r="B6761" s="3">
        <f ca="1">IFERROR(__xludf.DUMMYFUNCTION("""COMPUTED_VALUE"""),1)</f>
        <v>1</v>
      </c>
      <c r="C6761" s="7">
        <f ca="1">IFERROR(__xludf.DUMMYFUNCTION("""COMPUTED_VALUE"""),1)</f>
        <v>1</v>
      </c>
      <c r="D6761" s="8">
        <f ca="1">IFERROR(__xludf.DUMMYFUNCTION("""COMPUTED_VALUE"""),5)</f>
        <v>5</v>
      </c>
      <c r="E6761" s="2">
        <f ca="1">IFERROR(__xludf.DUMMYFUNCTION("""COMPUTED_VALUE"""),2)</f>
        <v>2</v>
      </c>
    </row>
    <row r="6762" spans="1:5" ht="13">
      <c r="A6762" s="2" t="str">
        <f ca="1">IFERROR(__xludf.DUMMYFUNCTION("""COMPUTED_VALUE"""),"Rew, Stephen")</f>
        <v>Rew, Stephen</v>
      </c>
      <c r="B6762" s="3">
        <f ca="1">IFERROR(__xludf.DUMMYFUNCTION("""COMPUTED_VALUE"""),1)</f>
        <v>1</v>
      </c>
      <c r="C6762" s="7">
        <f ca="1">IFERROR(__xludf.DUMMYFUNCTION("""COMPUTED_VALUE"""),1)</f>
        <v>1</v>
      </c>
      <c r="D6762" s="8">
        <f ca="1">IFERROR(__xludf.DUMMYFUNCTION("""COMPUTED_VALUE"""),1)</f>
        <v>1</v>
      </c>
      <c r="E6762" s="2">
        <f ca="1">IFERROR(__xludf.DUMMYFUNCTION("""COMPUTED_VALUE"""),1)</f>
        <v>1</v>
      </c>
    </row>
    <row r="6763" spans="1:5" ht="13">
      <c r="A6763" s="2" t="str">
        <f ca="1">IFERROR(__xludf.DUMMYFUNCTION("""COMPUTED_VALUE"""),"Reynish, Timothy")</f>
        <v>Reynish, Timothy</v>
      </c>
      <c r="B6763" s="3">
        <f ca="1">IFERROR(__xludf.DUMMYFUNCTION("""COMPUTED_VALUE"""),1)</f>
        <v>1</v>
      </c>
      <c r="C6763" s="7">
        <f ca="1">IFERROR(__xludf.DUMMYFUNCTION("""COMPUTED_VALUE"""),1)</f>
        <v>1</v>
      </c>
      <c r="D6763" s="8">
        <f ca="1">IFERROR(__xludf.DUMMYFUNCTION("""COMPUTED_VALUE"""),1)</f>
        <v>1</v>
      </c>
      <c r="E6763" s="2">
        <f ca="1">IFERROR(__xludf.DUMMYFUNCTION("""COMPUTED_VALUE"""),1)</f>
        <v>1</v>
      </c>
    </row>
    <row r="6764" spans="1:5" ht="13">
      <c r="A6764" s="2" t="str">
        <f ca="1">IFERROR(__xludf.DUMMYFUNCTION("""COMPUTED_VALUE"""),"Reynolds")</f>
        <v>Reynolds</v>
      </c>
      <c r="B6764" s="3">
        <f ca="1">IFERROR(__xludf.DUMMYFUNCTION("""COMPUTED_VALUE"""),1)</f>
        <v>1</v>
      </c>
      <c r="C6764" s="7">
        <f ca="1">IFERROR(__xludf.DUMMYFUNCTION("""COMPUTED_VALUE"""),1)</f>
        <v>1</v>
      </c>
      <c r="D6764" s="8">
        <f ca="1">IFERROR(__xludf.DUMMYFUNCTION("""COMPUTED_VALUE"""),1)</f>
        <v>1</v>
      </c>
      <c r="E6764" s="2">
        <f ca="1">IFERROR(__xludf.DUMMYFUNCTION("""COMPUTED_VALUE"""),1)</f>
        <v>1</v>
      </c>
    </row>
    <row r="6765" spans="1:5" ht="13">
      <c r="A6765" s="2" t="str">
        <f ca="1">IFERROR(__xludf.DUMMYFUNCTION("""COMPUTED_VALUE"""),"Reynolds, George E.")</f>
        <v>Reynolds, George E.</v>
      </c>
      <c r="B6765" s="3">
        <f ca="1">IFERROR(__xludf.DUMMYFUNCTION("""COMPUTED_VALUE"""),1)</f>
        <v>1</v>
      </c>
      <c r="C6765" s="7">
        <f ca="1">IFERROR(__xludf.DUMMYFUNCTION("""COMPUTED_VALUE"""),1)</f>
        <v>1</v>
      </c>
      <c r="D6765" s="8">
        <f ca="1">IFERROR(__xludf.DUMMYFUNCTION("""COMPUTED_VALUE"""),5)</f>
        <v>5</v>
      </c>
      <c r="E6765" s="2">
        <f ca="1">IFERROR(__xludf.DUMMYFUNCTION("""COMPUTED_VALUE"""),2)</f>
        <v>2</v>
      </c>
    </row>
    <row r="6766" spans="1:5" ht="13">
      <c r="A6766" s="2" t="str">
        <f ca="1">IFERROR(__xludf.DUMMYFUNCTION("""COMPUTED_VALUE"""),"Reynolds, H. Robert")</f>
        <v>Reynolds, H. Robert</v>
      </c>
      <c r="B6766" s="3">
        <f ca="1">IFERROR(__xludf.DUMMYFUNCTION("""COMPUTED_VALUE"""),1)</f>
        <v>1</v>
      </c>
      <c r="C6766" s="7">
        <f ca="1">IFERROR(__xludf.DUMMYFUNCTION("""COMPUTED_VALUE"""),1)</f>
        <v>1</v>
      </c>
      <c r="D6766" s="8">
        <f ca="1">IFERROR(__xludf.DUMMYFUNCTION("""COMPUTED_VALUE"""),1)</f>
        <v>1</v>
      </c>
      <c r="E6766" s="2">
        <f ca="1">IFERROR(__xludf.DUMMYFUNCTION("""COMPUTED_VALUE"""),1)</f>
        <v>1</v>
      </c>
    </row>
    <row r="6767" spans="1:5" ht="13">
      <c r="A6767" s="2" t="str">
        <f ca="1">IFERROR(__xludf.DUMMYFUNCTION("""COMPUTED_VALUE"""),"Reynolds, Peter (aka John Kinyon)")</f>
        <v>Reynolds, Peter (aka John Kinyon)</v>
      </c>
      <c r="B6767" s="2">
        <f ca="1">IFERROR(__xludf.DUMMYFUNCTION("""COMPUTED_VALUE"""),1)</f>
        <v>1</v>
      </c>
      <c r="C6767" s="7">
        <f ca="1">IFERROR(__xludf.DUMMYFUNCTION("""COMPUTED_VALUE"""),1)</f>
        <v>1</v>
      </c>
      <c r="D6767" s="8">
        <f ca="1">IFERROR(__xludf.DUMMYFUNCTION("""COMPUTED_VALUE"""),5)</f>
        <v>5</v>
      </c>
      <c r="E6767" s="2">
        <f ca="1">IFERROR(__xludf.DUMMYFUNCTION("""COMPUTED_VALUE"""),2)</f>
        <v>2</v>
      </c>
    </row>
    <row r="6768" spans="1:5" ht="13">
      <c r="A6768" s="2" t="str">
        <f ca="1">IFERROR(__xludf.DUMMYFUNCTION("""COMPUTED_VALUE"""),"Reynolds, Roger")</f>
        <v>Reynolds, Roger</v>
      </c>
      <c r="B6768" s="3">
        <f ca="1">IFERROR(__xludf.DUMMYFUNCTION("""COMPUTED_VALUE"""),1)</f>
        <v>1</v>
      </c>
      <c r="C6768" s="7">
        <f ca="1">IFERROR(__xludf.DUMMYFUNCTION("""COMPUTED_VALUE"""),1)</f>
        <v>1</v>
      </c>
      <c r="D6768" s="8">
        <f ca="1">IFERROR(__xludf.DUMMYFUNCTION("""COMPUTED_VALUE"""),1)</f>
        <v>1</v>
      </c>
      <c r="E6768" s="2">
        <f ca="1">IFERROR(__xludf.DUMMYFUNCTION("""COMPUTED_VALUE"""),1)</f>
        <v>1</v>
      </c>
    </row>
    <row r="6769" spans="1:5" ht="13">
      <c r="A6769" s="2" t="str">
        <f ca="1">IFERROR(__xludf.DUMMYFUNCTION("""COMPUTED_VALUE"""),"Reynolds, Verne")</f>
        <v>Reynolds, Verne</v>
      </c>
      <c r="B6769" s="2">
        <f ca="1">IFERROR(__xludf.DUMMYFUNCTION("""COMPUTED_VALUE"""),1)</f>
        <v>1</v>
      </c>
      <c r="C6769" s="7">
        <f ca="1">IFERROR(__xludf.DUMMYFUNCTION("""COMPUTED_VALUE"""),1)</f>
        <v>1</v>
      </c>
      <c r="D6769" s="8">
        <f ca="1">IFERROR(__xludf.DUMMYFUNCTION("""COMPUTED_VALUE"""),5)</f>
        <v>5</v>
      </c>
      <c r="E6769" s="2">
        <f ca="1">IFERROR(__xludf.DUMMYFUNCTION("""COMPUTED_VALUE"""),2)</f>
        <v>2</v>
      </c>
    </row>
    <row r="6770" spans="1:5" ht="13">
      <c r="A6770" s="2" t="str">
        <f ca="1">IFERROR(__xludf.DUMMYFUNCTION("""COMPUTED_VALUE"""),"Reznicek, Emil Nikolaus von")</f>
        <v>Reznicek, Emil Nikolaus von</v>
      </c>
      <c r="B6770" s="3">
        <f ca="1">IFERROR(__xludf.DUMMYFUNCTION("""COMPUTED_VALUE"""),1)</f>
        <v>1</v>
      </c>
      <c r="C6770" s="7">
        <f ca="1">IFERROR(__xludf.DUMMYFUNCTION("""COMPUTED_VALUE"""),1)</f>
        <v>1</v>
      </c>
      <c r="D6770" s="8">
        <f ca="1">IFERROR(__xludf.DUMMYFUNCTION("""COMPUTED_VALUE"""),1)</f>
        <v>1</v>
      </c>
      <c r="E6770" s="2">
        <f ca="1">IFERROR(__xludf.DUMMYFUNCTION("""COMPUTED_VALUE"""),1)</f>
        <v>1</v>
      </c>
    </row>
    <row r="6771" spans="1:5" ht="13">
      <c r="A6771" s="2" t="str">
        <f ca="1">IFERROR(__xludf.DUMMYFUNCTION("""COMPUTED_VALUE"""),"Reznicek, Emil von")</f>
        <v>Reznicek, Emil von</v>
      </c>
      <c r="B6771" s="2">
        <f ca="1">IFERROR(__xludf.DUMMYFUNCTION("""COMPUTED_VALUE"""),1)</f>
        <v>1</v>
      </c>
      <c r="C6771" s="7">
        <f ca="1">IFERROR(__xludf.DUMMYFUNCTION("""COMPUTED_VALUE"""),1)</f>
        <v>1</v>
      </c>
      <c r="D6771" s="8">
        <f ca="1">IFERROR(__xludf.DUMMYFUNCTION("""COMPUTED_VALUE"""),5)</f>
        <v>5</v>
      </c>
      <c r="E6771" s="2">
        <f ca="1">IFERROR(__xludf.DUMMYFUNCTION("""COMPUTED_VALUE"""),2)</f>
        <v>2</v>
      </c>
    </row>
    <row r="6772" spans="1:5" ht="13">
      <c r="A6772" s="2" t="str">
        <f ca="1">IFERROR(__xludf.DUMMYFUNCTION("""COMPUTED_VALUE"""),"Reznicow, Josh")</f>
        <v>Reznicow, Josh</v>
      </c>
      <c r="B6772" s="3">
        <f ca="1">IFERROR(__xludf.DUMMYFUNCTION("""COMPUTED_VALUE"""),1)</f>
        <v>1</v>
      </c>
      <c r="C6772" s="7">
        <f ca="1">IFERROR(__xludf.DUMMYFUNCTION("""COMPUTED_VALUE"""),1)</f>
        <v>1</v>
      </c>
      <c r="D6772" s="8">
        <f ca="1">IFERROR(__xludf.DUMMYFUNCTION("""COMPUTED_VALUE"""),1)</f>
        <v>1</v>
      </c>
      <c r="E6772" s="2">
        <f ca="1">IFERROR(__xludf.DUMMYFUNCTION("""COMPUTED_VALUE"""),1)</f>
        <v>1</v>
      </c>
    </row>
    <row r="6773" spans="1:5" ht="13">
      <c r="A6773" s="2" t="str">
        <f ca="1">IFERROR(__xludf.DUMMYFUNCTION("""COMPUTED_VALUE"""),"Reznicow, Joshua")</f>
        <v>Reznicow, Joshua</v>
      </c>
      <c r="B6773" s="3">
        <f ca="1">IFERROR(__xludf.DUMMYFUNCTION("""COMPUTED_VALUE"""),1)</f>
        <v>1</v>
      </c>
      <c r="C6773" s="7">
        <f ca="1">IFERROR(__xludf.DUMMYFUNCTION("""COMPUTED_VALUE"""),1)</f>
        <v>1</v>
      </c>
      <c r="D6773" s="8">
        <f ca="1">IFERROR(__xludf.DUMMYFUNCTION("""COMPUTED_VALUE"""),1)</f>
        <v>1</v>
      </c>
      <c r="E6773" s="2">
        <f ca="1">IFERROR(__xludf.DUMMYFUNCTION("""COMPUTED_VALUE"""),1)</f>
        <v>1</v>
      </c>
    </row>
    <row r="6774" spans="1:5" ht="13">
      <c r="A6774" s="2" t="str">
        <f ca="1">IFERROR(__xludf.DUMMYFUNCTION("""COMPUTED_VALUE"""),"Rezsō, Ott")</f>
        <v>Rezsō, Ott</v>
      </c>
      <c r="B6774" s="2">
        <f ca="1">IFERROR(__xludf.DUMMYFUNCTION("""COMPUTED_VALUE"""),1)</f>
        <v>1</v>
      </c>
      <c r="C6774" s="7">
        <f ca="1">IFERROR(__xludf.DUMMYFUNCTION("""COMPUTED_VALUE"""),1)</f>
        <v>1</v>
      </c>
      <c r="D6774" s="8">
        <f ca="1">IFERROR(__xludf.DUMMYFUNCTION("""COMPUTED_VALUE"""),1)</f>
        <v>1</v>
      </c>
      <c r="E6774" s="2">
        <f ca="1">IFERROR(__xludf.DUMMYFUNCTION("""COMPUTED_VALUE"""),1)</f>
        <v>1</v>
      </c>
    </row>
    <row r="6775" spans="1:5" ht="13">
      <c r="A6775" s="2" t="str">
        <f ca="1">IFERROR(__xludf.DUMMYFUNCTION("""COMPUTED_VALUE"""),"Rhea, Raymond")</f>
        <v>Rhea, Raymond</v>
      </c>
      <c r="B6775" s="3">
        <f ca="1">IFERROR(__xludf.DUMMYFUNCTION("""COMPUTED_VALUE"""),1)</f>
        <v>1</v>
      </c>
      <c r="C6775" s="7">
        <f ca="1">IFERROR(__xludf.DUMMYFUNCTION("""COMPUTED_VALUE"""),1)</f>
        <v>1</v>
      </c>
      <c r="D6775" s="8">
        <f ca="1">IFERROR(__xludf.DUMMYFUNCTION("""COMPUTED_VALUE"""),1)</f>
        <v>1</v>
      </c>
      <c r="E6775" s="2">
        <f ca="1">IFERROR(__xludf.DUMMYFUNCTION("""COMPUTED_VALUE"""),1)</f>
        <v>1</v>
      </c>
    </row>
    <row r="6776" spans="1:5" ht="13">
      <c r="A6776" s="2" t="str">
        <f ca="1">IFERROR(__xludf.DUMMYFUNCTION("""COMPUTED_VALUE"""),"Rhea, Timothy")</f>
        <v>Rhea, Timothy</v>
      </c>
      <c r="B6776" s="3">
        <f ca="1">IFERROR(__xludf.DUMMYFUNCTION("""COMPUTED_VALUE"""),1)</f>
        <v>1</v>
      </c>
      <c r="C6776" s="7">
        <f ca="1">IFERROR(__xludf.DUMMYFUNCTION("""COMPUTED_VALUE"""),1)</f>
        <v>1</v>
      </c>
      <c r="D6776" s="8">
        <f ca="1">IFERROR(__xludf.DUMMYFUNCTION("""COMPUTED_VALUE"""),1)</f>
        <v>1</v>
      </c>
      <c r="E6776" s="2">
        <f ca="1">IFERROR(__xludf.DUMMYFUNCTION("""COMPUTED_VALUE"""),1)</f>
        <v>1</v>
      </c>
    </row>
    <row r="6777" spans="1:5" ht="13">
      <c r="A6777" s="2" t="str">
        <f ca="1">IFERROR(__xludf.DUMMYFUNCTION("""COMPUTED_VALUE"""),"Rhein, Robert")</f>
        <v>Rhein, Robert</v>
      </c>
      <c r="B6777" s="3">
        <f ca="1">IFERROR(__xludf.DUMMYFUNCTION("""COMPUTED_VALUE"""),1)</f>
        <v>1</v>
      </c>
      <c r="C6777" s="7">
        <f ca="1">IFERROR(__xludf.DUMMYFUNCTION("""COMPUTED_VALUE"""),1)</f>
        <v>1</v>
      </c>
      <c r="D6777" s="8">
        <f ca="1">IFERROR(__xludf.DUMMYFUNCTION("""COMPUTED_VALUE"""),1)</f>
        <v>1</v>
      </c>
      <c r="E6777" s="2">
        <f ca="1">IFERROR(__xludf.DUMMYFUNCTION("""COMPUTED_VALUE"""),1)</f>
        <v>1</v>
      </c>
    </row>
    <row r="6778" spans="1:5" ht="13">
      <c r="A6778" s="2" t="str">
        <f ca="1">IFERROR(__xludf.DUMMYFUNCTION("""COMPUTED_VALUE"""),"Rheinberger, Josef")</f>
        <v>Rheinberger, Josef</v>
      </c>
      <c r="B6778" s="3">
        <f ca="1">IFERROR(__xludf.DUMMYFUNCTION("""COMPUTED_VALUE"""),1)</f>
        <v>1</v>
      </c>
      <c r="C6778" s="7">
        <f ca="1">IFERROR(__xludf.DUMMYFUNCTION("""COMPUTED_VALUE"""),1)</f>
        <v>1</v>
      </c>
      <c r="D6778" s="8">
        <f ca="1">IFERROR(__xludf.DUMMYFUNCTION("""COMPUTED_VALUE"""),5)</f>
        <v>5</v>
      </c>
      <c r="E6778" s="2">
        <f ca="1">IFERROR(__xludf.DUMMYFUNCTION("""COMPUTED_VALUE"""),2)</f>
        <v>2</v>
      </c>
    </row>
    <row r="6779" spans="1:5" ht="13">
      <c r="A6779" s="2" t="str">
        <f ca="1">IFERROR(__xludf.DUMMYFUNCTION("""COMPUTED_VALUE"""),"Rheinberger, Josef Gabriel")</f>
        <v>Rheinberger, Josef Gabriel</v>
      </c>
      <c r="B6779" s="3">
        <f ca="1">IFERROR(__xludf.DUMMYFUNCTION("""COMPUTED_VALUE"""),1)</f>
        <v>1</v>
      </c>
      <c r="C6779" s="7">
        <f ca="1">IFERROR(__xludf.DUMMYFUNCTION("""COMPUTED_VALUE"""),1)</f>
        <v>1</v>
      </c>
      <c r="D6779" s="8">
        <f ca="1">IFERROR(__xludf.DUMMYFUNCTION("""COMPUTED_VALUE"""),5)</f>
        <v>5</v>
      </c>
      <c r="E6779" s="2">
        <f ca="1">IFERROR(__xludf.DUMMYFUNCTION("""COMPUTED_VALUE"""),2)</f>
        <v>2</v>
      </c>
    </row>
    <row r="6780" spans="1:5" ht="13">
      <c r="A6780" s="2" t="str">
        <f ca="1">IFERROR(__xludf.DUMMYFUNCTION("""COMPUTED_VALUE"""),"Rhoads, William")</f>
        <v>Rhoads, William</v>
      </c>
      <c r="B6780" s="3">
        <f ca="1">IFERROR(__xludf.DUMMYFUNCTION("""COMPUTED_VALUE"""),1)</f>
        <v>1</v>
      </c>
      <c r="C6780" s="7">
        <f ca="1">IFERROR(__xludf.DUMMYFUNCTION("""COMPUTED_VALUE"""),1)</f>
        <v>1</v>
      </c>
      <c r="D6780" s="8">
        <f ca="1">IFERROR(__xludf.DUMMYFUNCTION("""COMPUTED_VALUE"""),5)</f>
        <v>5</v>
      </c>
      <c r="E6780" s="2">
        <f ca="1">IFERROR(__xludf.DUMMYFUNCTION("""COMPUTED_VALUE"""),2)</f>
        <v>2</v>
      </c>
    </row>
    <row r="6781" spans="1:5" ht="13">
      <c r="A6781" s="8" t="str">
        <f ca="1">IFERROR(__xludf.DUMMYFUNCTION("""COMPUTED_VALUE"""),"Rhodes, Brian")</f>
        <v>Rhodes, Brian</v>
      </c>
      <c r="B6781" s="3">
        <f ca="1">IFERROR(__xludf.DUMMYFUNCTION("""COMPUTED_VALUE"""),1)</f>
        <v>1</v>
      </c>
      <c r="C6781" s="7">
        <f ca="1">IFERROR(__xludf.DUMMYFUNCTION("""COMPUTED_VALUE"""),1)</f>
        <v>1</v>
      </c>
      <c r="D6781" s="8">
        <f ca="1">IFERROR(__xludf.DUMMYFUNCTION("""COMPUTED_VALUE"""),1)</f>
        <v>1</v>
      </c>
      <c r="E6781" s="2">
        <f ca="1">IFERROR(__xludf.DUMMYFUNCTION("""COMPUTED_VALUE"""),1)</f>
        <v>1</v>
      </c>
    </row>
    <row r="6782" spans="1:5" ht="13">
      <c r="A6782" s="2" t="str">
        <f ca="1">IFERROR(__xludf.DUMMYFUNCTION("""COMPUTED_VALUE"""),"Rhodes, Phillip")</f>
        <v>Rhodes, Phillip</v>
      </c>
      <c r="B6782" s="3">
        <f ca="1">IFERROR(__xludf.DUMMYFUNCTION("""COMPUTED_VALUE"""),1)</f>
        <v>1</v>
      </c>
      <c r="C6782" s="7">
        <f ca="1">IFERROR(__xludf.DUMMYFUNCTION("""COMPUTED_VALUE"""),1)</f>
        <v>1</v>
      </c>
      <c r="D6782" s="8">
        <f ca="1">IFERROR(__xludf.DUMMYFUNCTION("""COMPUTED_VALUE"""),5)</f>
        <v>5</v>
      </c>
      <c r="E6782" s="3">
        <f ca="1">IFERROR(__xludf.DUMMYFUNCTION("""COMPUTED_VALUE"""),2)</f>
        <v>2</v>
      </c>
    </row>
    <row r="6783" spans="1:5" ht="13">
      <c r="A6783" s="2" t="str">
        <f ca="1">IFERROR(__xludf.DUMMYFUNCTION("""COMPUTED_VALUE"""),"Rhodes, Samuel")</f>
        <v>Rhodes, Samuel</v>
      </c>
      <c r="B6783" s="3">
        <f ca="1">IFERROR(__xludf.DUMMYFUNCTION("""COMPUTED_VALUE"""),1)</f>
        <v>1</v>
      </c>
      <c r="C6783" s="7">
        <f ca="1">IFERROR(__xludf.DUMMYFUNCTION("""COMPUTED_VALUE"""),1)</f>
        <v>1</v>
      </c>
      <c r="D6783" s="8">
        <f ca="1">IFERROR(__xludf.DUMMYFUNCTION("""COMPUTED_VALUE"""),5)</f>
        <v>5</v>
      </c>
      <c r="E6783" s="2">
        <f ca="1">IFERROR(__xludf.DUMMYFUNCTION("""COMPUTED_VALUE"""),2)</f>
        <v>2</v>
      </c>
    </row>
    <row r="6784" spans="1:5" ht="13">
      <c r="A6784" s="2" t="str">
        <f ca="1">IFERROR(__xludf.DUMMYFUNCTION("""COMPUTED_VALUE"""),"Rhodes, Tom")</f>
        <v>Rhodes, Tom</v>
      </c>
      <c r="B6784" s="3">
        <f ca="1">IFERROR(__xludf.DUMMYFUNCTION("""COMPUTED_VALUE"""),1)</f>
        <v>1</v>
      </c>
      <c r="C6784" s="7">
        <f ca="1">IFERROR(__xludf.DUMMYFUNCTION("""COMPUTED_VALUE"""),1)</f>
        <v>1</v>
      </c>
      <c r="D6784" s="8">
        <f ca="1">IFERROR(__xludf.DUMMYFUNCTION("""COMPUTED_VALUE"""),1)</f>
        <v>1</v>
      </c>
      <c r="E6784" s="2">
        <f ca="1">IFERROR(__xludf.DUMMYFUNCTION("""COMPUTED_VALUE"""),1)</f>
        <v>1</v>
      </c>
    </row>
    <row r="6785" spans="1:5" ht="13">
      <c r="A6785" s="2" t="str">
        <f ca="1">IFERROR(__xludf.DUMMYFUNCTION("""COMPUTED_VALUE"""),"Rhodes, Trenton")</f>
        <v>Rhodes, Trenton</v>
      </c>
      <c r="B6785" s="3">
        <f ca="1">IFERROR(__xludf.DUMMYFUNCTION("""COMPUTED_VALUE"""),1)</f>
        <v>1</v>
      </c>
      <c r="C6785" s="7">
        <f ca="1">IFERROR(__xludf.DUMMYFUNCTION("""COMPUTED_VALUE"""),1)</f>
        <v>1</v>
      </c>
      <c r="D6785" s="8">
        <f ca="1">IFERROR(__xludf.DUMMYFUNCTION("""COMPUTED_VALUE"""),1)</f>
        <v>1</v>
      </c>
      <c r="E6785" s="2">
        <f ca="1">IFERROR(__xludf.DUMMYFUNCTION("""COMPUTED_VALUE"""),1)</f>
        <v>1</v>
      </c>
    </row>
    <row r="6786" spans="1:5" ht="13">
      <c r="A6786" s="2" t="str">
        <f ca="1">IFERROR(__xludf.DUMMYFUNCTION("""COMPUTED_VALUE"""),"Ribera, Antonio de")</f>
        <v>Ribera, Antonio de</v>
      </c>
      <c r="B6786" s="2">
        <f ca="1">IFERROR(__xludf.DUMMYFUNCTION("""COMPUTED_VALUE"""),1)</f>
        <v>1</v>
      </c>
      <c r="C6786" s="7">
        <f ca="1">IFERROR(__xludf.DUMMYFUNCTION("""COMPUTED_VALUE"""),1)</f>
        <v>1</v>
      </c>
      <c r="D6786" s="8">
        <f ca="1">IFERROR(__xludf.DUMMYFUNCTION("""COMPUTED_VALUE"""),5)</f>
        <v>5</v>
      </c>
      <c r="E6786" s="2">
        <f ca="1">IFERROR(__xludf.DUMMYFUNCTION("""COMPUTED_VALUE"""),2)</f>
        <v>2</v>
      </c>
    </row>
    <row r="6787" spans="1:5" ht="13">
      <c r="A6787" s="2" t="str">
        <f ca="1">IFERROR(__xludf.DUMMYFUNCTION("""COMPUTED_VALUE"""),"Ricciotti, Carlo")</f>
        <v>Ricciotti, Carlo</v>
      </c>
      <c r="B6787" s="3">
        <f ca="1">IFERROR(__xludf.DUMMYFUNCTION("""COMPUTED_VALUE"""),1)</f>
        <v>1</v>
      </c>
      <c r="C6787" s="7">
        <f ca="1">IFERROR(__xludf.DUMMYFUNCTION("""COMPUTED_VALUE"""),1)</f>
        <v>1</v>
      </c>
      <c r="D6787" s="8">
        <f ca="1">IFERROR(__xludf.DUMMYFUNCTION("""COMPUTED_VALUE"""),5)</f>
        <v>5</v>
      </c>
      <c r="E6787" s="2">
        <f ca="1">IFERROR(__xludf.DUMMYFUNCTION("""COMPUTED_VALUE"""),2)</f>
        <v>2</v>
      </c>
    </row>
    <row r="6788" spans="1:5" ht="13">
      <c r="A6788" s="8" t="str">
        <f ca="1">IFERROR(__xludf.DUMMYFUNCTION("""COMPUTED_VALUE"""),"Rice, Dwayne")</f>
        <v>Rice, Dwayne</v>
      </c>
      <c r="B6788" s="3">
        <f ca="1">IFERROR(__xludf.DUMMYFUNCTION("""COMPUTED_VALUE"""),1)</f>
        <v>1</v>
      </c>
      <c r="C6788" s="7">
        <f ca="1">IFERROR(__xludf.DUMMYFUNCTION("""COMPUTED_VALUE"""),1)</f>
        <v>1</v>
      </c>
      <c r="D6788" s="8">
        <f ca="1">IFERROR(__xludf.DUMMYFUNCTION("""COMPUTED_VALUE"""),1)</f>
        <v>1</v>
      </c>
      <c r="E6788" s="2">
        <f ca="1">IFERROR(__xludf.DUMMYFUNCTION("""COMPUTED_VALUE"""),1)</f>
        <v>1</v>
      </c>
    </row>
    <row r="6789" spans="1:5" ht="13">
      <c r="A6789" s="2" t="str">
        <f ca="1">IFERROR(__xludf.DUMMYFUNCTION("""COMPUTED_VALUE"""),"Rice, Martin")</f>
        <v>Rice, Martin</v>
      </c>
      <c r="B6789" s="3">
        <f ca="1">IFERROR(__xludf.DUMMYFUNCTION("""COMPUTED_VALUE"""),1)</f>
        <v>1</v>
      </c>
      <c r="C6789" s="7">
        <f ca="1">IFERROR(__xludf.DUMMYFUNCTION("""COMPUTED_VALUE"""),1)</f>
        <v>1</v>
      </c>
      <c r="D6789" s="8">
        <f ca="1">IFERROR(__xludf.DUMMYFUNCTION("""COMPUTED_VALUE"""),1)</f>
        <v>1</v>
      </c>
      <c r="E6789" s="2">
        <f ca="1">IFERROR(__xludf.DUMMYFUNCTION("""COMPUTED_VALUE"""),1)</f>
        <v>1</v>
      </c>
    </row>
    <row r="6790" spans="1:5" ht="13">
      <c r="A6790" s="2" t="str">
        <f ca="1">IFERROR(__xludf.DUMMYFUNCTION("""COMPUTED_VALUE"""),"Rich, William")</f>
        <v>Rich, William</v>
      </c>
      <c r="B6790" s="3">
        <f ca="1">IFERROR(__xludf.DUMMYFUNCTION("""COMPUTED_VALUE"""),1)</f>
        <v>1</v>
      </c>
      <c r="C6790" s="7">
        <f ca="1">IFERROR(__xludf.DUMMYFUNCTION("""COMPUTED_VALUE"""),1)</f>
        <v>1</v>
      </c>
      <c r="D6790" s="8">
        <f ca="1">IFERROR(__xludf.DUMMYFUNCTION("""COMPUTED_VALUE"""),1)</f>
        <v>1</v>
      </c>
      <c r="E6790" s="2">
        <f ca="1">IFERROR(__xludf.DUMMYFUNCTION("""COMPUTED_VALUE"""),1)</f>
        <v>1</v>
      </c>
    </row>
    <row r="6791" spans="1:5" ht="13">
      <c r="A6791" s="2" t="str">
        <f ca="1">IFERROR(__xludf.DUMMYFUNCTION("""COMPUTED_VALUE"""),"Richafort, Jean")</f>
        <v>Richafort, Jean</v>
      </c>
      <c r="B6791" s="3">
        <f ca="1">IFERROR(__xludf.DUMMYFUNCTION("""COMPUTED_VALUE"""),1)</f>
        <v>1</v>
      </c>
      <c r="C6791" s="7">
        <f ca="1">IFERROR(__xludf.DUMMYFUNCTION("""COMPUTED_VALUE"""),1)</f>
        <v>1</v>
      </c>
      <c r="D6791" s="8">
        <f ca="1">IFERROR(__xludf.DUMMYFUNCTION("""COMPUTED_VALUE"""),5)</f>
        <v>5</v>
      </c>
      <c r="E6791" s="2">
        <f ca="1">IFERROR(__xludf.DUMMYFUNCTION("""COMPUTED_VALUE"""),2)</f>
        <v>2</v>
      </c>
    </row>
    <row r="6792" spans="1:5" ht="13">
      <c r="A6792" s="2" t="str">
        <f ca="1">IFERROR(__xludf.DUMMYFUNCTION("""COMPUTED_VALUE"""),"Richard Rodgers and Lorenz Hart")</f>
        <v>Richard Rodgers and Lorenz Hart</v>
      </c>
      <c r="B6792" s="3">
        <f ca="1">IFERROR(__xludf.DUMMYFUNCTION("""COMPUTED_VALUE"""),1)</f>
        <v>1</v>
      </c>
      <c r="C6792" s="7">
        <f ca="1">IFERROR(__xludf.DUMMYFUNCTION("""COMPUTED_VALUE"""),1)</f>
        <v>1</v>
      </c>
      <c r="D6792" s="8">
        <f ca="1">IFERROR(__xludf.DUMMYFUNCTION("""COMPUTED_VALUE"""),5)</f>
        <v>5</v>
      </c>
      <c r="E6792" s="2">
        <f ca="1">IFERROR(__xludf.DUMMYFUNCTION("""COMPUTED_VALUE"""),2)</f>
        <v>2</v>
      </c>
    </row>
    <row r="6793" spans="1:5" ht="13">
      <c r="A6793" s="2" t="str">
        <f ca="1">IFERROR(__xludf.DUMMYFUNCTION("""COMPUTED_VALUE"""),"Richard, Derek")</f>
        <v>Richard, Derek</v>
      </c>
      <c r="B6793" s="3">
        <f ca="1">IFERROR(__xludf.DUMMYFUNCTION("""COMPUTED_VALUE"""),1)</f>
        <v>1</v>
      </c>
      <c r="C6793" s="7">
        <f ca="1">IFERROR(__xludf.DUMMYFUNCTION("""COMPUTED_VALUE"""),1)</f>
        <v>1</v>
      </c>
      <c r="D6793" s="8">
        <f ca="1">IFERROR(__xludf.DUMMYFUNCTION("""COMPUTED_VALUE"""),1)</f>
        <v>1</v>
      </c>
      <c r="E6793" s="2">
        <f ca="1">IFERROR(__xludf.DUMMYFUNCTION("""COMPUTED_VALUE"""),1)</f>
        <v>1</v>
      </c>
    </row>
    <row r="6794" spans="1:5" ht="13">
      <c r="A6794" s="2" t="str">
        <f ca="1">IFERROR(__xludf.DUMMYFUNCTION("""COMPUTED_VALUE"""),"Richard, Douglas")</f>
        <v>Richard, Douglas</v>
      </c>
      <c r="B6794" s="3">
        <f ca="1">IFERROR(__xludf.DUMMYFUNCTION("""COMPUTED_VALUE"""),1)</f>
        <v>1</v>
      </c>
      <c r="C6794" s="7">
        <f ca="1">IFERROR(__xludf.DUMMYFUNCTION("""COMPUTED_VALUE"""),1)</f>
        <v>1</v>
      </c>
      <c r="D6794" s="8">
        <f ca="1">IFERROR(__xludf.DUMMYFUNCTION("""COMPUTED_VALUE"""),1)</f>
        <v>1</v>
      </c>
      <c r="E6794" s="2">
        <f ca="1">IFERROR(__xludf.DUMMYFUNCTION("""COMPUTED_VALUE"""),1)</f>
        <v>1</v>
      </c>
    </row>
    <row r="6795" spans="1:5" ht="13">
      <c r="A6795" s="2" t="str">
        <f ca="1">IFERROR(__xludf.DUMMYFUNCTION("""COMPUTED_VALUE"""),"Richards, Callum")</f>
        <v>Richards, Callum</v>
      </c>
      <c r="B6795" s="3">
        <f ca="1">IFERROR(__xludf.DUMMYFUNCTION("""COMPUTED_VALUE"""),1)</f>
        <v>1</v>
      </c>
      <c r="C6795" s="7">
        <f ca="1">IFERROR(__xludf.DUMMYFUNCTION("""COMPUTED_VALUE"""),1)</f>
        <v>1</v>
      </c>
      <c r="D6795" s="8">
        <f ca="1">IFERROR(__xludf.DUMMYFUNCTION("""COMPUTED_VALUE"""),1)</f>
        <v>1</v>
      </c>
      <c r="E6795" s="2">
        <f ca="1">IFERROR(__xludf.DUMMYFUNCTION("""COMPUTED_VALUE"""),1)</f>
        <v>1</v>
      </c>
    </row>
    <row r="6796" spans="1:5" ht="13">
      <c r="A6796" s="2" t="str">
        <f ca="1">IFERROR(__xludf.DUMMYFUNCTION("""COMPUTED_VALUE"""),"Richards, Eric")</f>
        <v>Richards, Eric</v>
      </c>
      <c r="B6796" s="3">
        <f ca="1">IFERROR(__xludf.DUMMYFUNCTION("""COMPUTED_VALUE"""),1)</f>
        <v>1</v>
      </c>
      <c r="C6796" s="7">
        <f ca="1">IFERROR(__xludf.DUMMYFUNCTION("""COMPUTED_VALUE"""),1)</f>
        <v>1</v>
      </c>
      <c r="D6796" s="8">
        <f ca="1">IFERROR(__xludf.DUMMYFUNCTION("""COMPUTED_VALUE"""),1)</f>
        <v>1</v>
      </c>
      <c r="E6796" s="2">
        <f ca="1">IFERROR(__xludf.DUMMYFUNCTION("""COMPUTED_VALUE"""),1)</f>
        <v>1</v>
      </c>
    </row>
    <row r="6797" spans="1:5" ht="13">
      <c r="A6797" s="2" t="str">
        <f ca="1">IFERROR(__xludf.DUMMYFUNCTION("""COMPUTED_VALUE"""),"Richards, Goff")</f>
        <v>Richards, Goff</v>
      </c>
      <c r="B6797" s="3">
        <f ca="1">IFERROR(__xludf.DUMMYFUNCTION("""COMPUTED_VALUE"""),1)</f>
        <v>1</v>
      </c>
      <c r="C6797" s="7">
        <f ca="1">IFERROR(__xludf.DUMMYFUNCTION("""COMPUTED_VALUE"""),1)</f>
        <v>1</v>
      </c>
      <c r="D6797" s="8">
        <f ca="1">IFERROR(__xludf.DUMMYFUNCTION("""COMPUTED_VALUE"""),5)</f>
        <v>5</v>
      </c>
      <c r="E6797" s="2">
        <f ca="1">IFERROR(__xludf.DUMMYFUNCTION("""COMPUTED_VALUE"""),2)</f>
        <v>2</v>
      </c>
    </row>
    <row r="6798" spans="1:5" ht="13">
      <c r="A6798" s="2" t="str">
        <f ca="1">IFERROR(__xludf.DUMMYFUNCTION("""COMPUTED_VALUE"""),"Richards, J. J.")</f>
        <v>Richards, J. J.</v>
      </c>
      <c r="B6798" s="3">
        <f ca="1">IFERROR(__xludf.DUMMYFUNCTION("""COMPUTED_VALUE"""),1)</f>
        <v>1</v>
      </c>
      <c r="C6798" s="7">
        <f ca="1">IFERROR(__xludf.DUMMYFUNCTION("""COMPUTED_VALUE"""),1)</f>
        <v>1</v>
      </c>
      <c r="D6798" s="8">
        <f ca="1">IFERROR(__xludf.DUMMYFUNCTION("""COMPUTED_VALUE"""),5)</f>
        <v>5</v>
      </c>
      <c r="E6798" s="2">
        <f ca="1">IFERROR(__xludf.DUMMYFUNCTION("""COMPUTED_VALUE"""),2)</f>
        <v>2</v>
      </c>
    </row>
    <row r="6799" spans="1:5" ht="13">
      <c r="A6799" s="2" t="str">
        <f ca="1">IFERROR(__xludf.DUMMYFUNCTION("""COMPUTED_VALUE"""),"Richards, James")</f>
        <v>Richards, James</v>
      </c>
      <c r="B6799" s="2">
        <f ca="1">IFERROR(__xludf.DUMMYFUNCTION("""COMPUTED_VALUE"""),1)</f>
        <v>1</v>
      </c>
      <c r="C6799" s="2">
        <f ca="1">IFERROR(__xludf.DUMMYFUNCTION("""COMPUTED_VALUE"""),1)</f>
        <v>1</v>
      </c>
      <c r="D6799" s="8">
        <f ca="1">IFERROR(__xludf.DUMMYFUNCTION("""COMPUTED_VALUE"""),1)</f>
        <v>1</v>
      </c>
      <c r="E6799" s="2">
        <f ca="1">IFERROR(__xludf.DUMMYFUNCTION("""COMPUTED_VALUE"""),1)</f>
        <v>1</v>
      </c>
    </row>
    <row r="6800" spans="1:5" ht="13">
      <c r="A6800" s="2" t="str">
        <f ca="1">IFERROR(__xludf.DUMMYFUNCTION("""COMPUTED_VALUE"""),"Richards, Joseph John")</f>
        <v>Richards, Joseph John</v>
      </c>
      <c r="B6800" s="2">
        <f ca="1">IFERROR(__xludf.DUMMYFUNCTION("""COMPUTED_VALUE"""),1)</f>
        <v>1</v>
      </c>
      <c r="C6800" s="7">
        <f ca="1">IFERROR(__xludf.DUMMYFUNCTION("""COMPUTED_VALUE"""),1)</f>
        <v>1</v>
      </c>
      <c r="D6800" s="8">
        <f ca="1">IFERROR(__xludf.DUMMYFUNCTION("""COMPUTED_VALUE"""),5)</f>
        <v>5</v>
      </c>
      <c r="E6800" s="2">
        <f ca="1">IFERROR(__xludf.DUMMYFUNCTION("""COMPUTED_VALUE"""),2)</f>
        <v>2</v>
      </c>
    </row>
    <row r="6801" spans="1:5" ht="13">
      <c r="A6801" s="2" t="str">
        <f ca="1">IFERROR(__xludf.DUMMYFUNCTION("""COMPUTED_VALUE"""),"Richards, Paul")</f>
        <v>Richards, Paul</v>
      </c>
      <c r="B6801" s="3">
        <f ca="1">IFERROR(__xludf.DUMMYFUNCTION("""COMPUTED_VALUE"""),1)</f>
        <v>1</v>
      </c>
      <c r="C6801" s="7">
        <f ca="1">IFERROR(__xludf.DUMMYFUNCTION("""COMPUTED_VALUE"""),1)</f>
        <v>1</v>
      </c>
      <c r="D6801" s="8">
        <f ca="1">IFERROR(__xludf.DUMMYFUNCTION("""COMPUTED_VALUE"""),1)</f>
        <v>1</v>
      </c>
      <c r="E6801" s="2">
        <f ca="1">IFERROR(__xludf.DUMMYFUNCTION("""COMPUTED_VALUE"""),1)</f>
        <v>1</v>
      </c>
    </row>
    <row r="6802" spans="1:5" ht="13">
      <c r="A6802" s="8" t="str">
        <f ca="1">IFERROR(__xludf.DUMMYFUNCTION("""COMPUTED_VALUE"""),"Richards, Stephen")</f>
        <v>Richards, Stephen</v>
      </c>
      <c r="B6802" s="3">
        <f ca="1">IFERROR(__xludf.DUMMYFUNCTION("""COMPUTED_VALUE"""),1)</f>
        <v>1</v>
      </c>
      <c r="C6802" s="7">
        <f ca="1">IFERROR(__xludf.DUMMYFUNCTION("""COMPUTED_VALUE"""),1)</f>
        <v>1</v>
      </c>
      <c r="D6802" s="8">
        <f ca="1">IFERROR(__xludf.DUMMYFUNCTION("""COMPUTED_VALUE"""),1)</f>
        <v>1</v>
      </c>
      <c r="E6802" s="2">
        <f ca="1">IFERROR(__xludf.DUMMYFUNCTION("""COMPUTED_VALUE"""),1)</f>
        <v>1</v>
      </c>
    </row>
    <row r="6803" spans="1:5" ht="13">
      <c r="A6803" s="8" t="str">
        <f ca="1">IFERROR(__xludf.DUMMYFUNCTION("""COMPUTED_VALUE"""),"Richardson, Ferdinando")</f>
        <v>Richardson, Ferdinando</v>
      </c>
      <c r="B6803" s="3">
        <f ca="1">IFERROR(__xludf.DUMMYFUNCTION("""COMPUTED_VALUE"""),1)</f>
        <v>1</v>
      </c>
      <c r="C6803" s="7">
        <f ca="1">IFERROR(__xludf.DUMMYFUNCTION("""COMPUTED_VALUE"""),1)</f>
        <v>1</v>
      </c>
      <c r="D6803" s="8">
        <f ca="1">IFERROR(__xludf.DUMMYFUNCTION("""COMPUTED_VALUE"""),5)</f>
        <v>5</v>
      </c>
      <c r="E6803" s="2">
        <f ca="1">IFERROR(__xludf.DUMMYFUNCTION("""COMPUTED_VALUE"""),2)</f>
        <v>2</v>
      </c>
    </row>
    <row r="6804" spans="1:5" ht="13">
      <c r="A6804" s="8" t="str">
        <f ca="1">IFERROR(__xludf.DUMMYFUNCTION("""COMPUTED_VALUE"""),"Richardson, Michael")</f>
        <v>Richardson, Michael</v>
      </c>
      <c r="B6804" s="3">
        <f ca="1">IFERROR(__xludf.DUMMYFUNCTION("""COMPUTED_VALUE"""),1)</f>
        <v>1</v>
      </c>
      <c r="C6804" s="7">
        <f ca="1">IFERROR(__xludf.DUMMYFUNCTION("""COMPUTED_VALUE"""),1)</f>
        <v>1</v>
      </c>
      <c r="D6804" s="8">
        <f ca="1">IFERROR(__xludf.DUMMYFUNCTION("""COMPUTED_VALUE"""),1)</f>
        <v>1</v>
      </c>
      <c r="E6804" s="2">
        <f ca="1">IFERROR(__xludf.DUMMYFUNCTION("""COMPUTED_VALUE"""),1)</f>
        <v>1</v>
      </c>
    </row>
    <row r="6805" spans="1:5" ht="13">
      <c r="A6805" s="2" t="str">
        <f ca="1">IFERROR(__xludf.DUMMYFUNCTION("""COMPUTED_VALUE"""),"Richardson, Rex")</f>
        <v>Richardson, Rex</v>
      </c>
      <c r="B6805" s="3">
        <f ca="1">IFERROR(__xludf.DUMMYFUNCTION("""COMPUTED_VALUE"""),1)</f>
        <v>1</v>
      </c>
      <c r="C6805" s="7">
        <f ca="1">IFERROR(__xludf.DUMMYFUNCTION("""COMPUTED_VALUE"""),1)</f>
        <v>1</v>
      </c>
      <c r="D6805" s="8">
        <f ca="1">IFERROR(__xludf.DUMMYFUNCTION("""COMPUTED_VALUE"""),1)</f>
        <v>1</v>
      </c>
      <c r="E6805" s="2">
        <f ca="1">IFERROR(__xludf.DUMMYFUNCTION("""COMPUTED_VALUE"""),1)</f>
        <v>1</v>
      </c>
    </row>
    <row r="6806" spans="1:5" ht="13">
      <c r="A6806" s="2" t="str">
        <f ca="1">IFERROR(__xludf.DUMMYFUNCTION("""COMPUTED_VALUE"""),"Richardson, Sid")</f>
        <v>Richardson, Sid</v>
      </c>
      <c r="B6806" s="3">
        <f ca="1">IFERROR(__xludf.DUMMYFUNCTION("""COMPUTED_VALUE"""),1)</f>
        <v>1</v>
      </c>
      <c r="C6806" s="7">
        <f ca="1">IFERROR(__xludf.DUMMYFUNCTION("""COMPUTED_VALUE"""),1)</f>
        <v>1</v>
      </c>
      <c r="D6806" s="8">
        <f ca="1">IFERROR(__xludf.DUMMYFUNCTION("""COMPUTED_VALUE"""),1)</f>
        <v>1</v>
      </c>
      <c r="E6806" s="2">
        <f ca="1">IFERROR(__xludf.DUMMYFUNCTION("""COMPUTED_VALUE"""),1)</f>
        <v>1</v>
      </c>
    </row>
    <row r="6807" spans="1:5" ht="13">
      <c r="A6807" s="8" t="str">
        <f ca="1">IFERROR(__xludf.DUMMYFUNCTION("""COMPUTED_VALUE"""),"Richman, Lucas")</f>
        <v>Richman, Lucas</v>
      </c>
      <c r="B6807" s="3">
        <f ca="1">IFERROR(__xludf.DUMMYFUNCTION("""COMPUTED_VALUE"""),1)</f>
        <v>1</v>
      </c>
      <c r="C6807" s="7">
        <f ca="1">IFERROR(__xludf.DUMMYFUNCTION("""COMPUTED_VALUE"""),1)</f>
        <v>1</v>
      </c>
      <c r="D6807" s="8">
        <f ca="1">IFERROR(__xludf.DUMMYFUNCTION("""COMPUTED_VALUE"""),1)</f>
        <v>1</v>
      </c>
      <c r="E6807" s="2">
        <f ca="1">IFERROR(__xludf.DUMMYFUNCTION("""COMPUTED_VALUE"""),1)</f>
        <v>1</v>
      </c>
    </row>
    <row r="6808" spans="1:5" ht="13">
      <c r="A6808" s="2" t="str">
        <f ca="1">IFERROR(__xludf.DUMMYFUNCTION("""COMPUTED_VALUE"""),"Richter, Bernhard Friedrich")</f>
        <v>Richter, Bernhard Friedrich</v>
      </c>
      <c r="B6808" s="3">
        <f ca="1">IFERROR(__xludf.DUMMYFUNCTION("""COMPUTED_VALUE"""),1)</f>
        <v>1</v>
      </c>
      <c r="C6808" s="7">
        <f ca="1">IFERROR(__xludf.DUMMYFUNCTION("""COMPUTED_VALUE"""),1)</f>
        <v>1</v>
      </c>
      <c r="D6808" s="8">
        <f ca="1">IFERROR(__xludf.DUMMYFUNCTION("""COMPUTED_VALUE"""),5)</f>
        <v>5</v>
      </c>
      <c r="E6808" s="2">
        <f ca="1">IFERROR(__xludf.DUMMYFUNCTION("""COMPUTED_VALUE"""),2)</f>
        <v>2</v>
      </c>
    </row>
    <row r="6809" spans="1:5" ht="13">
      <c r="A6809" s="2" t="str">
        <f ca="1">IFERROR(__xludf.DUMMYFUNCTION("""COMPUTED_VALUE"""),"Richter, Franz Xaver")</f>
        <v>Richter, Franz Xaver</v>
      </c>
      <c r="B6809" s="2">
        <f ca="1">IFERROR(__xludf.DUMMYFUNCTION("""COMPUTED_VALUE"""),1)</f>
        <v>1</v>
      </c>
      <c r="C6809" s="7">
        <f ca="1">IFERROR(__xludf.DUMMYFUNCTION("""COMPUTED_VALUE"""),1)</f>
        <v>1</v>
      </c>
      <c r="D6809" s="8">
        <f ca="1">IFERROR(__xludf.DUMMYFUNCTION("""COMPUTED_VALUE"""),5)</f>
        <v>5</v>
      </c>
      <c r="E6809" s="2">
        <f ca="1">IFERROR(__xludf.DUMMYFUNCTION("""COMPUTED_VALUE"""),2)</f>
        <v>2</v>
      </c>
    </row>
    <row r="6810" spans="1:5" ht="13">
      <c r="A6810" s="2" t="str">
        <f ca="1">IFERROR(__xludf.DUMMYFUNCTION("""COMPUTED_VALUE"""),"Richter, Max")</f>
        <v>Richter, Max</v>
      </c>
      <c r="B6810" s="3">
        <f ca="1">IFERROR(__xludf.DUMMYFUNCTION("""COMPUTED_VALUE"""),1)</f>
        <v>1</v>
      </c>
      <c r="C6810" s="7">
        <f ca="1">IFERROR(__xludf.DUMMYFUNCTION("""COMPUTED_VALUE"""),1)</f>
        <v>1</v>
      </c>
      <c r="D6810" s="8">
        <f ca="1">IFERROR(__xludf.DUMMYFUNCTION("""COMPUTED_VALUE"""),1)</f>
        <v>1</v>
      </c>
      <c r="E6810" s="2">
        <f ca="1">IFERROR(__xludf.DUMMYFUNCTION("""COMPUTED_VALUE"""),1)</f>
        <v>1</v>
      </c>
    </row>
    <row r="6811" spans="1:5" ht="13">
      <c r="A6811" s="2" t="str">
        <f ca="1">IFERROR(__xludf.DUMMYFUNCTION("""COMPUTED_VALUE"""),"Richter, Willy")</f>
        <v>Richter, Willy</v>
      </c>
      <c r="B6811" s="3">
        <f ca="1">IFERROR(__xludf.DUMMYFUNCTION("""COMPUTED_VALUE"""),1)</f>
        <v>1</v>
      </c>
      <c r="C6811" s="7">
        <f ca="1">IFERROR(__xludf.DUMMYFUNCTION("""COMPUTED_VALUE"""),1)</f>
        <v>1</v>
      </c>
      <c r="D6811" s="8">
        <f ca="1">IFERROR(__xludf.DUMMYFUNCTION("""COMPUTED_VALUE"""),5)</f>
        <v>5</v>
      </c>
      <c r="E6811" s="2">
        <f ca="1">IFERROR(__xludf.DUMMYFUNCTION("""COMPUTED_VALUE"""),2)</f>
        <v>2</v>
      </c>
    </row>
    <row r="6812" spans="1:5" ht="13">
      <c r="A6812" s="2" t="str">
        <f ca="1">IFERROR(__xludf.DUMMYFUNCTION("""COMPUTED_VALUE"""),"Rickard, Jeffrey")</f>
        <v>Rickard, Jeffrey</v>
      </c>
      <c r="B6812" s="3">
        <f ca="1">IFERROR(__xludf.DUMMYFUNCTION("""COMPUTED_VALUE"""),1)</f>
        <v>1</v>
      </c>
      <c r="C6812" s="7">
        <f ca="1">IFERROR(__xludf.DUMMYFUNCTION("""COMPUTED_VALUE"""),1)</f>
        <v>1</v>
      </c>
      <c r="D6812" s="8">
        <f ca="1">IFERROR(__xludf.DUMMYFUNCTION("""COMPUTED_VALUE"""),1)</f>
        <v>1</v>
      </c>
      <c r="E6812" s="2">
        <f ca="1">IFERROR(__xludf.DUMMYFUNCTION("""COMPUTED_VALUE"""),1)</f>
        <v>1</v>
      </c>
    </row>
    <row r="6813" spans="1:5" ht="13">
      <c r="A6813" s="2" t="str">
        <f ca="1">IFERROR(__xludf.DUMMYFUNCTION("""COMPUTED_VALUE"""),"Rickard, Truman E.")</f>
        <v>Rickard, Truman E.</v>
      </c>
      <c r="B6813" s="3">
        <f ca="1">IFERROR(__xludf.DUMMYFUNCTION("""COMPUTED_VALUE"""),1)</f>
        <v>1</v>
      </c>
      <c r="C6813" s="7">
        <f ca="1">IFERROR(__xludf.DUMMYFUNCTION("""COMPUTED_VALUE"""),1)</f>
        <v>1</v>
      </c>
      <c r="D6813" s="8">
        <f ca="1">IFERROR(__xludf.DUMMYFUNCTION("""COMPUTED_VALUE"""),5)</f>
        <v>5</v>
      </c>
      <c r="E6813" s="2">
        <f ca="1">IFERROR(__xludf.DUMMYFUNCTION("""COMPUTED_VALUE"""),2)</f>
        <v>2</v>
      </c>
    </row>
    <row r="6814" spans="1:5" ht="13">
      <c r="A6814" s="2" t="str">
        <f ca="1">IFERROR(__xludf.DUMMYFUNCTION("""COMPUTED_VALUE"""),"Rickards, Steven")</f>
        <v>Rickards, Steven</v>
      </c>
      <c r="B6814" s="3">
        <f ca="1">IFERROR(__xludf.DUMMYFUNCTION("""COMPUTED_VALUE"""),1)</f>
        <v>1</v>
      </c>
      <c r="C6814" s="7">
        <f ca="1">IFERROR(__xludf.DUMMYFUNCTION("""COMPUTED_VALUE"""),1)</f>
        <v>1</v>
      </c>
      <c r="D6814" s="8">
        <f ca="1">IFERROR(__xludf.DUMMYFUNCTION("""COMPUTED_VALUE"""),1)</f>
        <v>1</v>
      </c>
      <c r="E6814" s="2">
        <f ca="1">IFERROR(__xludf.DUMMYFUNCTION("""COMPUTED_VALUE"""),1)</f>
        <v>1</v>
      </c>
    </row>
    <row r="6815" spans="1:5" ht="13">
      <c r="A6815" s="2" t="str">
        <f ca="1">IFERROR(__xludf.DUMMYFUNCTION("""COMPUTED_VALUE"""),"Ricker, Ramon L.")</f>
        <v>Ricker, Ramon L.</v>
      </c>
      <c r="B6815" s="3">
        <f ca="1">IFERROR(__xludf.DUMMYFUNCTION("""COMPUTED_VALUE"""),1)</f>
        <v>1</v>
      </c>
      <c r="C6815" s="7">
        <f ca="1">IFERROR(__xludf.DUMMYFUNCTION("""COMPUTED_VALUE"""),1)</f>
        <v>1</v>
      </c>
      <c r="D6815" s="8">
        <f ca="1">IFERROR(__xludf.DUMMYFUNCTION("""COMPUTED_VALUE"""),1)</f>
        <v>1</v>
      </c>
      <c r="E6815" s="2">
        <f ca="1">IFERROR(__xludf.DUMMYFUNCTION("""COMPUTED_VALUE"""),1)</f>
        <v>1</v>
      </c>
    </row>
    <row r="6816" spans="1:5" ht="13">
      <c r="A6816" s="2" t="str">
        <f ca="1">IFERROR(__xludf.DUMMYFUNCTION("""COMPUTED_VALUE"""),"Ricket, Ted")</f>
        <v>Ricket, Ted</v>
      </c>
      <c r="B6816" s="2">
        <f ca="1">IFERROR(__xludf.DUMMYFUNCTION("""COMPUTED_VALUE"""),1)</f>
        <v>1</v>
      </c>
      <c r="C6816" s="2">
        <f ca="1">IFERROR(__xludf.DUMMYFUNCTION("""COMPUTED_VALUE"""),1)</f>
        <v>1</v>
      </c>
      <c r="D6816" s="8">
        <f ca="1">IFERROR(__xludf.DUMMYFUNCTION("""COMPUTED_VALUE"""),1)</f>
        <v>1</v>
      </c>
      <c r="E6816" s="2">
        <f ca="1">IFERROR(__xludf.DUMMYFUNCTION("""COMPUTED_VALUE"""),1)</f>
        <v>1</v>
      </c>
    </row>
    <row r="6817" spans="1:5" ht="13">
      <c r="A6817" s="8" t="str">
        <f ca="1">IFERROR(__xludf.DUMMYFUNCTION("""COMPUTED_VALUE"""),"Ricketts, John")</f>
        <v>Ricketts, John</v>
      </c>
      <c r="B6817" s="3">
        <f ca="1">IFERROR(__xludf.DUMMYFUNCTION("""COMPUTED_VALUE"""),1)</f>
        <v>1</v>
      </c>
      <c r="C6817" s="7">
        <f ca="1">IFERROR(__xludf.DUMMYFUNCTION("""COMPUTED_VALUE"""),1)</f>
        <v>1</v>
      </c>
      <c r="D6817" s="8">
        <f ca="1">IFERROR(__xludf.DUMMYFUNCTION("""COMPUTED_VALUE"""),1)</f>
        <v>1</v>
      </c>
      <c r="E6817" s="2">
        <f ca="1">IFERROR(__xludf.DUMMYFUNCTION("""COMPUTED_VALUE"""),1)</f>
        <v>1</v>
      </c>
    </row>
    <row r="6818" spans="1:5" ht="13">
      <c r="A6818" s="2" t="str">
        <f ca="1">IFERROR(__xludf.DUMMYFUNCTION("""COMPUTED_VALUE"""),"Ricketts, Ted")</f>
        <v>Ricketts, Ted</v>
      </c>
      <c r="B6818" s="3">
        <f ca="1">IFERROR(__xludf.DUMMYFUNCTION("""COMPUTED_VALUE"""),1)</f>
        <v>1</v>
      </c>
      <c r="C6818" s="7">
        <f ca="1">IFERROR(__xludf.DUMMYFUNCTION("""COMPUTED_VALUE"""),1)</f>
        <v>1</v>
      </c>
      <c r="D6818" s="8">
        <f ca="1">IFERROR(__xludf.DUMMYFUNCTION("""COMPUTED_VALUE"""),1)</f>
        <v>1</v>
      </c>
      <c r="E6818" s="2">
        <f ca="1">IFERROR(__xludf.DUMMYFUNCTION("""COMPUTED_VALUE"""),1)</f>
        <v>1</v>
      </c>
    </row>
    <row r="6819" spans="1:5" ht="13">
      <c r="A6819" s="2" t="str">
        <f ca="1">IFERROR(__xludf.DUMMYFUNCTION("""COMPUTED_VALUE"""),"Ricotta, Chuck")</f>
        <v>Ricotta, Chuck</v>
      </c>
      <c r="B6819" s="3">
        <f ca="1">IFERROR(__xludf.DUMMYFUNCTION("""COMPUTED_VALUE"""),1)</f>
        <v>1</v>
      </c>
      <c r="C6819" s="7">
        <f ca="1">IFERROR(__xludf.DUMMYFUNCTION("""COMPUTED_VALUE"""),1)</f>
        <v>1</v>
      </c>
      <c r="D6819" s="8">
        <f ca="1">IFERROR(__xludf.DUMMYFUNCTION("""COMPUTED_VALUE"""),1)</f>
        <v>1</v>
      </c>
      <c r="E6819" s="2">
        <f ca="1">IFERROR(__xludf.DUMMYFUNCTION("""COMPUTED_VALUE"""),1)</f>
        <v>1</v>
      </c>
    </row>
    <row r="6820" spans="1:5" ht="13">
      <c r="A6820" s="2" t="str">
        <f ca="1">IFERROR(__xludf.DUMMYFUNCTION("""COMPUTED_VALUE"""),"Riddle, Nelson")</f>
        <v>Riddle, Nelson</v>
      </c>
      <c r="B6820" s="2">
        <f ca="1">IFERROR(__xludf.DUMMYFUNCTION("""COMPUTED_VALUE"""),1)</f>
        <v>1</v>
      </c>
      <c r="C6820" s="7">
        <f ca="1">IFERROR(__xludf.DUMMYFUNCTION("""COMPUTED_VALUE"""),1)</f>
        <v>1</v>
      </c>
      <c r="D6820" s="8">
        <f ca="1">IFERROR(__xludf.DUMMYFUNCTION("""COMPUTED_VALUE"""),5)</f>
        <v>5</v>
      </c>
      <c r="E6820" s="2">
        <f ca="1">IFERROR(__xludf.DUMMYFUNCTION("""COMPUTED_VALUE"""),2)</f>
        <v>2</v>
      </c>
    </row>
    <row r="6821" spans="1:5" ht="13">
      <c r="A6821" s="2" t="str">
        <f ca="1">IFERROR(__xludf.DUMMYFUNCTION("""COMPUTED_VALUE"""),"Ridenour")</f>
        <v>Ridenour</v>
      </c>
      <c r="B6821" s="3">
        <f ca="1">IFERROR(__xludf.DUMMYFUNCTION("""COMPUTED_VALUE"""),1)</f>
        <v>1</v>
      </c>
      <c r="C6821" s="7">
        <f ca="1">IFERROR(__xludf.DUMMYFUNCTION("""COMPUTED_VALUE"""),1)</f>
        <v>1</v>
      </c>
      <c r="D6821" s="8">
        <f ca="1">IFERROR(__xludf.DUMMYFUNCTION("""COMPUTED_VALUE"""),1)</f>
        <v>1</v>
      </c>
      <c r="E6821" s="2">
        <f ca="1">IFERROR(__xludf.DUMMYFUNCTION("""COMPUTED_VALUE"""),1)</f>
        <v>1</v>
      </c>
    </row>
    <row r="6822" spans="1:5" ht="13">
      <c r="A6822" s="2" t="str">
        <f ca="1">IFERROR(__xludf.DUMMYFUNCTION("""COMPUTED_VALUE"""),"Ridenour, Brandon")</f>
        <v>Ridenour, Brandon</v>
      </c>
      <c r="B6822" s="3">
        <f ca="1">IFERROR(__xludf.DUMMYFUNCTION("""COMPUTED_VALUE"""),1)</f>
        <v>1</v>
      </c>
      <c r="C6822" s="7">
        <f ca="1">IFERROR(__xludf.DUMMYFUNCTION("""COMPUTED_VALUE"""),1)</f>
        <v>1</v>
      </c>
      <c r="D6822" s="8">
        <f ca="1">IFERROR(__xludf.DUMMYFUNCTION("""COMPUTED_VALUE"""),1)</f>
        <v>1</v>
      </c>
      <c r="E6822" s="2">
        <f ca="1">IFERROR(__xludf.DUMMYFUNCTION("""COMPUTED_VALUE"""),1)</f>
        <v>1</v>
      </c>
    </row>
    <row r="6823" spans="1:5" ht="13">
      <c r="A6823" s="2" t="str">
        <f ca="1">IFERROR(__xludf.DUMMYFUNCTION("""COMPUTED_VALUE"""),"Ridenour, Joe")</f>
        <v>Ridenour, Joe</v>
      </c>
      <c r="B6823" s="3">
        <f ca="1">IFERROR(__xludf.DUMMYFUNCTION("""COMPUTED_VALUE"""),1)</f>
        <v>1</v>
      </c>
      <c r="C6823" s="7">
        <f ca="1">IFERROR(__xludf.DUMMYFUNCTION("""COMPUTED_VALUE"""),1)</f>
        <v>1</v>
      </c>
      <c r="D6823" s="8">
        <f ca="1">IFERROR(__xludf.DUMMYFUNCTION("""COMPUTED_VALUE"""),1)</f>
        <v>1</v>
      </c>
      <c r="E6823" s="2">
        <f ca="1">IFERROR(__xludf.DUMMYFUNCTION("""COMPUTED_VALUE"""),1)</f>
        <v>1</v>
      </c>
    </row>
    <row r="6824" spans="1:5" ht="13">
      <c r="A6824" s="2" t="str">
        <f ca="1">IFERROR(__xludf.DUMMYFUNCTION("""COMPUTED_VALUE"""),"Ridge, Matt")</f>
        <v>Ridge, Matt</v>
      </c>
      <c r="B6824" s="3">
        <f ca="1">IFERROR(__xludf.DUMMYFUNCTION("""COMPUTED_VALUE"""),1)</f>
        <v>1</v>
      </c>
      <c r="C6824" s="7">
        <f ca="1">IFERROR(__xludf.DUMMYFUNCTION("""COMPUTED_VALUE"""),1)</f>
        <v>1</v>
      </c>
      <c r="D6824" s="8">
        <f ca="1">IFERROR(__xludf.DUMMYFUNCTION("""COMPUTED_VALUE"""),5)</f>
        <v>5</v>
      </c>
      <c r="E6824" s="2">
        <f ca="1">IFERROR(__xludf.DUMMYFUNCTION("""COMPUTED_VALUE"""),2)</f>
        <v>2</v>
      </c>
    </row>
    <row r="6825" spans="1:5" ht="13">
      <c r="A6825" s="2" t="str">
        <f ca="1">IFERROR(__xludf.DUMMYFUNCTION("""COMPUTED_VALUE"""),"Ridout, Godfrey")</f>
        <v>Ridout, Godfrey</v>
      </c>
      <c r="B6825" s="3">
        <f ca="1">IFERROR(__xludf.DUMMYFUNCTION("""COMPUTED_VALUE"""),1)</f>
        <v>1</v>
      </c>
      <c r="C6825" s="7">
        <f ca="1">IFERROR(__xludf.DUMMYFUNCTION("""COMPUTED_VALUE"""),1)</f>
        <v>1</v>
      </c>
      <c r="D6825" s="8">
        <f ca="1">IFERROR(__xludf.DUMMYFUNCTION("""COMPUTED_VALUE"""),5)</f>
        <v>5</v>
      </c>
      <c r="E6825" s="2">
        <f ca="1">IFERROR(__xludf.DUMMYFUNCTION("""COMPUTED_VALUE"""),2)</f>
        <v>2</v>
      </c>
    </row>
    <row r="6826" spans="1:5" ht="13">
      <c r="A6826" s="2" t="str">
        <f ca="1">IFERROR(__xludf.DUMMYFUNCTION("""COMPUTED_VALUE"""),"Rieding, Oskar")</f>
        <v>Rieding, Oskar</v>
      </c>
      <c r="B6826" s="3">
        <f ca="1">IFERROR(__xludf.DUMMYFUNCTION("""COMPUTED_VALUE"""),1)</f>
        <v>1</v>
      </c>
      <c r="C6826" s="7">
        <f ca="1">IFERROR(__xludf.DUMMYFUNCTION("""COMPUTED_VALUE"""),1)</f>
        <v>1</v>
      </c>
      <c r="D6826" s="8">
        <f ca="1">IFERROR(__xludf.DUMMYFUNCTION("""COMPUTED_VALUE"""),5)</f>
        <v>5</v>
      </c>
      <c r="E6826" s="2">
        <f ca="1">IFERROR(__xludf.DUMMYFUNCTION("""COMPUTED_VALUE"""),2)</f>
        <v>2</v>
      </c>
    </row>
    <row r="6827" spans="1:5" ht="13">
      <c r="A6827" s="2" t="str">
        <f ca="1">IFERROR(__xludf.DUMMYFUNCTION("""COMPUTED_VALUE"""),"Rieger, Kyle")</f>
        <v>Rieger, Kyle</v>
      </c>
      <c r="B6827" s="2">
        <f ca="1">IFERROR(__xludf.DUMMYFUNCTION("""COMPUTED_VALUE"""),1)</f>
        <v>1</v>
      </c>
      <c r="C6827" s="7">
        <f ca="1">IFERROR(__xludf.DUMMYFUNCTION("""COMPUTED_VALUE"""),1)</f>
        <v>1</v>
      </c>
      <c r="D6827" s="8">
        <f ca="1">IFERROR(__xludf.DUMMYFUNCTION("""COMPUTED_VALUE"""),1)</f>
        <v>1</v>
      </c>
      <c r="E6827" s="2">
        <f ca="1">IFERROR(__xludf.DUMMYFUNCTION("""COMPUTED_VALUE"""),1)</f>
        <v>1</v>
      </c>
    </row>
    <row r="6828" spans="1:5" ht="13">
      <c r="A6828" s="2" t="str">
        <f ca="1">IFERROR(__xludf.DUMMYFUNCTION("""COMPUTED_VALUE"""),"Riegger, Wallingford")</f>
        <v>Riegger, Wallingford</v>
      </c>
      <c r="B6828" s="3">
        <f ca="1">IFERROR(__xludf.DUMMYFUNCTION("""COMPUTED_VALUE"""),1)</f>
        <v>1</v>
      </c>
      <c r="C6828" s="7">
        <f ca="1">IFERROR(__xludf.DUMMYFUNCTION("""COMPUTED_VALUE"""),1)</f>
        <v>1</v>
      </c>
      <c r="D6828" s="8">
        <f ca="1">IFERROR(__xludf.DUMMYFUNCTION("""COMPUTED_VALUE"""),5)</f>
        <v>5</v>
      </c>
      <c r="E6828" s="2">
        <f ca="1">IFERROR(__xludf.DUMMYFUNCTION("""COMPUTED_VALUE"""),2)</f>
        <v>2</v>
      </c>
    </row>
    <row r="6829" spans="1:5" ht="13">
      <c r="A6829" s="2" t="str">
        <f ca="1">IFERROR(__xludf.DUMMYFUNCTION("""COMPUTED_VALUE"""),"Riehle, Kevin")</f>
        <v>Riehle, Kevin</v>
      </c>
      <c r="B6829" s="3">
        <f ca="1">IFERROR(__xludf.DUMMYFUNCTION("""COMPUTED_VALUE"""),1)</f>
        <v>1</v>
      </c>
      <c r="C6829" s="7">
        <f ca="1">IFERROR(__xludf.DUMMYFUNCTION("""COMPUTED_VALUE"""),1)</f>
        <v>1</v>
      </c>
      <c r="D6829" s="8">
        <f ca="1">IFERROR(__xludf.DUMMYFUNCTION("""COMPUTED_VALUE"""),1)</f>
        <v>1</v>
      </c>
      <c r="E6829" s="2">
        <f ca="1">IFERROR(__xludf.DUMMYFUNCTION("""COMPUTED_VALUE"""),1)</f>
        <v>1</v>
      </c>
    </row>
    <row r="6830" spans="1:5" ht="13">
      <c r="A6830" s="2" t="str">
        <f ca="1">IFERROR(__xludf.DUMMYFUNCTION("""COMPUTED_VALUE"""),"Rieti, Vittorio")</f>
        <v>Rieti, Vittorio</v>
      </c>
      <c r="B6830" s="3">
        <f ca="1">IFERROR(__xludf.DUMMYFUNCTION("""COMPUTED_VALUE"""),1)</f>
        <v>1</v>
      </c>
      <c r="C6830" s="7">
        <f ca="1">IFERROR(__xludf.DUMMYFUNCTION("""COMPUTED_VALUE"""),1)</f>
        <v>1</v>
      </c>
      <c r="D6830" s="8">
        <f ca="1">IFERROR(__xludf.DUMMYFUNCTION("""COMPUTED_VALUE"""),5)</f>
        <v>5</v>
      </c>
      <c r="E6830" s="2">
        <f ca="1">IFERROR(__xludf.DUMMYFUNCTION("""COMPUTED_VALUE"""),2)</f>
        <v>2</v>
      </c>
    </row>
    <row r="6831" spans="1:5" ht="13">
      <c r="A6831" s="2" t="str">
        <f ca="1">IFERROR(__xludf.DUMMYFUNCTION("""COMPUTED_VALUE"""),"Rieu, André")</f>
        <v>Rieu, André</v>
      </c>
      <c r="B6831" s="2">
        <f ca="1">IFERROR(__xludf.DUMMYFUNCTION("""COMPUTED_VALUE"""),1)</f>
        <v>1</v>
      </c>
      <c r="C6831" s="2">
        <f ca="1">IFERROR(__xludf.DUMMYFUNCTION("""COMPUTED_VALUE"""),1)</f>
        <v>1</v>
      </c>
      <c r="D6831" s="8">
        <f ca="1">IFERROR(__xludf.DUMMYFUNCTION("""COMPUTED_VALUE"""),1)</f>
        <v>1</v>
      </c>
      <c r="E6831" s="2">
        <f ca="1">IFERROR(__xludf.DUMMYFUNCTION("""COMPUTED_VALUE"""),1)</f>
        <v>1</v>
      </c>
    </row>
    <row r="6832" spans="1:5" ht="13">
      <c r="A6832" s="2" t="str">
        <f ca="1">IFERROR(__xludf.DUMMYFUNCTION("""COMPUTED_VALUE"""),"Riffle, Jackson")</f>
        <v>Riffle, Jackson</v>
      </c>
      <c r="B6832" s="3">
        <f ca="1">IFERROR(__xludf.DUMMYFUNCTION("""COMPUTED_VALUE"""),1)</f>
        <v>1</v>
      </c>
      <c r="C6832" s="7">
        <f ca="1">IFERROR(__xludf.DUMMYFUNCTION("""COMPUTED_VALUE"""),1)</f>
        <v>1</v>
      </c>
      <c r="D6832" s="8">
        <f ca="1">IFERROR(__xludf.DUMMYFUNCTION("""COMPUTED_VALUE"""),1)</f>
        <v>1</v>
      </c>
      <c r="E6832" s="2">
        <f ca="1">IFERROR(__xludf.DUMMYFUNCTION("""COMPUTED_VALUE"""),1)</f>
        <v>1</v>
      </c>
    </row>
    <row r="6833" spans="1:5" ht="13">
      <c r="A6833" s="2" t="str">
        <f ca="1">IFERROR(__xludf.DUMMYFUNCTION("""COMPUTED_VALUE"""),"Rigby, Travis")</f>
        <v>Rigby, Travis</v>
      </c>
      <c r="B6833" s="3">
        <f ca="1">IFERROR(__xludf.DUMMYFUNCTION("""COMPUTED_VALUE"""),1)</f>
        <v>1</v>
      </c>
      <c r="C6833" s="7">
        <f ca="1">IFERROR(__xludf.DUMMYFUNCTION("""COMPUTED_VALUE"""),1)</f>
        <v>1</v>
      </c>
      <c r="D6833" s="8">
        <f ca="1">IFERROR(__xludf.DUMMYFUNCTION("""COMPUTED_VALUE"""),1)</f>
        <v>1</v>
      </c>
      <c r="E6833" s="2">
        <f ca="1">IFERROR(__xludf.DUMMYFUNCTION("""COMPUTED_VALUE"""),1)</f>
        <v>1</v>
      </c>
    </row>
    <row r="6834" spans="1:5" ht="13">
      <c r="A6834" s="2" t="str">
        <f ca="1">IFERROR(__xludf.DUMMYFUNCTION("""COMPUTED_VALUE"""),"Rigel, Henri-Joseph")</f>
        <v>Rigel, Henri-Joseph</v>
      </c>
      <c r="B6834" s="3">
        <f ca="1">IFERROR(__xludf.DUMMYFUNCTION("""COMPUTED_VALUE"""),1)</f>
        <v>1</v>
      </c>
      <c r="C6834" s="7">
        <f ca="1">IFERROR(__xludf.DUMMYFUNCTION("""COMPUTED_VALUE"""),1)</f>
        <v>1</v>
      </c>
      <c r="D6834" s="8">
        <f ca="1">IFERROR(__xludf.DUMMYFUNCTION("""COMPUTED_VALUE"""),5)</f>
        <v>5</v>
      </c>
      <c r="E6834" s="2">
        <f ca="1">IFERROR(__xludf.DUMMYFUNCTION("""COMPUTED_VALUE"""),2)</f>
        <v>2</v>
      </c>
    </row>
    <row r="6835" spans="1:5" ht="13">
      <c r="A6835" s="2" t="str">
        <f ca="1">IFERROR(__xludf.DUMMYFUNCTION("""COMPUTED_VALUE"""),"Rigg, Richard")</f>
        <v>Rigg, Richard</v>
      </c>
      <c r="B6835" s="3">
        <f ca="1">IFERROR(__xludf.DUMMYFUNCTION("""COMPUTED_VALUE"""),1)</f>
        <v>1</v>
      </c>
      <c r="C6835" s="7">
        <f ca="1">IFERROR(__xludf.DUMMYFUNCTION("""COMPUTED_VALUE"""),1)</f>
        <v>1</v>
      </c>
      <c r="D6835" s="8">
        <f ca="1">IFERROR(__xludf.DUMMYFUNCTION("""COMPUTED_VALUE"""),1)</f>
        <v>1</v>
      </c>
      <c r="E6835" s="2">
        <f ca="1">IFERROR(__xludf.DUMMYFUNCTION("""COMPUTED_VALUE"""),1)</f>
        <v>1</v>
      </c>
    </row>
    <row r="6836" spans="1:5" ht="13">
      <c r="A6836" s="2" t="str">
        <f ca="1">IFERROR(__xludf.DUMMYFUNCTION("""COMPUTED_VALUE"""),"Riggio, Paul")</f>
        <v>Riggio, Paul</v>
      </c>
      <c r="B6836" s="3">
        <f ca="1">IFERROR(__xludf.DUMMYFUNCTION("""COMPUTED_VALUE"""),1)</f>
        <v>1</v>
      </c>
      <c r="C6836" s="7">
        <f ca="1">IFERROR(__xludf.DUMMYFUNCTION("""COMPUTED_VALUE"""),1)</f>
        <v>1</v>
      </c>
      <c r="D6836" s="8">
        <f ca="1">IFERROR(__xludf.DUMMYFUNCTION("""COMPUTED_VALUE"""),1)</f>
        <v>1</v>
      </c>
      <c r="E6836" s="2">
        <f ca="1">IFERROR(__xludf.DUMMYFUNCTION("""COMPUTED_VALUE"""),1)</f>
        <v>1</v>
      </c>
    </row>
    <row r="6837" spans="1:5" ht="13">
      <c r="A6837" s="2" t="str">
        <f ca="1">IFERROR(__xludf.DUMMYFUNCTION("""COMPUTED_VALUE"""),"Riggs, Kenneth")</f>
        <v>Riggs, Kenneth</v>
      </c>
      <c r="B6837" s="3">
        <f ca="1">IFERROR(__xludf.DUMMYFUNCTION("""COMPUTED_VALUE"""),1)</f>
        <v>1</v>
      </c>
      <c r="C6837" s="7">
        <f ca="1">IFERROR(__xludf.DUMMYFUNCTION("""COMPUTED_VALUE"""),1)</f>
        <v>1</v>
      </c>
      <c r="D6837" s="8">
        <f ca="1">IFERROR(__xludf.DUMMYFUNCTION("""COMPUTED_VALUE"""),1)</f>
        <v>1</v>
      </c>
      <c r="E6837" s="2">
        <f ca="1">IFERROR(__xludf.DUMMYFUNCTION("""COMPUTED_VALUE"""),1)</f>
        <v>1</v>
      </c>
    </row>
    <row r="6838" spans="1:5" ht="13">
      <c r="A6838" s="2" t="str">
        <f ca="1">IFERROR(__xludf.DUMMYFUNCTION("""COMPUTED_VALUE"""),"Righter, Charles")</f>
        <v>Righter, Charles</v>
      </c>
      <c r="B6838" s="3">
        <f ca="1">IFERROR(__xludf.DUMMYFUNCTION("""COMPUTED_VALUE"""),1)</f>
        <v>1</v>
      </c>
      <c r="C6838" s="7">
        <f ca="1">IFERROR(__xludf.DUMMYFUNCTION("""COMPUTED_VALUE"""),1)</f>
        <v>1</v>
      </c>
      <c r="D6838" s="8">
        <f ca="1">IFERROR(__xludf.DUMMYFUNCTION("""COMPUTED_VALUE"""),5)</f>
        <v>5</v>
      </c>
      <c r="E6838" s="2">
        <f ca="1">IFERROR(__xludf.DUMMYFUNCTION("""COMPUTED_VALUE"""),2)</f>
        <v>2</v>
      </c>
    </row>
    <row r="6839" spans="1:5" ht="13">
      <c r="A6839" s="2" t="str">
        <f ca="1">IFERROR(__xludf.DUMMYFUNCTION("""COMPUTED_VALUE"""),"Rihm, Wolfgang")</f>
        <v>Rihm, Wolfgang</v>
      </c>
      <c r="B6839" s="3">
        <f ca="1">IFERROR(__xludf.DUMMYFUNCTION("""COMPUTED_VALUE"""),1)</f>
        <v>1</v>
      </c>
      <c r="C6839" s="7">
        <f ca="1">IFERROR(__xludf.DUMMYFUNCTION("""COMPUTED_VALUE"""),1)</f>
        <v>1</v>
      </c>
      <c r="D6839" s="8">
        <f ca="1">IFERROR(__xludf.DUMMYFUNCTION("""COMPUTED_VALUE"""),1)</f>
        <v>1</v>
      </c>
      <c r="E6839" s="2">
        <f ca="1">IFERROR(__xludf.DUMMYFUNCTION("""COMPUTED_VALUE"""),1)</f>
        <v>1</v>
      </c>
    </row>
    <row r="6840" spans="1:5" ht="13">
      <c r="A6840" s="2" t="str">
        <f ca="1">IFERROR(__xludf.DUMMYFUNCTION("""COMPUTED_VALUE"""),"Riisager, Knudage")</f>
        <v>Riisager, Knudage</v>
      </c>
      <c r="B6840" s="2">
        <f ca="1">IFERROR(__xludf.DUMMYFUNCTION("""COMPUTED_VALUE"""),1)</f>
        <v>1</v>
      </c>
      <c r="C6840" s="7">
        <f ca="1">IFERROR(__xludf.DUMMYFUNCTION("""COMPUTED_VALUE"""),1)</f>
        <v>1</v>
      </c>
      <c r="D6840" s="8">
        <f ca="1">IFERROR(__xludf.DUMMYFUNCTION("""COMPUTED_VALUE"""),5)</f>
        <v>5</v>
      </c>
      <c r="E6840" s="2">
        <f ca="1">IFERROR(__xludf.DUMMYFUNCTION("""COMPUTED_VALUE"""),2)</f>
        <v>2</v>
      </c>
    </row>
    <row r="6841" spans="1:5" ht="13">
      <c r="A6841" s="2" t="str">
        <f ca="1">IFERROR(__xludf.DUMMYFUNCTION("""COMPUTED_VALUE"""),"Riley, Dave")</f>
        <v>Riley, Dave</v>
      </c>
      <c r="B6841" s="3">
        <f ca="1">IFERROR(__xludf.DUMMYFUNCTION("""COMPUTED_VALUE"""),1)</f>
        <v>1</v>
      </c>
      <c r="C6841" s="7">
        <f ca="1">IFERROR(__xludf.DUMMYFUNCTION("""COMPUTED_VALUE"""),1)</f>
        <v>1</v>
      </c>
      <c r="D6841" s="8">
        <f ca="1">IFERROR(__xludf.DUMMYFUNCTION("""COMPUTED_VALUE"""),5)</f>
        <v>5</v>
      </c>
      <c r="E6841" s="2">
        <f ca="1">IFERROR(__xludf.DUMMYFUNCTION("""COMPUTED_VALUE"""),2)</f>
        <v>2</v>
      </c>
    </row>
    <row r="6842" spans="1:5" ht="13">
      <c r="A6842" s="2" t="str">
        <f ca="1">IFERROR(__xludf.DUMMYFUNCTION("""COMPUTED_VALUE"""),"Riley, Terry")</f>
        <v>Riley, Terry</v>
      </c>
      <c r="B6842" s="3">
        <f ca="1">IFERROR(__xludf.DUMMYFUNCTION("""COMPUTED_VALUE"""),1)</f>
        <v>1</v>
      </c>
      <c r="C6842" s="7">
        <f ca="1">IFERROR(__xludf.DUMMYFUNCTION("""COMPUTED_VALUE"""),1)</f>
        <v>1</v>
      </c>
      <c r="D6842" s="8">
        <f ca="1">IFERROR(__xludf.DUMMYFUNCTION("""COMPUTED_VALUE"""),1)</f>
        <v>1</v>
      </c>
      <c r="E6842" s="2">
        <f ca="1">IFERROR(__xludf.DUMMYFUNCTION("""COMPUTED_VALUE"""),1)</f>
        <v>1</v>
      </c>
    </row>
    <row r="6843" spans="1:5" ht="13">
      <c r="A6843" s="8" t="str">
        <f ca="1">IFERROR(__xludf.DUMMYFUNCTION("""COMPUTED_VALUE"""),"Rimelis, David")</f>
        <v>Rimelis, David</v>
      </c>
      <c r="B6843" s="2">
        <f ca="1">IFERROR(__xludf.DUMMYFUNCTION("""COMPUTED_VALUE"""),1)</f>
        <v>1</v>
      </c>
      <c r="C6843" s="2">
        <f ca="1">IFERROR(__xludf.DUMMYFUNCTION("""COMPUTED_VALUE"""),1)</f>
        <v>1</v>
      </c>
      <c r="D6843" s="8">
        <f ca="1">IFERROR(__xludf.DUMMYFUNCTION("""COMPUTED_VALUE"""),1)</f>
        <v>1</v>
      </c>
      <c r="E6843" s="2">
        <f ca="1">IFERROR(__xludf.DUMMYFUNCTION("""COMPUTED_VALUE"""),1)</f>
        <v>1</v>
      </c>
    </row>
    <row r="6844" spans="1:5" ht="13">
      <c r="A6844" s="2" t="str">
        <f ca="1">IFERROR(__xludf.DUMMYFUNCTION("""COMPUTED_VALUE"""),"Rimmer, William")</f>
        <v>Rimmer, William</v>
      </c>
      <c r="B6844" s="3">
        <f ca="1">IFERROR(__xludf.DUMMYFUNCTION("""COMPUTED_VALUE"""),1)</f>
        <v>1</v>
      </c>
      <c r="C6844" s="7">
        <f ca="1">IFERROR(__xludf.DUMMYFUNCTION("""COMPUTED_VALUE"""),1)</f>
        <v>1</v>
      </c>
      <c r="D6844" s="8">
        <f ca="1">IFERROR(__xludf.DUMMYFUNCTION("""COMPUTED_VALUE"""),5)</f>
        <v>5</v>
      </c>
      <c r="E6844" s="2">
        <f ca="1">IFERROR(__xludf.DUMMYFUNCTION("""COMPUTED_VALUE"""),2)</f>
        <v>2</v>
      </c>
    </row>
    <row r="6845" spans="1:5" ht="13">
      <c r="A6845" s="2" t="str">
        <f ca="1">IFERROR(__xludf.DUMMYFUNCTION("""COMPUTED_VALUE"""),"Rimsa, Linas")</f>
        <v>Rimsa, Linas</v>
      </c>
      <c r="B6845" s="3">
        <f ca="1">IFERROR(__xludf.DUMMYFUNCTION("""COMPUTED_VALUE"""),1)</f>
        <v>1</v>
      </c>
      <c r="C6845" s="7">
        <f ca="1">IFERROR(__xludf.DUMMYFUNCTION("""COMPUTED_VALUE"""),1)</f>
        <v>1</v>
      </c>
      <c r="D6845" s="8">
        <f ca="1">IFERROR(__xludf.DUMMYFUNCTION("""COMPUTED_VALUE"""),1)</f>
        <v>1</v>
      </c>
      <c r="E6845" s="2">
        <f ca="1">IFERROR(__xludf.DUMMYFUNCTION("""COMPUTED_VALUE"""),1)</f>
        <v>1</v>
      </c>
    </row>
    <row r="6846" spans="1:5" ht="13">
      <c r="A6846" s="2" t="str">
        <f ca="1">IFERROR(__xludf.DUMMYFUNCTION("""COMPUTED_VALUE"""),"Rimsky-Korsakov, Nikolay")</f>
        <v>Rimsky-Korsakov, Nikolay</v>
      </c>
      <c r="B6846" s="3">
        <f ca="1">IFERROR(__xludf.DUMMYFUNCTION("""COMPUTED_VALUE"""),1)</f>
        <v>1</v>
      </c>
      <c r="C6846" s="7">
        <f ca="1">IFERROR(__xludf.DUMMYFUNCTION("""COMPUTED_VALUE"""),1)</f>
        <v>1</v>
      </c>
      <c r="D6846" s="8">
        <f ca="1">IFERROR(__xludf.DUMMYFUNCTION("""COMPUTED_VALUE"""),5)</f>
        <v>5</v>
      </c>
      <c r="E6846" s="2">
        <f ca="1">IFERROR(__xludf.DUMMYFUNCTION("""COMPUTED_VALUE"""),2)</f>
        <v>2</v>
      </c>
    </row>
    <row r="6847" spans="1:5" ht="13">
      <c r="A6847" s="2" t="str">
        <f ca="1">IFERROR(__xludf.DUMMYFUNCTION("""COMPUTED_VALUE"""),"Rindfleisch, Andrew")</f>
        <v>Rindfleisch, Andrew</v>
      </c>
      <c r="B6847" s="3">
        <f ca="1">IFERROR(__xludf.DUMMYFUNCTION("""COMPUTED_VALUE"""),1)</f>
        <v>1</v>
      </c>
      <c r="C6847" s="7">
        <f ca="1">IFERROR(__xludf.DUMMYFUNCTION("""COMPUTED_VALUE"""),1)</f>
        <v>1</v>
      </c>
      <c r="D6847" s="8">
        <f ca="1">IFERROR(__xludf.DUMMYFUNCTION("""COMPUTED_VALUE"""),1)</f>
        <v>1</v>
      </c>
      <c r="E6847" s="2">
        <f ca="1">IFERROR(__xludf.DUMMYFUNCTION("""COMPUTED_VALUE"""),1)</f>
        <v>1</v>
      </c>
    </row>
    <row r="6848" spans="1:5" ht="13">
      <c r="A6848" s="2" t="str">
        <f ca="1">IFERROR(__xludf.DUMMYFUNCTION("""COMPUTED_VALUE"""),"Ring, Gordon")</f>
        <v>Ring, Gordon</v>
      </c>
      <c r="B6848" s="3">
        <f ca="1">IFERROR(__xludf.DUMMYFUNCTION("""COMPUTED_VALUE"""),1)</f>
        <v>1</v>
      </c>
      <c r="C6848" s="7">
        <f ca="1">IFERROR(__xludf.DUMMYFUNCTION("""COMPUTED_VALUE"""),1)</f>
        <v>1</v>
      </c>
      <c r="D6848" s="8">
        <f ca="1">IFERROR(__xludf.DUMMYFUNCTION("""COMPUTED_VALUE"""),1)</f>
        <v>1</v>
      </c>
      <c r="E6848" s="2">
        <f ca="1">IFERROR(__xludf.DUMMYFUNCTION("""COMPUTED_VALUE"""),1)</f>
        <v>1</v>
      </c>
    </row>
    <row r="6849" spans="1:5" ht="13">
      <c r="A6849" s="2" t="str">
        <f ca="1">IFERROR(__xludf.DUMMYFUNCTION("""COMPUTED_VALUE"""),"Ringwald, Roy")</f>
        <v>Ringwald, Roy</v>
      </c>
      <c r="B6849" s="3">
        <f ca="1">IFERROR(__xludf.DUMMYFUNCTION("""COMPUTED_VALUE"""),1)</f>
        <v>1</v>
      </c>
      <c r="C6849" s="7">
        <f ca="1">IFERROR(__xludf.DUMMYFUNCTION("""COMPUTED_VALUE"""),1)</f>
        <v>1</v>
      </c>
      <c r="D6849" s="8">
        <f ca="1">IFERROR(__xludf.DUMMYFUNCTION("""COMPUTED_VALUE"""),5)</f>
        <v>5</v>
      </c>
      <c r="E6849" s="2">
        <f ca="1">IFERROR(__xludf.DUMMYFUNCTION("""COMPUTED_VALUE"""),2)</f>
        <v>2</v>
      </c>
    </row>
    <row r="6850" spans="1:5" ht="13">
      <c r="A6850" s="2" t="str">
        <f ca="1">IFERROR(__xludf.DUMMYFUNCTION("""COMPUTED_VALUE"""),"Rinker, Alton")</f>
        <v>Rinker, Alton</v>
      </c>
      <c r="B6850" s="3">
        <f ca="1">IFERROR(__xludf.DUMMYFUNCTION("""COMPUTED_VALUE"""),1)</f>
        <v>1</v>
      </c>
      <c r="C6850" s="7">
        <f ca="1">IFERROR(__xludf.DUMMYFUNCTION("""COMPUTED_VALUE"""),1)</f>
        <v>1</v>
      </c>
      <c r="D6850" s="8">
        <f ca="1">IFERROR(__xludf.DUMMYFUNCTION("""COMPUTED_VALUE"""),1)</f>
        <v>1</v>
      </c>
      <c r="E6850" s="2">
        <f ca="1">IFERROR(__xludf.DUMMYFUNCTION("""COMPUTED_VALUE"""),1)</f>
        <v>1</v>
      </c>
    </row>
    <row r="6851" spans="1:5" ht="13">
      <c r="A6851" s="2" t="str">
        <f ca="1">IFERROR(__xludf.DUMMYFUNCTION("""COMPUTED_VALUE"""),"Ripley, James")</f>
        <v>Ripley, James</v>
      </c>
      <c r="B6851" s="3">
        <f ca="1">IFERROR(__xludf.DUMMYFUNCTION("""COMPUTED_VALUE"""),1)</f>
        <v>1</v>
      </c>
      <c r="C6851" s="7">
        <f ca="1">IFERROR(__xludf.DUMMYFUNCTION("""COMPUTED_VALUE"""),1)</f>
        <v>1</v>
      </c>
      <c r="D6851" s="8">
        <f ca="1">IFERROR(__xludf.DUMMYFUNCTION("""COMPUTED_VALUE"""),1)</f>
        <v>1</v>
      </c>
      <c r="E6851" s="2">
        <f ca="1">IFERROR(__xludf.DUMMYFUNCTION("""COMPUTED_VALUE"""),1)</f>
        <v>1</v>
      </c>
    </row>
    <row r="6852" spans="1:5" ht="13">
      <c r="A6852" s="2" t="str">
        <f ca="1">IFERROR(__xludf.DUMMYFUNCTION("""COMPUTED_VALUE"""),"Rist, Josh")</f>
        <v>Rist, Josh</v>
      </c>
      <c r="B6852" s="2">
        <f ca="1">IFERROR(__xludf.DUMMYFUNCTION("""COMPUTED_VALUE"""),1)</f>
        <v>1</v>
      </c>
      <c r="C6852" s="7">
        <f ca="1">IFERROR(__xludf.DUMMYFUNCTION("""COMPUTED_VALUE"""),1)</f>
        <v>1</v>
      </c>
      <c r="D6852" s="8">
        <f ca="1">IFERROR(__xludf.DUMMYFUNCTION("""COMPUTED_VALUE"""),1)</f>
        <v>1</v>
      </c>
      <c r="E6852" s="2">
        <f ca="1">IFERROR(__xludf.DUMMYFUNCTION("""COMPUTED_VALUE"""),1)</f>
        <v>1</v>
      </c>
    </row>
    <row r="6853" spans="1:5" ht="13">
      <c r="A6853" s="2" t="str">
        <f ca="1">IFERROR(__xludf.DUMMYFUNCTION("""COMPUTED_VALUE"""),"Rist, Joshua")</f>
        <v>Rist, Joshua</v>
      </c>
      <c r="B6853" s="2">
        <f ca="1">IFERROR(__xludf.DUMMYFUNCTION("""COMPUTED_VALUE"""),1)</f>
        <v>1</v>
      </c>
      <c r="C6853" s="7">
        <f ca="1">IFERROR(__xludf.DUMMYFUNCTION("""COMPUTED_VALUE"""),1)</f>
        <v>1</v>
      </c>
      <c r="D6853" s="8">
        <f ca="1">IFERROR(__xludf.DUMMYFUNCTION("""COMPUTED_VALUE"""),1)</f>
        <v>1</v>
      </c>
      <c r="E6853" s="2">
        <f ca="1">IFERROR(__xludf.DUMMYFUNCTION("""COMPUTED_VALUE"""),1)</f>
        <v>1</v>
      </c>
    </row>
    <row r="6854" spans="1:5" ht="13">
      <c r="A6854" s="2" t="str">
        <f ca="1">IFERROR(__xludf.DUMMYFUNCTION("""COMPUTED_VALUE"""),"Ritter, Reinhold")</f>
        <v>Ritter, Reinhold</v>
      </c>
      <c r="B6854" s="2">
        <f ca="1">IFERROR(__xludf.DUMMYFUNCTION("""COMPUTED_VALUE"""),1)</f>
        <v>1</v>
      </c>
      <c r="C6854" s="7">
        <f ca="1">IFERROR(__xludf.DUMMYFUNCTION("""COMPUTED_VALUE"""),1)</f>
        <v>1</v>
      </c>
      <c r="D6854" s="8">
        <f ca="1">IFERROR(__xludf.DUMMYFUNCTION("""COMPUTED_VALUE"""),5)</f>
        <v>5</v>
      </c>
      <c r="E6854" s="2">
        <f ca="1">IFERROR(__xludf.DUMMYFUNCTION("""COMPUTED_VALUE"""),2)</f>
        <v>2</v>
      </c>
    </row>
    <row r="6855" spans="1:5" ht="13">
      <c r="A6855" s="2" t="str">
        <f ca="1">IFERROR(__xludf.DUMMYFUNCTION("""COMPUTED_VALUE"""),"Rittler, Philipp Jakob")</f>
        <v>Rittler, Philipp Jakob</v>
      </c>
      <c r="B6855" s="3">
        <f ca="1">IFERROR(__xludf.DUMMYFUNCTION("""COMPUTED_VALUE"""),1)</f>
        <v>1</v>
      </c>
      <c r="C6855" s="7">
        <f ca="1">IFERROR(__xludf.DUMMYFUNCTION("""COMPUTED_VALUE"""),1)</f>
        <v>1</v>
      </c>
      <c r="D6855" s="8">
        <f ca="1">IFERROR(__xludf.DUMMYFUNCTION("""COMPUTED_VALUE"""),5)</f>
        <v>5</v>
      </c>
      <c r="E6855" s="2">
        <f ca="1">IFERROR(__xludf.DUMMYFUNCTION("""COMPUTED_VALUE"""),2)</f>
        <v>2</v>
      </c>
    </row>
    <row r="6856" spans="1:5" ht="13">
      <c r="A6856" s="2" t="str">
        <f ca="1">IFERROR(__xludf.DUMMYFUNCTION("""COMPUTED_VALUE"""),"Rivaflecha, Martin de")</f>
        <v>Rivaflecha, Martin de</v>
      </c>
      <c r="B6856" s="3">
        <f ca="1">IFERROR(__xludf.DUMMYFUNCTION("""COMPUTED_VALUE"""),1)</f>
        <v>1</v>
      </c>
      <c r="C6856" s="7">
        <f ca="1">IFERROR(__xludf.DUMMYFUNCTION("""COMPUTED_VALUE"""),1)</f>
        <v>1</v>
      </c>
      <c r="D6856" s="8">
        <f ca="1">IFERROR(__xludf.DUMMYFUNCTION("""COMPUTED_VALUE"""),5)</f>
        <v>5</v>
      </c>
      <c r="E6856" s="2">
        <f ca="1">IFERROR(__xludf.DUMMYFUNCTION("""COMPUTED_VALUE"""),2)</f>
        <v>2</v>
      </c>
    </row>
    <row r="6857" spans="1:5" ht="13">
      <c r="A6857" s="2" t="str">
        <f ca="1">IFERROR(__xludf.DUMMYFUNCTION("""COMPUTED_VALUE"""),"Rival, Robert")</f>
        <v>Rival, Robert</v>
      </c>
      <c r="B6857" s="3">
        <f ca="1">IFERROR(__xludf.DUMMYFUNCTION("""COMPUTED_VALUE"""),1)</f>
        <v>1</v>
      </c>
      <c r="C6857" s="7">
        <f ca="1">IFERROR(__xludf.DUMMYFUNCTION("""COMPUTED_VALUE"""),1)</f>
        <v>1</v>
      </c>
      <c r="D6857" s="8">
        <f ca="1">IFERROR(__xludf.DUMMYFUNCTION("""COMPUTED_VALUE"""),1)</f>
        <v>1</v>
      </c>
      <c r="E6857" s="2">
        <f ca="1">IFERROR(__xludf.DUMMYFUNCTION("""COMPUTED_VALUE"""),1)</f>
        <v>1</v>
      </c>
    </row>
    <row r="6858" spans="1:5" ht="13">
      <c r="A6858" s="2" t="str">
        <f ca="1">IFERROR(__xludf.DUMMYFUNCTION("""COMPUTED_VALUE"""),"Rivela, Emilio")</f>
        <v>Rivela, Emilio</v>
      </c>
      <c r="B6858" s="3">
        <f ca="1">IFERROR(__xludf.DUMMYFUNCTION("""COMPUTED_VALUE"""),1)</f>
        <v>1</v>
      </c>
      <c r="C6858" s="7">
        <f ca="1">IFERROR(__xludf.DUMMYFUNCTION("""COMPUTED_VALUE"""),1)</f>
        <v>1</v>
      </c>
      <c r="D6858" s="8">
        <f ca="1">IFERROR(__xludf.DUMMYFUNCTION("""COMPUTED_VALUE"""),5)</f>
        <v>5</v>
      </c>
      <c r="E6858" s="2">
        <f ca="1">IFERROR(__xludf.DUMMYFUNCTION("""COMPUTED_VALUE"""),2)</f>
        <v>2</v>
      </c>
    </row>
    <row r="6859" spans="1:5" ht="13">
      <c r="A6859" s="2" t="str">
        <f ca="1">IFERROR(__xludf.DUMMYFUNCTION("""COMPUTED_VALUE"""),"Rivello, Dave")</f>
        <v>Rivello, Dave</v>
      </c>
      <c r="B6859" s="3">
        <f ca="1">IFERROR(__xludf.DUMMYFUNCTION("""COMPUTED_VALUE"""),1)</f>
        <v>1</v>
      </c>
      <c r="C6859" s="7">
        <f ca="1">IFERROR(__xludf.DUMMYFUNCTION("""COMPUTED_VALUE"""),1)</f>
        <v>1</v>
      </c>
      <c r="D6859" s="8">
        <f ca="1">IFERROR(__xludf.DUMMYFUNCTION("""COMPUTED_VALUE"""),1)</f>
        <v>1</v>
      </c>
      <c r="E6859" s="2">
        <f ca="1">IFERROR(__xludf.DUMMYFUNCTION("""COMPUTED_VALUE"""),1)</f>
        <v>1</v>
      </c>
    </row>
    <row r="6860" spans="1:5" ht="13">
      <c r="A6860" s="2" t="str">
        <f ca="1">IFERROR(__xludf.DUMMYFUNCTION("""COMPUTED_VALUE"""),"Rizayev, Valeriy")</f>
        <v>Rizayev, Valeriy</v>
      </c>
      <c r="B6860" s="3">
        <f ca="1">IFERROR(__xludf.DUMMYFUNCTION("""COMPUTED_VALUE"""),1)</f>
        <v>1</v>
      </c>
      <c r="C6860" s="7">
        <f ca="1">IFERROR(__xludf.DUMMYFUNCTION("""COMPUTED_VALUE"""),1)</f>
        <v>1</v>
      </c>
      <c r="D6860" s="8">
        <f ca="1">IFERROR(__xludf.DUMMYFUNCTION("""COMPUTED_VALUE"""),1)</f>
        <v>1</v>
      </c>
      <c r="E6860" s="2">
        <f ca="1">IFERROR(__xludf.DUMMYFUNCTION("""COMPUTED_VALUE"""),1)</f>
        <v>1</v>
      </c>
    </row>
    <row r="6861" spans="1:5" ht="13">
      <c r="A6861" s="2" t="str">
        <f ca="1">IFERROR(__xludf.DUMMYFUNCTION("""COMPUTED_VALUE"""),"Rizzo, Jacques")</f>
        <v>Rizzo, Jacques</v>
      </c>
      <c r="B6861" s="3">
        <f ca="1">IFERROR(__xludf.DUMMYFUNCTION("""COMPUTED_VALUE"""),1)</f>
        <v>1</v>
      </c>
      <c r="C6861" s="7">
        <f ca="1">IFERROR(__xludf.DUMMYFUNCTION("""COMPUTED_VALUE"""),1)</f>
        <v>1</v>
      </c>
      <c r="D6861" s="8">
        <f ca="1">IFERROR(__xludf.DUMMYFUNCTION("""COMPUTED_VALUE"""),1)</f>
        <v>1</v>
      </c>
      <c r="E6861" s="2">
        <f ca="1">IFERROR(__xludf.DUMMYFUNCTION("""COMPUTED_VALUE"""),1)</f>
        <v>1</v>
      </c>
    </row>
    <row r="6862" spans="1:5" ht="13">
      <c r="A6862" s="2" t="str">
        <f ca="1">IFERROR(__xludf.DUMMYFUNCTION("""COMPUTED_VALUE"""),"Roach, George F.")</f>
        <v>Roach, George F.</v>
      </c>
      <c r="B6862" s="3">
        <f ca="1">IFERROR(__xludf.DUMMYFUNCTION("""COMPUTED_VALUE"""),1)</f>
        <v>1</v>
      </c>
      <c r="C6862" s="7">
        <f ca="1">IFERROR(__xludf.DUMMYFUNCTION("""COMPUTED_VALUE"""),1)</f>
        <v>1</v>
      </c>
      <c r="D6862" s="8">
        <f ca="1">IFERROR(__xludf.DUMMYFUNCTION("""COMPUTED_VALUE"""),5)</f>
        <v>5</v>
      </c>
      <c r="E6862" s="2">
        <f ca="1">IFERROR(__xludf.DUMMYFUNCTION("""COMPUTED_VALUE"""),2)</f>
        <v>2</v>
      </c>
    </row>
    <row r="6863" spans="1:5" ht="13">
      <c r="A6863" s="2" t="str">
        <f ca="1">IFERROR(__xludf.DUMMYFUNCTION("""COMPUTED_VALUE"""),"Robb, Peter")</f>
        <v>Robb, Peter</v>
      </c>
      <c r="B6863" s="3">
        <f ca="1">IFERROR(__xludf.DUMMYFUNCTION("""COMPUTED_VALUE"""),1)</f>
        <v>1</v>
      </c>
      <c r="C6863" s="7">
        <f ca="1">IFERROR(__xludf.DUMMYFUNCTION("""COMPUTED_VALUE"""),1)</f>
        <v>1</v>
      </c>
      <c r="D6863" s="8">
        <f ca="1">IFERROR(__xludf.DUMMYFUNCTION("""COMPUTED_VALUE"""),1)</f>
        <v>1</v>
      </c>
      <c r="E6863" s="2">
        <f ca="1">IFERROR(__xludf.DUMMYFUNCTION("""COMPUTED_VALUE"""),1)</f>
        <v>1</v>
      </c>
    </row>
    <row r="6864" spans="1:5" ht="13">
      <c r="A6864" s="8" t="str">
        <f ca="1">IFERROR(__xludf.DUMMYFUNCTION("""COMPUTED_VALUE"""),"Roberton, Hugh")</f>
        <v>Roberton, Hugh</v>
      </c>
      <c r="B6864" s="3">
        <f ca="1">IFERROR(__xludf.DUMMYFUNCTION("""COMPUTED_VALUE"""),1)</f>
        <v>1</v>
      </c>
      <c r="C6864" s="7">
        <f ca="1">IFERROR(__xludf.DUMMYFUNCTION("""COMPUTED_VALUE"""),1)</f>
        <v>1</v>
      </c>
      <c r="D6864" s="8">
        <f ca="1">IFERROR(__xludf.DUMMYFUNCTION("""COMPUTED_VALUE"""),5)</f>
        <v>5</v>
      </c>
      <c r="E6864" s="2">
        <f ca="1">IFERROR(__xludf.DUMMYFUNCTION("""COMPUTED_VALUE"""),2)</f>
        <v>2</v>
      </c>
    </row>
    <row r="6865" spans="1:5" ht="13">
      <c r="A6865" s="2" t="str">
        <f ca="1">IFERROR(__xludf.DUMMYFUNCTION("""COMPUTED_VALUE"""),"Roberts, Aldwyn ""Lord Kitchener""")</f>
        <v>Roberts, Aldwyn "Lord Kitchener"</v>
      </c>
      <c r="B6865" s="3">
        <f ca="1">IFERROR(__xludf.DUMMYFUNCTION("""COMPUTED_VALUE"""),1)</f>
        <v>1</v>
      </c>
      <c r="C6865" s="7">
        <f ca="1">IFERROR(__xludf.DUMMYFUNCTION("""COMPUTED_VALUE"""),1)</f>
        <v>1</v>
      </c>
      <c r="D6865" s="8">
        <f ca="1">IFERROR(__xludf.DUMMYFUNCTION("""COMPUTED_VALUE"""),5)</f>
        <v>5</v>
      </c>
      <c r="E6865" s="2">
        <f ca="1">IFERROR(__xludf.DUMMYFUNCTION("""COMPUTED_VALUE"""),2)</f>
        <v>2</v>
      </c>
    </row>
    <row r="6866" spans="1:5" ht="13">
      <c r="A6866" s="2" t="str">
        <f ca="1">IFERROR(__xludf.DUMMYFUNCTION("""COMPUTED_VALUE"""),"Roberts, Charles J.")</f>
        <v>Roberts, Charles J.</v>
      </c>
      <c r="B6866" s="3">
        <f ca="1">IFERROR(__xludf.DUMMYFUNCTION("""COMPUTED_VALUE"""),1)</f>
        <v>1</v>
      </c>
      <c r="C6866" s="7">
        <f ca="1">IFERROR(__xludf.DUMMYFUNCTION("""COMPUTED_VALUE"""),1)</f>
        <v>1</v>
      </c>
      <c r="D6866" s="8">
        <f ca="1">IFERROR(__xludf.DUMMYFUNCTION("""COMPUTED_VALUE"""),5)</f>
        <v>5</v>
      </c>
      <c r="E6866" s="2">
        <f ca="1">IFERROR(__xludf.DUMMYFUNCTION("""COMPUTED_VALUE"""),2)</f>
        <v>2</v>
      </c>
    </row>
    <row r="6867" spans="1:5" ht="13">
      <c r="A6867" s="2" t="str">
        <f ca="1">IFERROR(__xludf.DUMMYFUNCTION("""COMPUTED_VALUE"""),"Roberts, Howard A.")</f>
        <v>Roberts, Howard A.</v>
      </c>
      <c r="B6867" s="3">
        <f ca="1">IFERROR(__xludf.DUMMYFUNCTION("""COMPUTED_VALUE"""),1)</f>
        <v>1</v>
      </c>
      <c r="C6867" s="7">
        <f ca="1">IFERROR(__xludf.DUMMYFUNCTION("""COMPUTED_VALUE"""),1)</f>
        <v>1</v>
      </c>
      <c r="D6867" s="8">
        <f ca="1">IFERROR(__xludf.DUMMYFUNCTION("""COMPUTED_VALUE"""),5)</f>
        <v>5</v>
      </c>
      <c r="E6867" s="2">
        <f ca="1">IFERROR(__xludf.DUMMYFUNCTION("""COMPUTED_VALUE"""),2)</f>
        <v>2</v>
      </c>
    </row>
    <row r="6868" spans="1:5" ht="13">
      <c r="A6868" s="2" t="str">
        <f ca="1">IFERROR(__xludf.DUMMYFUNCTION("""COMPUTED_VALUE"""),"Roberts, Raymond")</f>
        <v>Roberts, Raymond</v>
      </c>
      <c r="B6868" s="3">
        <f ca="1">IFERROR(__xludf.DUMMYFUNCTION("""COMPUTED_VALUE"""),1)</f>
        <v>1</v>
      </c>
      <c r="C6868" s="7">
        <f ca="1">IFERROR(__xludf.DUMMYFUNCTION("""COMPUTED_VALUE"""),1)</f>
        <v>1</v>
      </c>
      <c r="D6868" s="8">
        <f ca="1">IFERROR(__xludf.DUMMYFUNCTION("""COMPUTED_VALUE"""),1)</f>
        <v>1</v>
      </c>
      <c r="E6868" s="2">
        <f ca="1">IFERROR(__xludf.DUMMYFUNCTION("""COMPUTED_VALUE"""),1)</f>
        <v>1</v>
      </c>
    </row>
    <row r="6869" spans="1:5" ht="13">
      <c r="A6869" s="2" t="str">
        <f ca="1">IFERROR(__xludf.DUMMYFUNCTION("""COMPUTED_VALUE"""),"Roberts, Wilfred")</f>
        <v>Roberts, Wilfred</v>
      </c>
      <c r="B6869" s="3">
        <f ca="1">IFERROR(__xludf.DUMMYFUNCTION("""COMPUTED_VALUE"""),1)</f>
        <v>1</v>
      </c>
      <c r="C6869" s="7">
        <f ca="1">IFERROR(__xludf.DUMMYFUNCTION("""COMPUTED_VALUE"""),1)</f>
        <v>1</v>
      </c>
      <c r="D6869" s="8">
        <f ca="1">IFERROR(__xludf.DUMMYFUNCTION("""COMPUTED_VALUE"""),1)</f>
        <v>1</v>
      </c>
      <c r="E6869" s="2">
        <f ca="1">IFERROR(__xludf.DUMMYFUNCTION("""COMPUTED_VALUE"""),1)</f>
        <v>1</v>
      </c>
    </row>
    <row r="6870" spans="1:5" ht="13">
      <c r="A6870" s="2" t="str">
        <f ca="1">IFERROR(__xludf.DUMMYFUNCTION("""COMPUTED_VALUE"""),"Robertson, David")</f>
        <v>Robertson, David</v>
      </c>
      <c r="B6870" s="3">
        <f ca="1">IFERROR(__xludf.DUMMYFUNCTION("""COMPUTED_VALUE"""),1)</f>
        <v>1</v>
      </c>
      <c r="C6870" s="7">
        <f ca="1">IFERROR(__xludf.DUMMYFUNCTION("""COMPUTED_VALUE"""),1)</f>
        <v>1</v>
      </c>
      <c r="D6870" s="8">
        <f ca="1">IFERROR(__xludf.DUMMYFUNCTION("""COMPUTED_VALUE"""),1)</f>
        <v>1</v>
      </c>
      <c r="E6870" s="2">
        <f ca="1">IFERROR(__xludf.DUMMYFUNCTION("""COMPUTED_VALUE"""),1)</f>
        <v>1</v>
      </c>
    </row>
    <row r="6871" spans="1:5" ht="13">
      <c r="A6871" s="2" t="str">
        <f ca="1">IFERROR(__xludf.DUMMYFUNCTION("""COMPUTED_VALUE"""),"Robertson, Ed")</f>
        <v>Robertson, Ed</v>
      </c>
      <c r="B6871" s="3">
        <f ca="1">IFERROR(__xludf.DUMMYFUNCTION("""COMPUTED_VALUE"""),1)</f>
        <v>1</v>
      </c>
      <c r="C6871" s="7">
        <f ca="1">IFERROR(__xludf.DUMMYFUNCTION("""COMPUTED_VALUE"""),1)</f>
        <v>1</v>
      </c>
      <c r="D6871" s="8">
        <f ca="1">IFERROR(__xludf.DUMMYFUNCTION("""COMPUTED_VALUE"""),1)</f>
        <v>1</v>
      </c>
      <c r="E6871" s="2">
        <f ca="1">IFERROR(__xludf.DUMMYFUNCTION("""COMPUTED_VALUE"""),1)</f>
        <v>1</v>
      </c>
    </row>
    <row r="6872" spans="1:5" ht="13">
      <c r="A6872" s="8" t="str">
        <f ca="1">IFERROR(__xludf.DUMMYFUNCTION("""COMPUTED_VALUE"""),"Robertson, Edwin")</f>
        <v>Robertson, Edwin</v>
      </c>
      <c r="B6872" s="3">
        <f ca="1">IFERROR(__xludf.DUMMYFUNCTION("""COMPUTED_VALUE"""),1)</f>
        <v>1</v>
      </c>
      <c r="C6872" s="7">
        <f ca="1">IFERROR(__xludf.DUMMYFUNCTION("""COMPUTED_VALUE"""),1)</f>
        <v>1</v>
      </c>
      <c r="D6872" s="8">
        <f ca="1">IFERROR(__xludf.DUMMYFUNCTION("""COMPUTED_VALUE"""),1)</f>
        <v>1</v>
      </c>
      <c r="E6872" s="2">
        <f ca="1">IFERROR(__xludf.DUMMYFUNCTION("""COMPUTED_VALUE"""),1)</f>
        <v>1</v>
      </c>
    </row>
    <row r="6873" spans="1:5" ht="13">
      <c r="A6873" s="2" t="str">
        <f ca="1">IFERROR(__xludf.DUMMYFUNCTION("""COMPUTED_VALUE"""),"Robertson, John")</f>
        <v>Robertson, John</v>
      </c>
      <c r="B6873" s="3">
        <f ca="1">IFERROR(__xludf.DUMMYFUNCTION("""COMPUTED_VALUE"""),1)</f>
        <v>1</v>
      </c>
      <c r="C6873" s="7">
        <f ca="1">IFERROR(__xludf.DUMMYFUNCTION("""COMPUTED_VALUE"""),1)</f>
        <v>1</v>
      </c>
      <c r="D6873" s="8">
        <f ca="1">IFERROR(__xludf.DUMMYFUNCTION("""COMPUTED_VALUE"""),5)</f>
        <v>5</v>
      </c>
      <c r="E6873" s="2">
        <f ca="1">IFERROR(__xludf.DUMMYFUNCTION("""COMPUTED_VALUE"""),2)</f>
        <v>2</v>
      </c>
    </row>
    <row r="6874" spans="1:5" ht="13">
      <c r="A6874" s="8" t="str">
        <f ca="1">IFERROR(__xludf.DUMMYFUNCTION("""COMPUTED_VALUE"""),"Robertson, Leroy")</f>
        <v>Robertson, Leroy</v>
      </c>
      <c r="B6874" s="3">
        <f ca="1">IFERROR(__xludf.DUMMYFUNCTION("""COMPUTED_VALUE"""),1)</f>
        <v>1</v>
      </c>
      <c r="C6874" s="7">
        <f ca="1">IFERROR(__xludf.DUMMYFUNCTION("""COMPUTED_VALUE"""),1)</f>
        <v>1</v>
      </c>
      <c r="D6874" s="8">
        <f ca="1">IFERROR(__xludf.DUMMYFUNCTION("""COMPUTED_VALUE"""),1)</f>
        <v>1</v>
      </c>
      <c r="E6874" s="2">
        <f ca="1">IFERROR(__xludf.DUMMYFUNCTION("""COMPUTED_VALUE"""),1)</f>
        <v>1</v>
      </c>
    </row>
    <row r="6875" spans="1:5" ht="13">
      <c r="A6875" s="8" t="str">
        <f ca="1">IFERROR(__xludf.DUMMYFUNCTION("""COMPUTED_VALUE"""),"Robertson, Robbie")</f>
        <v>Robertson, Robbie</v>
      </c>
      <c r="B6875" s="3">
        <f ca="1">IFERROR(__xludf.DUMMYFUNCTION("""COMPUTED_VALUE"""),1)</f>
        <v>1</v>
      </c>
      <c r="C6875" s="7">
        <f ca="1">IFERROR(__xludf.DUMMYFUNCTION("""COMPUTED_VALUE"""),1)</f>
        <v>1</v>
      </c>
      <c r="D6875" s="8">
        <f ca="1">IFERROR(__xludf.DUMMYFUNCTION("""COMPUTED_VALUE"""),5)</f>
        <v>5</v>
      </c>
      <c r="E6875" s="2">
        <f ca="1">IFERROR(__xludf.DUMMYFUNCTION("""COMPUTED_VALUE"""),2)</f>
        <v>2</v>
      </c>
    </row>
    <row r="6876" spans="1:5" ht="13">
      <c r="A6876" s="2" t="str">
        <f ca="1">IFERROR(__xludf.DUMMYFUNCTION("""COMPUTED_VALUE"""),"Robertson, Troy")</f>
        <v>Robertson, Troy</v>
      </c>
      <c r="B6876" s="3">
        <f ca="1">IFERROR(__xludf.DUMMYFUNCTION("""COMPUTED_VALUE"""),1)</f>
        <v>1</v>
      </c>
      <c r="C6876" s="7">
        <f ca="1">IFERROR(__xludf.DUMMYFUNCTION("""COMPUTED_VALUE"""),1)</f>
        <v>1</v>
      </c>
      <c r="D6876" s="8">
        <f ca="1">IFERROR(__xludf.DUMMYFUNCTION("""COMPUTED_VALUE"""),1)</f>
        <v>1</v>
      </c>
      <c r="E6876" s="2">
        <f ca="1">IFERROR(__xludf.DUMMYFUNCTION("""COMPUTED_VALUE"""),1)</f>
        <v>1</v>
      </c>
    </row>
    <row r="6877" spans="1:5" ht="13">
      <c r="A6877" s="2" t="str">
        <f ca="1">IFERROR(__xludf.DUMMYFUNCTION("""COMPUTED_VALUE"""),"Robertson, Troy D.")</f>
        <v>Robertson, Troy D.</v>
      </c>
      <c r="B6877" s="3">
        <f ca="1">IFERROR(__xludf.DUMMYFUNCTION("""COMPUTED_VALUE"""),1)</f>
        <v>1</v>
      </c>
      <c r="C6877" s="7">
        <f ca="1">IFERROR(__xludf.DUMMYFUNCTION("""COMPUTED_VALUE"""),1)</f>
        <v>1</v>
      </c>
      <c r="D6877" s="8">
        <f ca="1">IFERROR(__xludf.DUMMYFUNCTION("""COMPUTED_VALUE"""),1)</f>
        <v>1</v>
      </c>
      <c r="E6877" s="2">
        <f ca="1">IFERROR(__xludf.DUMMYFUNCTION("""COMPUTED_VALUE"""),1)</f>
        <v>1</v>
      </c>
    </row>
    <row r="6878" spans="1:5" ht="13">
      <c r="A6878" s="2" t="str">
        <f ca="1">IFERROR(__xludf.DUMMYFUNCTION("""COMPUTED_VALUE"""),"Robichaux, Ben")</f>
        <v>Robichaux, Ben</v>
      </c>
      <c r="B6878" s="3">
        <f ca="1">IFERROR(__xludf.DUMMYFUNCTION("""COMPUTED_VALUE"""),1)</f>
        <v>1</v>
      </c>
      <c r="C6878" s="7">
        <f ca="1">IFERROR(__xludf.DUMMYFUNCTION("""COMPUTED_VALUE"""),1)</f>
        <v>1</v>
      </c>
      <c r="D6878" s="8">
        <f ca="1">IFERROR(__xludf.DUMMYFUNCTION("""COMPUTED_VALUE"""),1)</f>
        <v>1</v>
      </c>
      <c r="E6878" s="2">
        <f ca="1">IFERROR(__xludf.DUMMYFUNCTION("""COMPUTED_VALUE"""),1)</f>
        <v>1</v>
      </c>
    </row>
    <row r="6879" spans="1:5" ht="13">
      <c r="A6879" s="2" t="str">
        <f ca="1">IFERROR(__xludf.DUMMYFUNCTION("""COMPUTED_VALUE"""),"Robin, Leo / Whiting, Richard A.")</f>
        <v>Robin, Leo / Whiting, Richard A.</v>
      </c>
      <c r="B6879" s="2">
        <f ca="1">IFERROR(__xludf.DUMMYFUNCTION("""COMPUTED_VALUE"""),1)</f>
        <v>1</v>
      </c>
      <c r="C6879" s="7">
        <f ca="1">IFERROR(__xludf.DUMMYFUNCTION("""COMPUTED_VALUE"""),1)</f>
        <v>1</v>
      </c>
      <c r="D6879" s="8">
        <f ca="1">IFERROR(__xludf.DUMMYFUNCTION("""COMPUTED_VALUE"""),5)</f>
        <v>5</v>
      </c>
      <c r="E6879" s="2">
        <f ca="1">IFERROR(__xludf.DUMMYFUNCTION("""COMPUTED_VALUE"""),2)</f>
        <v>2</v>
      </c>
    </row>
    <row r="6880" spans="1:5" ht="13">
      <c r="A6880" s="2" t="str">
        <f ca="1">IFERROR(__xludf.DUMMYFUNCTION("""COMPUTED_VALUE"""),"Robinovitch, Sid")</f>
        <v>Robinovitch, Sid</v>
      </c>
      <c r="B6880" s="2">
        <f ca="1">IFERROR(__xludf.DUMMYFUNCTION("""COMPUTED_VALUE"""),1)</f>
        <v>1</v>
      </c>
      <c r="C6880" s="7">
        <f ca="1">IFERROR(__xludf.DUMMYFUNCTION("""COMPUTED_VALUE"""),1)</f>
        <v>1</v>
      </c>
      <c r="D6880" s="8">
        <f ca="1">IFERROR(__xludf.DUMMYFUNCTION("""COMPUTED_VALUE"""),1)</f>
        <v>1</v>
      </c>
      <c r="E6880" s="2">
        <f ca="1">IFERROR(__xludf.DUMMYFUNCTION("""COMPUTED_VALUE"""),1)</f>
        <v>1</v>
      </c>
    </row>
    <row r="6881" spans="1:5" ht="13">
      <c r="A6881" s="2" t="str">
        <f ca="1">IFERROR(__xludf.DUMMYFUNCTION("""COMPUTED_VALUE"""),"Robinson, Davis")</f>
        <v>Robinson, Davis</v>
      </c>
      <c r="B6881" s="3">
        <f ca="1">IFERROR(__xludf.DUMMYFUNCTION("""COMPUTED_VALUE"""),1)</f>
        <v>1</v>
      </c>
      <c r="C6881" s="7">
        <f ca="1">IFERROR(__xludf.DUMMYFUNCTION("""COMPUTED_VALUE"""),1)</f>
        <v>1</v>
      </c>
      <c r="D6881" s="8">
        <f ca="1">IFERROR(__xludf.DUMMYFUNCTION("""COMPUTED_VALUE"""),1)</f>
        <v>1</v>
      </c>
      <c r="E6881" s="2">
        <f ca="1">IFERROR(__xludf.DUMMYFUNCTION("""COMPUTED_VALUE"""),1)</f>
        <v>1</v>
      </c>
    </row>
    <row r="6882" spans="1:5" ht="13">
      <c r="A6882" s="2" t="str">
        <f ca="1">IFERROR(__xludf.DUMMYFUNCTION("""COMPUTED_VALUE"""),"Robinson, Earl")</f>
        <v>Robinson, Earl</v>
      </c>
      <c r="B6882" s="2">
        <f ca="1">IFERROR(__xludf.DUMMYFUNCTION("""COMPUTED_VALUE"""),1)</f>
        <v>1</v>
      </c>
      <c r="C6882" s="7">
        <f ca="1">IFERROR(__xludf.DUMMYFUNCTION("""COMPUTED_VALUE"""),1)</f>
        <v>1</v>
      </c>
      <c r="D6882" s="8">
        <f ca="1">IFERROR(__xludf.DUMMYFUNCTION("""COMPUTED_VALUE"""),5)</f>
        <v>5</v>
      </c>
      <c r="E6882" s="2">
        <f ca="1">IFERROR(__xludf.DUMMYFUNCTION("""COMPUTED_VALUE"""),2)</f>
        <v>2</v>
      </c>
    </row>
    <row r="6883" spans="1:5" ht="13">
      <c r="A6883" s="8" t="str">
        <f ca="1">IFERROR(__xludf.DUMMYFUNCTION("""COMPUTED_VALUE"""),"Robinson, Russell")</f>
        <v>Robinson, Russell</v>
      </c>
      <c r="B6883" s="3">
        <f ca="1">IFERROR(__xludf.DUMMYFUNCTION("""COMPUTED_VALUE"""),1)</f>
        <v>1</v>
      </c>
      <c r="C6883" s="7">
        <f ca="1">IFERROR(__xludf.DUMMYFUNCTION("""COMPUTED_VALUE"""),1)</f>
        <v>1</v>
      </c>
      <c r="D6883" s="8">
        <f ca="1">IFERROR(__xludf.DUMMYFUNCTION("""COMPUTED_VALUE"""),1)</f>
        <v>1</v>
      </c>
      <c r="E6883" s="2">
        <f ca="1">IFERROR(__xludf.DUMMYFUNCTION("""COMPUTED_VALUE"""),1)</f>
        <v>1</v>
      </c>
    </row>
    <row r="6884" spans="1:5" ht="13">
      <c r="A6884" s="2" t="str">
        <f ca="1">IFERROR(__xludf.DUMMYFUNCTION("""COMPUTED_VALUE"""),"Robinson, Wayne")</f>
        <v>Robinson, Wayne</v>
      </c>
      <c r="B6884" s="3">
        <f ca="1">IFERROR(__xludf.DUMMYFUNCTION("""COMPUTED_VALUE"""),1)</f>
        <v>1</v>
      </c>
      <c r="C6884" s="7">
        <f ca="1">IFERROR(__xludf.DUMMYFUNCTION("""COMPUTED_VALUE"""),1)</f>
        <v>1</v>
      </c>
      <c r="D6884" s="8">
        <f ca="1">IFERROR(__xludf.DUMMYFUNCTION("""COMPUTED_VALUE"""),5)</f>
        <v>5</v>
      </c>
      <c r="E6884" s="2">
        <f ca="1">IFERROR(__xludf.DUMMYFUNCTION("""COMPUTED_VALUE"""),2)</f>
        <v>2</v>
      </c>
    </row>
    <row r="6885" spans="1:5" ht="13">
      <c r="A6885" s="2" t="str">
        <f ca="1">IFERROR(__xludf.DUMMYFUNCTION("""COMPUTED_VALUE"""),"Robinson, Willard / Shand, Terry")</f>
        <v>Robinson, Willard / Shand, Terry</v>
      </c>
      <c r="B6885" s="3">
        <f ca="1">IFERROR(__xludf.DUMMYFUNCTION("""COMPUTED_VALUE"""),1)</f>
        <v>1</v>
      </c>
      <c r="C6885" s="7">
        <f ca="1">IFERROR(__xludf.DUMMYFUNCTION("""COMPUTED_VALUE"""),1)</f>
        <v>1</v>
      </c>
      <c r="D6885" s="8">
        <f ca="1">IFERROR(__xludf.DUMMYFUNCTION("""COMPUTED_VALUE"""),1)</f>
        <v>1</v>
      </c>
      <c r="E6885" s="2">
        <f ca="1">IFERROR(__xludf.DUMMYFUNCTION("""COMPUTED_VALUE"""),1)</f>
        <v>1</v>
      </c>
    </row>
    <row r="6886" spans="1:5" ht="13">
      <c r="A6886" s="2" t="str">
        <f ca="1">IFERROR(__xludf.DUMMYFUNCTION("""COMPUTED_VALUE"""),"Rocca, D.J.")</f>
        <v>Rocca, D.J.</v>
      </c>
      <c r="B6886" s="2">
        <f ca="1">IFERROR(__xludf.DUMMYFUNCTION("""COMPUTED_VALUE"""),1)</f>
        <v>1</v>
      </c>
      <c r="C6886" s="7">
        <f ca="1">IFERROR(__xludf.DUMMYFUNCTION("""COMPUTED_VALUE"""),1)</f>
        <v>1</v>
      </c>
      <c r="D6886" s="8">
        <f ca="1">IFERROR(__xludf.DUMMYFUNCTION("""COMPUTED_VALUE"""),1)</f>
        <v>1</v>
      </c>
      <c r="E6886" s="2">
        <f ca="1">IFERROR(__xludf.DUMMYFUNCTION("""COMPUTED_VALUE"""),1)</f>
        <v>1</v>
      </c>
    </row>
    <row r="6887" spans="1:5" ht="13">
      <c r="A6887" s="2" t="str">
        <f ca="1">IFERROR(__xludf.DUMMYFUNCTION("""COMPUTED_VALUE"""),"Rochberg, George")</f>
        <v>Rochberg, George</v>
      </c>
      <c r="B6887" s="3">
        <f ca="1">IFERROR(__xludf.DUMMYFUNCTION("""COMPUTED_VALUE"""),1)</f>
        <v>1</v>
      </c>
      <c r="C6887" s="7">
        <f ca="1">IFERROR(__xludf.DUMMYFUNCTION("""COMPUTED_VALUE"""),1)</f>
        <v>1</v>
      </c>
      <c r="D6887" s="8">
        <f ca="1">IFERROR(__xludf.DUMMYFUNCTION("""COMPUTED_VALUE"""),5)</f>
        <v>5</v>
      </c>
      <c r="E6887" s="2">
        <f ca="1">IFERROR(__xludf.DUMMYFUNCTION("""COMPUTED_VALUE"""),2)</f>
        <v>2</v>
      </c>
    </row>
    <row r="6888" spans="1:5" ht="13">
      <c r="A6888" s="2" t="str">
        <f ca="1">IFERROR(__xludf.DUMMYFUNCTION("""COMPUTED_VALUE"""),"Rockwell, Bruce")</f>
        <v>Rockwell, Bruce</v>
      </c>
      <c r="B6888" s="3">
        <f ca="1">IFERROR(__xludf.DUMMYFUNCTION("""COMPUTED_VALUE"""),1)</f>
        <v>1</v>
      </c>
      <c r="C6888" s="7">
        <f ca="1">IFERROR(__xludf.DUMMYFUNCTION("""COMPUTED_VALUE"""),1)</f>
        <v>1</v>
      </c>
      <c r="D6888" s="8">
        <f ca="1">IFERROR(__xludf.DUMMYFUNCTION("""COMPUTED_VALUE"""),1)</f>
        <v>1</v>
      </c>
      <c r="E6888" s="2">
        <f ca="1">IFERROR(__xludf.DUMMYFUNCTION("""COMPUTED_VALUE"""),1)</f>
        <v>1</v>
      </c>
    </row>
    <row r="6889" spans="1:5" ht="13">
      <c r="A6889" s="2" t="str">
        <f ca="1">IFERROR(__xludf.DUMMYFUNCTION("""COMPUTED_VALUE"""),"Roda, Josep")</f>
        <v>Roda, Josep</v>
      </c>
      <c r="B6889" s="3">
        <f ca="1">IFERROR(__xludf.DUMMYFUNCTION("""COMPUTED_VALUE"""),1)</f>
        <v>1</v>
      </c>
      <c r="C6889" s="7">
        <f ca="1">IFERROR(__xludf.DUMMYFUNCTION("""COMPUTED_VALUE"""),1)</f>
        <v>1</v>
      </c>
      <c r="D6889" s="8">
        <f ca="1">IFERROR(__xludf.DUMMYFUNCTION("""COMPUTED_VALUE"""),1)</f>
        <v>1</v>
      </c>
      <c r="E6889" s="2">
        <f ca="1">IFERROR(__xludf.DUMMYFUNCTION("""COMPUTED_VALUE"""),1)</f>
        <v>1</v>
      </c>
    </row>
    <row r="6890" spans="1:5" ht="13">
      <c r="A6890" s="8" t="str">
        <f ca="1">IFERROR(__xludf.DUMMYFUNCTION("""COMPUTED_VALUE"""),"Rodby, Walter")</f>
        <v>Rodby, Walter</v>
      </c>
      <c r="B6890" s="3">
        <f ca="1">IFERROR(__xludf.DUMMYFUNCTION("""COMPUTED_VALUE"""),1)</f>
        <v>1</v>
      </c>
      <c r="C6890" s="7">
        <f ca="1">IFERROR(__xludf.DUMMYFUNCTION("""COMPUTED_VALUE"""),1)</f>
        <v>1</v>
      </c>
      <c r="D6890" s="8">
        <f ca="1">IFERROR(__xludf.DUMMYFUNCTION("""COMPUTED_VALUE"""),5)</f>
        <v>5</v>
      </c>
      <c r="E6890" s="2">
        <f ca="1">IFERROR(__xludf.DUMMYFUNCTION("""COMPUTED_VALUE"""),2)</f>
        <v>2</v>
      </c>
    </row>
    <row r="6891" spans="1:5" ht="13">
      <c r="A6891" s="8" t="str">
        <f ca="1">IFERROR(__xludf.DUMMYFUNCTION("""COMPUTED_VALUE"""),"Rodde, James")</f>
        <v>Rodde, James</v>
      </c>
      <c r="B6891" s="9">
        <f ca="1">IFERROR(__xludf.DUMMYFUNCTION("""COMPUTED_VALUE"""),1)</f>
        <v>1</v>
      </c>
      <c r="C6891" s="7">
        <f ca="1">IFERROR(__xludf.DUMMYFUNCTION("""COMPUTED_VALUE"""),1)</f>
        <v>1</v>
      </c>
      <c r="D6891" s="8">
        <f ca="1">IFERROR(__xludf.DUMMYFUNCTION("""COMPUTED_VALUE"""),1)</f>
        <v>1</v>
      </c>
      <c r="E6891" s="9">
        <f ca="1">IFERROR(__xludf.DUMMYFUNCTION("""COMPUTED_VALUE"""),1)</f>
        <v>1</v>
      </c>
    </row>
    <row r="6892" spans="1:5" ht="13">
      <c r="A6892" s="2" t="str">
        <f ca="1">IFERROR(__xludf.DUMMYFUNCTION("""COMPUTED_VALUE"""),"Rode, Pierre")</f>
        <v>Rode, Pierre</v>
      </c>
      <c r="B6892" s="2">
        <f ca="1">IFERROR(__xludf.DUMMYFUNCTION("""COMPUTED_VALUE"""),1)</f>
        <v>1</v>
      </c>
      <c r="C6892" s="7">
        <f ca="1">IFERROR(__xludf.DUMMYFUNCTION("""COMPUTED_VALUE"""),1)</f>
        <v>1</v>
      </c>
      <c r="D6892" s="8">
        <f ca="1">IFERROR(__xludf.DUMMYFUNCTION("""COMPUTED_VALUE"""),5)</f>
        <v>5</v>
      </c>
      <c r="E6892" s="2">
        <f ca="1">IFERROR(__xludf.DUMMYFUNCTION("""COMPUTED_VALUE"""),2)</f>
        <v>2</v>
      </c>
    </row>
    <row r="6893" spans="1:5" ht="13">
      <c r="A6893" s="8" t="str">
        <f ca="1">IFERROR(__xludf.DUMMYFUNCTION("""COMPUTED_VALUE"""),"Rodgers, Frank. M.")</f>
        <v>Rodgers, Frank. M.</v>
      </c>
      <c r="B6893" s="3">
        <f ca="1">IFERROR(__xludf.DUMMYFUNCTION("""COMPUTED_VALUE"""),1)</f>
        <v>1</v>
      </c>
      <c r="C6893" s="7">
        <f ca="1">IFERROR(__xludf.DUMMYFUNCTION("""COMPUTED_VALUE"""),1)</f>
        <v>1</v>
      </c>
      <c r="D6893" s="8">
        <f ca="1">IFERROR(__xludf.DUMMYFUNCTION("""COMPUTED_VALUE"""),5)</f>
        <v>5</v>
      </c>
      <c r="E6893" s="2">
        <f ca="1">IFERROR(__xludf.DUMMYFUNCTION("""COMPUTED_VALUE"""),2)</f>
        <v>2</v>
      </c>
    </row>
    <row r="6894" spans="1:5" ht="13">
      <c r="A6894" s="8" t="str">
        <f ca="1">IFERROR(__xludf.DUMMYFUNCTION("""COMPUTED_VALUE"""),"Rodgers, Jonathan")</f>
        <v>Rodgers, Jonathan</v>
      </c>
      <c r="B6894" s="3">
        <f ca="1">IFERROR(__xludf.DUMMYFUNCTION("""COMPUTED_VALUE"""),1)</f>
        <v>1</v>
      </c>
      <c r="C6894" s="7">
        <f ca="1">IFERROR(__xludf.DUMMYFUNCTION("""COMPUTED_VALUE"""),1)</f>
        <v>1</v>
      </c>
      <c r="D6894" s="8">
        <f ca="1">IFERROR(__xludf.DUMMYFUNCTION("""COMPUTED_VALUE"""),1)</f>
        <v>1</v>
      </c>
      <c r="E6894" s="2">
        <f ca="1">IFERROR(__xludf.DUMMYFUNCTION("""COMPUTED_VALUE"""),1)</f>
        <v>1</v>
      </c>
    </row>
    <row r="6895" spans="1:5" ht="13">
      <c r="A6895" s="2" t="str">
        <f ca="1">IFERROR(__xludf.DUMMYFUNCTION("""COMPUTED_VALUE"""),"Rodgers, Richard")</f>
        <v>Rodgers, Richard</v>
      </c>
      <c r="B6895" s="3">
        <f ca="1">IFERROR(__xludf.DUMMYFUNCTION("""COMPUTED_VALUE"""),1)</f>
        <v>1</v>
      </c>
      <c r="C6895" s="7">
        <f ca="1">IFERROR(__xludf.DUMMYFUNCTION("""COMPUTED_VALUE"""),1)</f>
        <v>1</v>
      </c>
      <c r="D6895" s="8">
        <f ca="1">IFERROR(__xludf.DUMMYFUNCTION("""COMPUTED_VALUE"""),5)</f>
        <v>5</v>
      </c>
      <c r="E6895" s="2">
        <f ca="1">IFERROR(__xludf.DUMMYFUNCTION("""COMPUTED_VALUE"""),2)</f>
        <v>2</v>
      </c>
    </row>
    <row r="6896" spans="1:5" ht="13">
      <c r="A6896" s="2" t="str">
        <f ca="1">IFERROR(__xludf.DUMMYFUNCTION("""COMPUTED_VALUE"""),"Rodgers, Richard / Hammerstein, Oscar II")</f>
        <v>Rodgers, Richard / Hammerstein, Oscar II</v>
      </c>
      <c r="B6896" s="3">
        <f ca="1">IFERROR(__xludf.DUMMYFUNCTION("""COMPUTED_VALUE"""),1)</f>
        <v>1</v>
      </c>
      <c r="C6896" s="7">
        <f ca="1">IFERROR(__xludf.DUMMYFUNCTION("""COMPUTED_VALUE"""),1)</f>
        <v>1</v>
      </c>
      <c r="D6896" s="8">
        <f ca="1">IFERROR(__xludf.DUMMYFUNCTION("""COMPUTED_VALUE"""),5)</f>
        <v>5</v>
      </c>
      <c r="E6896" s="2">
        <f ca="1">IFERROR(__xludf.DUMMYFUNCTION("""COMPUTED_VALUE"""),2)</f>
        <v>2</v>
      </c>
    </row>
    <row r="6897" spans="1:5" ht="13">
      <c r="A6897" s="2" t="str">
        <f ca="1">IFERROR(__xludf.DUMMYFUNCTION("""COMPUTED_VALUE"""),"Rodgers, Richard / Hart, Lorenz")</f>
        <v>Rodgers, Richard / Hart, Lorenz</v>
      </c>
      <c r="B6897" s="2">
        <f ca="1">IFERROR(__xludf.DUMMYFUNCTION("""COMPUTED_VALUE"""),1)</f>
        <v>1</v>
      </c>
      <c r="C6897" s="7">
        <f ca="1">IFERROR(__xludf.DUMMYFUNCTION("""COMPUTED_VALUE"""),1)</f>
        <v>1</v>
      </c>
      <c r="D6897" s="8">
        <f ca="1">IFERROR(__xludf.DUMMYFUNCTION("""COMPUTED_VALUE"""),5)</f>
        <v>5</v>
      </c>
      <c r="E6897" s="2">
        <f ca="1">IFERROR(__xludf.DUMMYFUNCTION("""COMPUTED_VALUE"""),2)</f>
        <v>2</v>
      </c>
    </row>
    <row r="6898" spans="1:5" ht="13">
      <c r="A6898" s="8" t="str">
        <f ca="1">IFERROR(__xludf.DUMMYFUNCTION("""COMPUTED_VALUE"""),"Rodgers, Thomas")</f>
        <v>Rodgers, Thomas</v>
      </c>
      <c r="B6898" s="3">
        <f ca="1">IFERROR(__xludf.DUMMYFUNCTION("""COMPUTED_VALUE"""),1)</f>
        <v>1</v>
      </c>
      <c r="C6898" s="7">
        <f ca="1">IFERROR(__xludf.DUMMYFUNCTION("""COMPUTED_VALUE"""),1)</f>
        <v>1</v>
      </c>
      <c r="D6898" s="8">
        <f ca="1">IFERROR(__xludf.DUMMYFUNCTION("""COMPUTED_VALUE"""),1)</f>
        <v>1</v>
      </c>
      <c r="E6898" s="2">
        <f ca="1">IFERROR(__xludf.DUMMYFUNCTION("""COMPUTED_VALUE"""),1)</f>
        <v>1</v>
      </c>
    </row>
    <row r="6899" spans="1:5" ht="13">
      <c r="A6899" s="2" t="str">
        <f ca="1">IFERROR(__xludf.DUMMYFUNCTION("""COMPUTED_VALUE"""),"Rodrigo, Joaquín")</f>
        <v>Rodrigo, Joaquín</v>
      </c>
      <c r="B6899" s="3">
        <f ca="1">IFERROR(__xludf.DUMMYFUNCTION("""COMPUTED_VALUE"""),1)</f>
        <v>1</v>
      </c>
      <c r="C6899" s="7">
        <f ca="1">IFERROR(__xludf.DUMMYFUNCTION("""COMPUTED_VALUE"""),1)</f>
        <v>1</v>
      </c>
      <c r="D6899" s="8">
        <f ca="1">IFERROR(__xludf.DUMMYFUNCTION("""COMPUTED_VALUE"""),5)</f>
        <v>5</v>
      </c>
      <c r="E6899" s="2">
        <f ca="1">IFERROR(__xludf.DUMMYFUNCTION("""COMPUTED_VALUE"""),2)</f>
        <v>2</v>
      </c>
    </row>
    <row r="6900" spans="1:5" ht="13">
      <c r="A6900" s="2" t="str">
        <f ca="1">IFERROR(__xludf.DUMMYFUNCTION("""COMPUTED_VALUE"""),"Roels, Stijn")</f>
        <v>Roels, Stijn</v>
      </c>
      <c r="B6900" s="3">
        <f ca="1">IFERROR(__xludf.DUMMYFUNCTION("""COMPUTED_VALUE"""),1)</f>
        <v>1</v>
      </c>
      <c r="C6900" s="7">
        <f ca="1">IFERROR(__xludf.DUMMYFUNCTION("""COMPUTED_VALUE"""),1)</f>
        <v>1</v>
      </c>
      <c r="D6900" s="8">
        <f ca="1">IFERROR(__xludf.DUMMYFUNCTION("""COMPUTED_VALUE"""),1)</f>
        <v>1</v>
      </c>
      <c r="E6900" s="2">
        <f ca="1">IFERROR(__xludf.DUMMYFUNCTION("""COMPUTED_VALUE"""),1)</f>
        <v>1</v>
      </c>
    </row>
    <row r="6901" spans="1:5" ht="13">
      <c r="A6901" s="2" t="str">
        <f ca="1">IFERROR(__xludf.DUMMYFUNCTION("""COMPUTED_VALUE"""),"Roethke, Georg")</f>
        <v>Roethke, Georg</v>
      </c>
      <c r="B6901" s="3">
        <f ca="1">IFERROR(__xludf.DUMMYFUNCTION("""COMPUTED_VALUE"""),1)</f>
        <v>1</v>
      </c>
      <c r="C6901" s="7">
        <f ca="1">IFERROR(__xludf.DUMMYFUNCTION("""COMPUTED_VALUE"""),1)</f>
        <v>1</v>
      </c>
      <c r="D6901" s="8">
        <f ca="1">IFERROR(__xludf.DUMMYFUNCTION("""COMPUTED_VALUE"""),1)</f>
        <v>1</v>
      </c>
      <c r="E6901" s="2">
        <f ca="1">IFERROR(__xludf.DUMMYFUNCTION("""COMPUTED_VALUE"""),1)</f>
        <v>1</v>
      </c>
    </row>
    <row r="6902" spans="1:5" ht="13">
      <c r="A6902" s="8" t="str">
        <f ca="1">IFERROR(__xludf.DUMMYFUNCTION("""COMPUTED_VALUE"""),"Roff, Joseph")</f>
        <v>Roff, Joseph</v>
      </c>
      <c r="B6902" s="3">
        <f ca="1">IFERROR(__xludf.DUMMYFUNCTION("""COMPUTED_VALUE"""),1)</f>
        <v>1</v>
      </c>
      <c r="C6902" s="7">
        <f ca="1">IFERROR(__xludf.DUMMYFUNCTION("""COMPUTED_VALUE"""),1)</f>
        <v>1</v>
      </c>
      <c r="D6902" s="8">
        <f ca="1">IFERROR(__xludf.DUMMYFUNCTION("""COMPUTED_VALUE"""),1)</f>
        <v>1</v>
      </c>
      <c r="E6902" s="2">
        <f ca="1">IFERROR(__xludf.DUMMYFUNCTION("""COMPUTED_VALUE"""),1)</f>
        <v>1</v>
      </c>
    </row>
    <row r="6903" spans="1:5" ht="13">
      <c r="A6903" s="8" t="str">
        <f ca="1">IFERROR(__xludf.DUMMYFUNCTION("""COMPUTED_VALUE"""),"Roger Wolfe Kahn &amp; Joseph Meyer")</f>
        <v>Roger Wolfe Kahn &amp; Joseph Meyer</v>
      </c>
      <c r="B6903" s="3">
        <f ca="1">IFERROR(__xludf.DUMMYFUNCTION("""COMPUTED_VALUE"""),1)</f>
        <v>1</v>
      </c>
      <c r="C6903" s="7">
        <f ca="1">IFERROR(__xludf.DUMMYFUNCTION("""COMPUTED_VALUE"""),1)</f>
        <v>1</v>
      </c>
      <c r="D6903" s="8">
        <f ca="1">IFERROR(__xludf.DUMMYFUNCTION("""COMPUTED_VALUE"""),5)</f>
        <v>5</v>
      </c>
      <c r="E6903" s="2">
        <f ca="1">IFERROR(__xludf.DUMMYFUNCTION("""COMPUTED_VALUE"""),2)</f>
        <v>2</v>
      </c>
    </row>
    <row r="6904" spans="1:5" ht="13">
      <c r="A6904" s="2" t="str">
        <f ca="1">IFERROR(__xludf.DUMMYFUNCTION("""COMPUTED_VALUE"""),"Roger-Ducasse, Jean")</f>
        <v>Roger-Ducasse, Jean</v>
      </c>
      <c r="B6904" s="2">
        <f ca="1">IFERROR(__xludf.DUMMYFUNCTION("""COMPUTED_VALUE"""),1)</f>
        <v>1</v>
      </c>
      <c r="C6904" s="7">
        <f ca="1">IFERROR(__xludf.DUMMYFUNCTION("""COMPUTED_VALUE"""),1)</f>
        <v>1</v>
      </c>
      <c r="D6904" s="8">
        <f ca="1">IFERROR(__xludf.DUMMYFUNCTION("""COMPUTED_VALUE"""),5)</f>
        <v>5</v>
      </c>
      <c r="E6904" s="2">
        <f ca="1">IFERROR(__xludf.DUMMYFUNCTION("""COMPUTED_VALUE"""),2)</f>
        <v>2</v>
      </c>
    </row>
    <row r="6905" spans="1:5" ht="13">
      <c r="A6905" s="2" t="str">
        <f ca="1">IFERROR(__xludf.DUMMYFUNCTION("""COMPUTED_VALUE"""),"Rogers (unknown)")</f>
        <v>Rogers (unknown)</v>
      </c>
      <c r="B6905" s="3">
        <f ca="1">IFERROR(__xludf.DUMMYFUNCTION("""COMPUTED_VALUE"""),1)</f>
        <v>1</v>
      </c>
      <c r="C6905" s="7">
        <f ca="1">IFERROR(__xludf.DUMMYFUNCTION("""COMPUTED_VALUE"""),1)</f>
        <v>1</v>
      </c>
      <c r="D6905" s="8">
        <f ca="1">IFERROR(__xludf.DUMMYFUNCTION("""COMPUTED_VALUE"""),5)</f>
        <v>5</v>
      </c>
      <c r="E6905" s="2">
        <f ca="1">IFERROR(__xludf.DUMMYFUNCTION("""COMPUTED_VALUE"""),2)</f>
        <v>2</v>
      </c>
    </row>
    <row r="6906" spans="1:5" ht="13">
      <c r="A6906" s="2" t="str">
        <f ca="1">IFERROR(__xludf.DUMMYFUNCTION("""COMPUTED_VALUE"""),"Rogers, Bernard")</f>
        <v>Rogers, Bernard</v>
      </c>
      <c r="B6906" s="3">
        <f ca="1">IFERROR(__xludf.DUMMYFUNCTION("""COMPUTED_VALUE"""),1)</f>
        <v>1</v>
      </c>
      <c r="C6906" s="7">
        <f ca="1">IFERROR(__xludf.DUMMYFUNCTION("""COMPUTED_VALUE"""),1)</f>
        <v>1</v>
      </c>
      <c r="D6906" s="8">
        <f ca="1">IFERROR(__xludf.DUMMYFUNCTION("""COMPUTED_VALUE"""),5)</f>
        <v>5</v>
      </c>
      <c r="E6906" s="2">
        <f ca="1">IFERROR(__xludf.DUMMYFUNCTION("""COMPUTED_VALUE"""),2)</f>
        <v>2</v>
      </c>
    </row>
    <row r="6907" spans="1:5" ht="13">
      <c r="A6907" s="8" t="str">
        <f ca="1">IFERROR(__xludf.DUMMYFUNCTION("""COMPUTED_VALUE"""),"Rogers, Frank M.")</f>
        <v>Rogers, Frank M.</v>
      </c>
      <c r="B6907" s="3">
        <f ca="1">IFERROR(__xludf.DUMMYFUNCTION("""COMPUTED_VALUE"""),1)</f>
        <v>1</v>
      </c>
      <c r="C6907" s="7">
        <f ca="1">IFERROR(__xludf.DUMMYFUNCTION("""COMPUTED_VALUE"""),1)</f>
        <v>1</v>
      </c>
      <c r="D6907" s="8">
        <f ca="1">IFERROR(__xludf.DUMMYFUNCTION("""COMPUTED_VALUE"""),1)</f>
        <v>1</v>
      </c>
      <c r="E6907" s="2">
        <f ca="1">IFERROR(__xludf.DUMMYFUNCTION("""COMPUTED_VALUE"""),1)</f>
        <v>1</v>
      </c>
    </row>
    <row r="6908" spans="1:5" ht="13">
      <c r="A6908" s="2" t="str">
        <f ca="1">IFERROR(__xludf.DUMMYFUNCTION("""COMPUTED_VALUE"""),"Rogers, Fred")</f>
        <v>Rogers, Fred</v>
      </c>
      <c r="B6908" s="2">
        <f ca="1">IFERROR(__xludf.DUMMYFUNCTION("""COMPUTED_VALUE"""),1)</f>
        <v>1</v>
      </c>
      <c r="C6908" s="7">
        <f ca="1">IFERROR(__xludf.DUMMYFUNCTION("""COMPUTED_VALUE"""),1)</f>
        <v>1</v>
      </c>
      <c r="D6908" s="8">
        <f ca="1">IFERROR(__xludf.DUMMYFUNCTION("""COMPUTED_VALUE"""),5)</f>
        <v>5</v>
      </c>
      <c r="E6908" s="2">
        <f ca="1">IFERROR(__xludf.DUMMYFUNCTION("""COMPUTED_VALUE"""),2)</f>
        <v>2</v>
      </c>
    </row>
    <row r="6909" spans="1:5" ht="13">
      <c r="A6909" s="2" t="str">
        <f ca="1">IFERROR(__xludf.DUMMYFUNCTION("""COMPUTED_VALUE"""),"Rogers, John Fitz")</f>
        <v>Rogers, John Fitz</v>
      </c>
      <c r="B6909" s="3">
        <f ca="1">IFERROR(__xludf.DUMMYFUNCTION("""COMPUTED_VALUE"""),1)</f>
        <v>1</v>
      </c>
      <c r="C6909" s="7">
        <f ca="1">IFERROR(__xludf.DUMMYFUNCTION("""COMPUTED_VALUE"""),1)</f>
        <v>1</v>
      </c>
      <c r="D6909" s="8">
        <f ca="1">IFERROR(__xludf.DUMMYFUNCTION("""COMPUTED_VALUE"""),1)</f>
        <v>1</v>
      </c>
      <c r="E6909" s="2">
        <f ca="1">IFERROR(__xludf.DUMMYFUNCTION("""COMPUTED_VALUE"""),1)</f>
        <v>1</v>
      </c>
    </row>
    <row r="6910" spans="1:5" ht="13">
      <c r="A6910" s="8" t="str">
        <f ca="1">IFERROR(__xludf.DUMMYFUNCTION("""COMPUTED_VALUE"""),"Rogers, Jonathan")</f>
        <v>Rogers, Jonathan</v>
      </c>
      <c r="B6910" s="3">
        <f ca="1">IFERROR(__xludf.DUMMYFUNCTION("""COMPUTED_VALUE"""),1)</f>
        <v>1</v>
      </c>
      <c r="C6910" s="7">
        <f ca="1">IFERROR(__xludf.DUMMYFUNCTION("""COMPUTED_VALUE"""),1)</f>
        <v>1</v>
      </c>
      <c r="D6910" s="8">
        <f ca="1">IFERROR(__xludf.DUMMYFUNCTION("""COMPUTED_VALUE"""),1)</f>
        <v>1</v>
      </c>
      <c r="E6910" s="2">
        <f ca="1">IFERROR(__xludf.DUMMYFUNCTION("""COMPUTED_VALUE"""),1)</f>
        <v>1</v>
      </c>
    </row>
    <row r="6911" spans="1:5" ht="13">
      <c r="A6911" s="2" t="str">
        <f ca="1">IFERROR(__xludf.DUMMYFUNCTION("""COMPUTED_VALUE"""),"Rogers, Mark")</f>
        <v>Rogers, Mark</v>
      </c>
      <c r="B6911" s="3">
        <f ca="1">IFERROR(__xludf.DUMMYFUNCTION("""COMPUTED_VALUE"""),1)</f>
        <v>1</v>
      </c>
      <c r="C6911" s="7">
        <f ca="1">IFERROR(__xludf.DUMMYFUNCTION("""COMPUTED_VALUE"""),1)</f>
        <v>1</v>
      </c>
      <c r="D6911" s="8">
        <f ca="1">IFERROR(__xludf.DUMMYFUNCTION("""COMPUTED_VALUE"""),1)</f>
        <v>1</v>
      </c>
      <c r="E6911" s="2">
        <f ca="1">IFERROR(__xludf.DUMMYFUNCTION("""COMPUTED_VALUE"""),1)</f>
        <v>1</v>
      </c>
    </row>
    <row r="6912" spans="1:5" ht="13">
      <c r="A6912" s="2" t="str">
        <f ca="1">IFERROR(__xludf.DUMMYFUNCTION("""COMPUTED_VALUE"""),"Rogers, Mekel")</f>
        <v>Rogers, Mekel</v>
      </c>
      <c r="B6912" s="3">
        <f ca="1">IFERROR(__xludf.DUMMYFUNCTION("""COMPUTED_VALUE"""),1)</f>
        <v>1</v>
      </c>
      <c r="C6912" s="7">
        <f ca="1">IFERROR(__xludf.DUMMYFUNCTION("""COMPUTED_VALUE"""),1)</f>
        <v>1</v>
      </c>
      <c r="D6912" s="8">
        <f ca="1">IFERROR(__xludf.DUMMYFUNCTION("""COMPUTED_VALUE"""),1)</f>
        <v>1</v>
      </c>
      <c r="E6912" s="2">
        <f ca="1">IFERROR(__xludf.DUMMYFUNCTION("""COMPUTED_VALUE"""),1)</f>
        <v>1</v>
      </c>
    </row>
    <row r="6913" spans="1:5" ht="13">
      <c r="A6913" s="2" t="str">
        <f ca="1">IFERROR(__xludf.DUMMYFUNCTION("""COMPUTED_VALUE"""),"Rogers, R. Mark")</f>
        <v>Rogers, R. Mark</v>
      </c>
      <c r="B6913" s="3">
        <f ca="1">IFERROR(__xludf.DUMMYFUNCTION("""COMPUTED_VALUE"""),1)</f>
        <v>1</v>
      </c>
      <c r="C6913" s="7">
        <f ca="1">IFERROR(__xludf.DUMMYFUNCTION("""COMPUTED_VALUE"""),1)</f>
        <v>1</v>
      </c>
      <c r="D6913" s="8">
        <f ca="1">IFERROR(__xludf.DUMMYFUNCTION("""COMPUTED_VALUE"""),1)</f>
        <v>1</v>
      </c>
      <c r="E6913" s="2">
        <f ca="1">IFERROR(__xludf.DUMMYFUNCTION("""COMPUTED_VALUE"""),1)</f>
        <v>1</v>
      </c>
    </row>
    <row r="6914" spans="1:5" ht="13">
      <c r="A6914" s="2" t="str">
        <f ca="1">IFERROR(__xludf.DUMMYFUNCTION("""COMPUTED_VALUE"""),"Rogers, Richard")</f>
        <v>Rogers, Richard</v>
      </c>
      <c r="B6914" s="3">
        <f ca="1">IFERROR(__xludf.DUMMYFUNCTION("""COMPUTED_VALUE"""),1)</f>
        <v>1</v>
      </c>
      <c r="C6914" s="7">
        <f ca="1">IFERROR(__xludf.DUMMYFUNCTION("""COMPUTED_VALUE"""),1)</f>
        <v>1</v>
      </c>
      <c r="D6914" s="8">
        <f ca="1">IFERROR(__xludf.DUMMYFUNCTION("""COMPUTED_VALUE"""),5)</f>
        <v>5</v>
      </c>
      <c r="E6914" s="2">
        <f ca="1">IFERROR(__xludf.DUMMYFUNCTION("""COMPUTED_VALUE"""),2)</f>
        <v>2</v>
      </c>
    </row>
    <row r="6915" spans="1:5" ht="13">
      <c r="A6915" s="2" t="str">
        <f ca="1">IFERROR(__xludf.DUMMYFUNCTION("""COMPUTED_VALUE"""),"Rogers, Rodney")</f>
        <v>Rogers, Rodney</v>
      </c>
      <c r="B6915" s="3">
        <f ca="1">IFERROR(__xludf.DUMMYFUNCTION("""COMPUTED_VALUE"""),1)</f>
        <v>1</v>
      </c>
      <c r="C6915" s="7">
        <f ca="1">IFERROR(__xludf.DUMMYFUNCTION("""COMPUTED_VALUE"""),1)</f>
        <v>1</v>
      </c>
      <c r="D6915" s="8">
        <f ca="1">IFERROR(__xludf.DUMMYFUNCTION("""COMPUTED_VALUE"""),1)</f>
        <v>1</v>
      </c>
      <c r="E6915" s="2">
        <f ca="1">IFERROR(__xludf.DUMMYFUNCTION("""COMPUTED_VALUE"""),1)</f>
        <v>1</v>
      </c>
    </row>
    <row r="6916" spans="1:5" ht="13">
      <c r="A6916" s="2" t="str">
        <f ca="1">IFERROR(__xludf.DUMMYFUNCTION("""COMPUTED_VALUE"""),"Rogers, Shorty")</f>
        <v>Rogers, Shorty</v>
      </c>
      <c r="B6916" s="2">
        <f ca="1">IFERROR(__xludf.DUMMYFUNCTION("""COMPUTED_VALUE"""),1)</f>
        <v>1</v>
      </c>
      <c r="C6916" s="7">
        <f ca="1">IFERROR(__xludf.DUMMYFUNCTION("""COMPUTED_VALUE"""),1)</f>
        <v>1</v>
      </c>
      <c r="D6916" s="8">
        <f ca="1">IFERROR(__xludf.DUMMYFUNCTION("""COMPUTED_VALUE"""),5)</f>
        <v>5</v>
      </c>
      <c r="E6916" s="2">
        <f ca="1">IFERROR(__xludf.DUMMYFUNCTION("""COMPUTED_VALUE"""),2)</f>
        <v>2</v>
      </c>
    </row>
    <row r="6917" spans="1:5" ht="13">
      <c r="A6917" s="8" t="str">
        <f ca="1">IFERROR(__xludf.DUMMYFUNCTION("""COMPUTED_VALUE"""),"Rogers, Wayland")</f>
        <v>Rogers, Wayland</v>
      </c>
      <c r="B6917" s="3">
        <f ca="1">IFERROR(__xludf.DUMMYFUNCTION("""COMPUTED_VALUE"""),1)</f>
        <v>1</v>
      </c>
      <c r="C6917" s="7">
        <f ca="1">IFERROR(__xludf.DUMMYFUNCTION("""COMPUTED_VALUE"""),1)</f>
        <v>1</v>
      </c>
      <c r="D6917" s="8">
        <f ca="1">IFERROR(__xludf.DUMMYFUNCTION("""COMPUTED_VALUE"""),1)</f>
        <v>1</v>
      </c>
      <c r="E6917" s="2">
        <f ca="1">IFERROR(__xludf.DUMMYFUNCTION("""COMPUTED_VALUE"""),1)</f>
        <v>1</v>
      </c>
    </row>
    <row r="6918" spans="1:5" ht="13">
      <c r="A6918" s="2" t="str">
        <f ca="1">IFERROR(__xludf.DUMMYFUNCTION("""COMPUTED_VALUE"""),"Rogerson, Chris")</f>
        <v>Rogerson, Chris</v>
      </c>
      <c r="B6918" s="3">
        <f ca="1">IFERROR(__xludf.DUMMYFUNCTION("""COMPUTED_VALUE"""),1)</f>
        <v>1</v>
      </c>
      <c r="C6918" s="7">
        <f ca="1">IFERROR(__xludf.DUMMYFUNCTION("""COMPUTED_VALUE"""),1)</f>
        <v>1</v>
      </c>
      <c r="D6918" s="8">
        <f ca="1">IFERROR(__xludf.DUMMYFUNCTION("""COMPUTED_VALUE"""),1)</f>
        <v>1</v>
      </c>
      <c r="E6918" s="2">
        <f ca="1">IFERROR(__xludf.DUMMYFUNCTION("""COMPUTED_VALUE"""),1)</f>
        <v>1</v>
      </c>
    </row>
    <row r="6919" spans="1:5" ht="13">
      <c r="A6919" s="2" t="str">
        <f ca="1">IFERROR(__xludf.DUMMYFUNCTION("""COMPUTED_VALUE"""),"Rohde, Kurt")</f>
        <v>Rohde, Kurt</v>
      </c>
      <c r="B6919" s="3">
        <f ca="1">IFERROR(__xludf.DUMMYFUNCTION("""COMPUTED_VALUE"""),1)</f>
        <v>1</v>
      </c>
      <c r="C6919" s="7">
        <f ca="1">IFERROR(__xludf.DUMMYFUNCTION("""COMPUTED_VALUE"""),1)</f>
        <v>1</v>
      </c>
      <c r="D6919" s="8">
        <f ca="1">IFERROR(__xludf.DUMMYFUNCTION("""COMPUTED_VALUE"""),5)</f>
        <v>5</v>
      </c>
      <c r="E6919" s="2">
        <f ca="1">IFERROR(__xludf.DUMMYFUNCTION("""COMPUTED_VALUE"""),2)</f>
        <v>2</v>
      </c>
    </row>
    <row r="6920" spans="1:5" ht="13">
      <c r="A6920" s="8" t="str">
        <f ca="1">IFERROR(__xludf.DUMMYFUNCTION("""COMPUTED_VALUE"""),"Rohlf, Earl A.")</f>
        <v>Rohlf, Earl A.</v>
      </c>
      <c r="B6920" s="3">
        <f ca="1">IFERROR(__xludf.DUMMYFUNCTION("""COMPUTED_VALUE"""),1)</f>
        <v>1</v>
      </c>
      <c r="C6920" s="7">
        <f ca="1">IFERROR(__xludf.DUMMYFUNCTION("""COMPUTED_VALUE"""),1)</f>
        <v>1</v>
      </c>
      <c r="D6920" s="8">
        <f ca="1">IFERROR(__xludf.DUMMYFUNCTION("""COMPUTED_VALUE"""),5)</f>
        <v>5</v>
      </c>
      <c r="E6920" s="2">
        <f ca="1">IFERROR(__xludf.DUMMYFUNCTION("""COMPUTED_VALUE"""),2)</f>
        <v>2</v>
      </c>
    </row>
    <row r="6921" spans="1:5" ht="13">
      <c r="A6921" s="2" t="str">
        <f ca="1">IFERROR(__xludf.DUMMYFUNCTION("""COMPUTED_VALUE"""),"Rohrer, Thomas")</f>
        <v>Rohrer, Thomas</v>
      </c>
      <c r="B6921" s="3">
        <f ca="1">IFERROR(__xludf.DUMMYFUNCTION("""COMPUTED_VALUE"""),1)</f>
        <v>1</v>
      </c>
      <c r="C6921" s="7">
        <f ca="1">IFERROR(__xludf.DUMMYFUNCTION("""COMPUTED_VALUE"""),1)</f>
        <v>1</v>
      </c>
      <c r="D6921" s="8">
        <f ca="1">IFERROR(__xludf.DUMMYFUNCTION("""COMPUTED_VALUE"""),1)</f>
        <v>1</v>
      </c>
      <c r="E6921" s="2">
        <f ca="1">IFERROR(__xludf.DUMMYFUNCTION("""COMPUTED_VALUE"""),1)</f>
        <v>1</v>
      </c>
    </row>
    <row r="6922" spans="1:5" ht="13">
      <c r="A6922" s="2" t="str">
        <f ca="1">IFERROR(__xludf.DUMMYFUNCTION("""COMPUTED_VALUE"""),"Roikjer, Kjell")</f>
        <v>Roikjer, Kjell</v>
      </c>
      <c r="B6922" s="2">
        <f ca="1">IFERROR(__xludf.DUMMYFUNCTION("""COMPUTED_VALUE"""),1)</f>
        <v>1</v>
      </c>
      <c r="C6922" s="2">
        <f ca="1">IFERROR(__xludf.DUMMYFUNCTION("""COMPUTED_VALUE"""),1)</f>
        <v>1</v>
      </c>
      <c r="D6922" s="8">
        <f ca="1">IFERROR(__xludf.DUMMYFUNCTION("""COMPUTED_VALUE"""),5)</f>
        <v>5</v>
      </c>
      <c r="E6922" s="2">
        <f ca="1">IFERROR(__xludf.DUMMYFUNCTION("""COMPUTED_VALUE"""),2)</f>
        <v>2</v>
      </c>
    </row>
    <row r="6923" spans="1:5" ht="13">
      <c r="A6923" s="2" t="str">
        <f ca="1">IFERROR(__xludf.DUMMYFUNCTION("""COMPUTED_VALUE"""),"Rokeach, Marin")</f>
        <v>Rokeach, Marin</v>
      </c>
      <c r="B6923" s="3">
        <f ca="1">IFERROR(__xludf.DUMMYFUNCTION("""COMPUTED_VALUE"""),1)</f>
        <v>1</v>
      </c>
      <c r="C6923" s="7">
        <f ca="1">IFERROR(__xludf.DUMMYFUNCTION("""COMPUTED_VALUE"""),1)</f>
        <v>1</v>
      </c>
      <c r="D6923" s="8">
        <f ca="1">IFERROR(__xludf.DUMMYFUNCTION("""COMPUTED_VALUE"""),5)</f>
        <v>5</v>
      </c>
      <c r="E6923" s="2">
        <f ca="1">IFERROR(__xludf.DUMMYFUNCTION("""COMPUTED_VALUE"""),2)</f>
        <v>2</v>
      </c>
    </row>
    <row r="6924" spans="1:5" ht="13">
      <c r="A6924" s="8" t="str">
        <f ca="1">IFERROR(__xludf.DUMMYFUNCTION("""COMPUTED_VALUE"""),"Rokeach, Martin")</f>
        <v>Rokeach, Martin</v>
      </c>
      <c r="B6924" s="3">
        <f ca="1">IFERROR(__xludf.DUMMYFUNCTION("""COMPUTED_VALUE"""),1)</f>
        <v>1</v>
      </c>
      <c r="C6924" s="7">
        <f ca="1">IFERROR(__xludf.DUMMYFUNCTION("""COMPUTED_VALUE"""),1)</f>
        <v>1</v>
      </c>
      <c r="D6924" s="8">
        <f ca="1">IFERROR(__xludf.DUMMYFUNCTION("""COMPUTED_VALUE"""),1)</f>
        <v>1</v>
      </c>
      <c r="E6924" s="2">
        <f ca="1">IFERROR(__xludf.DUMMYFUNCTION("""COMPUTED_VALUE"""),1)</f>
        <v>1</v>
      </c>
    </row>
    <row r="6925" spans="1:5" ht="13">
      <c r="A6925" s="2" t="str">
        <f ca="1">IFERROR(__xludf.DUMMYFUNCTION("""COMPUTED_VALUE"""),"Roland-Manuel, Alexis")</f>
        <v>Roland-Manuel, Alexis</v>
      </c>
      <c r="B6925" s="3">
        <f ca="1">IFERROR(__xludf.DUMMYFUNCTION("""COMPUTED_VALUE"""),1)</f>
        <v>1</v>
      </c>
      <c r="C6925" s="7">
        <f ca="1">IFERROR(__xludf.DUMMYFUNCTION("""COMPUTED_VALUE"""),1)</f>
        <v>1</v>
      </c>
      <c r="D6925" s="8">
        <f ca="1">IFERROR(__xludf.DUMMYFUNCTION("""COMPUTED_VALUE"""),5)</f>
        <v>5</v>
      </c>
      <c r="E6925" s="2">
        <f ca="1">IFERROR(__xludf.DUMMYFUNCTION("""COMPUTED_VALUE"""),2)</f>
        <v>2</v>
      </c>
    </row>
    <row r="6926" spans="1:5" ht="13">
      <c r="A6926" s="2" t="str">
        <f ca="1">IFERROR(__xludf.DUMMYFUNCTION("""COMPUTED_VALUE"""),"Rold, Manolo Da")</f>
        <v>Rold, Manolo Da</v>
      </c>
      <c r="B6926" s="3">
        <f ca="1">IFERROR(__xludf.DUMMYFUNCTION("""COMPUTED_VALUE"""),1)</f>
        <v>1</v>
      </c>
      <c r="C6926" s="7">
        <f ca="1">IFERROR(__xludf.DUMMYFUNCTION("""COMPUTED_VALUE"""),1)</f>
        <v>1</v>
      </c>
      <c r="D6926" s="8">
        <f ca="1">IFERROR(__xludf.DUMMYFUNCTION("""COMPUTED_VALUE"""),1)</f>
        <v>1</v>
      </c>
      <c r="E6926" s="2">
        <f ca="1">IFERROR(__xludf.DUMMYFUNCTION("""COMPUTED_VALUE"""),1)</f>
        <v>1</v>
      </c>
    </row>
    <row r="6927" spans="1:5" ht="13">
      <c r="A6927" s="2" t="str">
        <f ca="1">IFERROR(__xludf.DUMMYFUNCTION("""COMPUTED_VALUE"""),"Rolfe, James")</f>
        <v>Rolfe, James</v>
      </c>
      <c r="B6927" s="3">
        <f ca="1">IFERROR(__xludf.DUMMYFUNCTION("""COMPUTED_VALUE"""),1)</f>
        <v>1</v>
      </c>
      <c r="C6927" s="7">
        <f ca="1">IFERROR(__xludf.DUMMYFUNCTION("""COMPUTED_VALUE"""),1)</f>
        <v>1</v>
      </c>
      <c r="D6927" s="8">
        <f ca="1">IFERROR(__xludf.DUMMYFUNCTION("""COMPUTED_VALUE"""),1)</f>
        <v>1</v>
      </c>
      <c r="E6927" s="2">
        <f ca="1">IFERROR(__xludf.DUMMYFUNCTION("""COMPUTED_VALUE"""),1)</f>
        <v>1</v>
      </c>
    </row>
    <row r="6928" spans="1:5" ht="13">
      <c r="A6928" s="2" t="str">
        <f ca="1">IFERROR(__xludf.DUMMYFUNCTION("""COMPUTED_VALUE"""),"Rollin, Robert")</f>
        <v>Rollin, Robert</v>
      </c>
      <c r="B6928" s="3">
        <f ca="1">IFERROR(__xludf.DUMMYFUNCTION("""COMPUTED_VALUE"""),1)</f>
        <v>1</v>
      </c>
      <c r="C6928" s="7">
        <f ca="1">IFERROR(__xludf.DUMMYFUNCTION("""COMPUTED_VALUE"""),1)</f>
        <v>1</v>
      </c>
      <c r="D6928" s="8">
        <f ca="1">IFERROR(__xludf.DUMMYFUNCTION("""COMPUTED_VALUE"""),1)</f>
        <v>1</v>
      </c>
      <c r="E6928" s="2">
        <f ca="1">IFERROR(__xludf.DUMMYFUNCTION("""COMPUTED_VALUE"""),1)</f>
        <v>1</v>
      </c>
    </row>
    <row r="6929" spans="1:5" ht="13">
      <c r="A6929" s="2" t="str">
        <f ca="1">IFERROR(__xludf.DUMMYFUNCTION("""COMPUTED_VALUE"""),"Rollins, Ian")</f>
        <v>Rollins, Ian</v>
      </c>
      <c r="B6929" s="3">
        <f ca="1">IFERROR(__xludf.DUMMYFUNCTION("""COMPUTED_VALUE"""),1)</f>
        <v>1</v>
      </c>
      <c r="C6929" s="7">
        <f ca="1">IFERROR(__xludf.DUMMYFUNCTION("""COMPUTED_VALUE"""),1)</f>
        <v>1</v>
      </c>
      <c r="D6929" s="8">
        <f ca="1">IFERROR(__xludf.DUMMYFUNCTION("""COMPUTED_VALUE"""),1)</f>
        <v>1</v>
      </c>
      <c r="E6929" s="2">
        <f ca="1">IFERROR(__xludf.DUMMYFUNCTION("""COMPUTED_VALUE"""),1)</f>
        <v>1</v>
      </c>
    </row>
    <row r="6930" spans="1:5" ht="13">
      <c r="A6930" s="2" t="str">
        <f ca="1">IFERROR(__xludf.DUMMYFUNCTION("""COMPUTED_VALUE"""),"Roman, Johan")</f>
        <v>Roman, Johan</v>
      </c>
      <c r="B6930" s="3">
        <f ca="1">IFERROR(__xludf.DUMMYFUNCTION("""COMPUTED_VALUE"""),1)</f>
        <v>1</v>
      </c>
      <c r="C6930" s="7">
        <f ca="1">IFERROR(__xludf.DUMMYFUNCTION("""COMPUTED_VALUE"""),1)</f>
        <v>1</v>
      </c>
      <c r="D6930" s="8">
        <f ca="1">IFERROR(__xludf.DUMMYFUNCTION("""COMPUTED_VALUE"""),5)</f>
        <v>5</v>
      </c>
      <c r="E6930" s="2">
        <f ca="1">IFERROR(__xludf.DUMMYFUNCTION("""COMPUTED_VALUE"""),2)</f>
        <v>2</v>
      </c>
    </row>
    <row r="6931" spans="1:5" ht="13">
      <c r="A6931" s="2" t="str">
        <f ca="1">IFERROR(__xludf.DUMMYFUNCTION("""COMPUTED_VALUE"""),"Roman, Johann Helmich")</f>
        <v>Roman, Johann Helmich</v>
      </c>
      <c r="B6931" s="3">
        <f ca="1">IFERROR(__xludf.DUMMYFUNCTION("""COMPUTED_VALUE"""),1)</f>
        <v>1</v>
      </c>
      <c r="C6931" s="7">
        <f ca="1">IFERROR(__xludf.DUMMYFUNCTION("""COMPUTED_VALUE"""),1)</f>
        <v>1</v>
      </c>
      <c r="D6931" s="8">
        <f ca="1">IFERROR(__xludf.DUMMYFUNCTION("""COMPUTED_VALUE"""),5)</f>
        <v>5</v>
      </c>
      <c r="E6931" s="2">
        <f ca="1">IFERROR(__xludf.DUMMYFUNCTION("""COMPUTED_VALUE"""),2)</f>
        <v>2</v>
      </c>
    </row>
    <row r="6932" spans="1:5" ht="13">
      <c r="A6932" s="8" t="str">
        <f ca="1">IFERROR(__xludf.DUMMYFUNCTION("""COMPUTED_VALUE"""),"Romanski, Kevin")</f>
        <v>Romanski, Kevin</v>
      </c>
      <c r="B6932" s="3">
        <f ca="1">IFERROR(__xludf.DUMMYFUNCTION("""COMPUTED_VALUE"""),1)</f>
        <v>1</v>
      </c>
      <c r="C6932" s="7">
        <f ca="1">IFERROR(__xludf.DUMMYFUNCTION("""COMPUTED_VALUE"""),1)</f>
        <v>1</v>
      </c>
      <c r="D6932" s="8">
        <f ca="1">IFERROR(__xludf.DUMMYFUNCTION("""COMPUTED_VALUE"""),1)</f>
        <v>1</v>
      </c>
      <c r="E6932" s="2">
        <f ca="1">IFERROR(__xludf.DUMMYFUNCTION("""COMPUTED_VALUE"""),1)</f>
        <v>1</v>
      </c>
    </row>
    <row r="6933" spans="1:5" ht="13">
      <c r="A6933" s="2" t="str">
        <f ca="1">IFERROR(__xludf.DUMMYFUNCTION("""COMPUTED_VALUE"""),"Romberg, Bernhard")</f>
        <v>Romberg, Bernhard</v>
      </c>
      <c r="B6933" s="2">
        <f ca="1">IFERROR(__xludf.DUMMYFUNCTION("""COMPUTED_VALUE"""),1)</f>
        <v>1</v>
      </c>
      <c r="C6933" s="7">
        <f ca="1">IFERROR(__xludf.DUMMYFUNCTION("""COMPUTED_VALUE"""),1)</f>
        <v>1</v>
      </c>
      <c r="D6933" s="8">
        <f ca="1">IFERROR(__xludf.DUMMYFUNCTION("""COMPUTED_VALUE"""),5)</f>
        <v>5</v>
      </c>
      <c r="E6933" s="2">
        <f ca="1">IFERROR(__xludf.DUMMYFUNCTION("""COMPUTED_VALUE"""),2)</f>
        <v>2</v>
      </c>
    </row>
    <row r="6934" spans="1:5" ht="13">
      <c r="A6934" s="2" t="str">
        <f ca="1">IFERROR(__xludf.DUMMYFUNCTION("""COMPUTED_VALUE"""),"Romberg, Sigmund")</f>
        <v>Romberg, Sigmund</v>
      </c>
      <c r="B6934" s="3">
        <f ca="1">IFERROR(__xludf.DUMMYFUNCTION("""COMPUTED_VALUE"""),1)</f>
        <v>1</v>
      </c>
      <c r="C6934" s="7">
        <f ca="1">IFERROR(__xludf.DUMMYFUNCTION("""COMPUTED_VALUE"""),1)</f>
        <v>1</v>
      </c>
      <c r="D6934" s="8">
        <f ca="1">IFERROR(__xludf.DUMMYFUNCTION("""COMPUTED_VALUE"""),5)</f>
        <v>5</v>
      </c>
      <c r="E6934" s="3">
        <f ca="1">IFERROR(__xludf.DUMMYFUNCTION("""COMPUTED_VALUE"""),2)</f>
        <v>2</v>
      </c>
    </row>
    <row r="6935" spans="1:5" ht="13">
      <c r="A6935" s="2" t="str">
        <f ca="1">IFERROR(__xludf.DUMMYFUNCTION("""COMPUTED_VALUE"""),"Romberg, Sigmund / Hammerstein, Oscar")</f>
        <v>Romberg, Sigmund / Hammerstein, Oscar</v>
      </c>
      <c r="B6935" s="2">
        <f ca="1">IFERROR(__xludf.DUMMYFUNCTION("""COMPUTED_VALUE"""),1)</f>
        <v>1</v>
      </c>
      <c r="C6935" s="7">
        <f ca="1">IFERROR(__xludf.DUMMYFUNCTION("""COMPUTED_VALUE"""),1)</f>
        <v>1</v>
      </c>
      <c r="D6935" s="8">
        <f ca="1">IFERROR(__xludf.DUMMYFUNCTION("""COMPUTED_VALUE"""),5)</f>
        <v>5</v>
      </c>
      <c r="E6935" s="2">
        <f ca="1">IFERROR(__xludf.DUMMYFUNCTION("""COMPUTED_VALUE"""),2)</f>
        <v>2</v>
      </c>
    </row>
    <row r="6936" spans="1:5" ht="13">
      <c r="A6936" s="2" t="str">
        <f ca="1">IFERROR(__xludf.DUMMYFUNCTION("""COMPUTED_VALUE"""),"Romero, Celedonio")</f>
        <v>Romero, Celedonio</v>
      </c>
      <c r="B6936" s="3">
        <f ca="1">IFERROR(__xludf.DUMMYFUNCTION("""COMPUTED_VALUE"""),1)</f>
        <v>1</v>
      </c>
      <c r="C6936" s="7">
        <f ca="1">IFERROR(__xludf.DUMMYFUNCTION("""COMPUTED_VALUE"""),1)</f>
        <v>1</v>
      </c>
      <c r="D6936" s="8">
        <f ca="1">IFERROR(__xludf.DUMMYFUNCTION("""COMPUTED_VALUE"""),5)</f>
        <v>5</v>
      </c>
      <c r="E6936" s="2">
        <f ca="1">IFERROR(__xludf.DUMMYFUNCTION("""COMPUTED_VALUE"""),2)</f>
        <v>2</v>
      </c>
    </row>
    <row r="6937" spans="1:5" ht="13">
      <c r="A6937" s="2" t="str">
        <f ca="1">IFERROR(__xludf.DUMMYFUNCTION("""COMPUTED_VALUE"""),"Romero, Manly")</f>
        <v>Romero, Manly</v>
      </c>
      <c r="B6937" s="3">
        <f ca="1">IFERROR(__xludf.DUMMYFUNCTION("""COMPUTED_VALUE"""),1)</f>
        <v>1</v>
      </c>
      <c r="C6937" s="7">
        <f ca="1">IFERROR(__xludf.DUMMYFUNCTION("""COMPUTED_VALUE"""),1)</f>
        <v>1</v>
      </c>
      <c r="D6937" s="8">
        <f ca="1">IFERROR(__xludf.DUMMYFUNCTION("""COMPUTED_VALUE"""),1)</f>
        <v>1</v>
      </c>
      <c r="E6937" s="2">
        <f ca="1">IFERROR(__xludf.DUMMYFUNCTION("""COMPUTED_VALUE"""),1)</f>
        <v>1</v>
      </c>
    </row>
    <row r="6938" spans="1:5" ht="13">
      <c r="A6938" s="2" t="str">
        <f ca="1">IFERROR(__xludf.DUMMYFUNCTION("""COMPUTED_VALUE"""),"Romeyn, Rob")</f>
        <v>Romeyn, Rob</v>
      </c>
      <c r="B6938" s="3">
        <f ca="1">IFERROR(__xludf.DUMMYFUNCTION("""COMPUTED_VALUE"""),1)</f>
        <v>1</v>
      </c>
      <c r="C6938" s="7">
        <f ca="1">IFERROR(__xludf.DUMMYFUNCTION("""COMPUTED_VALUE"""),1)</f>
        <v>1</v>
      </c>
      <c r="D6938" s="8">
        <f ca="1">IFERROR(__xludf.DUMMYFUNCTION("""COMPUTED_VALUE"""),1)</f>
        <v>1</v>
      </c>
      <c r="E6938" s="2">
        <f ca="1">IFERROR(__xludf.DUMMYFUNCTION("""COMPUTED_VALUE"""),1)</f>
        <v>1</v>
      </c>
    </row>
    <row r="6939" spans="1:5" ht="13">
      <c r="A6939" s="2" t="str">
        <f ca="1">IFERROR(__xludf.DUMMYFUNCTION("""COMPUTED_VALUE"""),"Romeyn, Robert")</f>
        <v>Romeyn, Robert</v>
      </c>
      <c r="B6939" s="3">
        <f ca="1">IFERROR(__xludf.DUMMYFUNCTION("""COMPUTED_VALUE"""),1)</f>
        <v>1</v>
      </c>
      <c r="C6939" s="7">
        <f ca="1">IFERROR(__xludf.DUMMYFUNCTION("""COMPUTED_VALUE"""),1)</f>
        <v>1</v>
      </c>
      <c r="D6939" s="8">
        <f ca="1">IFERROR(__xludf.DUMMYFUNCTION("""COMPUTED_VALUE"""),1)</f>
        <v>1</v>
      </c>
      <c r="E6939" s="2">
        <f ca="1">IFERROR(__xludf.DUMMYFUNCTION("""COMPUTED_VALUE"""),1)</f>
        <v>1</v>
      </c>
    </row>
    <row r="6940" spans="1:5" ht="13">
      <c r="A6940" s="8" t="str">
        <f ca="1">IFERROR(__xludf.DUMMYFUNCTION("""COMPUTED_VALUE"""),"Romig, James")</f>
        <v>Romig, James</v>
      </c>
      <c r="B6940" s="3">
        <f ca="1">IFERROR(__xludf.DUMMYFUNCTION("""COMPUTED_VALUE"""),1)</f>
        <v>1</v>
      </c>
      <c r="C6940" s="7">
        <f ca="1">IFERROR(__xludf.DUMMYFUNCTION("""COMPUTED_VALUE"""),1)</f>
        <v>1</v>
      </c>
      <c r="D6940" s="8">
        <f ca="1">IFERROR(__xludf.DUMMYFUNCTION("""COMPUTED_VALUE"""),1)</f>
        <v>1</v>
      </c>
      <c r="E6940" s="2">
        <f ca="1">IFERROR(__xludf.DUMMYFUNCTION("""COMPUTED_VALUE"""),1)</f>
        <v>1</v>
      </c>
    </row>
    <row r="6941" spans="1:5" ht="13">
      <c r="A6941" s="2" t="str">
        <f ca="1">IFERROR(__xludf.DUMMYFUNCTION("""COMPUTED_VALUE"""),"Romm, Ronald")</f>
        <v>Romm, Ronald</v>
      </c>
      <c r="B6941" s="3">
        <f ca="1">IFERROR(__xludf.DUMMYFUNCTION("""COMPUTED_VALUE"""),1)</f>
        <v>1</v>
      </c>
      <c r="C6941" s="7">
        <f ca="1">IFERROR(__xludf.DUMMYFUNCTION("""COMPUTED_VALUE"""),1)</f>
        <v>1</v>
      </c>
      <c r="D6941" s="8">
        <f ca="1">IFERROR(__xludf.DUMMYFUNCTION("""COMPUTED_VALUE"""),1)</f>
        <v>1</v>
      </c>
      <c r="E6941" s="2">
        <f ca="1">IFERROR(__xludf.DUMMYFUNCTION("""COMPUTED_VALUE"""),1)</f>
        <v>1</v>
      </c>
    </row>
    <row r="6942" spans="1:5" ht="13">
      <c r="A6942" s="2" t="str">
        <f ca="1">IFERROR(__xludf.DUMMYFUNCTION("""COMPUTED_VALUE"""),"Ronneburg, Karl")</f>
        <v>Ronneburg, Karl</v>
      </c>
      <c r="B6942" s="2">
        <f ca="1">IFERROR(__xludf.DUMMYFUNCTION("""COMPUTED_VALUE"""),1)</f>
        <v>1</v>
      </c>
      <c r="C6942" s="7">
        <f ca="1">IFERROR(__xludf.DUMMYFUNCTION("""COMPUTED_VALUE"""),1)</f>
        <v>1</v>
      </c>
      <c r="D6942" s="8">
        <f ca="1">IFERROR(__xludf.DUMMYFUNCTION("""COMPUTED_VALUE"""),1)</f>
        <v>1</v>
      </c>
      <c r="E6942" s="2">
        <f ca="1">IFERROR(__xludf.DUMMYFUNCTION("""COMPUTED_VALUE"""),1)</f>
        <v>1</v>
      </c>
    </row>
    <row r="6943" spans="1:5" ht="13">
      <c r="A6943" s="2" t="str">
        <f ca="1">IFERROR(__xludf.DUMMYFUNCTION("""COMPUTED_VALUE"""),"Roode, Alex")</f>
        <v>Roode, Alex</v>
      </c>
      <c r="B6943" s="3">
        <f ca="1">IFERROR(__xludf.DUMMYFUNCTION("""COMPUTED_VALUE"""),1)</f>
        <v>1</v>
      </c>
      <c r="C6943" s="7">
        <f ca="1">IFERROR(__xludf.DUMMYFUNCTION("""COMPUTED_VALUE"""),1)</f>
        <v>1</v>
      </c>
      <c r="D6943" s="8">
        <f ca="1">IFERROR(__xludf.DUMMYFUNCTION("""COMPUTED_VALUE"""),1)</f>
        <v>1</v>
      </c>
      <c r="E6943" s="2">
        <f ca="1">IFERROR(__xludf.DUMMYFUNCTION("""COMPUTED_VALUE"""),1)</f>
        <v>1</v>
      </c>
    </row>
    <row r="6944" spans="1:5" ht="13">
      <c r="A6944" s="2" t="str">
        <f ca="1">IFERROR(__xludf.DUMMYFUNCTION("""COMPUTED_VALUE"""),"Root, George")</f>
        <v>Root, George</v>
      </c>
      <c r="B6944" s="3">
        <f ca="1">IFERROR(__xludf.DUMMYFUNCTION("""COMPUTED_VALUE"""),1)</f>
        <v>1</v>
      </c>
      <c r="C6944" s="7">
        <f ca="1">IFERROR(__xludf.DUMMYFUNCTION("""COMPUTED_VALUE"""),1)</f>
        <v>1</v>
      </c>
      <c r="D6944" s="8">
        <f ca="1">IFERROR(__xludf.DUMMYFUNCTION("""COMPUTED_VALUE"""),5)</f>
        <v>5</v>
      </c>
      <c r="E6944" s="2">
        <f ca="1">IFERROR(__xludf.DUMMYFUNCTION("""COMPUTED_VALUE"""),2)</f>
        <v>2</v>
      </c>
    </row>
    <row r="6945" spans="1:5" ht="13">
      <c r="A6945" s="2" t="str">
        <f ca="1">IFERROR(__xludf.DUMMYFUNCTION("""COMPUTED_VALUE"""),"Root, George F.")</f>
        <v>Root, George F.</v>
      </c>
      <c r="B6945" s="3">
        <f ca="1">IFERROR(__xludf.DUMMYFUNCTION("""COMPUTED_VALUE"""),1)</f>
        <v>1</v>
      </c>
      <c r="C6945" s="7">
        <f ca="1">IFERROR(__xludf.DUMMYFUNCTION("""COMPUTED_VALUE"""),1)</f>
        <v>1</v>
      </c>
      <c r="D6945" s="8">
        <f ca="1">IFERROR(__xludf.DUMMYFUNCTION("""COMPUTED_VALUE"""),5)</f>
        <v>5</v>
      </c>
      <c r="E6945" s="2">
        <f ca="1">IFERROR(__xludf.DUMMYFUNCTION("""COMPUTED_VALUE"""),2)</f>
        <v>2</v>
      </c>
    </row>
    <row r="6946" spans="1:5" ht="13">
      <c r="A6946" s="2" t="str">
        <f ca="1">IFERROR(__xludf.DUMMYFUNCTION("""COMPUTED_VALUE"""),"Root, Thomas")</f>
        <v>Root, Thomas</v>
      </c>
      <c r="B6946" s="3">
        <f ca="1">IFERROR(__xludf.DUMMYFUNCTION("""COMPUTED_VALUE"""),1)</f>
        <v>1</v>
      </c>
      <c r="C6946" s="7">
        <f ca="1">IFERROR(__xludf.DUMMYFUNCTION("""COMPUTED_VALUE"""),1)</f>
        <v>1</v>
      </c>
      <c r="D6946" s="8">
        <f ca="1">IFERROR(__xludf.DUMMYFUNCTION("""COMPUTED_VALUE"""),1)</f>
        <v>1</v>
      </c>
      <c r="E6946" s="2">
        <f ca="1">IFERROR(__xludf.DUMMYFUNCTION("""COMPUTED_VALUE"""),1)</f>
        <v>1</v>
      </c>
    </row>
    <row r="6947" spans="1:5" ht="13">
      <c r="A6947" s="2" t="str">
        <f ca="1">IFERROR(__xludf.DUMMYFUNCTION("""COMPUTED_VALUE"""),"Ropartz, Joseph")</f>
        <v>Ropartz, Joseph</v>
      </c>
      <c r="B6947" s="2">
        <f ca="1">IFERROR(__xludf.DUMMYFUNCTION("""COMPUTED_VALUE"""),1)</f>
        <v>1</v>
      </c>
      <c r="C6947" s="7">
        <f ca="1">IFERROR(__xludf.DUMMYFUNCTION("""COMPUTED_VALUE"""),1)</f>
        <v>1</v>
      </c>
      <c r="D6947" s="8">
        <f ca="1">IFERROR(__xludf.DUMMYFUNCTION("""COMPUTED_VALUE"""),5)</f>
        <v>5</v>
      </c>
      <c r="E6947" s="2">
        <f ca="1">IFERROR(__xludf.DUMMYFUNCTION("""COMPUTED_VALUE"""),2)</f>
        <v>2</v>
      </c>
    </row>
    <row r="6948" spans="1:5" ht="13">
      <c r="A6948" s="2" t="str">
        <f ca="1">IFERROR(__xludf.DUMMYFUNCTION("""COMPUTED_VALUE"""),"Rore, Cipriano de")</f>
        <v>Rore, Cipriano de</v>
      </c>
      <c r="B6948" s="3">
        <f ca="1">IFERROR(__xludf.DUMMYFUNCTION("""COMPUTED_VALUE"""),1)</f>
        <v>1</v>
      </c>
      <c r="C6948" s="7">
        <f ca="1">IFERROR(__xludf.DUMMYFUNCTION("""COMPUTED_VALUE"""),1)</f>
        <v>1</v>
      </c>
      <c r="D6948" s="8">
        <f ca="1">IFERROR(__xludf.DUMMYFUNCTION("""COMPUTED_VALUE"""),5)</f>
        <v>5</v>
      </c>
      <c r="E6948" s="2">
        <f ca="1">IFERROR(__xludf.DUMMYFUNCTION("""COMPUTED_VALUE"""),2)</f>
        <v>2</v>
      </c>
    </row>
    <row r="6949" spans="1:5" ht="13">
      <c r="A6949" s="2" t="str">
        <f ca="1">IFERROR(__xludf.DUMMYFUNCTION("""COMPUTED_VALUE"""),"Rorem, Ned")</f>
        <v>Rorem, Ned</v>
      </c>
      <c r="B6949" s="3">
        <f ca="1">IFERROR(__xludf.DUMMYFUNCTION("""COMPUTED_VALUE"""),1)</f>
        <v>1</v>
      </c>
      <c r="C6949" s="7">
        <f ca="1">IFERROR(__xludf.DUMMYFUNCTION("""COMPUTED_VALUE"""),1)</f>
        <v>1</v>
      </c>
      <c r="D6949" s="8">
        <f ca="1">IFERROR(__xludf.DUMMYFUNCTION("""COMPUTED_VALUE"""),5)</f>
        <v>5</v>
      </c>
      <c r="E6949" s="2">
        <f ca="1">IFERROR(__xludf.DUMMYFUNCTION("""COMPUTED_VALUE"""),2)</f>
        <v>2</v>
      </c>
    </row>
    <row r="6950" spans="1:5" ht="13">
      <c r="A6950" s="2" t="str">
        <f ca="1">IFERROR(__xludf.DUMMYFUNCTION("""COMPUTED_VALUE"""),"Rose, Onsby")</f>
        <v>Rose, Onsby</v>
      </c>
      <c r="B6950" s="3">
        <f ca="1">IFERROR(__xludf.DUMMYFUNCTION("""COMPUTED_VALUE"""),1)</f>
        <v>1</v>
      </c>
      <c r="C6950" s="7">
        <f ca="1">IFERROR(__xludf.DUMMYFUNCTION("""COMPUTED_VALUE"""),1)</f>
        <v>1</v>
      </c>
      <c r="D6950" s="8">
        <f ca="1">IFERROR(__xludf.DUMMYFUNCTION("""COMPUTED_VALUE"""),1)</f>
        <v>1</v>
      </c>
      <c r="E6950" s="2">
        <f ca="1">IFERROR(__xludf.DUMMYFUNCTION("""COMPUTED_VALUE"""),1)</f>
        <v>1</v>
      </c>
    </row>
    <row r="6951" spans="1:5" ht="13">
      <c r="A6951" s="2" t="str">
        <f ca="1">IFERROR(__xludf.DUMMYFUNCTION("""COMPUTED_VALUE"""),"Rose, Sheldon")</f>
        <v>Rose, Sheldon</v>
      </c>
      <c r="B6951" s="3">
        <f ca="1">IFERROR(__xludf.DUMMYFUNCTION("""COMPUTED_VALUE"""),1)</f>
        <v>1</v>
      </c>
      <c r="C6951" s="7">
        <f ca="1">IFERROR(__xludf.DUMMYFUNCTION("""COMPUTED_VALUE"""),1)</f>
        <v>1</v>
      </c>
      <c r="D6951" s="8">
        <f ca="1">IFERROR(__xludf.DUMMYFUNCTION("""COMPUTED_VALUE"""),1)</f>
        <v>1</v>
      </c>
      <c r="E6951" s="2">
        <f ca="1">IFERROR(__xludf.DUMMYFUNCTION("""COMPUTED_VALUE"""),1)</f>
        <v>1</v>
      </c>
    </row>
    <row r="6952" spans="1:5" ht="13">
      <c r="A6952" s="2" t="str">
        <f ca="1">IFERROR(__xludf.DUMMYFUNCTION("""COMPUTED_VALUE"""),"Rose, Vincent / Jolson, Al / DeSylva, B.G")</f>
        <v>Rose, Vincent / Jolson, Al / DeSylva, B.G</v>
      </c>
      <c r="B6952" s="2">
        <f ca="1">IFERROR(__xludf.DUMMYFUNCTION("""COMPUTED_VALUE"""),1)</f>
        <v>1</v>
      </c>
      <c r="C6952" s="7">
        <f ca="1">IFERROR(__xludf.DUMMYFUNCTION("""COMPUTED_VALUE"""),1)</f>
        <v>1</v>
      </c>
      <c r="D6952" s="8">
        <f ca="1">IFERROR(__xludf.DUMMYFUNCTION("""COMPUTED_VALUE"""),5)</f>
        <v>5</v>
      </c>
      <c r="E6952" s="2">
        <f ca="1">IFERROR(__xludf.DUMMYFUNCTION("""COMPUTED_VALUE"""),2)</f>
        <v>2</v>
      </c>
    </row>
    <row r="6953" spans="1:5" ht="13">
      <c r="A6953" s="8" t="str">
        <f ca="1">IFERROR(__xludf.DUMMYFUNCTION("""COMPUTED_VALUE"""),"Rose, William")</f>
        <v>Rose, William</v>
      </c>
      <c r="B6953" s="3">
        <f ca="1">IFERROR(__xludf.DUMMYFUNCTION("""COMPUTED_VALUE"""),1)</f>
        <v>1</v>
      </c>
      <c r="C6953" s="7">
        <f ca="1">IFERROR(__xludf.DUMMYFUNCTION("""COMPUTED_VALUE"""),1)</f>
        <v>1</v>
      </c>
      <c r="D6953" s="8">
        <f ca="1">IFERROR(__xludf.DUMMYFUNCTION("""COMPUTED_VALUE"""),1)</f>
        <v>1</v>
      </c>
      <c r="E6953" s="2">
        <f ca="1">IFERROR(__xludf.DUMMYFUNCTION("""COMPUTED_VALUE"""),1)</f>
        <v>1</v>
      </c>
    </row>
    <row r="6954" spans="1:5" ht="13">
      <c r="A6954" s="8" t="str">
        <f ca="1">IFERROR(__xludf.DUMMYFUNCTION("""COMPUTED_VALUE"""),"Rosenberg, Earl")</f>
        <v>Rosenberg, Earl</v>
      </c>
      <c r="B6954" s="9">
        <f ca="1">IFERROR(__xludf.DUMMYFUNCTION("""COMPUTED_VALUE"""),1)</f>
        <v>1</v>
      </c>
      <c r="C6954" s="7">
        <f ca="1">IFERROR(__xludf.DUMMYFUNCTION("""COMPUTED_VALUE"""),1)</f>
        <v>1</v>
      </c>
      <c r="D6954" s="8">
        <f ca="1">IFERROR(__xludf.DUMMYFUNCTION("""COMPUTED_VALUE"""),5)</f>
        <v>5</v>
      </c>
      <c r="E6954" s="9">
        <f ca="1">IFERROR(__xludf.DUMMYFUNCTION("""COMPUTED_VALUE"""),2)</f>
        <v>2</v>
      </c>
    </row>
    <row r="6955" spans="1:5" ht="13">
      <c r="A6955" s="2" t="str">
        <f ca="1">IFERROR(__xludf.DUMMYFUNCTION("""COMPUTED_VALUE"""),"Rosenberg, Hilding")</f>
        <v>Rosenberg, Hilding</v>
      </c>
      <c r="B6955" s="2">
        <f ca="1">IFERROR(__xludf.DUMMYFUNCTION("""COMPUTED_VALUE"""),1)</f>
        <v>1</v>
      </c>
      <c r="C6955" s="7">
        <f ca="1">IFERROR(__xludf.DUMMYFUNCTION("""COMPUTED_VALUE"""),1)</f>
        <v>1</v>
      </c>
      <c r="D6955" s="8">
        <f ca="1">IFERROR(__xludf.DUMMYFUNCTION("""COMPUTED_VALUE"""),5)</f>
        <v>5</v>
      </c>
      <c r="E6955" s="2">
        <f ca="1">IFERROR(__xludf.DUMMYFUNCTION("""COMPUTED_VALUE"""),2)</f>
        <v>2</v>
      </c>
    </row>
    <row r="6956" spans="1:5" ht="13">
      <c r="A6956" s="2" t="str">
        <f ca="1">IFERROR(__xludf.DUMMYFUNCTION("""COMPUTED_VALUE"""),"Rosenberg, Stochelo")</f>
        <v>Rosenberg, Stochelo</v>
      </c>
      <c r="B6956" s="2">
        <f ca="1">IFERROR(__xludf.DUMMYFUNCTION("""COMPUTED_VALUE"""),1)</f>
        <v>1</v>
      </c>
      <c r="C6956" s="7">
        <f ca="1">IFERROR(__xludf.DUMMYFUNCTION("""COMPUTED_VALUE"""),1)</f>
        <v>1</v>
      </c>
      <c r="D6956" s="8">
        <f ca="1">IFERROR(__xludf.DUMMYFUNCTION("""COMPUTED_VALUE"""),1)</f>
        <v>1</v>
      </c>
      <c r="E6956" s="2">
        <f ca="1">IFERROR(__xludf.DUMMYFUNCTION("""COMPUTED_VALUE"""),1)</f>
        <v>1</v>
      </c>
    </row>
    <row r="6957" spans="1:5" ht="13">
      <c r="A6957" s="2" t="str">
        <f ca="1">IFERROR(__xludf.DUMMYFUNCTION("""COMPUTED_VALUE"""),"Rosenblum, Yair")</f>
        <v>Rosenblum, Yair</v>
      </c>
      <c r="B6957" s="2">
        <f ca="1">IFERROR(__xludf.DUMMYFUNCTION("""COMPUTED_VALUE"""),1)</f>
        <v>1</v>
      </c>
      <c r="C6957" s="7">
        <f ca="1">IFERROR(__xludf.DUMMYFUNCTION("""COMPUTED_VALUE"""),1)</f>
        <v>1</v>
      </c>
      <c r="D6957" s="8">
        <f ca="1">IFERROR(__xludf.DUMMYFUNCTION("""COMPUTED_VALUE"""),5)</f>
        <v>5</v>
      </c>
      <c r="E6957" s="2">
        <f ca="1">IFERROR(__xludf.DUMMYFUNCTION("""COMPUTED_VALUE"""),2)</f>
        <v>2</v>
      </c>
    </row>
    <row r="6958" spans="1:5" ht="13">
      <c r="A6958" s="2" t="str">
        <f ca="1">IFERROR(__xludf.DUMMYFUNCTION("""COMPUTED_VALUE"""),"Rosendahl, Niels")</f>
        <v>Rosendahl, Niels</v>
      </c>
      <c r="B6958" s="2">
        <f ca="1">IFERROR(__xludf.DUMMYFUNCTION("""COMPUTED_VALUE"""),1)</f>
        <v>1</v>
      </c>
      <c r="C6958" s="7">
        <f ca="1">IFERROR(__xludf.DUMMYFUNCTION("""COMPUTED_VALUE"""),1)</f>
        <v>1</v>
      </c>
      <c r="D6958" s="8">
        <f ca="1">IFERROR(__xludf.DUMMYFUNCTION("""COMPUTED_VALUE"""),1)</f>
        <v>1</v>
      </c>
      <c r="E6958" s="2">
        <f ca="1">IFERROR(__xludf.DUMMYFUNCTION("""COMPUTED_VALUE"""),1)</f>
        <v>1</v>
      </c>
    </row>
    <row r="6959" spans="1:5" ht="13">
      <c r="A6959" s="2" t="str">
        <f ca="1">IFERROR(__xludf.DUMMYFUNCTION("""COMPUTED_VALUE"""),"Rosenhaus, Steven L.")</f>
        <v>Rosenhaus, Steven L.</v>
      </c>
      <c r="B6959" s="3">
        <f ca="1">IFERROR(__xludf.DUMMYFUNCTION("""COMPUTED_VALUE"""),1)</f>
        <v>1</v>
      </c>
      <c r="C6959" s="7">
        <f ca="1">IFERROR(__xludf.DUMMYFUNCTION("""COMPUTED_VALUE"""),1)</f>
        <v>1</v>
      </c>
      <c r="D6959" s="8">
        <f ca="1">IFERROR(__xludf.DUMMYFUNCTION("""COMPUTED_VALUE"""),1)</f>
        <v>1</v>
      </c>
      <c r="E6959" s="2">
        <f ca="1">IFERROR(__xludf.DUMMYFUNCTION("""COMPUTED_VALUE"""),1)</f>
        <v>1</v>
      </c>
    </row>
    <row r="6960" spans="1:5" ht="13">
      <c r="A6960" s="2" t="str">
        <f ca="1">IFERROR(__xludf.DUMMYFUNCTION("""COMPUTED_VALUE"""),"Rosenkrans, George")</f>
        <v>Rosenkrans, George</v>
      </c>
      <c r="B6960" s="3">
        <f ca="1">IFERROR(__xludf.DUMMYFUNCTION("""COMPUTED_VALUE"""),1)</f>
        <v>1</v>
      </c>
      <c r="C6960" s="7">
        <f ca="1">IFERROR(__xludf.DUMMYFUNCTION("""COMPUTED_VALUE"""),1)</f>
        <v>1</v>
      </c>
      <c r="D6960" s="8">
        <f ca="1">IFERROR(__xludf.DUMMYFUNCTION("""COMPUTED_VALUE"""),5)</f>
        <v>5</v>
      </c>
      <c r="E6960" s="2">
        <f ca="1">IFERROR(__xludf.DUMMYFUNCTION("""COMPUTED_VALUE"""),2)</f>
        <v>2</v>
      </c>
    </row>
    <row r="6961" spans="1:5" ht="13">
      <c r="A6961" s="2" t="str">
        <f ca="1">IFERROR(__xludf.DUMMYFUNCTION("""COMPUTED_VALUE"""),"Rosenmuller, Johann")</f>
        <v>Rosenmuller, Johann</v>
      </c>
      <c r="B6961" s="2">
        <f ca="1">IFERROR(__xludf.DUMMYFUNCTION("""COMPUTED_VALUE"""),1)</f>
        <v>1</v>
      </c>
      <c r="C6961" s="7">
        <f ca="1">IFERROR(__xludf.DUMMYFUNCTION("""COMPUTED_VALUE"""),1)</f>
        <v>1</v>
      </c>
      <c r="D6961" s="8">
        <f ca="1">IFERROR(__xludf.DUMMYFUNCTION("""COMPUTED_VALUE"""),5)</f>
        <v>5</v>
      </c>
      <c r="E6961" s="2">
        <f ca="1">IFERROR(__xludf.DUMMYFUNCTION("""COMPUTED_VALUE"""),2)</f>
        <v>2</v>
      </c>
    </row>
    <row r="6962" spans="1:5" ht="13">
      <c r="A6962" s="2" t="str">
        <f ca="1">IFERROR(__xludf.DUMMYFUNCTION("""COMPUTED_VALUE"""),"Rosenthal, Manuel")</f>
        <v>Rosenthal, Manuel</v>
      </c>
      <c r="B6962" s="3">
        <f ca="1">IFERROR(__xludf.DUMMYFUNCTION("""COMPUTED_VALUE"""),1)</f>
        <v>1</v>
      </c>
      <c r="C6962" s="7">
        <f ca="1">IFERROR(__xludf.DUMMYFUNCTION("""COMPUTED_VALUE"""),1)</f>
        <v>1</v>
      </c>
      <c r="D6962" s="8">
        <f ca="1">IFERROR(__xludf.DUMMYFUNCTION("""COMPUTED_VALUE"""),5)</f>
        <v>5</v>
      </c>
      <c r="E6962" s="2">
        <f ca="1">IFERROR(__xludf.DUMMYFUNCTION("""COMPUTED_VALUE"""),2)</f>
        <v>2</v>
      </c>
    </row>
    <row r="6963" spans="1:5" ht="13">
      <c r="A6963" s="2" t="str">
        <f ca="1">IFERROR(__xludf.DUMMYFUNCTION("""COMPUTED_VALUE"""),"Rosetti, Francesco Antonio")</f>
        <v>Rosetti, Francesco Antonio</v>
      </c>
      <c r="B6963" s="3">
        <f ca="1">IFERROR(__xludf.DUMMYFUNCTION("""COMPUTED_VALUE"""),1)</f>
        <v>1</v>
      </c>
      <c r="C6963" s="7">
        <f ca="1">IFERROR(__xludf.DUMMYFUNCTION("""COMPUTED_VALUE"""),1)</f>
        <v>1</v>
      </c>
      <c r="D6963" s="8">
        <f ca="1">IFERROR(__xludf.DUMMYFUNCTION("""COMPUTED_VALUE"""),5)</f>
        <v>5</v>
      </c>
      <c r="E6963" s="2">
        <f ca="1">IFERROR(__xludf.DUMMYFUNCTION("""COMPUTED_VALUE"""),2)</f>
        <v>2</v>
      </c>
    </row>
    <row r="6964" spans="1:5" ht="13">
      <c r="A6964" s="2" t="str">
        <f ca="1">IFERROR(__xludf.DUMMYFUNCTION("""COMPUTED_VALUE"""),"Rosner, Graeme")</f>
        <v>Rosner, Graeme</v>
      </c>
      <c r="B6964" s="3">
        <f ca="1">IFERROR(__xludf.DUMMYFUNCTION("""COMPUTED_VALUE"""),1)</f>
        <v>1</v>
      </c>
      <c r="C6964" s="7">
        <f ca="1">IFERROR(__xludf.DUMMYFUNCTION("""COMPUTED_VALUE"""),1)</f>
        <v>1</v>
      </c>
      <c r="D6964" s="8">
        <f ca="1">IFERROR(__xludf.DUMMYFUNCTION("""COMPUTED_VALUE"""),1)</f>
        <v>1</v>
      </c>
      <c r="E6964" s="2">
        <f ca="1">IFERROR(__xludf.DUMMYFUNCTION("""COMPUTED_VALUE"""),1)</f>
        <v>1</v>
      </c>
    </row>
    <row r="6965" spans="1:5" ht="13">
      <c r="A6965" s="2" t="str">
        <f ca="1">IFERROR(__xludf.DUMMYFUNCTION("""COMPUTED_VALUE"""),"Ross, Brad")</f>
        <v>Ross, Brad</v>
      </c>
      <c r="B6965" s="2">
        <f ca="1">IFERROR(__xludf.DUMMYFUNCTION("""COMPUTED_VALUE"""),1)</f>
        <v>1</v>
      </c>
      <c r="C6965" s="2">
        <f ca="1">IFERROR(__xludf.DUMMYFUNCTION("""COMPUTED_VALUE"""),1)</f>
        <v>1</v>
      </c>
      <c r="D6965" s="8">
        <f ca="1">IFERROR(__xludf.DUMMYFUNCTION("""COMPUTED_VALUE"""),1)</f>
        <v>1</v>
      </c>
      <c r="E6965" s="2">
        <f ca="1">IFERROR(__xludf.DUMMYFUNCTION("""COMPUTED_VALUE"""),1)</f>
        <v>1</v>
      </c>
    </row>
    <row r="6966" spans="1:5" ht="13">
      <c r="A6966" s="2" t="str">
        <f ca="1">IFERROR(__xludf.DUMMYFUNCTION("""COMPUTED_VALUE"""),"Ross, Conrad")</f>
        <v>Ross, Conrad</v>
      </c>
      <c r="B6966" s="3">
        <f ca="1">IFERROR(__xludf.DUMMYFUNCTION("""COMPUTED_VALUE"""),1)</f>
        <v>1</v>
      </c>
      <c r="C6966" s="7">
        <f ca="1">IFERROR(__xludf.DUMMYFUNCTION("""COMPUTED_VALUE"""),1)</f>
        <v>1</v>
      </c>
      <c r="D6966" s="8">
        <f ca="1">IFERROR(__xludf.DUMMYFUNCTION("""COMPUTED_VALUE"""),5)</f>
        <v>5</v>
      </c>
      <c r="E6966" s="2">
        <f ca="1">IFERROR(__xludf.DUMMYFUNCTION("""COMPUTED_VALUE"""),2)</f>
        <v>2</v>
      </c>
    </row>
    <row r="6967" spans="1:5" ht="13">
      <c r="A6967" s="2" t="str">
        <f ca="1">IFERROR(__xludf.DUMMYFUNCTION("""COMPUTED_VALUE"""),"Ross, Florian")</f>
        <v>Ross, Florian</v>
      </c>
      <c r="B6967" s="3">
        <f ca="1">IFERROR(__xludf.DUMMYFUNCTION("""COMPUTED_VALUE"""),1)</f>
        <v>1</v>
      </c>
      <c r="C6967" s="7">
        <f ca="1">IFERROR(__xludf.DUMMYFUNCTION("""COMPUTED_VALUE"""),1)</f>
        <v>1</v>
      </c>
      <c r="D6967" s="8">
        <f ca="1">IFERROR(__xludf.DUMMYFUNCTION("""COMPUTED_VALUE"""),5)</f>
        <v>5</v>
      </c>
      <c r="E6967" s="2">
        <f ca="1">IFERROR(__xludf.DUMMYFUNCTION("""COMPUTED_VALUE"""),2)</f>
        <v>2</v>
      </c>
    </row>
    <row r="6968" spans="1:5" ht="13">
      <c r="A6968" s="8" t="str">
        <f ca="1">IFERROR(__xludf.DUMMYFUNCTION("""COMPUTED_VALUE"""),"Rosseter, Philip")</f>
        <v>Rosseter, Philip</v>
      </c>
      <c r="B6968" s="3">
        <f ca="1">IFERROR(__xludf.DUMMYFUNCTION("""COMPUTED_VALUE"""),1)</f>
        <v>1</v>
      </c>
      <c r="C6968" s="7">
        <f ca="1">IFERROR(__xludf.DUMMYFUNCTION("""COMPUTED_VALUE"""),1)</f>
        <v>1</v>
      </c>
      <c r="D6968" s="8">
        <f ca="1">IFERROR(__xludf.DUMMYFUNCTION("""COMPUTED_VALUE"""),1)</f>
        <v>1</v>
      </c>
      <c r="E6968" s="2">
        <f ca="1">IFERROR(__xludf.DUMMYFUNCTION("""COMPUTED_VALUE"""),1)</f>
        <v>1</v>
      </c>
    </row>
    <row r="6969" spans="1:5" ht="13">
      <c r="A6969" s="8" t="str">
        <f ca="1">IFERROR(__xludf.DUMMYFUNCTION("""COMPUTED_VALUE"""),"Rossi, Salamone")</f>
        <v>Rossi, Salamone</v>
      </c>
      <c r="B6969" s="3">
        <f ca="1">IFERROR(__xludf.DUMMYFUNCTION("""COMPUTED_VALUE"""),1)</f>
        <v>1</v>
      </c>
      <c r="C6969" s="7">
        <f ca="1">IFERROR(__xludf.DUMMYFUNCTION("""COMPUTED_VALUE"""),1)</f>
        <v>1</v>
      </c>
      <c r="D6969" s="8">
        <f ca="1">IFERROR(__xludf.DUMMYFUNCTION("""COMPUTED_VALUE"""),5)</f>
        <v>5</v>
      </c>
      <c r="E6969" s="2">
        <f ca="1">IFERROR(__xludf.DUMMYFUNCTION("""COMPUTED_VALUE"""),2)</f>
        <v>2</v>
      </c>
    </row>
    <row r="6970" spans="1:5" ht="13">
      <c r="A6970" s="2" t="str">
        <f ca="1">IFERROR(__xludf.DUMMYFUNCTION("""COMPUTED_VALUE"""),"Rossini, Gioachino")</f>
        <v>Rossini, Gioachino</v>
      </c>
      <c r="B6970" s="3">
        <f ca="1">IFERROR(__xludf.DUMMYFUNCTION("""COMPUTED_VALUE"""),1)</f>
        <v>1</v>
      </c>
      <c r="C6970" s="7">
        <f ca="1">IFERROR(__xludf.DUMMYFUNCTION("""COMPUTED_VALUE"""),1)</f>
        <v>1</v>
      </c>
      <c r="D6970" s="8">
        <f ca="1">IFERROR(__xludf.DUMMYFUNCTION("""COMPUTED_VALUE"""),5)</f>
        <v>5</v>
      </c>
      <c r="E6970" s="2">
        <f ca="1">IFERROR(__xludf.DUMMYFUNCTION("""COMPUTED_VALUE"""),2)</f>
        <v>2</v>
      </c>
    </row>
    <row r="6971" spans="1:5" ht="13">
      <c r="A6971" s="2" t="str">
        <f ca="1">IFERROR(__xludf.DUMMYFUNCTION("""COMPUTED_VALUE"""),"Rossini, Gioachino / Respighi, Ottorino")</f>
        <v>Rossini, Gioachino / Respighi, Ottorino</v>
      </c>
      <c r="B6971" s="3">
        <f ca="1">IFERROR(__xludf.DUMMYFUNCTION("""COMPUTED_VALUE"""),1)</f>
        <v>1</v>
      </c>
      <c r="C6971" s="7">
        <f ca="1">IFERROR(__xludf.DUMMYFUNCTION("""COMPUTED_VALUE"""),1)</f>
        <v>1</v>
      </c>
      <c r="D6971" s="8">
        <f ca="1">IFERROR(__xludf.DUMMYFUNCTION("""COMPUTED_VALUE"""),5)</f>
        <v>5</v>
      </c>
      <c r="E6971" s="2">
        <f ca="1">IFERROR(__xludf.DUMMYFUNCTION("""COMPUTED_VALUE"""),2)</f>
        <v>2</v>
      </c>
    </row>
    <row r="6972" spans="1:5" ht="13">
      <c r="A6972" s="8" t="str">
        <f ca="1">IFERROR(__xludf.DUMMYFUNCTION("""COMPUTED_VALUE"""),"Rossow, David")</f>
        <v>Rossow, David</v>
      </c>
      <c r="B6972" s="3">
        <f ca="1">IFERROR(__xludf.DUMMYFUNCTION("""COMPUTED_VALUE"""),1)</f>
        <v>1</v>
      </c>
      <c r="C6972" s="7">
        <f ca="1">IFERROR(__xludf.DUMMYFUNCTION("""COMPUTED_VALUE"""),1)</f>
        <v>1</v>
      </c>
      <c r="D6972" s="8">
        <f ca="1">IFERROR(__xludf.DUMMYFUNCTION("""COMPUTED_VALUE"""),1)</f>
        <v>1</v>
      </c>
      <c r="E6972" s="2">
        <f ca="1">IFERROR(__xludf.DUMMYFUNCTION("""COMPUTED_VALUE"""),1)</f>
        <v>1</v>
      </c>
    </row>
    <row r="6973" spans="1:5" ht="13">
      <c r="A6973" s="8" t="str">
        <f ca="1">IFERROR(__xludf.DUMMYFUNCTION("""COMPUTED_VALUE"""),"Rosza, Miklos")</f>
        <v>Rosza, Miklos</v>
      </c>
      <c r="B6973" s="2">
        <f ca="1">IFERROR(__xludf.DUMMYFUNCTION("""COMPUTED_VALUE"""),1)</f>
        <v>1</v>
      </c>
      <c r="C6973" s="7">
        <f ca="1">IFERROR(__xludf.DUMMYFUNCTION("""COMPUTED_VALUE"""),1)</f>
        <v>1</v>
      </c>
      <c r="D6973" s="8">
        <f ca="1">IFERROR(__xludf.DUMMYFUNCTION("""COMPUTED_VALUE"""),5)</f>
        <v>5</v>
      </c>
      <c r="E6973" s="2">
        <f ca="1">IFERROR(__xludf.DUMMYFUNCTION("""COMPUTED_VALUE"""),2)</f>
        <v>2</v>
      </c>
    </row>
    <row r="6974" spans="1:5" ht="13">
      <c r="A6974" s="2" t="str">
        <f ca="1">IFERROR(__xludf.DUMMYFUNCTION("""COMPUTED_VALUE"""),"Roszell, Patrick")</f>
        <v>Roszell, Patrick</v>
      </c>
      <c r="B6974" s="3">
        <f ca="1">IFERROR(__xludf.DUMMYFUNCTION("""COMPUTED_VALUE"""),1)</f>
        <v>1</v>
      </c>
      <c r="C6974" s="7">
        <f ca="1">IFERROR(__xludf.DUMMYFUNCTION("""COMPUTED_VALUE"""),1)</f>
        <v>1</v>
      </c>
      <c r="D6974" s="8">
        <f ca="1">IFERROR(__xludf.DUMMYFUNCTION("""COMPUTED_VALUE"""),1)</f>
        <v>1</v>
      </c>
      <c r="E6974" s="2">
        <f ca="1">IFERROR(__xludf.DUMMYFUNCTION("""COMPUTED_VALUE"""),1)</f>
        <v>1</v>
      </c>
    </row>
    <row r="6975" spans="1:5" ht="13">
      <c r="A6975" s="2" t="str">
        <f ca="1">IFERROR(__xludf.DUMMYFUNCTION("""COMPUTED_VALUE"""),"Rota, Nino")</f>
        <v>Rota, Nino</v>
      </c>
      <c r="B6975" s="3">
        <f ca="1">IFERROR(__xludf.DUMMYFUNCTION("""COMPUTED_VALUE"""),1)</f>
        <v>1</v>
      </c>
      <c r="C6975" s="7">
        <f ca="1">IFERROR(__xludf.DUMMYFUNCTION("""COMPUTED_VALUE"""),1)</f>
        <v>1</v>
      </c>
      <c r="D6975" s="8">
        <f ca="1">IFERROR(__xludf.DUMMYFUNCTION("""COMPUTED_VALUE"""),5)</f>
        <v>5</v>
      </c>
      <c r="E6975" s="2">
        <f ca="1">IFERROR(__xludf.DUMMYFUNCTION("""COMPUTED_VALUE"""),2)</f>
        <v>2</v>
      </c>
    </row>
    <row r="6976" spans="1:5" ht="13">
      <c r="A6976" s="2" t="str">
        <f ca="1">IFERROR(__xludf.DUMMYFUNCTION("""COMPUTED_VALUE"""),"Rotermund, Donald")</f>
        <v>Rotermund, Donald</v>
      </c>
      <c r="B6976" s="3">
        <f ca="1">IFERROR(__xludf.DUMMYFUNCTION("""COMPUTED_VALUE"""),1)</f>
        <v>1</v>
      </c>
      <c r="C6976" s="7">
        <f ca="1">IFERROR(__xludf.DUMMYFUNCTION("""COMPUTED_VALUE"""),1)</f>
        <v>1</v>
      </c>
      <c r="D6976" s="8">
        <f ca="1">IFERROR(__xludf.DUMMYFUNCTION("""COMPUTED_VALUE"""),1)</f>
        <v>1</v>
      </c>
      <c r="E6976" s="2">
        <f ca="1">IFERROR(__xludf.DUMMYFUNCTION("""COMPUTED_VALUE"""),1)</f>
        <v>1</v>
      </c>
    </row>
    <row r="6977" spans="1:5" ht="13">
      <c r="A6977" s="2" t="str">
        <f ca="1">IFERROR(__xludf.DUMMYFUNCTION("""COMPUTED_VALUE"""),"Roth, Jamie")</f>
        <v>Roth, Jamie</v>
      </c>
      <c r="B6977" s="3">
        <f ca="1">IFERROR(__xludf.DUMMYFUNCTION("""COMPUTED_VALUE"""),1)</f>
        <v>1</v>
      </c>
      <c r="C6977" s="7">
        <f ca="1">IFERROR(__xludf.DUMMYFUNCTION("""COMPUTED_VALUE"""),1)</f>
        <v>1</v>
      </c>
      <c r="D6977" s="8">
        <f ca="1">IFERROR(__xludf.DUMMYFUNCTION("""COMPUTED_VALUE"""),1)</f>
        <v>1</v>
      </c>
      <c r="E6977" s="2">
        <f ca="1">IFERROR(__xludf.DUMMYFUNCTION("""COMPUTED_VALUE"""),1)</f>
        <v>1</v>
      </c>
    </row>
    <row r="6978" spans="1:5" ht="13">
      <c r="A6978" s="2" t="str">
        <f ca="1">IFERROR(__xludf.DUMMYFUNCTION("""COMPUTED_VALUE"""),"Rothenberg, Irv")</f>
        <v>Rothenberg, Irv</v>
      </c>
      <c r="B6978" s="3">
        <f ca="1">IFERROR(__xludf.DUMMYFUNCTION("""COMPUTED_VALUE"""),1)</f>
        <v>1</v>
      </c>
      <c r="C6978" s="7">
        <f ca="1">IFERROR(__xludf.DUMMYFUNCTION("""COMPUTED_VALUE"""),1)</f>
        <v>1</v>
      </c>
      <c r="D6978" s="8">
        <f ca="1">IFERROR(__xludf.DUMMYFUNCTION("""COMPUTED_VALUE"""),1)</f>
        <v>1</v>
      </c>
      <c r="E6978" s="2">
        <f ca="1">IFERROR(__xludf.DUMMYFUNCTION("""COMPUTED_VALUE"""),1)</f>
        <v>1</v>
      </c>
    </row>
    <row r="6979" spans="1:5" ht="13">
      <c r="A6979" s="8" t="str">
        <f ca="1">IFERROR(__xludf.DUMMYFUNCTION("""COMPUTED_VALUE"""),"Röthke, Georg")</f>
        <v>Röthke, Georg</v>
      </c>
      <c r="B6979" s="3">
        <f ca="1">IFERROR(__xludf.DUMMYFUNCTION("""COMPUTED_VALUE"""),1)</f>
        <v>1</v>
      </c>
      <c r="C6979" s="7">
        <f ca="1">IFERROR(__xludf.DUMMYFUNCTION("""COMPUTED_VALUE"""),1)</f>
        <v>1</v>
      </c>
      <c r="D6979" s="8">
        <f ca="1">IFERROR(__xludf.DUMMYFUNCTION("""COMPUTED_VALUE"""),5)</f>
        <v>5</v>
      </c>
      <c r="E6979" s="2">
        <f ca="1">IFERROR(__xludf.DUMMYFUNCTION("""COMPUTED_VALUE"""),2)</f>
        <v>2</v>
      </c>
    </row>
    <row r="6980" spans="1:5" ht="13">
      <c r="A6980" s="2" t="str">
        <f ca="1">IFERROR(__xludf.DUMMYFUNCTION("""COMPUTED_VALUE"""),"Rothman, Philip")</f>
        <v>Rothman, Philip</v>
      </c>
      <c r="B6980" s="3">
        <f ca="1">IFERROR(__xludf.DUMMYFUNCTION("""COMPUTED_VALUE"""),1)</f>
        <v>1</v>
      </c>
      <c r="C6980" s="7">
        <f ca="1">IFERROR(__xludf.DUMMYFUNCTION("""COMPUTED_VALUE"""),1)</f>
        <v>1</v>
      </c>
      <c r="D6980" s="8">
        <f ca="1">IFERROR(__xludf.DUMMYFUNCTION("""COMPUTED_VALUE"""),1)</f>
        <v>1</v>
      </c>
      <c r="E6980" s="2">
        <f ca="1">IFERROR(__xludf.DUMMYFUNCTION("""COMPUTED_VALUE"""),1)</f>
        <v>1</v>
      </c>
    </row>
    <row r="6981" spans="1:5" ht="13">
      <c r="A6981" s="2" t="str">
        <f ca="1">IFERROR(__xludf.DUMMYFUNCTION("""COMPUTED_VALUE"""),"Rothrock, Carson")</f>
        <v>Rothrock, Carson</v>
      </c>
      <c r="B6981" s="2">
        <f ca="1">IFERROR(__xludf.DUMMYFUNCTION("""COMPUTED_VALUE"""),1)</f>
        <v>1</v>
      </c>
      <c r="C6981" s="7">
        <f ca="1">IFERROR(__xludf.DUMMYFUNCTION("""COMPUTED_VALUE"""),1)</f>
        <v>1</v>
      </c>
      <c r="D6981" s="8">
        <f ca="1">IFERROR(__xludf.DUMMYFUNCTION("""COMPUTED_VALUE"""),5)</f>
        <v>5</v>
      </c>
      <c r="E6981" s="2">
        <f ca="1">IFERROR(__xludf.DUMMYFUNCTION("""COMPUTED_VALUE"""),2)</f>
        <v>2</v>
      </c>
    </row>
    <row r="6982" spans="1:5" ht="13">
      <c r="A6982" s="2" t="str">
        <f ca="1">IFERROR(__xludf.DUMMYFUNCTION("""COMPUTED_VALUE"""),"Rotolo, Kyle Peter")</f>
        <v>Rotolo, Kyle Peter</v>
      </c>
      <c r="B6982" s="3">
        <f ca="1">IFERROR(__xludf.DUMMYFUNCTION("""COMPUTED_VALUE"""),1)</f>
        <v>1</v>
      </c>
      <c r="C6982" s="7">
        <f ca="1">IFERROR(__xludf.DUMMYFUNCTION("""COMPUTED_VALUE"""),1)</f>
        <v>1</v>
      </c>
      <c r="D6982" s="8">
        <f ca="1">IFERROR(__xludf.DUMMYFUNCTION("""COMPUTED_VALUE"""),1)</f>
        <v>1</v>
      </c>
      <c r="E6982" s="2">
        <f ca="1">IFERROR(__xludf.DUMMYFUNCTION("""COMPUTED_VALUE"""),1)</f>
        <v>1</v>
      </c>
    </row>
    <row r="6983" spans="1:5" ht="13">
      <c r="A6983" s="2" t="str">
        <f ca="1">IFERROR(__xludf.DUMMYFUNCTION("""COMPUTED_VALUE"""),"Rott, Hans")</f>
        <v>Rott, Hans</v>
      </c>
      <c r="B6983" s="3">
        <f ca="1">IFERROR(__xludf.DUMMYFUNCTION("""COMPUTED_VALUE"""),1)</f>
        <v>1</v>
      </c>
      <c r="C6983" s="7">
        <f ca="1">IFERROR(__xludf.DUMMYFUNCTION("""COMPUTED_VALUE"""),1)</f>
        <v>1</v>
      </c>
      <c r="D6983" s="8">
        <f ca="1">IFERROR(__xludf.DUMMYFUNCTION("""COMPUTED_VALUE"""),5)</f>
        <v>5</v>
      </c>
      <c r="E6983" s="2">
        <f ca="1">IFERROR(__xludf.DUMMYFUNCTION("""COMPUTED_VALUE"""),2)</f>
        <v>2</v>
      </c>
    </row>
    <row r="6984" spans="1:5" ht="13">
      <c r="A6984" s="2" t="str">
        <f ca="1">IFERROR(__xludf.DUMMYFUNCTION("""COMPUTED_VALUE"""),"Rotz, Stephen")</f>
        <v>Rotz, Stephen</v>
      </c>
      <c r="B6984" s="3">
        <f ca="1">IFERROR(__xludf.DUMMYFUNCTION("""COMPUTED_VALUE"""),1)</f>
        <v>1</v>
      </c>
      <c r="C6984" s="7">
        <f ca="1">IFERROR(__xludf.DUMMYFUNCTION("""COMPUTED_VALUE"""),1)</f>
        <v>1</v>
      </c>
      <c r="D6984" s="8">
        <f ca="1">IFERROR(__xludf.DUMMYFUNCTION("""COMPUTED_VALUE"""),1)</f>
        <v>1</v>
      </c>
      <c r="E6984" s="2">
        <f ca="1">IFERROR(__xludf.DUMMYFUNCTION("""COMPUTED_VALUE"""),1)</f>
        <v>1</v>
      </c>
    </row>
    <row r="6985" spans="1:5" ht="13">
      <c r="A6985" s="2" t="str">
        <f ca="1">IFERROR(__xludf.DUMMYFUNCTION("""COMPUTED_VALUE"""),"Rouse, Christopher")</f>
        <v>Rouse, Christopher</v>
      </c>
      <c r="B6985" s="3">
        <f ca="1">IFERROR(__xludf.DUMMYFUNCTION("""COMPUTED_VALUE"""),1)</f>
        <v>1</v>
      </c>
      <c r="C6985" s="7">
        <f ca="1">IFERROR(__xludf.DUMMYFUNCTION("""COMPUTED_VALUE"""),1)</f>
        <v>1</v>
      </c>
      <c r="D6985" s="8">
        <f ca="1">IFERROR(__xludf.DUMMYFUNCTION("""COMPUTED_VALUE"""),5)</f>
        <v>5</v>
      </c>
      <c r="E6985" s="2">
        <f ca="1">IFERROR(__xludf.DUMMYFUNCTION("""COMPUTED_VALUE"""),2)</f>
        <v>2</v>
      </c>
    </row>
    <row r="6986" spans="1:5" ht="13">
      <c r="A6986" s="2" t="str">
        <f ca="1">IFERROR(__xludf.DUMMYFUNCTION("""COMPUTED_VALUE"""),"Rouse, Jay")</f>
        <v>Rouse, Jay</v>
      </c>
      <c r="B6986" s="3">
        <f ca="1">IFERROR(__xludf.DUMMYFUNCTION("""COMPUTED_VALUE"""),1)</f>
        <v>1</v>
      </c>
      <c r="C6986" s="7">
        <f ca="1">IFERROR(__xludf.DUMMYFUNCTION("""COMPUTED_VALUE"""),1)</f>
        <v>1</v>
      </c>
      <c r="D6986" s="8">
        <f ca="1">IFERROR(__xludf.DUMMYFUNCTION("""COMPUTED_VALUE"""),1)</f>
        <v>1</v>
      </c>
      <c r="E6986" s="2">
        <f ca="1">IFERROR(__xludf.DUMMYFUNCTION("""COMPUTED_VALUE"""),1)</f>
        <v>1</v>
      </c>
    </row>
    <row r="6987" spans="1:5" ht="13">
      <c r="A6987" s="8" t="str">
        <f ca="1">IFERROR(__xludf.DUMMYFUNCTION("""COMPUTED_VALUE"""),"Rouse, Mikel")</f>
        <v>Rouse, Mikel</v>
      </c>
      <c r="B6987" s="3">
        <f ca="1">IFERROR(__xludf.DUMMYFUNCTION("""COMPUTED_VALUE"""),1)</f>
        <v>1</v>
      </c>
      <c r="C6987" s="7">
        <f ca="1">IFERROR(__xludf.DUMMYFUNCTION("""COMPUTED_VALUE"""),1)</f>
        <v>1</v>
      </c>
      <c r="D6987" s="8">
        <f ca="1">IFERROR(__xludf.DUMMYFUNCTION("""COMPUTED_VALUE"""),1)</f>
        <v>1</v>
      </c>
      <c r="E6987" s="2">
        <f ca="1">IFERROR(__xludf.DUMMYFUNCTION("""COMPUTED_VALUE"""),1)</f>
        <v>1</v>
      </c>
    </row>
    <row r="6988" spans="1:5" ht="13">
      <c r="A6988" s="2" t="str">
        <f ca="1">IFERROR(__xludf.DUMMYFUNCTION("""COMPUTED_VALUE"""),"Rouse, Steve")</f>
        <v>Rouse, Steve</v>
      </c>
      <c r="B6988" s="3">
        <f ca="1">IFERROR(__xludf.DUMMYFUNCTION("""COMPUTED_VALUE"""),1)</f>
        <v>1</v>
      </c>
      <c r="C6988" s="7">
        <f ca="1">IFERROR(__xludf.DUMMYFUNCTION("""COMPUTED_VALUE"""),1)</f>
        <v>1</v>
      </c>
      <c r="D6988" s="8">
        <f ca="1">IFERROR(__xludf.DUMMYFUNCTION("""COMPUTED_VALUE"""),1)</f>
        <v>1</v>
      </c>
      <c r="E6988" s="2">
        <f ca="1">IFERROR(__xludf.DUMMYFUNCTION("""COMPUTED_VALUE"""),1)</f>
        <v>1</v>
      </c>
    </row>
    <row r="6989" spans="1:5" ht="13">
      <c r="A6989" s="2" t="str">
        <f ca="1">IFERROR(__xludf.DUMMYFUNCTION("""COMPUTED_VALUE"""),"Roussel, Albert")</f>
        <v>Roussel, Albert</v>
      </c>
      <c r="B6989" s="3">
        <f ca="1">IFERROR(__xludf.DUMMYFUNCTION("""COMPUTED_VALUE"""),1)</f>
        <v>1</v>
      </c>
      <c r="C6989" s="7">
        <f ca="1">IFERROR(__xludf.DUMMYFUNCTION("""COMPUTED_VALUE"""),1)</f>
        <v>1</v>
      </c>
      <c r="D6989" s="8">
        <f ca="1">IFERROR(__xludf.DUMMYFUNCTION("""COMPUTED_VALUE"""),5)</f>
        <v>5</v>
      </c>
      <c r="E6989" s="2">
        <f ca="1">IFERROR(__xludf.DUMMYFUNCTION("""COMPUTED_VALUE"""),2)</f>
        <v>2</v>
      </c>
    </row>
    <row r="6990" spans="1:5" ht="13">
      <c r="A6990" s="2" t="str">
        <f ca="1">IFERROR(__xludf.DUMMYFUNCTION("""COMPUTED_VALUE"""),"Rousselot, François")</f>
        <v>Rousselot, François</v>
      </c>
      <c r="B6990" s="3">
        <f ca="1">IFERROR(__xludf.DUMMYFUNCTION("""COMPUTED_VALUE"""),1)</f>
        <v>1</v>
      </c>
      <c r="C6990" s="7">
        <f ca="1">IFERROR(__xludf.DUMMYFUNCTION("""COMPUTED_VALUE"""),1)</f>
        <v>1</v>
      </c>
      <c r="D6990" s="8">
        <f ca="1">IFERROR(__xludf.DUMMYFUNCTION("""COMPUTED_VALUE"""),1)</f>
        <v>1</v>
      </c>
      <c r="E6990" s="2">
        <f ca="1">IFERROR(__xludf.DUMMYFUNCTION("""COMPUTED_VALUE"""),1)</f>
        <v>1</v>
      </c>
    </row>
    <row r="6991" spans="1:5" ht="13">
      <c r="A6991" s="2" t="str">
        <f ca="1">IFERROR(__xludf.DUMMYFUNCTION("""COMPUTED_VALUE"""),"Rowe, Howard")</f>
        <v>Rowe, Howard</v>
      </c>
      <c r="B6991" s="3">
        <f ca="1">IFERROR(__xludf.DUMMYFUNCTION("""COMPUTED_VALUE"""),1)</f>
        <v>1</v>
      </c>
      <c r="C6991" s="7">
        <f ca="1">IFERROR(__xludf.DUMMYFUNCTION("""COMPUTED_VALUE"""),1)</f>
        <v>1</v>
      </c>
      <c r="D6991" s="8">
        <f ca="1">IFERROR(__xludf.DUMMYFUNCTION("""COMPUTED_VALUE"""),1)</f>
        <v>1</v>
      </c>
      <c r="E6991" s="2">
        <f ca="1">IFERROR(__xludf.DUMMYFUNCTION("""COMPUTED_VALUE"""),1)</f>
        <v>1</v>
      </c>
    </row>
    <row r="6992" spans="1:5" ht="13">
      <c r="A6992" s="2" t="str">
        <f ca="1">IFERROR(__xludf.DUMMYFUNCTION("""COMPUTED_VALUE"""),"Rowe, Jr., Howard J.")</f>
        <v>Rowe, Jr., Howard J.</v>
      </c>
      <c r="B6992" s="3">
        <f ca="1">IFERROR(__xludf.DUMMYFUNCTION("""COMPUTED_VALUE"""),1)</f>
        <v>1</v>
      </c>
      <c r="C6992" s="7">
        <f ca="1">IFERROR(__xludf.DUMMYFUNCTION("""COMPUTED_VALUE"""),1)</f>
        <v>1</v>
      </c>
      <c r="D6992" s="8">
        <f ca="1">IFERROR(__xludf.DUMMYFUNCTION("""COMPUTED_VALUE"""),1)</f>
        <v>1</v>
      </c>
      <c r="E6992" s="2">
        <f ca="1">IFERROR(__xludf.DUMMYFUNCTION("""COMPUTED_VALUE"""),1)</f>
        <v>1</v>
      </c>
    </row>
    <row r="6993" spans="1:5" ht="13">
      <c r="A6993" s="8" t="str">
        <f ca="1">IFERROR(__xludf.DUMMYFUNCTION("""COMPUTED_VALUE"""),"Rowley, Alec")</f>
        <v>Rowley, Alec</v>
      </c>
      <c r="B6993" s="2">
        <f ca="1">IFERROR(__xludf.DUMMYFUNCTION("""COMPUTED_VALUE"""),1)</f>
        <v>1</v>
      </c>
      <c r="C6993" s="7">
        <f ca="1">IFERROR(__xludf.DUMMYFUNCTION("""COMPUTED_VALUE"""),1)</f>
        <v>1</v>
      </c>
      <c r="D6993" s="8">
        <f ca="1">IFERROR(__xludf.DUMMYFUNCTION("""COMPUTED_VALUE"""),5)</f>
        <v>5</v>
      </c>
      <c r="E6993" s="2">
        <f ca="1">IFERROR(__xludf.DUMMYFUNCTION("""COMPUTED_VALUE"""),2)</f>
        <v>2</v>
      </c>
    </row>
    <row r="6994" spans="1:5" ht="13">
      <c r="A6994" s="2" t="str">
        <f ca="1">IFERROR(__xludf.DUMMYFUNCTION("""COMPUTED_VALUE"""),"Roxburgh, Edwin")</f>
        <v>Roxburgh, Edwin</v>
      </c>
      <c r="B6994" s="3">
        <f ca="1">IFERROR(__xludf.DUMMYFUNCTION("""COMPUTED_VALUE"""),1)</f>
        <v>1</v>
      </c>
      <c r="C6994" s="7">
        <f ca="1">IFERROR(__xludf.DUMMYFUNCTION("""COMPUTED_VALUE"""),1)</f>
        <v>1</v>
      </c>
      <c r="D6994" s="8">
        <f ca="1">IFERROR(__xludf.DUMMYFUNCTION("""COMPUTED_VALUE"""),1)</f>
        <v>1</v>
      </c>
      <c r="E6994" s="2">
        <f ca="1">IFERROR(__xludf.DUMMYFUNCTION("""COMPUTED_VALUE"""),1)</f>
        <v>1</v>
      </c>
    </row>
    <row r="6995" spans="1:5" ht="13">
      <c r="A6995" s="2" t="str">
        <f ca="1">IFERROR(__xludf.DUMMYFUNCTION("""COMPUTED_VALUE"""),"Royer, Ronald")</f>
        <v>Royer, Ronald</v>
      </c>
      <c r="B6995" s="3">
        <f ca="1">IFERROR(__xludf.DUMMYFUNCTION("""COMPUTED_VALUE"""),1)</f>
        <v>1</v>
      </c>
      <c r="C6995" s="7">
        <f ca="1">IFERROR(__xludf.DUMMYFUNCTION("""COMPUTED_VALUE"""),1)</f>
        <v>1</v>
      </c>
      <c r="D6995" s="8">
        <f ca="1">IFERROR(__xludf.DUMMYFUNCTION("""COMPUTED_VALUE"""),1)</f>
        <v>1</v>
      </c>
      <c r="E6995" s="2">
        <f ca="1">IFERROR(__xludf.DUMMYFUNCTION("""COMPUTED_VALUE"""),1)</f>
        <v>1</v>
      </c>
    </row>
    <row r="6996" spans="1:5" ht="13">
      <c r="A6996" s="2" t="str">
        <f ca="1">IFERROR(__xludf.DUMMYFUNCTION("""COMPUTED_VALUE"""),"Rozell, Patrick")</f>
        <v>Rozell, Patrick</v>
      </c>
      <c r="B6996" s="3">
        <f ca="1">IFERROR(__xludf.DUMMYFUNCTION("""COMPUTED_VALUE"""),1)</f>
        <v>1</v>
      </c>
      <c r="C6996" s="7">
        <f ca="1">IFERROR(__xludf.DUMMYFUNCTION("""COMPUTED_VALUE"""),1)</f>
        <v>1</v>
      </c>
      <c r="D6996" s="8">
        <f ca="1">IFERROR(__xludf.DUMMYFUNCTION("""COMPUTED_VALUE"""),1)</f>
        <v>1</v>
      </c>
      <c r="E6996" s="2">
        <f ca="1">IFERROR(__xludf.DUMMYFUNCTION("""COMPUTED_VALUE"""),1)</f>
        <v>1</v>
      </c>
    </row>
    <row r="6997" spans="1:5" ht="13">
      <c r="A6997" s="2" t="str">
        <f ca="1">IFERROR(__xludf.DUMMYFUNCTION("""COMPUTED_VALUE"""),"Rozsa, Miklos")</f>
        <v>Rozsa, Miklos</v>
      </c>
      <c r="B6997" s="3">
        <f ca="1">IFERROR(__xludf.DUMMYFUNCTION("""COMPUTED_VALUE"""),1)</f>
        <v>1</v>
      </c>
      <c r="C6997" s="7">
        <f ca="1">IFERROR(__xludf.DUMMYFUNCTION("""COMPUTED_VALUE"""),1)</f>
        <v>1</v>
      </c>
      <c r="D6997" s="8">
        <f ca="1">IFERROR(__xludf.DUMMYFUNCTION("""COMPUTED_VALUE"""),5)</f>
        <v>5</v>
      </c>
      <c r="E6997" s="2">
        <f ca="1">IFERROR(__xludf.DUMMYFUNCTION("""COMPUTED_VALUE"""),2)</f>
        <v>2</v>
      </c>
    </row>
    <row r="6998" spans="1:5" ht="13">
      <c r="A6998" s="2" t="str">
        <f ca="1">IFERROR(__xludf.DUMMYFUNCTION("""COMPUTED_VALUE"""),"Rózsa, Miklós")</f>
        <v>Rózsa, Miklós</v>
      </c>
      <c r="B6998" s="3">
        <f ca="1">IFERROR(__xludf.DUMMYFUNCTION("""COMPUTED_VALUE"""),1)</f>
        <v>1</v>
      </c>
      <c r="C6998" s="7">
        <f ca="1">IFERROR(__xludf.DUMMYFUNCTION("""COMPUTED_VALUE"""),1)</f>
        <v>1</v>
      </c>
      <c r="D6998" s="8">
        <f ca="1">IFERROR(__xludf.DUMMYFUNCTION("""COMPUTED_VALUE"""),5)</f>
        <v>5</v>
      </c>
      <c r="E6998" s="2">
        <f ca="1">IFERROR(__xludf.DUMMYFUNCTION("""COMPUTED_VALUE"""),2)</f>
        <v>2</v>
      </c>
    </row>
    <row r="6999" spans="1:5" ht="13">
      <c r="A6999" s="2" t="str">
        <f ca="1">IFERROR(__xludf.DUMMYFUNCTION("""COMPUTED_VALUE"""),"Rubbra, Edmund")</f>
        <v>Rubbra, Edmund</v>
      </c>
      <c r="B6999" s="3">
        <f ca="1">IFERROR(__xludf.DUMMYFUNCTION("""COMPUTED_VALUE"""),1)</f>
        <v>1</v>
      </c>
      <c r="C6999" s="7">
        <f ca="1">IFERROR(__xludf.DUMMYFUNCTION("""COMPUTED_VALUE"""),1)</f>
        <v>1</v>
      </c>
      <c r="D6999" s="8">
        <f ca="1">IFERROR(__xludf.DUMMYFUNCTION("""COMPUTED_VALUE"""),5)</f>
        <v>5</v>
      </c>
      <c r="E6999" s="2">
        <f ca="1">IFERROR(__xludf.DUMMYFUNCTION("""COMPUTED_VALUE"""),2)</f>
        <v>2</v>
      </c>
    </row>
    <row r="7000" spans="1:5" ht="13">
      <c r="A7000" s="8" t="str">
        <f ca="1">IFERROR(__xludf.DUMMYFUNCTION("""COMPUTED_VALUE"""),"Rubenstein, Seymour")</f>
        <v>Rubenstein, Seymour</v>
      </c>
      <c r="B7000" s="3">
        <f ca="1">IFERROR(__xludf.DUMMYFUNCTION("""COMPUTED_VALUE"""),1)</f>
        <v>1</v>
      </c>
      <c r="C7000" s="7">
        <f ca="1">IFERROR(__xludf.DUMMYFUNCTION("""COMPUTED_VALUE"""),1)</f>
        <v>1</v>
      </c>
      <c r="D7000" s="8">
        <f ca="1">IFERROR(__xludf.DUMMYFUNCTION("""COMPUTED_VALUE"""),1)</f>
        <v>1</v>
      </c>
      <c r="E7000" s="2">
        <f ca="1">IFERROR(__xludf.DUMMYFUNCTION("""COMPUTED_VALUE"""),1)</f>
        <v>1</v>
      </c>
    </row>
    <row r="7001" spans="1:5" ht="13">
      <c r="A7001" s="2" t="str">
        <f ca="1">IFERROR(__xludf.DUMMYFUNCTION("""COMPUTED_VALUE"""),"Rubin, Corey")</f>
        <v>Rubin, Corey</v>
      </c>
      <c r="B7001" s="3">
        <f ca="1">IFERROR(__xludf.DUMMYFUNCTION("""COMPUTED_VALUE"""),1)</f>
        <v>1</v>
      </c>
      <c r="C7001" s="7">
        <f ca="1">IFERROR(__xludf.DUMMYFUNCTION("""COMPUTED_VALUE"""),1)</f>
        <v>1</v>
      </c>
      <c r="D7001" s="8">
        <f ca="1">IFERROR(__xludf.DUMMYFUNCTION("""COMPUTED_VALUE"""),1)</f>
        <v>1</v>
      </c>
      <c r="E7001" s="2">
        <f ca="1">IFERROR(__xludf.DUMMYFUNCTION("""COMPUTED_VALUE"""),1)</f>
        <v>1</v>
      </c>
    </row>
    <row r="7002" spans="1:5" ht="13">
      <c r="A7002" s="2" t="str">
        <f ca="1">IFERROR(__xludf.DUMMYFUNCTION("""COMPUTED_VALUE"""),"Rubin, Dan / Gray, Don")</f>
        <v>Rubin, Dan / Gray, Don</v>
      </c>
      <c r="B7002" s="3">
        <f ca="1">IFERROR(__xludf.DUMMYFUNCTION("""COMPUTED_VALUE"""),1)</f>
        <v>1</v>
      </c>
      <c r="C7002" s="7">
        <f ca="1">IFERROR(__xludf.DUMMYFUNCTION("""COMPUTED_VALUE"""),1)</f>
        <v>1</v>
      </c>
      <c r="D7002" s="8">
        <f ca="1">IFERROR(__xludf.DUMMYFUNCTION("""COMPUTED_VALUE"""),1)</f>
        <v>1</v>
      </c>
      <c r="E7002" s="2">
        <f ca="1">IFERROR(__xludf.DUMMYFUNCTION("""COMPUTED_VALUE"""),1)</f>
        <v>1</v>
      </c>
    </row>
    <row r="7003" spans="1:5" ht="13">
      <c r="A7003" s="2" t="str">
        <f ca="1">IFERROR(__xludf.DUMMYFUNCTION("""COMPUTED_VALUE"""),"Rubinstein, Anton")</f>
        <v>Rubinstein, Anton</v>
      </c>
      <c r="B7003" s="3">
        <f ca="1">IFERROR(__xludf.DUMMYFUNCTION("""COMPUTED_VALUE"""),1)</f>
        <v>1</v>
      </c>
      <c r="C7003" s="7">
        <f ca="1">IFERROR(__xludf.DUMMYFUNCTION("""COMPUTED_VALUE"""),1)</f>
        <v>1</v>
      </c>
      <c r="D7003" s="8">
        <f ca="1">IFERROR(__xludf.DUMMYFUNCTION("""COMPUTED_VALUE"""),5)</f>
        <v>5</v>
      </c>
      <c r="E7003" s="2">
        <f ca="1">IFERROR(__xludf.DUMMYFUNCTION("""COMPUTED_VALUE"""),2)</f>
        <v>2</v>
      </c>
    </row>
    <row r="7004" spans="1:5" ht="13">
      <c r="A7004" s="2" t="str">
        <f ca="1">IFERROR(__xludf.DUMMYFUNCTION("""COMPUTED_VALUE"""),"Rubinstein, Joseph")</f>
        <v>Rubinstein, Joseph</v>
      </c>
      <c r="B7004" s="3">
        <f ca="1">IFERROR(__xludf.DUMMYFUNCTION("""COMPUTED_VALUE"""),1)</f>
        <v>1</v>
      </c>
      <c r="C7004" s="7">
        <f ca="1">IFERROR(__xludf.DUMMYFUNCTION("""COMPUTED_VALUE"""),1)</f>
        <v>1</v>
      </c>
      <c r="D7004" s="8">
        <f ca="1">IFERROR(__xludf.DUMMYFUNCTION("""COMPUTED_VALUE"""),1)</f>
        <v>1</v>
      </c>
      <c r="E7004" s="2">
        <f ca="1">IFERROR(__xludf.DUMMYFUNCTION("""COMPUTED_VALUE"""),1)</f>
        <v>1</v>
      </c>
    </row>
    <row r="7005" spans="1:5" ht="13">
      <c r="A7005" s="8" t="str">
        <f ca="1">IFERROR(__xludf.DUMMYFUNCTION("""COMPUTED_VALUE"""),"Rubtsov, Feodosy")</f>
        <v>Rubtsov, Feodosy</v>
      </c>
      <c r="B7005" s="3">
        <f ca="1">IFERROR(__xludf.DUMMYFUNCTION("""COMPUTED_VALUE"""),1)</f>
        <v>1</v>
      </c>
      <c r="C7005" s="7">
        <f ca="1">IFERROR(__xludf.DUMMYFUNCTION("""COMPUTED_VALUE"""),1)</f>
        <v>1</v>
      </c>
      <c r="D7005" s="8">
        <f ca="1">IFERROR(__xludf.DUMMYFUNCTION("""COMPUTED_VALUE"""),5)</f>
        <v>5</v>
      </c>
      <c r="E7005" s="2">
        <f ca="1">IFERROR(__xludf.DUMMYFUNCTION("""COMPUTED_VALUE"""),2)</f>
        <v>2</v>
      </c>
    </row>
    <row r="7006" spans="1:5" ht="13">
      <c r="A7006" s="2" t="str">
        <f ca="1">IFERROR(__xludf.DUMMYFUNCTION("""COMPUTED_VALUE"""),"Ruby, Harry / Kalmar, Bert")</f>
        <v>Ruby, Harry / Kalmar, Bert</v>
      </c>
      <c r="B7006" s="2">
        <f ca="1">IFERROR(__xludf.DUMMYFUNCTION("""COMPUTED_VALUE"""),1)</f>
        <v>1</v>
      </c>
      <c r="C7006" s="7">
        <f ca="1">IFERROR(__xludf.DUMMYFUNCTION("""COMPUTED_VALUE"""),1)</f>
        <v>1</v>
      </c>
      <c r="D7006" s="8">
        <f ca="1">IFERROR(__xludf.DUMMYFUNCTION("""COMPUTED_VALUE"""),5)</f>
        <v>5</v>
      </c>
      <c r="E7006" s="2">
        <f ca="1">IFERROR(__xludf.DUMMYFUNCTION("""COMPUTED_VALUE"""),2)</f>
        <v>2</v>
      </c>
    </row>
    <row r="7007" spans="1:5" ht="13">
      <c r="A7007" s="2" t="str">
        <f ca="1">IFERROR(__xludf.DUMMYFUNCTION("""COMPUTED_VALUE"""),"Rudgers, Gregory")</f>
        <v>Rudgers, Gregory</v>
      </c>
      <c r="B7007" s="3">
        <f ca="1">IFERROR(__xludf.DUMMYFUNCTION("""COMPUTED_VALUE"""),1)</f>
        <v>1</v>
      </c>
      <c r="C7007" s="7">
        <f ca="1">IFERROR(__xludf.DUMMYFUNCTION("""COMPUTED_VALUE"""),1)</f>
        <v>1</v>
      </c>
      <c r="D7007" s="8">
        <f ca="1">IFERROR(__xludf.DUMMYFUNCTION("""COMPUTED_VALUE"""),1)</f>
        <v>1</v>
      </c>
      <c r="E7007" s="2">
        <f ca="1">IFERROR(__xludf.DUMMYFUNCTION("""COMPUTED_VALUE"""),1)</f>
        <v>1</v>
      </c>
    </row>
    <row r="7008" spans="1:5" ht="13">
      <c r="A7008" s="2" t="str">
        <f ca="1">IFERROR(__xludf.DUMMYFUNCTION("""COMPUTED_VALUE"""),"Rudgers, Gregory B.")</f>
        <v>Rudgers, Gregory B.</v>
      </c>
      <c r="B7008" s="3">
        <f ca="1">IFERROR(__xludf.DUMMYFUNCTION("""COMPUTED_VALUE"""),1)</f>
        <v>1</v>
      </c>
      <c r="C7008" s="7">
        <f ca="1">IFERROR(__xludf.DUMMYFUNCTION("""COMPUTED_VALUE"""),1)</f>
        <v>1</v>
      </c>
      <c r="D7008" s="8">
        <f ca="1">IFERROR(__xludf.DUMMYFUNCTION("""COMPUTED_VALUE"""),1)</f>
        <v>1</v>
      </c>
      <c r="E7008" s="2">
        <f ca="1">IFERROR(__xludf.DUMMYFUNCTION("""COMPUTED_VALUE"""),1)</f>
        <v>1</v>
      </c>
    </row>
    <row r="7009" spans="1:5" ht="13">
      <c r="A7009" s="2" t="str">
        <f ca="1">IFERROR(__xludf.DUMMYFUNCTION("""COMPUTED_VALUE"""),"Rudin, Rolf")</f>
        <v>Rudin, Rolf</v>
      </c>
      <c r="B7009" s="3">
        <f ca="1">IFERROR(__xludf.DUMMYFUNCTION("""COMPUTED_VALUE"""),1)</f>
        <v>1</v>
      </c>
      <c r="C7009" s="7">
        <f ca="1">IFERROR(__xludf.DUMMYFUNCTION("""COMPUTED_VALUE"""),1)</f>
        <v>1</v>
      </c>
      <c r="D7009" s="8">
        <f ca="1">IFERROR(__xludf.DUMMYFUNCTION("""COMPUTED_VALUE"""),1)</f>
        <v>1</v>
      </c>
      <c r="E7009" s="2">
        <f ca="1">IFERROR(__xludf.DUMMYFUNCTION("""COMPUTED_VALUE"""),1)</f>
        <v>1</v>
      </c>
    </row>
    <row r="7010" spans="1:5" ht="13">
      <c r="A7010" s="2" t="str">
        <f ca="1">IFERROR(__xludf.DUMMYFUNCTION("""COMPUTED_VALUE"""),"Rudoi, Paul John")</f>
        <v>Rudoi, Paul John</v>
      </c>
      <c r="B7010" s="2">
        <f ca="1">IFERROR(__xludf.DUMMYFUNCTION("""COMPUTED_VALUE"""),1)</f>
        <v>1</v>
      </c>
      <c r="C7010" s="7">
        <f ca="1">IFERROR(__xludf.DUMMYFUNCTION("""COMPUTED_VALUE"""),1)</f>
        <v>1</v>
      </c>
      <c r="D7010" s="8">
        <f ca="1">IFERROR(__xludf.DUMMYFUNCTION("""COMPUTED_VALUE"""),1)</f>
        <v>1</v>
      </c>
      <c r="E7010" s="2">
        <f ca="1">IFERROR(__xludf.DUMMYFUNCTION("""COMPUTED_VALUE"""),1)</f>
        <v>1</v>
      </c>
    </row>
    <row r="7011" spans="1:5" ht="13">
      <c r="A7011" s="2" t="str">
        <f ca="1">IFERROR(__xludf.DUMMYFUNCTION("""COMPUTED_VALUE"""),"Rudolph / Shanefield")</f>
        <v>Rudolph / Shanefield</v>
      </c>
      <c r="B7011" s="3">
        <f ca="1">IFERROR(__xludf.DUMMYFUNCTION("""COMPUTED_VALUE"""),1)</f>
        <v>1</v>
      </c>
      <c r="C7011" s="7">
        <f ca="1">IFERROR(__xludf.DUMMYFUNCTION("""COMPUTED_VALUE"""),1)</f>
        <v>1</v>
      </c>
      <c r="D7011" s="8">
        <f ca="1">IFERROR(__xludf.DUMMYFUNCTION("""COMPUTED_VALUE"""),1)</f>
        <v>1</v>
      </c>
      <c r="E7011" s="2">
        <f ca="1">IFERROR(__xludf.DUMMYFUNCTION("""COMPUTED_VALUE"""),1)</f>
        <v>1</v>
      </c>
    </row>
    <row r="7012" spans="1:5" ht="13">
      <c r="A7012" s="2" t="str">
        <f ca="1">IFERROR(__xludf.DUMMYFUNCTION("""COMPUTED_VALUE"""),"Rudy, Paul")</f>
        <v>Rudy, Paul</v>
      </c>
      <c r="B7012" s="3">
        <f ca="1">IFERROR(__xludf.DUMMYFUNCTION("""COMPUTED_VALUE"""),1)</f>
        <v>1</v>
      </c>
      <c r="C7012" s="7">
        <f ca="1">IFERROR(__xludf.DUMMYFUNCTION("""COMPUTED_VALUE"""),1)</f>
        <v>1</v>
      </c>
      <c r="D7012" s="8">
        <f ca="1">IFERROR(__xludf.DUMMYFUNCTION("""COMPUTED_VALUE"""),1)</f>
        <v>1</v>
      </c>
      <c r="E7012" s="2">
        <f ca="1">IFERROR(__xludf.DUMMYFUNCTION("""COMPUTED_VALUE"""),1)</f>
        <v>1</v>
      </c>
    </row>
    <row r="7013" spans="1:5" ht="13">
      <c r="A7013" s="2" t="str">
        <f ca="1">IFERROR(__xludf.DUMMYFUNCTION("""COMPUTED_VALUE"""),"Rüedi, Thomas")</f>
        <v>Rüedi, Thomas</v>
      </c>
      <c r="B7013" s="3">
        <f ca="1">IFERROR(__xludf.DUMMYFUNCTION("""COMPUTED_VALUE"""),1)</f>
        <v>1</v>
      </c>
      <c r="C7013" s="7">
        <f ca="1">IFERROR(__xludf.DUMMYFUNCTION("""COMPUTED_VALUE"""),1)</f>
        <v>1</v>
      </c>
      <c r="D7013" s="8">
        <f ca="1">IFERROR(__xludf.DUMMYFUNCTION("""COMPUTED_VALUE"""),1)</f>
        <v>1</v>
      </c>
      <c r="E7013" s="2">
        <f ca="1">IFERROR(__xludf.DUMMYFUNCTION("""COMPUTED_VALUE"""),1)</f>
        <v>1</v>
      </c>
    </row>
    <row r="7014" spans="1:5" ht="13">
      <c r="A7014" s="2" t="str">
        <f ca="1">IFERROR(__xludf.DUMMYFUNCTION("""COMPUTED_VALUE"""),"Ruffo, Vincenzo")</f>
        <v>Ruffo, Vincenzo</v>
      </c>
      <c r="B7014" s="2">
        <f ca="1">IFERROR(__xludf.DUMMYFUNCTION("""COMPUTED_VALUE"""),1)</f>
        <v>1</v>
      </c>
      <c r="C7014" s="7">
        <f ca="1">IFERROR(__xludf.DUMMYFUNCTION("""COMPUTED_VALUE"""),1)</f>
        <v>1</v>
      </c>
      <c r="D7014" s="8">
        <f ca="1">IFERROR(__xludf.DUMMYFUNCTION("""COMPUTED_VALUE"""),5)</f>
        <v>5</v>
      </c>
      <c r="E7014" s="2">
        <f ca="1">IFERROR(__xludf.DUMMYFUNCTION("""COMPUTED_VALUE"""),2)</f>
        <v>2</v>
      </c>
    </row>
    <row r="7015" spans="1:5" ht="13">
      <c r="A7015" s="2" t="str">
        <f ca="1">IFERROR(__xludf.DUMMYFUNCTION("""COMPUTED_VALUE"""),"Ruggles")</f>
        <v>Ruggles</v>
      </c>
      <c r="B7015" s="3">
        <f ca="1">IFERROR(__xludf.DUMMYFUNCTION("""COMPUTED_VALUE"""),1)</f>
        <v>1</v>
      </c>
      <c r="C7015" s="7">
        <f ca="1">IFERROR(__xludf.DUMMYFUNCTION("""COMPUTED_VALUE"""),1)</f>
        <v>1</v>
      </c>
      <c r="D7015" s="8">
        <f ca="1">IFERROR(__xludf.DUMMYFUNCTION("""COMPUTED_VALUE"""),5)</f>
        <v>5</v>
      </c>
      <c r="E7015" s="2">
        <f ca="1">IFERROR(__xludf.DUMMYFUNCTION("""COMPUTED_VALUE"""),2)</f>
        <v>2</v>
      </c>
    </row>
    <row r="7016" spans="1:5" ht="13">
      <c r="A7016" s="2" t="str">
        <f ca="1">IFERROR(__xludf.DUMMYFUNCTION("""COMPUTED_VALUE"""),"Ruggles, Carl")</f>
        <v>Ruggles, Carl</v>
      </c>
      <c r="B7016" s="3">
        <f ca="1">IFERROR(__xludf.DUMMYFUNCTION("""COMPUTED_VALUE"""),1)</f>
        <v>1</v>
      </c>
      <c r="C7016" s="7">
        <f ca="1">IFERROR(__xludf.DUMMYFUNCTION("""COMPUTED_VALUE"""),1)</f>
        <v>1</v>
      </c>
      <c r="D7016" s="8">
        <f ca="1">IFERROR(__xludf.DUMMYFUNCTION("""COMPUTED_VALUE"""),5)</f>
        <v>5</v>
      </c>
      <c r="E7016" s="2">
        <f ca="1">IFERROR(__xludf.DUMMYFUNCTION("""COMPUTED_VALUE"""),2)</f>
        <v>2</v>
      </c>
    </row>
    <row r="7017" spans="1:5" ht="13">
      <c r="A7017" s="2" t="str">
        <f ca="1">IFERROR(__xludf.DUMMYFUNCTION("""COMPUTED_VALUE"""),"Ruiz, Emilio Cebrián")</f>
        <v>Ruiz, Emilio Cebrián</v>
      </c>
      <c r="B7017" s="3">
        <f ca="1">IFERROR(__xludf.DUMMYFUNCTION("""COMPUTED_VALUE"""),1)</f>
        <v>1</v>
      </c>
      <c r="C7017" s="7">
        <f ca="1">IFERROR(__xludf.DUMMYFUNCTION("""COMPUTED_VALUE"""),1)</f>
        <v>1</v>
      </c>
      <c r="D7017" s="8">
        <f ca="1">IFERROR(__xludf.DUMMYFUNCTION("""COMPUTED_VALUE"""),5)</f>
        <v>5</v>
      </c>
      <c r="E7017" s="2">
        <f ca="1">IFERROR(__xludf.DUMMYFUNCTION("""COMPUTED_VALUE"""),2)</f>
        <v>2</v>
      </c>
    </row>
    <row r="7018" spans="1:5" ht="13">
      <c r="A7018" s="2" t="str">
        <f ca="1">IFERROR(__xludf.DUMMYFUNCTION("""COMPUTED_VALUE"""),"Rumbelow, Robert")</f>
        <v>Rumbelow, Robert</v>
      </c>
      <c r="B7018" s="3">
        <f ca="1">IFERROR(__xludf.DUMMYFUNCTION("""COMPUTED_VALUE"""),1)</f>
        <v>1</v>
      </c>
      <c r="C7018" s="7">
        <f ca="1">IFERROR(__xludf.DUMMYFUNCTION("""COMPUTED_VALUE"""),1)</f>
        <v>1</v>
      </c>
      <c r="D7018" s="8">
        <f ca="1">IFERROR(__xludf.DUMMYFUNCTION("""COMPUTED_VALUE"""),1)</f>
        <v>1</v>
      </c>
      <c r="E7018" s="2">
        <f ca="1">IFERROR(__xludf.DUMMYFUNCTION("""COMPUTED_VALUE"""),1)</f>
        <v>1</v>
      </c>
    </row>
    <row r="7019" spans="1:5" ht="13">
      <c r="A7019" s="2" t="str">
        <f ca="1">IFERROR(__xludf.DUMMYFUNCTION("""COMPUTED_VALUE"""),"Rumsey, Brandon")</f>
        <v>Rumsey, Brandon</v>
      </c>
      <c r="B7019" s="3">
        <f ca="1">IFERROR(__xludf.DUMMYFUNCTION("""COMPUTED_VALUE"""),1)</f>
        <v>1</v>
      </c>
      <c r="C7019" s="7">
        <f ca="1">IFERROR(__xludf.DUMMYFUNCTION("""COMPUTED_VALUE"""),1)</f>
        <v>1</v>
      </c>
      <c r="D7019" s="8">
        <f ca="1">IFERROR(__xludf.DUMMYFUNCTION("""COMPUTED_VALUE"""),1)</f>
        <v>1</v>
      </c>
      <c r="E7019" s="2">
        <f ca="1">IFERROR(__xludf.DUMMYFUNCTION("""COMPUTED_VALUE"""),1)</f>
        <v>1</v>
      </c>
    </row>
    <row r="7020" spans="1:5" ht="13">
      <c r="A7020" s="2" t="str">
        <f ca="1">IFERROR(__xludf.DUMMYFUNCTION("""COMPUTED_VALUE"""),"Rund, Robert")</f>
        <v>Rund, Robert</v>
      </c>
      <c r="B7020" s="3">
        <f ca="1">IFERROR(__xludf.DUMMYFUNCTION("""COMPUTED_VALUE"""),1)</f>
        <v>1</v>
      </c>
      <c r="C7020" s="7">
        <f ca="1">IFERROR(__xludf.DUMMYFUNCTION("""COMPUTED_VALUE"""),1)</f>
        <v>1</v>
      </c>
      <c r="D7020" s="8">
        <f ca="1">IFERROR(__xludf.DUMMYFUNCTION("""COMPUTED_VALUE"""),1)</f>
        <v>1</v>
      </c>
      <c r="E7020" s="2">
        <f ca="1">IFERROR(__xludf.DUMMYFUNCTION("""COMPUTED_VALUE"""),1)</f>
        <v>1</v>
      </c>
    </row>
    <row r="7021" spans="1:5" ht="13">
      <c r="A7021" s="8" t="str">
        <f ca="1">IFERROR(__xludf.DUMMYFUNCTION("""COMPUTED_VALUE"""),"Rundel, Siegfried")</f>
        <v>Rundel, Siegfried</v>
      </c>
      <c r="B7021" s="3">
        <f ca="1">IFERROR(__xludf.DUMMYFUNCTION("""COMPUTED_VALUE"""),1)</f>
        <v>1</v>
      </c>
      <c r="C7021" s="7">
        <f ca="1">IFERROR(__xludf.DUMMYFUNCTION("""COMPUTED_VALUE"""),1)</f>
        <v>1</v>
      </c>
      <c r="D7021" s="8">
        <f ca="1">IFERROR(__xludf.DUMMYFUNCTION("""COMPUTED_VALUE"""),1)</f>
        <v>1</v>
      </c>
      <c r="E7021" s="2">
        <f ca="1">IFERROR(__xludf.DUMMYFUNCTION("""COMPUTED_VALUE"""),1)</f>
        <v>1</v>
      </c>
    </row>
    <row r="7022" spans="1:5" ht="13">
      <c r="A7022" s="2" t="str">
        <f ca="1">IFERROR(__xludf.DUMMYFUNCTION("""COMPUTED_VALUE"""),"Runestad, Jake")</f>
        <v>Runestad, Jake</v>
      </c>
      <c r="B7022" s="3">
        <f ca="1">IFERROR(__xludf.DUMMYFUNCTION("""COMPUTED_VALUE"""),1)</f>
        <v>1</v>
      </c>
      <c r="C7022" s="7">
        <f ca="1">IFERROR(__xludf.DUMMYFUNCTION("""COMPUTED_VALUE"""),1)</f>
        <v>1</v>
      </c>
      <c r="D7022" s="8">
        <f ca="1">IFERROR(__xludf.DUMMYFUNCTION("""COMPUTED_VALUE"""),1)</f>
        <v>1</v>
      </c>
      <c r="E7022" s="2">
        <f ca="1">IFERROR(__xludf.DUMMYFUNCTION("""COMPUTED_VALUE"""),1)</f>
        <v>1</v>
      </c>
    </row>
    <row r="7023" spans="1:5" ht="13">
      <c r="A7023" s="2" t="str">
        <f ca="1">IFERROR(__xludf.DUMMYFUNCTION("""COMPUTED_VALUE"""),"Running, Arne")</f>
        <v>Running, Arne</v>
      </c>
      <c r="B7023" s="3">
        <f ca="1">IFERROR(__xludf.DUMMYFUNCTION("""COMPUTED_VALUE"""),1)</f>
        <v>1</v>
      </c>
      <c r="C7023" s="7">
        <f ca="1">IFERROR(__xludf.DUMMYFUNCTION("""COMPUTED_VALUE"""),1)</f>
        <v>1</v>
      </c>
      <c r="D7023" s="8">
        <f ca="1">IFERROR(__xludf.DUMMYFUNCTION("""COMPUTED_VALUE"""),1)</f>
        <v>1</v>
      </c>
      <c r="E7023" s="2">
        <f ca="1">IFERROR(__xludf.DUMMYFUNCTION("""COMPUTED_VALUE"""),1)</f>
        <v>1</v>
      </c>
    </row>
    <row r="7024" spans="1:5" ht="13">
      <c r="A7024" s="2" t="str">
        <f ca="1">IFERROR(__xludf.DUMMYFUNCTION("""COMPUTED_VALUE"""),"Runyan, Jim")</f>
        <v>Runyan, Jim</v>
      </c>
      <c r="B7024" s="3">
        <f ca="1">IFERROR(__xludf.DUMMYFUNCTION("""COMPUTED_VALUE"""),1)</f>
        <v>1</v>
      </c>
      <c r="C7024" s="7">
        <f ca="1">IFERROR(__xludf.DUMMYFUNCTION("""COMPUTED_VALUE"""),1)</f>
        <v>1</v>
      </c>
      <c r="D7024" s="8">
        <f ca="1">IFERROR(__xludf.DUMMYFUNCTION("""COMPUTED_VALUE"""),1)</f>
        <v>1</v>
      </c>
      <c r="E7024" s="2">
        <f ca="1">IFERROR(__xludf.DUMMYFUNCTION("""COMPUTED_VALUE"""),1)</f>
        <v>1</v>
      </c>
    </row>
    <row r="7025" spans="1:5" ht="13">
      <c r="A7025" s="2" t="str">
        <f ca="1">IFERROR(__xludf.DUMMYFUNCTION("""COMPUTED_VALUE"""),"Rupay, Pete")</f>
        <v>Rupay, Pete</v>
      </c>
      <c r="B7025" s="3">
        <f ca="1">IFERROR(__xludf.DUMMYFUNCTION("""COMPUTED_VALUE"""),1)</f>
        <v>1</v>
      </c>
      <c r="C7025" s="7">
        <f ca="1">IFERROR(__xludf.DUMMYFUNCTION("""COMPUTED_VALUE"""),1)</f>
        <v>1</v>
      </c>
      <c r="D7025" s="8">
        <f ca="1">IFERROR(__xludf.DUMMYFUNCTION("""COMPUTED_VALUE"""),1)</f>
        <v>1</v>
      </c>
      <c r="E7025" s="2">
        <f ca="1">IFERROR(__xludf.DUMMYFUNCTION("""COMPUTED_VALUE"""),1)</f>
        <v>1</v>
      </c>
    </row>
    <row r="7026" spans="1:5" ht="13">
      <c r="A7026" s="2" t="str">
        <f ca="1">IFERROR(__xludf.DUMMYFUNCTION("""COMPUTED_VALUE"""),"Rusch, Harold")</f>
        <v>Rusch, Harold</v>
      </c>
      <c r="B7026" s="3">
        <f ca="1">IFERROR(__xludf.DUMMYFUNCTION("""COMPUTED_VALUE"""),1)</f>
        <v>1</v>
      </c>
      <c r="C7026" s="7">
        <f ca="1">IFERROR(__xludf.DUMMYFUNCTION("""COMPUTED_VALUE"""),1)</f>
        <v>1</v>
      </c>
      <c r="D7026" s="8">
        <f ca="1">IFERROR(__xludf.DUMMYFUNCTION("""COMPUTED_VALUE"""),5)</f>
        <v>5</v>
      </c>
      <c r="E7026" s="2">
        <f ca="1">IFERROR(__xludf.DUMMYFUNCTION("""COMPUTED_VALUE"""),2)</f>
        <v>2</v>
      </c>
    </row>
    <row r="7027" spans="1:5" ht="13">
      <c r="A7027" s="2" t="str">
        <f ca="1">IFERROR(__xludf.DUMMYFUNCTION("""COMPUTED_VALUE"""),"Rush, Stephen")</f>
        <v>Rush, Stephen</v>
      </c>
      <c r="B7027" s="3">
        <f ca="1">IFERROR(__xludf.DUMMYFUNCTION("""COMPUTED_VALUE"""),1)</f>
        <v>1</v>
      </c>
      <c r="C7027" s="7">
        <f ca="1">IFERROR(__xludf.DUMMYFUNCTION("""COMPUTED_VALUE"""),1)</f>
        <v>1</v>
      </c>
      <c r="D7027" s="8">
        <f ca="1">IFERROR(__xludf.DUMMYFUNCTION("""COMPUTED_VALUE"""),1)</f>
        <v>1</v>
      </c>
      <c r="E7027" s="2">
        <f ca="1">IFERROR(__xludf.DUMMYFUNCTION("""COMPUTED_VALUE"""),1)</f>
        <v>1</v>
      </c>
    </row>
    <row r="7028" spans="1:5" ht="13">
      <c r="A7028" s="2" t="str">
        <f ca="1">IFERROR(__xludf.DUMMYFUNCTION("""COMPUTED_VALUE"""),"Rusicka, Peter")</f>
        <v>Rusicka, Peter</v>
      </c>
      <c r="B7028" s="3">
        <f ca="1">IFERROR(__xludf.DUMMYFUNCTION("""COMPUTED_VALUE"""),1)</f>
        <v>1</v>
      </c>
      <c r="C7028" s="7">
        <f ca="1">IFERROR(__xludf.DUMMYFUNCTION("""COMPUTED_VALUE"""),1)</f>
        <v>1</v>
      </c>
      <c r="D7028" s="8">
        <f ca="1">IFERROR(__xludf.DUMMYFUNCTION("""COMPUTED_VALUE"""),1)</f>
        <v>1</v>
      </c>
      <c r="E7028" s="2">
        <f ca="1">IFERROR(__xludf.DUMMYFUNCTION("""COMPUTED_VALUE"""),1)</f>
        <v>1</v>
      </c>
    </row>
    <row r="7029" spans="1:5" ht="13">
      <c r="A7029" s="8" t="str">
        <f ca="1">IFERROR(__xludf.DUMMYFUNCTION("""COMPUTED_VALUE"""),"Russ, Isidore")</f>
        <v>Russ, Isidore</v>
      </c>
      <c r="B7029" s="3">
        <f ca="1">IFERROR(__xludf.DUMMYFUNCTION("""COMPUTED_VALUE"""),1)</f>
        <v>1</v>
      </c>
      <c r="C7029" s="7">
        <f ca="1">IFERROR(__xludf.DUMMYFUNCTION("""COMPUTED_VALUE"""),1)</f>
        <v>1</v>
      </c>
      <c r="D7029" s="8">
        <f ca="1">IFERROR(__xludf.DUMMYFUNCTION("""COMPUTED_VALUE"""),5)</f>
        <v>5</v>
      </c>
      <c r="E7029" s="2">
        <f ca="1">IFERROR(__xludf.DUMMYFUNCTION("""COMPUTED_VALUE"""),2)</f>
        <v>2</v>
      </c>
    </row>
    <row r="7030" spans="1:5" ht="13">
      <c r="A7030" s="2" t="str">
        <f ca="1">IFERROR(__xludf.DUMMYFUNCTION("""COMPUTED_VALUE"""),"Russell-Smith, Geoffry")</f>
        <v>Russell-Smith, Geoffry</v>
      </c>
      <c r="B7030" s="2">
        <f ca="1">IFERROR(__xludf.DUMMYFUNCTION("""COMPUTED_VALUE"""),1)</f>
        <v>1</v>
      </c>
      <c r="C7030" s="7">
        <f ca="1">IFERROR(__xludf.DUMMYFUNCTION("""COMPUTED_VALUE"""),1)</f>
        <v>1</v>
      </c>
      <c r="D7030" s="8">
        <f ca="1">IFERROR(__xludf.DUMMYFUNCTION("""COMPUTED_VALUE"""),5)</f>
        <v>5</v>
      </c>
      <c r="E7030" s="2">
        <f ca="1">IFERROR(__xludf.DUMMYFUNCTION("""COMPUTED_VALUE"""),2)</f>
        <v>2</v>
      </c>
    </row>
    <row r="7031" spans="1:5" ht="13">
      <c r="A7031" s="2" t="str">
        <f ca="1">IFERROR(__xludf.DUMMYFUNCTION("""COMPUTED_VALUE"""),"Russell, Alexander")</f>
        <v>Russell, Alexander</v>
      </c>
      <c r="B7031" s="2">
        <f ca="1">IFERROR(__xludf.DUMMYFUNCTION("""COMPUTED_VALUE"""),1)</f>
        <v>1</v>
      </c>
      <c r="C7031" s="7">
        <f ca="1">IFERROR(__xludf.DUMMYFUNCTION("""COMPUTED_VALUE"""),1)</f>
        <v>1</v>
      </c>
      <c r="D7031" s="8">
        <f ca="1">IFERROR(__xludf.DUMMYFUNCTION("""COMPUTED_VALUE"""),5)</f>
        <v>5</v>
      </c>
      <c r="E7031" s="2">
        <f ca="1">IFERROR(__xludf.DUMMYFUNCTION("""COMPUTED_VALUE"""),2)</f>
        <v>2</v>
      </c>
    </row>
    <row r="7032" spans="1:5" ht="13">
      <c r="A7032" s="2" t="str">
        <f ca="1">IFERROR(__xludf.DUMMYFUNCTION("""COMPUTED_VALUE"""),"Russell, Armand")</f>
        <v>Russell, Armand</v>
      </c>
      <c r="B7032" s="3">
        <f ca="1">IFERROR(__xludf.DUMMYFUNCTION("""COMPUTED_VALUE"""),1)</f>
        <v>1</v>
      </c>
      <c r="C7032" s="7">
        <f ca="1">IFERROR(__xludf.DUMMYFUNCTION("""COMPUTED_VALUE"""),1)</f>
        <v>1</v>
      </c>
      <c r="D7032" s="8">
        <f ca="1">IFERROR(__xludf.DUMMYFUNCTION("""COMPUTED_VALUE"""),1)</f>
        <v>1</v>
      </c>
      <c r="E7032" s="2">
        <f ca="1">IFERROR(__xludf.DUMMYFUNCTION("""COMPUTED_VALUE"""),1)</f>
        <v>1</v>
      </c>
    </row>
    <row r="7033" spans="1:5" ht="13">
      <c r="A7033" s="8" t="str">
        <f ca="1">IFERROR(__xludf.DUMMYFUNCTION("""COMPUTED_VALUE"""),"Russell, Bob")</f>
        <v>Russell, Bob</v>
      </c>
      <c r="B7033" s="3">
        <f ca="1">IFERROR(__xludf.DUMMYFUNCTION("""COMPUTED_VALUE"""),1)</f>
        <v>1</v>
      </c>
      <c r="C7033" s="7">
        <f ca="1">IFERROR(__xludf.DUMMYFUNCTION("""COMPUTED_VALUE"""),1)</f>
        <v>1</v>
      </c>
      <c r="D7033" s="8">
        <f ca="1">IFERROR(__xludf.DUMMYFUNCTION("""COMPUTED_VALUE"""),5)</f>
        <v>5</v>
      </c>
      <c r="E7033" s="2">
        <f ca="1">IFERROR(__xludf.DUMMYFUNCTION("""COMPUTED_VALUE"""),2)</f>
        <v>2</v>
      </c>
    </row>
    <row r="7034" spans="1:5" ht="13">
      <c r="A7034" s="8" t="str">
        <f ca="1">IFERROR(__xludf.DUMMYFUNCTION("""COMPUTED_VALUE"""),"Russell, Craig H.")</f>
        <v>Russell, Craig H.</v>
      </c>
      <c r="B7034" s="3">
        <f ca="1">IFERROR(__xludf.DUMMYFUNCTION("""COMPUTED_VALUE"""),1)</f>
        <v>1</v>
      </c>
      <c r="C7034" s="7">
        <f ca="1">IFERROR(__xludf.DUMMYFUNCTION("""COMPUTED_VALUE"""),1)</f>
        <v>1</v>
      </c>
      <c r="D7034" s="8">
        <f ca="1">IFERROR(__xludf.DUMMYFUNCTION("""COMPUTED_VALUE"""),1)</f>
        <v>1</v>
      </c>
      <c r="E7034" s="2">
        <f ca="1">IFERROR(__xludf.DUMMYFUNCTION("""COMPUTED_VALUE"""),1)</f>
        <v>1</v>
      </c>
    </row>
    <row r="7035" spans="1:5" ht="13">
      <c r="A7035" s="2" t="str">
        <f ca="1">IFERROR(__xludf.DUMMYFUNCTION("""COMPUTED_VALUE"""),"Russell, James I.")</f>
        <v>Russell, James I.</v>
      </c>
      <c r="B7035" s="3">
        <f ca="1">IFERROR(__xludf.DUMMYFUNCTION("""COMPUTED_VALUE"""),1)</f>
        <v>1</v>
      </c>
      <c r="C7035" s="7">
        <f ca="1">IFERROR(__xludf.DUMMYFUNCTION("""COMPUTED_VALUE"""),1)</f>
        <v>1</v>
      </c>
      <c r="D7035" s="8">
        <f ca="1">IFERROR(__xludf.DUMMYFUNCTION("""COMPUTED_VALUE"""),5)</f>
        <v>5</v>
      </c>
      <c r="E7035" s="2">
        <f ca="1">IFERROR(__xludf.DUMMYFUNCTION("""COMPUTED_VALUE"""),2)</f>
        <v>2</v>
      </c>
    </row>
    <row r="7036" spans="1:5" ht="13">
      <c r="A7036" s="2" t="str">
        <f ca="1">IFERROR(__xludf.DUMMYFUNCTION("""COMPUTED_VALUE"""),"Russell, John")</f>
        <v>Russell, John</v>
      </c>
      <c r="B7036" s="3">
        <f ca="1">IFERROR(__xludf.DUMMYFUNCTION("""COMPUTED_VALUE"""),1)</f>
        <v>1</v>
      </c>
      <c r="C7036" s="7">
        <f ca="1">IFERROR(__xludf.DUMMYFUNCTION("""COMPUTED_VALUE"""),1)</f>
        <v>1</v>
      </c>
      <c r="D7036" s="8">
        <f ca="1">IFERROR(__xludf.DUMMYFUNCTION("""COMPUTED_VALUE"""),1)</f>
        <v>1</v>
      </c>
      <c r="E7036" s="2">
        <f ca="1">IFERROR(__xludf.DUMMYFUNCTION("""COMPUTED_VALUE"""),1)</f>
        <v>1</v>
      </c>
    </row>
    <row r="7037" spans="1:5" ht="13">
      <c r="A7037" s="2" t="str">
        <f ca="1">IFERROR(__xludf.DUMMYFUNCTION("""COMPUTED_VALUE"""),"Russell, Jonathan")</f>
        <v>Russell, Jonathan</v>
      </c>
      <c r="B7037" s="3">
        <f ca="1">IFERROR(__xludf.DUMMYFUNCTION("""COMPUTED_VALUE"""),1)</f>
        <v>1</v>
      </c>
      <c r="C7037" s="7">
        <f ca="1">IFERROR(__xludf.DUMMYFUNCTION("""COMPUTED_VALUE"""),1)</f>
        <v>1</v>
      </c>
      <c r="D7037" s="8">
        <f ca="1">IFERROR(__xludf.DUMMYFUNCTION("""COMPUTED_VALUE"""),1)</f>
        <v>1</v>
      </c>
      <c r="E7037" s="2">
        <f ca="1">IFERROR(__xludf.DUMMYFUNCTION("""COMPUTED_VALUE"""),1)</f>
        <v>1</v>
      </c>
    </row>
    <row r="7038" spans="1:5" ht="13">
      <c r="A7038" s="2" t="str">
        <f ca="1">IFERROR(__xludf.DUMMYFUNCTION("""COMPUTED_VALUE"""),"Russell, Leon")</f>
        <v>Russell, Leon</v>
      </c>
      <c r="B7038" s="2">
        <f ca="1">IFERROR(__xludf.DUMMYFUNCTION("""COMPUTED_VALUE"""),1)</f>
        <v>1</v>
      </c>
      <c r="C7038" s="7">
        <f ca="1">IFERROR(__xludf.DUMMYFUNCTION("""COMPUTED_VALUE"""),1)</f>
        <v>1</v>
      </c>
      <c r="D7038" s="8">
        <f ca="1">IFERROR(__xludf.DUMMYFUNCTION("""COMPUTED_VALUE"""),5)</f>
        <v>5</v>
      </c>
      <c r="E7038" s="2">
        <f ca="1">IFERROR(__xludf.DUMMYFUNCTION("""COMPUTED_VALUE"""),2)</f>
        <v>2</v>
      </c>
    </row>
    <row r="7039" spans="1:5" ht="13">
      <c r="A7039" s="2" t="str">
        <f ca="1">IFERROR(__xludf.DUMMYFUNCTION("""COMPUTED_VALUE"""),"Russell, Sidney Keith (Bob)")</f>
        <v>Russell, Sidney Keith (Bob)</v>
      </c>
      <c r="B7039" s="2">
        <f ca="1">IFERROR(__xludf.DUMMYFUNCTION("""COMPUTED_VALUE"""),1)</f>
        <v>1</v>
      </c>
      <c r="C7039" s="7">
        <f ca="1">IFERROR(__xludf.DUMMYFUNCTION("""COMPUTED_VALUE"""),1)</f>
        <v>1</v>
      </c>
      <c r="D7039" s="8">
        <f ca="1">IFERROR(__xludf.DUMMYFUNCTION("""COMPUTED_VALUE"""),5)</f>
        <v>5</v>
      </c>
      <c r="E7039" s="2">
        <f ca="1">IFERROR(__xludf.DUMMYFUNCTION("""COMPUTED_VALUE"""),2)</f>
        <v>2</v>
      </c>
    </row>
    <row r="7040" spans="1:5" ht="13">
      <c r="A7040" s="2" t="str">
        <f ca="1">IFERROR(__xludf.DUMMYFUNCTION("""COMPUTED_VALUE"""),"Russell, Welford")</f>
        <v>Russell, Welford</v>
      </c>
      <c r="B7040" s="3">
        <f ca="1">IFERROR(__xludf.DUMMYFUNCTION("""COMPUTED_VALUE"""),1)</f>
        <v>1</v>
      </c>
      <c r="C7040" s="7">
        <f ca="1">IFERROR(__xludf.DUMMYFUNCTION("""COMPUTED_VALUE"""),1)</f>
        <v>1</v>
      </c>
      <c r="D7040" s="8">
        <f ca="1">IFERROR(__xludf.DUMMYFUNCTION("""COMPUTED_VALUE"""),5)</f>
        <v>5</v>
      </c>
      <c r="E7040" s="2">
        <f ca="1">IFERROR(__xludf.DUMMYFUNCTION("""COMPUTED_VALUE"""),2)</f>
        <v>2</v>
      </c>
    </row>
    <row r="7041" spans="1:5" ht="13">
      <c r="A7041" s="2" t="str">
        <f ca="1">IFERROR(__xludf.DUMMYFUNCTION("""COMPUTED_VALUE"""),"Russell, William F.")</f>
        <v>Russell, William F.</v>
      </c>
      <c r="B7041" s="3">
        <f ca="1">IFERROR(__xludf.DUMMYFUNCTION("""COMPUTED_VALUE"""),1)</f>
        <v>1</v>
      </c>
      <c r="C7041" s="7">
        <f ca="1">IFERROR(__xludf.DUMMYFUNCTION("""COMPUTED_VALUE"""),1)</f>
        <v>1</v>
      </c>
      <c r="D7041" s="8">
        <f ca="1">IFERROR(__xludf.DUMMYFUNCTION("""COMPUTED_VALUE"""),1)</f>
        <v>1</v>
      </c>
      <c r="E7041" s="2">
        <f ca="1">IFERROR(__xludf.DUMMYFUNCTION("""COMPUTED_VALUE"""),1)</f>
        <v>1</v>
      </c>
    </row>
    <row r="7042" spans="1:5" ht="13">
      <c r="A7042" s="2" t="str">
        <f ca="1">IFERROR(__xludf.DUMMYFUNCTION("""COMPUTED_VALUE"""),"Ruthenberg, Eric")</f>
        <v>Ruthenberg, Eric</v>
      </c>
      <c r="B7042" s="3">
        <f ca="1">IFERROR(__xludf.DUMMYFUNCTION("""COMPUTED_VALUE"""),1)</f>
        <v>1</v>
      </c>
      <c r="C7042" s="7">
        <f ca="1">IFERROR(__xludf.DUMMYFUNCTION("""COMPUTED_VALUE"""),1)</f>
        <v>1</v>
      </c>
      <c r="D7042" s="8">
        <f ca="1">IFERROR(__xludf.DUMMYFUNCTION("""COMPUTED_VALUE"""),1)</f>
        <v>1</v>
      </c>
      <c r="E7042" s="2">
        <f ca="1">IFERROR(__xludf.DUMMYFUNCTION("""COMPUTED_VALUE"""),1)</f>
        <v>1</v>
      </c>
    </row>
    <row r="7043" spans="1:5" ht="13">
      <c r="A7043" s="8" t="str">
        <f ca="1">IFERROR(__xludf.DUMMYFUNCTION("""COMPUTED_VALUE"""),"Rutherford, Martin")</f>
        <v>Rutherford, Martin</v>
      </c>
      <c r="B7043" s="3">
        <f ca="1">IFERROR(__xludf.DUMMYFUNCTION("""COMPUTED_VALUE"""),1)</f>
        <v>1</v>
      </c>
      <c r="C7043" s="7">
        <f ca="1">IFERROR(__xludf.DUMMYFUNCTION("""COMPUTED_VALUE"""),1)</f>
        <v>1</v>
      </c>
      <c r="D7043" s="8">
        <f ca="1">IFERROR(__xludf.DUMMYFUNCTION("""COMPUTED_VALUE"""),1)</f>
        <v>1</v>
      </c>
      <c r="E7043" s="2">
        <f ca="1">IFERROR(__xludf.DUMMYFUNCTION("""COMPUTED_VALUE"""),1)</f>
        <v>1</v>
      </c>
    </row>
    <row r="7044" spans="1:5" ht="13">
      <c r="A7044" s="8" t="str">
        <f ca="1">IFERROR(__xludf.DUMMYFUNCTION("""COMPUTED_VALUE"""),"Rutherford, Paris")</f>
        <v>Rutherford, Paris</v>
      </c>
      <c r="B7044" s="3">
        <f ca="1">IFERROR(__xludf.DUMMYFUNCTION("""COMPUTED_VALUE"""),1)</f>
        <v>1</v>
      </c>
      <c r="C7044" s="7">
        <f ca="1">IFERROR(__xludf.DUMMYFUNCTION("""COMPUTED_VALUE"""),1)</f>
        <v>1</v>
      </c>
      <c r="D7044" s="8">
        <f ca="1">IFERROR(__xludf.DUMMYFUNCTION("""COMPUTED_VALUE"""),1)</f>
        <v>1</v>
      </c>
      <c r="E7044" s="2">
        <f ca="1">IFERROR(__xludf.DUMMYFUNCTION("""COMPUTED_VALUE"""),1)</f>
        <v>1</v>
      </c>
    </row>
    <row r="7045" spans="1:5" ht="13">
      <c r="A7045" s="2" t="str">
        <f ca="1">IFERROR(__xludf.DUMMYFUNCTION("""COMPUTED_VALUE"""),"Rutter, John")</f>
        <v>Rutter, John</v>
      </c>
      <c r="B7045" s="3">
        <f ca="1">IFERROR(__xludf.DUMMYFUNCTION("""COMPUTED_VALUE"""),1)</f>
        <v>1</v>
      </c>
      <c r="C7045" s="7">
        <f ca="1">IFERROR(__xludf.DUMMYFUNCTION("""COMPUTED_VALUE"""),1)</f>
        <v>1</v>
      </c>
      <c r="D7045" s="8">
        <f ca="1">IFERROR(__xludf.DUMMYFUNCTION("""COMPUTED_VALUE"""),1)</f>
        <v>1</v>
      </c>
      <c r="E7045" s="2">
        <f ca="1">IFERROR(__xludf.DUMMYFUNCTION("""COMPUTED_VALUE"""),1)</f>
        <v>1</v>
      </c>
    </row>
    <row r="7046" spans="1:5" ht="13">
      <c r="A7046" s="2" t="str">
        <f ca="1">IFERROR(__xludf.DUMMYFUNCTION("""COMPUTED_VALUE"""),"Ruzicka, Charles")</f>
        <v>Ruzicka, Charles</v>
      </c>
      <c r="B7046" s="3">
        <f ca="1">IFERROR(__xludf.DUMMYFUNCTION("""COMPUTED_VALUE"""),1)</f>
        <v>1</v>
      </c>
      <c r="C7046" s="7">
        <f ca="1">IFERROR(__xludf.DUMMYFUNCTION("""COMPUTED_VALUE"""),1)</f>
        <v>1</v>
      </c>
      <c r="D7046" s="8">
        <f ca="1">IFERROR(__xludf.DUMMYFUNCTION("""COMPUTED_VALUE"""),1)</f>
        <v>1</v>
      </c>
      <c r="E7046" s="2">
        <f ca="1">IFERROR(__xludf.DUMMYFUNCTION("""COMPUTED_VALUE"""),1)</f>
        <v>1</v>
      </c>
    </row>
    <row r="7047" spans="1:5" ht="13">
      <c r="A7047" s="2" t="str">
        <f ca="1">IFERROR(__xludf.DUMMYFUNCTION("""COMPUTED_VALUE"""),"Ruzicka, Peter")</f>
        <v>Ruzicka, Peter</v>
      </c>
      <c r="B7047" s="3">
        <f ca="1">IFERROR(__xludf.DUMMYFUNCTION("""COMPUTED_VALUE"""),1)</f>
        <v>1</v>
      </c>
      <c r="C7047" s="7">
        <f ca="1">IFERROR(__xludf.DUMMYFUNCTION("""COMPUTED_VALUE"""),1)</f>
        <v>1</v>
      </c>
      <c r="D7047" s="8">
        <f ca="1">IFERROR(__xludf.DUMMYFUNCTION("""COMPUTED_VALUE"""),1)</f>
        <v>1</v>
      </c>
      <c r="E7047" s="2">
        <f ca="1">IFERROR(__xludf.DUMMYFUNCTION("""COMPUTED_VALUE"""),1)</f>
        <v>1</v>
      </c>
    </row>
    <row r="7048" spans="1:5" ht="13">
      <c r="A7048" s="2" t="str">
        <f ca="1">IFERROR(__xludf.DUMMYFUNCTION("""COMPUTED_VALUE"""),"Ryan, Michael")</f>
        <v>Ryan, Michael</v>
      </c>
      <c r="B7048" s="3">
        <f ca="1">IFERROR(__xludf.DUMMYFUNCTION("""COMPUTED_VALUE"""),1)</f>
        <v>1</v>
      </c>
      <c r="C7048" s="7">
        <f ca="1">IFERROR(__xludf.DUMMYFUNCTION("""COMPUTED_VALUE"""),1)</f>
        <v>1</v>
      </c>
      <c r="D7048" s="8">
        <f ca="1">IFERROR(__xludf.DUMMYFUNCTION("""COMPUTED_VALUE"""),1)</f>
        <v>1</v>
      </c>
      <c r="E7048" s="2">
        <f ca="1">IFERROR(__xludf.DUMMYFUNCTION("""COMPUTED_VALUE"""),1)</f>
        <v>1</v>
      </c>
    </row>
    <row r="7049" spans="1:5" ht="13">
      <c r="A7049" s="2" t="str">
        <f ca="1">IFERROR(__xludf.DUMMYFUNCTION("""COMPUTED_VALUE"""),"Ryden, William")</f>
        <v>Ryden, William</v>
      </c>
      <c r="B7049" s="2">
        <f ca="1">IFERROR(__xludf.DUMMYFUNCTION("""COMPUTED_VALUE"""),1)</f>
        <v>1</v>
      </c>
      <c r="C7049" s="7">
        <f ca="1">IFERROR(__xludf.DUMMYFUNCTION("""COMPUTED_VALUE"""),1)</f>
        <v>1</v>
      </c>
      <c r="D7049" s="8">
        <f ca="1">IFERROR(__xludf.DUMMYFUNCTION("""COMPUTED_VALUE"""),5)</f>
        <v>5</v>
      </c>
      <c r="E7049" s="2">
        <f ca="1">IFERROR(__xludf.DUMMYFUNCTION("""COMPUTED_VALUE"""),2)</f>
        <v>2</v>
      </c>
    </row>
    <row r="7050" spans="1:5" ht="13">
      <c r="A7050" s="2" t="str">
        <f ca="1">IFERROR(__xludf.DUMMYFUNCTION("""COMPUTED_VALUE"""),"Rydlund, Carl")</f>
        <v>Rydlund, Carl</v>
      </c>
      <c r="B7050" s="3">
        <f ca="1">IFERROR(__xludf.DUMMYFUNCTION("""COMPUTED_VALUE"""),1)</f>
        <v>1</v>
      </c>
      <c r="C7050" s="7">
        <f ca="1">IFERROR(__xludf.DUMMYFUNCTION("""COMPUTED_VALUE"""),1)</f>
        <v>1</v>
      </c>
      <c r="D7050" s="8">
        <f ca="1">IFERROR(__xludf.DUMMYFUNCTION("""COMPUTED_VALUE"""),1)</f>
        <v>1</v>
      </c>
      <c r="E7050" s="2">
        <f ca="1">IFERROR(__xludf.DUMMYFUNCTION("""COMPUTED_VALUE"""),1)</f>
        <v>1</v>
      </c>
    </row>
    <row r="7051" spans="1:5" ht="13">
      <c r="A7051" s="2" t="str">
        <f ca="1">IFERROR(__xludf.DUMMYFUNCTION("""COMPUTED_VALUE"""),"Rzewski, Frederic")</f>
        <v>Rzewski, Frederic</v>
      </c>
      <c r="B7051" s="3">
        <f ca="1">IFERROR(__xludf.DUMMYFUNCTION("""COMPUTED_VALUE"""),1)</f>
        <v>1</v>
      </c>
      <c r="C7051" s="7">
        <f ca="1">IFERROR(__xludf.DUMMYFUNCTION("""COMPUTED_VALUE"""),1)</f>
        <v>1</v>
      </c>
      <c r="D7051" s="8">
        <f ca="1">IFERROR(__xludf.DUMMYFUNCTION("""COMPUTED_VALUE"""),1)</f>
        <v>1</v>
      </c>
      <c r="E7051" s="2">
        <f ca="1">IFERROR(__xludf.DUMMYFUNCTION("""COMPUTED_VALUE"""),1)</f>
        <v>1</v>
      </c>
    </row>
    <row r="7052" spans="1:5" ht="13">
      <c r="A7052" s="2" t="str">
        <f ca="1">IFERROR(__xludf.DUMMYFUNCTION("""COMPUTED_VALUE"""),"Saberhagen, Noah")</f>
        <v>Saberhagen, Noah</v>
      </c>
      <c r="B7052" s="3">
        <f ca="1">IFERROR(__xludf.DUMMYFUNCTION("""COMPUTED_VALUE"""),1)</f>
        <v>1</v>
      </c>
      <c r="C7052" s="7">
        <f ca="1">IFERROR(__xludf.DUMMYFUNCTION("""COMPUTED_VALUE"""),1)</f>
        <v>1</v>
      </c>
      <c r="D7052" s="8">
        <f ca="1">IFERROR(__xludf.DUMMYFUNCTION("""COMPUTED_VALUE"""),1)</f>
        <v>1</v>
      </c>
      <c r="E7052" s="2">
        <f ca="1">IFERROR(__xludf.DUMMYFUNCTION("""COMPUTED_VALUE"""),1)</f>
        <v>1</v>
      </c>
    </row>
    <row r="7053" spans="1:5" ht="13">
      <c r="A7053" s="2" t="str">
        <f ca="1">IFERROR(__xludf.DUMMYFUNCTION("""COMPUTED_VALUE"""),"Sabina, Les")</f>
        <v>Sabina, Les</v>
      </c>
      <c r="B7053" s="3">
        <f ca="1">IFERROR(__xludf.DUMMYFUNCTION("""COMPUTED_VALUE"""),1)</f>
        <v>1</v>
      </c>
      <c r="C7053" s="7">
        <f ca="1">IFERROR(__xludf.DUMMYFUNCTION("""COMPUTED_VALUE"""),1)</f>
        <v>1</v>
      </c>
      <c r="D7053" s="8">
        <f ca="1">IFERROR(__xludf.DUMMYFUNCTION("""COMPUTED_VALUE"""),1)</f>
        <v>1</v>
      </c>
      <c r="E7053" s="2">
        <f ca="1">IFERROR(__xludf.DUMMYFUNCTION("""COMPUTED_VALUE"""),1)</f>
        <v>1</v>
      </c>
    </row>
    <row r="7054" spans="1:5" ht="13">
      <c r="A7054" s="2" t="str">
        <f ca="1">IFERROR(__xludf.DUMMYFUNCTION("""COMPUTED_VALUE"""),"Saboly, Nicolas")</f>
        <v>Saboly, Nicolas</v>
      </c>
      <c r="B7054" s="3">
        <f ca="1">IFERROR(__xludf.DUMMYFUNCTION("""COMPUTED_VALUE"""),1)</f>
        <v>1</v>
      </c>
      <c r="C7054" s="7">
        <f ca="1">IFERROR(__xludf.DUMMYFUNCTION("""COMPUTED_VALUE"""),1)</f>
        <v>1</v>
      </c>
      <c r="D7054" s="8">
        <f ca="1">IFERROR(__xludf.DUMMYFUNCTION("""COMPUTED_VALUE"""),5)</f>
        <v>5</v>
      </c>
      <c r="E7054" s="2">
        <f ca="1">IFERROR(__xludf.DUMMYFUNCTION("""COMPUTED_VALUE"""),2)</f>
        <v>2</v>
      </c>
    </row>
    <row r="7055" spans="1:5" ht="13">
      <c r="A7055" s="2" t="str">
        <f ca="1">IFERROR(__xludf.DUMMYFUNCTION("""COMPUTED_VALUE"""),"Sabre, Alejandro")</f>
        <v>Sabre, Alejandro</v>
      </c>
      <c r="B7055" s="3">
        <f ca="1">IFERROR(__xludf.DUMMYFUNCTION("""COMPUTED_VALUE"""),1)</f>
        <v>1</v>
      </c>
      <c r="C7055" s="7">
        <f ca="1">IFERROR(__xludf.DUMMYFUNCTION("""COMPUTED_VALUE"""),1)</f>
        <v>1</v>
      </c>
      <c r="D7055" s="8">
        <f ca="1">IFERROR(__xludf.DUMMYFUNCTION("""COMPUTED_VALUE"""),1)</f>
        <v>1</v>
      </c>
      <c r="E7055" s="2">
        <f ca="1">IFERROR(__xludf.DUMMYFUNCTION("""COMPUTED_VALUE"""),1)</f>
        <v>1</v>
      </c>
    </row>
    <row r="7056" spans="1:5" ht="13">
      <c r="A7056" s="2" t="str">
        <f ca="1">IFERROR(__xludf.DUMMYFUNCTION("""COMPUTED_VALUE"""),"Sacchini, Antonio")</f>
        <v>Sacchini, Antonio</v>
      </c>
      <c r="B7056" s="2">
        <f ca="1">IFERROR(__xludf.DUMMYFUNCTION("""COMPUTED_VALUE"""),1)</f>
        <v>1</v>
      </c>
      <c r="C7056" s="7">
        <f ca="1">IFERROR(__xludf.DUMMYFUNCTION("""COMPUTED_VALUE"""),1)</f>
        <v>1</v>
      </c>
      <c r="D7056" s="8">
        <f ca="1">IFERROR(__xludf.DUMMYFUNCTION("""COMPUTED_VALUE"""),5)</f>
        <v>5</v>
      </c>
      <c r="E7056" s="2">
        <f ca="1">IFERROR(__xludf.DUMMYFUNCTION("""COMPUTED_VALUE"""),2)</f>
        <v>2</v>
      </c>
    </row>
    <row r="7057" spans="1:5" ht="13">
      <c r="A7057" s="8" t="str">
        <f ca="1">IFERROR(__xludf.DUMMYFUNCTION("""COMPUTED_VALUE"""),"Sacco, John")</f>
        <v>Sacco, John</v>
      </c>
      <c r="B7057" s="3">
        <f ca="1">IFERROR(__xludf.DUMMYFUNCTION("""COMPUTED_VALUE"""),1)</f>
        <v>1</v>
      </c>
      <c r="C7057" s="7">
        <f ca="1">IFERROR(__xludf.DUMMYFUNCTION("""COMPUTED_VALUE"""),1)</f>
        <v>1</v>
      </c>
      <c r="D7057" s="8">
        <f ca="1">IFERROR(__xludf.DUMMYFUNCTION("""COMPUTED_VALUE"""),5)</f>
        <v>5</v>
      </c>
      <c r="E7057" s="2">
        <f ca="1">IFERROR(__xludf.DUMMYFUNCTION("""COMPUTED_VALUE"""),2)</f>
        <v>2</v>
      </c>
    </row>
    <row r="7058" spans="1:5" ht="13">
      <c r="A7058" s="2" t="str">
        <f ca="1">IFERROR(__xludf.DUMMYFUNCTION("""COMPUTED_VALUE"""),"Sadel, Alfred / Tucci, Terig")</f>
        <v>Sadel, Alfred / Tucci, Terig</v>
      </c>
      <c r="B7058" s="3">
        <f ca="1">IFERROR(__xludf.DUMMYFUNCTION("""COMPUTED_VALUE"""),1)</f>
        <v>1</v>
      </c>
      <c r="C7058" s="7">
        <f ca="1">IFERROR(__xludf.DUMMYFUNCTION("""COMPUTED_VALUE"""),1)</f>
        <v>1</v>
      </c>
      <c r="D7058" s="8">
        <f ca="1">IFERROR(__xludf.DUMMYFUNCTION("""COMPUTED_VALUE"""),5)</f>
        <v>5</v>
      </c>
      <c r="E7058" s="2">
        <f ca="1">IFERROR(__xludf.DUMMYFUNCTION("""COMPUTED_VALUE"""),2)</f>
        <v>2</v>
      </c>
    </row>
    <row r="7059" spans="1:5" ht="13">
      <c r="A7059" s="8" t="str">
        <f ca="1">IFERROR(__xludf.DUMMYFUNCTION("""COMPUTED_VALUE"""),"Sadler, Barry")</f>
        <v>Sadler, Barry</v>
      </c>
      <c r="B7059" s="3">
        <f ca="1">IFERROR(__xludf.DUMMYFUNCTION("""COMPUTED_VALUE"""),1)</f>
        <v>1</v>
      </c>
      <c r="C7059" s="7">
        <f ca="1">IFERROR(__xludf.DUMMYFUNCTION("""COMPUTED_VALUE"""),1)</f>
        <v>1</v>
      </c>
      <c r="D7059" s="8">
        <f ca="1">IFERROR(__xludf.DUMMYFUNCTION("""COMPUTED_VALUE"""),5)</f>
        <v>5</v>
      </c>
      <c r="E7059" s="2">
        <f ca="1">IFERROR(__xludf.DUMMYFUNCTION("""COMPUTED_VALUE"""),2)</f>
        <v>2</v>
      </c>
    </row>
    <row r="7060" spans="1:5" ht="13">
      <c r="A7060" s="2" t="str">
        <f ca="1">IFERROR(__xludf.DUMMYFUNCTION("""COMPUTED_VALUE"""),"Sadler, Brian")</f>
        <v>Sadler, Brian</v>
      </c>
      <c r="B7060" s="3">
        <f ca="1">IFERROR(__xludf.DUMMYFUNCTION("""COMPUTED_VALUE"""),1)</f>
        <v>1</v>
      </c>
      <c r="C7060" s="7">
        <f ca="1">IFERROR(__xludf.DUMMYFUNCTION("""COMPUTED_VALUE"""),1)</f>
        <v>1</v>
      </c>
      <c r="D7060" s="8">
        <f ca="1">IFERROR(__xludf.DUMMYFUNCTION("""COMPUTED_VALUE"""),1)</f>
        <v>1</v>
      </c>
      <c r="E7060" s="2">
        <f ca="1">IFERROR(__xludf.DUMMYFUNCTION("""COMPUTED_VALUE"""),1)</f>
        <v>1</v>
      </c>
    </row>
    <row r="7061" spans="1:5" ht="13">
      <c r="A7061" s="8" t="str">
        <f ca="1">IFERROR(__xludf.DUMMYFUNCTION("""COMPUTED_VALUE"""),"Safan, Craig")</f>
        <v>Safan, Craig</v>
      </c>
      <c r="B7061" s="3">
        <f ca="1">IFERROR(__xludf.DUMMYFUNCTION("""COMPUTED_VALUE"""),1)</f>
        <v>1</v>
      </c>
      <c r="C7061" s="7">
        <f ca="1">IFERROR(__xludf.DUMMYFUNCTION("""COMPUTED_VALUE"""),1)</f>
        <v>1</v>
      </c>
      <c r="D7061" s="8">
        <f ca="1">IFERROR(__xludf.DUMMYFUNCTION("""COMPUTED_VALUE"""),1)</f>
        <v>1</v>
      </c>
      <c r="E7061" s="2">
        <f ca="1">IFERROR(__xludf.DUMMYFUNCTION("""COMPUTED_VALUE"""),1)</f>
        <v>1</v>
      </c>
    </row>
    <row r="7062" spans="1:5" ht="13">
      <c r="A7062" s="8" t="str">
        <f ca="1">IFERROR(__xludf.DUMMYFUNCTION("""COMPUTED_VALUE"""),"Safford, Alexander")</f>
        <v>Safford, Alexander</v>
      </c>
      <c r="B7062" s="3">
        <f ca="1">IFERROR(__xludf.DUMMYFUNCTION("""COMPUTED_VALUE"""),1)</f>
        <v>1</v>
      </c>
      <c r="C7062" s="7">
        <f ca="1">IFERROR(__xludf.DUMMYFUNCTION("""COMPUTED_VALUE"""),1)</f>
        <v>1</v>
      </c>
      <c r="D7062" s="8">
        <f ca="1">IFERROR(__xludf.DUMMYFUNCTION("""COMPUTED_VALUE"""),1)</f>
        <v>1</v>
      </c>
      <c r="E7062" s="2">
        <f ca="1">IFERROR(__xludf.DUMMYFUNCTION("""COMPUTED_VALUE"""),1)</f>
        <v>1</v>
      </c>
    </row>
    <row r="7063" spans="1:5" ht="13">
      <c r="A7063" s="2" t="str">
        <f ca="1">IFERROR(__xludf.DUMMYFUNCTION("""COMPUTED_VALUE"""),"Safranek, Victor")</f>
        <v>Safranek, Victor</v>
      </c>
      <c r="B7063" s="3">
        <f ca="1">IFERROR(__xludf.DUMMYFUNCTION("""COMPUTED_VALUE"""),1)</f>
        <v>1</v>
      </c>
      <c r="C7063" s="7">
        <f ca="1">IFERROR(__xludf.DUMMYFUNCTION("""COMPUTED_VALUE"""),1)</f>
        <v>1</v>
      </c>
      <c r="D7063" s="8">
        <f ca="1">IFERROR(__xludf.DUMMYFUNCTION("""COMPUTED_VALUE"""),5)</f>
        <v>5</v>
      </c>
      <c r="E7063" s="2">
        <f ca="1">IFERROR(__xludf.DUMMYFUNCTION("""COMPUTED_VALUE"""),2)</f>
        <v>2</v>
      </c>
    </row>
    <row r="7064" spans="1:5" ht="13">
      <c r="A7064" s="2" t="str">
        <f ca="1">IFERROR(__xludf.DUMMYFUNCTION("""COMPUTED_VALUE"""),"Saint Clair, Jack")</f>
        <v>Saint Clair, Jack</v>
      </c>
      <c r="B7064" s="2">
        <f ca="1">IFERROR(__xludf.DUMMYFUNCTION("""COMPUTED_VALUE"""),1)</f>
        <v>1</v>
      </c>
      <c r="C7064" s="7">
        <f ca="1">IFERROR(__xludf.DUMMYFUNCTION("""COMPUTED_VALUE"""),1)</f>
        <v>1</v>
      </c>
      <c r="D7064" s="8">
        <f ca="1">IFERROR(__xludf.DUMMYFUNCTION("""COMPUTED_VALUE"""),1)</f>
        <v>1</v>
      </c>
      <c r="E7064" s="2">
        <f ca="1">IFERROR(__xludf.DUMMYFUNCTION("""COMPUTED_VALUE"""),1)</f>
        <v>1</v>
      </c>
    </row>
    <row r="7065" spans="1:5" ht="13">
      <c r="A7065" s="8" t="str">
        <f ca="1">IFERROR(__xludf.DUMMYFUNCTION("""COMPUTED_VALUE"""),"Saint-Amans, Louis")</f>
        <v>Saint-Amans, Louis</v>
      </c>
      <c r="B7065" s="3">
        <f ca="1">IFERROR(__xludf.DUMMYFUNCTION("""COMPUTED_VALUE"""),1)</f>
        <v>1</v>
      </c>
      <c r="C7065" s="7">
        <f ca="1">IFERROR(__xludf.DUMMYFUNCTION("""COMPUTED_VALUE"""),1)</f>
        <v>1</v>
      </c>
      <c r="D7065" s="8">
        <f ca="1">IFERROR(__xludf.DUMMYFUNCTION("""COMPUTED_VALUE"""),5)</f>
        <v>5</v>
      </c>
      <c r="E7065" s="2">
        <f ca="1">IFERROR(__xludf.DUMMYFUNCTION("""COMPUTED_VALUE"""),2)</f>
        <v>2</v>
      </c>
    </row>
    <row r="7066" spans="1:5" ht="13">
      <c r="A7066" s="2" t="str">
        <f ca="1">IFERROR(__xludf.DUMMYFUNCTION("""COMPUTED_VALUE"""),"Saint-Saëns, Camille")</f>
        <v>Saint-Saëns, Camille</v>
      </c>
      <c r="B7066" s="3">
        <f ca="1">IFERROR(__xludf.DUMMYFUNCTION("""COMPUTED_VALUE"""),1)</f>
        <v>1</v>
      </c>
      <c r="C7066" s="7">
        <f ca="1">IFERROR(__xludf.DUMMYFUNCTION("""COMPUTED_VALUE"""),1)</f>
        <v>1</v>
      </c>
      <c r="D7066" s="8">
        <f ca="1">IFERROR(__xludf.DUMMYFUNCTION("""COMPUTED_VALUE"""),5)</f>
        <v>5</v>
      </c>
      <c r="E7066" s="2">
        <f ca="1">IFERROR(__xludf.DUMMYFUNCTION("""COMPUTED_VALUE"""),2)</f>
        <v>2</v>
      </c>
    </row>
    <row r="7067" spans="1:5" ht="13">
      <c r="A7067" s="2" t="str">
        <f ca="1">IFERROR(__xludf.DUMMYFUNCTION("""COMPUTED_VALUE"""),"Salamunovich, Paul")</f>
        <v>Salamunovich, Paul</v>
      </c>
      <c r="B7067" s="2">
        <f ca="1">IFERROR(__xludf.DUMMYFUNCTION("""COMPUTED_VALUE"""),1)</f>
        <v>1</v>
      </c>
      <c r="C7067" s="2">
        <f ca="1">IFERROR(__xludf.DUMMYFUNCTION("""COMPUTED_VALUE"""),1)</f>
        <v>1</v>
      </c>
      <c r="D7067" s="8">
        <f ca="1">IFERROR(__xludf.DUMMYFUNCTION("""COMPUTED_VALUE"""),5)</f>
        <v>5</v>
      </c>
      <c r="E7067" s="2">
        <f ca="1">IFERROR(__xludf.DUMMYFUNCTION("""COMPUTED_VALUE"""),2)</f>
        <v>2</v>
      </c>
    </row>
    <row r="7068" spans="1:5" ht="13">
      <c r="A7068" s="2" t="str">
        <f ca="1">IFERROR(__xludf.DUMMYFUNCTION("""COMPUTED_VALUE"""),"Salem, Shaun")</f>
        <v>Salem, Shaun</v>
      </c>
      <c r="B7068" s="3">
        <f ca="1">IFERROR(__xludf.DUMMYFUNCTION("""COMPUTED_VALUE"""),1)</f>
        <v>1</v>
      </c>
      <c r="C7068" s="7">
        <f ca="1">IFERROR(__xludf.DUMMYFUNCTION("""COMPUTED_VALUE"""),1)</f>
        <v>1</v>
      </c>
      <c r="D7068" s="8">
        <f ca="1">IFERROR(__xludf.DUMMYFUNCTION("""COMPUTED_VALUE"""),1)</f>
        <v>1</v>
      </c>
      <c r="E7068" s="2">
        <f ca="1">IFERROR(__xludf.DUMMYFUNCTION("""COMPUTED_VALUE"""),1)</f>
        <v>1</v>
      </c>
    </row>
    <row r="7069" spans="1:5" ht="13">
      <c r="A7069" s="8" t="str">
        <f ca="1">IFERROR(__xludf.DUMMYFUNCTION("""COMPUTED_VALUE"""),"Salerni, Paul")</f>
        <v>Salerni, Paul</v>
      </c>
      <c r="B7069" s="3">
        <f ca="1">IFERROR(__xludf.DUMMYFUNCTION("""COMPUTED_VALUE"""),1)</f>
        <v>1</v>
      </c>
      <c r="C7069" s="7">
        <f ca="1">IFERROR(__xludf.DUMMYFUNCTION("""COMPUTED_VALUE"""),1)</f>
        <v>1</v>
      </c>
      <c r="D7069" s="8">
        <f ca="1">IFERROR(__xludf.DUMMYFUNCTION("""COMPUTED_VALUE"""),1)</f>
        <v>1</v>
      </c>
      <c r="E7069" s="2">
        <f ca="1">IFERROR(__xludf.DUMMYFUNCTION("""COMPUTED_VALUE"""),1)</f>
        <v>1</v>
      </c>
    </row>
    <row r="7070" spans="1:5" ht="13">
      <c r="A7070" s="2" t="str">
        <f ca="1">IFERROR(__xludf.DUMMYFUNCTION("""COMPUTED_VALUE"""),"Salieri, Antonio")</f>
        <v>Salieri, Antonio</v>
      </c>
      <c r="B7070" s="3">
        <f ca="1">IFERROR(__xludf.DUMMYFUNCTION("""COMPUTED_VALUE"""),1)</f>
        <v>1</v>
      </c>
      <c r="C7070" s="7">
        <f ca="1">IFERROR(__xludf.DUMMYFUNCTION("""COMPUTED_VALUE"""),1)</f>
        <v>1</v>
      </c>
      <c r="D7070" s="8">
        <f ca="1">IFERROR(__xludf.DUMMYFUNCTION("""COMPUTED_VALUE"""),5)</f>
        <v>5</v>
      </c>
      <c r="E7070" s="2">
        <f ca="1">IFERROR(__xludf.DUMMYFUNCTION("""COMPUTED_VALUE"""),2)</f>
        <v>2</v>
      </c>
    </row>
    <row r="7071" spans="1:5" ht="13">
      <c r="A7071" s="2" t="str">
        <f ca="1">IFERROR(__xludf.DUMMYFUNCTION("""COMPUTED_VALUE"""),"Sallinen, Aulis")</f>
        <v>Sallinen, Aulis</v>
      </c>
      <c r="B7071" s="3">
        <f ca="1">IFERROR(__xludf.DUMMYFUNCTION("""COMPUTED_VALUE"""),1)</f>
        <v>1</v>
      </c>
      <c r="C7071" s="7">
        <f ca="1">IFERROR(__xludf.DUMMYFUNCTION("""COMPUTED_VALUE"""),1)</f>
        <v>1</v>
      </c>
      <c r="D7071" s="8">
        <f ca="1">IFERROR(__xludf.DUMMYFUNCTION("""COMPUTED_VALUE"""),1)</f>
        <v>1</v>
      </c>
      <c r="E7071" s="2">
        <f ca="1">IFERROR(__xludf.DUMMYFUNCTION("""COMPUTED_VALUE"""),1)</f>
        <v>1</v>
      </c>
    </row>
    <row r="7072" spans="1:5" ht="13">
      <c r="A7072" s="2" t="str">
        <f ca="1">IFERROR(__xludf.DUMMYFUNCTION("""COMPUTED_VALUE"""),"Salnikov, Georgy")</f>
        <v>Salnikov, Georgy</v>
      </c>
      <c r="B7072" s="2">
        <f ca="1">IFERROR(__xludf.DUMMYFUNCTION("""COMPUTED_VALUE"""),1)</f>
        <v>1</v>
      </c>
      <c r="C7072" s="7">
        <f ca="1">IFERROR(__xludf.DUMMYFUNCTION("""COMPUTED_VALUE"""),1)</f>
        <v>1</v>
      </c>
      <c r="D7072" s="8">
        <f ca="1">IFERROR(__xludf.DUMMYFUNCTION("""COMPUTED_VALUE"""),5)</f>
        <v>5</v>
      </c>
      <c r="E7072" s="2">
        <f ca="1">IFERROR(__xludf.DUMMYFUNCTION("""COMPUTED_VALUE"""),2)</f>
        <v>2</v>
      </c>
    </row>
    <row r="7073" spans="1:5" ht="13">
      <c r="A7073" s="2" t="str">
        <f ca="1">IFERROR(__xludf.DUMMYFUNCTION("""COMPUTED_VALUE"""),"Salonen, Esa-Pekka")</f>
        <v>Salonen, Esa-Pekka</v>
      </c>
      <c r="B7073" s="3">
        <f ca="1">IFERROR(__xludf.DUMMYFUNCTION("""COMPUTED_VALUE"""),1)</f>
        <v>1</v>
      </c>
      <c r="C7073" s="7">
        <f ca="1">IFERROR(__xludf.DUMMYFUNCTION("""COMPUTED_VALUE"""),1)</f>
        <v>1</v>
      </c>
      <c r="D7073" s="8">
        <f ca="1">IFERROR(__xludf.DUMMYFUNCTION("""COMPUTED_VALUE"""),1)</f>
        <v>1</v>
      </c>
      <c r="E7073" s="2">
        <f ca="1">IFERROR(__xludf.DUMMYFUNCTION("""COMPUTED_VALUE"""),1)</f>
        <v>1</v>
      </c>
    </row>
    <row r="7074" spans="1:5" ht="13">
      <c r="A7074" s="2" t="str">
        <f ca="1">IFERROR(__xludf.DUMMYFUNCTION("""COMPUTED_VALUE"""),"Salter, Todd")</f>
        <v>Salter, Todd</v>
      </c>
      <c r="B7074" s="3">
        <f ca="1">IFERROR(__xludf.DUMMYFUNCTION("""COMPUTED_VALUE"""),1)</f>
        <v>1</v>
      </c>
      <c r="C7074" s="7">
        <f ca="1">IFERROR(__xludf.DUMMYFUNCTION("""COMPUTED_VALUE"""),1)</f>
        <v>1</v>
      </c>
      <c r="D7074" s="8">
        <f ca="1">IFERROR(__xludf.DUMMYFUNCTION("""COMPUTED_VALUE"""),1)</f>
        <v>1</v>
      </c>
      <c r="E7074" s="2">
        <f ca="1">IFERROR(__xludf.DUMMYFUNCTION("""COMPUTED_VALUE"""),1)</f>
        <v>1</v>
      </c>
    </row>
    <row r="7075" spans="1:5" ht="13">
      <c r="A7075" s="2" t="str">
        <f ca="1">IFERROR(__xludf.DUMMYFUNCTION("""COMPUTED_VALUE"""),"Salzedo, Carlos")</f>
        <v>Salzedo, Carlos</v>
      </c>
      <c r="B7075" s="2">
        <f ca="1">IFERROR(__xludf.DUMMYFUNCTION("""COMPUTED_VALUE"""),1)</f>
        <v>1</v>
      </c>
      <c r="C7075" s="7">
        <f ca="1">IFERROR(__xludf.DUMMYFUNCTION("""COMPUTED_VALUE"""),1)</f>
        <v>1</v>
      </c>
      <c r="D7075" s="8">
        <f ca="1">IFERROR(__xludf.DUMMYFUNCTION("""COMPUTED_VALUE"""),5)</f>
        <v>5</v>
      </c>
      <c r="E7075" s="2">
        <f ca="1">IFERROR(__xludf.DUMMYFUNCTION("""COMPUTED_VALUE"""),2)</f>
        <v>2</v>
      </c>
    </row>
    <row r="7076" spans="1:5" ht="13">
      <c r="A7076" s="2" t="str">
        <f ca="1">IFERROR(__xludf.DUMMYFUNCTION("""COMPUTED_VALUE"""),"Salzedo, Leonard")</f>
        <v>Salzedo, Leonard</v>
      </c>
      <c r="B7076" s="2">
        <f ca="1">IFERROR(__xludf.DUMMYFUNCTION("""COMPUTED_VALUE"""),1)</f>
        <v>1</v>
      </c>
      <c r="C7076" s="7">
        <f ca="1">IFERROR(__xludf.DUMMYFUNCTION("""COMPUTED_VALUE"""),1)</f>
        <v>1</v>
      </c>
      <c r="D7076" s="8">
        <f ca="1">IFERROR(__xludf.DUMMYFUNCTION("""COMPUTED_VALUE"""),5)</f>
        <v>5</v>
      </c>
      <c r="E7076" s="2">
        <f ca="1">IFERROR(__xludf.DUMMYFUNCTION("""COMPUTED_VALUE"""),2)</f>
        <v>2</v>
      </c>
    </row>
    <row r="7077" spans="1:5" ht="13">
      <c r="A7077" s="2" t="str">
        <f ca="1">IFERROR(__xludf.DUMMYFUNCTION("""COMPUTED_VALUE"""),"Salzman, Timothy")</f>
        <v>Salzman, Timothy</v>
      </c>
      <c r="B7077" s="3">
        <f ca="1">IFERROR(__xludf.DUMMYFUNCTION("""COMPUTED_VALUE"""),1)</f>
        <v>1</v>
      </c>
      <c r="C7077" s="7">
        <f ca="1">IFERROR(__xludf.DUMMYFUNCTION("""COMPUTED_VALUE"""),1)</f>
        <v>1</v>
      </c>
      <c r="D7077" s="8">
        <f ca="1">IFERROR(__xludf.DUMMYFUNCTION("""COMPUTED_VALUE"""),1)</f>
        <v>1</v>
      </c>
      <c r="E7077" s="2">
        <f ca="1">IFERROR(__xludf.DUMMYFUNCTION("""COMPUTED_VALUE"""),1)</f>
        <v>1</v>
      </c>
    </row>
    <row r="7078" spans="1:5" ht="13">
      <c r="A7078" s="8" t="str">
        <f ca="1">IFERROR(__xludf.DUMMYFUNCTION("""COMPUTED_VALUE"""),"Samarov, Maxim")</f>
        <v>Samarov, Maxim</v>
      </c>
      <c r="B7078" s="3">
        <f ca="1">IFERROR(__xludf.DUMMYFUNCTION("""COMPUTED_VALUE"""),1)</f>
        <v>1</v>
      </c>
      <c r="C7078" s="7">
        <f ca="1">IFERROR(__xludf.DUMMYFUNCTION("""COMPUTED_VALUE"""),1)</f>
        <v>1</v>
      </c>
      <c r="D7078" s="8">
        <f ca="1">IFERROR(__xludf.DUMMYFUNCTION("""COMPUTED_VALUE"""),1)</f>
        <v>1</v>
      </c>
      <c r="E7078" s="2">
        <f ca="1">IFERROR(__xludf.DUMMYFUNCTION("""COMPUTED_VALUE"""),1)</f>
        <v>1</v>
      </c>
    </row>
    <row r="7079" spans="1:5" ht="13">
      <c r="A7079" s="2" t="str">
        <f ca="1">IFERROR(__xludf.DUMMYFUNCTION("""COMPUTED_VALUE"""),"Sametz, Steven")</f>
        <v>Sametz, Steven</v>
      </c>
      <c r="B7079" s="3">
        <f ca="1">IFERROR(__xludf.DUMMYFUNCTION("""COMPUTED_VALUE"""),1)</f>
        <v>1</v>
      </c>
      <c r="C7079" s="7">
        <f ca="1">IFERROR(__xludf.DUMMYFUNCTION("""COMPUTED_VALUE"""),1)</f>
        <v>1</v>
      </c>
      <c r="D7079" s="8">
        <f ca="1">IFERROR(__xludf.DUMMYFUNCTION("""COMPUTED_VALUE"""),1)</f>
        <v>1</v>
      </c>
      <c r="E7079" s="2">
        <f ca="1">IFERROR(__xludf.DUMMYFUNCTION("""COMPUTED_VALUE"""),1)</f>
        <v>1</v>
      </c>
    </row>
    <row r="7080" spans="1:5" ht="13">
      <c r="A7080" s="8" t="str">
        <f ca="1">IFERROR(__xludf.DUMMYFUNCTION("""COMPUTED_VALUE"""),"Samkopf, Kjell")</f>
        <v>Samkopf, Kjell</v>
      </c>
      <c r="B7080" s="3">
        <f ca="1">IFERROR(__xludf.DUMMYFUNCTION("""COMPUTED_VALUE"""),1)</f>
        <v>1</v>
      </c>
      <c r="C7080" s="7">
        <f ca="1">IFERROR(__xludf.DUMMYFUNCTION("""COMPUTED_VALUE"""),1)</f>
        <v>1</v>
      </c>
      <c r="D7080" s="8">
        <f ca="1">IFERROR(__xludf.DUMMYFUNCTION("""COMPUTED_VALUE"""),1)</f>
        <v>1</v>
      </c>
      <c r="E7080" s="2">
        <f ca="1">IFERROR(__xludf.DUMMYFUNCTION("""COMPUTED_VALUE"""),1)</f>
        <v>1</v>
      </c>
    </row>
    <row r="7081" spans="1:5" ht="13">
      <c r="A7081" s="8" t="str">
        <f ca="1">IFERROR(__xludf.DUMMYFUNCTION("""COMPUTED_VALUE"""),"Sammartini, Giovanni")</f>
        <v>Sammartini, Giovanni</v>
      </c>
      <c r="B7081" s="3">
        <f ca="1">IFERROR(__xludf.DUMMYFUNCTION("""COMPUTED_VALUE"""),1)</f>
        <v>1</v>
      </c>
      <c r="C7081" s="7">
        <f ca="1">IFERROR(__xludf.DUMMYFUNCTION("""COMPUTED_VALUE"""),1)</f>
        <v>1</v>
      </c>
      <c r="D7081" s="8">
        <f ca="1">IFERROR(__xludf.DUMMYFUNCTION("""COMPUTED_VALUE"""),5)</f>
        <v>5</v>
      </c>
      <c r="E7081" s="2">
        <f ca="1">IFERROR(__xludf.DUMMYFUNCTION("""COMPUTED_VALUE"""),2)</f>
        <v>2</v>
      </c>
    </row>
    <row r="7082" spans="1:5" ht="13">
      <c r="A7082" s="8" t="str">
        <f ca="1">IFERROR(__xludf.DUMMYFUNCTION("""COMPUTED_VALUE"""),"Sammes, Mike")</f>
        <v>Sammes, Mike</v>
      </c>
      <c r="B7082" s="3">
        <f ca="1">IFERROR(__xludf.DUMMYFUNCTION("""COMPUTED_VALUE"""),1)</f>
        <v>1</v>
      </c>
      <c r="C7082" s="7">
        <f ca="1">IFERROR(__xludf.DUMMYFUNCTION("""COMPUTED_VALUE"""),1)</f>
        <v>1</v>
      </c>
      <c r="D7082" s="8">
        <f ca="1">IFERROR(__xludf.DUMMYFUNCTION("""COMPUTED_VALUE"""),5)</f>
        <v>5</v>
      </c>
      <c r="E7082" s="2">
        <f ca="1">IFERROR(__xludf.DUMMYFUNCTION("""COMPUTED_VALUE"""),2)</f>
        <v>2</v>
      </c>
    </row>
    <row r="7083" spans="1:5" ht="13">
      <c r="A7083" s="2" t="str">
        <f ca="1">IFERROR(__xludf.DUMMYFUNCTION("""COMPUTED_VALUE"""),"Sammis / Towner")</f>
        <v>Sammis / Towner</v>
      </c>
      <c r="B7083" s="3">
        <f ca="1">IFERROR(__xludf.DUMMYFUNCTION("""COMPUTED_VALUE"""),1)</f>
        <v>1</v>
      </c>
      <c r="C7083" s="7">
        <f ca="1">IFERROR(__xludf.DUMMYFUNCTION("""COMPUTED_VALUE"""),1)</f>
        <v>1</v>
      </c>
      <c r="D7083" s="8">
        <f ca="1">IFERROR(__xludf.DUMMYFUNCTION("""COMPUTED_VALUE"""),1)</f>
        <v>1</v>
      </c>
      <c r="E7083" s="2">
        <f ca="1">IFERROR(__xludf.DUMMYFUNCTION("""COMPUTED_VALUE"""),1)</f>
        <v>1</v>
      </c>
    </row>
    <row r="7084" spans="1:5" ht="13">
      <c r="A7084" s="8" t="str">
        <f ca="1">IFERROR(__xludf.DUMMYFUNCTION("""COMPUTED_VALUE"""),"Sample, Michael")</f>
        <v>Sample, Michael</v>
      </c>
      <c r="B7084" s="3">
        <f ca="1">IFERROR(__xludf.DUMMYFUNCTION("""COMPUTED_VALUE"""),1)</f>
        <v>1</v>
      </c>
      <c r="C7084" s="7">
        <f ca="1">IFERROR(__xludf.DUMMYFUNCTION("""COMPUTED_VALUE"""),1)</f>
        <v>1</v>
      </c>
      <c r="D7084" s="8">
        <f ca="1">IFERROR(__xludf.DUMMYFUNCTION("""COMPUTED_VALUE"""),1)</f>
        <v>1</v>
      </c>
      <c r="E7084" s="2">
        <f ca="1">IFERROR(__xludf.DUMMYFUNCTION("""COMPUTED_VALUE"""),1)</f>
        <v>1</v>
      </c>
    </row>
    <row r="7085" spans="1:5" ht="13">
      <c r="A7085" s="2" t="str">
        <f ca="1">IFERROR(__xludf.DUMMYFUNCTION("""COMPUTED_VALUE"""),"Sampson, David")</f>
        <v>Sampson, David</v>
      </c>
      <c r="B7085" s="3">
        <f ca="1">IFERROR(__xludf.DUMMYFUNCTION("""COMPUTED_VALUE"""),1)</f>
        <v>1</v>
      </c>
      <c r="C7085" s="7">
        <f ca="1">IFERROR(__xludf.DUMMYFUNCTION("""COMPUTED_VALUE"""),1)</f>
        <v>1</v>
      </c>
      <c r="D7085" s="8">
        <f ca="1">IFERROR(__xludf.DUMMYFUNCTION("""COMPUTED_VALUE"""),1)</f>
        <v>1</v>
      </c>
      <c r="E7085" s="2">
        <f ca="1">IFERROR(__xludf.DUMMYFUNCTION("""COMPUTED_VALUE"""),1)</f>
        <v>1</v>
      </c>
    </row>
    <row r="7086" spans="1:5" ht="13">
      <c r="A7086" s="2" t="str">
        <f ca="1">IFERROR(__xludf.DUMMYFUNCTION("""COMPUTED_VALUE"""),"Samuels, Dave")</f>
        <v>Samuels, Dave</v>
      </c>
      <c r="B7086" s="3">
        <f ca="1">IFERROR(__xludf.DUMMYFUNCTION("""COMPUTED_VALUE"""),1)</f>
        <v>1</v>
      </c>
      <c r="C7086" s="7">
        <f ca="1">IFERROR(__xludf.DUMMYFUNCTION("""COMPUTED_VALUE"""),1)</f>
        <v>1</v>
      </c>
      <c r="D7086" s="8">
        <f ca="1">IFERROR(__xludf.DUMMYFUNCTION("""COMPUTED_VALUE"""),5)</f>
        <v>5</v>
      </c>
      <c r="E7086" s="2">
        <f ca="1">IFERROR(__xludf.DUMMYFUNCTION("""COMPUTED_VALUE"""),2)</f>
        <v>2</v>
      </c>
    </row>
    <row r="7087" spans="1:5" ht="13">
      <c r="A7087" s="2" t="str">
        <f ca="1">IFERROR(__xludf.DUMMYFUNCTION("""COMPUTED_VALUE"""),"Samuels, David")</f>
        <v>Samuels, David</v>
      </c>
      <c r="B7087" s="3">
        <f ca="1">IFERROR(__xludf.DUMMYFUNCTION("""COMPUTED_VALUE"""),1)</f>
        <v>1</v>
      </c>
      <c r="C7087" s="7">
        <f ca="1">IFERROR(__xludf.DUMMYFUNCTION("""COMPUTED_VALUE"""),1)</f>
        <v>1</v>
      </c>
      <c r="D7087" s="8">
        <f ca="1">IFERROR(__xludf.DUMMYFUNCTION("""COMPUTED_VALUE"""),1)</f>
        <v>1</v>
      </c>
      <c r="E7087" s="2">
        <f ca="1">IFERROR(__xludf.DUMMYFUNCTION("""COMPUTED_VALUE"""),1)</f>
        <v>1</v>
      </c>
    </row>
    <row r="7088" spans="1:5" ht="13">
      <c r="A7088" s="2" t="str">
        <f ca="1">IFERROR(__xludf.DUMMYFUNCTION("""COMPUTED_VALUE"""),"San Miguel, Mariano")</f>
        <v>San Miguel, Mariano</v>
      </c>
      <c r="B7088" s="3">
        <f ca="1">IFERROR(__xludf.DUMMYFUNCTION("""COMPUTED_VALUE"""),1)</f>
        <v>1</v>
      </c>
      <c r="C7088" s="7">
        <f ca="1">IFERROR(__xludf.DUMMYFUNCTION("""COMPUTED_VALUE"""),1)</f>
        <v>1</v>
      </c>
      <c r="D7088" s="8">
        <f ca="1">IFERROR(__xludf.DUMMYFUNCTION("""COMPUTED_VALUE"""),5)</f>
        <v>5</v>
      </c>
      <c r="E7088" s="2">
        <f ca="1">IFERROR(__xludf.DUMMYFUNCTION("""COMPUTED_VALUE"""),2)</f>
        <v>2</v>
      </c>
    </row>
    <row r="7089" spans="1:5" ht="13">
      <c r="A7089" s="2" t="str">
        <f ca="1">IFERROR(__xludf.DUMMYFUNCTION("""COMPUTED_VALUE"""),"Sánchez, Moisés Moliere")</f>
        <v>Sánchez, Moisés Moliere</v>
      </c>
      <c r="B7089" s="3">
        <f ca="1">IFERROR(__xludf.DUMMYFUNCTION("""COMPUTED_VALUE"""),1)</f>
        <v>1</v>
      </c>
      <c r="C7089" s="7">
        <f ca="1">IFERROR(__xludf.DUMMYFUNCTION("""COMPUTED_VALUE"""),1)</f>
        <v>1</v>
      </c>
      <c r="D7089" s="8">
        <f ca="1">IFERROR(__xludf.DUMMYFUNCTION("""COMPUTED_VALUE"""),5)</f>
        <v>5</v>
      </c>
      <c r="E7089" s="2">
        <f ca="1">IFERROR(__xludf.DUMMYFUNCTION("""COMPUTED_VALUE"""),2)</f>
        <v>2</v>
      </c>
    </row>
    <row r="7090" spans="1:5" ht="13">
      <c r="A7090" s="2" t="str">
        <f ca="1">IFERROR(__xludf.DUMMYFUNCTION("""COMPUTED_VALUE"""),"Sanchis, Bernabé")</f>
        <v>Sanchis, Bernabé</v>
      </c>
      <c r="B7090" s="3">
        <f ca="1">IFERROR(__xludf.DUMMYFUNCTION("""COMPUTED_VALUE"""),1)</f>
        <v>1</v>
      </c>
      <c r="C7090" s="7">
        <f ca="1">IFERROR(__xludf.DUMMYFUNCTION("""COMPUTED_VALUE"""),1)</f>
        <v>1</v>
      </c>
      <c r="D7090" s="8">
        <f ca="1">IFERROR(__xludf.DUMMYFUNCTION("""COMPUTED_VALUE"""),1)</f>
        <v>1</v>
      </c>
      <c r="E7090" s="2">
        <f ca="1">IFERROR(__xludf.DUMMYFUNCTION("""COMPUTED_VALUE"""),1)</f>
        <v>1</v>
      </c>
    </row>
    <row r="7091" spans="1:5" ht="13">
      <c r="A7091" s="8" t="str">
        <f ca="1">IFERROR(__xludf.DUMMYFUNCTION("""COMPUTED_VALUE"""),"Sandberg, Steve")</f>
        <v>Sandberg, Steve</v>
      </c>
      <c r="B7091" s="3">
        <f ca="1">IFERROR(__xludf.DUMMYFUNCTION("""COMPUTED_VALUE"""),1)</f>
        <v>1</v>
      </c>
      <c r="C7091" s="7">
        <f ca="1">IFERROR(__xludf.DUMMYFUNCTION("""COMPUTED_VALUE"""),1)</f>
        <v>1</v>
      </c>
      <c r="D7091" s="8">
        <f ca="1">IFERROR(__xludf.DUMMYFUNCTION("""COMPUTED_VALUE"""),1)</f>
        <v>1</v>
      </c>
      <c r="E7091" s="2">
        <f ca="1">IFERROR(__xludf.DUMMYFUNCTION("""COMPUTED_VALUE"""),1)</f>
        <v>1</v>
      </c>
    </row>
    <row r="7092" spans="1:5" ht="13">
      <c r="A7092" s="2" t="str">
        <f ca="1">IFERROR(__xludf.DUMMYFUNCTION("""COMPUTED_VALUE"""),"Sanders, Greg")</f>
        <v>Sanders, Greg</v>
      </c>
      <c r="B7092" s="3">
        <f ca="1">IFERROR(__xludf.DUMMYFUNCTION("""COMPUTED_VALUE"""),1)</f>
        <v>1</v>
      </c>
      <c r="C7092" s="7">
        <f ca="1">IFERROR(__xludf.DUMMYFUNCTION("""COMPUTED_VALUE"""),1)</f>
        <v>1</v>
      </c>
      <c r="D7092" s="8">
        <f ca="1">IFERROR(__xludf.DUMMYFUNCTION("""COMPUTED_VALUE"""),1)</f>
        <v>1</v>
      </c>
      <c r="E7092" s="2">
        <f ca="1">IFERROR(__xludf.DUMMYFUNCTION("""COMPUTED_VALUE"""),1)</f>
        <v>1</v>
      </c>
    </row>
    <row r="7093" spans="1:5" ht="13">
      <c r="A7093" s="8" t="str">
        <f ca="1">IFERROR(__xludf.DUMMYFUNCTION("""COMPUTED_VALUE"""),"Sanders, Nick")</f>
        <v>Sanders, Nick</v>
      </c>
      <c r="B7093" s="3">
        <f ca="1">IFERROR(__xludf.DUMMYFUNCTION("""COMPUTED_VALUE"""),1)</f>
        <v>1</v>
      </c>
      <c r="C7093" s="7">
        <f ca="1">IFERROR(__xludf.DUMMYFUNCTION("""COMPUTED_VALUE"""),1)</f>
        <v>1</v>
      </c>
      <c r="D7093" s="8">
        <f ca="1">IFERROR(__xludf.DUMMYFUNCTION("""COMPUTED_VALUE"""),1)</f>
        <v>1</v>
      </c>
      <c r="E7093" s="2">
        <f ca="1">IFERROR(__xludf.DUMMYFUNCTION("""COMPUTED_VALUE"""),1)</f>
        <v>1</v>
      </c>
    </row>
    <row r="7094" spans="1:5" ht="13">
      <c r="A7094" s="8" t="str">
        <f ca="1">IFERROR(__xludf.DUMMYFUNCTION("""COMPUTED_VALUE"""),"Sanders, Robert")</f>
        <v>Sanders, Robert</v>
      </c>
      <c r="B7094" s="3">
        <f ca="1">IFERROR(__xludf.DUMMYFUNCTION("""COMPUTED_VALUE"""),1)</f>
        <v>1</v>
      </c>
      <c r="C7094" s="7">
        <f ca="1">IFERROR(__xludf.DUMMYFUNCTION("""COMPUTED_VALUE"""),1)</f>
        <v>1</v>
      </c>
      <c r="D7094" s="8">
        <f ca="1">IFERROR(__xludf.DUMMYFUNCTION("""COMPUTED_VALUE"""),5)</f>
        <v>5</v>
      </c>
      <c r="E7094" s="2">
        <f ca="1">IFERROR(__xludf.DUMMYFUNCTION("""COMPUTED_VALUE"""),2)</f>
        <v>2</v>
      </c>
    </row>
    <row r="7095" spans="1:5" ht="13">
      <c r="A7095" s="8" t="str">
        <f ca="1">IFERROR(__xludf.DUMMYFUNCTION("""COMPUTED_VALUE"""),"Sanders, Ronnie")</f>
        <v>Sanders, Ronnie</v>
      </c>
      <c r="B7095" s="3">
        <f ca="1">IFERROR(__xludf.DUMMYFUNCTION("""COMPUTED_VALUE"""),1)</f>
        <v>1</v>
      </c>
      <c r="C7095" s="7">
        <f ca="1">IFERROR(__xludf.DUMMYFUNCTION("""COMPUTED_VALUE"""),1)</f>
        <v>1</v>
      </c>
      <c r="D7095" s="8">
        <f ca="1">IFERROR(__xludf.DUMMYFUNCTION("""COMPUTED_VALUE"""),1)</f>
        <v>1</v>
      </c>
      <c r="E7095" s="2">
        <f ca="1">IFERROR(__xludf.DUMMYFUNCTION("""COMPUTED_VALUE"""),1)</f>
        <v>1</v>
      </c>
    </row>
    <row r="7096" spans="1:5" ht="13">
      <c r="A7096" s="2" t="str">
        <f ca="1">IFERROR(__xludf.DUMMYFUNCTION("""COMPUTED_VALUE"""),"Sanderson, James")</f>
        <v>Sanderson, James</v>
      </c>
      <c r="B7096" s="2">
        <f ca="1">IFERROR(__xludf.DUMMYFUNCTION("""COMPUTED_VALUE"""),1)</f>
        <v>1</v>
      </c>
      <c r="C7096" s="7">
        <f ca="1">IFERROR(__xludf.DUMMYFUNCTION("""COMPUTED_VALUE"""),1)</f>
        <v>1</v>
      </c>
      <c r="D7096" s="8">
        <f ca="1">IFERROR(__xludf.DUMMYFUNCTION("""COMPUTED_VALUE"""),5)</f>
        <v>5</v>
      </c>
      <c r="E7096" s="2">
        <f ca="1">IFERROR(__xludf.DUMMYFUNCTION("""COMPUTED_VALUE"""),2)</f>
        <v>2</v>
      </c>
    </row>
    <row r="7097" spans="1:5" ht="13">
      <c r="A7097" s="2" t="str">
        <f ca="1">IFERROR(__xludf.DUMMYFUNCTION("""COMPUTED_VALUE"""),"Sando, Tom")</f>
        <v>Sando, Tom</v>
      </c>
      <c r="B7097" s="3">
        <f ca="1">IFERROR(__xludf.DUMMYFUNCTION("""COMPUTED_VALUE"""),1)</f>
        <v>1</v>
      </c>
      <c r="C7097" s="7">
        <f ca="1">IFERROR(__xludf.DUMMYFUNCTION("""COMPUTED_VALUE"""),1)</f>
        <v>1</v>
      </c>
      <c r="D7097" s="8">
        <f ca="1">IFERROR(__xludf.DUMMYFUNCTION("""COMPUTED_VALUE"""),1)</f>
        <v>1</v>
      </c>
      <c r="E7097" s="2">
        <f ca="1">IFERROR(__xludf.DUMMYFUNCTION("""COMPUTED_VALUE"""),1)</f>
        <v>1</v>
      </c>
    </row>
    <row r="7098" spans="1:5" ht="13">
      <c r="A7098" s="2" t="str">
        <f ca="1">IFERROR(__xludf.DUMMYFUNCTION("""COMPUTED_VALUE"""),"Sandstrom, Jan")</f>
        <v>Sandstrom, Jan</v>
      </c>
      <c r="B7098" s="3">
        <f ca="1">IFERROR(__xludf.DUMMYFUNCTION("""COMPUTED_VALUE"""),1)</f>
        <v>1</v>
      </c>
      <c r="C7098" s="7">
        <f ca="1">IFERROR(__xludf.DUMMYFUNCTION("""COMPUTED_VALUE"""),1)</f>
        <v>1</v>
      </c>
      <c r="D7098" s="8">
        <f ca="1">IFERROR(__xludf.DUMMYFUNCTION("""COMPUTED_VALUE"""),1)</f>
        <v>1</v>
      </c>
      <c r="E7098" s="2">
        <f ca="1">IFERROR(__xludf.DUMMYFUNCTION("""COMPUTED_VALUE"""),1)</f>
        <v>1</v>
      </c>
    </row>
    <row r="7099" spans="1:5" ht="13">
      <c r="A7099" s="2" t="str">
        <f ca="1">IFERROR(__xludf.DUMMYFUNCTION("""COMPUTED_VALUE"""),"Sandström, Jan")</f>
        <v>Sandström, Jan</v>
      </c>
      <c r="B7099" s="2">
        <f ca="1">IFERROR(__xludf.DUMMYFUNCTION("""COMPUTED_VALUE"""),1)</f>
        <v>1</v>
      </c>
      <c r="C7099" s="2">
        <f ca="1">IFERROR(__xludf.DUMMYFUNCTION("""COMPUTED_VALUE"""),1)</f>
        <v>1</v>
      </c>
      <c r="D7099" s="8">
        <f ca="1">IFERROR(__xludf.DUMMYFUNCTION("""COMPUTED_VALUE"""),1)</f>
        <v>1</v>
      </c>
      <c r="E7099" s="2">
        <f ca="1">IFERROR(__xludf.DUMMYFUNCTION("""COMPUTED_VALUE"""),1)</f>
        <v>1</v>
      </c>
    </row>
    <row r="7100" spans="1:5" ht="13">
      <c r="A7100" s="8" t="str">
        <f ca="1">IFERROR(__xludf.DUMMYFUNCTION("""COMPUTED_VALUE"""),"Sandström, Sven-David")</f>
        <v>Sandström, Sven-David</v>
      </c>
      <c r="B7100" s="3">
        <f ca="1">IFERROR(__xludf.DUMMYFUNCTION("""COMPUTED_VALUE"""),1)</f>
        <v>1</v>
      </c>
      <c r="C7100" s="7">
        <f ca="1">IFERROR(__xludf.DUMMYFUNCTION("""COMPUTED_VALUE"""),1)</f>
        <v>1</v>
      </c>
      <c r="D7100" s="8">
        <f ca="1">IFERROR(__xludf.DUMMYFUNCTION("""COMPUTED_VALUE"""),1)</f>
        <v>1</v>
      </c>
      <c r="E7100" s="2">
        <f ca="1">IFERROR(__xludf.DUMMYFUNCTION("""COMPUTED_VALUE"""),1)</f>
        <v>1</v>
      </c>
    </row>
    <row r="7101" spans="1:5" ht="13">
      <c r="A7101" s="2" t="str">
        <f ca="1">IFERROR(__xludf.DUMMYFUNCTION("""COMPUTED_VALUE"""),"Sanguinito, Bryan")</f>
        <v>Sanguinito, Bryan</v>
      </c>
      <c r="B7101" s="3">
        <f ca="1">IFERROR(__xludf.DUMMYFUNCTION("""COMPUTED_VALUE"""),1)</f>
        <v>1</v>
      </c>
      <c r="C7101" s="7">
        <f ca="1">IFERROR(__xludf.DUMMYFUNCTION("""COMPUTED_VALUE"""),1)</f>
        <v>1</v>
      </c>
      <c r="D7101" s="8">
        <f ca="1">IFERROR(__xludf.DUMMYFUNCTION("""COMPUTED_VALUE"""),1)</f>
        <v>1</v>
      </c>
      <c r="E7101" s="2">
        <f ca="1">IFERROR(__xludf.DUMMYFUNCTION("""COMPUTED_VALUE"""),1)</f>
        <v>1</v>
      </c>
    </row>
    <row r="7102" spans="1:5" ht="13">
      <c r="A7102" s="2" t="str">
        <f ca="1">IFERROR(__xludf.DUMMYFUNCTION("""COMPUTED_VALUE"""),"Sanlucar, Manolo")</f>
        <v>Sanlucar, Manolo</v>
      </c>
      <c r="B7102" s="3">
        <f ca="1">IFERROR(__xludf.DUMMYFUNCTION("""COMPUTED_VALUE"""),1)</f>
        <v>1</v>
      </c>
      <c r="C7102" s="7">
        <f ca="1">IFERROR(__xludf.DUMMYFUNCTION("""COMPUTED_VALUE"""),1)</f>
        <v>1</v>
      </c>
      <c r="D7102" s="8">
        <f ca="1">IFERROR(__xludf.DUMMYFUNCTION("""COMPUTED_VALUE"""),5)</f>
        <v>5</v>
      </c>
      <c r="E7102" s="2">
        <f ca="1">IFERROR(__xludf.DUMMYFUNCTION("""COMPUTED_VALUE"""),2)</f>
        <v>2</v>
      </c>
    </row>
    <row r="7103" spans="1:5" ht="13">
      <c r="A7103" s="2" t="str">
        <f ca="1">IFERROR(__xludf.DUMMYFUNCTION("""COMPUTED_VALUE"""),"Sansolo, Corey")</f>
        <v>Sansolo, Corey</v>
      </c>
      <c r="B7103" s="3">
        <f ca="1">IFERROR(__xludf.DUMMYFUNCTION("""COMPUTED_VALUE"""),1)</f>
        <v>1</v>
      </c>
      <c r="C7103" s="7">
        <f ca="1">IFERROR(__xludf.DUMMYFUNCTION("""COMPUTED_VALUE"""),1)</f>
        <v>1</v>
      </c>
      <c r="D7103" s="8">
        <f ca="1">IFERROR(__xludf.DUMMYFUNCTION("""COMPUTED_VALUE"""),1)</f>
        <v>1</v>
      </c>
      <c r="E7103" s="2">
        <f ca="1">IFERROR(__xludf.DUMMYFUNCTION("""COMPUTED_VALUE"""),1)</f>
        <v>1</v>
      </c>
    </row>
    <row r="7104" spans="1:5" ht="13">
      <c r="A7104" s="2" t="str">
        <f ca="1">IFERROR(__xludf.DUMMYFUNCTION("""COMPUTED_VALUE"""),"Santangelo, Christian")</f>
        <v>Santangelo, Christian</v>
      </c>
      <c r="B7104" s="3">
        <f ca="1">IFERROR(__xludf.DUMMYFUNCTION("""COMPUTED_VALUE"""),1)</f>
        <v>1</v>
      </c>
      <c r="C7104" s="7">
        <f ca="1">IFERROR(__xludf.DUMMYFUNCTION("""COMPUTED_VALUE"""),1)</f>
        <v>1</v>
      </c>
      <c r="D7104" s="8">
        <f ca="1">IFERROR(__xludf.DUMMYFUNCTION("""COMPUTED_VALUE"""),1)</f>
        <v>1</v>
      </c>
      <c r="E7104" s="2">
        <f ca="1">IFERROR(__xludf.DUMMYFUNCTION("""COMPUTED_VALUE"""),1)</f>
        <v>1</v>
      </c>
    </row>
    <row r="7105" spans="1:5" ht="13">
      <c r="A7105" s="2" t="str">
        <f ca="1">IFERROR(__xludf.DUMMYFUNCTION("""COMPUTED_VALUE"""),"Santelmann, William H.")</f>
        <v>Santelmann, William H.</v>
      </c>
      <c r="B7105" s="2">
        <f ca="1">IFERROR(__xludf.DUMMYFUNCTION("""COMPUTED_VALUE"""),1)</f>
        <v>1</v>
      </c>
      <c r="C7105" s="7">
        <f ca="1">IFERROR(__xludf.DUMMYFUNCTION("""COMPUTED_VALUE"""),1)</f>
        <v>1</v>
      </c>
      <c r="D7105" s="8">
        <f ca="1">IFERROR(__xludf.DUMMYFUNCTION("""COMPUTED_VALUE"""),5)</f>
        <v>5</v>
      </c>
      <c r="E7105" s="2">
        <f ca="1">IFERROR(__xludf.DUMMYFUNCTION("""COMPUTED_VALUE"""),2)</f>
        <v>2</v>
      </c>
    </row>
    <row r="7106" spans="1:5" ht="13">
      <c r="A7106" s="2" t="str">
        <f ca="1">IFERROR(__xludf.DUMMYFUNCTION("""COMPUTED_VALUE"""),"Santlemann, W. H.")</f>
        <v>Santlemann, W. H.</v>
      </c>
      <c r="B7106" s="3">
        <f ca="1">IFERROR(__xludf.DUMMYFUNCTION("""COMPUTED_VALUE"""),1)</f>
        <v>1</v>
      </c>
      <c r="C7106" s="7">
        <f ca="1">IFERROR(__xludf.DUMMYFUNCTION("""COMPUTED_VALUE"""),1)</f>
        <v>1</v>
      </c>
      <c r="D7106" s="8">
        <f ca="1">IFERROR(__xludf.DUMMYFUNCTION("""COMPUTED_VALUE"""),5)</f>
        <v>5</v>
      </c>
      <c r="E7106" s="2">
        <f ca="1">IFERROR(__xludf.DUMMYFUNCTION("""COMPUTED_VALUE"""),2)</f>
        <v>2</v>
      </c>
    </row>
    <row r="7107" spans="1:5" ht="13">
      <c r="A7107" s="2" t="str">
        <f ca="1">IFERROR(__xludf.DUMMYFUNCTION("""COMPUTED_VALUE"""),"Santos, Erik")</f>
        <v>Santos, Erik</v>
      </c>
      <c r="B7107" s="3">
        <f ca="1">IFERROR(__xludf.DUMMYFUNCTION("""COMPUTED_VALUE"""),1)</f>
        <v>1</v>
      </c>
      <c r="C7107" s="7">
        <f ca="1">IFERROR(__xludf.DUMMYFUNCTION("""COMPUTED_VALUE"""),1)</f>
        <v>1</v>
      </c>
      <c r="D7107" s="8">
        <f ca="1">IFERROR(__xludf.DUMMYFUNCTION("""COMPUTED_VALUE"""),1)</f>
        <v>1</v>
      </c>
      <c r="E7107" s="2">
        <f ca="1">IFERROR(__xludf.DUMMYFUNCTION("""COMPUTED_VALUE"""),1)</f>
        <v>1</v>
      </c>
    </row>
    <row r="7108" spans="1:5" ht="13">
      <c r="A7108" s="2" t="str">
        <f ca="1">IFERROR(__xludf.DUMMYFUNCTION("""COMPUTED_VALUE"""),"Santos, Jerry")</f>
        <v>Santos, Jerry</v>
      </c>
      <c r="B7108" s="2">
        <f ca="1">IFERROR(__xludf.DUMMYFUNCTION("""COMPUTED_VALUE"""),1)</f>
        <v>1</v>
      </c>
      <c r="C7108" s="2">
        <f ca="1">IFERROR(__xludf.DUMMYFUNCTION("""COMPUTED_VALUE"""),1)</f>
        <v>1</v>
      </c>
      <c r="D7108" s="8">
        <f ca="1">IFERROR(__xludf.DUMMYFUNCTION("""COMPUTED_VALUE"""),1)</f>
        <v>1</v>
      </c>
      <c r="E7108" s="2">
        <f ca="1">IFERROR(__xludf.DUMMYFUNCTION("""COMPUTED_VALUE"""),1)</f>
        <v>1</v>
      </c>
    </row>
    <row r="7109" spans="1:5" ht="13">
      <c r="A7109" s="2" t="str">
        <f ca="1">IFERROR(__xludf.DUMMYFUNCTION("""COMPUTED_VALUE"""),"Sanz, Gaspar")</f>
        <v>Sanz, Gaspar</v>
      </c>
      <c r="B7109" s="3">
        <f ca="1">IFERROR(__xludf.DUMMYFUNCTION("""COMPUTED_VALUE"""),1)</f>
        <v>1</v>
      </c>
      <c r="C7109" s="7">
        <f ca="1">IFERROR(__xludf.DUMMYFUNCTION("""COMPUTED_VALUE"""),1)</f>
        <v>1</v>
      </c>
      <c r="D7109" s="8">
        <f ca="1">IFERROR(__xludf.DUMMYFUNCTION("""COMPUTED_VALUE"""),5)</f>
        <v>5</v>
      </c>
      <c r="E7109" s="2">
        <f ca="1">IFERROR(__xludf.DUMMYFUNCTION("""COMPUTED_VALUE"""),2)</f>
        <v>2</v>
      </c>
    </row>
    <row r="7110" spans="1:5" ht="13">
      <c r="A7110" s="2" t="str">
        <f ca="1">IFERROR(__xludf.DUMMYFUNCTION("""COMPUTED_VALUE"""),"Saranec, Chris")</f>
        <v>Saranec, Chris</v>
      </c>
      <c r="B7110" s="3">
        <f ca="1">IFERROR(__xludf.DUMMYFUNCTION("""COMPUTED_VALUE"""),1)</f>
        <v>1</v>
      </c>
      <c r="C7110" s="7">
        <f ca="1">IFERROR(__xludf.DUMMYFUNCTION("""COMPUTED_VALUE"""),1)</f>
        <v>1</v>
      </c>
      <c r="D7110" s="8">
        <f ca="1">IFERROR(__xludf.DUMMYFUNCTION("""COMPUTED_VALUE"""),1)</f>
        <v>1</v>
      </c>
      <c r="E7110" s="2">
        <f ca="1">IFERROR(__xludf.DUMMYFUNCTION("""COMPUTED_VALUE"""),1)</f>
        <v>1</v>
      </c>
    </row>
    <row r="7111" spans="1:5" ht="13">
      <c r="A7111" s="2" t="str">
        <f ca="1">IFERROR(__xludf.DUMMYFUNCTION("""COMPUTED_VALUE"""),"Saras, Erik")</f>
        <v>Saras, Erik</v>
      </c>
      <c r="B7111" s="3">
        <f ca="1">IFERROR(__xludf.DUMMYFUNCTION("""COMPUTED_VALUE"""),1)</f>
        <v>1</v>
      </c>
      <c r="C7111" s="7">
        <f ca="1">IFERROR(__xludf.DUMMYFUNCTION("""COMPUTED_VALUE"""),1)</f>
        <v>1</v>
      </c>
      <c r="D7111" s="8">
        <f ca="1">IFERROR(__xludf.DUMMYFUNCTION("""COMPUTED_VALUE"""),1)</f>
        <v>1</v>
      </c>
      <c r="E7111" s="2">
        <f ca="1">IFERROR(__xludf.DUMMYFUNCTION("""COMPUTED_VALUE"""),1)</f>
        <v>1</v>
      </c>
    </row>
    <row r="7112" spans="1:5" ht="13">
      <c r="A7112" s="2" t="str">
        <f ca="1">IFERROR(__xludf.DUMMYFUNCTION("""COMPUTED_VALUE"""),"Sarasate, Pablo de")</f>
        <v>Sarasate, Pablo de</v>
      </c>
      <c r="B7112" s="3">
        <f ca="1">IFERROR(__xludf.DUMMYFUNCTION("""COMPUTED_VALUE"""),1)</f>
        <v>1</v>
      </c>
      <c r="C7112" s="7">
        <f ca="1">IFERROR(__xludf.DUMMYFUNCTION("""COMPUTED_VALUE"""),1)</f>
        <v>1</v>
      </c>
      <c r="D7112" s="8">
        <f ca="1">IFERROR(__xludf.DUMMYFUNCTION("""COMPUTED_VALUE"""),5)</f>
        <v>5</v>
      </c>
      <c r="E7112" s="2">
        <f ca="1">IFERROR(__xludf.DUMMYFUNCTION("""COMPUTED_VALUE"""),2)</f>
        <v>2</v>
      </c>
    </row>
    <row r="7113" spans="1:5" ht="13">
      <c r="A7113" s="2" t="str">
        <f ca="1">IFERROR(__xludf.DUMMYFUNCTION("""COMPUTED_VALUE"""),"Sarch, Kenneth")</f>
        <v>Sarch, Kenneth</v>
      </c>
      <c r="B7113" s="3">
        <f ca="1">IFERROR(__xludf.DUMMYFUNCTION("""COMPUTED_VALUE"""),1)</f>
        <v>1</v>
      </c>
      <c r="C7113" s="7">
        <f ca="1">IFERROR(__xludf.DUMMYFUNCTION("""COMPUTED_VALUE"""),1)</f>
        <v>1</v>
      </c>
      <c r="D7113" s="8">
        <f ca="1">IFERROR(__xludf.DUMMYFUNCTION("""COMPUTED_VALUE"""),1)</f>
        <v>1</v>
      </c>
      <c r="E7113" s="2">
        <f ca="1">IFERROR(__xludf.DUMMYFUNCTION("""COMPUTED_VALUE"""),1)</f>
        <v>1</v>
      </c>
    </row>
    <row r="7114" spans="1:5" ht="13">
      <c r="A7114" s="2" t="str">
        <f ca="1">IFERROR(__xludf.DUMMYFUNCTION("""COMPUTED_VALUE"""),"Sargent, Erik")</f>
        <v>Sargent, Erik</v>
      </c>
      <c r="B7114" s="3">
        <f ca="1">IFERROR(__xludf.DUMMYFUNCTION("""COMPUTED_VALUE"""),1)</f>
        <v>1</v>
      </c>
      <c r="C7114" s="7">
        <f ca="1">IFERROR(__xludf.DUMMYFUNCTION("""COMPUTED_VALUE"""),1)</f>
        <v>1</v>
      </c>
      <c r="D7114" s="8">
        <f ca="1">IFERROR(__xludf.DUMMYFUNCTION("""COMPUTED_VALUE"""),1)</f>
        <v>1</v>
      </c>
      <c r="E7114" s="2">
        <f ca="1">IFERROR(__xludf.DUMMYFUNCTION("""COMPUTED_VALUE"""),1)</f>
        <v>1</v>
      </c>
    </row>
    <row r="7115" spans="1:5" ht="13">
      <c r="A7115" s="2" t="str">
        <f ca="1">IFERROR(__xludf.DUMMYFUNCTION("""COMPUTED_VALUE"""),"Sargent, Malcom")</f>
        <v>Sargent, Malcom</v>
      </c>
      <c r="B7115" s="2">
        <f ca="1">IFERROR(__xludf.DUMMYFUNCTION("""COMPUTED_VALUE"""),1)</f>
        <v>1</v>
      </c>
      <c r="C7115" s="7">
        <f ca="1">IFERROR(__xludf.DUMMYFUNCTION("""COMPUTED_VALUE"""),1)</f>
        <v>1</v>
      </c>
      <c r="D7115" s="8">
        <f ca="1">IFERROR(__xludf.DUMMYFUNCTION("""COMPUTED_VALUE"""),5)</f>
        <v>5</v>
      </c>
      <c r="E7115" s="2">
        <f ca="1">IFERROR(__xludf.DUMMYFUNCTION("""COMPUTED_VALUE"""),2)</f>
        <v>2</v>
      </c>
    </row>
    <row r="7116" spans="1:5" ht="13">
      <c r="A7116" s="2" t="str">
        <f ca="1">IFERROR(__xludf.DUMMYFUNCTION("""COMPUTED_VALUE"""),"Sarjeant, James")</f>
        <v>Sarjeant, James</v>
      </c>
      <c r="B7116" s="3">
        <f ca="1">IFERROR(__xludf.DUMMYFUNCTION("""COMPUTED_VALUE"""),1)</f>
        <v>1</v>
      </c>
      <c r="C7116" s="7">
        <f ca="1">IFERROR(__xludf.DUMMYFUNCTION("""COMPUTED_VALUE"""),1)</f>
        <v>1</v>
      </c>
      <c r="D7116" s="8">
        <f ca="1">IFERROR(__xludf.DUMMYFUNCTION("""COMPUTED_VALUE"""),5)</f>
        <v>5</v>
      </c>
      <c r="E7116" s="2">
        <f ca="1">IFERROR(__xludf.DUMMYFUNCTION("""COMPUTED_VALUE"""),2)</f>
        <v>2</v>
      </c>
    </row>
    <row r="7117" spans="1:5" ht="13">
      <c r="A7117" s="2" t="str">
        <f ca="1">IFERROR(__xludf.DUMMYFUNCTION("""COMPUTED_VALUE"""),"Sarnetz, Steven")</f>
        <v>Sarnetz, Steven</v>
      </c>
      <c r="B7117" s="3">
        <f ca="1">IFERROR(__xludf.DUMMYFUNCTION("""COMPUTED_VALUE"""),1)</f>
        <v>1</v>
      </c>
      <c r="C7117" s="7">
        <f ca="1">IFERROR(__xludf.DUMMYFUNCTION("""COMPUTED_VALUE"""),1)</f>
        <v>1</v>
      </c>
      <c r="D7117" s="8">
        <f ca="1">IFERROR(__xludf.DUMMYFUNCTION("""COMPUTED_VALUE"""),1)</f>
        <v>1</v>
      </c>
      <c r="E7117" s="2">
        <f ca="1">IFERROR(__xludf.DUMMYFUNCTION("""COMPUTED_VALUE"""),1)</f>
        <v>1</v>
      </c>
    </row>
    <row r="7118" spans="1:5" ht="13">
      <c r="A7118" s="2" t="str">
        <f ca="1">IFERROR(__xludf.DUMMYFUNCTION("""COMPUTED_VALUE"""),"Sarrier, Antonio")</f>
        <v>Sarrier, Antonio</v>
      </c>
      <c r="B7118" s="2">
        <f ca="1">IFERROR(__xludf.DUMMYFUNCTION("""COMPUTED_VALUE"""),1)</f>
        <v>1</v>
      </c>
      <c r="C7118" s="2">
        <f ca="1">IFERROR(__xludf.DUMMYFUNCTION("""COMPUTED_VALUE"""),1)</f>
        <v>1</v>
      </c>
      <c r="D7118" s="8">
        <f ca="1">IFERROR(__xludf.DUMMYFUNCTION("""COMPUTED_VALUE"""),5)</f>
        <v>5</v>
      </c>
      <c r="E7118" s="2">
        <f ca="1">IFERROR(__xludf.DUMMYFUNCTION("""COMPUTED_VALUE"""),2)</f>
        <v>2</v>
      </c>
    </row>
    <row r="7119" spans="1:5" ht="13">
      <c r="A7119" s="2" t="str">
        <f ca="1">IFERROR(__xludf.DUMMYFUNCTION("""COMPUTED_VALUE"""),"Sarsany, Tim")</f>
        <v>Sarsany, Tim</v>
      </c>
      <c r="B7119" s="3">
        <f ca="1">IFERROR(__xludf.DUMMYFUNCTION("""COMPUTED_VALUE"""),1)</f>
        <v>1</v>
      </c>
      <c r="C7119" s="7">
        <f ca="1">IFERROR(__xludf.DUMMYFUNCTION("""COMPUTED_VALUE"""),1)</f>
        <v>1</v>
      </c>
      <c r="D7119" s="8">
        <f ca="1">IFERROR(__xludf.DUMMYFUNCTION("""COMPUTED_VALUE"""),1)</f>
        <v>1</v>
      </c>
      <c r="E7119" s="2">
        <f ca="1">IFERROR(__xludf.DUMMYFUNCTION("""COMPUTED_VALUE"""),1)</f>
        <v>1</v>
      </c>
    </row>
    <row r="7120" spans="1:5" ht="13">
      <c r="A7120" s="8" t="str">
        <f ca="1">IFERROR(__xludf.DUMMYFUNCTION("""COMPUTED_VALUE"""),"Sarti, Giuseppe")</f>
        <v>Sarti, Giuseppe</v>
      </c>
      <c r="B7120" s="3">
        <f ca="1">IFERROR(__xludf.DUMMYFUNCTION("""COMPUTED_VALUE"""),1)</f>
        <v>1</v>
      </c>
      <c r="C7120" s="7">
        <f ca="1">IFERROR(__xludf.DUMMYFUNCTION("""COMPUTED_VALUE"""),1)</f>
        <v>1</v>
      </c>
      <c r="D7120" s="8">
        <f ca="1">IFERROR(__xludf.DUMMYFUNCTION("""COMPUTED_VALUE"""),5)</f>
        <v>5</v>
      </c>
      <c r="E7120" s="2">
        <f ca="1">IFERROR(__xludf.DUMMYFUNCTION("""COMPUTED_VALUE"""),2)</f>
        <v>2</v>
      </c>
    </row>
    <row r="7121" spans="1:5" ht="13">
      <c r="A7121" s="2" t="str">
        <f ca="1">IFERROR(__xludf.DUMMYFUNCTION("""COMPUTED_VALUE"""),"Sartor, David")</f>
        <v>Sartor, David</v>
      </c>
      <c r="B7121" s="3">
        <f ca="1">IFERROR(__xludf.DUMMYFUNCTION("""COMPUTED_VALUE"""),1)</f>
        <v>1</v>
      </c>
      <c r="C7121" s="7">
        <f ca="1">IFERROR(__xludf.DUMMYFUNCTION("""COMPUTED_VALUE"""),1)</f>
        <v>1</v>
      </c>
      <c r="D7121" s="8">
        <f ca="1">IFERROR(__xludf.DUMMYFUNCTION("""COMPUTED_VALUE"""),1)</f>
        <v>1</v>
      </c>
      <c r="E7121" s="2">
        <f ca="1">IFERROR(__xludf.DUMMYFUNCTION("""COMPUTED_VALUE"""),1)</f>
        <v>1</v>
      </c>
    </row>
    <row r="7122" spans="1:5" ht="13">
      <c r="A7122" s="2" t="str">
        <f ca="1">IFERROR(__xludf.DUMMYFUNCTION("""COMPUTED_VALUE"""),"Sartori, Baldassare")</f>
        <v>Sartori, Baldassare</v>
      </c>
      <c r="B7122" s="3">
        <f ca="1">IFERROR(__xludf.DUMMYFUNCTION("""COMPUTED_VALUE"""),1)</f>
        <v>1</v>
      </c>
      <c r="C7122" s="7">
        <f ca="1">IFERROR(__xludf.DUMMYFUNCTION("""COMPUTED_VALUE"""),1)</f>
        <v>1</v>
      </c>
      <c r="D7122" s="8">
        <f ca="1">IFERROR(__xludf.DUMMYFUNCTION("""COMPUTED_VALUE"""),5)</f>
        <v>5</v>
      </c>
      <c r="E7122" s="2">
        <f ca="1">IFERROR(__xludf.DUMMYFUNCTION("""COMPUTED_VALUE"""),2)</f>
        <v>2</v>
      </c>
    </row>
    <row r="7123" spans="1:5" ht="13">
      <c r="A7123" s="2" t="str">
        <f ca="1">IFERROR(__xludf.DUMMYFUNCTION("""COMPUTED_VALUE"""),"Sartorius, Paul")</f>
        <v>Sartorius, Paul</v>
      </c>
      <c r="B7123" s="3">
        <f ca="1">IFERROR(__xludf.DUMMYFUNCTION("""COMPUTED_VALUE"""),1)</f>
        <v>1</v>
      </c>
      <c r="C7123" s="7">
        <f ca="1">IFERROR(__xludf.DUMMYFUNCTION("""COMPUTED_VALUE"""),1)</f>
        <v>1</v>
      </c>
      <c r="D7123" s="8">
        <f ca="1">IFERROR(__xludf.DUMMYFUNCTION("""COMPUTED_VALUE"""),5)</f>
        <v>5</v>
      </c>
      <c r="E7123" s="2">
        <f ca="1">IFERROR(__xludf.DUMMYFUNCTION("""COMPUTED_VALUE"""),2)</f>
        <v>2</v>
      </c>
    </row>
    <row r="7124" spans="1:5" ht="13">
      <c r="A7124" s="2" t="str">
        <f ca="1">IFERROR(__xludf.DUMMYFUNCTION("""COMPUTED_VALUE"""),"Sasso, David")</f>
        <v>Sasso, David</v>
      </c>
      <c r="B7124" s="3">
        <f ca="1">IFERROR(__xludf.DUMMYFUNCTION("""COMPUTED_VALUE"""),1)</f>
        <v>1</v>
      </c>
      <c r="C7124" s="7">
        <f ca="1">IFERROR(__xludf.DUMMYFUNCTION("""COMPUTED_VALUE"""),1)</f>
        <v>1</v>
      </c>
      <c r="D7124" s="8">
        <f ca="1">IFERROR(__xludf.DUMMYFUNCTION("""COMPUTED_VALUE"""),1)</f>
        <v>1</v>
      </c>
      <c r="E7124" s="2">
        <f ca="1">IFERROR(__xludf.DUMMYFUNCTION("""COMPUTED_VALUE"""),1)</f>
        <v>1</v>
      </c>
    </row>
    <row r="7125" spans="1:5" ht="13">
      <c r="A7125" s="2" t="str">
        <f ca="1">IFERROR(__xludf.DUMMYFUNCTION("""COMPUTED_VALUE"""),"Sateren, Leland")</f>
        <v>Sateren, Leland</v>
      </c>
      <c r="B7125" s="3">
        <f ca="1">IFERROR(__xludf.DUMMYFUNCTION("""COMPUTED_VALUE"""),1)</f>
        <v>1</v>
      </c>
      <c r="C7125" s="7">
        <f ca="1">IFERROR(__xludf.DUMMYFUNCTION("""COMPUTED_VALUE"""),1)</f>
        <v>1</v>
      </c>
      <c r="D7125" s="8">
        <f ca="1">IFERROR(__xludf.DUMMYFUNCTION("""COMPUTED_VALUE"""),5)</f>
        <v>5</v>
      </c>
      <c r="E7125" s="2">
        <f ca="1">IFERROR(__xludf.DUMMYFUNCTION("""COMPUTED_VALUE"""),2)</f>
        <v>2</v>
      </c>
    </row>
    <row r="7126" spans="1:5" ht="13">
      <c r="A7126" s="2" t="str">
        <f ca="1">IFERROR(__xludf.DUMMYFUNCTION("""COMPUTED_VALUE"""),"Satie / Reed")</f>
        <v>Satie / Reed</v>
      </c>
      <c r="B7126" s="3">
        <f ca="1">IFERROR(__xludf.DUMMYFUNCTION("""COMPUTED_VALUE"""),1)</f>
        <v>1</v>
      </c>
      <c r="C7126" s="7">
        <f ca="1">IFERROR(__xludf.DUMMYFUNCTION("""COMPUTED_VALUE"""),1)</f>
        <v>1</v>
      </c>
      <c r="D7126" s="8">
        <f ca="1">IFERROR(__xludf.DUMMYFUNCTION("""COMPUTED_VALUE"""),5)</f>
        <v>5</v>
      </c>
      <c r="E7126" s="2">
        <f ca="1">IFERROR(__xludf.DUMMYFUNCTION("""COMPUTED_VALUE"""),2)</f>
        <v>2</v>
      </c>
    </row>
    <row r="7127" spans="1:5" ht="13">
      <c r="A7127" s="2" t="str">
        <f ca="1">IFERROR(__xludf.DUMMYFUNCTION("""COMPUTED_VALUE"""),"Satie, Erik")</f>
        <v>Satie, Erik</v>
      </c>
      <c r="B7127" s="3">
        <f ca="1">IFERROR(__xludf.DUMMYFUNCTION("""COMPUTED_VALUE"""),1)</f>
        <v>1</v>
      </c>
      <c r="C7127" s="7">
        <f ca="1">IFERROR(__xludf.DUMMYFUNCTION("""COMPUTED_VALUE"""),1)</f>
        <v>1</v>
      </c>
      <c r="D7127" s="8">
        <f ca="1">IFERROR(__xludf.DUMMYFUNCTION("""COMPUTED_VALUE"""),5)</f>
        <v>5</v>
      </c>
      <c r="E7127" s="2">
        <f ca="1">IFERROR(__xludf.DUMMYFUNCTION("""COMPUTED_VALUE"""),2)</f>
        <v>2</v>
      </c>
    </row>
    <row r="7128" spans="1:5" ht="13">
      <c r="A7128" s="2" t="str">
        <f ca="1">IFERROR(__xludf.DUMMYFUNCTION("""COMPUTED_VALUE"""),"Satone, Steve")</f>
        <v>Satone, Steve</v>
      </c>
      <c r="B7128" s="3">
        <f ca="1">IFERROR(__xludf.DUMMYFUNCTION("""COMPUTED_VALUE"""),1)</f>
        <v>1</v>
      </c>
      <c r="C7128" s="7">
        <f ca="1">IFERROR(__xludf.DUMMYFUNCTION("""COMPUTED_VALUE"""),1)</f>
        <v>1</v>
      </c>
      <c r="D7128" s="8">
        <f ca="1">IFERROR(__xludf.DUMMYFUNCTION("""COMPUTED_VALUE"""),1)</f>
        <v>1</v>
      </c>
      <c r="E7128" s="2">
        <f ca="1">IFERROR(__xludf.DUMMYFUNCTION("""COMPUTED_VALUE"""),1)</f>
        <v>1</v>
      </c>
    </row>
    <row r="7129" spans="1:5" ht="13">
      <c r="A7129" s="2" t="str">
        <f ca="1">IFERROR(__xludf.DUMMYFUNCTION("""COMPUTED_VALUE"""),"Satz, Ralph")</f>
        <v>Satz, Ralph</v>
      </c>
      <c r="B7129" s="3">
        <f ca="1">IFERROR(__xludf.DUMMYFUNCTION("""COMPUTED_VALUE"""),1)</f>
        <v>1</v>
      </c>
      <c r="C7129" s="7">
        <f ca="1">IFERROR(__xludf.DUMMYFUNCTION("""COMPUTED_VALUE"""),1)</f>
        <v>1</v>
      </c>
      <c r="D7129" s="8">
        <f ca="1">IFERROR(__xludf.DUMMYFUNCTION("""COMPUTED_VALUE"""),5)</f>
        <v>5</v>
      </c>
      <c r="E7129" s="2">
        <f ca="1">IFERROR(__xludf.DUMMYFUNCTION("""COMPUTED_VALUE"""),2)</f>
        <v>2</v>
      </c>
    </row>
    <row r="7130" spans="1:5" ht="13">
      <c r="A7130" s="2" t="str">
        <f ca="1">IFERROR(__xludf.DUMMYFUNCTION("""COMPUTED_VALUE"""),"Saunders, J. Michael")</f>
        <v>Saunders, J. Michael</v>
      </c>
      <c r="B7130" s="3">
        <f ca="1">IFERROR(__xludf.DUMMYFUNCTION("""COMPUTED_VALUE"""),1)</f>
        <v>1</v>
      </c>
      <c r="C7130" s="7">
        <f ca="1">IFERROR(__xludf.DUMMYFUNCTION("""COMPUTED_VALUE"""),1)</f>
        <v>1</v>
      </c>
      <c r="D7130" s="8">
        <f ca="1">IFERROR(__xludf.DUMMYFUNCTION("""COMPUTED_VALUE"""),1)</f>
        <v>1</v>
      </c>
      <c r="E7130" s="2">
        <f ca="1">IFERROR(__xludf.DUMMYFUNCTION("""COMPUTED_VALUE"""),1)</f>
        <v>1</v>
      </c>
    </row>
    <row r="7131" spans="1:5" ht="13">
      <c r="A7131" s="2" t="str">
        <f ca="1">IFERROR(__xludf.DUMMYFUNCTION("""COMPUTED_VALUE"""),"Sauter, Eddie")</f>
        <v>Sauter, Eddie</v>
      </c>
      <c r="B7131" s="3">
        <f ca="1">IFERROR(__xludf.DUMMYFUNCTION("""COMPUTED_VALUE"""),1)</f>
        <v>1</v>
      </c>
      <c r="C7131" s="7">
        <f ca="1">IFERROR(__xludf.DUMMYFUNCTION("""COMPUTED_VALUE"""),1)</f>
        <v>1</v>
      </c>
      <c r="D7131" s="8">
        <f ca="1">IFERROR(__xludf.DUMMYFUNCTION("""COMPUTED_VALUE"""),5)</f>
        <v>5</v>
      </c>
      <c r="E7131" s="2">
        <f ca="1">IFERROR(__xludf.DUMMYFUNCTION("""COMPUTED_VALUE"""),2)</f>
        <v>2</v>
      </c>
    </row>
    <row r="7132" spans="1:5" ht="13">
      <c r="A7132" s="2" t="str">
        <f ca="1">IFERROR(__xludf.DUMMYFUNCTION("""COMPUTED_VALUE"""),"Sauter, Louis")</f>
        <v>Sauter, Louis</v>
      </c>
      <c r="B7132" s="2">
        <f ca="1">IFERROR(__xludf.DUMMYFUNCTION("""COMPUTED_VALUE"""),1)</f>
        <v>1</v>
      </c>
      <c r="C7132" s="2">
        <f ca="1">IFERROR(__xludf.DUMMYFUNCTION("""COMPUTED_VALUE"""),1)</f>
        <v>1</v>
      </c>
      <c r="D7132" s="8">
        <f ca="1">IFERROR(__xludf.DUMMYFUNCTION("""COMPUTED_VALUE"""),1)</f>
        <v>1</v>
      </c>
      <c r="E7132" s="2">
        <f ca="1">IFERROR(__xludf.DUMMYFUNCTION("""COMPUTED_VALUE"""),1)</f>
        <v>1</v>
      </c>
    </row>
    <row r="7133" spans="1:5" ht="13">
      <c r="A7133" s="2" t="str">
        <f ca="1">IFERROR(__xludf.DUMMYFUNCTION("""COMPUTED_VALUE"""),"Savari, Jérôme")</f>
        <v>Savari, Jérôme</v>
      </c>
      <c r="B7133" s="3">
        <f ca="1">IFERROR(__xludf.DUMMYFUNCTION("""COMPUTED_VALUE"""),1)</f>
        <v>1</v>
      </c>
      <c r="C7133" s="7">
        <f ca="1">IFERROR(__xludf.DUMMYFUNCTION("""COMPUTED_VALUE"""),1)</f>
        <v>1</v>
      </c>
      <c r="D7133" s="8">
        <f ca="1">IFERROR(__xludf.DUMMYFUNCTION("""COMPUTED_VALUE"""),5)</f>
        <v>5</v>
      </c>
      <c r="E7133" s="2">
        <f ca="1">IFERROR(__xludf.DUMMYFUNCTION("""COMPUTED_VALUE"""),2)</f>
        <v>2</v>
      </c>
    </row>
    <row r="7134" spans="1:5" ht="13">
      <c r="A7134" s="2" t="str">
        <f ca="1">IFERROR(__xludf.DUMMYFUNCTION("""COMPUTED_VALUE"""),"Saverino, Louis")</f>
        <v>Saverino, Louis</v>
      </c>
      <c r="B7134" s="3">
        <f ca="1">IFERROR(__xludf.DUMMYFUNCTION("""COMPUTED_VALUE"""),1)</f>
        <v>1</v>
      </c>
      <c r="C7134" s="7">
        <f ca="1">IFERROR(__xludf.DUMMYFUNCTION("""COMPUTED_VALUE"""),1)</f>
        <v>1</v>
      </c>
      <c r="D7134" s="8">
        <f ca="1">IFERROR(__xludf.DUMMYFUNCTION("""COMPUTED_VALUE"""),5)</f>
        <v>5</v>
      </c>
      <c r="E7134" s="2">
        <f ca="1">IFERROR(__xludf.DUMMYFUNCTION("""COMPUTED_VALUE"""),2)</f>
        <v>2</v>
      </c>
    </row>
    <row r="7135" spans="1:5" ht="13">
      <c r="A7135" s="2" t="str">
        <f ca="1">IFERROR(__xludf.DUMMYFUNCTION("""COMPUTED_VALUE"""),"Savile, Jeremiah")</f>
        <v>Savile, Jeremiah</v>
      </c>
      <c r="B7135" s="3">
        <f ca="1">IFERROR(__xludf.DUMMYFUNCTION("""COMPUTED_VALUE"""),1)</f>
        <v>1</v>
      </c>
      <c r="C7135" s="7">
        <f ca="1">IFERROR(__xludf.DUMMYFUNCTION("""COMPUTED_VALUE"""),1)</f>
        <v>1</v>
      </c>
      <c r="D7135" s="8">
        <f ca="1">IFERROR(__xludf.DUMMYFUNCTION("""COMPUTED_VALUE"""),5)</f>
        <v>5</v>
      </c>
      <c r="E7135" s="2">
        <f ca="1">IFERROR(__xludf.DUMMYFUNCTION("""COMPUTED_VALUE"""),2)</f>
        <v>2</v>
      </c>
    </row>
    <row r="7136" spans="1:5" ht="13">
      <c r="A7136" s="2" t="str">
        <f ca="1">IFERROR(__xludf.DUMMYFUNCTION("""COMPUTED_VALUE"""),"Sayers, Jessie")</f>
        <v>Sayers, Jessie</v>
      </c>
      <c r="B7136" s="2">
        <f ca="1">IFERROR(__xludf.DUMMYFUNCTION("""COMPUTED_VALUE"""),1)</f>
        <v>1</v>
      </c>
      <c r="C7136" s="7">
        <f ca="1">IFERROR(__xludf.DUMMYFUNCTION("""COMPUTED_VALUE"""),1)</f>
        <v>1</v>
      </c>
      <c r="D7136" s="8">
        <f ca="1">IFERROR(__xludf.DUMMYFUNCTION("""COMPUTED_VALUE"""),5)</f>
        <v>5</v>
      </c>
      <c r="E7136" s="2">
        <f ca="1">IFERROR(__xludf.DUMMYFUNCTION("""COMPUTED_VALUE"""),2)</f>
        <v>2</v>
      </c>
    </row>
    <row r="7137" spans="1:5" ht="13">
      <c r="A7137" s="2" t="str">
        <f ca="1">IFERROR(__xludf.DUMMYFUNCTION("""COMPUTED_VALUE"""),"Sayre, Charles")</f>
        <v>Sayre, Charles</v>
      </c>
      <c r="B7137" s="3">
        <f ca="1">IFERROR(__xludf.DUMMYFUNCTION("""COMPUTED_VALUE"""),1)</f>
        <v>1</v>
      </c>
      <c r="C7137" s="7">
        <f ca="1">IFERROR(__xludf.DUMMYFUNCTION("""COMPUTED_VALUE"""),1)</f>
        <v>1</v>
      </c>
      <c r="D7137" s="8">
        <f ca="1">IFERROR(__xludf.DUMMYFUNCTION("""COMPUTED_VALUE"""),1)</f>
        <v>1</v>
      </c>
      <c r="E7137" s="2">
        <f ca="1">IFERROR(__xludf.DUMMYFUNCTION("""COMPUTED_VALUE"""),1)</f>
        <v>1</v>
      </c>
    </row>
    <row r="7138" spans="1:5" ht="13">
      <c r="A7138" s="2" t="str">
        <f ca="1">IFERROR(__xludf.DUMMYFUNCTION("""COMPUTED_VALUE"""),"Sbraccia, Berado")</f>
        <v>Sbraccia, Berado</v>
      </c>
      <c r="B7138" s="3">
        <f ca="1">IFERROR(__xludf.DUMMYFUNCTION("""COMPUTED_VALUE"""),1)</f>
        <v>1</v>
      </c>
      <c r="C7138" s="7">
        <f ca="1">IFERROR(__xludf.DUMMYFUNCTION("""COMPUTED_VALUE"""),1)</f>
        <v>1</v>
      </c>
      <c r="D7138" s="8">
        <f ca="1">IFERROR(__xludf.DUMMYFUNCTION("""COMPUTED_VALUE"""),5)</f>
        <v>5</v>
      </c>
      <c r="E7138" s="2">
        <f ca="1">IFERROR(__xludf.DUMMYFUNCTION("""COMPUTED_VALUE"""),2)</f>
        <v>2</v>
      </c>
    </row>
    <row r="7139" spans="1:5" ht="13">
      <c r="A7139" s="2" t="str">
        <f ca="1">IFERROR(__xludf.DUMMYFUNCTION("""COMPUTED_VALUE"""),"Sbraccia, Berardo")</f>
        <v>Sbraccia, Berardo</v>
      </c>
      <c r="B7139" s="3">
        <f ca="1">IFERROR(__xludf.DUMMYFUNCTION("""COMPUTED_VALUE"""),1)</f>
        <v>1</v>
      </c>
      <c r="C7139" s="7">
        <f ca="1">IFERROR(__xludf.DUMMYFUNCTION("""COMPUTED_VALUE"""),1)</f>
        <v>1</v>
      </c>
      <c r="D7139" s="8">
        <f ca="1">IFERROR(__xludf.DUMMYFUNCTION("""COMPUTED_VALUE"""),5)</f>
        <v>5</v>
      </c>
      <c r="E7139" s="2">
        <f ca="1">IFERROR(__xludf.DUMMYFUNCTION("""COMPUTED_VALUE"""),2)</f>
        <v>2</v>
      </c>
    </row>
    <row r="7140" spans="1:5" ht="13">
      <c r="A7140" s="2" t="str">
        <f ca="1">IFERROR(__xludf.DUMMYFUNCTION("""COMPUTED_VALUE"""),"Scala, Francis")</f>
        <v>Scala, Francis</v>
      </c>
      <c r="B7140" s="2">
        <f ca="1">IFERROR(__xludf.DUMMYFUNCTION("""COMPUTED_VALUE"""),1)</f>
        <v>1</v>
      </c>
      <c r="C7140" s="7">
        <f ca="1">IFERROR(__xludf.DUMMYFUNCTION("""COMPUTED_VALUE"""),1)</f>
        <v>1</v>
      </c>
      <c r="D7140" s="8">
        <f ca="1">IFERROR(__xludf.DUMMYFUNCTION("""COMPUTED_VALUE"""),5)</f>
        <v>5</v>
      </c>
      <c r="E7140" s="2">
        <f ca="1">IFERROR(__xludf.DUMMYFUNCTION("""COMPUTED_VALUE"""),2)</f>
        <v>2</v>
      </c>
    </row>
    <row r="7141" spans="1:5" ht="13">
      <c r="A7141" s="8" t="str">
        <f ca="1">IFERROR(__xludf.DUMMYFUNCTION("""COMPUTED_VALUE"""),"Scandello, Antonio")</f>
        <v>Scandello, Antonio</v>
      </c>
      <c r="B7141" s="2">
        <f ca="1">IFERROR(__xludf.DUMMYFUNCTION("""COMPUTED_VALUE"""),1)</f>
        <v>1</v>
      </c>
      <c r="C7141" s="7">
        <f ca="1">IFERROR(__xludf.DUMMYFUNCTION("""COMPUTED_VALUE"""),1)</f>
        <v>1</v>
      </c>
      <c r="D7141" s="8">
        <f ca="1">IFERROR(__xludf.DUMMYFUNCTION("""COMPUTED_VALUE"""),5)</f>
        <v>5</v>
      </c>
      <c r="E7141" s="2">
        <f ca="1">IFERROR(__xludf.DUMMYFUNCTION("""COMPUTED_VALUE"""),2)</f>
        <v>2</v>
      </c>
    </row>
    <row r="7142" spans="1:5" ht="13">
      <c r="A7142" s="2" t="str">
        <f ca="1">IFERROR(__xludf.DUMMYFUNCTION("""COMPUTED_VALUE"""),"Scarlatti, Alessandro")</f>
        <v>Scarlatti, Alessandro</v>
      </c>
      <c r="B7142" s="3">
        <f ca="1">IFERROR(__xludf.DUMMYFUNCTION("""COMPUTED_VALUE"""),1)</f>
        <v>1</v>
      </c>
      <c r="C7142" s="7">
        <f ca="1">IFERROR(__xludf.DUMMYFUNCTION("""COMPUTED_VALUE"""),1)</f>
        <v>1</v>
      </c>
      <c r="D7142" s="8">
        <f ca="1">IFERROR(__xludf.DUMMYFUNCTION("""COMPUTED_VALUE"""),5)</f>
        <v>5</v>
      </c>
      <c r="E7142" s="2">
        <f ca="1">IFERROR(__xludf.DUMMYFUNCTION("""COMPUTED_VALUE"""),2)</f>
        <v>2</v>
      </c>
    </row>
    <row r="7143" spans="1:5" ht="13">
      <c r="A7143" s="2" t="str">
        <f ca="1">IFERROR(__xludf.DUMMYFUNCTION("""COMPUTED_VALUE"""),"Scarlatti, Antonio")</f>
        <v>Scarlatti, Antonio</v>
      </c>
      <c r="B7143" s="3">
        <f ca="1">IFERROR(__xludf.DUMMYFUNCTION("""COMPUTED_VALUE"""),1)</f>
        <v>1</v>
      </c>
      <c r="C7143" s="7">
        <f ca="1">IFERROR(__xludf.DUMMYFUNCTION("""COMPUTED_VALUE"""),1)</f>
        <v>1</v>
      </c>
      <c r="D7143" s="8">
        <f ca="1">IFERROR(__xludf.DUMMYFUNCTION("""COMPUTED_VALUE"""),5)</f>
        <v>5</v>
      </c>
      <c r="E7143" s="3">
        <f ca="1">IFERROR(__xludf.DUMMYFUNCTION("""COMPUTED_VALUE"""),2)</f>
        <v>2</v>
      </c>
    </row>
    <row r="7144" spans="1:5" ht="13">
      <c r="A7144" s="2" t="str">
        <f ca="1">IFERROR(__xludf.DUMMYFUNCTION("""COMPUTED_VALUE"""),"Scarlatti, Domenico")</f>
        <v>Scarlatti, Domenico</v>
      </c>
      <c r="B7144" s="3">
        <f ca="1">IFERROR(__xludf.DUMMYFUNCTION("""COMPUTED_VALUE"""),1)</f>
        <v>1</v>
      </c>
      <c r="C7144" s="7">
        <f ca="1">IFERROR(__xludf.DUMMYFUNCTION("""COMPUTED_VALUE"""),1)</f>
        <v>1</v>
      </c>
      <c r="D7144" s="8">
        <f ca="1">IFERROR(__xludf.DUMMYFUNCTION("""COMPUTED_VALUE"""),5)</f>
        <v>5</v>
      </c>
      <c r="E7144" s="3">
        <f ca="1">IFERROR(__xludf.DUMMYFUNCTION("""COMPUTED_VALUE"""),2)</f>
        <v>2</v>
      </c>
    </row>
    <row r="7145" spans="1:5" ht="13">
      <c r="A7145" s="2" t="str">
        <f ca="1">IFERROR(__xludf.DUMMYFUNCTION("""COMPUTED_VALUE"""),"Scarmolin, Anthony")</f>
        <v>Scarmolin, Anthony</v>
      </c>
      <c r="B7145" s="2">
        <f ca="1">IFERROR(__xludf.DUMMYFUNCTION("""COMPUTED_VALUE"""),1)</f>
        <v>1</v>
      </c>
      <c r="C7145" s="7">
        <f ca="1">IFERROR(__xludf.DUMMYFUNCTION("""COMPUTED_VALUE"""),1)</f>
        <v>1</v>
      </c>
      <c r="D7145" s="8">
        <f ca="1">IFERROR(__xludf.DUMMYFUNCTION("""COMPUTED_VALUE"""),5)</f>
        <v>5</v>
      </c>
      <c r="E7145" s="2">
        <f ca="1">IFERROR(__xludf.DUMMYFUNCTION("""COMPUTED_VALUE"""),2)</f>
        <v>2</v>
      </c>
    </row>
    <row r="7146" spans="1:5" ht="13">
      <c r="A7146" s="2" t="str">
        <f ca="1">IFERROR(__xludf.DUMMYFUNCTION("""COMPUTED_VALUE"""),"Scatterday, Mark")</f>
        <v>Scatterday, Mark</v>
      </c>
      <c r="B7146" s="3">
        <f ca="1">IFERROR(__xludf.DUMMYFUNCTION("""COMPUTED_VALUE"""),1)</f>
        <v>1</v>
      </c>
      <c r="C7146" s="7">
        <f ca="1">IFERROR(__xludf.DUMMYFUNCTION("""COMPUTED_VALUE"""),1)</f>
        <v>1</v>
      </c>
      <c r="D7146" s="8">
        <f ca="1">IFERROR(__xludf.DUMMYFUNCTION("""COMPUTED_VALUE"""),1)</f>
        <v>1</v>
      </c>
      <c r="E7146" s="2">
        <f ca="1">IFERROR(__xludf.DUMMYFUNCTION("""COMPUTED_VALUE"""),1)</f>
        <v>1</v>
      </c>
    </row>
    <row r="7147" spans="1:5" ht="13">
      <c r="A7147" s="2" t="str">
        <f ca="1">IFERROR(__xludf.DUMMYFUNCTION("""COMPUTED_VALUE"""),"Scelsi, Giacinto")</f>
        <v>Scelsi, Giacinto</v>
      </c>
      <c r="B7147" s="2">
        <f ca="1">IFERROR(__xludf.DUMMYFUNCTION("""COMPUTED_VALUE"""),1)</f>
        <v>1</v>
      </c>
      <c r="C7147" s="2">
        <f ca="1">IFERROR(__xludf.DUMMYFUNCTION("""COMPUTED_VALUE"""),1)</f>
        <v>1</v>
      </c>
      <c r="D7147" s="8">
        <f ca="1">IFERROR(__xludf.DUMMYFUNCTION("""COMPUTED_VALUE"""),5)</f>
        <v>5</v>
      </c>
      <c r="E7147" s="2">
        <f ca="1">IFERROR(__xludf.DUMMYFUNCTION("""COMPUTED_VALUE"""),2)</f>
        <v>2</v>
      </c>
    </row>
    <row r="7148" spans="1:5" ht="13">
      <c r="A7148" s="2" t="str">
        <f ca="1">IFERROR(__xludf.DUMMYFUNCTION("""COMPUTED_VALUE"""),"Schaars, Peter Kleine")</f>
        <v>Schaars, Peter Kleine</v>
      </c>
      <c r="B7148" s="3">
        <f ca="1">IFERROR(__xludf.DUMMYFUNCTION("""COMPUTED_VALUE"""),1)</f>
        <v>1</v>
      </c>
      <c r="C7148" s="7">
        <f ca="1">IFERROR(__xludf.DUMMYFUNCTION("""COMPUTED_VALUE"""),1)</f>
        <v>1</v>
      </c>
      <c r="D7148" s="8">
        <f ca="1">IFERROR(__xludf.DUMMYFUNCTION("""COMPUTED_VALUE"""),1)</f>
        <v>1</v>
      </c>
      <c r="E7148" s="2">
        <f ca="1">IFERROR(__xludf.DUMMYFUNCTION("""COMPUTED_VALUE"""),1)</f>
        <v>1</v>
      </c>
    </row>
    <row r="7149" spans="1:5" ht="13">
      <c r="A7149" s="2" t="str">
        <f ca="1">IFERROR(__xludf.DUMMYFUNCTION("""COMPUTED_VALUE"""),"Schachter, Michael")</f>
        <v>Schachter, Michael</v>
      </c>
      <c r="B7149" s="3">
        <f ca="1">IFERROR(__xludf.DUMMYFUNCTION("""COMPUTED_VALUE"""),1)</f>
        <v>1</v>
      </c>
      <c r="C7149" s="7">
        <f ca="1">IFERROR(__xludf.DUMMYFUNCTION("""COMPUTED_VALUE"""),1)</f>
        <v>1</v>
      </c>
      <c r="D7149" s="8">
        <f ca="1">IFERROR(__xludf.DUMMYFUNCTION("""COMPUTED_VALUE"""),1)</f>
        <v>1</v>
      </c>
      <c r="E7149" s="2">
        <f ca="1">IFERROR(__xludf.DUMMYFUNCTION("""COMPUTED_VALUE"""),1)</f>
        <v>1</v>
      </c>
    </row>
    <row r="7150" spans="1:5" ht="13">
      <c r="A7150" s="2" t="str">
        <f ca="1">IFERROR(__xludf.DUMMYFUNCTION("""COMPUTED_VALUE"""),"Schacter, Michael")</f>
        <v>Schacter, Michael</v>
      </c>
      <c r="B7150" s="3">
        <f ca="1">IFERROR(__xludf.DUMMYFUNCTION("""COMPUTED_VALUE"""),1)</f>
        <v>1</v>
      </c>
      <c r="C7150" s="7">
        <f ca="1">IFERROR(__xludf.DUMMYFUNCTION("""COMPUTED_VALUE"""),1)</f>
        <v>1</v>
      </c>
      <c r="D7150" s="8">
        <f ca="1">IFERROR(__xludf.DUMMYFUNCTION("""COMPUTED_VALUE"""),1)</f>
        <v>1</v>
      </c>
      <c r="E7150" s="2">
        <f ca="1">IFERROR(__xludf.DUMMYFUNCTION("""COMPUTED_VALUE"""),1)</f>
        <v>1</v>
      </c>
    </row>
    <row r="7151" spans="1:5" ht="13">
      <c r="A7151" s="2" t="str">
        <f ca="1">IFERROR(__xludf.DUMMYFUNCTION("""COMPUTED_VALUE"""),"Schaefer")</f>
        <v>Schaefer</v>
      </c>
      <c r="B7151" s="3">
        <f ca="1">IFERROR(__xludf.DUMMYFUNCTION("""COMPUTED_VALUE"""),1)</f>
        <v>1</v>
      </c>
      <c r="C7151" s="7">
        <f ca="1">IFERROR(__xludf.DUMMYFUNCTION("""COMPUTED_VALUE"""),1)</f>
        <v>1</v>
      </c>
      <c r="D7151" s="8">
        <f ca="1">IFERROR(__xludf.DUMMYFUNCTION("""COMPUTED_VALUE"""),5)</f>
        <v>5</v>
      </c>
      <c r="E7151" s="2">
        <f ca="1">IFERROR(__xludf.DUMMYFUNCTION("""COMPUTED_VALUE"""),2)</f>
        <v>2</v>
      </c>
    </row>
    <row r="7152" spans="1:5" ht="13">
      <c r="A7152" s="2" t="str">
        <f ca="1">IFERROR(__xludf.DUMMYFUNCTION("""COMPUTED_VALUE"""),"Schaefer, Jon")</f>
        <v>Schaefer, Jon</v>
      </c>
      <c r="B7152" s="3">
        <f ca="1">IFERROR(__xludf.DUMMYFUNCTION("""COMPUTED_VALUE"""),1)</f>
        <v>1</v>
      </c>
      <c r="C7152" s="7">
        <f ca="1">IFERROR(__xludf.DUMMYFUNCTION("""COMPUTED_VALUE"""),1)</f>
        <v>1</v>
      </c>
      <c r="D7152" s="8">
        <f ca="1">IFERROR(__xludf.DUMMYFUNCTION("""COMPUTED_VALUE"""),1)</f>
        <v>1</v>
      </c>
      <c r="E7152" s="2">
        <f ca="1">IFERROR(__xludf.DUMMYFUNCTION("""COMPUTED_VALUE"""),1)</f>
        <v>1</v>
      </c>
    </row>
    <row r="7153" spans="1:5" ht="13">
      <c r="A7153" s="8" t="str">
        <f ca="1">IFERROR(__xludf.DUMMYFUNCTION("""COMPUTED_VALUE"""),"Schaefer, William")</f>
        <v>Schaefer, William</v>
      </c>
      <c r="B7153" s="3">
        <f ca="1">IFERROR(__xludf.DUMMYFUNCTION("""COMPUTED_VALUE"""),1)</f>
        <v>1</v>
      </c>
      <c r="C7153" s="7">
        <f ca="1">IFERROR(__xludf.DUMMYFUNCTION("""COMPUTED_VALUE"""),1)</f>
        <v>1</v>
      </c>
      <c r="D7153" s="8">
        <f ca="1">IFERROR(__xludf.DUMMYFUNCTION("""COMPUTED_VALUE"""),1)</f>
        <v>1</v>
      </c>
      <c r="E7153" s="2">
        <f ca="1">IFERROR(__xludf.DUMMYFUNCTION("""COMPUTED_VALUE"""),1)</f>
        <v>1</v>
      </c>
    </row>
    <row r="7154" spans="1:5" ht="13">
      <c r="A7154" s="2" t="str">
        <f ca="1">IFERROR(__xludf.DUMMYFUNCTION("""COMPUTED_VALUE"""),"Schaefer, Willis")</f>
        <v>Schaefer, Willis</v>
      </c>
      <c r="B7154" s="3">
        <f ca="1">IFERROR(__xludf.DUMMYFUNCTION("""COMPUTED_VALUE"""),1)</f>
        <v>1</v>
      </c>
      <c r="C7154" s="7">
        <f ca="1">IFERROR(__xludf.DUMMYFUNCTION("""COMPUTED_VALUE"""),1)</f>
        <v>1</v>
      </c>
      <c r="D7154" s="8">
        <f ca="1">IFERROR(__xludf.DUMMYFUNCTION("""COMPUTED_VALUE"""),5)</f>
        <v>5</v>
      </c>
      <c r="E7154" s="2">
        <f ca="1">IFERROR(__xludf.DUMMYFUNCTION("""COMPUTED_VALUE"""),2)</f>
        <v>2</v>
      </c>
    </row>
    <row r="7155" spans="1:5" ht="13">
      <c r="A7155" s="2" t="str">
        <f ca="1">IFERROR(__xludf.DUMMYFUNCTION("""COMPUTED_VALUE"""),"Schaeffer")</f>
        <v>Schaeffer</v>
      </c>
      <c r="B7155" s="3">
        <f ca="1">IFERROR(__xludf.DUMMYFUNCTION("""COMPUTED_VALUE"""),1)</f>
        <v>1</v>
      </c>
      <c r="C7155" s="7">
        <f ca="1">IFERROR(__xludf.DUMMYFUNCTION("""COMPUTED_VALUE"""),1)</f>
        <v>1</v>
      </c>
      <c r="D7155" s="8">
        <f ca="1">IFERROR(__xludf.DUMMYFUNCTION("""COMPUTED_VALUE"""),5)</f>
        <v>5</v>
      </c>
      <c r="E7155" s="2">
        <f ca="1">IFERROR(__xludf.DUMMYFUNCTION("""COMPUTED_VALUE"""),2)</f>
        <v>2</v>
      </c>
    </row>
    <row r="7156" spans="1:5" ht="13">
      <c r="A7156" s="2" t="str">
        <f ca="1">IFERROR(__xludf.DUMMYFUNCTION("""COMPUTED_VALUE"""),"Schafer, R. Murray")</f>
        <v>Schafer, R. Murray</v>
      </c>
      <c r="B7156" s="3">
        <f ca="1">IFERROR(__xludf.DUMMYFUNCTION("""COMPUTED_VALUE"""),1)</f>
        <v>1</v>
      </c>
      <c r="C7156" s="7">
        <f ca="1">IFERROR(__xludf.DUMMYFUNCTION("""COMPUTED_VALUE"""),1)</f>
        <v>1</v>
      </c>
      <c r="D7156" s="8">
        <f ca="1">IFERROR(__xludf.DUMMYFUNCTION("""COMPUTED_VALUE"""),5)</f>
        <v>5</v>
      </c>
      <c r="E7156" s="2">
        <f ca="1">IFERROR(__xludf.DUMMYFUNCTION("""COMPUTED_VALUE"""),2)</f>
        <v>2</v>
      </c>
    </row>
    <row r="7157" spans="1:5" ht="13">
      <c r="A7157" s="2" t="str">
        <f ca="1">IFERROR(__xludf.DUMMYFUNCTION("""COMPUTED_VALUE"""),"Schaffer")</f>
        <v>Schaffer</v>
      </c>
      <c r="B7157" s="3">
        <f ca="1">IFERROR(__xludf.DUMMYFUNCTION("""COMPUTED_VALUE"""),1)</f>
        <v>1</v>
      </c>
      <c r="C7157" s="7">
        <f ca="1">IFERROR(__xludf.DUMMYFUNCTION("""COMPUTED_VALUE"""),1)</f>
        <v>1</v>
      </c>
      <c r="D7157" s="8">
        <f ca="1">IFERROR(__xludf.DUMMYFUNCTION("""COMPUTED_VALUE"""),5)</f>
        <v>5</v>
      </c>
      <c r="E7157" s="2">
        <f ca="1">IFERROR(__xludf.DUMMYFUNCTION("""COMPUTED_VALUE"""),2)</f>
        <v>2</v>
      </c>
    </row>
    <row r="7158" spans="1:5" ht="13">
      <c r="A7158" s="2" t="str">
        <f ca="1">IFERROR(__xludf.DUMMYFUNCTION("""COMPUTED_VALUE"""),"Schalk, Carl")</f>
        <v>Schalk, Carl</v>
      </c>
      <c r="B7158" s="3">
        <f ca="1">IFERROR(__xludf.DUMMYFUNCTION("""COMPUTED_VALUE"""),1)</f>
        <v>1</v>
      </c>
      <c r="C7158" s="7">
        <f ca="1">IFERROR(__xludf.DUMMYFUNCTION("""COMPUTED_VALUE"""),1)</f>
        <v>1</v>
      </c>
      <c r="D7158" s="8">
        <f ca="1">IFERROR(__xludf.DUMMYFUNCTION("""COMPUTED_VALUE"""),5)</f>
        <v>5</v>
      </c>
      <c r="E7158" s="2">
        <f ca="1">IFERROR(__xludf.DUMMYFUNCTION("""COMPUTED_VALUE"""),2)</f>
        <v>2</v>
      </c>
    </row>
    <row r="7159" spans="1:5" ht="13">
      <c r="A7159" s="2" t="str">
        <f ca="1">IFERROR(__xludf.DUMMYFUNCTION("""COMPUTED_VALUE"""),"Schallehn, Hilger")</f>
        <v>Schallehn, Hilger</v>
      </c>
      <c r="B7159" s="3">
        <f ca="1">IFERROR(__xludf.DUMMYFUNCTION("""COMPUTED_VALUE"""),1)</f>
        <v>1</v>
      </c>
      <c r="C7159" s="7">
        <f ca="1">IFERROR(__xludf.DUMMYFUNCTION("""COMPUTED_VALUE"""),1)</f>
        <v>1</v>
      </c>
      <c r="D7159" s="8">
        <f ca="1">IFERROR(__xludf.DUMMYFUNCTION("""COMPUTED_VALUE"""),5)</f>
        <v>5</v>
      </c>
      <c r="E7159" s="2">
        <f ca="1">IFERROR(__xludf.DUMMYFUNCTION("""COMPUTED_VALUE"""),2)</f>
        <v>2</v>
      </c>
    </row>
    <row r="7160" spans="1:5" ht="13">
      <c r="A7160" s="2" t="str">
        <f ca="1">IFERROR(__xludf.DUMMYFUNCTION("""COMPUTED_VALUE"""),"Schaller, Ferdinand")</f>
        <v>Schaller, Ferdinand</v>
      </c>
      <c r="B7160" s="3">
        <f ca="1">IFERROR(__xludf.DUMMYFUNCTION("""COMPUTED_VALUE"""),1)</f>
        <v>1</v>
      </c>
      <c r="C7160" s="7">
        <f ca="1">IFERROR(__xludf.DUMMYFUNCTION("""COMPUTED_VALUE"""),1)</f>
        <v>1</v>
      </c>
      <c r="D7160" s="8">
        <f ca="1">IFERROR(__xludf.DUMMYFUNCTION("""COMPUTED_VALUE"""),5)</f>
        <v>5</v>
      </c>
      <c r="E7160" s="2">
        <f ca="1">IFERROR(__xludf.DUMMYFUNCTION("""COMPUTED_VALUE"""),2)</f>
        <v>2</v>
      </c>
    </row>
    <row r="7161" spans="1:5" ht="13">
      <c r="A7161" s="2" t="str">
        <f ca="1">IFERROR(__xludf.DUMMYFUNCTION("""COMPUTED_VALUE"""),"Schamber, Don")</f>
        <v>Schamber, Don</v>
      </c>
      <c r="B7161" s="2">
        <f ca="1">IFERROR(__xludf.DUMMYFUNCTION("""COMPUTED_VALUE"""),1)</f>
        <v>1</v>
      </c>
      <c r="C7161" s="7">
        <f ca="1">IFERROR(__xludf.DUMMYFUNCTION("""COMPUTED_VALUE"""),1)</f>
        <v>1</v>
      </c>
      <c r="D7161" s="8">
        <f ca="1">IFERROR(__xludf.DUMMYFUNCTION("""COMPUTED_VALUE"""),5)</f>
        <v>5</v>
      </c>
      <c r="E7161" s="2">
        <f ca="1">IFERROR(__xludf.DUMMYFUNCTION("""COMPUTED_VALUE"""),2)</f>
        <v>2</v>
      </c>
    </row>
    <row r="7162" spans="1:5" ht="13">
      <c r="A7162" s="2" t="str">
        <f ca="1">IFERROR(__xludf.DUMMYFUNCTION("""COMPUTED_VALUE"""),"Schanderl, Hans")</f>
        <v>Schanderl, Hans</v>
      </c>
      <c r="B7162" s="2">
        <f ca="1">IFERROR(__xludf.DUMMYFUNCTION("""COMPUTED_VALUE"""),1)</f>
        <v>1</v>
      </c>
      <c r="C7162" s="7">
        <f ca="1">IFERROR(__xludf.DUMMYFUNCTION("""COMPUTED_VALUE"""),1)</f>
        <v>1</v>
      </c>
      <c r="D7162" s="8">
        <f ca="1">IFERROR(__xludf.DUMMYFUNCTION("""COMPUTED_VALUE"""),1)</f>
        <v>1</v>
      </c>
      <c r="E7162" s="2">
        <f ca="1">IFERROR(__xludf.DUMMYFUNCTION("""COMPUTED_VALUE"""),1)</f>
        <v>1</v>
      </c>
    </row>
    <row r="7163" spans="1:5" ht="13">
      <c r="A7163" s="2" t="str">
        <f ca="1">IFERROR(__xludf.DUMMYFUNCTION("""COMPUTED_VALUE"""),"Scheer, Gene")</f>
        <v>Scheer, Gene</v>
      </c>
      <c r="B7163" s="2">
        <f ca="1">IFERROR(__xludf.DUMMYFUNCTION("""COMPUTED_VALUE"""),1)</f>
        <v>1</v>
      </c>
      <c r="C7163" s="7">
        <f ca="1">IFERROR(__xludf.DUMMYFUNCTION("""COMPUTED_VALUE"""),1)</f>
        <v>1</v>
      </c>
      <c r="D7163" s="8">
        <f ca="1">IFERROR(__xludf.DUMMYFUNCTION("""COMPUTED_VALUE"""),1)</f>
        <v>1</v>
      </c>
      <c r="E7163" s="2">
        <f ca="1">IFERROR(__xludf.DUMMYFUNCTION("""COMPUTED_VALUE"""),1)</f>
        <v>1</v>
      </c>
    </row>
    <row r="7164" spans="1:5" ht="13">
      <c r="A7164" s="2" t="str">
        <f ca="1">IFERROR(__xludf.DUMMYFUNCTION("""COMPUTED_VALUE"""),"Scheidt, Samuel")</f>
        <v>Scheidt, Samuel</v>
      </c>
      <c r="B7164" s="3">
        <f ca="1">IFERROR(__xludf.DUMMYFUNCTION("""COMPUTED_VALUE"""),1)</f>
        <v>1</v>
      </c>
      <c r="C7164" s="7">
        <f ca="1">IFERROR(__xludf.DUMMYFUNCTION("""COMPUTED_VALUE"""),1)</f>
        <v>1</v>
      </c>
      <c r="D7164" s="8">
        <f ca="1">IFERROR(__xludf.DUMMYFUNCTION("""COMPUTED_VALUE"""),5)</f>
        <v>5</v>
      </c>
      <c r="E7164" s="2">
        <f ca="1">IFERROR(__xludf.DUMMYFUNCTION("""COMPUTED_VALUE"""),2)</f>
        <v>2</v>
      </c>
    </row>
    <row r="7165" spans="1:5" ht="13">
      <c r="A7165" s="2" t="str">
        <f ca="1">IFERROR(__xludf.DUMMYFUNCTION("""COMPUTED_VALUE"""),"Schein, Johann Hermann")</f>
        <v>Schein, Johann Hermann</v>
      </c>
      <c r="B7165" s="2">
        <f ca="1">IFERROR(__xludf.DUMMYFUNCTION("""COMPUTED_VALUE"""),1)</f>
        <v>1</v>
      </c>
      <c r="C7165" s="7">
        <f ca="1">IFERROR(__xludf.DUMMYFUNCTION("""COMPUTED_VALUE"""),1)</f>
        <v>1</v>
      </c>
      <c r="D7165" s="8">
        <f ca="1">IFERROR(__xludf.DUMMYFUNCTION("""COMPUTED_VALUE"""),5)</f>
        <v>5</v>
      </c>
      <c r="E7165" s="2">
        <f ca="1">IFERROR(__xludf.DUMMYFUNCTION("""COMPUTED_VALUE"""),2)</f>
        <v>2</v>
      </c>
    </row>
    <row r="7166" spans="1:5" ht="13">
      <c r="A7166" s="2" t="str">
        <f ca="1">IFERROR(__xludf.DUMMYFUNCTION("""COMPUTED_VALUE"""),"Schelle, Michael")</f>
        <v>Schelle, Michael</v>
      </c>
      <c r="B7166" s="3">
        <f ca="1">IFERROR(__xludf.DUMMYFUNCTION("""COMPUTED_VALUE"""),1)</f>
        <v>1</v>
      </c>
      <c r="C7166" s="7">
        <f ca="1">IFERROR(__xludf.DUMMYFUNCTION("""COMPUTED_VALUE"""),1)</f>
        <v>1</v>
      </c>
      <c r="D7166" s="8">
        <f ca="1">IFERROR(__xludf.DUMMYFUNCTION("""COMPUTED_VALUE"""),1)</f>
        <v>1</v>
      </c>
      <c r="E7166" s="2">
        <f ca="1">IFERROR(__xludf.DUMMYFUNCTION("""COMPUTED_VALUE"""),1)</f>
        <v>1</v>
      </c>
    </row>
    <row r="7167" spans="1:5" ht="13">
      <c r="A7167" s="8" t="str">
        <f ca="1">IFERROR(__xludf.DUMMYFUNCTION("""COMPUTED_VALUE"""),"Schering, Arnold")</f>
        <v>Schering, Arnold</v>
      </c>
      <c r="B7167" s="3">
        <f ca="1">IFERROR(__xludf.DUMMYFUNCTION("""COMPUTED_VALUE"""),1)</f>
        <v>1</v>
      </c>
      <c r="C7167" s="7">
        <f ca="1">IFERROR(__xludf.DUMMYFUNCTION("""COMPUTED_VALUE"""),1)</f>
        <v>1</v>
      </c>
      <c r="D7167" s="8">
        <f ca="1">IFERROR(__xludf.DUMMYFUNCTION("""COMPUTED_VALUE"""),5)</f>
        <v>5</v>
      </c>
      <c r="E7167" s="2">
        <f ca="1">IFERROR(__xludf.DUMMYFUNCTION("""COMPUTED_VALUE"""),2)</f>
        <v>2</v>
      </c>
    </row>
    <row r="7168" spans="1:5" ht="13">
      <c r="A7168" s="2" t="str">
        <f ca="1">IFERROR(__xludf.DUMMYFUNCTION("""COMPUTED_VALUE"""),"Schermer, Richard")</f>
        <v>Schermer, Richard</v>
      </c>
      <c r="B7168" s="2">
        <f ca="1">IFERROR(__xludf.DUMMYFUNCTION("""COMPUTED_VALUE"""),1)</f>
        <v>1</v>
      </c>
      <c r="C7168" s="7">
        <f ca="1">IFERROR(__xludf.DUMMYFUNCTION("""COMPUTED_VALUE"""),1)</f>
        <v>1</v>
      </c>
      <c r="D7168" s="8">
        <f ca="1">IFERROR(__xludf.DUMMYFUNCTION("""COMPUTED_VALUE"""),5)</f>
        <v>5</v>
      </c>
      <c r="E7168" s="2">
        <f ca="1">IFERROR(__xludf.DUMMYFUNCTION("""COMPUTED_VALUE"""),2)</f>
        <v>2</v>
      </c>
    </row>
    <row r="7169" spans="1:5" ht="13">
      <c r="A7169" s="2" t="str">
        <f ca="1">IFERROR(__xludf.DUMMYFUNCTION("""COMPUTED_VALUE"""),"Schermerhorn, Kenneth")</f>
        <v>Schermerhorn, Kenneth</v>
      </c>
      <c r="B7169" s="3">
        <f ca="1">IFERROR(__xludf.DUMMYFUNCTION("""COMPUTED_VALUE"""),1)</f>
        <v>1</v>
      </c>
      <c r="C7169" s="7">
        <f ca="1">IFERROR(__xludf.DUMMYFUNCTION("""COMPUTED_VALUE"""),1)</f>
        <v>1</v>
      </c>
      <c r="D7169" s="8">
        <f ca="1">IFERROR(__xludf.DUMMYFUNCTION("""COMPUTED_VALUE"""),1)</f>
        <v>1</v>
      </c>
      <c r="E7169" s="2">
        <f ca="1">IFERROR(__xludf.DUMMYFUNCTION("""COMPUTED_VALUE"""),1)</f>
        <v>1</v>
      </c>
    </row>
    <row r="7170" spans="1:5" ht="13">
      <c r="A7170" s="2" t="str">
        <f ca="1">IFERROR(__xludf.DUMMYFUNCTION("""COMPUTED_VALUE"""),"Schertzinger, Victor")</f>
        <v>Schertzinger, Victor</v>
      </c>
      <c r="B7170" s="2">
        <f ca="1">IFERROR(__xludf.DUMMYFUNCTION("""COMPUTED_VALUE"""),1)</f>
        <v>1</v>
      </c>
      <c r="C7170" s="7">
        <f ca="1">IFERROR(__xludf.DUMMYFUNCTION("""COMPUTED_VALUE"""),1)</f>
        <v>1</v>
      </c>
      <c r="D7170" s="8">
        <f ca="1">IFERROR(__xludf.DUMMYFUNCTION("""COMPUTED_VALUE"""),5)</f>
        <v>5</v>
      </c>
      <c r="E7170" s="2">
        <f ca="1">IFERROR(__xludf.DUMMYFUNCTION("""COMPUTED_VALUE"""),2)</f>
        <v>2</v>
      </c>
    </row>
    <row r="7171" spans="1:5" ht="13">
      <c r="A7171" s="2" t="str">
        <f ca="1">IFERROR(__xludf.DUMMYFUNCTION("""COMPUTED_VALUE"""),"Schertzinger, Victor / Mercer, Johnny")</f>
        <v>Schertzinger, Victor / Mercer, Johnny</v>
      </c>
      <c r="B7171" s="2">
        <f ca="1">IFERROR(__xludf.DUMMYFUNCTION("""COMPUTED_VALUE"""),1)</f>
        <v>1</v>
      </c>
      <c r="C7171" s="7">
        <f ca="1">IFERROR(__xludf.DUMMYFUNCTION("""COMPUTED_VALUE"""),1)</f>
        <v>1</v>
      </c>
      <c r="D7171" s="8">
        <f ca="1">IFERROR(__xludf.DUMMYFUNCTION("""COMPUTED_VALUE"""),5)</f>
        <v>5</v>
      </c>
      <c r="E7171" s="2">
        <f ca="1">IFERROR(__xludf.DUMMYFUNCTION("""COMPUTED_VALUE"""),2)</f>
        <v>2</v>
      </c>
    </row>
    <row r="7172" spans="1:5" ht="13">
      <c r="A7172" s="2" t="str">
        <f ca="1">IFERROR(__xludf.DUMMYFUNCTION("""COMPUTED_VALUE"""),"Schiassi, Gaetano")</f>
        <v>Schiassi, Gaetano</v>
      </c>
      <c r="B7172" s="3">
        <f ca="1">IFERROR(__xludf.DUMMYFUNCTION("""COMPUTED_VALUE"""),1)</f>
        <v>1</v>
      </c>
      <c r="C7172" s="7">
        <f ca="1">IFERROR(__xludf.DUMMYFUNCTION("""COMPUTED_VALUE"""),1)</f>
        <v>1</v>
      </c>
      <c r="D7172" s="8">
        <f ca="1">IFERROR(__xludf.DUMMYFUNCTION("""COMPUTED_VALUE"""),5)</f>
        <v>5</v>
      </c>
      <c r="E7172" s="2">
        <f ca="1">IFERROR(__xludf.DUMMYFUNCTION("""COMPUTED_VALUE"""),2)</f>
        <v>2</v>
      </c>
    </row>
    <row r="7173" spans="1:5" ht="13">
      <c r="A7173" s="2" t="str">
        <f ca="1">IFERROR(__xludf.DUMMYFUNCTION("""COMPUTED_VALUE"""),"Schibler, Armin")</f>
        <v>Schibler, Armin</v>
      </c>
      <c r="B7173" s="3">
        <f ca="1">IFERROR(__xludf.DUMMYFUNCTION("""COMPUTED_VALUE"""),1)</f>
        <v>1</v>
      </c>
      <c r="C7173" s="7">
        <f ca="1">IFERROR(__xludf.DUMMYFUNCTION("""COMPUTED_VALUE"""),1)</f>
        <v>1</v>
      </c>
      <c r="D7173" s="8">
        <f ca="1">IFERROR(__xludf.DUMMYFUNCTION("""COMPUTED_VALUE"""),5)</f>
        <v>5</v>
      </c>
      <c r="E7173" s="2">
        <f ca="1">IFERROR(__xludf.DUMMYFUNCTION("""COMPUTED_VALUE"""),2)</f>
        <v>2</v>
      </c>
    </row>
    <row r="7174" spans="1:5" ht="13">
      <c r="A7174" s="2" t="str">
        <f ca="1">IFERROR(__xludf.DUMMYFUNCTION("""COMPUTED_VALUE"""),"Schickele, Peter")</f>
        <v>Schickele, Peter</v>
      </c>
      <c r="B7174" s="2">
        <f ca="1">IFERROR(__xludf.DUMMYFUNCTION("""COMPUTED_VALUE"""),1)</f>
        <v>1</v>
      </c>
      <c r="C7174" s="7">
        <f ca="1">IFERROR(__xludf.DUMMYFUNCTION("""COMPUTED_VALUE"""),1)</f>
        <v>1</v>
      </c>
      <c r="D7174" s="8">
        <f ca="1">IFERROR(__xludf.DUMMYFUNCTION("""COMPUTED_VALUE"""),5)</f>
        <v>5</v>
      </c>
      <c r="E7174" s="2">
        <f ca="1">IFERROR(__xludf.DUMMYFUNCTION("""COMPUTED_VALUE"""),2)</f>
        <v>2</v>
      </c>
    </row>
    <row r="7175" spans="1:5" ht="13">
      <c r="A7175" s="2" t="str">
        <f ca="1">IFERROR(__xludf.DUMMYFUNCTION("""COMPUTED_VALUE"""),"Schiedt")</f>
        <v>Schiedt</v>
      </c>
      <c r="B7175" s="3">
        <f ca="1">IFERROR(__xludf.DUMMYFUNCTION("""COMPUTED_VALUE"""),1)</f>
        <v>1</v>
      </c>
      <c r="C7175" s="7">
        <f ca="1">IFERROR(__xludf.DUMMYFUNCTION("""COMPUTED_VALUE"""),1)</f>
        <v>1</v>
      </c>
      <c r="D7175" s="8">
        <f ca="1">IFERROR(__xludf.DUMMYFUNCTION("""COMPUTED_VALUE"""),5)</f>
        <v>5</v>
      </c>
      <c r="E7175" s="2">
        <f ca="1">IFERROR(__xludf.DUMMYFUNCTION("""COMPUTED_VALUE"""),2)</f>
        <v>2</v>
      </c>
    </row>
    <row r="7176" spans="1:5" ht="13">
      <c r="A7176" s="2" t="str">
        <f ca="1">IFERROR(__xludf.DUMMYFUNCTION("""COMPUTED_VALUE"""),"Schiedt, Samuel")</f>
        <v>Schiedt, Samuel</v>
      </c>
      <c r="B7176" s="3">
        <f ca="1">IFERROR(__xludf.DUMMYFUNCTION("""COMPUTED_VALUE"""),1)</f>
        <v>1</v>
      </c>
      <c r="C7176" s="7">
        <f ca="1">IFERROR(__xludf.DUMMYFUNCTION("""COMPUTED_VALUE"""),1)</f>
        <v>1</v>
      </c>
      <c r="D7176" s="8">
        <f ca="1">IFERROR(__xludf.DUMMYFUNCTION("""COMPUTED_VALUE"""),5)</f>
        <v>5</v>
      </c>
      <c r="E7176" s="3">
        <f ca="1">IFERROR(__xludf.DUMMYFUNCTION("""COMPUTED_VALUE"""),2)</f>
        <v>2</v>
      </c>
    </row>
    <row r="7177" spans="1:5" ht="13">
      <c r="A7177" s="2" t="str">
        <f ca="1">IFERROR(__xludf.DUMMYFUNCTION("""COMPUTED_VALUE"""),"Schietroma, Doug")</f>
        <v>Schietroma, Doug</v>
      </c>
      <c r="B7177" s="3">
        <f ca="1">IFERROR(__xludf.DUMMYFUNCTION("""COMPUTED_VALUE"""),1)</f>
        <v>1</v>
      </c>
      <c r="C7177" s="7">
        <f ca="1">IFERROR(__xludf.DUMMYFUNCTION("""COMPUTED_VALUE"""),1)</f>
        <v>1</v>
      </c>
      <c r="D7177" s="8">
        <f ca="1">IFERROR(__xludf.DUMMYFUNCTION("""COMPUTED_VALUE"""),1)</f>
        <v>1</v>
      </c>
      <c r="E7177" s="2">
        <f ca="1">IFERROR(__xludf.DUMMYFUNCTION("""COMPUTED_VALUE"""),1)</f>
        <v>1</v>
      </c>
    </row>
    <row r="7178" spans="1:5" ht="13">
      <c r="A7178" s="2" t="str">
        <f ca="1">IFERROR(__xludf.DUMMYFUNCTION("""COMPUTED_VALUE"""),"Schiff, David")</f>
        <v>Schiff, David</v>
      </c>
      <c r="B7178" s="3">
        <f ca="1">IFERROR(__xludf.DUMMYFUNCTION("""COMPUTED_VALUE"""),1)</f>
        <v>1</v>
      </c>
      <c r="C7178" s="7">
        <f ca="1">IFERROR(__xludf.DUMMYFUNCTION("""COMPUTED_VALUE"""),1)</f>
        <v>1</v>
      </c>
      <c r="D7178" s="8">
        <f ca="1">IFERROR(__xludf.DUMMYFUNCTION("""COMPUTED_VALUE"""),1)</f>
        <v>1</v>
      </c>
      <c r="E7178" s="2">
        <f ca="1">IFERROR(__xludf.DUMMYFUNCTION("""COMPUTED_VALUE"""),1)</f>
        <v>1</v>
      </c>
    </row>
    <row r="7179" spans="1:5" ht="13">
      <c r="A7179" s="2" t="str">
        <f ca="1">IFERROR(__xludf.DUMMYFUNCTION("""COMPUTED_VALUE"""),"Schifrin, Lalo")</f>
        <v>Schifrin, Lalo</v>
      </c>
      <c r="B7179" s="3">
        <f ca="1">IFERROR(__xludf.DUMMYFUNCTION("""COMPUTED_VALUE"""),1)</f>
        <v>1</v>
      </c>
      <c r="C7179" s="7">
        <f ca="1">IFERROR(__xludf.DUMMYFUNCTION("""COMPUTED_VALUE"""),1)</f>
        <v>1</v>
      </c>
      <c r="D7179" s="8">
        <f ca="1">IFERROR(__xludf.DUMMYFUNCTION("""COMPUTED_VALUE"""),5)</f>
        <v>5</v>
      </c>
      <c r="E7179" s="2">
        <f ca="1">IFERROR(__xludf.DUMMYFUNCTION("""COMPUTED_VALUE"""),2)</f>
        <v>2</v>
      </c>
    </row>
    <row r="7180" spans="1:5" ht="13">
      <c r="A7180" s="2" t="str">
        <f ca="1">IFERROR(__xludf.DUMMYFUNCTION("""COMPUTED_VALUE"""),"Schimmel, Carl")</f>
        <v>Schimmel, Carl</v>
      </c>
      <c r="B7180" s="3">
        <f ca="1">IFERROR(__xludf.DUMMYFUNCTION("""COMPUTED_VALUE"""),1)</f>
        <v>1</v>
      </c>
      <c r="C7180" s="7">
        <f ca="1">IFERROR(__xludf.DUMMYFUNCTION("""COMPUTED_VALUE"""),1)</f>
        <v>1</v>
      </c>
      <c r="D7180" s="8">
        <f ca="1">IFERROR(__xludf.DUMMYFUNCTION("""COMPUTED_VALUE"""),1)</f>
        <v>1</v>
      </c>
      <c r="E7180" s="2">
        <f ca="1">IFERROR(__xludf.DUMMYFUNCTION("""COMPUTED_VALUE"""),1)</f>
        <v>1</v>
      </c>
    </row>
    <row r="7181" spans="1:5" ht="13">
      <c r="A7181" s="2" t="str">
        <f ca="1">IFERROR(__xludf.DUMMYFUNCTION("""COMPUTED_VALUE"""),"Schimmerling, Hans")</f>
        <v>Schimmerling, Hans</v>
      </c>
      <c r="B7181" s="3">
        <f ca="1">IFERROR(__xludf.DUMMYFUNCTION("""COMPUTED_VALUE"""),1)</f>
        <v>1</v>
      </c>
      <c r="C7181" s="7">
        <f ca="1">IFERROR(__xludf.DUMMYFUNCTION("""COMPUTED_VALUE"""),1)</f>
        <v>1</v>
      </c>
      <c r="D7181" s="8">
        <f ca="1">IFERROR(__xludf.DUMMYFUNCTION("""COMPUTED_VALUE"""),5)</f>
        <v>5</v>
      </c>
      <c r="E7181" s="2">
        <f ca="1">IFERROR(__xludf.DUMMYFUNCTION("""COMPUTED_VALUE"""),2)</f>
        <v>2</v>
      </c>
    </row>
    <row r="7182" spans="1:5" ht="13">
      <c r="A7182" s="2" t="str">
        <f ca="1">IFERROR(__xludf.DUMMYFUNCTION("""COMPUTED_VALUE"""),"Schinstine, William")</f>
        <v>Schinstine, William</v>
      </c>
      <c r="B7182" s="3">
        <f ca="1">IFERROR(__xludf.DUMMYFUNCTION("""COMPUTED_VALUE"""),1)</f>
        <v>1</v>
      </c>
      <c r="C7182" s="7">
        <f ca="1">IFERROR(__xludf.DUMMYFUNCTION("""COMPUTED_VALUE"""),1)</f>
        <v>1</v>
      </c>
      <c r="D7182" s="8">
        <f ca="1">IFERROR(__xludf.DUMMYFUNCTION("""COMPUTED_VALUE"""),5)</f>
        <v>5</v>
      </c>
      <c r="E7182" s="2">
        <f ca="1">IFERROR(__xludf.DUMMYFUNCTION("""COMPUTED_VALUE"""),2)</f>
        <v>2</v>
      </c>
    </row>
    <row r="7183" spans="1:5" ht="13">
      <c r="A7183" s="2" t="str">
        <f ca="1">IFERROR(__xludf.DUMMYFUNCTION("""COMPUTED_VALUE"""),"Schinstine, William J.")</f>
        <v>Schinstine, William J.</v>
      </c>
      <c r="B7183" s="3">
        <f ca="1">IFERROR(__xludf.DUMMYFUNCTION("""COMPUTED_VALUE"""),1)</f>
        <v>1</v>
      </c>
      <c r="C7183" s="7">
        <f ca="1">IFERROR(__xludf.DUMMYFUNCTION("""COMPUTED_VALUE"""),1)</f>
        <v>1</v>
      </c>
      <c r="D7183" s="8">
        <f ca="1">IFERROR(__xludf.DUMMYFUNCTION("""COMPUTED_VALUE"""),5)</f>
        <v>5</v>
      </c>
      <c r="E7183" s="2">
        <f ca="1">IFERROR(__xludf.DUMMYFUNCTION("""COMPUTED_VALUE"""),2)</f>
        <v>2</v>
      </c>
    </row>
    <row r="7184" spans="1:5" ht="13">
      <c r="A7184" s="2" t="str">
        <f ca="1">IFERROR(__xludf.DUMMYFUNCTION("""COMPUTED_VALUE"""),"Schirard, John Maclane")</f>
        <v>Schirard, John Maclane</v>
      </c>
      <c r="B7184" s="3">
        <f ca="1">IFERROR(__xludf.DUMMYFUNCTION("""COMPUTED_VALUE"""),1)</f>
        <v>1</v>
      </c>
      <c r="C7184" s="7">
        <f ca="1">IFERROR(__xludf.DUMMYFUNCTION("""COMPUTED_VALUE"""),1)</f>
        <v>1</v>
      </c>
      <c r="D7184" s="8">
        <f ca="1">IFERROR(__xludf.DUMMYFUNCTION("""COMPUTED_VALUE"""),1)</f>
        <v>1</v>
      </c>
      <c r="E7184" s="2">
        <f ca="1">IFERROR(__xludf.DUMMYFUNCTION("""COMPUTED_VALUE"""),1)</f>
        <v>1</v>
      </c>
    </row>
    <row r="7185" spans="1:5" ht="13">
      <c r="A7185" s="2" t="str">
        <f ca="1">IFERROR(__xludf.DUMMYFUNCTION("""COMPUTED_VALUE"""),"Schissel, Loras")</f>
        <v>Schissel, Loras</v>
      </c>
      <c r="B7185" s="3">
        <f ca="1">IFERROR(__xludf.DUMMYFUNCTION("""COMPUTED_VALUE"""),1)</f>
        <v>1</v>
      </c>
      <c r="C7185" s="7">
        <f ca="1">IFERROR(__xludf.DUMMYFUNCTION("""COMPUTED_VALUE"""),1)</f>
        <v>1</v>
      </c>
      <c r="D7185" s="8">
        <f ca="1">IFERROR(__xludf.DUMMYFUNCTION("""COMPUTED_VALUE"""),1)</f>
        <v>1</v>
      </c>
      <c r="E7185" s="2">
        <f ca="1">IFERROR(__xludf.DUMMYFUNCTION("""COMPUTED_VALUE"""),1)</f>
        <v>1</v>
      </c>
    </row>
    <row r="7186" spans="1:5" ht="13">
      <c r="A7186" s="2" t="str">
        <f ca="1">IFERROR(__xludf.DUMMYFUNCTION("""COMPUTED_VALUE"""),"Schlabach, Errol W.")</f>
        <v>Schlabach, Errol W.</v>
      </c>
      <c r="B7186" s="3">
        <f ca="1">IFERROR(__xludf.DUMMYFUNCTION("""COMPUTED_VALUE"""),1)</f>
        <v>1</v>
      </c>
      <c r="C7186" s="7">
        <f ca="1">IFERROR(__xludf.DUMMYFUNCTION("""COMPUTED_VALUE"""),1)</f>
        <v>1</v>
      </c>
      <c r="D7186" s="8">
        <f ca="1">IFERROR(__xludf.DUMMYFUNCTION("""COMPUTED_VALUE"""),5)</f>
        <v>5</v>
      </c>
      <c r="E7186" s="2">
        <f ca="1">IFERROR(__xludf.DUMMYFUNCTION("""COMPUTED_VALUE"""),2)</f>
        <v>2</v>
      </c>
    </row>
    <row r="7187" spans="1:5" ht="13">
      <c r="A7187" s="2" t="str">
        <f ca="1">IFERROR(__xludf.DUMMYFUNCTION("""COMPUTED_VALUE"""),"Schmelzer, Johann")</f>
        <v>Schmelzer, Johann</v>
      </c>
      <c r="B7187" s="3">
        <f ca="1">IFERROR(__xludf.DUMMYFUNCTION("""COMPUTED_VALUE"""),1)</f>
        <v>1</v>
      </c>
      <c r="C7187" s="7">
        <f ca="1">IFERROR(__xludf.DUMMYFUNCTION("""COMPUTED_VALUE"""),1)</f>
        <v>1</v>
      </c>
      <c r="D7187" s="8">
        <f ca="1">IFERROR(__xludf.DUMMYFUNCTION("""COMPUTED_VALUE"""),5)</f>
        <v>5</v>
      </c>
      <c r="E7187" s="2">
        <f ca="1">IFERROR(__xludf.DUMMYFUNCTION("""COMPUTED_VALUE"""),2)</f>
        <v>2</v>
      </c>
    </row>
    <row r="7188" spans="1:5" ht="13">
      <c r="A7188" s="2" t="str">
        <f ca="1">IFERROR(__xludf.DUMMYFUNCTION("""COMPUTED_VALUE"""),"Schmicerer, Johann Abraham")</f>
        <v>Schmicerer, Johann Abraham</v>
      </c>
      <c r="B7188" s="3">
        <f ca="1">IFERROR(__xludf.DUMMYFUNCTION("""COMPUTED_VALUE"""),1)</f>
        <v>1</v>
      </c>
      <c r="C7188" s="7">
        <f ca="1">IFERROR(__xludf.DUMMYFUNCTION("""COMPUTED_VALUE"""),1)</f>
        <v>1</v>
      </c>
      <c r="D7188" s="8">
        <f ca="1">IFERROR(__xludf.DUMMYFUNCTION("""COMPUTED_VALUE"""),5)</f>
        <v>5</v>
      </c>
      <c r="E7188" s="2">
        <f ca="1">IFERROR(__xludf.DUMMYFUNCTION("""COMPUTED_VALUE"""),2)</f>
        <v>2</v>
      </c>
    </row>
    <row r="7189" spans="1:5" ht="13">
      <c r="A7189" s="8" t="str">
        <f ca="1">IFERROR(__xludf.DUMMYFUNCTION("""COMPUTED_VALUE"""),"Schmid, Adolf")</f>
        <v>Schmid, Adolf</v>
      </c>
      <c r="B7189" s="3">
        <f ca="1">IFERROR(__xludf.DUMMYFUNCTION("""COMPUTED_VALUE"""),1)</f>
        <v>1</v>
      </c>
      <c r="C7189" s="7">
        <f ca="1">IFERROR(__xludf.DUMMYFUNCTION("""COMPUTED_VALUE"""),1)</f>
        <v>1</v>
      </c>
      <c r="D7189" s="8">
        <f ca="1">IFERROR(__xludf.DUMMYFUNCTION("""COMPUTED_VALUE"""),5)</f>
        <v>5</v>
      </c>
      <c r="E7189" s="2">
        <f ca="1">IFERROR(__xludf.DUMMYFUNCTION("""COMPUTED_VALUE"""),2)</f>
        <v>2</v>
      </c>
    </row>
    <row r="7190" spans="1:5" ht="13">
      <c r="A7190" s="2" t="str">
        <f ca="1">IFERROR(__xludf.DUMMYFUNCTION("""COMPUTED_VALUE"""),"Schmid, Heinrich")</f>
        <v>Schmid, Heinrich</v>
      </c>
      <c r="B7190" s="3">
        <f ca="1">IFERROR(__xludf.DUMMYFUNCTION("""COMPUTED_VALUE"""),1)</f>
        <v>1</v>
      </c>
      <c r="C7190" s="7">
        <f ca="1">IFERROR(__xludf.DUMMYFUNCTION("""COMPUTED_VALUE"""),1)</f>
        <v>1</v>
      </c>
      <c r="D7190" s="8">
        <f ca="1">IFERROR(__xludf.DUMMYFUNCTION("""COMPUTED_VALUE"""),5)</f>
        <v>5</v>
      </c>
      <c r="E7190" s="2">
        <f ca="1">IFERROR(__xludf.DUMMYFUNCTION("""COMPUTED_VALUE"""),2)</f>
        <v>2</v>
      </c>
    </row>
    <row r="7191" spans="1:5" ht="13">
      <c r="A7191" s="2" t="str">
        <f ca="1">IFERROR(__xludf.DUMMYFUNCTION("""COMPUTED_VALUE"""),"Schmid, Will")</f>
        <v>Schmid, Will</v>
      </c>
      <c r="B7191" s="3">
        <f ca="1">IFERROR(__xludf.DUMMYFUNCTION("""COMPUTED_VALUE"""),1)</f>
        <v>1</v>
      </c>
      <c r="C7191" s="7">
        <f ca="1">IFERROR(__xludf.DUMMYFUNCTION("""COMPUTED_VALUE"""),1)</f>
        <v>1</v>
      </c>
      <c r="D7191" s="8">
        <f ca="1">IFERROR(__xludf.DUMMYFUNCTION("""COMPUTED_VALUE"""),5)</f>
        <v>5</v>
      </c>
      <c r="E7191" s="2">
        <f ca="1">IFERROR(__xludf.DUMMYFUNCTION("""COMPUTED_VALUE"""),2)</f>
        <v>2</v>
      </c>
    </row>
    <row r="7192" spans="1:5" ht="13">
      <c r="A7192" s="2" t="str">
        <f ca="1">IFERROR(__xludf.DUMMYFUNCTION("""COMPUTED_VALUE"""),"Schmidli, Roger")</f>
        <v>Schmidli, Roger</v>
      </c>
      <c r="B7192" s="2">
        <f ca="1">IFERROR(__xludf.DUMMYFUNCTION("""COMPUTED_VALUE"""),1)</f>
        <v>1</v>
      </c>
      <c r="C7192" s="7">
        <f ca="1">IFERROR(__xludf.DUMMYFUNCTION("""COMPUTED_VALUE"""),1)</f>
        <v>1</v>
      </c>
      <c r="D7192" s="8">
        <f ca="1">IFERROR(__xludf.DUMMYFUNCTION("""COMPUTED_VALUE"""),1)</f>
        <v>1</v>
      </c>
      <c r="E7192" s="2">
        <f ca="1">IFERROR(__xludf.DUMMYFUNCTION("""COMPUTED_VALUE"""),1)</f>
        <v>1</v>
      </c>
    </row>
    <row r="7193" spans="1:5" ht="13">
      <c r="A7193" s="2" t="str">
        <f ca="1">IFERROR(__xludf.DUMMYFUNCTION("""COMPUTED_VALUE"""),"Schmidt, Brian")</f>
        <v>Schmidt, Brian</v>
      </c>
      <c r="B7193" s="2">
        <f ca="1">IFERROR(__xludf.DUMMYFUNCTION("""COMPUTED_VALUE"""),1)</f>
        <v>1</v>
      </c>
      <c r="C7193" s="7">
        <f ca="1">IFERROR(__xludf.DUMMYFUNCTION("""COMPUTED_VALUE"""),1)</f>
        <v>1</v>
      </c>
      <c r="D7193" s="8">
        <f ca="1">IFERROR(__xludf.DUMMYFUNCTION("""COMPUTED_VALUE"""),1)</f>
        <v>1</v>
      </c>
      <c r="E7193" s="2">
        <f ca="1">IFERROR(__xludf.DUMMYFUNCTION("""COMPUTED_VALUE"""),1)</f>
        <v>1</v>
      </c>
    </row>
    <row r="7194" spans="1:5" ht="13">
      <c r="A7194" s="2" t="str">
        <f ca="1">IFERROR(__xludf.DUMMYFUNCTION("""COMPUTED_VALUE"""),"Schmidt, Franz")</f>
        <v>Schmidt, Franz</v>
      </c>
      <c r="B7194" s="3">
        <f ca="1">IFERROR(__xludf.DUMMYFUNCTION("""COMPUTED_VALUE"""),1)</f>
        <v>1</v>
      </c>
      <c r="C7194" s="7">
        <f ca="1">IFERROR(__xludf.DUMMYFUNCTION("""COMPUTED_VALUE"""),1)</f>
        <v>1</v>
      </c>
      <c r="D7194" s="8">
        <f ca="1">IFERROR(__xludf.DUMMYFUNCTION("""COMPUTED_VALUE"""),5)</f>
        <v>5</v>
      </c>
      <c r="E7194" s="2">
        <f ca="1">IFERROR(__xludf.DUMMYFUNCTION("""COMPUTED_VALUE"""),2)</f>
        <v>2</v>
      </c>
    </row>
    <row r="7195" spans="1:5" ht="13">
      <c r="A7195" s="8" t="str">
        <f ca="1">IFERROR(__xludf.DUMMYFUNCTION("""COMPUTED_VALUE"""),"Schmidt, Harvey")</f>
        <v>Schmidt, Harvey</v>
      </c>
      <c r="B7195" s="3">
        <f ca="1">IFERROR(__xludf.DUMMYFUNCTION("""COMPUTED_VALUE"""),1)</f>
        <v>1</v>
      </c>
      <c r="C7195" s="7">
        <f ca="1">IFERROR(__xludf.DUMMYFUNCTION("""COMPUTED_VALUE"""),1)</f>
        <v>1</v>
      </c>
      <c r="D7195" s="8">
        <f ca="1">IFERROR(__xludf.DUMMYFUNCTION("""COMPUTED_VALUE"""),5)</f>
        <v>5</v>
      </c>
      <c r="E7195" s="2">
        <f ca="1">IFERROR(__xludf.DUMMYFUNCTION("""COMPUTED_VALUE"""),2)</f>
        <v>2</v>
      </c>
    </row>
    <row r="7196" spans="1:5" ht="13">
      <c r="A7196" s="2" t="str">
        <f ca="1">IFERROR(__xludf.DUMMYFUNCTION("""COMPUTED_VALUE"""),"Schmidt, Henry")</f>
        <v>Schmidt, Henry</v>
      </c>
      <c r="B7196" s="3">
        <f ca="1">IFERROR(__xludf.DUMMYFUNCTION("""COMPUTED_VALUE"""),1)</f>
        <v>1</v>
      </c>
      <c r="C7196" s="7">
        <f ca="1">IFERROR(__xludf.DUMMYFUNCTION("""COMPUTED_VALUE"""),1)</f>
        <v>1</v>
      </c>
      <c r="D7196" s="8">
        <f ca="1">IFERROR(__xludf.DUMMYFUNCTION("""COMPUTED_VALUE"""),5)</f>
        <v>5</v>
      </c>
      <c r="E7196" s="2">
        <f ca="1">IFERROR(__xludf.DUMMYFUNCTION("""COMPUTED_VALUE"""),2)</f>
        <v>2</v>
      </c>
    </row>
    <row r="7197" spans="1:5" ht="13">
      <c r="A7197" s="2" t="str">
        <f ca="1">IFERROR(__xludf.DUMMYFUNCTION("""COMPUTED_VALUE"""),"Schmidt, Ole")</f>
        <v>Schmidt, Ole</v>
      </c>
      <c r="B7197" s="3">
        <f ca="1">IFERROR(__xludf.DUMMYFUNCTION("""COMPUTED_VALUE"""),1)</f>
        <v>1</v>
      </c>
      <c r="C7197" s="7">
        <f ca="1">IFERROR(__xludf.DUMMYFUNCTION("""COMPUTED_VALUE"""),1)</f>
        <v>1</v>
      </c>
      <c r="D7197" s="8">
        <f ca="1">IFERROR(__xludf.DUMMYFUNCTION("""COMPUTED_VALUE"""),1)</f>
        <v>1</v>
      </c>
      <c r="E7197" s="2">
        <f ca="1">IFERROR(__xludf.DUMMYFUNCTION("""COMPUTED_VALUE"""),1)</f>
        <v>1</v>
      </c>
    </row>
    <row r="7198" spans="1:5" ht="13">
      <c r="A7198" s="2" t="str">
        <f ca="1">IFERROR(__xludf.DUMMYFUNCTION("""COMPUTED_VALUE"""),"Schmidt, Stephen")</f>
        <v>Schmidt, Stephen</v>
      </c>
      <c r="B7198" s="3">
        <f ca="1">IFERROR(__xludf.DUMMYFUNCTION("""COMPUTED_VALUE"""),1)</f>
        <v>1</v>
      </c>
      <c r="C7198" s="7">
        <f ca="1">IFERROR(__xludf.DUMMYFUNCTION("""COMPUTED_VALUE"""),1)</f>
        <v>1</v>
      </c>
      <c r="D7198" s="8">
        <f ca="1">IFERROR(__xludf.DUMMYFUNCTION("""COMPUTED_VALUE"""),1)</f>
        <v>1</v>
      </c>
      <c r="E7198" s="2">
        <f ca="1">IFERROR(__xludf.DUMMYFUNCTION("""COMPUTED_VALUE"""),1)</f>
        <v>1</v>
      </c>
    </row>
    <row r="7199" spans="1:5" ht="13">
      <c r="A7199" s="2" t="str">
        <f ca="1">IFERROR(__xludf.DUMMYFUNCTION("""COMPUTED_VALUE"""),"Schmidt, William")</f>
        <v>Schmidt, William</v>
      </c>
      <c r="B7199" s="2">
        <f ca="1">IFERROR(__xludf.DUMMYFUNCTION("""COMPUTED_VALUE"""),1)</f>
        <v>1</v>
      </c>
      <c r="C7199" s="7">
        <f ca="1">IFERROR(__xludf.DUMMYFUNCTION("""COMPUTED_VALUE"""),1)</f>
        <v>1</v>
      </c>
      <c r="D7199" s="8">
        <f ca="1">IFERROR(__xludf.DUMMYFUNCTION("""COMPUTED_VALUE"""),5)</f>
        <v>5</v>
      </c>
      <c r="E7199" s="2">
        <f ca="1">IFERROR(__xludf.DUMMYFUNCTION("""COMPUTED_VALUE"""),2)</f>
        <v>2</v>
      </c>
    </row>
    <row r="7200" spans="1:5" ht="13">
      <c r="A7200" s="2" t="str">
        <f ca="1">IFERROR(__xludf.DUMMYFUNCTION("""COMPUTED_VALUE"""),"Schmit, Nolan E.")</f>
        <v>Schmit, Nolan E.</v>
      </c>
      <c r="B7200" s="3">
        <f ca="1">IFERROR(__xludf.DUMMYFUNCTION("""COMPUTED_VALUE"""),1)</f>
        <v>1</v>
      </c>
      <c r="C7200" s="7">
        <f ca="1">IFERROR(__xludf.DUMMYFUNCTION("""COMPUTED_VALUE"""),1)</f>
        <v>1</v>
      </c>
      <c r="D7200" s="8">
        <f ca="1">IFERROR(__xludf.DUMMYFUNCTION("""COMPUTED_VALUE"""),1)</f>
        <v>1</v>
      </c>
      <c r="E7200" s="2">
        <f ca="1">IFERROR(__xludf.DUMMYFUNCTION("""COMPUTED_VALUE"""),1)</f>
        <v>1</v>
      </c>
    </row>
    <row r="7201" spans="1:5" ht="13">
      <c r="A7201" s="2" t="str">
        <f ca="1">IFERROR(__xludf.DUMMYFUNCTION("""COMPUTED_VALUE"""),"Schmitt, Florent")</f>
        <v>Schmitt, Florent</v>
      </c>
      <c r="B7201" s="3">
        <f ca="1">IFERROR(__xludf.DUMMYFUNCTION("""COMPUTED_VALUE"""),1)</f>
        <v>1</v>
      </c>
      <c r="C7201" s="7">
        <f ca="1">IFERROR(__xludf.DUMMYFUNCTION("""COMPUTED_VALUE"""),1)</f>
        <v>1</v>
      </c>
      <c r="D7201" s="8">
        <f ca="1">IFERROR(__xludf.DUMMYFUNCTION("""COMPUTED_VALUE"""),5)</f>
        <v>5</v>
      </c>
      <c r="E7201" s="2">
        <f ca="1">IFERROR(__xludf.DUMMYFUNCTION("""COMPUTED_VALUE"""),2)</f>
        <v>2</v>
      </c>
    </row>
    <row r="7202" spans="1:5" ht="13">
      <c r="A7202" s="8" t="str">
        <f ca="1">IFERROR(__xludf.DUMMYFUNCTION("""COMPUTED_VALUE"""),"Schmitt, Matthias")</f>
        <v>Schmitt, Matthias</v>
      </c>
      <c r="B7202" s="3">
        <f ca="1">IFERROR(__xludf.DUMMYFUNCTION("""COMPUTED_VALUE"""),1)</f>
        <v>1</v>
      </c>
      <c r="C7202" s="7">
        <f ca="1">IFERROR(__xludf.DUMMYFUNCTION("""COMPUTED_VALUE"""),1)</f>
        <v>1</v>
      </c>
      <c r="D7202" s="8">
        <f ca="1">IFERROR(__xludf.DUMMYFUNCTION("""COMPUTED_VALUE"""),1)</f>
        <v>1</v>
      </c>
      <c r="E7202" s="2">
        <f ca="1">IFERROR(__xludf.DUMMYFUNCTION("""COMPUTED_VALUE"""),1)</f>
        <v>1</v>
      </c>
    </row>
    <row r="7203" spans="1:5" ht="13">
      <c r="A7203" s="2" t="str">
        <f ca="1">IFERROR(__xludf.DUMMYFUNCTION("""COMPUTED_VALUE"""),"Schmitt, Ralf")</f>
        <v>Schmitt, Ralf</v>
      </c>
      <c r="B7203" s="3">
        <f ca="1">IFERROR(__xludf.DUMMYFUNCTION("""COMPUTED_VALUE"""),1)</f>
        <v>1</v>
      </c>
      <c r="C7203" s="7">
        <f ca="1">IFERROR(__xludf.DUMMYFUNCTION("""COMPUTED_VALUE"""),1)</f>
        <v>1</v>
      </c>
      <c r="D7203" s="8">
        <f ca="1">IFERROR(__xludf.DUMMYFUNCTION("""COMPUTED_VALUE"""),1)</f>
        <v>1</v>
      </c>
      <c r="E7203" s="2">
        <f ca="1">IFERROR(__xludf.DUMMYFUNCTION("""COMPUTED_VALUE"""),1)</f>
        <v>1</v>
      </c>
    </row>
    <row r="7204" spans="1:5" ht="13">
      <c r="A7204" s="2" t="str">
        <f ca="1">IFERROR(__xludf.DUMMYFUNCTION("""COMPUTED_VALUE"""),"Schmitt, Ralph / Barrett, Michael")</f>
        <v>Schmitt, Ralph / Barrett, Michael</v>
      </c>
      <c r="B7204" s="3">
        <f ca="1">IFERROR(__xludf.DUMMYFUNCTION("""COMPUTED_VALUE"""),1)</f>
        <v>1</v>
      </c>
      <c r="C7204" s="7">
        <f ca="1">IFERROR(__xludf.DUMMYFUNCTION("""COMPUTED_VALUE"""),1)</f>
        <v>1</v>
      </c>
      <c r="D7204" s="8">
        <f ca="1">IFERROR(__xludf.DUMMYFUNCTION("""COMPUTED_VALUE"""),1)</f>
        <v>1</v>
      </c>
      <c r="E7204" s="2">
        <f ca="1">IFERROR(__xludf.DUMMYFUNCTION("""COMPUTED_VALUE"""),1)</f>
        <v>1</v>
      </c>
    </row>
    <row r="7205" spans="1:5" ht="13">
      <c r="A7205" s="2" t="str">
        <f ca="1">IFERROR(__xludf.DUMMYFUNCTION("""COMPUTED_VALUE"""),"Schmitt, Theo")</f>
        <v>Schmitt, Theo</v>
      </c>
      <c r="B7205" s="2">
        <f ca="1">IFERROR(__xludf.DUMMYFUNCTION("""COMPUTED_VALUE"""),1)</f>
        <v>1</v>
      </c>
      <c r="C7205" s="7">
        <f ca="1">IFERROR(__xludf.DUMMYFUNCTION("""COMPUTED_VALUE"""),1)</f>
        <v>1</v>
      </c>
      <c r="D7205" s="8">
        <f ca="1">IFERROR(__xludf.DUMMYFUNCTION("""COMPUTED_VALUE"""),1)</f>
        <v>1</v>
      </c>
      <c r="E7205" s="2">
        <f ca="1">IFERROR(__xludf.DUMMYFUNCTION("""COMPUTED_VALUE"""),1)</f>
        <v>1</v>
      </c>
    </row>
    <row r="7206" spans="1:5" ht="13">
      <c r="A7206" s="2" t="str">
        <f ca="1">IFERROR(__xludf.DUMMYFUNCTION("""COMPUTED_VALUE"""),"Schmitz, Christopher")</f>
        <v>Schmitz, Christopher</v>
      </c>
      <c r="B7206" s="3">
        <f ca="1">IFERROR(__xludf.DUMMYFUNCTION("""COMPUTED_VALUE"""),1)</f>
        <v>1</v>
      </c>
      <c r="C7206" s="7">
        <f ca="1">IFERROR(__xludf.DUMMYFUNCTION("""COMPUTED_VALUE"""),1)</f>
        <v>1</v>
      </c>
      <c r="D7206" s="8">
        <f ca="1">IFERROR(__xludf.DUMMYFUNCTION("""COMPUTED_VALUE"""),1)</f>
        <v>1</v>
      </c>
      <c r="E7206" s="2">
        <f ca="1">IFERROR(__xludf.DUMMYFUNCTION("""COMPUTED_VALUE"""),1)</f>
        <v>1</v>
      </c>
    </row>
    <row r="7207" spans="1:5" ht="13">
      <c r="A7207" s="2" t="str">
        <f ca="1">IFERROR(__xludf.DUMMYFUNCTION("""COMPUTED_VALUE"""),"Schneidt, Hanns Martin")</f>
        <v>Schneidt, Hanns Martin</v>
      </c>
      <c r="B7207" s="3">
        <f ca="1">IFERROR(__xludf.DUMMYFUNCTION("""COMPUTED_VALUE"""),1)</f>
        <v>1</v>
      </c>
      <c r="C7207" s="7">
        <f ca="1">IFERROR(__xludf.DUMMYFUNCTION("""COMPUTED_VALUE"""),1)</f>
        <v>1</v>
      </c>
      <c r="D7207" s="8">
        <f ca="1">IFERROR(__xludf.DUMMYFUNCTION("""COMPUTED_VALUE"""),5)</f>
        <v>5</v>
      </c>
      <c r="E7207" s="2">
        <f ca="1">IFERROR(__xludf.DUMMYFUNCTION("""COMPUTED_VALUE"""),2)</f>
        <v>2</v>
      </c>
    </row>
    <row r="7208" spans="1:5" ht="13">
      <c r="A7208" s="2" t="str">
        <f ca="1">IFERROR(__xludf.DUMMYFUNCTION("""COMPUTED_VALUE"""),"Schnelzer, Albert")</f>
        <v>Schnelzer, Albert</v>
      </c>
      <c r="B7208" s="3">
        <f ca="1">IFERROR(__xludf.DUMMYFUNCTION("""COMPUTED_VALUE"""),1)</f>
        <v>1</v>
      </c>
      <c r="C7208" s="7">
        <f ca="1">IFERROR(__xludf.DUMMYFUNCTION("""COMPUTED_VALUE"""),1)</f>
        <v>1</v>
      </c>
      <c r="D7208" s="8">
        <f ca="1">IFERROR(__xludf.DUMMYFUNCTION("""COMPUTED_VALUE"""),1)</f>
        <v>1</v>
      </c>
      <c r="E7208" s="2">
        <f ca="1">IFERROR(__xludf.DUMMYFUNCTION("""COMPUTED_VALUE"""),1)</f>
        <v>1</v>
      </c>
    </row>
    <row r="7209" spans="1:5" ht="13">
      <c r="A7209" s="2" t="str">
        <f ca="1">IFERROR(__xludf.DUMMYFUNCTION("""COMPUTED_VALUE"""),"Schnittke, Alfred")</f>
        <v>Schnittke, Alfred</v>
      </c>
      <c r="B7209" s="3">
        <f ca="1">IFERROR(__xludf.DUMMYFUNCTION("""COMPUTED_VALUE"""),1)</f>
        <v>1</v>
      </c>
      <c r="C7209" s="7">
        <f ca="1">IFERROR(__xludf.DUMMYFUNCTION("""COMPUTED_VALUE"""),1)</f>
        <v>1</v>
      </c>
      <c r="D7209" s="8">
        <f ca="1">IFERROR(__xludf.DUMMYFUNCTION("""COMPUTED_VALUE"""),5)</f>
        <v>5</v>
      </c>
      <c r="E7209" s="2">
        <f ca="1">IFERROR(__xludf.DUMMYFUNCTION("""COMPUTED_VALUE"""),2)</f>
        <v>2</v>
      </c>
    </row>
    <row r="7210" spans="1:5" ht="13">
      <c r="A7210" s="2" t="str">
        <f ca="1">IFERROR(__xludf.DUMMYFUNCTION("""COMPUTED_VALUE"""),"Schocker, Gary")</f>
        <v>Schocker, Gary</v>
      </c>
      <c r="B7210" s="3">
        <f ca="1">IFERROR(__xludf.DUMMYFUNCTION("""COMPUTED_VALUE"""),1)</f>
        <v>1</v>
      </c>
      <c r="C7210" s="7">
        <f ca="1">IFERROR(__xludf.DUMMYFUNCTION("""COMPUTED_VALUE"""),1)</f>
        <v>1</v>
      </c>
      <c r="D7210" s="8">
        <f ca="1">IFERROR(__xludf.DUMMYFUNCTION("""COMPUTED_VALUE"""),1)</f>
        <v>1</v>
      </c>
      <c r="E7210" s="2">
        <f ca="1">IFERROR(__xludf.DUMMYFUNCTION("""COMPUTED_VALUE"""),1)</f>
        <v>1</v>
      </c>
    </row>
    <row r="7211" spans="1:5" ht="13">
      <c r="A7211" s="2" t="str">
        <f ca="1">IFERROR(__xludf.DUMMYFUNCTION("""COMPUTED_VALUE"""),"Schoebel, Elmer / Woods, Robert")</f>
        <v>Schoebel, Elmer / Woods, Robert</v>
      </c>
      <c r="B7211" s="2">
        <f ca="1">IFERROR(__xludf.DUMMYFUNCTION("""COMPUTED_VALUE"""),1)</f>
        <v>1</v>
      </c>
      <c r="C7211" s="7">
        <f ca="1">IFERROR(__xludf.DUMMYFUNCTION("""COMPUTED_VALUE"""),1)</f>
        <v>1</v>
      </c>
      <c r="D7211" s="8">
        <f ca="1">IFERROR(__xludf.DUMMYFUNCTION("""COMPUTED_VALUE"""),5)</f>
        <v>5</v>
      </c>
      <c r="E7211" s="2">
        <f ca="1">IFERROR(__xludf.DUMMYFUNCTION("""COMPUTED_VALUE"""),2)</f>
        <v>2</v>
      </c>
    </row>
    <row r="7212" spans="1:5" ht="13">
      <c r="A7212" s="8" t="str">
        <f ca="1">IFERROR(__xludf.DUMMYFUNCTION("""COMPUTED_VALUE"""),"Schoenbach, Sol")</f>
        <v>Schoenbach, Sol</v>
      </c>
      <c r="B7212" s="2">
        <f ca="1">IFERROR(__xludf.DUMMYFUNCTION("""COMPUTED_VALUE"""),1)</f>
        <v>1</v>
      </c>
      <c r="C7212" s="7">
        <f ca="1">IFERROR(__xludf.DUMMYFUNCTION("""COMPUTED_VALUE"""),1)</f>
        <v>1</v>
      </c>
      <c r="D7212" s="8">
        <f ca="1">IFERROR(__xludf.DUMMYFUNCTION("""COMPUTED_VALUE"""),5)</f>
        <v>5</v>
      </c>
      <c r="E7212" s="2">
        <f ca="1">IFERROR(__xludf.DUMMYFUNCTION("""COMPUTED_VALUE"""),2)</f>
        <v>2</v>
      </c>
    </row>
    <row r="7213" spans="1:5" ht="13">
      <c r="A7213" s="2" t="str">
        <f ca="1">IFERROR(__xludf.DUMMYFUNCTION("""COMPUTED_VALUE"""),"Schoenberg, Adam")</f>
        <v>Schoenberg, Adam</v>
      </c>
      <c r="B7213" s="3">
        <f ca="1">IFERROR(__xludf.DUMMYFUNCTION("""COMPUTED_VALUE"""),1)</f>
        <v>1</v>
      </c>
      <c r="C7213" s="7">
        <f ca="1">IFERROR(__xludf.DUMMYFUNCTION("""COMPUTED_VALUE"""),1)</f>
        <v>1</v>
      </c>
      <c r="D7213" s="8">
        <f ca="1">IFERROR(__xludf.DUMMYFUNCTION("""COMPUTED_VALUE"""),1)</f>
        <v>1</v>
      </c>
      <c r="E7213" s="2">
        <f ca="1">IFERROR(__xludf.DUMMYFUNCTION("""COMPUTED_VALUE"""),1)</f>
        <v>1</v>
      </c>
    </row>
    <row r="7214" spans="1:5" ht="13">
      <c r="A7214" s="2" t="str">
        <f ca="1">IFERROR(__xludf.DUMMYFUNCTION("""COMPUTED_VALUE"""),"Schoenberg, Arnold")</f>
        <v>Schoenberg, Arnold</v>
      </c>
      <c r="B7214" s="3">
        <f ca="1">IFERROR(__xludf.DUMMYFUNCTION("""COMPUTED_VALUE"""),1)</f>
        <v>1</v>
      </c>
      <c r="C7214" s="7">
        <f ca="1">IFERROR(__xludf.DUMMYFUNCTION("""COMPUTED_VALUE"""),1)</f>
        <v>1</v>
      </c>
      <c r="D7214" s="8">
        <f ca="1">IFERROR(__xludf.DUMMYFUNCTION("""COMPUTED_VALUE"""),5)</f>
        <v>5</v>
      </c>
      <c r="E7214" s="2">
        <f ca="1">IFERROR(__xludf.DUMMYFUNCTION("""COMPUTED_VALUE"""),2)</f>
        <v>2</v>
      </c>
    </row>
    <row r="7215" spans="1:5" ht="13">
      <c r="A7215" s="2" t="str">
        <f ca="1">IFERROR(__xludf.DUMMYFUNCTION("""COMPUTED_VALUE"""),"Schoendorff, Matthew")</f>
        <v>Schoendorff, Matthew</v>
      </c>
      <c r="B7215" s="3">
        <f ca="1">IFERROR(__xludf.DUMMYFUNCTION("""COMPUTED_VALUE"""),1)</f>
        <v>1</v>
      </c>
      <c r="C7215" s="7">
        <f ca="1">IFERROR(__xludf.DUMMYFUNCTION("""COMPUTED_VALUE"""),1)</f>
        <v>1</v>
      </c>
      <c r="D7215" s="8">
        <f ca="1">IFERROR(__xludf.DUMMYFUNCTION("""COMPUTED_VALUE"""),1)</f>
        <v>1</v>
      </c>
      <c r="E7215" s="2">
        <f ca="1">IFERROR(__xludf.DUMMYFUNCTION("""COMPUTED_VALUE"""),1)</f>
        <v>1</v>
      </c>
    </row>
    <row r="7216" spans="1:5" ht="13">
      <c r="A7216" s="2" t="str">
        <f ca="1">IFERROR(__xludf.DUMMYFUNCTION("""COMPUTED_VALUE"""),"Schoenfeld, Paul")</f>
        <v>Schoenfeld, Paul</v>
      </c>
      <c r="B7216" s="3">
        <f ca="1">IFERROR(__xludf.DUMMYFUNCTION("""COMPUTED_VALUE"""),1)</f>
        <v>1</v>
      </c>
      <c r="C7216" s="7">
        <f ca="1">IFERROR(__xludf.DUMMYFUNCTION("""COMPUTED_VALUE"""),1)</f>
        <v>1</v>
      </c>
      <c r="D7216" s="8">
        <f ca="1">IFERROR(__xludf.DUMMYFUNCTION("""COMPUTED_VALUE"""),1)</f>
        <v>1</v>
      </c>
      <c r="E7216" s="2">
        <f ca="1">IFERROR(__xludf.DUMMYFUNCTION("""COMPUTED_VALUE"""),1)</f>
        <v>1</v>
      </c>
    </row>
    <row r="7217" spans="1:5" ht="13">
      <c r="A7217" s="2" t="str">
        <f ca="1">IFERROR(__xludf.DUMMYFUNCTION("""COMPUTED_VALUE"""),"Schoenfield, Paul")</f>
        <v>Schoenfield, Paul</v>
      </c>
      <c r="B7217" s="3">
        <f ca="1">IFERROR(__xludf.DUMMYFUNCTION("""COMPUTED_VALUE"""),1)</f>
        <v>1</v>
      </c>
      <c r="C7217" s="7">
        <f ca="1">IFERROR(__xludf.DUMMYFUNCTION("""COMPUTED_VALUE"""),1)</f>
        <v>1</v>
      </c>
      <c r="D7217" s="8">
        <f ca="1">IFERROR(__xludf.DUMMYFUNCTION("""COMPUTED_VALUE"""),1)</f>
        <v>1</v>
      </c>
      <c r="E7217" s="2">
        <f ca="1">IFERROR(__xludf.DUMMYFUNCTION("""COMPUTED_VALUE"""),1)</f>
        <v>1</v>
      </c>
    </row>
    <row r="7218" spans="1:5" ht="13">
      <c r="A7218" s="8" t="str">
        <f ca="1">IFERROR(__xludf.DUMMYFUNCTION("""COMPUTED_VALUE"""),"Schoenherr, Max (Max Schönherr)")</f>
        <v>Schoenherr, Max (Max Schönherr)</v>
      </c>
      <c r="B7218" s="2">
        <f ca="1">IFERROR(__xludf.DUMMYFUNCTION("""COMPUTED_VALUE"""),1)</f>
        <v>1</v>
      </c>
      <c r="C7218" s="7">
        <f ca="1">IFERROR(__xludf.DUMMYFUNCTION("""COMPUTED_VALUE"""),1)</f>
        <v>1</v>
      </c>
      <c r="D7218" s="8">
        <f ca="1">IFERROR(__xludf.DUMMYFUNCTION("""COMPUTED_VALUE"""),5)</f>
        <v>5</v>
      </c>
      <c r="E7218" s="2">
        <f ca="1">IFERROR(__xludf.DUMMYFUNCTION("""COMPUTED_VALUE"""),2)</f>
        <v>2</v>
      </c>
    </row>
    <row r="7219" spans="1:5" ht="13">
      <c r="A7219" s="2" t="str">
        <f ca="1">IFERROR(__xludf.DUMMYFUNCTION("""COMPUTED_VALUE"""),"Scholefield, C.C.")</f>
        <v>Scholefield, C.C.</v>
      </c>
      <c r="B7219" s="3">
        <f ca="1">IFERROR(__xludf.DUMMYFUNCTION("""COMPUTED_VALUE"""),1)</f>
        <v>1</v>
      </c>
      <c r="C7219" s="7">
        <f ca="1">IFERROR(__xludf.DUMMYFUNCTION("""COMPUTED_VALUE"""),1)</f>
        <v>1</v>
      </c>
      <c r="D7219" s="8">
        <f ca="1">IFERROR(__xludf.DUMMYFUNCTION("""COMPUTED_VALUE"""),5)</f>
        <v>5</v>
      </c>
      <c r="E7219" s="2">
        <f ca="1">IFERROR(__xludf.DUMMYFUNCTION("""COMPUTED_VALUE"""),2)</f>
        <v>2</v>
      </c>
    </row>
    <row r="7220" spans="1:5" ht="13">
      <c r="A7220" s="8" t="str">
        <f ca="1">IFERROR(__xludf.DUMMYFUNCTION("""COMPUTED_VALUE"""),"Scholz, Robert")</f>
        <v>Scholz, Robert</v>
      </c>
      <c r="B7220" s="3">
        <f ca="1">IFERROR(__xludf.DUMMYFUNCTION("""COMPUTED_VALUE"""),1)</f>
        <v>1</v>
      </c>
      <c r="C7220" s="7">
        <f ca="1">IFERROR(__xludf.DUMMYFUNCTION("""COMPUTED_VALUE"""),1)</f>
        <v>1</v>
      </c>
      <c r="D7220" s="8">
        <f ca="1">IFERROR(__xludf.DUMMYFUNCTION("""COMPUTED_VALUE"""),5)</f>
        <v>5</v>
      </c>
      <c r="E7220" s="2">
        <f ca="1">IFERROR(__xludf.DUMMYFUNCTION("""COMPUTED_VALUE"""),2)</f>
        <v>2</v>
      </c>
    </row>
    <row r="7221" spans="1:5" ht="13">
      <c r="A7221" s="2" t="str">
        <f ca="1">IFERROR(__xludf.DUMMYFUNCTION("""COMPUTED_VALUE"""),"Schönberg, Claude-Michel")</f>
        <v>Schönberg, Claude-Michel</v>
      </c>
      <c r="B7221" s="3">
        <f ca="1">IFERROR(__xludf.DUMMYFUNCTION("""COMPUTED_VALUE"""),1)</f>
        <v>1</v>
      </c>
      <c r="C7221" s="7">
        <f ca="1">IFERROR(__xludf.DUMMYFUNCTION("""COMPUTED_VALUE"""),1)</f>
        <v>1</v>
      </c>
      <c r="D7221" s="8">
        <f ca="1">IFERROR(__xludf.DUMMYFUNCTION("""COMPUTED_VALUE"""),1)</f>
        <v>1</v>
      </c>
      <c r="E7221" s="2">
        <f ca="1">IFERROR(__xludf.DUMMYFUNCTION("""COMPUTED_VALUE"""),1)</f>
        <v>1</v>
      </c>
    </row>
    <row r="7222" spans="1:5" ht="13">
      <c r="A7222" s="2" t="str">
        <f ca="1">IFERROR(__xludf.DUMMYFUNCTION("""COMPUTED_VALUE"""),"Schönberg, Claude-Michel / Kretzmer, Herbert")</f>
        <v>Schönberg, Claude-Michel / Kretzmer, Herbert</v>
      </c>
      <c r="B7222" s="3">
        <f ca="1">IFERROR(__xludf.DUMMYFUNCTION("""COMPUTED_VALUE"""),1)</f>
        <v>1</v>
      </c>
      <c r="C7222" s="7">
        <f ca="1">IFERROR(__xludf.DUMMYFUNCTION("""COMPUTED_VALUE"""),1)</f>
        <v>1</v>
      </c>
      <c r="D7222" s="8">
        <f ca="1">IFERROR(__xludf.DUMMYFUNCTION("""COMPUTED_VALUE"""),1)</f>
        <v>1</v>
      </c>
      <c r="E7222" s="2">
        <f ca="1">IFERROR(__xludf.DUMMYFUNCTION("""COMPUTED_VALUE"""),1)</f>
        <v>1</v>
      </c>
    </row>
    <row r="7223" spans="1:5" ht="13">
      <c r="A7223" s="2" t="str">
        <f ca="1">IFERROR(__xludf.DUMMYFUNCTION("""COMPUTED_VALUE"""),"Schonig, Jared")</f>
        <v>Schonig, Jared</v>
      </c>
      <c r="B7223" s="2">
        <f ca="1">IFERROR(__xludf.DUMMYFUNCTION("""COMPUTED_VALUE"""),1)</f>
        <v>1</v>
      </c>
      <c r="C7223" s="7">
        <f ca="1">IFERROR(__xludf.DUMMYFUNCTION("""COMPUTED_VALUE"""),1)</f>
        <v>1</v>
      </c>
      <c r="D7223" s="8">
        <f ca="1">IFERROR(__xludf.DUMMYFUNCTION("""COMPUTED_VALUE"""),1)</f>
        <v>1</v>
      </c>
      <c r="E7223" s="2">
        <f ca="1">IFERROR(__xludf.DUMMYFUNCTION("""COMPUTED_VALUE"""),1)</f>
        <v>1</v>
      </c>
    </row>
    <row r="7224" spans="1:5" ht="13">
      <c r="A7224" s="2" t="str">
        <f ca="1">IFERROR(__xludf.DUMMYFUNCTION("""COMPUTED_VALUE"""),"Schop, Johann")</f>
        <v>Schop, Johann</v>
      </c>
      <c r="B7224" s="3">
        <f ca="1">IFERROR(__xludf.DUMMYFUNCTION("""COMPUTED_VALUE"""),1)</f>
        <v>1</v>
      </c>
      <c r="C7224" s="7">
        <f ca="1">IFERROR(__xludf.DUMMYFUNCTION("""COMPUTED_VALUE"""),1)</f>
        <v>1</v>
      </c>
      <c r="D7224" s="8">
        <f ca="1">IFERROR(__xludf.DUMMYFUNCTION("""COMPUTED_VALUE"""),5)</f>
        <v>5</v>
      </c>
      <c r="E7224" s="2">
        <f ca="1">IFERROR(__xludf.DUMMYFUNCTION("""COMPUTED_VALUE"""),2)</f>
        <v>2</v>
      </c>
    </row>
    <row r="7225" spans="1:5" ht="13">
      <c r="A7225" s="2" t="str">
        <f ca="1">IFERROR(__xludf.DUMMYFUNCTION("""COMPUTED_VALUE"""),"Schorr, David")</f>
        <v>Schorr, David</v>
      </c>
      <c r="B7225" s="3">
        <f ca="1">IFERROR(__xludf.DUMMYFUNCTION("""COMPUTED_VALUE"""),1)</f>
        <v>1</v>
      </c>
      <c r="C7225" s="7">
        <f ca="1">IFERROR(__xludf.DUMMYFUNCTION("""COMPUTED_VALUE"""),1)</f>
        <v>1</v>
      </c>
      <c r="D7225" s="8">
        <f ca="1">IFERROR(__xludf.DUMMYFUNCTION("""COMPUTED_VALUE"""),5)</f>
        <v>5</v>
      </c>
      <c r="E7225" s="2">
        <f ca="1">IFERROR(__xludf.DUMMYFUNCTION("""COMPUTED_VALUE"""),2)</f>
        <v>2</v>
      </c>
    </row>
    <row r="7226" spans="1:5" ht="13">
      <c r="A7226" s="2" t="str">
        <f ca="1">IFERROR(__xludf.DUMMYFUNCTION("""COMPUTED_VALUE"""),"Schrader, Jack")</f>
        <v>Schrader, Jack</v>
      </c>
      <c r="B7226" s="3">
        <f ca="1">IFERROR(__xludf.DUMMYFUNCTION("""COMPUTED_VALUE"""),1)</f>
        <v>1</v>
      </c>
      <c r="C7226" s="7">
        <f ca="1">IFERROR(__xludf.DUMMYFUNCTION("""COMPUTED_VALUE"""),1)</f>
        <v>1</v>
      </c>
      <c r="D7226" s="8">
        <f ca="1">IFERROR(__xludf.DUMMYFUNCTION("""COMPUTED_VALUE"""),1)</f>
        <v>1</v>
      </c>
      <c r="E7226" s="2">
        <f ca="1">IFERROR(__xludf.DUMMYFUNCTION("""COMPUTED_VALUE"""),1)</f>
        <v>1</v>
      </c>
    </row>
    <row r="7227" spans="1:5" ht="13">
      <c r="A7227" s="8" t="str">
        <f ca="1">IFERROR(__xludf.DUMMYFUNCTION("""COMPUTED_VALUE"""),"Schramm, Harold")</f>
        <v>Schramm, Harold</v>
      </c>
      <c r="B7227" s="3">
        <f ca="1">IFERROR(__xludf.DUMMYFUNCTION("""COMPUTED_VALUE"""),1)</f>
        <v>1</v>
      </c>
      <c r="C7227" s="7">
        <f ca="1">IFERROR(__xludf.DUMMYFUNCTION("""COMPUTED_VALUE"""),1)</f>
        <v>1</v>
      </c>
      <c r="D7227" s="8">
        <f ca="1">IFERROR(__xludf.DUMMYFUNCTION("""COMPUTED_VALUE"""),5)</f>
        <v>5</v>
      </c>
      <c r="E7227" s="2">
        <f ca="1">IFERROR(__xludf.DUMMYFUNCTION("""COMPUTED_VALUE"""),2)</f>
        <v>2</v>
      </c>
    </row>
    <row r="7228" spans="1:5" ht="13">
      <c r="A7228" s="2" t="str">
        <f ca="1">IFERROR(__xludf.DUMMYFUNCTION("""COMPUTED_VALUE"""),"Schrammel, Johann")</f>
        <v>Schrammel, Johann</v>
      </c>
      <c r="B7228" s="3">
        <f ca="1">IFERROR(__xludf.DUMMYFUNCTION("""COMPUTED_VALUE"""),1)</f>
        <v>1</v>
      </c>
      <c r="C7228" s="7">
        <f ca="1">IFERROR(__xludf.DUMMYFUNCTION("""COMPUTED_VALUE"""),1)</f>
        <v>1</v>
      </c>
      <c r="D7228" s="8">
        <f ca="1">IFERROR(__xludf.DUMMYFUNCTION("""COMPUTED_VALUE"""),5)</f>
        <v>5</v>
      </c>
      <c r="E7228" s="2">
        <f ca="1">IFERROR(__xludf.DUMMYFUNCTION("""COMPUTED_VALUE"""),2)</f>
        <v>2</v>
      </c>
    </row>
    <row r="7229" spans="1:5" ht="13">
      <c r="A7229" s="2" t="str">
        <f ca="1">IFERROR(__xludf.DUMMYFUNCTION("""COMPUTED_VALUE"""),"Schreck, Gustav")</f>
        <v>Schreck, Gustav</v>
      </c>
      <c r="B7229" s="3">
        <f ca="1">IFERROR(__xludf.DUMMYFUNCTION("""COMPUTED_VALUE"""),1)</f>
        <v>1</v>
      </c>
      <c r="C7229" s="7">
        <f ca="1">IFERROR(__xludf.DUMMYFUNCTION("""COMPUTED_VALUE"""),1)</f>
        <v>1</v>
      </c>
      <c r="D7229" s="8">
        <f ca="1">IFERROR(__xludf.DUMMYFUNCTION("""COMPUTED_VALUE"""),1)</f>
        <v>1</v>
      </c>
      <c r="E7229" s="2">
        <f ca="1">IFERROR(__xludf.DUMMYFUNCTION("""COMPUTED_VALUE"""),1)</f>
        <v>1</v>
      </c>
    </row>
    <row r="7230" spans="1:5" ht="13">
      <c r="A7230" s="2" t="str">
        <f ca="1">IFERROR(__xludf.DUMMYFUNCTION("""COMPUTED_VALUE"""),"Schrein, Colin")</f>
        <v>Schrein, Colin</v>
      </c>
      <c r="B7230" s="2">
        <f ca="1">IFERROR(__xludf.DUMMYFUNCTION("""COMPUTED_VALUE"""),1)</f>
        <v>1</v>
      </c>
      <c r="C7230" s="2">
        <f ca="1">IFERROR(__xludf.DUMMYFUNCTION("""COMPUTED_VALUE"""),1)</f>
        <v>1</v>
      </c>
      <c r="D7230" s="8">
        <f ca="1">IFERROR(__xludf.DUMMYFUNCTION("""COMPUTED_VALUE"""),1)</f>
        <v>1</v>
      </c>
      <c r="E7230" s="2">
        <f ca="1">IFERROR(__xludf.DUMMYFUNCTION("""COMPUTED_VALUE"""),1)</f>
        <v>1</v>
      </c>
    </row>
    <row r="7231" spans="1:5" ht="13">
      <c r="A7231" s="8" t="str">
        <f ca="1">IFERROR(__xludf.DUMMYFUNCTION("""COMPUTED_VALUE"""),"Schreiner, Adolph")</f>
        <v>Schreiner, Adolph</v>
      </c>
      <c r="B7231" s="3">
        <f ca="1">IFERROR(__xludf.DUMMYFUNCTION("""COMPUTED_VALUE"""),1)</f>
        <v>1</v>
      </c>
      <c r="C7231" s="7">
        <f ca="1">IFERROR(__xludf.DUMMYFUNCTION("""COMPUTED_VALUE"""),1)</f>
        <v>1</v>
      </c>
      <c r="D7231" s="8">
        <f ca="1">IFERROR(__xludf.DUMMYFUNCTION("""COMPUTED_VALUE"""),5)</f>
        <v>5</v>
      </c>
      <c r="E7231" s="2">
        <f ca="1">IFERROR(__xludf.DUMMYFUNCTION("""COMPUTED_VALUE"""),2)</f>
        <v>2</v>
      </c>
    </row>
    <row r="7232" spans="1:5" ht="13">
      <c r="A7232" s="2" t="str">
        <f ca="1">IFERROR(__xludf.DUMMYFUNCTION("""COMPUTED_VALUE"""),"Schreiner, Daniel")</f>
        <v>Schreiner, Daniel</v>
      </c>
      <c r="B7232" s="2">
        <f ca="1">IFERROR(__xludf.DUMMYFUNCTION("""COMPUTED_VALUE"""),1)</f>
        <v>1</v>
      </c>
      <c r="C7232" s="7">
        <f ca="1">IFERROR(__xludf.DUMMYFUNCTION("""COMPUTED_VALUE"""),1)</f>
        <v>1</v>
      </c>
      <c r="D7232" s="8">
        <f ca="1">IFERROR(__xludf.DUMMYFUNCTION("""COMPUTED_VALUE"""),1)</f>
        <v>1</v>
      </c>
      <c r="E7232" s="2">
        <f ca="1">IFERROR(__xludf.DUMMYFUNCTION("""COMPUTED_VALUE"""),1)</f>
        <v>1</v>
      </c>
    </row>
    <row r="7233" spans="1:5" ht="13">
      <c r="A7233" s="2" t="str">
        <f ca="1">IFERROR(__xludf.DUMMYFUNCTION("""COMPUTED_VALUE"""),"Schreker, Franz")</f>
        <v>Schreker, Franz</v>
      </c>
      <c r="B7233" s="3">
        <f ca="1">IFERROR(__xludf.DUMMYFUNCTION("""COMPUTED_VALUE"""),1)</f>
        <v>1</v>
      </c>
      <c r="C7233" s="7">
        <f ca="1">IFERROR(__xludf.DUMMYFUNCTION("""COMPUTED_VALUE"""),1)</f>
        <v>1</v>
      </c>
      <c r="D7233" s="8">
        <f ca="1">IFERROR(__xludf.DUMMYFUNCTION("""COMPUTED_VALUE"""),5)</f>
        <v>5</v>
      </c>
      <c r="E7233" s="2">
        <f ca="1">IFERROR(__xludf.DUMMYFUNCTION("""COMPUTED_VALUE"""),2)</f>
        <v>2</v>
      </c>
    </row>
    <row r="7234" spans="1:5" ht="13">
      <c r="A7234" s="8" t="str">
        <f ca="1">IFERROR(__xludf.DUMMYFUNCTION("""COMPUTED_VALUE"""),"Schroeder, Felix")</f>
        <v>Schroeder, Felix</v>
      </c>
      <c r="B7234" s="3">
        <f ca="1">IFERROR(__xludf.DUMMYFUNCTION("""COMPUTED_VALUE"""),1)</f>
        <v>1</v>
      </c>
      <c r="C7234" s="7">
        <f ca="1">IFERROR(__xludf.DUMMYFUNCTION("""COMPUTED_VALUE"""),1)</f>
        <v>1</v>
      </c>
      <c r="D7234" s="8">
        <f ca="1">IFERROR(__xludf.DUMMYFUNCTION("""COMPUTED_VALUE"""),5)</f>
        <v>5</v>
      </c>
      <c r="E7234" s="2">
        <f ca="1">IFERROR(__xludf.DUMMYFUNCTION("""COMPUTED_VALUE"""),2)</f>
        <v>2</v>
      </c>
    </row>
    <row r="7235" spans="1:5" ht="13">
      <c r="A7235" s="2" t="str">
        <f ca="1">IFERROR(__xludf.DUMMYFUNCTION("""COMPUTED_VALUE"""),"Schroeder, Hermann")</f>
        <v>Schroeder, Hermann</v>
      </c>
      <c r="B7235" s="2">
        <f ca="1">IFERROR(__xludf.DUMMYFUNCTION("""COMPUTED_VALUE"""),1)</f>
        <v>1</v>
      </c>
      <c r="C7235" s="7">
        <f ca="1">IFERROR(__xludf.DUMMYFUNCTION("""COMPUTED_VALUE"""),1)</f>
        <v>1</v>
      </c>
      <c r="D7235" s="8">
        <f ca="1">IFERROR(__xludf.DUMMYFUNCTION("""COMPUTED_VALUE"""),1)</f>
        <v>1</v>
      </c>
      <c r="E7235" s="2">
        <f ca="1">IFERROR(__xludf.DUMMYFUNCTION("""COMPUTED_VALUE"""),1)</f>
        <v>1</v>
      </c>
    </row>
    <row r="7236" spans="1:5" ht="13">
      <c r="A7236" s="2" t="str">
        <f ca="1">IFERROR(__xludf.DUMMYFUNCTION("""COMPUTED_VALUE"""),"Schroter, Leonhard")</f>
        <v>Schroter, Leonhard</v>
      </c>
      <c r="B7236" s="3">
        <f ca="1">IFERROR(__xludf.DUMMYFUNCTION("""COMPUTED_VALUE"""),1)</f>
        <v>1</v>
      </c>
      <c r="C7236" s="7">
        <f ca="1">IFERROR(__xludf.DUMMYFUNCTION("""COMPUTED_VALUE"""),1)</f>
        <v>1</v>
      </c>
      <c r="D7236" s="8">
        <f ca="1">IFERROR(__xludf.DUMMYFUNCTION("""COMPUTED_VALUE"""),5)</f>
        <v>5</v>
      </c>
      <c r="E7236" s="2">
        <f ca="1">IFERROR(__xludf.DUMMYFUNCTION("""COMPUTED_VALUE"""),2)</f>
        <v>2</v>
      </c>
    </row>
    <row r="7237" spans="1:5" ht="13">
      <c r="A7237" s="2" t="str">
        <f ca="1">IFERROR(__xludf.DUMMYFUNCTION("""COMPUTED_VALUE"""),"Schroth, Gerhard")</f>
        <v>Schroth, Gerhard</v>
      </c>
      <c r="B7237" s="3">
        <f ca="1">IFERROR(__xludf.DUMMYFUNCTION("""COMPUTED_VALUE"""),1)</f>
        <v>1</v>
      </c>
      <c r="C7237" s="7">
        <f ca="1">IFERROR(__xludf.DUMMYFUNCTION("""COMPUTED_VALUE"""),1)</f>
        <v>1</v>
      </c>
      <c r="D7237" s="8">
        <f ca="1">IFERROR(__xludf.DUMMYFUNCTION("""COMPUTED_VALUE"""),5)</f>
        <v>5</v>
      </c>
      <c r="E7237" s="2">
        <f ca="1">IFERROR(__xludf.DUMMYFUNCTION("""COMPUTED_VALUE"""),2)</f>
        <v>2</v>
      </c>
    </row>
    <row r="7238" spans="1:5" ht="13">
      <c r="A7238" s="2" t="str">
        <f ca="1">IFERROR(__xludf.DUMMYFUNCTION("""COMPUTED_VALUE"""),"Schubert, Franz")</f>
        <v>Schubert, Franz</v>
      </c>
      <c r="B7238" s="3">
        <f ca="1">IFERROR(__xludf.DUMMYFUNCTION("""COMPUTED_VALUE"""),1)</f>
        <v>1</v>
      </c>
      <c r="C7238" s="7">
        <f ca="1">IFERROR(__xludf.DUMMYFUNCTION("""COMPUTED_VALUE"""),1)</f>
        <v>1</v>
      </c>
      <c r="D7238" s="8">
        <f ca="1">IFERROR(__xludf.DUMMYFUNCTION("""COMPUTED_VALUE"""),5)</f>
        <v>5</v>
      </c>
      <c r="E7238" s="2">
        <f ca="1">IFERROR(__xludf.DUMMYFUNCTION("""COMPUTED_VALUE"""),2)</f>
        <v>2</v>
      </c>
    </row>
    <row r="7239" spans="1:5" ht="13">
      <c r="A7239" s="2" t="str">
        <f ca="1">IFERROR(__xludf.DUMMYFUNCTION("""COMPUTED_VALUE"""),"Schubert, Franz / Coldiron")</f>
        <v>Schubert, Franz / Coldiron</v>
      </c>
      <c r="B7239" s="3">
        <f ca="1">IFERROR(__xludf.DUMMYFUNCTION("""COMPUTED_VALUE"""),1)</f>
        <v>1</v>
      </c>
      <c r="C7239" s="7">
        <f ca="1">IFERROR(__xludf.DUMMYFUNCTION("""COMPUTED_VALUE"""),1)</f>
        <v>1</v>
      </c>
      <c r="D7239" s="8">
        <f ca="1">IFERROR(__xludf.DUMMYFUNCTION("""COMPUTED_VALUE"""),5)</f>
        <v>5</v>
      </c>
      <c r="E7239" s="2">
        <f ca="1">IFERROR(__xludf.DUMMYFUNCTION("""COMPUTED_VALUE"""),2)</f>
        <v>2</v>
      </c>
    </row>
    <row r="7240" spans="1:5" ht="13">
      <c r="A7240" s="2" t="str">
        <f ca="1">IFERROR(__xludf.DUMMYFUNCTION("""COMPUTED_VALUE"""),"Schubert, Marty")</f>
        <v>Schubert, Marty</v>
      </c>
      <c r="B7240" s="2">
        <f ca="1">IFERROR(__xludf.DUMMYFUNCTION("""COMPUTED_VALUE"""),1)</f>
        <v>1</v>
      </c>
      <c r="C7240" s="7">
        <f ca="1">IFERROR(__xludf.DUMMYFUNCTION("""COMPUTED_VALUE"""),1)</f>
        <v>1</v>
      </c>
      <c r="D7240" s="8">
        <f ca="1">IFERROR(__xludf.DUMMYFUNCTION("""COMPUTED_VALUE"""),5)</f>
        <v>5</v>
      </c>
      <c r="E7240" s="2">
        <f ca="1">IFERROR(__xludf.DUMMYFUNCTION("""COMPUTED_VALUE"""),2)</f>
        <v>2</v>
      </c>
    </row>
    <row r="7241" spans="1:5" ht="13">
      <c r="A7241" s="2" t="str">
        <f ca="1">IFERROR(__xludf.DUMMYFUNCTION("""COMPUTED_VALUE"""),"Schuessler, Philip")</f>
        <v>Schuessler, Philip</v>
      </c>
      <c r="B7241" s="3">
        <f ca="1">IFERROR(__xludf.DUMMYFUNCTION("""COMPUTED_VALUE"""),1)</f>
        <v>1</v>
      </c>
      <c r="C7241" s="7">
        <f ca="1">IFERROR(__xludf.DUMMYFUNCTION("""COMPUTED_VALUE"""),1)</f>
        <v>1</v>
      </c>
      <c r="D7241" s="8">
        <f ca="1">IFERROR(__xludf.DUMMYFUNCTION("""COMPUTED_VALUE"""),1)</f>
        <v>1</v>
      </c>
      <c r="E7241" s="2">
        <f ca="1">IFERROR(__xludf.DUMMYFUNCTION("""COMPUTED_VALUE"""),1)</f>
        <v>1</v>
      </c>
    </row>
    <row r="7242" spans="1:5" ht="13">
      <c r="A7242" s="2" t="str">
        <f ca="1">IFERROR(__xludf.DUMMYFUNCTION("""COMPUTED_VALUE"""),"Schuetky, Johann")</f>
        <v>Schuetky, Johann</v>
      </c>
      <c r="B7242" s="3">
        <f ca="1">IFERROR(__xludf.DUMMYFUNCTION("""COMPUTED_VALUE"""),1)</f>
        <v>1</v>
      </c>
      <c r="C7242" s="7">
        <f ca="1">IFERROR(__xludf.DUMMYFUNCTION("""COMPUTED_VALUE"""),1)</f>
        <v>1</v>
      </c>
      <c r="D7242" s="8">
        <f ca="1">IFERROR(__xludf.DUMMYFUNCTION("""COMPUTED_VALUE"""),5)</f>
        <v>5</v>
      </c>
      <c r="E7242" s="2">
        <f ca="1">IFERROR(__xludf.DUMMYFUNCTION("""COMPUTED_VALUE"""),2)</f>
        <v>2</v>
      </c>
    </row>
    <row r="7243" spans="1:5" ht="13">
      <c r="A7243" s="2" t="str">
        <f ca="1">IFERROR(__xludf.DUMMYFUNCTION("""COMPUTED_VALUE"""),"Schuetz, Heinrich")</f>
        <v>Schuetz, Heinrich</v>
      </c>
      <c r="B7243" s="3">
        <f ca="1">IFERROR(__xludf.DUMMYFUNCTION("""COMPUTED_VALUE"""),1)</f>
        <v>1</v>
      </c>
      <c r="C7243" s="7">
        <f ca="1">IFERROR(__xludf.DUMMYFUNCTION("""COMPUTED_VALUE"""),1)</f>
        <v>1</v>
      </c>
      <c r="D7243" s="8">
        <f ca="1">IFERROR(__xludf.DUMMYFUNCTION("""COMPUTED_VALUE"""),5)</f>
        <v>5</v>
      </c>
      <c r="E7243" s="2">
        <f ca="1">IFERROR(__xludf.DUMMYFUNCTION("""COMPUTED_VALUE"""),2)</f>
        <v>2</v>
      </c>
    </row>
    <row r="7244" spans="1:5" ht="13">
      <c r="A7244" s="2" t="str">
        <f ca="1">IFERROR(__xludf.DUMMYFUNCTION("""COMPUTED_VALUE"""),"Schulhoff, Erwin")</f>
        <v>Schulhoff, Erwin</v>
      </c>
      <c r="B7244" s="3">
        <f ca="1">IFERROR(__xludf.DUMMYFUNCTION("""COMPUTED_VALUE"""),1)</f>
        <v>1</v>
      </c>
      <c r="C7244" s="7">
        <f ca="1">IFERROR(__xludf.DUMMYFUNCTION("""COMPUTED_VALUE"""),1)</f>
        <v>1</v>
      </c>
      <c r="D7244" s="8">
        <f ca="1">IFERROR(__xludf.DUMMYFUNCTION("""COMPUTED_VALUE"""),5)</f>
        <v>5</v>
      </c>
      <c r="E7244" s="2">
        <f ca="1">IFERROR(__xludf.DUMMYFUNCTION("""COMPUTED_VALUE"""),2)</f>
        <v>2</v>
      </c>
    </row>
    <row r="7245" spans="1:5" ht="13">
      <c r="A7245" s="2" t="str">
        <f ca="1">IFERROR(__xludf.DUMMYFUNCTION("""COMPUTED_VALUE"""),"Schuller, Gunther")</f>
        <v>Schuller, Gunther</v>
      </c>
      <c r="B7245" s="3">
        <f ca="1">IFERROR(__xludf.DUMMYFUNCTION("""COMPUTED_VALUE"""),1)</f>
        <v>1</v>
      </c>
      <c r="C7245" s="7">
        <f ca="1">IFERROR(__xludf.DUMMYFUNCTION("""COMPUTED_VALUE"""),1)</f>
        <v>1</v>
      </c>
      <c r="D7245" s="8">
        <f ca="1">IFERROR(__xludf.DUMMYFUNCTION("""COMPUTED_VALUE"""),5)</f>
        <v>5</v>
      </c>
      <c r="E7245" s="2">
        <f ca="1">IFERROR(__xludf.DUMMYFUNCTION("""COMPUTED_VALUE"""),2)</f>
        <v>2</v>
      </c>
    </row>
    <row r="7246" spans="1:5" ht="13">
      <c r="A7246" s="2" t="str">
        <f ca="1">IFERROR(__xludf.DUMMYFUNCTION("""COMPUTED_VALUE"""),"Schultz, Larry")</f>
        <v>Schultz, Larry</v>
      </c>
      <c r="B7246" s="3">
        <f ca="1">IFERROR(__xludf.DUMMYFUNCTION("""COMPUTED_VALUE"""),1)</f>
        <v>1</v>
      </c>
      <c r="C7246" s="7">
        <f ca="1">IFERROR(__xludf.DUMMYFUNCTION("""COMPUTED_VALUE"""),1)</f>
        <v>1</v>
      </c>
      <c r="D7246" s="8">
        <f ca="1">IFERROR(__xludf.DUMMYFUNCTION("""COMPUTED_VALUE"""),1)</f>
        <v>1</v>
      </c>
      <c r="E7246" s="2">
        <f ca="1">IFERROR(__xludf.DUMMYFUNCTION("""COMPUTED_VALUE"""),1)</f>
        <v>1</v>
      </c>
    </row>
    <row r="7247" spans="1:5" ht="13">
      <c r="A7247" s="2" t="str">
        <f ca="1">IFERROR(__xludf.DUMMYFUNCTION("""COMPUTED_VALUE"""),"Schultz, Robert")</f>
        <v>Schultz, Robert</v>
      </c>
      <c r="B7247" s="3">
        <f ca="1">IFERROR(__xludf.DUMMYFUNCTION("""COMPUTED_VALUE"""),1)</f>
        <v>1</v>
      </c>
      <c r="C7247" s="7">
        <f ca="1">IFERROR(__xludf.DUMMYFUNCTION("""COMPUTED_VALUE"""),1)</f>
        <v>1</v>
      </c>
      <c r="D7247" s="8">
        <f ca="1">IFERROR(__xludf.DUMMYFUNCTION("""COMPUTED_VALUE"""),1)</f>
        <v>1</v>
      </c>
      <c r="E7247" s="2">
        <f ca="1">IFERROR(__xludf.DUMMYFUNCTION("""COMPUTED_VALUE"""),1)</f>
        <v>1</v>
      </c>
    </row>
    <row r="7248" spans="1:5" ht="13">
      <c r="A7248" s="2" t="str">
        <f ca="1">IFERROR(__xludf.DUMMYFUNCTION("""COMPUTED_VALUE"""),"Schulz, Johann")</f>
        <v>Schulz, Johann</v>
      </c>
      <c r="B7248" s="3">
        <f ca="1">IFERROR(__xludf.DUMMYFUNCTION("""COMPUTED_VALUE"""),1)</f>
        <v>1</v>
      </c>
      <c r="C7248" s="7">
        <f ca="1">IFERROR(__xludf.DUMMYFUNCTION("""COMPUTED_VALUE"""),1)</f>
        <v>1</v>
      </c>
      <c r="D7248" s="8">
        <f ca="1">IFERROR(__xludf.DUMMYFUNCTION("""COMPUTED_VALUE"""),5)</f>
        <v>5</v>
      </c>
      <c r="E7248" s="2">
        <f ca="1">IFERROR(__xludf.DUMMYFUNCTION("""COMPUTED_VALUE"""),2)</f>
        <v>2</v>
      </c>
    </row>
    <row r="7249" spans="1:5" ht="13">
      <c r="A7249" s="2" t="str">
        <f ca="1">IFERROR(__xludf.DUMMYFUNCTION("""COMPUTED_VALUE"""),"Schulz, Patrick")</f>
        <v>Schulz, Patrick</v>
      </c>
      <c r="B7249" s="3">
        <f ca="1">IFERROR(__xludf.DUMMYFUNCTION("""COMPUTED_VALUE"""),1)</f>
        <v>1</v>
      </c>
      <c r="C7249" s="7">
        <f ca="1">IFERROR(__xludf.DUMMYFUNCTION("""COMPUTED_VALUE"""),1)</f>
        <v>1</v>
      </c>
      <c r="D7249" s="8">
        <f ca="1">IFERROR(__xludf.DUMMYFUNCTION("""COMPUTED_VALUE"""),1)</f>
        <v>1</v>
      </c>
      <c r="E7249" s="2">
        <f ca="1">IFERROR(__xludf.DUMMYFUNCTION("""COMPUTED_VALUE"""),1)</f>
        <v>1</v>
      </c>
    </row>
    <row r="7250" spans="1:5" ht="13">
      <c r="A7250" s="2" t="str">
        <f ca="1">IFERROR(__xludf.DUMMYFUNCTION("""COMPUTED_VALUE"""),"Schulze, Dustin")</f>
        <v>Schulze, Dustin</v>
      </c>
      <c r="B7250" s="2">
        <f ca="1">IFERROR(__xludf.DUMMYFUNCTION("""COMPUTED_VALUE"""),1)</f>
        <v>1</v>
      </c>
      <c r="C7250" s="7">
        <f ca="1">IFERROR(__xludf.DUMMYFUNCTION("""COMPUTED_VALUE"""),1)</f>
        <v>1</v>
      </c>
      <c r="D7250" s="8">
        <f ca="1">IFERROR(__xludf.DUMMYFUNCTION("""COMPUTED_VALUE"""),1)</f>
        <v>1</v>
      </c>
      <c r="E7250" s="2">
        <f ca="1">IFERROR(__xludf.DUMMYFUNCTION("""COMPUTED_VALUE"""),1)</f>
        <v>1</v>
      </c>
    </row>
    <row r="7251" spans="1:5" ht="13">
      <c r="A7251" s="2" t="str">
        <f ca="1">IFERROR(__xludf.DUMMYFUNCTION("""COMPUTED_VALUE"""),"Schumacker, Alec")</f>
        <v>Schumacker, Alec</v>
      </c>
      <c r="B7251" s="3">
        <f ca="1">IFERROR(__xludf.DUMMYFUNCTION("""COMPUTED_VALUE"""),1)</f>
        <v>1</v>
      </c>
      <c r="C7251" s="7">
        <f ca="1">IFERROR(__xludf.DUMMYFUNCTION("""COMPUTED_VALUE"""),1)</f>
        <v>1</v>
      </c>
      <c r="D7251" s="8">
        <f ca="1">IFERROR(__xludf.DUMMYFUNCTION("""COMPUTED_VALUE"""),1)</f>
        <v>1</v>
      </c>
      <c r="E7251" s="2">
        <f ca="1">IFERROR(__xludf.DUMMYFUNCTION("""COMPUTED_VALUE"""),1)</f>
        <v>1</v>
      </c>
    </row>
    <row r="7252" spans="1:5" ht="13">
      <c r="A7252" s="2" t="str">
        <f ca="1">IFERROR(__xludf.DUMMYFUNCTION("""COMPUTED_VALUE"""),"Schuman, Mort / Pomus, Doc")</f>
        <v>Schuman, Mort / Pomus, Doc</v>
      </c>
      <c r="B7252" s="3">
        <f ca="1">IFERROR(__xludf.DUMMYFUNCTION("""COMPUTED_VALUE"""),1)</f>
        <v>1</v>
      </c>
      <c r="C7252" s="7">
        <f ca="1">IFERROR(__xludf.DUMMYFUNCTION("""COMPUTED_VALUE"""),1)</f>
        <v>1</v>
      </c>
      <c r="D7252" s="8">
        <f ca="1">IFERROR(__xludf.DUMMYFUNCTION("""COMPUTED_VALUE"""),5)</f>
        <v>5</v>
      </c>
      <c r="E7252" s="2">
        <f ca="1">IFERROR(__xludf.DUMMYFUNCTION("""COMPUTED_VALUE"""),2)</f>
        <v>2</v>
      </c>
    </row>
    <row r="7253" spans="1:5" ht="13">
      <c r="A7253" s="2" t="str">
        <f ca="1">IFERROR(__xludf.DUMMYFUNCTION("""COMPUTED_VALUE"""),"Schuman, William")</f>
        <v>Schuman, William</v>
      </c>
      <c r="B7253" s="3">
        <f ca="1">IFERROR(__xludf.DUMMYFUNCTION("""COMPUTED_VALUE"""),1)</f>
        <v>1</v>
      </c>
      <c r="C7253" s="7">
        <f ca="1">IFERROR(__xludf.DUMMYFUNCTION("""COMPUTED_VALUE"""),1)</f>
        <v>1</v>
      </c>
      <c r="D7253" s="8">
        <f ca="1">IFERROR(__xludf.DUMMYFUNCTION("""COMPUTED_VALUE"""),5)</f>
        <v>5</v>
      </c>
      <c r="E7253" s="2">
        <f ca="1">IFERROR(__xludf.DUMMYFUNCTION("""COMPUTED_VALUE"""),2)</f>
        <v>2</v>
      </c>
    </row>
    <row r="7254" spans="1:5" ht="13">
      <c r="A7254" s="2" t="str">
        <f ca="1">IFERROR(__xludf.DUMMYFUNCTION("""COMPUTED_VALUE"""),"Schuman, William / Rhoads, William E.")</f>
        <v>Schuman, William / Rhoads, William E.</v>
      </c>
      <c r="B7254" s="3">
        <f ca="1">IFERROR(__xludf.DUMMYFUNCTION("""COMPUTED_VALUE"""),1)</f>
        <v>1</v>
      </c>
      <c r="C7254" s="7">
        <f ca="1">IFERROR(__xludf.DUMMYFUNCTION("""COMPUTED_VALUE"""),1)</f>
        <v>1</v>
      </c>
      <c r="D7254" s="8">
        <f ca="1">IFERROR(__xludf.DUMMYFUNCTION("""COMPUTED_VALUE"""),5)</f>
        <v>5</v>
      </c>
      <c r="E7254" s="2">
        <f ca="1">IFERROR(__xludf.DUMMYFUNCTION("""COMPUTED_VALUE"""),2)</f>
        <v>2</v>
      </c>
    </row>
    <row r="7255" spans="1:5" ht="13">
      <c r="A7255" s="2" t="str">
        <f ca="1">IFERROR(__xludf.DUMMYFUNCTION("""COMPUTED_VALUE"""),"Schuman, William orch. / Rhodes, William E. trans.")</f>
        <v>Schuman, William orch. / Rhodes, William E. trans.</v>
      </c>
      <c r="B7255" s="2">
        <f ca="1">IFERROR(__xludf.DUMMYFUNCTION("""COMPUTED_VALUE"""),1)</f>
        <v>1</v>
      </c>
      <c r="C7255" s="2">
        <f ca="1">IFERROR(__xludf.DUMMYFUNCTION("""COMPUTED_VALUE"""),1)</f>
        <v>1</v>
      </c>
      <c r="D7255" s="8">
        <f ca="1">IFERROR(__xludf.DUMMYFUNCTION("""COMPUTED_VALUE"""),5)</f>
        <v>5</v>
      </c>
      <c r="E7255" s="2">
        <f ca="1">IFERROR(__xludf.DUMMYFUNCTION("""COMPUTED_VALUE"""),2)</f>
        <v>2</v>
      </c>
    </row>
    <row r="7256" spans="1:5" ht="13">
      <c r="A7256" s="2" t="str">
        <f ca="1">IFERROR(__xludf.DUMMYFUNCTION("""COMPUTED_VALUE"""),"Schumann, Georg")</f>
        <v>Schumann, Georg</v>
      </c>
      <c r="B7256" s="3">
        <f ca="1">IFERROR(__xludf.DUMMYFUNCTION("""COMPUTED_VALUE"""),1)</f>
        <v>1</v>
      </c>
      <c r="C7256" s="7">
        <f ca="1">IFERROR(__xludf.DUMMYFUNCTION("""COMPUTED_VALUE"""),1)</f>
        <v>1</v>
      </c>
      <c r="D7256" s="8">
        <f ca="1">IFERROR(__xludf.DUMMYFUNCTION("""COMPUTED_VALUE"""),5)</f>
        <v>5</v>
      </c>
      <c r="E7256" s="2">
        <f ca="1">IFERROR(__xludf.DUMMYFUNCTION("""COMPUTED_VALUE"""),2)</f>
        <v>2</v>
      </c>
    </row>
    <row r="7257" spans="1:5" ht="13">
      <c r="A7257" s="2" t="str">
        <f ca="1">IFERROR(__xludf.DUMMYFUNCTION("""COMPUTED_VALUE"""),"Schumann, Robert")</f>
        <v>Schumann, Robert</v>
      </c>
      <c r="B7257" s="3">
        <f ca="1">IFERROR(__xludf.DUMMYFUNCTION("""COMPUTED_VALUE"""),1)</f>
        <v>1</v>
      </c>
      <c r="C7257" s="7">
        <f ca="1">IFERROR(__xludf.DUMMYFUNCTION("""COMPUTED_VALUE"""),1)</f>
        <v>1</v>
      </c>
      <c r="D7257" s="8">
        <f ca="1">IFERROR(__xludf.DUMMYFUNCTION("""COMPUTED_VALUE"""),5)</f>
        <v>5</v>
      </c>
      <c r="E7257" s="2">
        <f ca="1">IFERROR(__xludf.DUMMYFUNCTION("""COMPUTED_VALUE"""),2)</f>
        <v>2</v>
      </c>
    </row>
    <row r="7258" spans="1:5" ht="13">
      <c r="A7258" s="2" t="str">
        <f ca="1">IFERROR(__xludf.DUMMYFUNCTION("""COMPUTED_VALUE"""),"Schumann, Walter")</f>
        <v>Schumann, Walter</v>
      </c>
      <c r="B7258" s="3">
        <f ca="1">IFERROR(__xludf.DUMMYFUNCTION("""COMPUTED_VALUE"""),1)</f>
        <v>1</v>
      </c>
      <c r="C7258" s="7">
        <f ca="1">IFERROR(__xludf.DUMMYFUNCTION("""COMPUTED_VALUE"""),1)</f>
        <v>1</v>
      </c>
      <c r="D7258" s="8">
        <f ca="1">IFERROR(__xludf.DUMMYFUNCTION("""COMPUTED_VALUE"""),5)</f>
        <v>5</v>
      </c>
      <c r="E7258" s="2">
        <f ca="1">IFERROR(__xludf.DUMMYFUNCTION("""COMPUTED_VALUE"""),2)</f>
        <v>2</v>
      </c>
    </row>
    <row r="7259" spans="1:5" ht="13">
      <c r="A7259" s="2" t="str">
        <f ca="1">IFERROR(__xludf.DUMMYFUNCTION("""COMPUTED_VALUE"""),"Schumann, Wolfgang")</f>
        <v>Schumann, Wolfgang</v>
      </c>
      <c r="B7259" s="2">
        <f ca="1">IFERROR(__xludf.DUMMYFUNCTION("""COMPUTED_VALUE"""),1)</f>
        <v>1</v>
      </c>
      <c r="C7259" s="7">
        <f ca="1">IFERROR(__xludf.DUMMYFUNCTION("""COMPUTED_VALUE"""),1)</f>
        <v>1</v>
      </c>
      <c r="D7259" s="8">
        <f ca="1">IFERROR(__xludf.DUMMYFUNCTION("""COMPUTED_VALUE"""),5)</f>
        <v>5</v>
      </c>
      <c r="E7259" s="2">
        <f ca="1">IFERROR(__xludf.DUMMYFUNCTION("""COMPUTED_VALUE"""),2)</f>
        <v>2</v>
      </c>
    </row>
    <row r="7260" spans="1:5" ht="13">
      <c r="A7260" s="2" t="str">
        <f ca="1">IFERROR(__xludf.DUMMYFUNCTION("""COMPUTED_VALUE"""),"Schuneman, Robert")</f>
        <v>Schuneman, Robert</v>
      </c>
      <c r="B7260" s="3">
        <f ca="1">IFERROR(__xludf.DUMMYFUNCTION("""COMPUTED_VALUE"""),1)</f>
        <v>1</v>
      </c>
      <c r="C7260" s="7">
        <f ca="1">IFERROR(__xludf.DUMMYFUNCTION("""COMPUTED_VALUE"""),1)</f>
        <v>1</v>
      </c>
      <c r="D7260" s="8">
        <f ca="1">IFERROR(__xludf.DUMMYFUNCTION("""COMPUTED_VALUE"""),5)</f>
        <v>5</v>
      </c>
      <c r="E7260" s="2">
        <f ca="1">IFERROR(__xludf.DUMMYFUNCTION("""COMPUTED_VALUE"""),2)</f>
        <v>2</v>
      </c>
    </row>
    <row r="7261" spans="1:5" ht="13">
      <c r="A7261" s="2" t="str">
        <f ca="1">IFERROR(__xludf.DUMMYFUNCTION("""COMPUTED_VALUE"""),"Schutry, Frank")</f>
        <v>Schutry, Frank</v>
      </c>
      <c r="B7261" s="3">
        <f ca="1">IFERROR(__xludf.DUMMYFUNCTION("""COMPUTED_VALUE"""),1)</f>
        <v>1</v>
      </c>
      <c r="C7261" s="7">
        <f ca="1">IFERROR(__xludf.DUMMYFUNCTION("""COMPUTED_VALUE"""),1)</f>
        <v>1</v>
      </c>
      <c r="D7261" s="8">
        <f ca="1">IFERROR(__xludf.DUMMYFUNCTION("""COMPUTED_VALUE"""),5)</f>
        <v>5</v>
      </c>
      <c r="E7261" s="2">
        <f ca="1">IFERROR(__xludf.DUMMYFUNCTION("""COMPUTED_VALUE"""),2)</f>
        <v>2</v>
      </c>
    </row>
    <row r="7262" spans="1:5" ht="13">
      <c r="A7262" s="2" t="str">
        <f ca="1">IFERROR(__xludf.DUMMYFUNCTION("""COMPUTED_VALUE"""),"Schutte, Daniel")</f>
        <v>Schutte, Daniel</v>
      </c>
      <c r="B7262" s="3">
        <f ca="1">IFERROR(__xludf.DUMMYFUNCTION("""COMPUTED_VALUE"""),1)</f>
        <v>1</v>
      </c>
      <c r="C7262" s="7">
        <f ca="1">IFERROR(__xludf.DUMMYFUNCTION("""COMPUTED_VALUE"""),1)</f>
        <v>1</v>
      </c>
      <c r="D7262" s="8">
        <f ca="1">IFERROR(__xludf.DUMMYFUNCTION("""COMPUTED_VALUE"""),1)</f>
        <v>1</v>
      </c>
      <c r="E7262" s="2">
        <f ca="1">IFERROR(__xludf.DUMMYFUNCTION("""COMPUTED_VALUE"""),1)</f>
        <v>1</v>
      </c>
    </row>
    <row r="7263" spans="1:5" ht="13">
      <c r="A7263" s="2" t="str">
        <f ca="1">IFERROR(__xludf.DUMMYFUNCTION("""COMPUTED_VALUE"""),"Schuttenhelm, Thomas")</f>
        <v>Schuttenhelm, Thomas</v>
      </c>
      <c r="B7263" s="3">
        <f ca="1">IFERROR(__xludf.DUMMYFUNCTION("""COMPUTED_VALUE"""),1)</f>
        <v>1</v>
      </c>
      <c r="C7263" s="7">
        <f ca="1">IFERROR(__xludf.DUMMYFUNCTION("""COMPUTED_VALUE"""),1)</f>
        <v>1</v>
      </c>
      <c r="D7263" s="8">
        <f ca="1">IFERROR(__xludf.DUMMYFUNCTION("""COMPUTED_VALUE"""),1)</f>
        <v>1</v>
      </c>
      <c r="E7263" s="2">
        <f ca="1">IFERROR(__xludf.DUMMYFUNCTION("""COMPUTED_VALUE"""),1)</f>
        <v>1</v>
      </c>
    </row>
    <row r="7264" spans="1:5" ht="13">
      <c r="A7264" s="2" t="str">
        <f ca="1">IFERROR(__xludf.DUMMYFUNCTION("""COMPUTED_VALUE"""),"Schutz, Heinrich")</f>
        <v>Schutz, Heinrich</v>
      </c>
      <c r="B7264" s="3">
        <f ca="1">IFERROR(__xludf.DUMMYFUNCTION("""COMPUTED_VALUE"""),1)</f>
        <v>1</v>
      </c>
      <c r="C7264" s="7">
        <f ca="1">IFERROR(__xludf.DUMMYFUNCTION("""COMPUTED_VALUE"""),1)</f>
        <v>1</v>
      </c>
      <c r="D7264" s="8">
        <f ca="1">IFERROR(__xludf.DUMMYFUNCTION("""COMPUTED_VALUE"""),5)</f>
        <v>5</v>
      </c>
      <c r="E7264" s="3">
        <f ca="1">IFERROR(__xludf.DUMMYFUNCTION("""COMPUTED_VALUE"""),2)</f>
        <v>2</v>
      </c>
    </row>
    <row r="7265" spans="1:5" ht="13">
      <c r="A7265" s="8" t="str">
        <f ca="1">IFERROR(__xludf.DUMMYFUNCTION("""COMPUTED_VALUE"""),"Schütz, Heinrich")</f>
        <v>Schütz, Heinrich</v>
      </c>
      <c r="B7265" s="3">
        <f ca="1">IFERROR(__xludf.DUMMYFUNCTION("""COMPUTED_VALUE"""),1)</f>
        <v>1</v>
      </c>
      <c r="C7265" s="7">
        <f ca="1">IFERROR(__xludf.DUMMYFUNCTION("""COMPUTED_VALUE"""),1)</f>
        <v>1</v>
      </c>
      <c r="D7265" s="8">
        <f ca="1">IFERROR(__xludf.DUMMYFUNCTION("""COMPUTED_VALUE"""),5)</f>
        <v>5</v>
      </c>
      <c r="E7265" s="2">
        <f ca="1">IFERROR(__xludf.DUMMYFUNCTION("""COMPUTED_VALUE"""),2)</f>
        <v>2</v>
      </c>
    </row>
    <row r="7266" spans="1:5" ht="13">
      <c r="A7266" s="2" t="str">
        <f ca="1">IFERROR(__xludf.DUMMYFUNCTION("""COMPUTED_VALUE"""),"Schwaen, Kurt")</f>
        <v>Schwaen, Kurt</v>
      </c>
      <c r="B7266" s="3">
        <f ca="1">IFERROR(__xludf.DUMMYFUNCTION("""COMPUTED_VALUE"""),1)</f>
        <v>1</v>
      </c>
      <c r="C7266" s="7">
        <f ca="1">IFERROR(__xludf.DUMMYFUNCTION("""COMPUTED_VALUE"""),1)</f>
        <v>1</v>
      </c>
      <c r="D7266" s="8">
        <f ca="1">IFERROR(__xludf.DUMMYFUNCTION("""COMPUTED_VALUE"""),5)</f>
        <v>5</v>
      </c>
      <c r="E7266" s="2">
        <f ca="1">IFERROR(__xludf.DUMMYFUNCTION("""COMPUTED_VALUE"""),2)</f>
        <v>2</v>
      </c>
    </row>
    <row r="7267" spans="1:5" ht="13">
      <c r="A7267" s="2" t="str">
        <f ca="1">IFERROR(__xludf.DUMMYFUNCTION("""COMPUTED_VALUE"""),"Schwandt, Wilber")</f>
        <v>Schwandt, Wilber</v>
      </c>
      <c r="B7267" s="3">
        <f ca="1">IFERROR(__xludf.DUMMYFUNCTION("""COMPUTED_VALUE"""),1)</f>
        <v>1</v>
      </c>
      <c r="C7267" s="7">
        <f ca="1">IFERROR(__xludf.DUMMYFUNCTION("""COMPUTED_VALUE"""),1)</f>
        <v>1</v>
      </c>
      <c r="D7267" s="8">
        <f ca="1">IFERROR(__xludf.DUMMYFUNCTION("""COMPUTED_VALUE"""),5)</f>
        <v>5</v>
      </c>
      <c r="E7267" s="2">
        <f ca="1">IFERROR(__xludf.DUMMYFUNCTION("""COMPUTED_VALUE"""),2)</f>
        <v>2</v>
      </c>
    </row>
    <row r="7268" spans="1:5" ht="13">
      <c r="A7268" s="2" t="str">
        <f ca="1">IFERROR(__xludf.DUMMYFUNCTION("""COMPUTED_VALUE"""),"Schwantner, Joseph")</f>
        <v>Schwantner, Joseph</v>
      </c>
      <c r="B7268" s="3">
        <f ca="1">IFERROR(__xludf.DUMMYFUNCTION("""COMPUTED_VALUE"""),1)</f>
        <v>1</v>
      </c>
      <c r="C7268" s="7">
        <f ca="1">IFERROR(__xludf.DUMMYFUNCTION("""COMPUTED_VALUE"""),1)</f>
        <v>1</v>
      </c>
      <c r="D7268" s="8">
        <f ca="1">IFERROR(__xludf.DUMMYFUNCTION("""COMPUTED_VALUE"""),1)</f>
        <v>1</v>
      </c>
      <c r="E7268" s="2">
        <f ca="1">IFERROR(__xludf.DUMMYFUNCTION("""COMPUTED_VALUE"""),1)</f>
        <v>1</v>
      </c>
    </row>
    <row r="7269" spans="1:5" ht="13">
      <c r="A7269" s="2" t="str">
        <f ca="1">IFERROR(__xludf.DUMMYFUNCTION("""COMPUTED_VALUE"""),"Schwartz, Arthur")</f>
        <v>Schwartz, Arthur</v>
      </c>
      <c r="B7269" s="2">
        <f ca="1">IFERROR(__xludf.DUMMYFUNCTION("""COMPUTED_VALUE"""),1)</f>
        <v>1</v>
      </c>
      <c r="C7269" s="7">
        <f ca="1">IFERROR(__xludf.DUMMYFUNCTION("""COMPUTED_VALUE"""),1)</f>
        <v>1</v>
      </c>
      <c r="D7269" s="8">
        <f ca="1">IFERROR(__xludf.DUMMYFUNCTION("""COMPUTED_VALUE"""),5)</f>
        <v>5</v>
      </c>
      <c r="E7269" s="2">
        <f ca="1">IFERROR(__xludf.DUMMYFUNCTION("""COMPUTED_VALUE"""),2)</f>
        <v>2</v>
      </c>
    </row>
    <row r="7270" spans="1:5" ht="13">
      <c r="A7270" s="2" t="str">
        <f ca="1">IFERROR(__xludf.DUMMYFUNCTION("""COMPUTED_VALUE"""),"Schwartz, Arthur / Dietz, Howard")</f>
        <v>Schwartz, Arthur / Dietz, Howard</v>
      </c>
      <c r="B7270" s="3">
        <f ca="1">IFERROR(__xludf.DUMMYFUNCTION("""COMPUTED_VALUE"""),1)</f>
        <v>1</v>
      </c>
      <c r="C7270" s="7">
        <f ca="1">IFERROR(__xludf.DUMMYFUNCTION("""COMPUTED_VALUE"""),1)</f>
        <v>1</v>
      </c>
      <c r="D7270" s="8">
        <f ca="1">IFERROR(__xludf.DUMMYFUNCTION("""COMPUTED_VALUE"""),5)</f>
        <v>5</v>
      </c>
      <c r="E7270" s="2">
        <f ca="1">IFERROR(__xludf.DUMMYFUNCTION("""COMPUTED_VALUE"""),2)</f>
        <v>2</v>
      </c>
    </row>
    <row r="7271" spans="1:5" ht="13">
      <c r="A7271" s="2" t="str">
        <f ca="1">IFERROR(__xludf.DUMMYFUNCTION("""COMPUTED_VALUE"""),"Schwartz, Dan")</f>
        <v>Schwartz, Dan</v>
      </c>
      <c r="B7271" s="3">
        <f ca="1">IFERROR(__xludf.DUMMYFUNCTION("""COMPUTED_VALUE"""),1)</f>
        <v>1</v>
      </c>
      <c r="C7271" s="7">
        <f ca="1">IFERROR(__xludf.DUMMYFUNCTION("""COMPUTED_VALUE"""),1)</f>
        <v>1</v>
      </c>
      <c r="D7271" s="8">
        <f ca="1">IFERROR(__xludf.DUMMYFUNCTION("""COMPUTED_VALUE"""),1)</f>
        <v>1</v>
      </c>
      <c r="E7271" s="2">
        <f ca="1">IFERROR(__xludf.DUMMYFUNCTION("""COMPUTED_VALUE"""),1)</f>
        <v>1</v>
      </c>
    </row>
    <row r="7272" spans="1:5" ht="13">
      <c r="A7272" s="2" t="str">
        <f ca="1">IFERROR(__xludf.DUMMYFUNCTION("""COMPUTED_VALUE"""),"Schwartz, Jean")</f>
        <v>Schwartz, Jean</v>
      </c>
      <c r="B7272" s="2">
        <f ca="1">IFERROR(__xludf.DUMMYFUNCTION("""COMPUTED_VALUE"""),1)</f>
        <v>1</v>
      </c>
      <c r="C7272" s="7">
        <f ca="1">IFERROR(__xludf.DUMMYFUNCTION("""COMPUTED_VALUE"""),1)</f>
        <v>1</v>
      </c>
      <c r="D7272" s="8">
        <f ca="1">IFERROR(__xludf.DUMMYFUNCTION("""COMPUTED_VALUE"""),5)</f>
        <v>5</v>
      </c>
      <c r="E7272" s="2">
        <f ca="1">IFERROR(__xludf.DUMMYFUNCTION("""COMPUTED_VALUE"""),2)</f>
        <v>2</v>
      </c>
    </row>
    <row r="7273" spans="1:5" ht="13">
      <c r="A7273" s="2" t="str">
        <f ca="1">IFERROR(__xludf.DUMMYFUNCTION("""COMPUTED_VALUE"""),"Schwartz, Stephen")</f>
        <v>Schwartz, Stephen</v>
      </c>
      <c r="B7273" s="3">
        <f ca="1">IFERROR(__xludf.DUMMYFUNCTION("""COMPUTED_VALUE"""),1)</f>
        <v>1</v>
      </c>
      <c r="C7273" s="7">
        <f ca="1">IFERROR(__xludf.DUMMYFUNCTION("""COMPUTED_VALUE"""),1)</f>
        <v>1</v>
      </c>
      <c r="D7273" s="8">
        <f ca="1">IFERROR(__xludf.DUMMYFUNCTION("""COMPUTED_VALUE"""),1)</f>
        <v>1</v>
      </c>
      <c r="E7273" s="2">
        <f ca="1">IFERROR(__xludf.DUMMYFUNCTION("""COMPUTED_VALUE"""),1)</f>
        <v>1</v>
      </c>
    </row>
    <row r="7274" spans="1:5" ht="13">
      <c r="A7274" s="2" t="str">
        <f ca="1">IFERROR(__xludf.DUMMYFUNCTION("""COMPUTED_VALUE"""),"Schwarz, Gerard")</f>
        <v>Schwarz, Gerard</v>
      </c>
      <c r="B7274" s="3">
        <f ca="1">IFERROR(__xludf.DUMMYFUNCTION("""COMPUTED_VALUE"""),1)</f>
        <v>1</v>
      </c>
      <c r="C7274" s="7">
        <f ca="1">IFERROR(__xludf.DUMMYFUNCTION("""COMPUTED_VALUE"""),1)</f>
        <v>1</v>
      </c>
      <c r="D7274" s="8">
        <f ca="1">IFERROR(__xludf.DUMMYFUNCTION("""COMPUTED_VALUE"""),1)</f>
        <v>1</v>
      </c>
      <c r="E7274" s="2">
        <f ca="1">IFERROR(__xludf.DUMMYFUNCTION("""COMPUTED_VALUE"""),1)</f>
        <v>1</v>
      </c>
    </row>
    <row r="7275" spans="1:5" ht="13">
      <c r="A7275" s="2" t="str">
        <f ca="1">IFERROR(__xludf.DUMMYFUNCTION("""COMPUTED_VALUE"""),"Schwarz, Ira Paul")</f>
        <v>Schwarz, Ira Paul</v>
      </c>
      <c r="B7275" s="3">
        <f ca="1">IFERROR(__xludf.DUMMYFUNCTION("""COMPUTED_VALUE"""),1)</f>
        <v>1</v>
      </c>
      <c r="C7275" s="7">
        <f ca="1">IFERROR(__xludf.DUMMYFUNCTION("""COMPUTED_VALUE"""),1)</f>
        <v>1</v>
      </c>
      <c r="D7275" s="8">
        <f ca="1">IFERROR(__xludf.DUMMYFUNCTION("""COMPUTED_VALUE"""),5)</f>
        <v>5</v>
      </c>
      <c r="E7275" s="2">
        <f ca="1">IFERROR(__xludf.DUMMYFUNCTION("""COMPUTED_VALUE"""),2)</f>
        <v>2</v>
      </c>
    </row>
    <row r="7276" spans="1:5" ht="13">
      <c r="A7276" s="8" t="str">
        <f ca="1">IFERROR(__xludf.DUMMYFUNCTION("""COMPUTED_VALUE"""),"Schwarz, Ira-Paul")</f>
        <v>Schwarz, Ira-Paul</v>
      </c>
      <c r="B7276" s="3">
        <f ca="1">IFERROR(__xludf.DUMMYFUNCTION("""COMPUTED_VALUE"""),1)</f>
        <v>1</v>
      </c>
      <c r="C7276" s="7">
        <f ca="1">IFERROR(__xludf.DUMMYFUNCTION("""COMPUTED_VALUE"""),1)</f>
        <v>1</v>
      </c>
      <c r="D7276" s="8">
        <f ca="1">IFERROR(__xludf.DUMMYFUNCTION("""COMPUTED_VALUE"""),5)</f>
        <v>5</v>
      </c>
      <c r="E7276" s="2">
        <f ca="1">IFERROR(__xludf.DUMMYFUNCTION("""COMPUTED_VALUE"""),2)</f>
        <v>2</v>
      </c>
    </row>
    <row r="7277" spans="1:5" ht="13">
      <c r="A7277" s="2" t="str">
        <f ca="1">IFERROR(__xludf.DUMMYFUNCTION("""COMPUTED_VALUE"""),"Schwarz, Otto M.")</f>
        <v>Schwarz, Otto M.</v>
      </c>
      <c r="B7277" s="3">
        <f ca="1">IFERROR(__xludf.DUMMYFUNCTION("""COMPUTED_VALUE"""),1)</f>
        <v>1</v>
      </c>
      <c r="C7277" s="7">
        <f ca="1">IFERROR(__xludf.DUMMYFUNCTION("""COMPUTED_VALUE"""),1)</f>
        <v>1</v>
      </c>
      <c r="D7277" s="8">
        <f ca="1">IFERROR(__xludf.DUMMYFUNCTION("""COMPUTED_VALUE"""),1)</f>
        <v>1</v>
      </c>
      <c r="E7277" s="2">
        <f ca="1">IFERROR(__xludf.DUMMYFUNCTION("""COMPUTED_VALUE"""),1)</f>
        <v>1</v>
      </c>
    </row>
    <row r="7278" spans="1:5" ht="13">
      <c r="A7278" s="2" t="str">
        <f ca="1">IFERROR(__xludf.DUMMYFUNCTION("""COMPUTED_VALUE"""),"Schwertsik, Kurt")</f>
        <v>Schwertsik, Kurt</v>
      </c>
      <c r="B7278" s="3">
        <f ca="1">IFERROR(__xludf.DUMMYFUNCTION("""COMPUTED_VALUE"""),1)</f>
        <v>1</v>
      </c>
      <c r="C7278" s="7">
        <f ca="1">IFERROR(__xludf.DUMMYFUNCTION("""COMPUTED_VALUE"""),1)</f>
        <v>1</v>
      </c>
      <c r="D7278" s="8">
        <f ca="1">IFERROR(__xludf.DUMMYFUNCTION("""COMPUTED_VALUE"""),1)</f>
        <v>1</v>
      </c>
      <c r="E7278" s="2">
        <f ca="1">IFERROR(__xludf.DUMMYFUNCTION("""COMPUTED_VALUE"""),1)</f>
        <v>1</v>
      </c>
    </row>
    <row r="7279" spans="1:5" ht="13">
      <c r="A7279" s="2" t="str">
        <f ca="1">IFERROR(__xludf.DUMMYFUNCTION("""COMPUTED_VALUE"""),"Schwiger, Hans")</f>
        <v>Schwiger, Hans</v>
      </c>
      <c r="B7279" s="2">
        <f ca="1">IFERROR(__xludf.DUMMYFUNCTION("""COMPUTED_VALUE"""),1)</f>
        <v>1</v>
      </c>
      <c r="C7279" s="7">
        <f ca="1">IFERROR(__xludf.DUMMYFUNCTION("""COMPUTED_VALUE"""),1)</f>
        <v>1</v>
      </c>
      <c r="D7279" s="8">
        <f ca="1">IFERROR(__xludf.DUMMYFUNCTION("""COMPUTED_VALUE"""),5)</f>
        <v>5</v>
      </c>
      <c r="E7279" s="2">
        <f ca="1">IFERROR(__xludf.DUMMYFUNCTION("""COMPUTED_VALUE"""),2)</f>
        <v>2</v>
      </c>
    </row>
    <row r="7280" spans="1:5" ht="13">
      <c r="A7280" s="8" t="str">
        <f ca="1">IFERROR(__xludf.DUMMYFUNCTION("""COMPUTED_VALUE"""),"Schwiller, Jean")</f>
        <v>Schwiller, Jean</v>
      </c>
      <c r="B7280" s="3">
        <f ca="1">IFERROR(__xludf.DUMMYFUNCTION("""COMPUTED_VALUE"""),1)</f>
        <v>1</v>
      </c>
      <c r="C7280" s="7">
        <f ca="1">IFERROR(__xludf.DUMMYFUNCTION("""COMPUTED_VALUE"""),1)</f>
        <v>1</v>
      </c>
      <c r="D7280" s="8">
        <f ca="1">IFERROR(__xludf.DUMMYFUNCTION("""COMPUTED_VALUE"""),5)</f>
        <v>5</v>
      </c>
      <c r="E7280" s="2">
        <f ca="1">IFERROR(__xludf.DUMMYFUNCTION("""COMPUTED_VALUE"""),2)</f>
        <v>2</v>
      </c>
    </row>
    <row r="7281" spans="1:5" ht="13">
      <c r="A7281" s="2" t="str">
        <f ca="1">IFERROR(__xludf.DUMMYFUNCTION("""COMPUTED_VALUE"""),"Schwoebel, David")</f>
        <v>Schwoebel, David</v>
      </c>
      <c r="B7281" s="3">
        <f ca="1">IFERROR(__xludf.DUMMYFUNCTION("""COMPUTED_VALUE"""),1)</f>
        <v>1</v>
      </c>
      <c r="C7281" s="7">
        <f ca="1">IFERROR(__xludf.DUMMYFUNCTION("""COMPUTED_VALUE"""),1)</f>
        <v>1</v>
      </c>
      <c r="D7281" s="8">
        <f ca="1">IFERROR(__xludf.DUMMYFUNCTION("""COMPUTED_VALUE"""),1)</f>
        <v>1</v>
      </c>
      <c r="E7281" s="2">
        <f ca="1">IFERROR(__xludf.DUMMYFUNCTION("""COMPUTED_VALUE"""),1)</f>
        <v>1</v>
      </c>
    </row>
    <row r="7282" spans="1:5" ht="13">
      <c r="A7282" s="2" t="str">
        <f ca="1">IFERROR(__xludf.DUMMYFUNCTION("""COMPUTED_VALUE"""),"Schyns, José")</f>
        <v>Schyns, José</v>
      </c>
      <c r="B7282" s="3">
        <f ca="1">IFERROR(__xludf.DUMMYFUNCTION("""COMPUTED_VALUE"""),1)</f>
        <v>1</v>
      </c>
      <c r="C7282" s="7">
        <f ca="1">IFERROR(__xludf.DUMMYFUNCTION("""COMPUTED_VALUE"""),1)</f>
        <v>1</v>
      </c>
      <c r="D7282" s="8">
        <f ca="1">IFERROR(__xludf.DUMMYFUNCTION("""COMPUTED_VALUE"""),1)</f>
        <v>1</v>
      </c>
      <c r="E7282" s="2">
        <f ca="1">IFERROR(__xludf.DUMMYFUNCTION("""COMPUTED_VALUE"""),1)</f>
        <v>1</v>
      </c>
    </row>
    <row r="7283" spans="1:5" ht="13">
      <c r="A7283" s="2" t="str">
        <f ca="1">IFERROR(__xludf.DUMMYFUNCTION("""COMPUTED_VALUE"""),"Sciaino, Peter")</f>
        <v>Sciaino, Peter</v>
      </c>
      <c r="B7283" s="3">
        <f ca="1">IFERROR(__xludf.DUMMYFUNCTION("""COMPUTED_VALUE"""),1)</f>
        <v>1</v>
      </c>
      <c r="C7283" s="7">
        <f ca="1">IFERROR(__xludf.DUMMYFUNCTION("""COMPUTED_VALUE"""),1)</f>
        <v>1</v>
      </c>
      <c r="D7283" s="8">
        <f ca="1">IFERROR(__xludf.DUMMYFUNCTION("""COMPUTED_VALUE"""),1)</f>
        <v>1</v>
      </c>
      <c r="E7283" s="2">
        <f ca="1">IFERROR(__xludf.DUMMYFUNCTION("""COMPUTED_VALUE"""),1)</f>
        <v>1</v>
      </c>
    </row>
    <row r="7284" spans="1:5" ht="13">
      <c r="A7284" s="2" t="str">
        <f ca="1">IFERROR(__xludf.DUMMYFUNCTION("""COMPUTED_VALUE"""),"Sciarrino, Salvatore")</f>
        <v>Sciarrino, Salvatore</v>
      </c>
      <c r="B7284" s="3">
        <f ca="1">IFERROR(__xludf.DUMMYFUNCTION("""COMPUTED_VALUE"""),1)</f>
        <v>1</v>
      </c>
      <c r="C7284" s="7">
        <f ca="1">IFERROR(__xludf.DUMMYFUNCTION("""COMPUTED_VALUE"""),1)</f>
        <v>1</v>
      </c>
      <c r="D7284" s="8">
        <f ca="1">IFERROR(__xludf.DUMMYFUNCTION("""COMPUTED_VALUE"""),1)</f>
        <v>1</v>
      </c>
      <c r="E7284" s="2">
        <f ca="1">IFERROR(__xludf.DUMMYFUNCTION("""COMPUTED_VALUE"""),1)</f>
        <v>1</v>
      </c>
    </row>
    <row r="7285" spans="1:5" ht="13">
      <c r="A7285" s="2" t="str">
        <f ca="1">IFERROR(__xludf.DUMMYFUNCTION("""COMPUTED_VALUE"""),"Scime, Adam")</f>
        <v>Scime, Adam</v>
      </c>
      <c r="B7285" s="3">
        <f ca="1">IFERROR(__xludf.DUMMYFUNCTION("""COMPUTED_VALUE"""),1)</f>
        <v>1</v>
      </c>
      <c r="C7285" s="7">
        <f ca="1">IFERROR(__xludf.DUMMYFUNCTION("""COMPUTED_VALUE"""),1)</f>
        <v>1</v>
      </c>
      <c r="D7285" s="8">
        <f ca="1">IFERROR(__xludf.DUMMYFUNCTION("""COMPUTED_VALUE"""),1)</f>
        <v>1</v>
      </c>
      <c r="E7285" s="2">
        <f ca="1">IFERROR(__xludf.DUMMYFUNCTION("""COMPUTED_VALUE"""),1)</f>
        <v>1</v>
      </c>
    </row>
    <row r="7286" spans="1:5" ht="13">
      <c r="A7286" s="2" t="str">
        <f ca="1">IFERROR(__xludf.DUMMYFUNCTION("""COMPUTED_VALUE"""),"Sclater, James")</f>
        <v>Sclater, James</v>
      </c>
      <c r="B7286" s="3">
        <f ca="1">IFERROR(__xludf.DUMMYFUNCTION("""COMPUTED_VALUE"""),1)</f>
        <v>1</v>
      </c>
      <c r="C7286" s="7">
        <f ca="1">IFERROR(__xludf.DUMMYFUNCTION("""COMPUTED_VALUE"""),1)</f>
        <v>1</v>
      </c>
      <c r="D7286" s="8">
        <f ca="1">IFERROR(__xludf.DUMMYFUNCTION("""COMPUTED_VALUE"""),1)</f>
        <v>1</v>
      </c>
      <c r="E7286" s="2">
        <f ca="1">IFERROR(__xludf.DUMMYFUNCTION("""COMPUTED_VALUE"""),1)</f>
        <v>1</v>
      </c>
    </row>
    <row r="7287" spans="1:5" ht="13">
      <c r="A7287" s="2" t="str">
        <f ca="1">IFERROR(__xludf.DUMMYFUNCTION("""COMPUTED_VALUE"""),"Scofano, Richard")</f>
        <v>Scofano, Richard</v>
      </c>
      <c r="B7287" s="3">
        <f ca="1">IFERROR(__xludf.DUMMYFUNCTION("""COMPUTED_VALUE"""),1)</f>
        <v>1</v>
      </c>
      <c r="C7287" s="7">
        <f ca="1">IFERROR(__xludf.DUMMYFUNCTION("""COMPUTED_VALUE"""),1)</f>
        <v>1</v>
      </c>
      <c r="D7287" s="8">
        <f ca="1">IFERROR(__xludf.DUMMYFUNCTION("""COMPUTED_VALUE"""),1)</f>
        <v>1</v>
      </c>
      <c r="E7287" s="2">
        <f ca="1">IFERROR(__xludf.DUMMYFUNCTION("""COMPUTED_VALUE"""),1)</f>
        <v>1</v>
      </c>
    </row>
    <row r="7288" spans="1:5" ht="13">
      <c r="A7288" s="8" t="str">
        <f ca="1">IFERROR(__xludf.DUMMYFUNCTION("""COMPUTED_VALUE"""),"Scott-Burt, Nicholas")</f>
        <v>Scott-Burt, Nicholas</v>
      </c>
      <c r="B7288" s="3">
        <f ca="1">IFERROR(__xludf.DUMMYFUNCTION("""COMPUTED_VALUE"""),1)</f>
        <v>1</v>
      </c>
      <c r="C7288" s="7">
        <f ca="1">IFERROR(__xludf.DUMMYFUNCTION("""COMPUTED_VALUE"""),1)</f>
        <v>1</v>
      </c>
      <c r="D7288" s="8">
        <f ca="1">IFERROR(__xludf.DUMMYFUNCTION("""COMPUTED_VALUE"""),1)</f>
        <v>1</v>
      </c>
      <c r="E7288" s="2">
        <f ca="1">IFERROR(__xludf.DUMMYFUNCTION("""COMPUTED_VALUE"""),1)</f>
        <v>1</v>
      </c>
    </row>
    <row r="7289" spans="1:5" ht="13">
      <c r="A7289" s="2" t="str">
        <f ca="1">IFERROR(__xludf.DUMMYFUNCTION("""COMPUTED_VALUE"""),"Scott, Andy")</f>
        <v>Scott, Andy</v>
      </c>
      <c r="B7289" s="3">
        <f ca="1">IFERROR(__xludf.DUMMYFUNCTION("""COMPUTED_VALUE"""),1)</f>
        <v>1</v>
      </c>
      <c r="C7289" s="7">
        <f ca="1">IFERROR(__xludf.DUMMYFUNCTION("""COMPUTED_VALUE"""),1)</f>
        <v>1</v>
      </c>
      <c r="D7289" s="8">
        <f ca="1">IFERROR(__xludf.DUMMYFUNCTION("""COMPUTED_VALUE"""),1)</f>
        <v>1</v>
      </c>
      <c r="E7289" s="2">
        <f ca="1">IFERROR(__xludf.DUMMYFUNCTION("""COMPUTED_VALUE"""),1)</f>
        <v>1</v>
      </c>
    </row>
    <row r="7290" spans="1:5" ht="13">
      <c r="A7290" s="8" t="str">
        <f ca="1">IFERROR(__xludf.DUMMYFUNCTION("""COMPUTED_VALUE"""),"Scott, Brian")</f>
        <v>Scott, Brian</v>
      </c>
      <c r="B7290" s="3">
        <f ca="1">IFERROR(__xludf.DUMMYFUNCTION("""COMPUTED_VALUE"""),1)</f>
        <v>1</v>
      </c>
      <c r="C7290" s="7">
        <f ca="1">IFERROR(__xludf.DUMMYFUNCTION("""COMPUTED_VALUE"""),1)</f>
        <v>1</v>
      </c>
      <c r="D7290" s="8">
        <f ca="1">IFERROR(__xludf.DUMMYFUNCTION("""COMPUTED_VALUE"""),1)</f>
        <v>1</v>
      </c>
      <c r="E7290" s="2">
        <f ca="1">IFERROR(__xludf.DUMMYFUNCTION("""COMPUTED_VALUE"""),1)</f>
        <v>1</v>
      </c>
    </row>
    <row r="7291" spans="1:5" ht="13">
      <c r="A7291" s="8" t="str">
        <f ca="1">IFERROR(__xludf.DUMMYFUNCTION("""COMPUTED_VALUE"""),"Scott, Cyril")</f>
        <v>Scott, Cyril</v>
      </c>
      <c r="B7291" s="3">
        <f ca="1">IFERROR(__xludf.DUMMYFUNCTION("""COMPUTED_VALUE"""),1)</f>
        <v>1</v>
      </c>
      <c r="C7291" s="7">
        <f ca="1">IFERROR(__xludf.DUMMYFUNCTION("""COMPUTED_VALUE"""),1)</f>
        <v>1</v>
      </c>
      <c r="D7291" s="8">
        <f ca="1">IFERROR(__xludf.DUMMYFUNCTION("""COMPUTED_VALUE"""),5)</f>
        <v>5</v>
      </c>
      <c r="E7291" s="2">
        <f ca="1">IFERROR(__xludf.DUMMYFUNCTION("""COMPUTED_VALUE"""),2)</f>
        <v>2</v>
      </c>
    </row>
    <row r="7292" spans="1:5" ht="13">
      <c r="A7292" s="2" t="str">
        <f ca="1">IFERROR(__xludf.DUMMYFUNCTION("""COMPUTED_VALUE"""),"Scott, David")</f>
        <v>Scott, David</v>
      </c>
      <c r="B7292" s="3">
        <f ca="1">IFERROR(__xludf.DUMMYFUNCTION("""COMPUTED_VALUE"""),1)</f>
        <v>1</v>
      </c>
      <c r="C7292" s="7">
        <f ca="1">IFERROR(__xludf.DUMMYFUNCTION("""COMPUTED_VALUE"""),1)</f>
        <v>1</v>
      </c>
      <c r="D7292" s="8">
        <f ca="1">IFERROR(__xludf.DUMMYFUNCTION("""COMPUTED_VALUE"""),1)</f>
        <v>1</v>
      </c>
      <c r="E7292" s="2">
        <f ca="1">IFERROR(__xludf.DUMMYFUNCTION("""COMPUTED_VALUE"""),1)</f>
        <v>1</v>
      </c>
    </row>
    <row r="7293" spans="1:5" ht="13">
      <c r="A7293" s="2" t="str">
        <f ca="1">IFERROR(__xludf.DUMMYFUNCTION("""COMPUTED_VALUE"""),"Scott, Jason")</f>
        <v>Scott, Jason</v>
      </c>
      <c r="B7293" s="3">
        <f ca="1">IFERROR(__xludf.DUMMYFUNCTION("""COMPUTED_VALUE"""),1)</f>
        <v>1</v>
      </c>
      <c r="C7293" s="7">
        <f ca="1">IFERROR(__xludf.DUMMYFUNCTION("""COMPUTED_VALUE"""),1)</f>
        <v>1</v>
      </c>
      <c r="D7293" s="8">
        <f ca="1">IFERROR(__xludf.DUMMYFUNCTION("""COMPUTED_VALUE"""),1)</f>
        <v>1</v>
      </c>
      <c r="E7293" s="2">
        <f ca="1">IFERROR(__xludf.DUMMYFUNCTION("""COMPUTED_VALUE"""),1)</f>
        <v>1</v>
      </c>
    </row>
    <row r="7294" spans="1:5" ht="13">
      <c r="A7294" s="2" t="str">
        <f ca="1">IFERROR(__xludf.DUMMYFUNCTION("""COMPUTED_VALUE"""),"Scott, Jed")</f>
        <v>Scott, Jed</v>
      </c>
      <c r="B7294" s="3">
        <f ca="1">IFERROR(__xludf.DUMMYFUNCTION("""COMPUTED_VALUE"""),1)</f>
        <v>1</v>
      </c>
      <c r="C7294" s="7">
        <f ca="1">IFERROR(__xludf.DUMMYFUNCTION("""COMPUTED_VALUE"""),1)</f>
        <v>1</v>
      </c>
      <c r="D7294" s="8">
        <f ca="1">IFERROR(__xludf.DUMMYFUNCTION("""COMPUTED_VALUE"""),1)</f>
        <v>1</v>
      </c>
      <c r="E7294" s="2">
        <f ca="1">IFERROR(__xludf.DUMMYFUNCTION("""COMPUTED_VALUE"""),1)</f>
        <v>1</v>
      </c>
    </row>
    <row r="7295" spans="1:5" ht="13">
      <c r="A7295" s="8" t="str">
        <f ca="1">IFERROR(__xludf.DUMMYFUNCTION("""COMPUTED_VALUE"""),"Scott, K. Lee")</f>
        <v>Scott, K. Lee</v>
      </c>
      <c r="B7295" s="3">
        <f ca="1">IFERROR(__xludf.DUMMYFUNCTION("""COMPUTED_VALUE"""),1)</f>
        <v>1</v>
      </c>
      <c r="C7295" s="7">
        <f ca="1">IFERROR(__xludf.DUMMYFUNCTION("""COMPUTED_VALUE"""),1)</f>
        <v>1</v>
      </c>
      <c r="D7295" s="8">
        <f ca="1">IFERROR(__xludf.DUMMYFUNCTION("""COMPUTED_VALUE"""),1)</f>
        <v>1</v>
      </c>
      <c r="E7295" s="2">
        <f ca="1">IFERROR(__xludf.DUMMYFUNCTION("""COMPUTED_VALUE"""),1)</f>
        <v>1</v>
      </c>
    </row>
    <row r="7296" spans="1:5" ht="13">
      <c r="A7296" s="2" t="str">
        <f ca="1">IFERROR(__xludf.DUMMYFUNCTION("""COMPUTED_VALUE"""),"Scott, Michael")</f>
        <v>Scott, Michael</v>
      </c>
      <c r="B7296" s="3">
        <f ca="1">IFERROR(__xludf.DUMMYFUNCTION("""COMPUTED_VALUE"""),1)</f>
        <v>1</v>
      </c>
      <c r="C7296" s="7">
        <f ca="1">IFERROR(__xludf.DUMMYFUNCTION("""COMPUTED_VALUE"""),1)</f>
        <v>1</v>
      </c>
      <c r="D7296" s="8">
        <f ca="1">IFERROR(__xludf.DUMMYFUNCTION("""COMPUTED_VALUE"""),1)</f>
        <v>1</v>
      </c>
      <c r="E7296" s="2">
        <f ca="1">IFERROR(__xludf.DUMMYFUNCTION("""COMPUTED_VALUE"""),1)</f>
        <v>1</v>
      </c>
    </row>
    <row r="7297" spans="1:5" ht="13">
      <c r="A7297" s="2" t="str">
        <f ca="1">IFERROR(__xludf.DUMMYFUNCTION("""COMPUTED_VALUE"""),"Scott, Paul")</f>
        <v>Scott, Paul</v>
      </c>
      <c r="B7297" s="3">
        <f ca="1">IFERROR(__xludf.DUMMYFUNCTION("""COMPUTED_VALUE"""),1)</f>
        <v>1</v>
      </c>
      <c r="C7297" s="7">
        <f ca="1">IFERROR(__xludf.DUMMYFUNCTION("""COMPUTED_VALUE"""),1)</f>
        <v>1</v>
      </c>
      <c r="D7297" s="8">
        <f ca="1">IFERROR(__xludf.DUMMYFUNCTION("""COMPUTED_VALUE"""),1)</f>
        <v>1</v>
      </c>
      <c r="E7297" s="2">
        <f ca="1">IFERROR(__xludf.DUMMYFUNCTION("""COMPUTED_VALUE"""),1)</f>
        <v>1</v>
      </c>
    </row>
    <row r="7298" spans="1:5" ht="13">
      <c r="A7298" s="2" t="str">
        <f ca="1">IFERROR(__xludf.DUMMYFUNCTION("""COMPUTED_VALUE"""),"Scott, Raymond")</f>
        <v>Scott, Raymond</v>
      </c>
      <c r="B7298" s="3">
        <f ca="1">IFERROR(__xludf.DUMMYFUNCTION("""COMPUTED_VALUE"""),1)</f>
        <v>1</v>
      </c>
      <c r="C7298" s="7">
        <f ca="1">IFERROR(__xludf.DUMMYFUNCTION("""COMPUTED_VALUE"""),1)</f>
        <v>1</v>
      </c>
      <c r="D7298" s="8">
        <f ca="1">IFERROR(__xludf.DUMMYFUNCTION("""COMPUTED_VALUE"""),5)</f>
        <v>5</v>
      </c>
      <c r="E7298" s="2">
        <f ca="1">IFERROR(__xludf.DUMMYFUNCTION("""COMPUTED_VALUE"""),2)</f>
        <v>2</v>
      </c>
    </row>
    <row r="7299" spans="1:5" ht="13">
      <c r="A7299" s="8" t="str">
        <f ca="1">IFERROR(__xludf.DUMMYFUNCTION("""COMPUTED_VALUE"""),"Scott, Richard")</f>
        <v>Scott, Richard</v>
      </c>
      <c r="B7299" s="3">
        <f ca="1">IFERROR(__xludf.DUMMYFUNCTION("""COMPUTED_VALUE"""),1)</f>
        <v>1</v>
      </c>
      <c r="C7299" s="7">
        <f ca="1">IFERROR(__xludf.DUMMYFUNCTION("""COMPUTED_VALUE"""),1)</f>
        <v>1</v>
      </c>
      <c r="D7299" s="8">
        <f ca="1">IFERROR(__xludf.DUMMYFUNCTION("""COMPUTED_VALUE"""),1)</f>
        <v>1</v>
      </c>
      <c r="E7299" s="2">
        <f ca="1">IFERROR(__xludf.DUMMYFUNCTION("""COMPUTED_VALUE"""),1)</f>
        <v>1</v>
      </c>
    </row>
    <row r="7300" spans="1:5" ht="13">
      <c r="A7300" s="8" t="str">
        <f ca="1">IFERROR(__xludf.DUMMYFUNCTION("""COMPUTED_VALUE"""),"Scott, Stephen")</f>
        <v>Scott, Stephen</v>
      </c>
      <c r="B7300" s="3">
        <f ca="1">IFERROR(__xludf.DUMMYFUNCTION("""COMPUTED_VALUE"""),1)</f>
        <v>1</v>
      </c>
      <c r="C7300" s="7">
        <f ca="1">IFERROR(__xludf.DUMMYFUNCTION("""COMPUTED_VALUE"""),1)</f>
        <v>1</v>
      </c>
      <c r="D7300" s="8">
        <f ca="1">IFERROR(__xludf.DUMMYFUNCTION("""COMPUTED_VALUE"""),5)</f>
        <v>5</v>
      </c>
      <c r="E7300" s="2">
        <f ca="1">IFERROR(__xludf.DUMMYFUNCTION("""COMPUTED_VALUE"""),2)</f>
        <v>2</v>
      </c>
    </row>
    <row r="7301" spans="1:5" ht="13">
      <c r="A7301" s="2" t="str">
        <f ca="1">IFERROR(__xludf.DUMMYFUNCTION("""COMPUTED_VALUE"""),"Scott, Stuart")</f>
        <v>Scott, Stuart</v>
      </c>
      <c r="B7301" s="3">
        <f ca="1">IFERROR(__xludf.DUMMYFUNCTION("""COMPUTED_VALUE"""),1)</f>
        <v>1</v>
      </c>
      <c r="C7301" s="7">
        <f ca="1">IFERROR(__xludf.DUMMYFUNCTION("""COMPUTED_VALUE"""),1)</f>
        <v>1</v>
      </c>
      <c r="D7301" s="8">
        <f ca="1">IFERROR(__xludf.DUMMYFUNCTION("""COMPUTED_VALUE"""),5)</f>
        <v>5</v>
      </c>
      <c r="E7301" s="2">
        <f ca="1">IFERROR(__xludf.DUMMYFUNCTION("""COMPUTED_VALUE"""),2)</f>
        <v>2</v>
      </c>
    </row>
    <row r="7302" spans="1:5" ht="13">
      <c r="A7302" s="8" t="str">
        <f ca="1">IFERROR(__xludf.DUMMYFUNCTION("""COMPUTED_VALUE"""),"Scott, Tom")</f>
        <v>Scott, Tom</v>
      </c>
      <c r="B7302" s="9">
        <f ca="1">IFERROR(__xludf.DUMMYFUNCTION("""COMPUTED_VALUE"""),1)</f>
        <v>1</v>
      </c>
      <c r="C7302" s="7">
        <f ca="1">IFERROR(__xludf.DUMMYFUNCTION("""COMPUTED_VALUE"""),1)</f>
        <v>1</v>
      </c>
      <c r="D7302" s="8">
        <f ca="1">IFERROR(__xludf.DUMMYFUNCTION("""COMPUTED_VALUE"""),5)</f>
        <v>5</v>
      </c>
      <c r="E7302" s="9">
        <f ca="1">IFERROR(__xludf.DUMMYFUNCTION("""COMPUTED_VALUE"""),2)</f>
        <v>2</v>
      </c>
    </row>
    <row r="7303" spans="1:5" ht="13">
      <c r="A7303" s="2" t="str">
        <f ca="1">IFERROR(__xludf.DUMMYFUNCTION("""COMPUTED_VALUE"""),"Scott, Wayne")</f>
        <v>Scott, Wayne</v>
      </c>
      <c r="B7303" s="3">
        <f ca="1">IFERROR(__xludf.DUMMYFUNCTION("""COMPUTED_VALUE"""),1)</f>
        <v>1</v>
      </c>
      <c r="C7303" s="7">
        <f ca="1">IFERROR(__xludf.DUMMYFUNCTION("""COMPUTED_VALUE"""),1)</f>
        <v>1</v>
      </c>
      <c r="D7303" s="8">
        <f ca="1">IFERROR(__xludf.DUMMYFUNCTION("""COMPUTED_VALUE"""),5)</f>
        <v>5</v>
      </c>
      <c r="E7303" s="2">
        <f ca="1">IFERROR(__xludf.DUMMYFUNCTION("""COMPUTED_VALUE"""),2)</f>
        <v>2</v>
      </c>
    </row>
    <row r="7304" spans="1:5" ht="13">
      <c r="A7304" s="2" t="str">
        <f ca="1">IFERROR(__xludf.DUMMYFUNCTION("""COMPUTED_VALUE"""),"Scriabin, Alexander")</f>
        <v>Scriabin, Alexander</v>
      </c>
      <c r="B7304" s="3">
        <f ca="1">IFERROR(__xludf.DUMMYFUNCTION("""COMPUTED_VALUE"""),1)</f>
        <v>1</v>
      </c>
      <c r="C7304" s="7">
        <f ca="1">IFERROR(__xludf.DUMMYFUNCTION("""COMPUTED_VALUE"""),1)</f>
        <v>1</v>
      </c>
      <c r="D7304" s="8">
        <f ca="1">IFERROR(__xludf.DUMMYFUNCTION("""COMPUTED_VALUE"""),5)</f>
        <v>5</v>
      </c>
      <c r="E7304" s="2">
        <f ca="1">IFERROR(__xludf.DUMMYFUNCTION("""COMPUTED_VALUE"""),2)</f>
        <v>2</v>
      </c>
    </row>
    <row r="7305" spans="1:5" ht="13">
      <c r="A7305" s="2" t="str">
        <f ca="1">IFERROR(__xludf.DUMMYFUNCTION("""COMPUTED_VALUE"""),"Scriabin, Antonin")</f>
        <v>Scriabin, Antonin</v>
      </c>
      <c r="B7305" s="3">
        <f ca="1">IFERROR(__xludf.DUMMYFUNCTION("""COMPUTED_VALUE"""),1)</f>
        <v>1</v>
      </c>
      <c r="C7305" s="7">
        <f ca="1">IFERROR(__xludf.DUMMYFUNCTION("""COMPUTED_VALUE"""),1)</f>
        <v>1</v>
      </c>
      <c r="D7305" s="8">
        <f ca="1">IFERROR(__xludf.DUMMYFUNCTION("""COMPUTED_VALUE"""),5)</f>
        <v>5</v>
      </c>
      <c r="E7305" s="2">
        <f ca="1">IFERROR(__xludf.DUMMYFUNCTION("""COMPUTED_VALUE"""),2)</f>
        <v>2</v>
      </c>
    </row>
    <row r="7306" spans="1:5" ht="13">
      <c r="A7306" s="8" t="str">
        <f ca="1">IFERROR(__xludf.DUMMYFUNCTION("""COMPUTED_VALUE"""),"Scrive, Stanford")</f>
        <v>Scrive, Stanford</v>
      </c>
      <c r="B7306" s="3">
        <f ca="1">IFERROR(__xludf.DUMMYFUNCTION("""COMPUTED_VALUE"""),1)</f>
        <v>1</v>
      </c>
      <c r="C7306" s="7">
        <f ca="1">IFERROR(__xludf.DUMMYFUNCTION("""COMPUTED_VALUE"""),1)</f>
        <v>1</v>
      </c>
      <c r="D7306" s="8">
        <f ca="1">IFERROR(__xludf.DUMMYFUNCTION("""COMPUTED_VALUE"""),1)</f>
        <v>1</v>
      </c>
      <c r="E7306" s="2">
        <f ca="1">IFERROR(__xludf.DUMMYFUNCTION("""COMPUTED_VALUE"""),1)</f>
        <v>1</v>
      </c>
    </row>
    <row r="7307" spans="1:5" ht="13">
      <c r="A7307" s="2" t="str">
        <f ca="1">IFERROR(__xludf.DUMMYFUNCTION("""COMPUTED_VALUE"""),"Scriven, Stanford")</f>
        <v>Scriven, Stanford</v>
      </c>
      <c r="B7307" s="3">
        <f ca="1">IFERROR(__xludf.DUMMYFUNCTION("""COMPUTED_VALUE"""),1)</f>
        <v>1</v>
      </c>
      <c r="C7307" s="7">
        <f ca="1">IFERROR(__xludf.DUMMYFUNCTION("""COMPUTED_VALUE"""),1)</f>
        <v>1</v>
      </c>
      <c r="D7307" s="8">
        <f ca="1">IFERROR(__xludf.DUMMYFUNCTION("""COMPUTED_VALUE"""),1)</f>
        <v>1</v>
      </c>
      <c r="E7307" s="2">
        <f ca="1">IFERROR(__xludf.DUMMYFUNCTION("""COMPUTED_VALUE"""),1)</f>
        <v>1</v>
      </c>
    </row>
    <row r="7308" spans="1:5" ht="13">
      <c r="A7308" s="2" t="str">
        <f ca="1">IFERROR(__xludf.DUMMYFUNCTION("""COMPUTED_VALUE"""),"Sculthorpe, Peter")</f>
        <v>Sculthorpe, Peter</v>
      </c>
      <c r="B7308" s="2">
        <f ca="1">IFERROR(__xludf.DUMMYFUNCTION("""COMPUTED_VALUE"""),1)</f>
        <v>1</v>
      </c>
      <c r="C7308" s="7">
        <f ca="1">IFERROR(__xludf.DUMMYFUNCTION("""COMPUTED_VALUE"""),1)</f>
        <v>1</v>
      </c>
      <c r="D7308" s="8">
        <f ca="1">IFERROR(__xludf.DUMMYFUNCTION("""COMPUTED_VALUE"""),5)</f>
        <v>5</v>
      </c>
      <c r="E7308" s="2">
        <f ca="1">IFERROR(__xludf.DUMMYFUNCTION("""COMPUTED_VALUE"""),2)</f>
        <v>2</v>
      </c>
    </row>
    <row r="7309" spans="1:5" ht="13">
      <c r="A7309" s="2" t="str">
        <f ca="1">IFERROR(__xludf.DUMMYFUNCTION("""COMPUTED_VALUE"""),"Sdraulig, Harry")</f>
        <v>Sdraulig, Harry</v>
      </c>
      <c r="B7309" s="2">
        <f ca="1">IFERROR(__xludf.DUMMYFUNCTION("""COMPUTED_VALUE"""),1)</f>
        <v>1</v>
      </c>
      <c r="C7309" s="7">
        <f ca="1">IFERROR(__xludf.DUMMYFUNCTION("""COMPUTED_VALUE"""),1)</f>
        <v>1</v>
      </c>
      <c r="D7309" s="8">
        <f ca="1">IFERROR(__xludf.DUMMYFUNCTION("""COMPUTED_VALUE"""),1)</f>
        <v>1</v>
      </c>
      <c r="E7309" s="2">
        <f ca="1">IFERROR(__xludf.DUMMYFUNCTION("""COMPUTED_VALUE"""),1)</f>
        <v>1</v>
      </c>
    </row>
    <row r="7310" spans="1:5" ht="13">
      <c r="A7310" s="2" t="str">
        <f ca="1">IFERROR(__xludf.DUMMYFUNCTION("""COMPUTED_VALUE"""),"Seagard, John")</f>
        <v>Seagard, John</v>
      </c>
      <c r="B7310" s="3">
        <f ca="1">IFERROR(__xludf.DUMMYFUNCTION("""COMPUTED_VALUE"""),1)</f>
        <v>1</v>
      </c>
      <c r="C7310" s="7">
        <f ca="1">IFERROR(__xludf.DUMMYFUNCTION("""COMPUTED_VALUE"""),1)</f>
        <v>1</v>
      </c>
      <c r="D7310" s="8">
        <f ca="1">IFERROR(__xludf.DUMMYFUNCTION("""COMPUTED_VALUE"""),5)</f>
        <v>5</v>
      </c>
      <c r="E7310" s="2">
        <f ca="1">IFERROR(__xludf.DUMMYFUNCTION("""COMPUTED_VALUE"""),2)</f>
        <v>2</v>
      </c>
    </row>
    <row r="7311" spans="1:5" ht="13">
      <c r="A7311" s="2" t="str">
        <f ca="1">IFERROR(__xludf.DUMMYFUNCTION("""COMPUTED_VALUE"""),"Seaman, Barry")</f>
        <v>Seaman, Barry</v>
      </c>
      <c r="B7311" s="3">
        <f ca="1">IFERROR(__xludf.DUMMYFUNCTION("""COMPUTED_VALUE"""),1)</f>
        <v>1</v>
      </c>
      <c r="C7311" s="7">
        <f ca="1">IFERROR(__xludf.DUMMYFUNCTION("""COMPUTED_VALUE"""),1)</f>
        <v>1</v>
      </c>
      <c r="D7311" s="8">
        <f ca="1">IFERROR(__xludf.DUMMYFUNCTION("""COMPUTED_VALUE"""),5)</f>
        <v>5</v>
      </c>
      <c r="E7311" s="3">
        <f ca="1">IFERROR(__xludf.DUMMYFUNCTION("""COMPUTED_VALUE"""),2)</f>
        <v>2</v>
      </c>
    </row>
    <row r="7312" spans="1:5" ht="13">
      <c r="A7312" s="2" t="str">
        <f ca="1">IFERROR(__xludf.DUMMYFUNCTION("""COMPUTED_VALUE"""),"Sears, Edmund")</f>
        <v>Sears, Edmund</v>
      </c>
      <c r="B7312" s="2">
        <f ca="1">IFERROR(__xludf.DUMMYFUNCTION("""COMPUTED_VALUE"""),1)</f>
        <v>1</v>
      </c>
      <c r="C7312" s="7">
        <f ca="1">IFERROR(__xludf.DUMMYFUNCTION("""COMPUTED_VALUE"""),1)</f>
        <v>1</v>
      </c>
      <c r="D7312" s="8">
        <f ca="1">IFERROR(__xludf.DUMMYFUNCTION("""COMPUTED_VALUE"""),5)</f>
        <v>5</v>
      </c>
      <c r="E7312" s="2">
        <f ca="1">IFERROR(__xludf.DUMMYFUNCTION("""COMPUTED_VALUE"""),2)</f>
        <v>2</v>
      </c>
    </row>
    <row r="7313" spans="1:5" ht="13">
      <c r="A7313" s="2" t="str">
        <f ca="1">IFERROR(__xludf.DUMMYFUNCTION("""COMPUTED_VALUE"""),"Seay, Albert")</f>
        <v>Seay, Albert</v>
      </c>
      <c r="B7313" s="2">
        <f ca="1">IFERROR(__xludf.DUMMYFUNCTION("""COMPUTED_VALUE"""),1)</f>
        <v>1</v>
      </c>
      <c r="C7313" s="7">
        <f ca="1">IFERROR(__xludf.DUMMYFUNCTION("""COMPUTED_VALUE"""),1)</f>
        <v>1</v>
      </c>
      <c r="D7313" s="8">
        <f ca="1">IFERROR(__xludf.DUMMYFUNCTION("""COMPUTED_VALUE"""),5)</f>
        <v>5</v>
      </c>
      <c r="E7313" s="2">
        <f ca="1">IFERROR(__xludf.DUMMYFUNCTION("""COMPUTED_VALUE"""),2)</f>
        <v>2</v>
      </c>
    </row>
    <row r="7314" spans="1:5" ht="13">
      <c r="A7314" s="2" t="str">
        <f ca="1">IFERROR(__xludf.DUMMYFUNCTION("""COMPUTED_VALUE"""),"Sebastian, John")</f>
        <v>Sebastian, John</v>
      </c>
      <c r="B7314" s="3">
        <f ca="1">IFERROR(__xludf.DUMMYFUNCTION("""COMPUTED_VALUE"""),1)</f>
        <v>1</v>
      </c>
      <c r="C7314" s="7">
        <f ca="1">IFERROR(__xludf.DUMMYFUNCTION("""COMPUTED_VALUE"""),1)</f>
        <v>1</v>
      </c>
      <c r="D7314" s="8">
        <f ca="1">IFERROR(__xludf.DUMMYFUNCTION("""COMPUTED_VALUE"""),1)</f>
        <v>1</v>
      </c>
      <c r="E7314" s="2">
        <f ca="1">IFERROR(__xludf.DUMMYFUNCTION("""COMPUTED_VALUE"""),1)</f>
        <v>1</v>
      </c>
    </row>
    <row r="7315" spans="1:5" ht="13">
      <c r="A7315" s="8" t="str">
        <f ca="1">IFERROR(__xludf.DUMMYFUNCTION("""COMPUTED_VALUE"""),"Sebek, Stanislav")</f>
        <v>Sebek, Stanislav</v>
      </c>
      <c r="B7315" s="3">
        <f ca="1">IFERROR(__xludf.DUMMYFUNCTION("""COMPUTED_VALUE"""),1)</f>
        <v>1</v>
      </c>
      <c r="C7315" s="7">
        <f ca="1">IFERROR(__xludf.DUMMYFUNCTION("""COMPUTED_VALUE"""),1)</f>
        <v>1</v>
      </c>
      <c r="D7315" s="8">
        <f ca="1">IFERROR(__xludf.DUMMYFUNCTION("""COMPUTED_VALUE"""),5)</f>
        <v>5</v>
      </c>
      <c r="E7315" s="2">
        <f ca="1">IFERROR(__xludf.DUMMYFUNCTION("""COMPUTED_VALUE"""),2)</f>
        <v>2</v>
      </c>
    </row>
    <row r="7316" spans="1:5" ht="13">
      <c r="A7316" s="2" t="str">
        <f ca="1">IFERROR(__xludf.DUMMYFUNCTION("""COMPUTED_VALUE"""),"Sebesky, Don")</f>
        <v>Sebesky, Don</v>
      </c>
      <c r="B7316" s="2">
        <f ca="1">IFERROR(__xludf.DUMMYFUNCTION("""COMPUTED_VALUE"""),1)</f>
        <v>1</v>
      </c>
      <c r="C7316" s="7">
        <f ca="1">IFERROR(__xludf.DUMMYFUNCTION("""COMPUTED_VALUE"""),1)</f>
        <v>1</v>
      </c>
      <c r="D7316" s="8">
        <f ca="1">IFERROR(__xludf.DUMMYFUNCTION("""COMPUTED_VALUE"""),5)</f>
        <v>5</v>
      </c>
      <c r="E7316" s="2">
        <f ca="1">IFERROR(__xludf.DUMMYFUNCTION("""COMPUTED_VALUE"""),2)</f>
        <v>2</v>
      </c>
    </row>
    <row r="7317" spans="1:5" ht="13">
      <c r="A7317" s="2" t="str">
        <f ca="1">IFERROR(__xludf.DUMMYFUNCTION("""COMPUTED_VALUE"""),"Sebesky, Gerald")</f>
        <v>Sebesky, Gerald</v>
      </c>
      <c r="B7317" s="3">
        <f ca="1">IFERROR(__xludf.DUMMYFUNCTION("""COMPUTED_VALUE"""),1)</f>
        <v>1</v>
      </c>
      <c r="C7317" s="7">
        <f ca="1">IFERROR(__xludf.DUMMYFUNCTION("""COMPUTED_VALUE"""),1)</f>
        <v>1</v>
      </c>
      <c r="D7317" s="8">
        <f ca="1">IFERROR(__xludf.DUMMYFUNCTION("""COMPUTED_VALUE"""),1)</f>
        <v>1</v>
      </c>
      <c r="E7317" s="2">
        <f ca="1">IFERROR(__xludf.DUMMYFUNCTION("""COMPUTED_VALUE"""),1)</f>
        <v>1</v>
      </c>
    </row>
    <row r="7318" spans="1:5" ht="13">
      <c r="A7318" s="2" t="str">
        <f ca="1">IFERROR(__xludf.DUMMYFUNCTION("""COMPUTED_VALUE"""),"Secunda, Sheldon")</f>
        <v>Secunda, Sheldon</v>
      </c>
      <c r="B7318" s="3">
        <f ca="1">IFERROR(__xludf.DUMMYFUNCTION("""COMPUTED_VALUE"""),1)</f>
        <v>1</v>
      </c>
      <c r="C7318" s="7">
        <f ca="1">IFERROR(__xludf.DUMMYFUNCTION("""COMPUTED_VALUE"""),1)</f>
        <v>1</v>
      </c>
      <c r="D7318" s="8">
        <f ca="1">IFERROR(__xludf.DUMMYFUNCTION("""COMPUTED_VALUE"""),5)</f>
        <v>5</v>
      </c>
      <c r="E7318" s="2">
        <f ca="1">IFERROR(__xludf.DUMMYFUNCTION("""COMPUTED_VALUE"""),2)</f>
        <v>2</v>
      </c>
    </row>
    <row r="7319" spans="1:5" ht="13">
      <c r="A7319" s="2" t="str">
        <f ca="1">IFERROR(__xludf.DUMMYFUNCTION("""COMPUTED_VALUE"""),"Secunda, Sholom")</f>
        <v>Secunda, Sholom</v>
      </c>
      <c r="B7319" s="3">
        <f ca="1">IFERROR(__xludf.DUMMYFUNCTION("""COMPUTED_VALUE"""),1)</f>
        <v>1</v>
      </c>
      <c r="C7319" s="7">
        <f ca="1">IFERROR(__xludf.DUMMYFUNCTION("""COMPUTED_VALUE"""),1)</f>
        <v>1</v>
      </c>
      <c r="D7319" s="8">
        <f ca="1">IFERROR(__xludf.DUMMYFUNCTION("""COMPUTED_VALUE"""),5)</f>
        <v>5</v>
      </c>
      <c r="E7319" s="2">
        <f ca="1">IFERROR(__xludf.DUMMYFUNCTION("""COMPUTED_VALUE"""),2)</f>
        <v>2</v>
      </c>
    </row>
    <row r="7320" spans="1:5" ht="13">
      <c r="A7320" s="2" t="str">
        <f ca="1">IFERROR(__xludf.DUMMYFUNCTION("""COMPUTED_VALUE"""),"Sedek, Martin")</f>
        <v>Sedek, Martin</v>
      </c>
      <c r="B7320" s="3">
        <f ca="1">IFERROR(__xludf.DUMMYFUNCTION("""COMPUTED_VALUE"""),1)</f>
        <v>1</v>
      </c>
      <c r="C7320" s="7">
        <f ca="1">IFERROR(__xludf.DUMMYFUNCTION("""COMPUTED_VALUE"""),1)</f>
        <v>1</v>
      </c>
      <c r="D7320" s="8">
        <f ca="1">IFERROR(__xludf.DUMMYFUNCTION("""COMPUTED_VALUE"""),1)</f>
        <v>1</v>
      </c>
      <c r="E7320" s="2">
        <f ca="1">IFERROR(__xludf.DUMMYFUNCTION("""COMPUTED_VALUE"""),1)</f>
        <v>1</v>
      </c>
    </row>
    <row r="7321" spans="1:5" ht="13">
      <c r="A7321" s="2" t="str">
        <f ca="1">IFERROR(__xludf.DUMMYFUNCTION("""COMPUTED_VALUE"""),"Sędek, Martin")</f>
        <v>Sędek, Martin</v>
      </c>
      <c r="B7321" s="3">
        <f ca="1">IFERROR(__xludf.DUMMYFUNCTION("""COMPUTED_VALUE"""),1)</f>
        <v>1</v>
      </c>
      <c r="C7321" s="7">
        <f ca="1">IFERROR(__xludf.DUMMYFUNCTION("""COMPUTED_VALUE"""),1)</f>
        <v>1</v>
      </c>
      <c r="D7321" s="8">
        <f ca="1">IFERROR(__xludf.DUMMYFUNCTION("""COMPUTED_VALUE"""),1)</f>
        <v>1</v>
      </c>
      <c r="E7321" s="2">
        <f ca="1">IFERROR(__xludf.DUMMYFUNCTION("""COMPUTED_VALUE"""),1)</f>
        <v>1</v>
      </c>
    </row>
    <row r="7322" spans="1:5" ht="13">
      <c r="A7322" s="2" t="str">
        <f ca="1">IFERROR(__xludf.DUMMYFUNCTION("""COMPUTED_VALUE"""),"Sedlak, Wenzel")</f>
        <v>Sedlak, Wenzel</v>
      </c>
      <c r="B7322" s="3">
        <f ca="1">IFERROR(__xludf.DUMMYFUNCTION("""COMPUTED_VALUE"""),1)</f>
        <v>1</v>
      </c>
      <c r="C7322" s="7">
        <f ca="1">IFERROR(__xludf.DUMMYFUNCTION("""COMPUTED_VALUE"""),1)</f>
        <v>1</v>
      </c>
      <c r="D7322" s="8">
        <f ca="1">IFERROR(__xludf.DUMMYFUNCTION("""COMPUTED_VALUE"""),5)</f>
        <v>5</v>
      </c>
      <c r="E7322" s="2">
        <f ca="1">IFERROR(__xludf.DUMMYFUNCTION("""COMPUTED_VALUE"""),2)</f>
        <v>2</v>
      </c>
    </row>
    <row r="7323" spans="1:5" ht="13">
      <c r="A7323" s="8" t="str">
        <f ca="1">IFERROR(__xludf.DUMMYFUNCTION("""COMPUTED_VALUE"""),"Seeger, Pete")</f>
        <v>Seeger, Pete</v>
      </c>
      <c r="B7323" s="3">
        <f ca="1">IFERROR(__xludf.DUMMYFUNCTION("""COMPUTED_VALUE"""),1)</f>
        <v>1</v>
      </c>
      <c r="C7323" s="7">
        <f ca="1">IFERROR(__xludf.DUMMYFUNCTION("""COMPUTED_VALUE"""),1)</f>
        <v>1</v>
      </c>
      <c r="D7323" s="8">
        <f ca="1">IFERROR(__xludf.DUMMYFUNCTION("""COMPUTED_VALUE"""),5)</f>
        <v>5</v>
      </c>
      <c r="E7323" s="2">
        <f ca="1">IFERROR(__xludf.DUMMYFUNCTION("""COMPUTED_VALUE"""),2)</f>
        <v>2</v>
      </c>
    </row>
    <row r="7324" spans="1:5" ht="13">
      <c r="A7324" s="2" t="str">
        <f ca="1">IFERROR(__xludf.DUMMYFUNCTION("""COMPUTED_VALUE"""),"Seely, Robert")</f>
        <v>Seely, Robert</v>
      </c>
      <c r="B7324" s="3">
        <f ca="1">IFERROR(__xludf.DUMMYFUNCTION("""COMPUTED_VALUE"""),1)</f>
        <v>1</v>
      </c>
      <c r="C7324" s="7">
        <f ca="1">IFERROR(__xludf.DUMMYFUNCTION("""COMPUTED_VALUE"""),1)</f>
        <v>1</v>
      </c>
      <c r="D7324" s="8">
        <f ca="1">IFERROR(__xludf.DUMMYFUNCTION("""COMPUTED_VALUE"""),1)</f>
        <v>1</v>
      </c>
      <c r="E7324" s="2">
        <f ca="1">IFERROR(__xludf.DUMMYFUNCTION("""COMPUTED_VALUE"""),1)</f>
        <v>1</v>
      </c>
    </row>
    <row r="7325" spans="1:5" ht="13">
      <c r="A7325" s="2" t="str">
        <f ca="1">IFERROR(__xludf.DUMMYFUNCTION("""COMPUTED_VALUE"""),"Segal, Yaniv")</f>
        <v>Segal, Yaniv</v>
      </c>
      <c r="B7325" s="3">
        <f ca="1">IFERROR(__xludf.DUMMYFUNCTION("""COMPUTED_VALUE"""),1)</f>
        <v>1</v>
      </c>
      <c r="C7325" s="7">
        <f ca="1">IFERROR(__xludf.DUMMYFUNCTION("""COMPUTED_VALUE"""),1)</f>
        <v>1</v>
      </c>
      <c r="D7325" s="8">
        <f ca="1">IFERROR(__xludf.DUMMYFUNCTION("""COMPUTED_VALUE"""),1)</f>
        <v>1</v>
      </c>
      <c r="E7325" s="2">
        <f ca="1">IFERROR(__xludf.DUMMYFUNCTION("""COMPUTED_VALUE"""),1)</f>
        <v>1</v>
      </c>
    </row>
    <row r="7326" spans="1:5" ht="13">
      <c r="A7326" s="2" t="str">
        <f ca="1">IFERROR(__xludf.DUMMYFUNCTION("""COMPUTED_VALUE"""),"Seger, Josef")</f>
        <v>Seger, Josef</v>
      </c>
      <c r="B7326" s="2">
        <f ca="1">IFERROR(__xludf.DUMMYFUNCTION("""COMPUTED_VALUE"""),1)</f>
        <v>1</v>
      </c>
      <c r="C7326" s="7">
        <f ca="1">IFERROR(__xludf.DUMMYFUNCTION("""COMPUTED_VALUE"""),1)</f>
        <v>1</v>
      </c>
      <c r="D7326" s="8">
        <f ca="1">IFERROR(__xludf.DUMMYFUNCTION("""COMPUTED_VALUE"""),5)</f>
        <v>5</v>
      </c>
      <c r="E7326" s="2">
        <f ca="1">IFERROR(__xludf.DUMMYFUNCTION("""COMPUTED_VALUE"""),2)</f>
        <v>2</v>
      </c>
    </row>
    <row r="7327" spans="1:5" ht="13">
      <c r="A7327" s="2" t="str">
        <f ca="1">IFERROR(__xludf.DUMMYFUNCTION("""COMPUTED_VALUE"""),"Seiber, Matyas")</f>
        <v>Seiber, Matyas</v>
      </c>
      <c r="B7327" s="2">
        <f ca="1">IFERROR(__xludf.DUMMYFUNCTION("""COMPUTED_VALUE"""),1)</f>
        <v>1</v>
      </c>
      <c r="C7327" s="7">
        <f ca="1">IFERROR(__xludf.DUMMYFUNCTION("""COMPUTED_VALUE"""),1)</f>
        <v>1</v>
      </c>
      <c r="D7327" s="8">
        <f ca="1">IFERROR(__xludf.DUMMYFUNCTION("""COMPUTED_VALUE"""),5)</f>
        <v>5</v>
      </c>
      <c r="E7327" s="2">
        <f ca="1">IFERROR(__xludf.DUMMYFUNCTION("""COMPUTED_VALUE"""),2)</f>
        <v>2</v>
      </c>
    </row>
    <row r="7328" spans="1:5" ht="13">
      <c r="A7328" s="2" t="str">
        <f ca="1">IFERROR(__xludf.DUMMYFUNCTION("""COMPUTED_VALUE"""),"Seiberling, David")</f>
        <v>Seiberling, David</v>
      </c>
      <c r="B7328" s="3">
        <f ca="1">IFERROR(__xludf.DUMMYFUNCTION("""COMPUTED_VALUE"""),1)</f>
        <v>1</v>
      </c>
      <c r="C7328" s="7">
        <f ca="1">IFERROR(__xludf.DUMMYFUNCTION("""COMPUTED_VALUE"""),1)</f>
        <v>1</v>
      </c>
      <c r="D7328" s="8">
        <f ca="1">IFERROR(__xludf.DUMMYFUNCTION("""COMPUTED_VALUE"""),1)</f>
        <v>1</v>
      </c>
      <c r="E7328" s="2">
        <f ca="1">IFERROR(__xludf.DUMMYFUNCTION("""COMPUTED_VALUE"""),1)</f>
        <v>1</v>
      </c>
    </row>
    <row r="7329" spans="1:5" ht="13">
      <c r="A7329" s="8" t="str">
        <f ca="1">IFERROR(__xludf.DUMMYFUNCTION("""COMPUTED_VALUE"""),"Seidel, Arthur")</f>
        <v>Seidel, Arthur</v>
      </c>
      <c r="B7329" s="3">
        <f ca="1">IFERROR(__xludf.DUMMYFUNCTION("""COMPUTED_VALUE"""),1)</f>
        <v>1</v>
      </c>
      <c r="C7329" s="7">
        <f ca="1">IFERROR(__xludf.DUMMYFUNCTION("""COMPUTED_VALUE"""),1)</f>
        <v>1</v>
      </c>
      <c r="D7329" s="8">
        <f ca="1">IFERROR(__xludf.DUMMYFUNCTION("""COMPUTED_VALUE"""),5)</f>
        <v>5</v>
      </c>
      <c r="E7329" s="2">
        <f ca="1">IFERROR(__xludf.DUMMYFUNCTION("""COMPUTED_VALUE"""),2)</f>
        <v>2</v>
      </c>
    </row>
    <row r="7330" spans="1:5" ht="13">
      <c r="A7330" s="2" t="str">
        <f ca="1">IFERROR(__xludf.DUMMYFUNCTION("""COMPUTED_VALUE"""),"Seidle, Donovan")</f>
        <v>Seidle, Donovan</v>
      </c>
      <c r="B7330" s="3">
        <f ca="1">IFERROR(__xludf.DUMMYFUNCTION("""COMPUTED_VALUE"""),1)</f>
        <v>1</v>
      </c>
      <c r="C7330" s="7">
        <f ca="1">IFERROR(__xludf.DUMMYFUNCTION("""COMPUTED_VALUE"""),1)</f>
        <v>1</v>
      </c>
      <c r="D7330" s="8">
        <f ca="1">IFERROR(__xludf.DUMMYFUNCTION("""COMPUTED_VALUE"""),1)</f>
        <v>1</v>
      </c>
      <c r="E7330" s="2">
        <f ca="1">IFERROR(__xludf.DUMMYFUNCTION("""COMPUTED_VALUE"""),1)</f>
        <v>1</v>
      </c>
    </row>
    <row r="7331" spans="1:5" ht="13">
      <c r="A7331" s="2" t="str">
        <f ca="1">IFERROR(__xludf.DUMMYFUNCTION("""COMPUTED_VALUE"""),"Seifert-Kressbronn")</f>
        <v>Seifert-Kressbronn</v>
      </c>
      <c r="B7331" s="3">
        <f ca="1">IFERROR(__xludf.DUMMYFUNCTION("""COMPUTED_VALUE"""),1)</f>
        <v>1</v>
      </c>
      <c r="C7331" s="7">
        <f ca="1">IFERROR(__xludf.DUMMYFUNCTION("""COMPUTED_VALUE"""),1)</f>
        <v>1</v>
      </c>
      <c r="D7331" s="8">
        <f ca="1">IFERROR(__xludf.DUMMYFUNCTION("""COMPUTED_VALUE"""),1)</f>
        <v>1</v>
      </c>
      <c r="E7331" s="2">
        <f ca="1">IFERROR(__xludf.DUMMYFUNCTION("""COMPUTED_VALUE"""),1)</f>
        <v>1</v>
      </c>
    </row>
    <row r="7332" spans="1:5" ht="13">
      <c r="A7332" s="8" t="str">
        <f ca="1">IFERROR(__xludf.DUMMYFUNCTION("""COMPUTED_VALUE"""),"Seifert, Andrew")</f>
        <v>Seifert, Andrew</v>
      </c>
      <c r="B7332" s="3">
        <f ca="1">IFERROR(__xludf.DUMMYFUNCTION("""COMPUTED_VALUE"""),1)</f>
        <v>1</v>
      </c>
      <c r="C7332" s="7">
        <f ca="1">IFERROR(__xludf.DUMMYFUNCTION("""COMPUTED_VALUE"""),1)</f>
        <v>1</v>
      </c>
      <c r="D7332" s="8">
        <f ca="1">IFERROR(__xludf.DUMMYFUNCTION("""COMPUTED_VALUE"""),1)</f>
        <v>1</v>
      </c>
      <c r="E7332" s="2">
        <f ca="1">IFERROR(__xludf.DUMMYFUNCTION("""COMPUTED_VALUE"""),1)</f>
        <v>1</v>
      </c>
    </row>
    <row r="7333" spans="1:5" ht="13">
      <c r="A7333" s="8" t="str">
        <f ca="1">IFERROR(__xludf.DUMMYFUNCTION("""COMPUTED_VALUE"""),"Seiffert, Max")</f>
        <v>Seiffert, Max</v>
      </c>
      <c r="B7333" s="3">
        <f ca="1">IFERROR(__xludf.DUMMYFUNCTION("""COMPUTED_VALUE"""),1)</f>
        <v>1</v>
      </c>
      <c r="C7333" s="7">
        <f ca="1">IFERROR(__xludf.DUMMYFUNCTION("""COMPUTED_VALUE"""),1)</f>
        <v>1</v>
      </c>
      <c r="D7333" s="8">
        <f ca="1">IFERROR(__xludf.DUMMYFUNCTION("""COMPUTED_VALUE"""),5)</f>
        <v>5</v>
      </c>
      <c r="E7333" s="2">
        <f ca="1">IFERROR(__xludf.DUMMYFUNCTION("""COMPUTED_VALUE"""),2)</f>
        <v>2</v>
      </c>
    </row>
    <row r="7334" spans="1:5" ht="13">
      <c r="A7334" s="2" t="str">
        <f ca="1">IFERROR(__xludf.DUMMYFUNCTION("""COMPUTED_VALUE"""),"Seitz, Ernest")</f>
        <v>Seitz, Ernest</v>
      </c>
      <c r="B7334" s="3">
        <f ca="1">IFERROR(__xludf.DUMMYFUNCTION("""COMPUTED_VALUE"""),1)</f>
        <v>1</v>
      </c>
      <c r="C7334" s="7">
        <f ca="1">IFERROR(__xludf.DUMMYFUNCTION("""COMPUTED_VALUE"""),1)</f>
        <v>1</v>
      </c>
      <c r="D7334" s="8">
        <f ca="1">IFERROR(__xludf.DUMMYFUNCTION("""COMPUTED_VALUE"""),5)</f>
        <v>5</v>
      </c>
      <c r="E7334" s="2">
        <f ca="1">IFERROR(__xludf.DUMMYFUNCTION("""COMPUTED_VALUE"""),2)</f>
        <v>2</v>
      </c>
    </row>
    <row r="7335" spans="1:5" ht="13">
      <c r="A7335" s="2" t="str">
        <f ca="1">IFERROR(__xludf.DUMMYFUNCTION("""COMPUTED_VALUE"""),"Seitz, Paul")</f>
        <v>Seitz, Paul</v>
      </c>
      <c r="B7335" s="3">
        <f ca="1">IFERROR(__xludf.DUMMYFUNCTION("""COMPUTED_VALUE"""),1)</f>
        <v>1</v>
      </c>
      <c r="C7335" s="7">
        <f ca="1">IFERROR(__xludf.DUMMYFUNCTION("""COMPUTED_VALUE"""),1)</f>
        <v>1</v>
      </c>
      <c r="D7335" s="8">
        <f ca="1">IFERROR(__xludf.DUMMYFUNCTION("""COMPUTED_VALUE"""),1)</f>
        <v>1</v>
      </c>
      <c r="E7335" s="2">
        <f ca="1">IFERROR(__xludf.DUMMYFUNCTION("""COMPUTED_VALUE"""),1)</f>
        <v>1</v>
      </c>
    </row>
    <row r="7336" spans="1:5" ht="13">
      <c r="A7336" s="2" t="str">
        <f ca="1">IFERROR(__xludf.DUMMYFUNCTION("""COMPUTED_VALUE"""),"Seitz, Roger")</f>
        <v>Seitz, Roger</v>
      </c>
      <c r="B7336" s="3">
        <f ca="1">IFERROR(__xludf.DUMMYFUNCTION("""COMPUTED_VALUE"""),1)</f>
        <v>1</v>
      </c>
      <c r="C7336" s="7">
        <f ca="1">IFERROR(__xludf.DUMMYFUNCTION("""COMPUTED_VALUE"""),1)</f>
        <v>1</v>
      </c>
      <c r="D7336" s="8">
        <f ca="1">IFERROR(__xludf.DUMMYFUNCTION("""COMPUTED_VALUE"""),5)</f>
        <v>5</v>
      </c>
      <c r="E7336" s="2">
        <f ca="1">IFERROR(__xludf.DUMMYFUNCTION("""COMPUTED_VALUE"""),2)</f>
        <v>2</v>
      </c>
    </row>
    <row r="7337" spans="1:5" ht="13">
      <c r="A7337" s="2" t="str">
        <f ca="1">IFERROR(__xludf.DUMMYFUNCTION("""COMPUTED_VALUE"""),"Seitz, Roland")</f>
        <v>Seitz, Roland</v>
      </c>
      <c r="B7337" s="3">
        <f ca="1">IFERROR(__xludf.DUMMYFUNCTION("""COMPUTED_VALUE"""),1)</f>
        <v>1</v>
      </c>
      <c r="C7337" s="7">
        <f ca="1">IFERROR(__xludf.DUMMYFUNCTION("""COMPUTED_VALUE"""),1)</f>
        <v>1</v>
      </c>
      <c r="D7337" s="8">
        <f ca="1">IFERROR(__xludf.DUMMYFUNCTION("""COMPUTED_VALUE"""),5)</f>
        <v>5</v>
      </c>
      <c r="E7337" s="2">
        <f ca="1">IFERROR(__xludf.DUMMYFUNCTION("""COMPUTED_VALUE"""),2)</f>
        <v>2</v>
      </c>
    </row>
    <row r="7338" spans="1:5" ht="13">
      <c r="A7338" s="2" t="str">
        <f ca="1">IFERROR(__xludf.DUMMYFUNCTION("""COMPUTED_VALUE"""),"Sejana, Andris")</f>
        <v>Sejana, Andris</v>
      </c>
      <c r="B7338" s="3">
        <f ca="1">IFERROR(__xludf.DUMMYFUNCTION("""COMPUTED_VALUE"""),1)</f>
        <v>1</v>
      </c>
      <c r="C7338" s="7">
        <f ca="1">IFERROR(__xludf.DUMMYFUNCTION("""COMPUTED_VALUE"""),1)</f>
        <v>1</v>
      </c>
      <c r="D7338" s="8">
        <f ca="1">IFERROR(__xludf.DUMMYFUNCTION("""COMPUTED_VALUE"""),1)</f>
        <v>1</v>
      </c>
      <c r="E7338" s="2">
        <f ca="1">IFERROR(__xludf.DUMMYFUNCTION("""COMPUTED_VALUE"""),1)</f>
        <v>1</v>
      </c>
    </row>
    <row r="7339" spans="1:5" ht="13">
      <c r="A7339" s="2" t="str">
        <f ca="1">IFERROR(__xludf.DUMMYFUNCTION("""COMPUTED_VALUE"""),"Sejourne, Emmanuel")</f>
        <v>Sejourne, Emmanuel</v>
      </c>
      <c r="B7339" s="2">
        <f ca="1">IFERROR(__xludf.DUMMYFUNCTION("""COMPUTED_VALUE"""),1)</f>
        <v>1</v>
      </c>
      <c r="C7339" s="7">
        <f ca="1">IFERROR(__xludf.DUMMYFUNCTION("""COMPUTED_VALUE"""),1)</f>
        <v>1</v>
      </c>
      <c r="D7339" s="8">
        <f ca="1">IFERROR(__xludf.DUMMYFUNCTION("""COMPUTED_VALUE"""),1)</f>
        <v>1</v>
      </c>
      <c r="E7339" s="2">
        <f ca="1">IFERROR(__xludf.DUMMYFUNCTION("""COMPUTED_VALUE"""),1)</f>
        <v>1</v>
      </c>
    </row>
    <row r="7340" spans="1:5" ht="13">
      <c r="A7340" s="2" t="str">
        <f ca="1">IFERROR(__xludf.DUMMYFUNCTION("""COMPUTED_VALUE"""),"Séjourné, Emmanuel")</f>
        <v>Séjourné, Emmanuel</v>
      </c>
      <c r="B7340" s="3">
        <f ca="1">IFERROR(__xludf.DUMMYFUNCTION("""COMPUTED_VALUE"""),1)</f>
        <v>1</v>
      </c>
      <c r="C7340" s="7">
        <f ca="1">IFERROR(__xludf.DUMMYFUNCTION("""COMPUTED_VALUE"""),1)</f>
        <v>1</v>
      </c>
      <c r="D7340" s="8">
        <f ca="1">IFERROR(__xludf.DUMMYFUNCTION("""COMPUTED_VALUE"""),1)</f>
        <v>1</v>
      </c>
      <c r="E7340" s="2">
        <f ca="1">IFERROR(__xludf.DUMMYFUNCTION("""COMPUTED_VALUE"""),1)</f>
        <v>1</v>
      </c>
    </row>
    <row r="7341" spans="1:5" ht="13">
      <c r="A7341" s="2" t="str">
        <f ca="1">IFERROR(__xludf.DUMMYFUNCTION("""COMPUTED_VALUE"""),"Sekles, Bernhard")</f>
        <v>Sekles, Bernhard</v>
      </c>
      <c r="B7341" s="3">
        <f ca="1">IFERROR(__xludf.DUMMYFUNCTION("""COMPUTED_VALUE"""),1)</f>
        <v>1</v>
      </c>
      <c r="C7341" s="7">
        <f ca="1">IFERROR(__xludf.DUMMYFUNCTION("""COMPUTED_VALUE"""),1)</f>
        <v>1</v>
      </c>
      <c r="D7341" s="8">
        <f ca="1">IFERROR(__xludf.DUMMYFUNCTION("""COMPUTED_VALUE"""),5)</f>
        <v>5</v>
      </c>
      <c r="E7341" s="2">
        <f ca="1">IFERROR(__xludf.DUMMYFUNCTION("""COMPUTED_VALUE"""),2)</f>
        <v>2</v>
      </c>
    </row>
    <row r="7342" spans="1:5" ht="13">
      <c r="A7342" s="8" t="str">
        <f ca="1">IFERROR(__xludf.DUMMYFUNCTION("""COMPUTED_VALUE"""),"Sekon, Josef")</f>
        <v>Sekon, Josef</v>
      </c>
      <c r="B7342" s="3">
        <f ca="1">IFERROR(__xludf.DUMMYFUNCTION("""COMPUTED_VALUE"""),1)</f>
        <v>1</v>
      </c>
      <c r="C7342" s="7">
        <f ca="1">IFERROR(__xludf.DUMMYFUNCTION("""COMPUTED_VALUE"""),1)</f>
        <v>1</v>
      </c>
      <c r="D7342" s="8">
        <f ca="1">IFERROR(__xludf.DUMMYFUNCTION("""COMPUTED_VALUE"""),1)</f>
        <v>1</v>
      </c>
      <c r="E7342" s="2">
        <f ca="1">IFERROR(__xludf.DUMMYFUNCTION("""COMPUTED_VALUE"""),1)</f>
        <v>1</v>
      </c>
    </row>
    <row r="7343" spans="1:5" ht="13">
      <c r="A7343" s="8" t="str">
        <f ca="1">IFERROR(__xludf.DUMMYFUNCTION("""COMPUTED_VALUE"""),"Selby, Christopher")</f>
        <v>Selby, Christopher</v>
      </c>
      <c r="B7343" s="3">
        <f ca="1">IFERROR(__xludf.DUMMYFUNCTION("""COMPUTED_VALUE"""),1)</f>
        <v>1</v>
      </c>
      <c r="C7343" s="7">
        <f ca="1">IFERROR(__xludf.DUMMYFUNCTION("""COMPUTED_VALUE"""),1)</f>
        <v>1</v>
      </c>
      <c r="D7343" s="8">
        <f ca="1">IFERROR(__xludf.DUMMYFUNCTION("""COMPUTED_VALUE"""),1)</f>
        <v>1</v>
      </c>
      <c r="E7343" s="2">
        <f ca="1">IFERROR(__xludf.DUMMYFUNCTION("""COMPUTED_VALUE"""),1)</f>
        <v>1</v>
      </c>
    </row>
    <row r="7344" spans="1:5" ht="13">
      <c r="A7344" s="8" t="str">
        <f ca="1">IFERROR(__xludf.DUMMYFUNCTION("""COMPUTED_VALUE"""),"Selby, William")</f>
        <v>Selby, William</v>
      </c>
      <c r="B7344" s="3">
        <f ca="1">IFERROR(__xludf.DUMMYFUNCTION("""COMPUTED_VALUE"""),1)</f>
        <v>1</v>
      </c>
      <c r="C7344" s="7">
        <f ca="1">IFERROR(__xludf.DUMMYFUNCTION("""COMPUTED_VALUE"""),1)</f>
        <v>1</v>
      </c>
      <c r="D7344" s="8">
        <f ca="1">IFERROR(__xludf.DUMMYFUNCTION("""COMPUTED_VALUE"""),5)</f>
        <v>5</v>
      </c>
      <c r="E7344" s="2">
        <f ca="1">IFERROR(__xludf.DUMMYFUNCTION("""COMPUTED_VALUE"""),2)</f>
        <v>2</v>
      </c>
    </row>
    <row r="7345" spans="1:5" ht="13">
      <c r="A7345" s="2" t="str">
        <f ca="1">IFERROR(__xludf.DUMMYFUNCTION("""COMPUTED_VALUE"""),"Selden, Ken")</f>
        <v>Selden, Ken</v>
      </c>
      <c r="B7345" s="3">
        <f ca="1">IFERROR(__xludf.DUMMYFUNCTION("""COMPUTED_VALUE"""),1)</f>
        <v>1</v>
      </c>
      <c r="C7345" s="7">
        <f ca="1">IFERROR(__xludf.DUMMYFUNCTION("""COMPUTED_VALUE"""),1)</f>
        <v>1</v>
      </c>
      <c r="D7345" s="8">
        <f ca="1">IFERROR(__xludf.DUMMYFUNCTION("""COMPUTED_VALUE"""),1)</f>
        <v>1</v>
      </c>
      <c r="E7345" s="2">
        <f ca="1">IFERROR(__xludf.DUMMYFUNCTION("""COMPUTED_VALUE"""),1)</f>
        <v>1</v>
      </c>
    </row>
    <row r="7346" spans="1:5" ht="13">
      <c r="A7346" s="2" t="str">
        <f ca="1">IFERROR(__xludf.DUMMYFUNCTION("""COMPUTED_VALUE"""),"Seletsky, Robin / Seletsky, Harold")</f>
        <v>Seletsky, Robin / Seletsky, Harold</v>
      </c>
      <c r="B7346" s="3">
        <f ca="1">IFERROR(__xludf.DUMMYFUNCTION("""COMPUTED_VALUE"""),1)</f>
        <v>1</v>
      </c>
      <c r="C7346" s="7">
        <f ca="1">IFERROR(__xludf.DUMMYFUNCTION("""COMPUTED_VALUE"""),1)</f>
        <v>1</v>
      </c>
      <c r="D7346" s="8">
        <f ca="1">IFERROR(__xludf.DUMMYFUNCTION("""COMPUTED_VALUE"""),1)</f>
        <v>1</v>
      </c>
      <c r="E7346" s="2">
        <f ca="1">IFERROR(__xludf.DUMMYFUNCTION("""COMPUTED_VALUE"""),1)</f>
        <v>1</v>
      </c>
    </row>
    <row r="7347" spans="1:5" ht="13">
      <c r="A7347" s="2" t="str">
        <f ca="1">IFERROR(__xludf.DUMMYFUNCTION("""COMPUTED_VALUE"""),"Self, James")</f>
        <v>Self, James</v>
      </c>
      <c r="B7347" s="3">
        <f ca="1">IFERROR(__xludf.DUMMYFUNCTION("""COMPUTED_VALUE"""),1)</f>
        <v>1</v>
      </c>
      <c r="C7347" s="7">
        <f ca="1">IFERROR(__xludf.DUMMYFUNCTION("""COMPUTED_VALUE"""),1)</f>
        <v>1</v>
      </c>
      <c r="D7347" s="8">
        <f ca="1">IFERROR(__xludf.DUMMYFUNCTION("""COMPUTED_VALUE"""),1)</f>
        <v>1</v>
      </c>
      <c r="E7347" s="2">
        <f ca="1">IFERROR(__xludf.DUMMYFUNCTION("""COMPUTED_VALUE"""),1)</f>
        <v>1</v>
      </c>
    </row>
    <row r="7348" spans="1:5" ht="13">
      <c r="A7348" s="2" t="str">
        <f ca="1">IFERROR(__xludf.DUMMYFUNCTION("""COMPUTED_VALUE"""),"Sellenick, Adolphe Valentin")</f>
        <v>Sellenick, Adolphe Valentin</v>
      </c>
      <c r="B7348" s="2">
        <f ca="1">IFERROR(__xludf.DUMMYFUNCTION("""COMPUTED_VALUE"""),1)</f>
        <v>1</v>
      </c>
      <c r="C7348" s="7">
        <f ca="1">IFERROR(__xludf.DUMMYFUNCTION("""COMPUTED_VALUE"""),1)</f>
        <v>1</v>
      </c>
      <c r="D7348" s="8">
        <f ca="1">IFERROR(__xludf.DUMMYFUNCTION("""COMPUTED_VALUE"""),5)</f>
        <v>5</v>
      </c>
      <c r="E7348" s="2">
        <f ca="1">IFERROR(__xludf.DUMMYFUNCTION("""COMPUTED_VALUE"""),2)</f>
        <v>2</v>
      </c>
    </row>
    <row r="7349" spans="1:5" ht="13">
      <c r="A7349" s="8" t="str">
        <f ca="1">IFERROR(__xludf.DUMMYFUNCTION("""COMPUTED_VALUE"""),"Sellew, Donald")</f>
        <v>Sellew, Donald</v>
      </c>
      <c r="B7349" s="3">
        <f ca="1">IFERROR(__xludf.DUMMYFUNCTION("""COMPUTED_VALUE"""),1)</f>
        <v>1</v>
      </c>
      <c r="C7349" s="7">
        <f ca="1">IFERROR(__xludf.DUMMYFUNCTION("""COMPUTED_VALUE"""),1)</f>
        <v>1</v>
      </c>
      <c r="D7349" s="8">
        <f ca="1">IFERROR(__xludf.DUMMYFUNCTION("""COMPUTED_VALUE"""),5)</f>
        <v>5</v>
      </c>
      <c r="E7349" s="2">
        <f ca="1">IFERROR(__xludf.DUMMYFUNCTION("""COMPUTED_VALUE"""),2)</f>
        <v>2</v>
      </c>
    </row>
    <row r="7350" spans="1:5" ht="13">
      <c r="A7350" s="2" t="str">
        <f ca="1">IFERROR(__xludf.DUMMYFUNCTION("""COMPUTED_VALUE"""),"Sells, Robert")</f>
        <v>Sells, Robert</v>
      </c>
      <c r="B7350" s="3">
        <f ca="1">IFERROR(__xludf.DUMMYFUNCTION("""COMPUTED_VALUE"""),1)</f>
        <v>1</v>
      </c>
      <c r="C7350" s="7">
        <f ca="1">IFERROR(__xludf.DUMMYFUNCTION("""COMPUTED_VALUE"""),1)</f>
        <v>1</v>
      </c>
      <c r="D7350" s="8">
        <f ca="1">IFERROR(__xludf.DUMMYFUNCTION("""COMPUTED_VALUE"""),1)</f>
        <v>1</v>
      </c>
      <c r="E7350" s="2">
        <f ca="1">IFERROR(__xludf.DUMMYFUNCTION("""COMPUTED_VALUE"""),1)</f>
        <v>1</v>
      </c>
    </row>
    <row r="7351" spans="1:5" ht="13">
      <c r="A7351" s="2" t="str">
        <f ca="1">IFERROR(__xludf.DUMMYFUNCTION("""COMPUTED_VALUE"""),"Senaillé, Jean Baptiste")</f>
        <v>Senaillé, Jean Baptiste</v>
      </c>
      <c r="B7351" s="3">
        <f ca="1">IFERROR(__xludf.DUMMYFUNCTION("""COMPUTED_VALUE"""),1)</f>
        <v>1</v>
      </c>
      <c r="C7351" s="7">
        <f ca="1">IFERROR(__xludf.DUMMYFUNCTION("""COMPUTED_VALUE"""),1)</f>
        <v>1</v>
      </c>
      <c r="D7351" s="8">
        <f ca="1">IFERROR(__xludf.DUMMYFUNCTION("""COMPUTED_VALUE"""),5)</f>
        <v>5</v>
      </c>
      <c r="E7351" s="2">
        <f ca="1">IFERROR(__xludf.DUMMYFUNCTION("""COMPUTED_VALUE"""),2)</f>
        <v>2</v>
      </c>
    </row>
    <row r="7352" spans="1:5" ht="13">
      <c r="A7352" s="2" t="str">
        <f ca="1">IFERROR(__xludf.DUMMYFUNCTION("""COMPUTED_VALUE"""),"Senchuk, Peter")</f>
        <v>Senchuk, Peter</v>
      </c>
      <c r="B7352" s="3">
        <f ca="1">IFERROR(__xludf.DUMMYFUNCTION("""COMPUTED_VALUE"""),1)</f>
        <v>1</v>
      </c>
      <c r="C7352" s="7">
        <f ca="1">IFERROR(__xludf.DUMMYFUNCTION("""COMPUTED_VALUE"""),1)</f>
        <v>1</v>
      </c>
      <c r="D7352" s="8">
        <f ca="1">IFERROR(__xludf.DUMMYFUNCTION("""COMPUTED_VALUE"""),1)</f>
        <v>1</v>
      </c>
      <c r="E7352" s="2">
        <f ca="1">IFERROR(__xludf.DUMMYFUNCTION("""COMPUTED_VALUE"""),1)</f>
        <v>1</v>
      </c>
    </row>
    <row r="7353" spans="1:5" ht="13">
      <c r="A7353" s="2" t="str">
        <f ca="1">IFERROR(__xludf.DUMMYFUNCTION("""COMPUTED_VALUE"""),"Senfl, Ludwig")</f>
        <v>Senfl, Ludwig</v>
      </c>
      <c r="B7353" s="2">
        <f ca="1">IFERROR(__xludf.DUMMYFUNCTION("""COMPUTED_VALUE"""),1)</f>
        <v>1</v>
      </c>
      <c r="C7353" s="7">
        <f ca="1">IFERROR(__xludf.DUMMYFUNCTION("""COMPUTED_VALUE"""),1)</f>
        <v>1</v>
      </c>
      <c r="D7353" s="8">
        <f ca="1">IFERROR(__xludf.DUMMYFUNCTION("""COMPUTED_VALUE"""),5)</f>
        <v>5</v>
      </c>
      <c r="E7353" s="2">
        <f ca="1">IFERROR(__xludf.DUMMYFUNCTION("""COMPUTED_VALUE"""),2)</f>
        <v>2</v>
      </c>
    </row>
    <row r="7354" spans="1:5" ht="13">
      <c r="A7354" s="8" t="str">
        <f ca="1">IFERROR(__xludf.DUMMYFUNCTION("""COMPUTED_VALUE"""),"Senob, Carl")</f>
        <v>Senob, Carl</v>
      </c>
      <c r="B7354" s="3">
        <f ca="1">IFERROR(__xludf.DUMMYFUNCTION("""COMPUTED_VALUE"""),1)</f>
        <v>1</v>
      </c>
      <c r="C7354" s="7">
        <f ca="1">IFERROR(__xludf.DUMMYFUNCTION("""COMPUTED_VALUE"""),1)</f>
        <v>1</v>
      </c>
      <c r="D7354" s="8">
        <f ca="1">IFERROR(__xludf.DUMMYFUNCTION("""COMPUTED_VALUE"""),5)</f>
        <v>5</v>
      </c>
      <c r="E7354" s="2">
        <f ca="1">IFERROR(__xludf.DUMMYFUNCTION("""COMPUTED_VALUE"""),2)</f>
        <v>2</v>
      </c>
    </row>
    <row r="7355" spans="1:5" ht="13">
      <c r="A7355" s="2" t="str">
        <f ca="1">IFERROR(__xludf.DUMMYFUNCTION("""COMPUTED_VALUE"""),"Senter, Mike")</f>
        <v>Senter, Mike</v>
      </c>
      <c r="B7355" s="3">
        <f ca="1">IFERROR(__xludf.DUMMYFUNCTION("""COMPUTED_VALUE"""),1)</f>
        <v>1</v>
      </c>
      <c r="C7355" s="7">
        <f ca="1">IFERROR(__xludf.DUMMYFUNCTION("""COMPUTED_VALUE"""),1)</f>
        <v>1</v>
      </c>
      <c r="D7355" s="8">
        <f ca="1">IFERROR(__xludf.DUMMYFUNCTION("""COMPUTED_VALUE"""),5)</f>
        <v>5</v>
      </c>
      <c r="E7355" s="2">
        <f ca="1">IFERROR(__xludf.DUMMYFUNCTION("""COMPUTED_VALUE"""),2)</f>
        <v>2</v>
      </c>
    </row>
    <row r="7356" spans="1:5" ht="13">
      <c r="A7356" s="2" t="str">
        <f ca="1">IFERROR(__xludf.DUMMYFUNCTION("""COMPUTED_VALUE"""),"Senturia, Michael")</f>
        <v>Senturia, Michael</v>
      </c>
      <c r="B7356" s="3">
        <f ca="1">IFERROR(__xludf.DUMMYFUNCTION("""COMPUTED_VALUE"""),1)</f>
        <v>1</v>
      </c>
      <c r="C7356" s="7">
        <f ca="1">IFERROR(__xludf.DUMMYFUNCTION("""COMPUTED_VALUE"""),1)</f>
        <v>1</v>
      </c>
      <c r="D7356" s="8">
        <f ca="1">IFERROR(__xludf.DUMMYFUNCTION("""COMPUTED_VALUE"""),1)</f>
        <v>1</v>
      </c>
      <c r="E7356" s="2">
        <f ca="1">IFERROR(__xludf.DUMMYFUNCTION("""COMPUTED_VALUE"""),1)</f>
        <v>1</v>
      </c>
    </row>
    <row r="7357" spans="1:5" ht="13">
      <c r="A7357" s="2" t="str">
        <f ca="1">IFERROR(__xludf.DUMMYFUNCTION("""COMPUTED_VALUE"""),"Seóirse, Bodley")</f>
        <v>Seóirse, Bodley</v>
      </c>
      <c r="B7357" s="3">
        <f ca="1">IFERROR(__xludf.DUMMYFUNCTION("""COMPUTED_VALUE"""),1)</f>
        <v>1</v>
      </c>
      <c r="C7357" s="7">
        <f ca="1">IFERROR(__xludf.DUMMYFUNCTION("""COMPUTED_VALUE"""),1)</f>
        <v>1</v>
      </c>
      <c r="D7357" s="8">
        <f ca="1">IFERROR(__xludf.DUMMYFUNCTION("""COMPUTED_VALUE"""),1)</f>
        <v>1</v>
      </c>
      <c r="E7357" s="2">
        <f ca="1">IFERROR(__xludf.DUMMYFUNCTION("""COMPUTED_VALUE"""),1)</f>
        <v>1</v>
      </c>
    </row>
    <row r="7358" spans="1:5" ht="13">
      <c r="A7358" s="2" t="str">
        <f ca="1">IFERROR(__xludf.DUMMYFUNCTION("""COMPUTED_VALUE"""),"Seredy, Julius")</f>
        <v>Seredy, Julius</v>
      </c>
      <c r="B7358" s="3">
        <f ca="1">IFERROR(__xludf.DUMMYFUNCTION("""COMPUTED_VALUE"""),1)</f>
        <v>1</v>
      </c>
      <c r="C7358" s="7">
        <f ca="1">IFERROR(__xludf.DUMMYFUNCTION("""COMPUTED_VALUE"""),1)</f>
        <v>1</v>
      </c>
      <c r="D7358" s="8">
        <f ca="1">IFERROR(__xludf.DUMMYFUNCTION("""COMPUTED_VALUE"""),5)</f>
        <v>5</v>
      </c>
      <c r="E7358" s="2">
        <f ca="1">IFERROR(__xludf.DUMMYFUNCTION("""COMPUTED_VALUE"""),2)</f>
        <v>2</v>
      </c>
    </row>
    <row r="7359" spans="1:5" ht="13">
      <c r="A7359" s="2" t="str">
        <f ca="1">IFERROR(__xludf.DUMMYFUNCTION("""COMPUTED_VALUE"""),"Serino, Philip")</f>
        <v>Serino, Philip</v>
      </c>
      <c r="B7359" s="3">
        <f ca="1">IFERROR(__xludf.DUMMYFUNCTION("""COMPUTED_VALUE"""),1)</f>
        <v>1</v>
      </c>
      <c r="C7359" s="7">
        <f ca="1">IFERROR(__xludf.DUMMYFUNCTION("""COMPUTED_VALUE"""),1)</f>
        <v>1</v>
      </c>
      <c r="D7359" s="8">
        <f ca="1">IFERROR(__xludf.DUMMYFUNCTION("""COMPUTED_VALUE"""),1)</f>
        <v>1</v>
      </c>
      <c r="E7359" s="2">
        <f ca="1">IFERROR(__xludf.DUMMYFUNCTION("""COMPUTED_VALUE"""),1)</f>
        <v>1</v>
      </c>
    </row>
    <row r="7360" spans="1:5" ht="13">
      <c r="A7360" s="2" t="str">
        <f ca="1">IFERROR(__xludf.DUMMYFUNCTION("""COMPUTED_VALUE"""),"Serly, Tibor")</f>
        <v>Serly, Tibor</v>
      </c>
      <c r="B7360" s="3">
        <f ca="1">IFERROR(__xludf.DUMMYFUNCTION("""COMPUTED_VALUE"""),1)</f>
        <v>1</v>
      </c>
      <c r="C7360" s="7">
        <f ca="1">IFERROR(__xludf.DUMMYFUNCTION("""COMPUTED_VALUE"""),1)</f>
        <v>1</v>
      </c>
      <c r="D7360" s="8">
        <f ca="1">IFERROR(__xludf.DUMMYFUNCTION("""COMPUTED_VALUE"""),5)</f>
        <v>5</v>
      </c>
      <c r="E7360" s="2">
        <f ca="1">IFERROR(__xludf.DUMMYFUNCTION("""COMPUTED_VALUE"""),2)</f>
        <v>2</v>
      </c>
    </row>
    <row r="7361" spans="1:5" ht="13">
      <c r="A7361" s="2" t="str">
        <f ca="1">IFERROR(__xludf.DUMMYFUNCTION("""COMPUTED_VALUE"""),"Sermisy, Claudin")</f>
        <v>Sermisy, Claudin</v>
      </c>
      <c r="B7361" s="3">
        <f ca="1">IFERROR(__xludf.DUMMYFUNCTION("""COMPUTED_VALUE"""),1)</f>
        <v>1</v>
      </c>
      <c r="C7361" s="7">
        <f ca="1">IFERROR(__xludf.DUMMYFUNCTION("""COMPUTED_VALUE"""),1)</f>
        <v>1</v>
      </c>
      <c r="D7361" s="8">
        <f ca="1">IFERROR(__xludf.DUMMYFUNCTION("""COMPUTED_VALUE"""),5)</f>
        <v>5</v>
      </c>
      <c r="E7361" s="2">
        <f ca="1">IFERROR(__xludf.DUMMYFUNCTION("""COMPUTED_VALUE"""),2)</f>
        <v>2</v>
      </c>
    </row>
    <row r="7362" spans="1:5" ht="13">
      <c r="A7362" s="2" t="str">
        <f ca="1">IFERROR(__xludf.DUMMYFUNCTION("""COMPUTED_VALUE"""),"Sermisy, Claudin de")</f>
        <v>Sermisy, Claudin de</v>
      </c>
      <c r="B7362" s="3">
        <f ca="1">IFERROR(__xludf.DUMMYFUNCTION("""COMPUTED_VALUE"""),1)</f>
        <v>1</v>
      </c>
      <c r="C7362" s="7">
        <f ca="1">IFERROR(__xludf.DUMMYFUNCTION("""COMPUTED_VALUE"""),1)</f>
        <v>1</v>
      </c>
      <c r="D7362" s="8">
        <f ca="1">IFERROR(__xludf.DUMMYFUNCTION("""COMPUTED_VALUE"""),5)</f>
        <v>5</v>
      </c>
      <c r="E7362" s="2">
        <f ca="1">IFERROR(__xludf.DUMMYFUNCTION("""COMPUTED_VALUE"""),2)</f>
        <v>2</v>
      </c>
    </row>
    <row r="7363" spans="1:5" ht="13">
      <c r="A7363" s="2" t="str">
        <f ca="1">IFERROR(__xludf.DUMMYFUNCTION("""COMPUTED_VALUE"""),"Serocki, Kazimierz")</f>
        <v>Serocki, Kazimierz</v>
      </c>
      <c r="B7363" s="3">
        <f ca="1">IFERROR(__xludf.DUMMYFUNCTION("""COMPUTED_VALUE"""),1)</f>
        <v>1</v>
      </c>
      <c r="C7363" s="7">
        <f ca="1">IFERROR(__xludf.DUMMYFUNCTION("""COMPUTED_VALUE"""),1)</f>
        <v>1</v>
      </c>
      <c r="D7363" s="8">
        <f ca="1">IFERROR(__xludf.DUMMYFUNCTION("""COMPUTED_VALUE"""),5)</f>
        <v>5</v>
      </c>
      <c r="E7363" s="2">
        <f ca="1">IFERROR(__xludf.DUMMYFUNCTION("""COMPUTED_VALUE"""),2)</f>
        <v>2</v>
      </c>
    </row>
    <row r="7364" spans="1:5" ht="13">
      <c r="A7364" s="2" t="str">
        <f ca="1">IFERROR(__xludf.DUMMYFUNCTION("""COMPUTED_VALUE"""),"Serpa, Steven")</f>
        <v>Serpa, Steven</v>
      </c>
      <c r="B7364" s="3">
        <f ca="1">IFERROR(__xludf.DUMMYFUNCTION("""COMPUTED_VALUE"""),1)</f>
        <v>1</v>
      </c>
      <c r="C7364" s="7">
        <f ca="1">IFERROR(__xludf.DUMMYFUNCTION("""COMPUTED_VALUE"""),1)</f>
        <v>1</v>
      </c>
      <c r="D7364" s="8">
        <f ca="1">IFERROR(__xludf.DUMMYFUNCTION("""COMPUTED_VALUE"""),1)</f>
        <v>1</v>
      </c>
      <c r="E7364" s="2">
        <f ca="1">IFERROR(__xludf.DUMMYFUNCTION("""COMPUTED_VALUE"""),1)</f>
        <v>1</v>
      </c>
    </row>
    <row r="7365" spans="1:5" ht="13">
      <c r="A7365" s="2" t="str">
        <f ca="1">IFERROR(__xludf.DUMMYFUNCTION("""COMPUTED_VALUE"""),"Serper, Arkadi")</f>
        <v>Serper, Arkadi</v>
      </c>
      <c r="B7365" s="3">
        <f ca="1">IFERROR(__xludf.DUMMYFUNCTION("""COMPUTED_VALUE"""),1)</f>
        <v>1</v>
      </c>
      <c r="C7365" s="7">
        <f ca="1">IFERROR(__xludf.DUMMYFUNCTION("""COMPUTED_VALUE"""),1)</f>
        <v>1</v>
      </c>
      <c r="D7365" s="8">
        <f ca="1">IFERROR(__xludf.DUMMYFUNCTION("""COMPUTED_VALUE"""),1)</f>
        <v>1</v>
      </c>
      <c r="E7365" s="2">
        <f ca="1">IFERROR(__xludf.DUMMYFUNCTION("""COMPUTED_VALUE"""),1)</f>
        <v>1</v>
      </c>
    </row>
    <row r="7366" spans="1:5" ht="13">
      <c r="A7366" s="8" t="str">
        <f ca="1">IFERROR(__xludf.DUMMYFUNCTION("""COMPUTED_VALUE"""),"Serposs, Emile")</f>
        <v>Serposs, Emile</v>
      </c>
      <c r="B7366" s="3">
        <f ca="1">IFERROR(__xludf.DUMMYFUNCTION("""COMPUTED_VALUE"""),1)</f>
        <v>1</v>
      </c>
      <c r="C7366" s="7">
        <f ca="1">IFERROR(__xludf.DUMMYFUNCTION("""COMPUTED_VALUE"""),1)</f>
        <v>1</v>
      </c>
      <c r="D7366" s="8">
        <f ca="1">IFERROR(__xludf.DUMMYFUNCTION("""COMPUTED_VALUE"""),5)</f>
        <v>5</v>
      </c>
      <c r="E7366" s="2">
        <f ca="1">IFERROR(__xludf.DUMMYFUNCTION("""COMPUTED_VALUE"""),2)</f>
        <v>2</v>
      </c>
    </row>
    <row r="7367" spans="1:5" ht="13">
      <c r="A7367" s="8" t="str">
        <f ca="1">IFERROR(__xludf.DUMMYFUNCTION("""COMPUTED_VALUE"""),"Serrano, José")</f>
        <v>Serrano, José</v>
      </c>
      <c r="B7367" s="3">
        <f ca="1">IFERROR(__xludf.DUMMYFUNCTION("""COMPUTED_VALUE"""),1)</f>
        <v>1</v>
      </c>
      <c r="C7367" s="7">
        <f ca="1">IFERROR(__xludf.DUMMYFUNCTION("""COMPUTED_VALUE"""),1)</f>
        <v>1</v>
      </c>
      <c r="D7367" s="8">
        <f ca="1">IFERROR(__xludf.DUMMYFUNCTION("""COMPUTED_VALUE"""),5)</f>
        <v>5</v>
      </c>
      <c r="E7367" s="2">
        <f ca="1">IFERROR(__xludf.DUMMYFUNCTION("""COMPUTED_VALUE"""),2)</f>
        <v>2</v>
      </c>
    </row>
    <row r="7368" spans="1:5" ht="13">
      <c r="A7368" s="2" t="str">
        <f ca="1">IFERROR(__xludf.DUMMYFUNCTION("""COMPUTED_VALUE"""),"Setzer, Brian")</f>
        <v>Setzer, Brian</v>
      </c>
      <c r="B7368" s="3">
        <f ca="1">IFERROR(__xludf.DUMMYFUNCTION("""COMPUTED_VALUE"""),1)</f>
        <v>1</v>
      </c>
      <c r="C7368" s="7">
        <f ca="1">IFERROR(__xludf.DUMMYFUNCTION("""COMPUTED_VALUE"""),1)</f>
        <v>1</v>
      </c>
      <c r="D7368" s="8">
        <f ca="1">IFERROR(__xludf.DUMMYFUNCTION("""COMPUTED_VALUE"""),1)</f>
        <v>1</v>
      </c>
      <c r="E7368" s="2">
        <f ca="1">IFERROR(__xludf.DUMMYFUNCTION("""COMPUTED_VALUE"""),1)</f>
        <v>1</v>
      </c>
    </row>
    <row r="7369" spans="1:5" ht="13">
      <c r="A7369" s="8" t="str">
        <f ca="1">IFERROR(__xludf.DUMMYFUNCTION("""COMPUTED_VALUE"""),"Severn, Edmund")</f>
        <v>Severn, Edmund</v>
      </c>
      <c r="B7369" s="3">
        <f ca="1">IFERROR(__xludf.DUMMYFUNCTION("""COMPUTED_VALUE"""),1)</f>
        <v>1</v>
      </c>
      <c r="C7369" s="7">
        <f ca="1">IFERROR(__xludf.DUMMYFUNCTION("""COMPUTED_VALUE"""),1)</f>
        <v>1</v>
      </c>
      <c r="D7369" s="8">
        <f ca="1">IFERROR(__xludf.DUMMYFUNCTION("""COMPUTED_VALUE"""),5)</f>
        <v>5</v>
      </c>
      <c r="E7369" s="2">
        <f ca="1">IFERROR(__xludf.DUMMYFUNCTION("""COMPUTED_VALUE"""),2)</f>
        <v>2</v>
      </c>
    </row>
    <row r="7370" spans="1:5" ht="13">
      <c r="A7370" s="8" t="str">
        <f ca="1">IFERROR(__xludf.DUMMYFUNCTION("""COMPUTED_VALUE"""),"Seyfried, Sheridan")</f>
        <v>Seyfried, Sheridan</v>
      </c>
      <c r="B7370" s="3">
        <f ca="1">IFERROR(__xludf.DUMMYFUNCTION("""COMPUTED_VALUE"""),1)</f>
        <v>1</v>
      </c>
      <c r="C7370" s="7">
        <f ca="1">IFERROR(__xludf.DUMMYFUNCTION("""COMPUTED_VALUE"""),1)</f>
        <v>1</v>
      </c>
      <c r="D7370" s="8">
        <f ca="1">IFERROR(__xludf.DUMMYFUNCTION("""COMPUTED_VALUE"""),1)</f>
        <v>1</v>
      </c>
      <c r="E7370" s="2">
        <f ca="1">IFERROR(__xludf.DUMMYFUNCTION("""COMPUTED_VALUE"""),1)</f>
        <v>1</v>
      </c>
    </row>
    <row r="7371" spans="1:5" ht="13">
      <c r="A7371" s="2" t="str">
        <f ca="1">IFERROR(__xludf.DUMMYFUNCTION("""COMPUTED_VALUE"""),"Sgambati, Giovanni")</f>
        <v>Sgambati, Giovanni</v>
      </c>
      <c r="B7371" s="3">
        <f ca="1">IFERROR(__xludf.DUMMYFUNCTION("""COMPUTED_VALUE"""),1)</f>
        <v>1</v>
      </c>
      <c r="C7371" s="7">
        <f ca="1">IFERROR(__xludf.DUMMYFUNCTION("""COMPUTED_VALUE"""),1)</f>
        <v>1</v>
      </c>
      <c r="D7371" s="8">
        <f ca="1">IFERROR(__xludf.DUMMYFUNCTION("""COMPUTED_VALUE"""),5)</f>
        <v>5</v>
      </c>
      <c r="E7371" s="2">
        <f ca="1">IFERROR(__xludf.DUMMYFUNCTION("""COMPUTED_VALUE"""),2)</f>
        <v>2</v>
      </c>
    </row>
    <row r="7372" spans="1:5" ht="13">
      <c r="A7372" s="2" t="str">
        <f ca="1">IFERROR(__xludf.DUMMYFUNCTION("""COMPUTED_VALUE"""),"Shackelton, Tim")</f>
        <v>Shackelton, Tim</v>
      </c>
      <c r="B7372" s="3">
        <f ca="1">IFERROR(__xludf.DUMMYFUNCTION("""COMPUTED_VALUE"""),1)</f>
        <v>1</v>
      </c>
      <c r="C7372" s="7">
        <f ca="1">IFERROR(__xludf.DUMMYFUNCTION("""COMPUTED_VALUE"""),1)</f>
        <v>1</v>
      </c>
      <c r="D7372" s="8">
        <f ca="1">IFERROR(__xludf.DUMMYFUNCTION("""COMPUTED_VALUE"""),1)</f>
        <v>1</v>
      </c>
      <c r="E7372" s="2">
        <f ca="1">IFERROR(__xludf.DUMMYFUNCTION("""COMPUTED_VALUE"""),1)</f>
        <v>1</v>
      </c>
    </row>
    <row r="7373" spans="1:5" ht="13">
      <c r="A7373" s="2" t="str">
        <f ca="1">IFERROR(__xludf.DUMMYFUNCTION("""COMPUTED_VALUE"""),"Shackleton, Tim")</f>
        <v>Shackleton, Tim</v>
      </c>
      <c r="B7373" s="3">
        <f ca="1">IFERROR(__xludf.DUMMYFUNCTION("""COMPUTED_VALUE"""),1)</f>
        <v>1</v>
      </c>
      <c r="C7373" s="7">
        <f ca="1">IFERROR(__xludf.DUMMYFUNCTION("""COMPUTED_VALUE"""),1)</f>
        <v>1</v>
      </c>
      <c r="D7373" s="8">
        <f ca="1">IFERROR(__xludf.DUMMYFUNCTION("""COMPUTED_VALUE"""),5)</f>
        <v>5</v>
      </c>
      <c r="E7373" s="2">
        <f ca="1">IFERROR(__xludf.DUMMYFUNCTION("""COMPUTED_VALUE"""),2)</f>
        <v>2</v>
      </c>
    </row>
    <row r="7374" spans="1:5" ht="13">
      <c r="A7374" s="8" t="str">
        <f ca="1">IFERROR(__xludf.DUMMYFUNCTION("""COMPUTED_VALUE"""),"Shackley, Larry")</f>
        <v>Shackley, Larry</v>
      </c>
      <c r="B7374" s="3">
        <f ca="1">IFERROR(__xludf.DUMMYFUNCTION("""COMPUTED_VALUE"""),1)</f>
        <v>1</v>
      </c>
      <c r="C7374" s="7">
        <f ca="1">IFERROR(__xludf.DUMMYFUNCTION("""COMPUTED_VALUE"""),1)</f>
        <v>1</v>
      </c>
      <c r="D7374" s="8">
        <f ca="1">IFERROR(__xludf.DUMMYFUNCTION("""COMPUTED_VALUE"""),1)</f>
        <v>1</v>
      </c>
      <c r="E7374" s="2">
        <f ca="1">IFERROR(__xludf.DUMMYFUNCTION("""COMPUTED_VALUE"""),1)</f>
        <v>1</v>
      </c>
    </row>
    <row r="7375" spans="1:5" ht="13">
      <c r="A7375" s="2" t="str">
        <f ca="1">IFERROR(__xludf.DUMMYFUNCTION("""COMPUTED_VALUE"""),"Shaeffer, Taylor / Richter, Blake")</f>
        <v>Shaeffer, Taylor / Richter, Blake</v>
      </c>
      <c r="B7375" s="3">
        <f ca="1">IFERROR(__xludf.DUMMYFUNCTION("""COMPUTED_VALUE"""),1)</f>
        <v>1</v>
      </c>
      <c r="C7375" s="7">
        <f ca="1">IFERROR(__xludf.DUMMYFUNCTION("""COMPUTED_VALUE"""),1)</f>
        <v>1</v>
      </c>
      <c r="D7375" s="8">
        <f ca="1">IFERROR(__xludf.DUMMYFUNCTION("""COMPUTED_VALUE"""),1)</f>
        <v>1</v>
      </c>
      <c r="E7375" s="2">
        <f ca="1">IFERROR(__xludf.DUMMYFUNCTION("""COMPUTED_VALUE"""),1)</f>
        <v>1</v>
      </c>
    </row>
    <row r="7376" spans="1:5" ht="13">
      <c r="A7376" s="2" t="str">
        <f ca="1">IFERROR(__xludf.DUMMYFUNCTION("""COMPUTED_VALUE"""),"Shafer, R. Murray")</f>
        <v>Shafer, R. Murray</v>
      </c>
      <c r="B7376" s="3">
        <f ca="1">IFERROR(__xludf.DUMMYFUNCTION("""COMPUTED_VALUE"""),1)</f>
        <v>1</v>
      </c>
      <c r="C7376" s="7">
        <f ca="1">IFERROR(__xludf.DUMMYFUNCTION("""COMPUTED_VALUE"""),1)</f>
        <v>1</v>
      </c>
      <c r="D7376" s="8">
        <f ca="1">IFERROR(__xludf.DUMMYFUNCTION("""COMPUTED_VALUE"""),5)</f>
        <v>5</v>
      </c>
      <c r="E7376" s="3">
        <f ca="1">IFERROR(__xludf.DUMMYFUNCTION("""COMPUTED_VALUE"""),2)</f>
        <v>2</v>
      </c>
    </row>
    <row r="7377" spans="1:5" ht="13">
      <c r="A7377" s="2" t="str">
        <f ca="1">IFERROR(__xludf.DUMMYFUNCTION("""COMPUTED_VALUE"""),"Shafer, Robert")</f>
        <v>Shafer, Robert</v>
      </c>
      <c r="B7377" s="3">
        <f ca="1">IFERROR(__xludf.DUMMYFUNCTION("""COMPUTED_VALUE"""),1)</f>
        <v>1</v>
      </c>
      <c r="C7377" s="7">
        <f ca="1">IFERROR(__xludf.DUMMYFUNCTION("""COMPUTED_VALUE"""),1)</f>
        <v>1</v>
      </c>
      <c r="D7377" s="8">
        <f ca="1">IFERROR(__xludf.DUMMYFUNCTION("""COMPUTED_VALUE"""),1)</f>
        <v>1</v>
      </c>
      <c r="E7377" s="2">
        <f ca="1">IFERROR(__xludf.DUMMYFUNCTION("""COMPUTED_VALUE"""),1)</f>
        <v>1</v>
      </c>
    </row>
    <row r="7378" spans="1:5" ht="13">
      <c r="A7378" s="2" t="str">
        <f ca="1">IFERROR(__xludf.DUMMYFUNCTION("""COMPUTED_VALUE"""),"Shafer, Seth")</f>
        <v>Shafer, Seth</v>
      </c>
      <c r="B7378" s="2">
        <f ca="1">IFERROR(__xludf.DUMMYFUNCTION("""COMPUTED_VALUE"""),1)</f>
        <v>1</v>
      </c>
      <c r="C7378" s="7">
        <f ca="1">IFERROR(__xludf.DUMMYFUNCTION("""COMPUTED_VALUE"""),1)</f>
        <v>1</v>
      </c>
      <c r="D7378" s="8">
        <f ca="1">IFERROR(__xludf.DUMMYFUNCTION("""COMPUTED_VALUE"""),1)</f>
        <v>1</v>
      </c>
      <c r="E7378" s="2">
        <f ca="1">IFERROR(__xludf.DUMMYFUNCTION("""COMPUTED_VALUE"""),1)</f>
        <v>1</v>
      </c>
    </row>
    <row r="7379" spans="1:5" ht="13">
      <c r="A7379" s="2" t="str">
        <f ca="1">IFERROR(__xludf.DUMMYFUNCTION("""COMPUTED_VALUE"""),"Shaffer, David")</f>
        <v>Shaffer, David</v>
      </c>
      <c r="B7379" s="3">
        <f ca="1">IFERROR(__xludf.DUMMYFUNCTION("""COMPUTED_VALUE"""),1)</f>
        <v>1</v>
      </c>
      <c r="C7379" s="7">
        <f ca="1">IFERROR(__xludf.DUMMYFUNCTION("""COMPUTED_VALUE"""),1)</f>
        <v>1</v>
      </c>
      <c r="D7379" s="8">
        <f ca="1">IFERROR(__xludf.DUMMYFUNCTION("""COMPUTED_VALUE"""),1)</f>
        <v>1</v>
      </c>
      <c r="E7379" s="2">
        <f ca="1">IFERROR(__xludf.DUMMYFUNCTION("""COMPUTED_VALUE"""),1)</f>
        <v>1</v>
      </c>
    </row>
    <row r="7380" spans="1:5" ht="13">
      <c r="A7380" s="2" t="str">
        <f ca="1">IFERROR(__xludf.DUMMYFUNCTION("""COMPUTED_VALUE"""),"Shahan, Paul")</f>
        <v>Shahan, Paul</v>
      </c>
      <c r="B7380" s="3">
        <f ca="1">IFERROR(__xludf.DUMMYFUNCTION("""COMPUTED_VALUE"""),1)</f>
        <v>1</v>
      </c>
      <c r="C7380" s="7">
        <f ca="1">IFERROR(__xludf.DUMMYFUNCTION("""COMPUTED_VALUE"""),1)</f>
        <v>1</v>
      </c>
      <c r="D7380" s="8">
        <f ca="1">IFERROR(__xludf.DUMMYFUNCTION("""COMPUTED_VALUE"""),1)</f>
        <v>1</v>
      </c>
      <c r="E7380" s="2">
        <f ca="1">IFERROR(__xludf.DUMMYFUNCTION("""COMPUTED_VALUE"""),1)</f>
        <v>1</v>
      </c>
    </row>
    <row r="7381" spans="1:5" ht="13">
      <c r="A7381" s="2" t="str">
        <f ca="1">IFERROR(__xludf.DUMMYFUNCTION("""COMPUTED_VALUE"""),"Shaiman, Marc")</f>
        <v>Shaiman, Marc</v>
      </c>
      <c r="B7381" s="3">
        <f ca="1">IFERROR(__xludf.DUMMYFUNCTION("""COMPUTED_VALUE"""),1)</f>
        <v>1</v>
      </c>
      <c r="C7381" s="7">
        <f ca="1">IFERROR(__xludf.DUMMYFUNCTION("""COMPUTED_VALUE"""),1)</f>
        <v>1</v>
      </c>
      <c r="D7381" s="8">
        <f ca="1">IFERROR(__xludf.DUMMYFUNCTION("""COMPUTED_VALUE"""),1)</f>
        <v>1</v>
      </c>
      <c r="E7381" s="2">
        <f ca="1">IFERROR(__xludf.DUMMYFUNCTION("""COMPUTED_VALUE"""),1)</f>
        <v>1</v>
      </c>
    </row>
    <row r="7382" spans="1:5" ht="13">
      <c r="A7382" s="2" t="str">
        <f ca="1">IFERROR(__xludf.DUMMYFUNCTION("""COMPUTED_VALUE"""),"Shaiman, Mark / McLean, Ramsey")</f>
        <v>Shaiman, Mark / McLean, Ramsey</v>
      </c>
      <c r="B7382" s="3">
        <f ca="1">IFERROR(__xludf.DUMMYFUNCTION("""COMPUTED_VALUE"""),1)</f>
        <v>1</v>
      </c>
      <c r="C7382" s="7">
        <f ca="1">IFERROR(__xludf.DUMMYFUNCTION("""COMPUTED_VALUE"""),1)</f>
        <v>1</v>
      </c>
      <c r="D7382" s="8">
        <f ca="1">IFERROR(__xludf.DUMMYFUNCTION("""COMPUTED_VALUE"""),1)</f>
        <v>1</v>
      </c>
      <c r="E7382" s="2">
        <f ca="1">IFERROR(__xludf.DUMMYFUNCTION("""COMPUTED_VALUE"""),1)</f>
        <v>1</v>
      </c>
    </row>
    <row r="7383" spans="1:5" ht="13">
      <c r="A7383" s="2" t="str">
        <f ca="1">IFERROR(__xludf.DUMMYFUNCTION("""COMPUTED_VALUE"""),"Shanefield, Drew")</f>
        <v>Shanefield, Drew</v>
      </c>
      <c r="B7383" s="3">
        <f ca="1">IFERROR(__xludf.DUMMYFUNCTION("""COMPUTED_VALUE"""),1)</f>
        <v>1</v>
      </c>
      <c r="C7383" s="7">
        <f ca="1">IFERROR(__xludf.DUMMYFUNCTION("""COMPUTED_VALUE"""),1)</f>
        <v>1</v>
      </c>
      <c r="D7383" s="8">
        <f ca="1">IFERROR(__xludf.DUMMYFUNCTION("""COMPUTED_VALUE"""),1)</f>
        <v>1</v>
      </c>
      <c r="E7383" s="2">
        <f ca="1">IFERROR(__xludf.DUMMYFUNCTION("""COMPUTED_VALUE"""),1)</f>
        <v>1</v>
      </c>
    </row>
    <row r="7384" spans="1:5" ht="13">
      <c r="A7384" s="2" t="str">
        <f ca="1">IFERROR(__xludf.DUMMYFUNCTION("""COMPUTED_VALUE"""),"Shank, Joshua")</f>
        <v>Shank, Joshua</v>
      </c>
      <c r="B7384" s="2">
        <f ca="1">IFERROR(__xludf.DUMMYFUNCTION("""COMPUTED_VALUE"""),1)</f>
        <v>1</v>
      </c>
      <c r="C7384" s="7">
        <f ca="1">IFERROR(__xludf.DUMMYFUNCTION("""COMPUTED_VALUE"""),1)</f>
        <v>1</v>
      </c>
      <c r="D7384" s="8">
        <f ca="1">IFERROR(__xludf.DUMMYFUNCTION("""COMPUTED_VALUE"""),1)</f>
        <v>1</v>
      </c>
      <c r="E7384" s="2">
        <f ca="1">IFERROR(__xludf.DUMMYFUNCTION("""COMPUTED_VALUE"""),1)</f>
        <v>1</v>
      </c>
    </row>
    <row r="7385" spans="1:5" ht="13">
      <c r="A7385" s="2" t="str">
        <f ca="1">IFERROR(__xludf.DUMMYFUNCTION("""COMPUTED_VALUE"""),"Shanley, Steve")</f>
        <v>Shanley, Steve</v>
      </c>
      <c r="B7385" s="3">
        <f ca="1">IFERROR(__xludf.DUMMYFUNCTION("""COMPUTED_VALUE"""),1)</f>
        <v>1</v>
      </c>
      <c r="C7385" s="7">
        <f ca="1">IFERROR(__xludf.DUMMYFUNCTION("""COMPUTED_VALUE"""),1)</f>
        <v>1</v>
      </c>
      <c r="D7385" s="8">
        <f ca="1">IFERROR(__xludf.DUMMYFUNCTION("""COMPUTED_VALUE"""),1)</f>
        <v>1</v>
      </c>
      <c r="E7385" s="2">
        <f ca="1">IFERROR(__xludf.DUMMYFUNCTION("""COMPUTED_VALUE"""),1)</f>
        <v>1</v>
      </c>
    </row>
    <row r="7386" spans="1:5" ht="13">
      <c r="A7386" s="2" t="str">
        <f ca="1">IFERROR(__xludf.DUMMYFUNCTION("""COMPUTED_VALUE"""),"Shannon, James Royce")</f>
        <v>Shannon, James Royce</v>
      </c>
      <c r="B7386" s="2">
        <f ca="1">IFERROR(__xludf.DUMMYFUNCTION("""COMPUTED_VALUE"""),1)</f>
        <v>1</v>
      </c>
      <c r="C7386" s="7">
        <f ca="1">IFERROR(__xludf.DUMMYFUNCTION("""COMPUTED_VALUE"""),1)</f>
        <v>1</v>
      </c>
      <c r="D7386" s="8">
        <f ca="1">IFERROR(__xludf.DUMMYFUNCTION("""COMPUTED_VALUE"""),5)</f>
        <v>5</v>
      </c>
      <c r="E7386" s="2">
        <f ca="1">IFERROR(__xludf.DUMMYFUNCTION("""COMPUTED_VALUE"""),2)</f>
        <v>2</v>
      </c>
    </row>
    <row r="7387" spans="1:5" ht="13">
      <c r="A7387" s="2" t="str">
        <f ca="1">IFERROR(__xludf.DUMMYFUNCTION("""COMPUTED_VALUE"""),"Shannon, Michael")</f>
        <v>Shannon, Michael</v>
      </c>
      <c r="B7387" s="3">
        <f ca="1">IFERROR(__xludf.DUMMYFUNCTION("""COMPUTED_VALUE"""),1)</f>
        <v>1</v>
      </c>
      <c r="C7387" s="7">
        <f ca="1">IFERROR(__xludf.DUMMYFUNCTION("""COMPUTED_VALUE"""),1)</f>
        <v>1</v>
      </c>
      <c r="D7387" s="8">
        <f ca="1">IFERROR(__xludf.DUMMYFUNCTION("""COMPUTED_VALUE"""),1)</f>
        <v>1</v>
      </c>
      <c r="E7387" s="2">
        <f ca="1">IFERROR(__xludf.DUMMYFUNCTION("""COMPUTED_VALUE"""),1)</f>
        <v>1</v>
      </c>
    </row>
    <row r="7388" spans="1:5" ht="13">
      <c r="A7388" s="2" t="str">
        <f ca="1">IFERROR(__xludf.DUMMYFUNCTION("""COMPUTED_VALUE"""),"Shapiro, Michael")</f>
        <v>Shapiro, Michael</v>
      </c>
      <c r="B7388" s="3">
        <f ca="1">IFERROR(__xludf.DUMMYFUNCTION("""COMPUTED_VALUE"""),1)</f>
        <v>1</v>
      </c>
      <c r="C7388" s="7">
        <f ca="1">IFERROR(__xludf.DUMMYFUNCTION("""COMPUTED_VALUE"""),1)</f>
        <v>1</v>
      </c>
      <c r="D7388" s="8">
        <f ca="1">IFERROR(__xludf.DUMMYFUNCTION("""COMPUTED_VALUE"""),1)</f>
        <v>1</v>
      </c>
      <c r="E7388" s="2">
        <f ca="1">IFERROR(__xludf.DUMMYFUNCTION("""COMPUTED_VALUE"""),1)</f>
        <v>1</v>
      </c>
    </row>
    <row r="7389" spans="1:5" ht="13">
      <c r="A7389" s="8" t="str">
        <f ca="1">IFERROR(__xludf.DUMMYFUNCTION("""COMPUTED_VALUE"""),"Shapiro, Nat")</f>
        <v>Shapiro, Nat</v>
      </c>
      <c r="B7389" s="3">
        <f ca="1">IFERROR(__xludf.DUMMYFUNCTION("""COMPUTED_VALUE"""),1)</f>
        <v>1</v>
      </c>
      <c r="C7389" s="7">
        <f ca="1">IFERROR(__xludf.DUMMYFUNCTION("""COMPUTED_VALUE"""),1)</f>
        <v>1</v>
      </c>
      <c r="D7389" s="8">
        <f ca="1">IFERROR(__xludf.DUMMYFUNCTION("""COMPUTED_VALUE"""),5)</f>
        <v>5</v>
      </c>
      <c r="E7389" s="2">
        <f ca="1">IFERROR(__xludf.DUMMYFUNCTION("""COMPUTED_VALUE"""),2)</f>
        <v>2</v>
      </c>
    </row>
    <row r="7390" spans="1:5" ht="13">
      <c r="A7390" s="2" t="str">
        <f ca="1">IFERROR(__xludf.DUMMYFUNCTION("""COMPUTED_VALUE"""),"Sharlin, Wm")</f>
        <v>Sharlin, Wm</v>
      </c>
      <c r="B7390" s="3">
        <f ca="1">IFERROR(__xludf.DUMMYFUNCTION("""COMPUTED_VALUE"""),1)</f>
        <v>1</v>
      </c>
      <c r="C7390" s="7">
        <f ca="1">IFERROR(__xludf.DUMMYFUNCTION("""COMPUTED_VALUE"""),1)</f>
        <v>1</v>
      </c>
      <c r="D7390" s="8">
        <f ca="1">IFERROR(__xludf.DUMMYFUNCTION("""COMPUTED_VALUE"""),5)</f>
        <v>5</v>
      </c>
      <c r="E7390" s="2">
        <f ca="1">IFERROR(__xludf.DUMMYFUNCTION("""COMPUTED_VALUE"""),2)</f>
        <v>2</v>
      </c>
    </row>
    <row r="7391" spans="1:5" ht="13">
      <c r="A7391" s="2" t="str">
        <f ca="1">IFERROR(__xludf.DUMMYFUNCTION("""COMPUTED_VALUE"""),"Sharon, Deke")</f>
        <v>Sharon, Deke</v>
      </c>
      <c r="B7391" s="3">
        <f ca="1">IFERROR(__xludf.DUMMYFUNCTION("""COMPUTED_VALUE"""),1)</f>
        <v>1</v>
      </c>
      <c r="C7391" s="7">
        <f ca="1">IFERROR(__xludf.DUMMYFUNCTION("""COMPUTED_VALUE"""),1)</f>
        <v>1</v>
      </c>
      <c r="D7391" s="8">
        <f ca="1">IFERROR(__xludf.DUMMYFUNCTION("""COMPUTED_VALUE"""),1)</f>
        <v>1</v>
      </c>
      <c r="E7391" s="2">
        <f ca="1">IFERROR(__xludf.DUMMYFUNCTION("""COMPUTED_VALUE"""),1)</f>
        <v>1</v>
      </c>
    </row>
    <row r="7392" spans="1:5" ht="13">
      <c r="A7392" s="2" t="str">
        <f ca="1">IFERROR(__xludf.DUMMYFUNCTION("""COMPUTED_VALUE"""),"Sharon, Deke / Scott, Adam")</f>
        <v>Sharon, Deke / Scott, Adam</v>
      </c>
      <c r="B7392" s="3">
        <f ca="1">IFERROR(__xludf.DUMMYFUNCTION("""COMPUTED_VALUE"""),1)</f>
        <v>1</v>
      </c>
      <c r="C7392" s="7">
        <f ca="1">IFERROR(__xludf.DUMMYFUNCTION("""COMPUTED_VALUE"""),1)</f>
        <v>1</v>
      </c>
      <c r="D7392" s="8">
        <f ca="1">IFERROR(__xludf.DUMMYFUNCTION("""COMPUTED_VALUE"""),1)</f>
        <v>1</v>
      </c>
      <c r="E7392" s="2">
        <f ca="1">IFERROR(__xludf.DUMMYFUNCTION("""COMPUTED_VALUE"""),1)</f>
        <v>1</v>
      </c>
    </row>
    <row r="7393" spans="1:5" ht="13">
      <c r="A7393" s="2" t="str">
        <f ca="1">IFERROR(__xludf.DUMMYFUNCTION("""COMPUTED_VALUE"""),"Sharon, Deke / Wright, David")</f>
        <v>Sharon, Deke / Wright, David</v>
      </c>
      <c r="B7393" s="3">
        <f ca="1">IFERROR(__xludf.DUMMYFUNCTION("""COMPUTED_VALUE"""),1)</f>
        <v>1</v>
      </c>
      <c r="C7393" s="7">
        <f ca="1">IFERROR(__xludf.DUMMYFUNCTION("""COMPUTED_VALUE"""),1)</f>
        <v>1</v>
      </c>
      <c r="D7393" s="8">
        <f ca="1">IFERROR(__xludf.DUMMYFUNCTION("""COMPUTED_VALUE"""),1)</f>
        <v>1</v>
      </c>
      <c r="E7393" s="2">
        <f ca="1">IFERROR(__xludf.DUMMYFUNCTION("""COMPUTED_VALUE"""),1)</f>
        <v>1</v>
      </c>
    </row>
    <row r="7394" spans="1:5" ht="13">
      <c r="A7394" s="2" t="str">
        <f ca="1">IFERROR(__xludf.DUMMYFUNCTION("""COMPUTED_VALUE"""),"Sharp, Cecil")</f>
        <v>Sharp, Cecil</v>
      </c>
      <c r="B7394" s="3">
        <f ca="1">IFERROR(__xludf.DUMMYFUNCTION("""COMPUTED_VALUE"""),1)</f>
        <v>1</v>
      </c>
      <c r="C7394" s="7">
        <f ca="1">IFERROR(__xludf.DUMMYFUNCTION("""COMPUTED_VALUE"""),1)</f>
        <v>1</v>
      </c>
      <c r="D7394" s="8">
        <f ca="1">IFERROR(__xludf.DUMMYFUNCTION("""COMPUTED_VALUE"""),5)</f>
        <v>5</v>
      </c>
      <c r="E7394" s="2">
        <f ca="1">IFERROR(__xludf.DUMMYFUNCTION("""COMPUTED_VALUE"""),2)</f>
        <v>2</v>
      </c>
    </row>
    <row r="7395" spans="1:5" ht="13">
      <c r="A7395" s="2" t="str">
        <f ca="1">IFERROR(__xludf.DUMMYFUNCTION("""COMPUTED_VALUE"""),"Sharp, Cecil James")</f>
        <v>Sharp, Cecil James</v>
      </c>
      <c r="B7395" s="2">
        <f ca="1">IFERROR(__xludf.DUMMYFUNCTION("""COMPUTED_VALUE"""),1)</f>
        <v>1</v>
      </c>
      <c r="C7395" s="7">
        <f ca="1">IFERROR(__xludf.DUMMYFUNCTION("""COMPUTED_VALUE"""),1)</f>
        <v>1</v>
      </c>
      <c r="D7395" s="8">
        <f ca="1">IFERROR(__xludf.DUMMYFUNCTION("""COMPUTED_VALUE"""),5)</f>
        <v>5</v>
      </c>
      <c r="E7395" s="2">
        <f ca="1">IFERROR(__xludf.DUMMYFUNCTION("""COMPUTED_VALUE"""),2)</f>
        <v>2</v>
      </c>
    </row>
    <row r="7396" spans="1:5" ht="13">
      <c r="A7396" s="2" t="str">
        <f ca="1">IFERROR(__xludf.DUMMYFUNCTION("""COMPUTED_VALUE"""),"Sharp, Chris")</f>
        <v>Sharp, Chris</v>
      </c>
      <c r="B7396" s="3">
        <f ca="1">IFERROR(__xludf.DUMMYFUNCTION("""COMPUTED_VALUE"""),1)</f>
        <v>1</v>
      </c>
      <c r="C7396" s="7">
        <f ca="1">IFERROR(__xludf.DUMMYFUNCTION("""COMPUTED_VALUE"""),1)</f>
        <v>1</v>
      </c>
      <c r="D7396" s="8">
        <f ca="1">IFERROR(__xludf.DUMMYFUNCTION("""COMPUTED_VALUE"""),1)</f>
        <v>1</v>
      </c>
      <c r="E7396" s="2">
        <f ca="1">IFERROR(__xludf.DUMMYFUNCTION("""COMPUTED_VALUE"""),1)</f>
        <v>1</v>
      </c>
    </row>
    <row r="7397" spans="1:5" ht="13">
      <c r="A7397" s="8" t="str">
        <f ca="1">IFERROR(__xludf.DUMMYFUNCTION("""COMPUTED_VALUE"""),"Sharp, Keith")</f>
        <v>Sharp, Keith</v>
      </c>
      <c r="B7397" s="3">
        <f ca="1">IFERROR(__xludf.DUMMYFUNCTION("""COMPUTED_VALUE"""),1)</f>
        <v>1</v>
      </c>
      <c r="C7397" s="7">
        <f ca="1">IFERROR(__xludf.DUMMYFUNCTION("""COMPUTED_VALUE"""),1)</f>
        <v>1</v>
      </c>
      <c r="D7397" s="8">
        <f ca="1">IFERROR(__xludf.DUMMYFUNCTION("""COMPUTED_VALUE"""),1)</f>
        <v>1</v>
      </c>
      <c r="E7397" s="2">
        <f ca="1">IFERROR(__xludf.DUMMYFUNCTION("""COMPUTED_VALUE"""),1)</f>
        <v>1</v>
      </c>
    </row>
    <row r="7398" spans="1:5" ht="13">
      <c r="A7398" s="2" t="str">
        <f ca="1">IFERROR(__xludf.DUMMYFUNCTION("""COMPUTED_VALUE"""),"Sharp, Thom")</f>
        <v>Sharp, Thom</v>
      </c>
      <c r="B7398" s="3">
        <f ca="1">IFERROR(__xludf.DUMMYFUNCTION("""COMPUTED_VALUE"""),1)</f>
        <v>1</v>
      </c>
      <c r="C7398" s="7">
        <f ca="1">IFERROR(__xludf.DUMMYFUNCTION("""COMPUTED_VALUE"""),1)</f>
        <v>1</v>
      </c>
      <c r="D7398" s="8">
        <f ca="1">IFERROR(__xludf.DUMMYFUNCTION("""COMPUTED_VALUE"""),1)</f>
        <v>1</v>
      </c>
      <c r="E7398" s="2">
        <f ca="1">IFERROR(__xludf.DUMMYFUNCTION("""COMPUTED_VALUE"""),1)</f>
        <v>1</v>
      </c>
    </row>
    <row r="7399" spans="1:5" ht="13">
      <c r="A7399" s="2" t="str">
        <f ca="1">IFERROR(__xludf.DUMMYFUNCTION("""COMPUTED_VALUE"""),"Sharp, Tim")</f>
        <v>Sharp, Tim</v>
      </c>
      <c r="B7399" s="2">
        <f ca="1">IFERROR(__xludf.DUMMYFUNCTION("""COMPUTED_VALUE"""),1)</f>
        <v>1</v>
      </c>
      <c r="C7399" s="2">
        <f ca="1">IFERROR(__xludf.DUMMYFUNCTION("""COMPUTED_VALUE"""),1)</f>
        <v>1</v>
      </c>
      <c r="D7399" s="8">
        <f ca="1">IFERROR(__xludf.DUMMYFUNCTION("""COMPUTED_VALUE"""),1)</f>
        <v>1</v>
      </c>
      <c r="E7399" s="2">
        <f ca="1">IFERROR(__xludf.DUMMYFUNCTION("""COMPUTED_VALUE"""),1)</f>
        <v>1</v>
      </c>
    </row>
    <row r="7400" spans="1:5" ht="13">
      <c r="A7400" s="8" t="str">
        <f ca="1">IFERROR(__xludf.DUMMYFUNCTION("""COMPUTED_VALUE"""),"Sharp, Tim / Ramsay, Wes")</f>
        <v>Sharp, Tim / Ramsay, Wes</v>
      </c>
      <c r="B7400" s="3">
        <f ca="1">IFERROR(__xludf.DUMMYFUNCTION("""COMPUTED_VALUE"""),1)</f>
        <v>1</v>
      </c>
      <c r="C7400" s="7">
        <f ca="1">IFERROR(__xludf.DUMMYFUNCTION("""COMPUTED_VALUE"""),1)</f>
        <v>1</v>
      </c>
      <c r="D7400" s="8">
        <f ca="1">IFERROR(__xludf.DUMMYFUNCTION("""COMPUTED_VALUE"""),1)</f>
        <v>1</v>
      </c>
      <c r="E7400" s="2">
        <f ca="1">IFERROR(__xludf.DUMMYFUNCTION("""COMPUTED_VALUE"""),1)</f>
        <v>1</v>
      </c>
    </row>
    <row r="7401" spans="1:5" ht="13">
      <c r="A7401" s="2" t="str">
        <f ca="1">IFERROR(__xludf.DUMMYFUNCTION("""COMPUTED_VALUE"""),"Sharpe, Bryan")</f>
        <v>Sharpe, Bryan</v>
      </c>
      <c r="B7401" s="3">
        <f ca="1">IFERROR(__xludf.DUMMYFUNCTION("""COMPUTED_VALUE"""),1)</f>
        <v>1</v>
      </c>
      <c r="C7401" s="7">
        <f ca="1">IFERROR(__xludf.DUMMYFUNCTION("""COMPUTED_VALUE"""),1)</f>
        <v>1</v>
      </c>
      <c r="D7401" s="8">
        <f ca="1">IFERROR(__xludf.DUMMYFUNCTION("""COMPUTED_VALUE"""),1)</f>
        <v>1</v>
      </c>
      <c r="E7401" s="2">
        <f ca="1">IFERROR(__xludf.DUMMYFUNCTION("""COMPUTED_VALUE"""),1)</f>
        <v>1</v>
      </c>
    </row>
    <row r="7402" spans="1:5" ht="13">
      <c r="A7402" s="2" t="str">
        <f ca="1">IFERROR(__xludf.DUMMYFUNCTION("""COMPUTED_VALUE"""),"Sharpe, Carlyle")</f>
        <v>Sharpe, Carlyle</v>
      </c>
      <c r="B7402" s="3">
        <f ca="1">IFERROR(__xludf.DUMMYFUNCTION("""COMPUTED_VALUE"""),1)</f>
        <v>1</v>
      </c>
      <c r="C7402" s="7">
        <f ca="1">IFERROR(__xludf.DUMMYFUNCTION("""COMPUTED_VALUE"""),1)</f>
        <v>1</v>
      </c>
      <c r="D7402" s="8">
        <f ca="1">IFERROR(__xludf.DUMMYFUNCTION("""COMPUTED_VALUE"""),1)</f>
        <v>1</v>
      </c>
      <c r="E7402" s="2">
        <f ca="1">IFERROR(__xludf.DUMMYFUNCTION("""COMPUTED_VALUE"""),1)</f>
        <v>1</v>
      </c>
    </row>
    <row r="7403" spans="1:5" ht="13">
      <c r="A7403" s="2" t="str">
        <f ca="1">IFERROR(__xludf.DUMMYFUNCTION("""COMPUTED_VALUE"""),"Sharrock, Andrew W.")</f>
        <v>Sharrock, Andrew W.</v>
      </c>
      <c r="B7403" s="2">
        <f ca="1">IFERROR(__xludf.DUMMYFUNCTION("""COMPUTED_VALUE"""),1)</f>
        <v>1</v>
      </c>
      <c r="C7403" s="7">
        <f ca="1">IFERROR(__xludf.DUMMYFUNCTION("""COMPUTED_VALUE"""),1)</f>
        <v>1</v>
      </c>
      <c r="D7403" s="8">
        <f ca="1">IFERROR(__xludf.DUMMYFUNCTION("""COMPUTED_VALUE"""),1)</f>
        <v>1</v>
      </c>
      <c r="E7403" s="2">
        <f ca="1">IFERROR(__xludf.DUMMYFUNCTION("""COMPUTED_VALUE"""),1)</f>
        <v>1</v>
      </c>
    </row>
    <row r="7404" spans="1:5" ht="13">
      <c r="A7404" s="2" t="str">
        <f ca="1">IFERROR(__xludf.DUMMYFUNCTION("""COMPUTED_VALUE"""),"Shaw, Artie")</f>
        <v>Shaw, Artie</v>
      </c>
      <c r="B7404" s="3">
        <f ca="1">IFERROR(__xludf.DUMMYFUNCTION("""COMPUTED_VALUE"""),1)</f>
        <v>1</v>
      </c>
      <c r="C7404" s="7">
        <f ca="1">IFERROR(__xludf.DUMMYFUNCTION("""COMPUTED_VALUE"""),1)</f>
        <v>1</v>
      </c>
      <c r="D7404" s="8">
        <f ca="1">IFERROR(__xludf.DUMMYFUNCTION("""COMPUTED_VALUE"""),5)</f>
        <v>5</v>
      </c>
      <c r="E7404" s="2">
        <f ca="1">IFERROR(__xludf.DUMMYFUNCTION("""COMPUTED_VALUE"""),2)</f>
        <v>2</v>
      </c>
    </row>
    <row r="7405" spans="1:5" ht="13">
      <c r="A7405" s="2" t="str">
        <f ca="1">IFERROR(__xludf.DUMMYFUNCTION("""COMPUTED_VALUE"""),"Shaw, Daniel")</f>
        <v>Shaw, Daniel</v>
      </c>
      <c r="B7405" s="3">
        <f ca="1">IFERROR(__xludf.DUMMYFUNCTION("""COMPUTED_VALUE"""),1)</f>
        <v>1</v>
      </c>
      <c r="C7405" s="7">
        <f ca="1">IFERROR(__xludf.DUMMYFUNCTION("""COMPUTED_VALUE"""),1)</f>
        <v>1</v>
      </c>
      <c r="D7405" s="8">
        <f ca="1">IFERROR(__xludf.DUMMYFUNCTION("""COMPUTED_VALUE"""),1)</f>
        <v>1</v>
      </c>
      <c r="E7405" s="2">
        <f ca="1">IFERROR(__xludf.DUMMYFUNCTION("""COMPUTED_VALUE"""),1)</f>
        <v>1</v>
      </c>
    </row>
    <row r="7406" spans="1:5" ht="13">
      <c r="A7406" s="8" t="str">
        <f ca="1">IFERROR(__xludf.DUMMYFUNCTION("""COMPUTED_VALUE"""),"Shaw, Harold")</f>
        <v>Shaw, Harold</v>
      </c>
      <c r="B7406" s="2">
        <f ca="1">IFERROR(__xludf.DUMMYFUNCTION("""COMPUTED_VALUE"""),1)</f>
        <v>1</v>
      </c>
      <c r="C7406" s="7">
        <f ca="1">IFERROR(__xludf.DUMMYFUNCTION("""COMPUTED_VALUE"""),1)</f>
        <v>1</v>
      </c>
      <c r="D7406" s="8">
        <f ca="1">IFERROR(__xludf.DUMMYFUNCTION("""COMPUTED_VALUE"""),5)</f>
        <v>5</v>
      </c>
      <c r="E7406" s="2">
        <f ca="1">IFERROR(__xludf.DUMMYFUNCTION("""COMPUTED_VALUE"""),2)</f>
        <v>2</v>
      </c>
    </row>
    <row r="7407" spans="1:5" ht="13">
      <c r="A7407" s="2" t="str">
        <f ca="1">IFERROR(__xludf.DUMMYFUNCTION("""COMPUTED_VALUE"""),"Shaw, JD")</f>
        <v>Shaw, JD</v>
      </c>
      <c r="B7407" s="2">
        <f ca="1">IFERROR(__xludf.DUMMYFUNCTION("""COMPUTED_VALUE"""),1)</f>
        <v>1</v>
      </c>
      <c r="C7407" s="7">
        <f ca="1">IFERROR(__xludf.DUMMYFUNCTION("""COMPUTED_VALUE"""),1)</f>
        <v>1</v>
      </c>
      <c r="D7407" s="8">
        <f ca="1">IFERROR(__xludf.DUMMYFUNCTION("""COMPUTED_VALUE"""),1)</f>
        <v>1</v>
      </c>
      <c r="E7407" s="2">
        <f ca="1">IFERROR(__xludf.DUMMYFUNCTION("""COMPUTED_VALUE"""),1)</f>
        <v>1</v>
      </c>
    </row>
    <row r="7408" spans="1:5" ht="13">
      <c r="A7408" s="8" t="str">
        <f ca="1">IFERROR(__xludf.DUMMYFUNCTION("""COMPUTED_VALUE"""),"Shaw, Kirby")</f>
        <v>Shaw, Kirby</v>
      </c>
      <c r="B7408" s="3">
        <f ca="1">IFERROR(__xludf.DUMMYFUNCTION("""COMPUTED_VALUE"""),1)</f>
        <v>1</v>
      </c>
      <c r="C7408" s="7">
        <f ca="1">IFERROR(__xludf.DUMMYFUNCTION("""COMPUTED_VALUE"""),1)</f>
        <v>1</v>
      </c>
      <c r="D7408" s="8">
        <f ca="1">IFERROR(__xludf.DUMMYFUNCTION("""COMPUTED_VALUE"""),1)</f>
        <v>1</v>
      </c>
      <c r="E7408" s="2">
        <f ca="1">IFERROR(__xludf.DUMMYFUNCTION("""COMPUTED_VALUE"""),1)</f>
        <v>1</v>
      </c>
    </row>
    <row r="7409" spans="1:5" ht="13">
      <c r="A7409" s="2" t="str">
        <f ca="1">IFERROR(__xludf.DUMMYFUNCTION("""COMPUTED_VALUE"""),"Shaw, Lowell")</f>
        <v>Shaw, Lowell</v>
      </c>
      <c r="B7409" s="3">
        <f ca="1">IFERROR(__xludf.DUMMYFUNCTION("""COMPUTED_VALUE"""),1)</f>
        <v>1</v>
      </c>
      <c r="C7409" s="7">
        <f ca="1">IFERROR(__xludf.DUMMYFUNCTION("""COMPUTED_VALUE"""),1)</f>
        <v>1</v>
      </c>
      <c r="D7409" s="8">
        <f ca="1">IFERROR(__xludf.DUMMYFUNCTION("""COMPUTED_VALUE"""),1)</f>
        <v>1</v>
      </c>
      <c r="E7409" s="2">
        <f ca="1">IFERROR(__xludf.DUMMYFUNCTION("""COMPUTED_VALUE"""),1)</f>
        <v>1</v>
      </c>
    </row>
    <row r="7410" spans="1:5" ht="13">
      <c r="A7410" s="8" t="str">
        <f ca="1">IFERROR(__xludf.DUMMYFUNCTION("""COMPUTED_VALUE"""),"Shaw, Martin")</f>
        <v>Shaw, Martin</v>
      </c>
      <c r="B7410" s="3">
        <f ca="1">IFERROR(__xludf.DUMMYFUNCTION("""COMPUTED_VALUE"""),1)</f>
        <v>1</v>
      </c>
      <c r="C7410" s="7">
        <f ca="1">IFERROR(__xludf.DUMMYFUNCTION("""COMPUTED_VALUE"""),1)</f>
        <v>1</v>
      </c>
      <c r="D7410" s="8">
        <f ca="1">IFERROR(__xludf.DUMMYFUNCTION("""COMPUTED_VALUE"""),5)</f>
        <v>5</v>
      </c>
      <c r="E7410" s="2">
        <f ca="1">IFERROR(__xludf.DUMMYFUNCTION("""COMPUTED_VALUE"""),2)</f>
        <v>2</v>
      </c>
    </row>
    <row r="7411" spans="1:5" ht="13">
      <c r="A7411" s="8" t="str">
        <f ca="1">IFERROR(__xludf.DUMMYFUNCTION("""COMPUTED_VALUE"""),"Shaw, Peter")</f>
        <v>Shaw, Peter</v>
      </c>
      <c r="B7411" s="9">
        <f ca="1">IFERROR(__xludf.DUMMYFUNCTION("""COMPUTED_VALUE"""),1)</f>
        <v>1</v>
      </c>
      <c r="C7411" s="7">
        <f ca="1">IFERROR(__xludf.DUMMYFUNCTION("""COMPUTED_VALUE"""),1)</f>
        <v>1</v>
      </c>
      <c r="D7411" s="8">
        <f ca="1">IFERROR(__xludf.DUMMYFUNCTION("""COMPUTED_VALUE"""),1)</f>
        <v>1</v>
      </c>
      <c r="E7411" s="9">
        <f ca="1">IFERROR(__xludf.DUMMYFUNCTION("""COMPUTED_VALUE"""),1)</f>
        <v>1</v>
      </c>
    </row>
    <row r="7412" spans="1:5" ht="13">
      <c r="A7412" s="8" t="str">
        <f ca="1">IFERROR(__xludf.DUMMYFUNCTION("""COMPUTED_VALUE"""),"Shaw, Robert")</f>
        <v>Shaw, Robert</v>
      </c>
      <c r="B7412" s="3">
        <f ca="1">IFERROR(__xludf.DUMMYFUNCTION("""COMPUTED_VALUE"""),1)</f>
        <v>1</v>
      </c>
      <c r="C7412" s="7">
        <f ca="1">IFERROR(__xludf.DUMMYFUNCTION("""COMPUTED_VALUE"""),1)</f>
        <v>1</v>
      </c>
      <c r="D7412" s="8">
        <f ca="1">IFERROR(__xludf.DUMMYFUNCTION("""COMPUTED_VALUE"""),5)</f>
        <v>5</v>
      </c>
      <c r="E7412" s="2">
        <f ca="1">IFERROR(__xludf.DUMMYFUNCTION("""COMPUTED_VALUE"""),2)</f>
        <v>2</v>
      </c>
    </row>
    <row r="7413" spans="1:5" ht="13">
      <c r="A7413" s="2" t="str">
        <f ca="1">IFERROR(__xludf.DUMMYFUNCTION("""COMPUTED_VALUE"""),"Shaw, Robert / Hunter, Ralph")</f>
        <v>Shaw, Robert / Hunter, Ralph</v>
      </c>
      <c r="B7413" s="3">
        <f ca="1">IFERROR(__xludf.DUMMYFUNCTION("""COMPUTED_VALUE"""),1)</f>
        <v>1</v>
      </c>
      <c r="C7413" s="7">
        <f ca="1">IFERROR(__xludf.DUMMYFUNCTION("""COMPUTED_VALUE"""),1)</f>
        <v>1</v>
      </c>
      <c r="D7413" s="8">
        <f ca="1">IFERROR(__xludf.DUMMYFUNCTION("""COMPUTED_VALUE"""),5)</f>
        <v>5</v>
      </c>
      <c r="E7413" s="2">
        <f ca="1">IFERROR(__xludf.DUMMYFUNCTION("""COMPUTED_VALUE"""),2)</f>
        <v>2</v>
      </c>
    </row>
    <row r="7414" spans="1:5" ht="13">
      <c r="A7414" s="2" t="str">
        <f ca="1">IFERROR(__xludf.DUMMYFUNCTION("""COMPUTED_VALUE"""),"Shaw, Robert / Speer, Klaus")</f>
        <v>Shaw, Robert / Speer, Klaus</v>
      </c>
      <c r="B7414" s="2">
        <f ca="1">IFERROR(__xludf.DUMMYFUNCTION("""COMPUTED_VALUE"""),1)</f>
        <v>1</v>
      </c>
      <c r="C7414" s="7">
        <f ca="1">IFERROR(__xludf.DUMMYFUNCTION("""COMPUTED_VALUE"""),1)</f>
        <v>1</v>
      </c>
      <c r="D7414" s="8">
        <f ca="1">IFERROR(__xludf.DUMMYFUNCTION("""COMPUTED_VALUE"""),5)</f>
        <v>5</v>
      </c>
      <c r="E7414" s="2">
        <f ca="1">IFERROR(__xludf.DUMMYFUNCTION("""COMPUTED_VALUE"""),2)</f>
        <v>2</v>
      </c>
    </row>
    <row r="7415" spans="1:5" ht="13">
      <c r="A7415" s="2" t="str">
        <f ca="1">IFERROR(__xludf.DUMMYFUNCTION("""COMPUTED_VALUE"""),"Shaw, Timothy")</f>
        <v>Shaw, Timothy</v>
      </c>
      <c r="B7415" s="3">
        <f ca="1">IFERROR(__xludf.DUMMYFUNCTION("""COMPUTED_VALUE"""),1)</f>
        <v>1</v>
      </c>
      <c r="C7415" s="7">
        <f ca="1">IFERROR(__xludf.DUMMYFUNCTION("""COMPUTED_VALUE"""),1)</f>
        <v>1</v>
      </c>
      <c r="D7415" s="8">
        <f ca="1">IFERROR(__xludf.DUMMYFUNCTION("""COMPUTED_VALUE"""),1)</f>
        <v>1</v>
      </c>
      <c r="E7415" s="2">
        <f ca="1">IFERROR(__xludf.DUMMYFUNCTION("""COMPUTED_VALUE"""),1)</f>
        <v>1</v>
      </c>
    </row>
    <row r="7416" spans="1:5" ht="13">
      <c r="A7416" s="2" t="str">
        <f ca="1">IFERROR(__xludf.DUMMYFUNCTION("""COMPUTED_VALUE"""),"Shawn, Allen")</f>
        <v>Shawn, Allen</v>
      </c>
      <c r="B7416" s="3">
        <f ca="1">IFERROR(__xludf.DUMMYFUNCTION("""COMPUTED_VALUE"""),1)</f>
        <v>1</v>
      </c>
      <c r="C7416" s="7">
        <f ca="1">IFERROR(__xludf.DUMMYFUNCTION("""COMPUTED_VALUE"""),1)</f>
        <v>1</v>
      </c>
      <c r="D7416" s="8">
        <f ca="1">IFERROR(__xludf.DUMMYFUNCTION("""COMPUTED_VALUE"""),1)</f>
        <v>1</v>
      </c>
      <c r="E7416" s="2">
        <f ca="1">IFERROR(__xludf.DUMMYFUNCTION("""COMPUTED_VALUE"""),1)</f>
        <v>1</v>
      </c>
    </row>
    <row r="7417" spans="1:5" ht="13">
      <c r="A7417" s="8" t="str">
        <f ca="1">IFERROR(__xludf.DUMMYFUNCTION("""COMPUTED_VALUE"""),"Shayne, Gloria")</f>
        <v>Shayne, Gloria</v>
      </c>
      <c r="B7417" s="3">
        <f ca="1">IFERROR(__xludf.DUMMYFUNCTION("""COMPUTED_VALUE"""),1)</f>
        <v>1</v>
      </c>
      <c r="C7417" s="7">
        <f ca="1">IFERROR(__xludf.DUMMYFUNCTION("""COMPUTED_VALUE"""),1)</f>
        <v>1</v>
      </c>
      <c r="D7417" s="8">
        <f ca="1">IFERROR(__xludf.DUMMYFUNCTION("""COMPUTED_VALUE"""),5)</f>
        <v>5</v>
      </c>
      <c r="E7417" s="2">
        <f ca="1">IFERROR(__xludf.DUMMYFUNCTION("""COMPUTED_VALUE"""),2)</f>
        <v>2</v>
      </c>
    </row>
    <row r="7418" spans="1:5" ht="13">
      <c r="A7418" s="2" t="str">
        <f ca="1">IFERROR(__xludf.DUMMYFUNCTION("""COMPUTED_VALUE"""),"Shchedrin, Rodion")</f>
        <v>Shchedrin, Rodion</v>
      </c>
      <c r="B7418" s="3">
        <f ca="1">IFERROR(__xludf.DUMMYFUNCTION("""COMPUTED_VALUE"""),1)</f>
        <v>1</v>
      </c>
      <c r="C7418" s="7">
        <f ca="1">IFERROR(__xludf.DUMMYFUNCTION("""COMPUTED_VALUE"""),1)</f>
        <v>1</v>
      </c>
      <c r="D7418" s="8">
        <f ca="1">IFERROR(__xludf.DUMMYFUNCTION("""COMPUTED_VALUE"""),5)</f>
        <v>5</v>
      </c>
      <c r="E7418" s="2">
        <f ca="1">IFERROR(__xludf.DUMMYFUNCTION("""COMPUTED_VALUE"""),2)</f>
        <v>2</v>
      </c>
    </row>
    <row r="7419" spans="1:5" ht="13">
      <c r="A7419" s="8" t="str">
        <f ca="1">IFERROR(__xludf.DUMMYFUNCTION("""COMPUTED_VALUE"""),"Shearer, C.M.")</f>
        <v>Shearer, C.M.</v>
      </c>
      <c r="B7419" s="3">
        <f ca="1">IFERROR(__xludf.DUMMYFUNCTION("""COMPUTED_VALUE"""),1)</f>
        <v>1</v>
      </c>
      <c r="C7419" s="7">
        <f ca="1">IFERROR(__xludf.DUMMYFUNCTION("""COMPUTED_VALUE"""),1)</f>
        <v>1</v>
      </c>
      <c r="D7419" s="8">
        <f ca="1">IFERROR(__xludf.DUMMYFUNCTION("""COMPUTED_VALUE"""),1)</f>
        <v>1</v>
      </c>
      <c r="E7419" s="2">
        <f ca="1">IFERROR(__xludf.DUMMYFUNCTION("""COMPUTED_VALUE"""),1)</f>
        <v>1</v>
      </c>
    </row>
    <row r="7420" spans="1:5" ht="13">
      <c r="A7420" s="2" t="str">
        <f ca="1">IFERROR(__xludf.DUMMYFUNCTION("""COMPUTED_VALUE"""),"Shearer, Clarence")</f>
        <v>Shearer, Clarence</v>
      </c>
      <c r="B7420" s="3">
        <f ca="1">IFERROR(__xludf.DUMMYFUNCTION("""COMPUTED_VALUE"""),1)</f>
        <v>1</v>
      </c>
      <c r="C7420" s="7">
        <f ca="1">IFERROR(__xludf.DUMMYFUNCTION("""COMPUTED_VALUE"""),1)</f>
        <v>1</v>
      </c>
      <c r="D7420" s="8">
        <f ca="1">IFERROR(__xludf.DUMMYFUNCTION("""COMPUTED_VALUE"""),5)</f>
        <v>5</v>
      </c>
      <c r="E7420" s="2">
        <f ca="1">IFERROR(__xludf.DUMMYFUNCTION("""COMPUTED_VALUE"""),2)</f>
        <v>2</v>
      </c>
    </row>
    <row r="7421" spans="1:5" ht="13">
      <c r="A7421" s="2" t="str">
        <f ca="1">IFERROR(__xludf.DUMMYFUNCTION("""COMPUTED_VALUE"""),"Shearing, George")</f>
        <v>Shearing, George</v>
      </c>
      <c r="B7421" s="2">
        <f ca="1">IFERROR(__xludf.DUMMYFUNCTION("""COMPUTED_VALUE"""),1)</f>
        <v>1</v>
      </c>
      <c r="C7421" s="7">
        <f ca="1">IFERROR(__xludf.DUMMYFUNCTION("""COMPUTED_VALUE"""),1)</f>
        <v>1</v>
      </c>
      <c r="D7421" s="8">
        <f ca="1">IFERROR(__xludf.DUMMYFUNCTION("""COMPUTED_VALUE"""),5)</f>
        <v>5</v>
      </c>
      <c r="E7421" s="2">
        <f ca="1">IFERROR(__xludf.DUMMYFUNCTION("""COMPUTED_VALUE"""),2)</f>
        <v>2</v>
      </c>
    </row>
    <row r="7422" spans="1:5" ht="13">
      <c r="A7422" s="2" t="str">
        <f ca="1">IFERROR(__xludf.DUMMYFUNCTION("""COMPUTED_VALUE"""),"Sheinberg, Art")</f>
        <v>Sheinberg, Art</v>
      </c>
      <c r="B7422" s="3">
        <f ca="1">IFERROR(__xludf.DUMMYFUNCTION("""COMPUTED_VALUE"""),1)</f>
        <v>1</v>
      </c>
      <c r="C7422" s="7">
        <f ca="1">IFERROR(__xludf.DUMMYFUNCTION("""COMPUTED_VALUE"""),1)</f>
        <v>1</v>
      </c>
      <c r="D7422" s="8">
        <f ca="1">IFERROR(__xludf.DUMMYFUNCTION("""COMPUTED_VALUE"""),1)</f>
        <v>1</v>
      </c>
      <c r="E7422" s="2">
        <f ca="1">IFERROR(__xludf.DUMMYFUNCTION("""COMPUTED_VALUE"""),1)</f>
        <v>1</v>
      </c>
    </row>
    <row r="7423" spans="1:5" ht="13">
      <c r="A7423" s="2" t="str">
        <f ca="1">IFERROR(__xludf.DUMMYFUNCTION("""COMPUTED_VALUE"""),"Sheldon, Robert")</f>
        <v>Sheldon, Robert</v>
      </c>
      <c r="B7423" s="3">
        <f ca="1">IFERROR(__xludf.DUMMYFUNCTION("""COMPUTED_VALUE"""),1)</f>
        <v>1</v>
      </c>
      <c r="C7423" s="7">
        <f ca="1">IFERROR(__xludf.DUMMYFUNCTION("""COMPUTED_VALUE"""),1)</f>
        <v>1</v>
      </c>
      <c r="D7423" s="8">
        <f ca="1">IFERROR(__xludf.DUMMYFUNCTION("""COMPUTED_VALUE"""),1)</f>
        <v>1</v>
      </c>
      <c r="E7423" s="2">
        <f ca="1">IFERROR(__xludf.DUMMYFUNCTION("""COMPUTED_VALUE"""),1)</f>
        <v>1</v>
      </c>
    </row>
    <row r="7424" spans="1:5" ht="13">
      <c r="A7424" s="2" t="str">
        <f ca="1">IFERROR(__xludf.DUMMYFUNCTION("""COMPUTED_VALUE"""),"Shelley, Percy")</f>
        <v>Shelley, Percy</v>
      </c>
      <c r="B7424" s="3">
        <f ca="1">IFERROR(__xludf.DUMMYFUNCTION("""COMPUTED_VALUE"""),1)</f>
        <v>1</v>
      </c>
      <c r="C7424" s="7">
        <f ca="1">IFERROR(__xludf.DUMMYFUNCTION("""COMPUTED_VALUE"""),1)</f>
        <v>1</v>
      </c>
      <c r="D7424" s="8">
        <f ca="1">IFERROR(__xludf.DUMMYFUNCTION("""COMPUTED_VALUE"""),5)</f>
        <v>5</v>
      </c>
      <c r="E7424" s="2">
        <f ca="1">IFERROR(__xludf.DUMMYFUNCTION("""COMPUTED_VALUE"""),2)</f>
        <v>2</v>
      </c>
    </row>
    <row r="7425" spans="1:5" ht="13">
      <c r="A7425" s="2" t="str">
        <f ca="1">IFERROR(__xludf.DUMMYFUNCTION("""COMPUTED_VALUE"""),"Shelly, Harry Rowe")</f>
        <v>Shelly, Harry Rowe</v>
      </c>
      <c r="B7425" s="3">
        <f ca="1">IFERROR(__xludf.DUMMYFUNCTION("""COMPUTED_VALUE"""),1)</f>
        <v>1</v>
      </c>
      <c r="C7425" s="7">
        <f ca="1">IFERROR(__xludf.DUMMYFUNCTION("""COMPUTED_VALUE"""),1)</f>
        <v>1</v>
      </c>
      <c r="D7425" s="8">
        <f ca="1">IFERROR(__xludf.DUMMYFUNCTION("""COMPUTED_VALUE"""),5)</f>
        <v>5</v>
      </c>
      <c r="E7425" s="2">
        <f ca="1">IFERROR(__xludf.DUMMYFUNCTION("""COMPUTED_VALUE"""),2)</f>
        <v>2</v>
      </c>
    </row>
    <row r="7426" spans="1:5" ht="13">
      <c r="A7426" s="2" t="str">
        <f ca="1">IFERROR(__xludf.DUMMYFUNCTION("""COMPUTED_VALUE"""),"Shelton, Melvin")</f>
        <v>Shelton, Melvin</v>
      </c>
      <c r="B7426" s="3">
        <f ca="1">IFERROR(__xludf.DUMMYFUNCTION("""COMPUTED_VALUE"""),1)</f>
        <v>1</v>
      </c>
      <c r="C7426" s="7">
        <f ca="1">IFERROR(__xludf.DUMMYFUNCTION("""COMPUTED_VALUE"""),1)</f>
        <v>1</v>
      </c>
      <c r="D7426" s="8">
        <f ca="1">IFERROR(__xludf.DUMMYFUNCTION("""COMPUTED_VALUE"""),5)</f>
        <v>5</v>
      </c>
      <c r="E7426" s="2">
        <f ca="1">IFERROR(__xludf.DUMMYFUNCTION("""COMPUTED_VALUE"""),2)</f>
        <v>2</v>
      </c>
    </row>
    <row r="7427" spans="1:5" ht="13">
      <c r="A7427" s="8" t="str">
        <f ca="1">IFERROR(__xludf.DUMMYFUNCTION("""COMPUTED_VALUE"""),"Shelton, Tom")</f>
        <v>Shelton, Tom</v>
      </c>
      <c r="B7427" s="3">
        <f ca="1">IFERROR(__xludf.DUMMYFUNCTION("""COMPUTED_VALUE"""),1)</f>
        <v>1</v>
      </c>
      <c r="C7427" s="7">
        <f ca="1">IFERROR(__xludf.DUMMYFUNCTION("""COMPUTED_VALUE"""),1)</f>
        <v>1</v>
      </c>
      <c r="D7427" s="8">
        <f ca="1">IFERROR(__xludf.DUMMYFUNCTION("""COMPUTED_VALUE"""),1)</f>
        <v>1</v>
      </c>
      <c r="E7427" s="2">
        <f ca="1">IFERROR(__xludf.DUMMYFUNCTION("""COMPUTED_VALUE"""),1)</f>
        <v>1</v>
      </c>
    </row>
    <row r="7428" spans="1:5" ht="13">
      <c r="A7428" s="2" t="str">
        <f ca="1">IFERROR(__xludf.DUMMYFUNCTION("""COMPUTED_VALUE"""),"Shepard, Wesley")</f>
        <v>Shepard, Wesley</v>
      </c>
      <c r="B7428" s="3">
        <f ca="1">IFERROR(__xludf.DUMMYFUNCTION("""COMPUTED_VALUE"""),1)</f>
        <v>1</v>
      </c>
      <c r="C7428" s="7">
        <f ca="1">IFERROR(__xludf.DUMMYFUNCTION("""COMPUTED_VALUE"""),1)</f>
        <v>1</v>
      </c>
      <c r="D7428" s="8">
        <f ca="1">IFERROR(__xludf.DUMMYFUNCTION("""COMPUTED_VALUE"""),5)</f>
        <v>5</v>
      </c>
      <c r="E7428" s="2">
        <f ca="1">IFERROR(__xludf.DUMMYFUNCTION("""COMPUTED_VALUE"""),2)</f>
        <v>2</v>
      </c>
    </row>
    <row r="7429" spans="1:5" ht="13">
      <c r="A7429" s="2" t="str">
        <f ca="1">IFERROR(__xludf.DUMMYFUNCTION("""COMPUTED_VALUE"""),"Shephard, Richard")</f>
        <v>Shephard, Richard</v>
      </c>
      <c r="B7429" s="3">
        <f ca="1">IFERROR(__xludf.DUMMYFUNCTION("""COMPUTED_VALUE"""),1)</f>
        <v>1</v>
      </c>
      <c r="C7429" s="7">
        <f ca="1">IFERROR(__xludf.DUMMYFUNCTION("""COMPUTED_VALUE"""),1)</f>
        <v>1</v>
      </c>
      <c r="D7429" s="8">
        <f ca="1">IFERROR(__xludf.DUMMYFUNCTION("""COMPUTED_VALUE"""),5)</f>
        <v>5</v>
      </c>
      <c r="E7429" s="2">
        <f ca="1">IFERROR(__xludf.DUMMYFUNCTION("""COMPUTED_VALUE"""),2)</f>
        <v>2</v>
      </c>
    </row>
    <row r="7430" spans="1:5" ht="13">
      <c r="A7430" s="8" t="str">
        <f ca="1">IFERROR(__xludf.DUMMYFUNCTION("""COMPUTED_VALUE"""),"Shepherd, John")</f>
        <v>Shepherd, John</v>
      </c>
      <c r="B7430" s="3">
        <f ca="1">IFERROR(__xludf.DUMMYFUNCTION("""COMPUTED_VALUE"""),1)</f>
        <v>1</v>
      </c>
      <c r="C7430" s="7">
        <f ca="1">IFERROR(__xludf.DUMMYFUNCTION("""COMPUTED_VALUE"""),1)</f>
        <v>1</v>
      </c>
      <c r="D7430" s="8">
        <f ca="1">IFERROR(__xludf.DUMMYFUNCTION("""COMPUTED_VALUE"""),5)</f>
        <v>5</v>
      </c>
      <c r="E7430" s="2">
        <f ca="1">IFERROR(__xludf.DUMMYFUNCTION("""COMPUTED_VALUE"""),2)</f>
        <v>2</v>
      </c>
    </row>
    <row r="7431" spans="1:5" ht="13">
      <c r="A7431" s="2" t="str">
        <f ca="1">IFERROR(__xludf.DUMMYFUNCTION("""COMPUTED_VALUE"""),"Shepherd, Sean")</f>
        <v>Shepherd, Sean</v>
      </c>
      <c r="B7431" s="3">
        <f ca="1">IFERROR(__xludf.DUMMYFUNCTION("""COMPUTED_VALUE"""),1)</f>
        <v>1</v>
      </c>
      <c r="C7431" s="7">
        <f ca="1">IFERROR(__xludf.DUMMYFUNCTION("""COMPUTED_VALUE"""),1)</f>
        <v>1</v>
      </c>
      <c r="D7431" s="8">
        <f ca="1">IFERROR(__xludf.DUMMYFUNCTION("""COMPUTED_VALUE"""),1)</f>
        <v>1</v>
      </c>
      <c r="E7431" s="2">
        <f ca="1">IFERROR(__xludf.DUMMYFUNCTION("""COMPUTED_VALUE"""),1)</f>
        <v>1</v>
      </c>
    </row>
    <row r="7432" spans="1:5" ht="13">
      <c r="A7432" s="2" t="str">
        <f ca="1">IFERROR(__xludf.DUMMYFUNCTION("""COMPUTED_VALUE"""),"Sheppard, Franklin")</f>
        <v>Sheppard, Franklin</v>
      </c>
      <c r="B7432" s="3">
        <f ca="1">IFERROR(__xludf.DUMMYFUNCTION("""COMPUTED_VALUE"""),1)</f>
        <v>1</v>
      </c>
      <c r="C7432" s="7">
        <f ca="1">IFERROR(__xludf.DUMMYFUNCTION("""COMPUTED_VALUE"""),1)</f>
        <v>1</v>
      </c>
      <c r="D7432" s="8">
        <f ca="1">IFERROR(__xludf.DUMMYFUNCTION("""COMPUTED_VALUE"""),5)</f>
        <v>5</v>
      </c>
      <c r="E7432" s="3">
        <f ca="1">IFERROR(__xludf.DUMMYFUNCTION("""COMPUTED_VALUE"""),2)</f>
        <v>2</v>
      </c>
    </row>
    <row r="7433" spans="1:5" ht="13">
      <c r="A7433" s="2" t="str">
        <f ca="1">IFERROR(__xludf.DUMMYFUNCTION("""COMPUTED_VALUE"""),"Sheppard, John")</f>
        <v>Sheppard, John</v>
      </c>
      <c r="B7433" s="3">
        <f ca="1">IFERROR(__xludf.DUMMYFUNCTION("""COMPUTED_VALUE"""),1)</f>
        <v>1</v>
      </c>
      <c r="C7433" s="7">
        <f ca="1">IFERROR(__xludf.DUMMYFUNCTION("""COMPUTED_VALUE"""),1)</f>
        <v>1</v>
      </c>
      <c r="D7433" s="8">
        <f ca="1">IFERROR(__xludf.DUMMYFUNCTION("""COMPUTED_VALUE"""),5)</f>
        <v>5</v>
      </c>
      <c r="E7433" s="2">
        <f ca="1">IFERROR(__xludf.DUMMYFUNCTION("""COMPUTED_VALUE"""),2)</f>
        <v>2</v>
      </c>
    </row>
    <row r="7434" spans="1:5" ht="13">
      <c r="A7434" s="2" t="str">
        <f ca="1">IFERROR(__xludf.DUMMYFUNCTION("""COMPUTED_VALUE"""),"Sheppard, Stanley")</f>
        <v>Sheppard, Stanley</v>
      </c>
      <c r="B7434" s="3">
        <f ca="1">IFERROR(__xludf.DUMMYFUNCTION("""COMPUTED_VALUE"""),1)</f>
        <v>1</v>
      </c>
      <c r="C7434" s="7">
        <f ca="1">IFERROR(__xludf.DUMMYFUNCTION("""COMPUTED_VALUE"""),1)</f>
        <v>1</v>
      </c>
      <c r="D7434" s="8">
        <f ca="1">IFERROR(__xludf.DUMMYFUNCTION("""COMPUTED_VALUE"""),5)</f>
        <v>5</v>
      </c>
      <c r="E7434" s="2">
        <f ca="1">IFERROR(__xludf.DUMMYFUNCTION("""COMPUTED_VALUE"""),2)</f>
        <v>2</v>
      </c>
    </row>
    <row r="7435" spans="1:5" ht="13">
      <c r="A7435" s="2" t="str">
        <f ca="1">IFERROR(__xludf.DUMMYFUNCTION("""COMPUTED_VALUE"""),"Sherburne, Eric")</f>
        <v>Sherburne, Eric</v>
      </c>
      <c r="B7435" s="3">
        <f ca="1">IFERROR(__xludf.DUMMYFUNCTION("""COMPUTED_VALUE"""),1)</f>
        <v>1</v>
      </c>
      <c r="C7435" s="7">
        <f ca="1">IFERROR(__xludf.DUMMYFUNCTION("""COMPUTED_VALUE"""),1)</f>
        <v>1</v>
      </c>
      <c r="D7435" s="8">
        <f ca="1">IFERROR(__xludf.DUMMYFUNCTION("""COMPUTED_VALUE"""),1)</f>
        <v>1</v>
      </c>
      <c r="E7435" s="2">
        <f ca="1">IFERROR(__xludf.DUMMYFUNCTION("""COMPUTED_VALUE"""),1)</f>
        <v>1</v>
      </c>
    </row>
    <row r="7436" spans="1:5" ht="13">
      <c r="A7436" s="2" t="str">
        <f ca="1">IFERROR(__xludf.DUMMYFUNCTION("""COMPUTED_VALUE"""),"Sherburne, Erik")</f>
        <v>Sherburne, Erik</v>
      </c>
      <c r="B7436" s="3">
        <f ca="1">IFERROR(__xludf.DUMMYFUNCTION("""COMPUTED_VALUE"""),1)</f>
        <v>1</v>
      </c>
      <c r="C7436" s="7">
        <f ca="1">IFERROR(__xludf.DUMMYFUNCTION("""COMPUTED_VALUE"""),1)</f>
        <v>1</v>
      </c>
      <c r="D7436" s="8">
        <f ca="1">IFERROR(__xludf.DUMMYFUNCTION("""COMPUTED_VALUE"""),1)</f>
        <v>1</v>
      </c>
      <c r="E7436" s="2">
        <f ca="1">IFERROR(__xludf.DUMMYFUNCTION("""COMPUTED_VALUE"""),1)</f>
        <v>1</v>
      </c>
    </row>
    <row r="7437" spans="1:5" ht="13">
      <c r="A7437" s="8" t="str">
        <f ca="1">IFERROR(__xludf.DUMMYFUNCTION("""COMPUTED_VALUE"""),"Sheremetev, Aleksandr")</f>
        <v>Sheremetev, Aleksandr</v>
      </c>
      <c r="B7437" s="2">
        <f ca="1">IFERROR(__xludf.DUMMYFUNCTION("""COMPUTED_VALUE"""),1)</f>
        <v>1</v>
      </c>
      <c r="C7437" s="7">
        <f ca="1">IFERROR(__xludf.DUMMYFUNCTION("""COMPUTED_VALUE"""),1)</f>
        <v>1</v>
      </c>
      <c r="D7437" s="8">
        <f ca="1">IFERROR(__xludf.DUMMYFUNCTION("""COMPUTED_VALUE"""),5)</f>
        <v>5</v>
      </c>
      <c r="E7437" s="2">
        <f ca="1">IFERROR(__xludf.DUMMYFUNCTION("""COMPUTED_VALUE"""),2)</f>
        <v>2</v>
      </c>
    </row>
    <row r="7438" spans="1:5" ht="13">
      <c r="A7438" s="2" t="str">
        <f ca="1">IFERROR(__xludf.DUMMYFUNCTION("""COMPUTED_VALUE"""),"Sherman, Arnold")</f>
        <v>Sherman, Arnold</v>
      </c>
      <c r="B7438" s="3">
        <f ca="1">IFERROR(__xludf.DUMMYFUNCTION("""COMPUTED_VALUE"""),1)</f>
        <v>1</v>
      </c>
      <c r="C7438" s="7">
        <f ca="1">IFERROR(__xludf.DUMMYFUNCTION("""COMPUTED_VALUE"""),1)</f>
        <v>1</v>
      </c>
      <c r="D7438" s="8">
        <f ca="1">IFERROR(__xludf.DUMMYFUNCTION("""COMPUTED_VALUE"""),1)</f>
        <v>1</v>
      </c>
      <c r="E7438" s="2">
        <f ca="1">IFERROR(__xludf.DUMMYFUNCTION("""COMPUTED_VALUE"""),1)</f>
        <v>1</v>
      </c>
    </row>
    <row r="7439" spans="1:5" ht="13">
      <c r="A7439" s="2" t="str">
        <f ca="1">IFERROR(__xludf.DUMMYFUNCTION("""COMPUTED_VALUE"""),"Sherman, Richard M.")</f>
        <v>Sherman, Richard M.</v>
      </c>
      <c r="B7439" s="3">
        <f ca="1">IFERROR(__xludf.DUMMYFUNCTION("""COMPUTED_VALUE"""),1)</f>
        <v>1</v>
      </c>
      <c r="C7439" s="7">
        <f ca="1">IFERROR(__xludf.DUMMYFUNCTION("""COMPUTED_VALUE"""),1)</f>
        <v>1</v>
      </c>
      <c r="D7439" s="8">
        <f ca="1">IFERROR(__xludf.DUMMYFUNCTION("""COMPUTED_VALUE"""),1)</f>
        <v>1</v>
      </c>
      <c r="E7439" s="2">
        <f ca="1">IFERROR(__xludf.DUMMYFUNCTION("""COMPUTED_VALUE"""),1)</f>
        <v>1</v>
      </c>
    </row>
    <row r="7440" spans="1:5" ht="13">
      <c r="A7440" s="2" t="str">
        <f ca="1">IFERROR(__xludf.DUMMYFUNCTION("""COMPUTED_VALUE"""),"Sherman, Robert / Sherman, Richard")</f>
        <v>Sherman, Robert / Sherman, Richard</v>
      </c>
      <c r="B7440" s="3">
        <f ca="1">IFERROR(__xludf.DUMMYFUNCTION("""COMPUTED_VALUE"""),1)</f>
        <v>1</v>
      </c>
      <c r="C7440" s="7">
        <f ca="1">IFERROR(__xludf.DUMMYFUNCTION("""COMPUTED_VALUE"""),1)</f>
        <v>1</v>
      </c>
      <c r="D7440" s="8">
        <f ca="1">IFERROR(__xludf.DUMMYFUNCTION("""COMPUTED_VALUE"""),5)</f>
        <v>5</v>
      </c>
      <c r="E7440" s="2">
        <f ca="1">IFERROR(__xludf.DUMMYFUNCTION("""COMPUTED_VALUE"""),2)</f>
        <v>2</v>
      </c>
    </row>
    <row r="7441" spans="1:5" ht="13">
      <c r="A7441" s="2" t="str">
        <f ca="1">IFERROR(__xludf.DUMMYFUNCTION("""COMPUTED_VALUE"""),"Sherr, Laurence")</f>
        <v>Sherr, Laurence</v>
      </c>
      <c r="B7441" s="3">
        <f ca="1">IFERROR(__xludf.DUMMYFUNCTION("""COMPUTED_VALUE"""),1)</f>
        <v>1</v>
      </c>
      <c r="C7441" s="7">
        <f ca="1">IFERROR(__xludf.DUMMYFUNCTION("""COMPUTED_VALUE"""),1)</f>
        <v>1</v>
      </c>
      <c r="D7441" s="8">
        <f ca="1">IFERROR(__xludf.DUMMYFUNCTION("""COMPUTED_VALUE"""),1)</f>
        <v>1</v>
      </c>
      <c r="E7441" s="2">
        <f ca="1">IFERROR(__xludf.DUMMYFUNCTION("""COMPUTED_VALUE"""),1)</f>
        <v>1</v>
      </c>
    </row>
    <row r="7442" spans="1:5" ht="13">
      <c r="A7442" s="2" t="str">
        <f ca="1">IFERROR(__xludf.DUMMYFUNCTION("""COMPUTED_VALUE"""),"Sherwin, Manning")</f>
        <v>Sherwin, Manning</v>
      </c>
      <c r="B7442" s="3">
        <f ca="1">IFERROR(__xludf.DUMMYFUNCTION("""COMPUTED_VALUE"""),1)</f>
        <v>1</v>
      </c>
      <c r="C7442" s="7">
        <f ca="1">IFERROR(__xludf.DUMMYFUNCTION("""COMPUTED_VALUE"""),1)</f>
        <v>1</v>
      </c>
      <c r="D7442" s="8">
        <f ca="1">IFERROR(__xludf.DUMMYFUNCTION("""COMPUTED_VALUE"""),1)</f>
        <v>1</v>
      </c>
      <c r="E7442" s="2">
        <f ca="1">IFERROR(__xludf.DUMMYFUNCTION("""COMPUTED_VALUE"""),1)</f>
        <v>1</v>
      </c>
    </row>
    <row r="7443" spans="1:5" ht="13">
      <c r="A7443" s="2" t="str">
        <f ca="1">IFERROR(__xludf.DUMMYFUNCTION("""COMPUTED_VALUE"""),"Sherwin, Manning / Maschwitz, Eric")</f>
        <v>Sherwin, Manning / Maschwitz, Eric</v>
      </c>
      <c r="B7443" s="3">
        <f ca="1">IFERROR(__xludf.DUMMYFUNCTION("""COMPUTED_VALUE"""),1)</f>
        <v>1</v>
      </c>
      <c r="C7443" s="7">
        <f ca="1">IFERROR(__xludf.DUMMYFUNCTION("""COMPUTED_VALUE"""),1)</f>
        <v>1</v>
      </c>
      <c r="D7443" s="8">
        <f ca="1">IFERROR(__xludf.DUMMYFUNCTION("""COMPUTED_VALUE"""),5)</f>
        <v>5</v>
      </c>
      <c r="E7443" s="2">
        <f ca="1">IFERROR(__xludf.DUMMYFUNCTION("""COMPUTED_VALUE"""),2)</f>
        <v>2</v>
      </c>
    </row>
    <row r="7444" spans="1:5" ht="13">
      <c r="A7444" s="2" t="str">
        <f ca="1">IFERROR(__xludf.DUMMYFUNCTION("""COMPUTED_VALUE"""),"Shew, Bobby")</f>
        <v>Shew, Bobby</v>
      </c>
      <c r="B7444" s="3">
        <f ca="1">IFERROR(__xludf.DUMMYFUNCTION("""COMPUTED_VALUE"""),1)</f>
        <v>1</v>
      </c>
      <c r="C7444" s="7">
        <f ca="1">IFERROR(__xludf.DUMMYFUNCTION("""COMPUTED_VALUE"""),1)</f>
        <v>1</v>
      </c>
      <c r="D7444" s="8">
        <f ca="1">IFERROR(__xludf.DUMMYFUNCTION("""COMPUTED_VALUE"""),1)</f>
        <v>1</v>
      </c>
      <c r="E7444" s="2">
        <f ca="1">IFERROR(__xludf.DUMMYFUNCTION("""COMPUTED_VALUE"""),1)</f>
        <v>1</v>
      </c>
    </row>
    <row r="7445" spans="1:5" ht="13">
      <c r="A7445" s="2" t="str">
        <f ca="1">IFERROR(__xludf.DUMMYFUNCTION("""COMPUTED_VALUE"""),"Shewan, Stephen")</f>
        <v>Shewan, Stephen</v>
      </c>
      <c r="B7445" s="3">
        <f ca="1">IFERROR(__xludf.DUMMYFUNCTION("""COMPUTED_VALUE"""),1)</f>
        <v>1</v>
      </c>
      <c r="C7445" s="7">
        <f ca="1">IFERROR(__xludf.DUMMYFUNCTION("""COMPUTED_VALUE"""),1)</f>
        <v>1</v>
      </c>
      <c r="D7445" s="8">
        <f ca="1">IFERROR(__xludf.DUMMYFUNCTION("""COMPUTED_VALUE"""),1)</f>
        <v>1</v>
      </c>
      <c r="E7445" s="2">
        <f ca="1">IFERROR(__xludf.DUMMYFUNCTION("""COMPUTED_VALUE"""),1)</f>
        <v>1</v>
      </c>
    </row>
    <row r="7446" spans="1:5" ht="13">
      <c r="A7446" s="8" t="str">
        <f ca="1">IFERROR(__xludf.DUMMYFUNCTION("""COMPUTED_VALUE"""),"Shields, Nathan")</f>
        <v>Shields, Nathan</v>
      </c>
      <c r="B7446" s="3">
        <f ca="1">IFERROR(__xludf.DUMMYFUNCTION("""COMPUTED_VALUE"""),1)</f>
        <v>1</v>
      </c>
      <c r="C7446" s="7">
        <f ca="1">IFERROR(__xludf.DUMMYFUNCTION("""COMPUTED_VALUE"""),1)</f>
        <v>1</v>
      </c>
      <c r="D7446" s="8">
        <f ca="1">IFERROR(__xludf.DUMMYFUNCTION("""COMPUTED_VALUE"""),1)</f>
        <v>1</v>
      </c>
      <c r="E7446" s="2">
        <f ca="1">IFERROR(__xludf.DUMMYFUNCTION("""COMPUTED_VALUE"""),1)</f>
        <v>1</v>
      </c>
    </row>
    <row r="7447" spans="1:5" ht="13">
      <c r="A7447" s="2" t="str">
        <f ca="1">IFERROR(__xludf.DUMMYFUNCTION("""COMPUTED_VALUE"""),"Shields, Ren")</f>
        <v>Shields, Ren</v>
      </c>
      <c r="B7447" s="3">
        <f ca="1">IFERROR(__xludf.DUMMYFUNCTION("""COMPUTED_VALUE"""),1)</f>
        <v>1</v>
      </c>
      <c r="C7447" s="7">
        <f ca="1">IFERROR(__xludf.DUMMYFUNCTION("""COMPUTED_VALUE"""),1)</f>
        <v>1</v>
      </c>
      <c r="D7447" s="8">
        <f ca="1">IFERROR(__xludf.DUMMYFUNCTION("""COMPUTED_VALUE"""),5)</f>
        <v>5</v>
      </c>
      <c r="E7447" s="2">
        <f ca="1">IFERROR(__xludf.DUMMYFUNCTION("""COMPUTED_VALUE"""),2)</f>
        <v>2</v>
      </c>
    </row>
    <row r="7448" spans="1:5" ht="13">
      <c r="A7448" s="2" t="str">
        <f ca="1">IFERROR(__xludf.DUMMYFUNCTION("""COMPUTED_VALUE"""),"Shilkret, Nathaniel")</f>
        <v>Shilkret, Nathaniel</v>
      </c>
      <c r="B7448" s="3">
        <f ca="1">IFERROR(__xludf.DUMMYFUNCTION("""COMPUTED_VALUE"""),1)</f>
        <v>1</v>
      </c>
      <c r="C7448" s="7">
        <f ca="1">IFERROR(__xludf.DUMMYFUNCTION("""COMPUTED_VALUE"""),1)</f>
        <v>1</v>
      </c>
      <c r="D7448" s="8">
        <f ca="1">IFERROR(__xludf.DUMMYFUNCTION("""COMPUTED_VALUE"""),5)</f>
        <v>5</v>
      </c>
      <c r="E7448" s="2">
        <f ca="1">IFERROR(__xludf.DUMMYFUNCTION("""COMPUTED_VALUE"""),2)</f>
        <v>2</v>
      </c>
    </row>
    <row r="7449" spans="1:5" ht="13">
      <c r="A7449" s="2" t="str">
        <f ca="1">IFERROR(__xludf.DUMMYFUNCTION("""COMPUTED_VALUE"""),"Shirer, Alec")</f>
        <v>Shirer, Alec</v>
      </c>
      <c r="B7449" s="3">
        <f ca="1">IFERROR(__xludf.DUMMYFUNCTION("""COMPUTED_VALUE"""),1)</f>
        <v>1</v>
      </c>
      <c r="C7449" s="7">
        <f ca="1">IFERROR(__xludf.DUMMYFUNCTION("""COMPUTED_VALUE"""),1)</f>
        <v>1</v>
      </c>
      <c r="D7449" s="8">
        <f ca="1">IFERROR(__xludf.DUMMYFUNCTION("""COMPUTED_VALUE"""),1)</f>
        <v>1</v>
      </c>
      <c r="E7449" s="2">
        <f ca="1">IFERROR(__xludf.DUMMYFUNCTION("""COMPUTED_VALUE"""),1)</f>
        <v>1</v>
      </c>
    </row>
    <row r="7450" spans="1:5" ht="13">
      <c r="A7450" s="2" t="str">
        <f ca="1">IFERROR(__xludf.DUMMYFUNCTION("""COMPUTED_VALUE"""),"Shocker, Gary")</f>
        <v>Shocker, Gary</v>
      </c>
      <c r="B7450" s="3">
        <f ca="1">IFERROR(__xludf.DUMMYFUNCTION("""COMPUTED_VALUE"""),1)</f>
        <v>1</v>
      </c>
      <c r="C7450" s="7">
        <f ca="1">IFERROR(__xludf.DUMMYFUNCTION("""COMPUTED_VALUE"""),1)</f>
        <v>1</v>
      </c>
      <c r="D7450" s="8">
        <f ca="1">IFERROR(__xludf.DUMMYFUNCTION("""COMPUTED_VALUE"""),1)</f>
        <v>1</v>
      </c>
      <c r="E7450" s="2">
        <f ca="1">IFERROR(__xludf.DUMMYFUNCTION("""COMPUTED_VALUE"""),1)</f>
        <v>1</v>
      </c>
    </row>
    <row r="7451" spans="1:5" ht="13">
      <c r="A7451" s="8" t="str">
        <f ca="1">IFERROR(__xludf.DUMMYFUNCTION("""COMPUTED_VALUE"""),"Shogren, Lucas")</f>
        <v>Shogren, Lucas</v>
      </c>
      <c r="B7451" s="3">
        <f ca="1">IFERROR(__xludf.DUMMYFUNCTION("""COMPUTED_VALUE"""),1)</f>
        <v>1</v>
      </c>
      <c r="C7451" s="7">
        <f ca="1">IFERROR(__xludf.DUMMYFUNCTION("""COMPUTED_VALUE"""),1)</f>
        <v>1</v>
      </c>
      <c r="D7451" s="8">
        <f ca="1">IFERROR(__xludf.DUMMYFUNCTION("""COMPUTED_VALUE"""),1)</f>
        <v>1</v>
      </c>
      <c r="E7451" s="2">
        <f ca="1">IFERROR(__xludf.DUMMYFUNCTION("""COMPUTED_VALUE"""),1)</f>
        <v>1</v>
      </c>
    </row>
    <row r="7452" spans="1:5" ht="13">
      <c r="A7452" s="2" t="str">
        <f ca="1">IFERROR(__xludf.DUMMYFUNCTION("""COMPUTED_VALUE"""),"Shore, Howard")</f>
        <v>Shore, Howard</v>
      </c>
      <c r="B7452" s="3">
        <f ca="1">IFERROR(__xludf.DUMMYFUNCTION("""COMPUTED_VALUE"""),1)</f>
        <v>1</v>
      </c>
      <c r="C7452" s="7">
        <f ca="1">IFERROR(__xludf.DUMMYFUNCTION("""COMPUTED_VALUE"""),1)</f>
        <v>1</v>
      </c>
      <c r="D7452" s="8">
        <f ca="1">IFERROR(__xludf.DUMMYFUNCTION("""COMPUTED_VALUE"""),1)</f>
        <v>1</v>
      </c>
      <c r="E7452" s="2">
        <f ca="1">IFERROR(__xludf.DUMMYFUNCTION("""COMPUTED_VALUE"""),1)</f>
        <v>1</v>
      </c>
    </row>
    <row r="7453" spans="1:5" ht="13">
      <c r="A7453" s="2" t="str">
        <f ca="1">IFERROR(__xludf.DUMMYFUNCTION("""COMPUTED_VALUE"""),"Short, David")</f>
        <v>Short, David</v>
      </c>
      <c r="B7453" s="3">
        <f ca="1">IFERROR(__xludf.DUMMYFUNCTION("""COMPUTED_VALUE"""),1)</f>
        <v>1</v>
      </c>
      <c r="C7453" s="7">
        <f ca="1">IFERROR(__xludf.DUMMYFUNCTION("""COMPUTED_VALUE"""),1)</f>
        <v>1</v>
      </c>
      <c r="D7453" s="8">
        <f ca="1">IFERROR(__xludf.DUMMYFUNCTION("""COMPUTED_VALUE"""),1)</f>
        <v>1</v>
      </c>
      <c r="E7453" s="2">
        <f ca="1">IFERROR(__xludf.DUMMYFUNCTION("""COMPUTED_VALUE"""),1)</f>
        <v>1</v>
      </c>
    </row>
    <row r="7454" spans="1:5" ht="13">
      <c r="A7454" s="2" t="str">
        <f ca="1">IFERROR(__xludf.DUMMYFUNCTION("""COMPUTED_VALUE"""),"Shostakovich, Dmitri")</f>
        <v>Shostakovich, Dmitri</v>
      </c>
      <c r="B7454" s="3">
        <f ca="1">IFERROR(__xludf.DUMMYFUNCTION("""COMPUTED_VALUE"""),1)</f>
        <v>1</v>
      </c>
      <c r="C7454" s="7">
        <f ca="1">IFERROR(__xludf.DUMMYFUNCTION("""COMPUTED_VALUE"""),1)</f>
        <v>1</v>
      </c>
      <c r="D7454" s="8">
        <f ca="1">IFERROR(__xludf.DUMMYFUNCTION("""COMPUTED_VALUE"""),5)</f>
        <v>5</v>
      </c>
      <c r="E7454" s="2">
        <f ca="1">IFERROR(__xludf.DUMMYFUNCTION("""COMPUTED_VALUE"""),2)</f>
        <v>2</v>
      </c>
    </row>
    <row r="7455" spans="1:5" ht="13">
      <c r="A7455" s="2" t="str">
        <f ca="1">IFERROR(__xludf.DUMMYFUNCTION("""COMPUTED_VALUE"""),"Shostakovich, Dmitri / Barshai")</f>
        <v>Shostakovich, Dmitri / Barshai</v>
      </c>
      <c r="B7455" s="3">
        <f ca="1">IFERROR(__xludf.DUMMYFUNCTION("""COMPUTED_VALUE"""),1)</f>
        <v>1</v>
      </c>
      <c r="C7455" s="7">
        <f ca="1">IFERROR(__xludf.DUMMYFUNCTION("""COMPUTED_VALUE"""),1)</f>
        <v>1</v>
      </c>
      <c r="D7455" s="8">
        <f ca="1">IFERROR(__xludf.DUMMYFUNCTION("""COMPUTED_VALUE"""),5)</f>
        <v>5</v>
      </c>
      <c r="E7455" s="2">
        <f ca="1">IFERROR(__xludf.DUMMYFUNCTION("""COMPUTED_VALUE"""),2)</f>
        <v>2</v>
      </c>
    </row>
    <row r="7456" spans="1:5" ht="13">
      <c r="A7456" s="2" t="str">
        <f ca="1">IFERROR(__xludf.DUMMYFUNCTION("""COMPUTED_VALUE"""),"Shostakovich, Dmitri / Kiekenapp")</f>
        <v>Shostakovich, Dmitri / Kiekenapp</v>
      </c>
      <c r="B7456" s="3">
        <f ca="1">IFERROR(__xludf.DUMMYFUNCTION("""COMPUTED_VALUE"""),1)</f>
        <v>1</v>
      </c>
      <c r="C7456" s="7">
        <f ca="1">IFERROR(__xludf.DUMMYFUNCTION("""COMPUTED_VALUE"""),1)</f>
        <v>1</v>
      </c>
      <c r="D7456" s="8">
        <f ca="1">IFERROR(__xludf.DUMMYFUNCTION("""COMPUTED_VALUE"""),5)</f>
        <v>5</v>
      </c>
      <c r="E7456" s="2">
        <f ca="1">IFERROR(__xludf.DUMMYFUNCTION("""COMPUTED_VALUE"""),2)</f>
        <v>2</v>
      </c>
    </row>
    <row r="7457" spans="1:5" ht="13">
      <c r="A7457" s="2" t="str">
        <f ca="1">IFERROR(__xludf.DUMMYFUNCTION("""COMPUTED_VALUE"""),"Shostakovitch, Dmitri")</f>
        <v>Shostakovitch, Dmitri</v>
      </c>
      <c r="B7457" s="2">
        <f ca="1">IFERROR(__xludf.DUMMYFUNCTION("""COMPUTED_VALUE"""),1)</f>
        <v>1</v>
      </c>
      <c r="C7457" s="7">
        <f ca="1">IFERROR(__xludf.DUMMYFUNCTION("""COMPUTED_VALUE"""),1)</f>
        <v>1</v>
      </c>
      <c r="D7457" s="8">
        <f ca="1">IFERROR(__xludf.DUMMYFUNCTION("""COMPUTED_VALUE"""),5)</f>
        <v>5</v>
      </c>
      <c r="E7457" s="2">
        <f ca="1">IFERROR(__xludf.DUMMYFUNCTION("""COMPUTED_VALUE"""),2)</f>
        <v>2</v>
      </c>
    </row>
    <row r="7458" spans="1:5" ht="13">
      <c r="A7458" s="8" t="str">
        <f ca="1">IFERROR(__xludf.DUMMYFUNCTION("""COMPUTED_VALUE"""),"Shover, Blaine")</f>
        <v>Shover, Blaine</v>
      </c>
      <c r="B7458" s="3">
        <f ca="1">IFERROR(__xludf.DUMMYFUNCTION("""COMPUTED_VALUE"""),1)</f>
        <v>1</v>
      </c>
      <c r="C7458" s="7">
        <f ca="1">IFERROR(__xludf.DUMMYFUNCTION("""COMPUTED_VALUE"""),1)</f>
        <v>1</v>
      </c>
      <c r="D7458" s="8">
        <f ca="1">IFERROR(__xludf.DUMMYFUNCTION("""COMPUTED_VALUE"""),1)</f>
        <v>1</v>
      </c>
      <c r="E7458" s="2">
        <f ca="1">IFERROR(__xludf.DUMMYFUNCTION("""COMPUTED_VALUE"""),1)</f>
        <v>1</v>
      </c>
    </row>
    <row r="7459" spans="1:5" ht="13">
      <c r="A7459" s="8" t="str">
        <f ca="1">IFERROR(__xludf.DUMMYFUNCTION("""COMPUTED_VALUE"""),"Showalter, Anthony J.")</f>
        <v>Showalter, Anthony J.</v>
      </c>
      <c r="B7459" s="3">
        <f ca="1">IFERROR(__xludf.DUMMYFUNCTION("""COMPUTED_VALUE"""),1)</f>
        <v>1</v>
      </c>
      <c r="C7459" s="7">
        <f ca="1">IFERROR(__xludf.DUMMYFUNCTION("""COMPUTED_VALUE"""),1)</f>
        <v>1</v>
      </c>
      <c r="D7459" s="8">
        <f ca="1">IFERROR(__xludf.DUMMYFUNCTION("""COMPUTED_VALUE"""),5)</f>
        <v>5</v>
      </c>
      <c r="E7459" s="2">
        <f ca="1">IFERROR(__xludf.DUMMYFUNCTION("""COMPUTED_VALUE"""),2)</f>
        <v>2</v>
      </c>
    </row>
    <row r="7460" spans="1:5" ht="13">
      <c r="A7460" s="8" t="str">
        <f ca="1">IFERROR(__xludf.DUMMYFUNCTION("""COMPUTED_VALUE"""),"Shugar, Adam")</f>
        <v>Shugar, Adam</v>
      </c>
      <c r="B7460" s="3">
        <f ca="1">IFERROR(__xludf.DUMMYFUNCTION("""COMPUTED_VALUE"""),1)</f>
        <v>1</v>
      </c>
      <c r="C7460" s="7">
        <f ca="1">IFERROR(__xludf.DUMMYFUNCTION("""COMPUTED_VALUE"""),1)</f>
        <v>1</v>
      </c>
      <c r="D7460" s="8">
        <f ca="1">IFERROR(__xludf.DUMMYFUNCTION("""COMPUTED_VALUE"""),1)</f>
        <v>1</v>
      </c>
      <c r="E7460" s="2">
        <f ca="1">IFERROR(__xludf.DUMMYFUNCTION("""COMPUTED_VALUE"""),1)</f>
        <v>1</v>
      </c>
    </row>
    <row r="7461" spans="1:5" ht="13">
      <c r="A7461" s="2" t="str">
        <f ca="1">IFERROR(__xludf.DUMMYFUNCTION("""COMPUTED_VALUE"""),"Shulman, Alan")</f>
        <v>Shulman, Alan</v>
      </c>
      <c r="B7461" s="3">
        <f ca="1">IFERROR(__xludf.DUMMYFUNCTION("""COMPUTED_VALUE"""),1)</f>
        <v>1</v>
      </c>
      <c r="C7461" s="7">
        <f ca="1">IFERROR(__xludf.DUMMYFUNCTION("""COMPUTED_VALUE"""),1)</f>
        <v>1</v>
      </c>
      <c r="D7461" s="8">
        <f ca="1">IFERROR(__xludf.DUMMYFUNCTION("""COMPUTED_VALUE"""),5)</f>
        <v>5</v>
      </c>
      <c r="E7461" s="2">
        <f ca="1">IFERROR(__xludf.DUMMYFUNCTION("""COMPUTED_VALUE"""),2)</f>
        <v>2</v>
      </c>
    </row>
    <row r="7462" spans="1:5" ht="13">
      <c r="A7462" s="2" t="str">
        <f ca="1">IFERROR(__xludf.DUMMYFUNCTION("""COMPUTED_VALUE"""),"Shultz, Dan M.")</f>
        <v>Shultz, Dan M.</v>
      </c>
      <c r="B7462" s="3">
        <f ca="1">IFERROR(__xludf.DUMMYFUNCTION("""COMPUTED_VALUE"""),1)</f>
        <v>1</v>
      </c>
      <c r="C7462" s="7">
        <f ca="1">IFERROR(__xludf.DUMMYFUNCTION("""COMPUTED_VALUE"""),1)</f>
        <v>1</v>
      </c>
      <c r="D7462" s="8">
        <f ca="1">IFERROR(__xludf.DUMMYFUNCTION("""COMPUTED_VALUE"""),1)</f>
        <v>1</v>
      </c>
      <c r="E7462" s="2">
        <f ca="1">IFERROR(__xludf.DUMMYFUNCTION("""COMPUTED_VALUE"""),1)</f>
        <v>1</v>
      </c>
    </row>
    <row r="7463" spans="1:5" ht="13">
      <c r="A7463" s="2" t="str">
        <f ca="1">IFERROR(__xludf.DUMMYFUNCTION("""COMPUTED_VALUE"""),"Shulze, Dustin")</f>
        <v>Shulze, Dustin</v>
      </c>
      <c r="B7463" s="3">
        <f ca="1">IFERROR(__xludf.DUMMYFUNCTION("""COMPUTED_VALUE"""),1)</f>
        <v>1</v>
      </c>
      <c r="C7463" s="7">
        <f ca="1">IFERROR(__xludf.DUMMYFUNCTION("""COMPUTED_VALUE"""),1)</f>
        <v>1</v>
      </c>
      <c r="D7463" s="8">
        <f ca="1">IFERROR(__xludf.DUMMYFUNCTION("""COMPUTED_VALUE"""),1)</f>
        <v>1</v>
      </c>
      <c r="E7463" s="2">
        <f ca="1">IFERROR(__xludf.DUMMYFUNCTION("""COMPUTED_VALUE"""),1)</f>
        <v>1</v>
      </c>
    </row>
    <row r="7464" spans="1:5" ht="13">
      <c r="A7464" s="2" t="str">
        <f ca="1">IFERROR(__xludf.DUMMYFUNCTION("""COMPUTED_VALUE"""),"Shutack, George")</f>
        <v>Shutack, George</v>
      </c>
      <c r="B7464" s="3">
        <f ca="1">IFERROR(__xludf.DUMMYFUNCTION("""COMPUTED_VALUE"""),1)</f>
        <v>1</v>
      </c>
      <c r="C7464" s="7">
        <f ca="1">IFERROR(__xludf.DUMMYFUNCTION("""COMPUTED_VALUE"""),1)</f>
        <v>1</v>
      </c>
      <c r="D7464" s="8">
        <f ca="1">IFERROR(__xludf.DUMMYFUNCTION("""COMPUTED_VALUE"""),1)</f>
        <v>1</v>
      </c>
      <c r="E7464" s="2">
        <f ca="1">IFERROR(__xludf.DUMMYFUNCTION("""COMPUTED_VALUE"""),1)</f>
        <v>1</v>
      </c>
    </row>
    <row r="7465" spans="1:5" ht="13">
      <c r="A7465" s="2" t="str">
        <f ca="1">IFERROR(__xludf.DUMMYFUNCTION("""COMPUTED_VALUE"""),"Shvedoff, Constantine")</f>
        <v>Shvedoff, Constantine</v>
      </c>
      <c r="B7465" s="3">
        <f ca="1">IFERROR(__xludf.DUMMYFUNCTION("""COMPUTED_VALUE"""),1)</f>
        <v>1</v>
      </c>
      <c r="C7465" s="7">
        <f ca="1">IFERROR(__xludf.DUMMYFUNCTION("""COMPUTED_VALUE"""),1)</f>
        <v>1</v>
      </c>
      <c r="D7465" s="8">
        <f ca="1">IFERROR(__xludf.DUMMYFUNCTION("""COMPUTED_VALUE"""),5)</f>
        <v>5</v>
      </c>
      <c r="E7465" s="2">
        <f ca="1">IFERROR(__xludf.DUMMYFUNCTION("""COMPUTED_VALUE"""),2)</f>
        <v>2</v>
      </c>
    </row>
    <row r="7466" spans="1:5" ht="13">
      <c r="A7466" s="2" t="str">
        <f ca="1">IFERROR(__xludf.DUMMYFUNCTION("""COMPUTED_VALUE"""),"Sibelius, Jean")</f>
        <v>Sibelius, Jean</v>
      </c>
      <c r="B7466" s="3">
        <f ca="1">IFERROR(__xludf.DUMMYFUNCTION("""COMPUTED_VALUE"""),1)</f>
        <v>1</v>
      </c>
      <c r="C7466" s="7">
        <f ca="1">IFERROR(__xludf.DUMMYFUNCTION("""COMPUTED_VALUE"""),1)</f>
        <v>1</v>
      </c>
      <c r="D7466" s="8">
        <f ca="1">IFERROR(__xludf.DUMMYFUNCTION("""COMPUTED_VALUE"""),5)</f>
        <v>5</v>
      </c>
      <c r="E7466" s="2">
        <f ca="1">IFERROR(__xludf.DUMMYFUNCTION("""COMPUTED_VALUE"""),2)</f>
        <v>2</v>
      </c>
    </row>
    <row r="7467" spans="1:5" ht="13">
      <c r="A7467" s="2" t="str">
        <f ca="1">IFERROR(__xludf.DUMMYFUNCTION("""COMPUTED_VALUE"""),"Sides, Ben")</f>
        <v>Sides, Ben</v>
      </c>
      <c r="B7467" s="3">
        <f ca="1">IFERROR(__xludf.DUMMYFUNCTION("""COMPUTED_VALUE"""),1)</f>
        <v>1</v>
      </c>
      <c r="C7467" s="7">
        <f ca="1">IFERROR(__xludf.DUMMYFUNCTION("""COMPUTED_VALUE"""),1)</f>
        <v>1</v>
      </c>
      <c r="D7467" s="8">
        <f ca="1">IFERROR(__xludf.DUMMYFUNCTION("""COMPUTED_VALUE"""),1)</f>
        <v>1</v>
      </c>
      <c r="E7467" s="2">
        <f ca="1">IFERROR(__xludf.DUMMYFUNCTION("""COMPUTED_VALUE"""),1)</f>
        <v>1</v>
      </c>
    </row>
    <row r="7468" spans="1:5" ht="13">
      <c r="A7468" s="2" t="str">
        <f ca="1">IFERROR(__xludf.DUMMYFUNCTION("""COMPUTED_VALUE"""),"Sieczyński, Rudolf")</f>
        <v>Sieczyński, Rudolf</v>
      </c>
      <c r="B7468" s="3">
        <f ca="1">IFERROR(__xludf.DUMMYFUNCTION("""COMPUTED_VALUE"""),1)</f>
        <v>1</v>
      </c>
      <c r="C7468" s="7">
        <f ca="1">IFERROR(__xludf.DUMMYFUNCTION("""COMPUTED_VALUE"""),1)</f>
        <v>1</v>
      </c>
      <c r="D7468" s="8">
        <f ca="1">IFERROR(__xludf.DUMMYFUNCTION("""COMPUTED_VALUE"""),5)</f>
        <v>5</v>
      </c>
      <c r="E7468" s="2">
        <f ca="1">IFERROR(__xludf.DUMMYFUNCTION("""COMPUTED_VALUE"""),2)</f>
        <v>2</v>
      </c>
    </row>
    <row r="7469" spans="1:5" ht="13">
      <c r="A7469" s="2" t="str">
        <f ca="1">IFERROR(__xludf.DUMMYFUNCTION("""COMPUTED_VALUE"""),"Siegel, Lawrence")</f>
        <v>Siegel, Lawrence</v>
      </c>
      <c r="B7469" s="3">
        <f ca="1">IFERROR(__xludf.DUMMYFUNCTION("""COMPUTED_VALUE"""),1)</f>
        <v>1</v>
      </c>
      <c r="C7469" s="7">
        <f ca="1">IFERROR(__xludf.DUMMYFUNCTION("""COMPUTED_VALUE"""),1)</f>
        <v>1</v>
      </c>
      <c r="D7469" s="8">
        <f ca="1">IFERROR(__xludf.DUMMYFUNCTION("""COMPUTED_VALUE"""),1)</f>
        <v>1</v>
      </c>
      <c r="E7469" s="2">
        <f ca="1">IFERROR(__xludf.DUMMYFUNCTION("""COMPUTED_VALUE"""),1)</f>
        <v>1</v>
      </c>
    </row>
    <row r="7470" spans="1:5" ht="13">
      <c r="A7470" s="2" t="str">
        <f ca="1">IFERROR(__xludf.DUMMYFUNCTION("""COMPUTED_VALUE"""),"Siegmeister, Elie")</f>
        <v>Siegmeister, Elie</v>
      </c>
      <c r="B7470" s="3">
        <f ca="1">IFERROR(__xludf.DUMMYFUNCTION("""COMPUTED_VALUE"""),1)</f>
        <v>1</v>
      </c>
      <c r="C7470" s="7">
        <f ca="1">IFERROR(__xludf.DUMMYFUNCTION("""COMPUTED_VALUE"""),1)</f>
        <v>1</v>
      </c>
      <c r="D7470" s="8">
        <f ca="1">IFERROR(__xludf.DUMMYFUNCTION("""COMPUTED_VALUE"""),5)</f>
        <v>5</v>
      </c>
      <c r="E7470" s="2">
        <f ca="1">IFERROR(__xludf.DUMMYFUNCTION("""COMPUTED_VALUE"""),2)</f>
        <v>2</v>
      </c>
    </row>
    <row r="7471" spans="1:5" ht="13">
      <c r="A7471" s="2" t="str">
        <f ca="1">IFERROR(__xludf.DUMMYFUNCTION("""COMPUTED_VALUE"""),"Siegmister")</f>
        <v>Siegmister</v>
      </c>
      <c r="B7471" s="3">
        <f ca="1">IFERROR(__xludf.DUMMYFUNCTION("""COMPUTED_VALUE"""),1)</f>
        <v>1</v>
      </c>
      <c r="C7471" s="7">
        <f ca="1">IFERROR(__xludf.DUMMYFUNCTION("""COMPUTED_VALUE"""),1)</f>
        <v>1</v>
      </c>
      <c r="D7471" s="8">
        <f ca="1">IFERROR(__xludf.DUMMYFUNCTION("""COMPUTED_VALUE"""),5)</f>
        <v>5</v>
      </c>
      <c r="E7471" s="2">
        <f ca="1">IFERROR(__xludf.DUMMYFUNCTION("""COMPUTED_VALUE"""),2)</f>
        <v>2</v>
      </c>
    </row>
    <row r="7472" spans="1:5" ht="13">
      <c r="A7472" s="2" t="str">
        <f ca="1">IFERROR(__xludf.DUMMYFUNCTION("""COMPUTED_VALUE"""),"Siekmann, Frank")</f>
        <v>Siekmann, Frank</v>
      </c>
      <c r="B7472" s="3">
        <f ca="1">IFERROR(__xludf.DUMMYFUNCTION("""COMPUTED_VALUE"""),1)</f>
        <v>1</v>
      </c>
      <c r="C7472" s="7">
        <f ca="1">IFERROR(__xludf.DUMMYFUNCTION("""COMPUTED_VALUE"""),1)</f>
        <v>1</v>
      </c>
      <c r="D7472" s="8">
        <f ca="1">IFERROR(__xludf.DUMMYFUNCTION("""COMPUTED_VALUE"""),1)</f>
        <v>1</v>
      </c>
      <c r="E7472" s="2">
        <f ca="1">IFERROR(__xludf.DUMMYFUNCTION("""COMPUTED_VALUE"""),1)</f>
        <v>1</v>
      </c>
    </row>
    <row r="7473" spans="1:5" ht="13">
      <c r="A7473" s="2" t="str">
        <f ca="1">IFERROR(__xludf.DUMMYFUNCTION("""COMPUTED_VALUE"""),"Siekmann, Frank / Oliver, Richard")</f>
        <v>Siekmann, Frank / Oliver, Richard</v>
      </c>
      <c r="B7473" s="3">
        <f ca="1">IFERROR(__xludf.DUMMYFUNCTION("""COMPUTED_VALUE"""),1)</f>
        <v>1</v>
      </c>
      <c r="C7473" s="7">
        <f ca="1">IFERROR(__xludf.DUMMYFUNCTION("""COMPUTED_VALUE"""),1)</f>
        <v>1</v>
      </c>
      <c r="D7473" s="8">
        <f ca="1">IFERROR(__xludf.DUMMYFUNCTION("""COMPUTED_VALUE"""),1)</f>
        <v>1</v>
      </c>
      <c r="E7473" s="2">
        <f ca="1">IFERROR(__xludf.DUMMYFUNCTION("""COMPUTED_VALUE"""),1)</f>
        <v>1</v>
      </c>
    </row>
    <row r="7474" spans="1:5" ht="13">
      <c r="A7474" s="8" t="str">
        <f ca="1">IFERROR(__xludf.DUMMYFUNCTION("""COMPUTED_VALUE"""),"Siennicki, Edmund")</f>
        <v>Siennicki, Edmund</v>
      </c>
      <c r="B7474" s="3">
        <f ca="1">IFERROR(__xludf.DUMMYFUNCTION("""COMPUTED_VALUE"""),1)</f>
        <v>1</v>
      </c>
      <c r="C7474" s="7">
        <f ca="1">IFERROR(__xludf.DUMMYFUNCTION("""COMPUTED_VALUE"""),1)</f>
        <v>1</v>
      </c>
      <c r="D7474" s="8">
        <f ca="1">IFERROR(__xludf.DUMMYFUNCTION("""COMPUTED_VALUE"""),5)</f>
        <v>5</v>
      </c>
      <c r="E7474" s="2">
        <f ca="1">IFERROR(__xludf.DUMMYFUNCTION("""COMPUTED_VALUE"""),2)</f>
        <v>2</v>
      </c>
    </row>
    <row r="7475" spans="1:5" ht="13">
      <c r="A7475" s="2" t="str">
        <f ca="1">IFERROR(__xludf.DUMMYFUNCTION("""COMPUTED_VALUE"""),"Sieving, Robert")</f>
        <v>Sieving, Robert</v>
      </c>
      <c r="B7475" s="3">
        <f ca="1">IFERROR(__xludf.DUMMYFUNCTION("""COMPUTED_VALUE"""),1)</f>
        <v>1</v>
      </c>
      <c r="C7475" s="7">
        <f ca="1">IFERROR(__xludf.DUMMYFUNCTION("""COMPUTED_VALUE"""),1)</f>
        <v>1</v>
      </c>
      <c r="D7475" s="8">
        <f ca="1">IFERROR(__xludf.DUMMYFUNCTION("""COMPUTED_VALUE"""),1)</f>
        <v>1</v>
      </c>
      <c r="E7475" s="2">
        <f ca="1">IFERROR(__xludf.DUMMYFUNCTION("""COMPUTED_VALUE"""),1)</f>
        <v>1</v>
      </c>
    </row>
    <row r="7476" spans="1:5" ht="13">
      <c r="A7476" s="2" t="str">
        <f ca="1">IFERROR(__xludf.DUMMYFUNCTION("""COMPUTED_VALUE"""),"Sigler, Rich")</f>
        <v>Sigler, Rich</v>
      </c>
      <c r="B7476" s="3">
        <f ca="1">IFERROR(__xludf.DUMMYFUNCTION("""COMPUTED_VALUE"""),1)</f>
        <v>1</v>
      </c>
      <c r="C7476" s="7">
        <f ca="1">IFERROR(__xludf.DUMMYFUNCTION("""COMPUTED_VALUE"""),1)</f>
        <v>1</v>
      </c>
      <c r="D7476" s="8">
        <f ca="1">IFERROR(__xludf.DUMMYFUNCTION("""COMPUTED_VALUE"""),1)</f>
        <v>1</v>
      </c>
      <c r="E7476" s="2">
        <f ca="1">IFERROR(__xludf.DUMMYFUNCTION("""COMPUTED_VALUE"""),1)</f>
        <v>1</v>
      </c>
    </row>
    <row r="7477" spans="1:5" ht="13">
      <c r="A7477" s="2" t="str">
        <f ca="1">IFERROR(__xludf.DUMMYFUNCTION("""COMPUTED_VALUE"""),"Sigur Rós")</f>
        <v>Sigur Rós</v>
      </c>
      <c r="B7477" s="3">
        <f ca="1">IFERROR(__xludf.DUMMYFUNCTION("""COMPUTED_VALUE"""),1)</f>
        <v>1</v>
      </c>
      <c r="C7477" s="7">
        <f ca="1">IFERROR(__xludf.DUMMYFUNCTION("""COMPUTED_VALUE"""),1)</f>
        <v>1</v>
      </c>
      <c r="D7477" s="8">
        <f ca="1">IFERROR(__xludf.DUMMYFUNCTION("""COMPUTED_VALUE"""),1)</f>
        <v>1</v>
      </c>
      <c r="E7477" s="2">
        <f ca="1">IFERROR(__xludf.DUMMYFUNCTION("""COMPUTED_VALUE"""),1)</f>
        <v>1</v>
      </c>
    </row>
    <row r="7478" spans="1:5" ht="13">
      <c r="A7478" s="2" t="str">
        <f ca="1">IFERROR(__xludf.DUMMYFUNCTION("""COMPUTED_VALUE"""),"Sigurðsson, Valgeir")</f>
        <v>Sigurðsson, Valgeir</v>
      </c>
      <c r="B7478" s="3">
        <f ca="1">IFERROR(__xludf.DUMMYFUNCTION("""COMPUTED_VALUE"""),1)</f>
        <v>1</v>
      </c>
      <c r="C7478" s="7">
        <f ca="1">IFERROR(__xludf.DUMMYFUNCTION("""COMPUTED_VALUE"""),1)</f>
        <v>1</v>
      </c>
      <c r="D7478" s="8">
        <f ca="1">IFERROR(__xludf.DUMMYFUNCTION("""COMPUTED_VALUE"""),1)</f>
        <v>1</v>
      </c>
      <c r="E7478" s="2">
        <f ca="1">IFERROR(__xludf.DUMMYFUNCTION("""COMPUTED_VALUE"""),1)</f>
        <v>1</v>
      </c>
    </row>
    <row r="7479" spans="1:5" ht="13">
      <c r="A7479" s="2" t="str">
        <f ca="1">IFERROR(__xludf.DUMMYFUNCTION("""COMPUTED_VALUE"""),"Silbert, Scott")</f>
        <v>Silbert, Scott</v>
      </c>
      <c r="B7479" s="3">
        <f ca="1">IFERROR(__xludf.DUMMYFUNCTION("""COMPUTED_VALUE"""),1)</f>
        <v>1</v>
      </c>
      <c r="C7479" s="7">
        <f ca="1">IFERROR(__xludf.DUMMYFUNCTION("""COMPUTED_VALUE"""),1)</f>
        <v>1</v>
      </c>
      <c r="D7479" s="8">
        <f ca="1">IFERROR(__xludf.DUMMYFUNCTION("""COMPUTED_VALUE"""),1)</f>
        <v>1</v>
      </c>
      <c r="E7479" s="2">
        <f ca="1">IFERROR(__xludf.DUMMYFUNCTION("""COMPUTED_VALUE"""),1)</f>
        <v>1</v>
      </c>
    </row>
    <row r="7480" spans="1:5" ht="13">
      <c r="A7480" s="2" t="str">
        <f ca="1">IFERROR(__xludf.DUMMYFUNCTION("""COMPUTED_VALUE"""),"Silcher, Friedrich")</f>
        <v>Silcher, Friedrich</v>
      </c>
      <c r="B7480" s="3">
        <f ca="1">IFERROR(__xludf.DUMMYFUNCTION("""COMPUTED_VALUE"""),1)</f>
        <v>1</v>
      </c>
      <c r="C7480" s="7">
        <f ca="1">IFERROR(__xludf.DUMMYFUNCTION("""COMPUTED_VALUE"""),1)</f>
        <v>1</v>
      </c>
      <c r="D7480" s="8">
        <f ca="1">IFERROR(__xludf.DUMMYFUNCTION("""COMPUTED_VALUE"""),5)</f>
        <v>5</v>
      </c>
      <c r="E7480" s="2">
        <f ca="1">IFERROR(__xludf.DUMMYFUNCTION("""COMPUTED_VALUE"""),2)</f>
        <v>2</v>
      </c>
    </row>
    <row r="7481" spans="1:5" ht="13">
      <c r="A7481" s="8" t="str">
        <f ca="1">IFERROR(__xludf.DUMMYFUNCTION("""COMPUTED_VALUE"""),"Siloti, Alexander")</f>
        <v>Siloti, Alexander</v>
      </c>
      <c r="B7481" s="3">
        <f ca="1">IFERROR(__xludf.DUMMYFUNCTION("""COMPUTED_VALUE"""),1)</f>
        <v>1</v>
      </c>
      <c r="C7481" s="7">
        <f ca="1">IFERROR(__xludf.DUMMYFUNCTION("""COMPUTED_VALUE"""),1)</f>
        <v>1</v>
      </c>
      <c r="D7481" s="8">
        <f ca="1">IFERROR(__xludf.DUMMYFUNCTION("""COMPUTED_VALUE"""),5)</f>
        <v>5</v>
      </c>
      <c r="E7481" s="2">
        <f ca="1">IFERROR(__xludf.DUMMYFUNCTION("""COMPUTED_VALUE"""),2)</f>
        <v>2</v>
      </c>
    </row>
    <row r="7482" spans="1:5" ht="13">
      <c r="A7482" s="8" t="str">
        <f ca="1">IFERROR(__xludf.DUMMYFUNCTION("""COMPUTED_VALUE"""),"Siltman, Bobby")</f>
        <v>Siltman, Bobby</v>
      </c>
      <c r="B7482" s="3">
        <f ca="1">IFERROR(__xludf.DUMMYFUNCTION("""COMPUTED_VALUE"""),1)</f>
        <v>1</v>
      </c>
      <c r="C7482" s="7">
        <f ca="1">IFERROR(__xludf.DUMMYFUNCTION("""COMPUTED_VALUE"""),1)</f>
        <v>1</v>
      </c>
      <c r="D7482" s="8">
        <f ca="1">IFERROR(__xludf.DUMMYFUNCTION("""COMPUTED_VALUE"""),5)</f>
        <v>5</v>
      </c>
      <c r="E7482" s="2">
        <f ca="1">IFERROR(__xludf.DUMMYFUNCTION("""COMPUTED_VALUE"""),2)</f>
        <v>2</v>
      </c>
    </row>
    <row r="7483" spans="1:5" ht="13">
      <c r="A7483" s="2" t="str">
        <f ca="1">IFERROR(__xludf.DUMMYFUNCTION("""COMPUTED_VALUE"""),"Silva, Alan Lee")</f>
        <v>Silva, Alan Lee</v>
      </c>
      <c r="B7483" s="3">
        <f ca="1">IFERROR(__xludf.DUMMYFUNCTION("""COMPUTED_VALUE"""),1)</f>
        <v>1</v>
      </c>
      <c r="C7483" s="7">
        <f ca="1">IFERROR(__xludf.DUMMYFUNCTION("""COMPUTED_VALUE"""),1)</f>
        <v>1</v>
      </c>
      <c r="D7483" s="8">
        <f ca="1">IFERROR(__xludf.DUMMYFUNCTION("""COMPUTED_VALUE"""),1)</f>
        <v>1</v>
      </c>
      <c r="E7483" s="2">
        <f ca="1">IFERROR(__xludf.DUMMYFUNCTION("""COMPUTED_VALUE"""),1)</f>
        <v>1</v>
      </c>
    </row>
    <row r="7484" spans="1:5" ht="13">
      <c r="A7484" s="2" t="str">
        <f ca="1">IFERROR(__xludf.DUMMYFUNCTION("""COMPUTED_VALUE"""),"Silva, Cayetano Alberto")</f>
        <v>Silva, Cayetano Alberto</v>
      </c>
      <c r="B7484" s="3">
        <f ca="1">IFERROR(__xludf.DUMMYFUNCTION("""COMPUTED_VALUE"""),1)</f>
        <v>1</v>
      </c>
      <c r="C7484" s="7">
        <f ca="1">IFERROR(__xludf.DUMMYFUNCTION("""COMPUTED_VALUE"""),1)</f>
        <v>1</v>
      </c>
      <c r="D7484" s="8">
        <f ca="1">IFERROR(__xludf.DUMMYFUNCTION("""COMPUTED_VALUE"""),5)</f>
        <v>5</v>
      </c>
      <c r="E7484" s="2">
        <f ca="1">IFERROR(__xludf.DUMMYFUNCTION("""COMPUTED_VALUE"""),2)</f>
        <v>2</v>
      </c>
    </row>
    <row r="7485" spans="1:5" ht="13">
      <c r="A7485" s="2" t="str">
        <f ca="1">IFERROR(__xludf.DUMMYFUNCTION("""COMPUTED_VALUE"""),"Silver, Abner")</f>
        <v>Silver, Abner</v>
      </c>
      <c r="B7485" s="2">
        <f ca="1">IFERROR(__xludf.DUMMYFUNCTION("""COMPUTED_VALUE"""),1)</f>
        <v>1</v>
      </c>
      <c r="C7485" s="7">
        <f ca="1">IFERROR(__xludf.DUMMYFUNCTION("""COMPUTED_VALUE"""),1)</f>
        <v>1</v>
      </c>
      <c r="D7485" s="8">
        <f ca="1">IFERROR(__xludf.DUMMYFUNCTION("""COMPUTED_VALUE"""),5)</f>
        <v>5</v>
      </c>
      <c r="E7485" s="2">
        <f ca="1">IFERROR(__xludf.DUMMYFUNCTION("""COMPUTED_VALUE"""),2)</f>
        <v>2</v>
      </c>
    </row>
    <row r="7486" spans="1:5" ht="13">
      <c r="A7486" s="2" t="str">
        <f ca="1">IFERROR(__xludf.DUMMYFUNCTION("""COMPUTED_VALUE"""),"Silverman, Adam")</f>
        <v>Silverman, Adam</v>
      </c>
      <c r="B7486" s="3">
        <f ca="1">IFERROR(__xludf.DUMMYFUNCTION("""COMPUTED_VALUE"""),1)</f>
        <v>1</v>
      </c>
      <c r="C7486" s="7">
        <f ca="1">IFERROR(__xludf.DUMMYFUNCTION("""COMPUTED_VALUE"""),1)</f>
        <v>1</v>
      </c>
      <c r="D7486" s="8">
        <f ca="1">IFERROR(__xludf.DUMMYFUNCTION("""COMPUTED_VALUE"""),1)</f>
        <v>1</v>
      </c>
      <c r="E7486" s="2">
        <f ca="1">IFERROR(__xludf.DUMMYFUNCTION("""COMPUTED_VALUE"""),1)</f>
        <v>1</v>
      </c>
    </row>
    <row r="7487" spans="1:5" ht="13">
      <c r="A7487" s="2" t="str">
        <f ca="1">IFERROR(__xludf.DUMMYFUNCTION("""COMPUTED_VALUE"""),"Silverman, Bret L.")</f>
        <v>Silverman, Bret L.</v>
      </c>
      <c r="B7487" s="3">
        <f ca="1">IFERROR(__xludf.DUMMYFUNCTION("""COMPUTED_VALUE"""),1)</f>
        <v>1</v>
      </c>
      <c r="C7487" s="7">
        <f ca="1">IFERROR(__xludf.DUMMYFUNCTION("""COMPUTED_VALUE"""),1)</f>
        <v>1</v>
      </c>
      <c r="D7487" s="8">
        <f ca="1">IFERROR(__xludf.DUMMYFUNCTION("""COMPUTED_VALUE"""),1)</f>
        <v>1</v>
      </c>
      <c r="E7487" s="2">
        <f ca="1">IFERROR(__xludf.DUMMYFUNCTION("""COMPUTED_VALUE"""),1)</f>
        <v>1</v>
      </c>
    </row>
    <row r="7488" spans="1:5" ht="13">
      <c r="A7488" s="8" t="str">
        <f ca="1">IFERROR(__xludf.DUMMYFUNCTION("""COMPUTED_VALUE"""),"Silverman, Tracy")</f>
        <v>Silverman, Tracy</v>
      </c>
      <c r="B7488" s="3">
        <f ca="1">IFERROR(__xludf.DUMMYFUNCTION("""COMPUTED_VALUE"""),1)</f>
        <v>1</v>
      </c>
      <c r="C7488" s="7">
        <f ca="1">IFERROR(__xludf.DUMMYFUNCTION("""COMPUTED_VALUE"""),1)</f>
        <v>1</v>
      </c>
      <c r="D7488" s="8">
        <f ca="1">IFERROR(__xludf.DUMMYFUNCTION("""COMPUTED_VALUE"""),1)</f>
        <v>1</v>
      </c>
      <c r="E7488" s="2">
        <f ca="1">IFERROR(__xludf.DUMMYFUNCTION("""COMPUTED_VALUE"""),1)</f>
        <v>1</v>
      </c>
    </row>
    <row r="7489" spans="1:5" ht="13">
      <c r="A7489" s="2" t="str">
        <f ca="1">IFERROR(__xludf.DUMMYFUNCTION("""COMPUTED_VALUE"""),"Silvester, William H.")</f>
        <v>Silvester, William H.</v>
      </c>
      <c r="B7489" s="3">
        <f ca="1">IFERROR(__xludf.DUMMYFUNCTION("""COMPUTED_VALUE"""),1)</f>
        <v>1</v>
      </c>
      <c r="C7489" s="7">
        <f ca="1">IFERROR(__xludf.DUMMYFUNCTION("""COMPUTED_VALUE"""),1)</f>
        <v>1</v>
      </c>
      <c r="D7489" s="8">
        <f ca="1">IFERROR(__xludf.DUMMYFUNCTION("""COMPUTED_VALUE"""),1)</f>
        <v>1</v>
      </c>
      <c r="E7489" s="2">
        <f ca="1">IFERROR(__xludf.DUMMYFUNCTION("""COMPUTED_VALUE"""),1)</f>
        <v>1</v>
      </c>
    </row>
    <row r="7490" spans="1:5" ht="13">
      <c r="A7490" s="2" t="str">
        <f ca="1">IFERROR(__xludf.DUMMYFUNCTION("""COMPUTED_VALUE"""),"Silvestri, Alan")</f>
        <v>Silvestri, Alan</v>
      </c>
      <c r="B7490" s="3">
        <f ca="1">IFERROR(__xludf.DUMMYFUNCTION("""COMPUTED_VALUE"""),1)</f>
        <v>1</v>
      </c>
      <c r="C7490" s="7">
        <f ca="1">IFERROR(__xludf.DUMMYFUNCTION("""COMPUTED_VALUE"""),1)</f>
        <v>1</v>
      </c>
      <c r="D7490" s="8">
        <f ca="1">IFERROR(__xludf.DUMMYFUNCTION("""COMPUTED_VALUE"""),1)</f>
        <v>1</v>
      </c>
      <c r="E7490" s="2">
        <f ca="1">IFERROR(__xludf.DUMMYFUNCTION("""COMPUTED_VALUE"""),1)</f>
        <v>1</v>
      </c>
    </row>
    <row r="7491" spans="1:5" ht="13">
      <c r="A7491" s="2" t="str">
        <f ca="1">IFERROR(__xludf.DUMMYFUNCTION("""COMPUTED_VALUE"""),"Silvestri, Alan / Ballard, Glen")</f>
        <v>Silvestri, Alan / Ballard, Glen</v>
      </c>
      <c r="B7491" s="3">
        <f ca="1">IFERROR(__xludf.DUMMYFUNCTION("""COMPUTED_VALUE"""),1)</f>
        <v>1</v>
      </c>
      <c r="C7491" s="7">
        <f ca="1">IFERROR(__xludf.DUMMYFUNCTION("""COMPUTED_VALUE"""),1)</f>
        <v>1</v>
      </c>
      <c r="D7491" s="8">
        <f ca="1">IFERROR(__xludf.DUMMYFUNCTION("""COMPUTED_VALUE"""),1)</f>
        <v>1</v>
      </c>
      <c r="E7491" s="2">
        <f ca="1">IFERROR(__xludf.DUMMYFUNCTION("""COMPUTED_VALUE"""),1)</f>
        <v>1</v>
      </c>
    </row>
    <row r="7492" spans="1:5" ht="13">
      <c r="A7492" s="8" t="str">
        <f ca="1">IFERROR(__xludf.DUMMYFUNCTION("""COMPUTED_VALUE"""),"Silvestrini, Gilles")</f>
        <v>Silvestrini, Gilles</v>
      </c>
      <c r="B7492" s="3">
        <f ca="1">IFERROR(__xludf.DUMMYFUNCTION("""COMPUTED_VALUE"""),1)</f>
        <v>1</v>
      </c>
      <c r="C7492" s="7">
        <f ca="1">IFERROR(__xludf.DUMMYFUNCTION("""COMPUTED_VALUE"""),1)</f>
        <v>1</v>
      </c>
      <c r="D7492" s="8">
        <f ca="1">IFERROR(__xludf.DUMMYFUNCTION("""COMPUTED_VALUE"""),1)</f>
        <v>1</v>
      </c>
      <c r="E7492" s="2">
        <f ca="1">IFERROR(__xludf.DUMMYFUNCTION("""COMPUTED_VALUE"""),1)</f>
        <v>1</v>
      </c>
    </row>
    <row r="7493" spans="1:5" ht="13">
      <c r="A7493" s="2" t="str">
        <f ca="1">IFERROR(__xludf.DUMMYFUNCTION("""COMPUTED_VALUE"""),"Silvestrov, Valentin")</f>
        <v>Silvestrov, Valentin</v>
      </c>
      <c r="B7493" s="3">
        <f ca="1">IFERROR(__xludf.DUMMYFUNCTION("""COMPUTED_VALUE"""),1)</f>
        <v>1</v>
      </c>
      <c r="C7493" s="7">
        <f ca="1">IFERROR(__xludf.DUMMYFUNCTION("""COMPUTED_VALUE"""),1)</f>
        <v>1</v>
      </c>
      <c r="D7493" s="8">
        <f ca="1">IFERROR(__xludf.DUMMYFUNCTION("""COMPUTED_VALUE"""),1)</f>
        <v>1</v>
      </c>
      <c r="E7493" s="2">
        <f ca="1">IFERROR(__xludf.DUMMYFUNCTION("""COMPUTED_VALUE"""),1)</f>
        <v>1</v>
      </c>
    </row>
    <row r="7494" spans="1:5" ht="13">
      <c r="A7494" s="8" t="str">
        <f ca="1">IFERROR(__xludf.DUMMYFUNCTION("""COMPUTED_VALUE"""),"Silvey, Philip")</f>
        <v>Silvey, Philip</v>
      </c>
      <c r="B7494" s="3">
        <f ca="1">IFERROR(__xludf.DUMMYFUNCTION("""COMPUTED_VALUE"""),1)</f>
        <v>1</v>
      </c>
      <c r="C7494" s="7">
        <f ca="1">IFERROR(__xludf.DUMMYFUNCTION("""COMPUTED_VALUE"""),1)</f>
        <v>1</v>
      </c>
      <c r="D7494" s="8">
        <f ca="1">IFERROR(__xludf.DUMMYFUNCTION("""COMPUTED_VALUE"""),1)</f>
        <v>1</v>
      </c>
      <c r="E7494" s="2">
        <f ca="1">IFERROR(__xludf.DUMMYFUNCTION("""COMPUTED_VALUE"""),1)</f>
        <v>1</v>
      </c>
    </row>
    <row r="7495" spans="1:5" ht="13">
      <c r="A7495" s="2" t="str">
        <f ca="1">IFERROR(__xludf.DUMMYFUNCTION("""COMPUTED_VALUE"""),"Silvey, Phillip")</f>
        <v>Silvey, Phillip</v>
      </c>
      <c r="B7495" s="3">
        <f ca="1">IFERROR(__xludf.DUMMYFUNCTION("""COMPUTED_VALUE"""),1)</f>
        <v>1</v>
      </c>
      <c r="C7495" s="7">
        <f ca="1">IFERROR(__xludf.DUMMYFUNCTION("""COMPUTED_VALUE"""),1)</f>
        <v>1</v>
      </c>
      <c r="D7495" s="8">
        <f ca="1">IFERROR(__xludf.DUMMYFUNCTION("""COMPUTED_VALUE"""),1)</f>
        <v>1</v>
      </c>
      <c r="E7495" s="2">
        <f ca="1">IFERROR(__xludf.DUMMYFUNCTION("""COMPUTED_VALUE"""),1)</f>
        <v>1</v>
      </c>
    </row>
    <row r="7496" spans="1:5" ht="13">
      <c r="A7496" s="8" t="str">
        <f ca="1">IFERROR(__xludf.DUMMYFUNCTION("""COMPUTED_VALUE"""),"Simeone, Harry")</f>
        <v>Simeone, Harry</v>
      </c>
      <c r="B7496" s="3">
        <f ca="1">IFERROR(__xludf.DUMMYFUNCTION("""COMPUTED_VALUE"""),1)</f>
        <v>1</v>
      </c>
      <c r="C7496" s="7">
        <f ca="1">IFERROR(__xludf.DUMMYFUNCTION("""COMPUTED_VALUE"""),1)</f>
        <v>1</v>
      </c>
      <c r="D7496" s="8">
        <f ca="1">IFERROR(__xludf.DUMMYFUNCTION("""COMPUTED_VALUE"""),5)</f>
        <v>5</v>
      </c>
      <c r="E7496" s="2">
        <f ca="1">IFERROR(__xludf.DUMMYFUNCTION("""COMPUTED_VALUE"""),2)</f>
        <v>2</v>
      </c>
    </row>
    <row r="7497" spans="1:5" ht="13">
      <c r="A7497" s="2" t="str">
        <f ca="1">IFERROR(__xludf.DUMMYFUNCTION("""COMPUTED_VALUE"""),"Simmons, Jamey")</f>
        <v>Simmons, Jamey</v>
      </c>
      <c r="B7497" s="3">
        <f ca="1">IFERROR(__xludf.DUMMYFUNCTION("""COMPUTED_VALUE"""),1)</f>
        <v>1</v>
      </c>
      <c r="C7497" s="7">
        <f ca="1">IFERROR(__xludf.DUMMYFUNCTION("""COMPUTED_VALUE"""),1)</f>
        <v>1</v>
      </c>
      <c r="D7497" s="8">
        <f ca="1">IFERROR(__xludf.DUMMYFUNCTION("""COMPUTED_VALUE"""),1)</f>
        <v>1</v>
      </c>
      <c r="E7497" s="2">
        <f ca="1">IFERROR(__xludf.DUMMYFUNCTION("""COMPUTED_VALUE"""),1)</f>
        <v>1</v>
      </c>
    </row>
    <row r="7498" spans="1:5" ht="13">
      <c r="A7498" s="2" t="str">
        <f ca="1">IFERROR(__xludf.DUMMYFUNCTION("""COMPUTED_VALUE"""),"Simmons, Jeff")</f>
        <v>Simmons, Jeff</v>
      </c>
      <c r="B7498" s="3">
        <f ca="1">IFERROR(__xludf.DUMMYFUNCTION("""COMPUTED_VALUE"""),1)</f>
        <v>1</v>
      </c>
      <c r="C7498" s="7">
        <f ca="1">IFERROR(__xludf.DUMMYFUNCTION("""COMPUTED_VALUE"""),1)</f>
        <v>1</v>
      </c>
      <c r="D7498" s="8">
        <f ca="1">IFERROR(__xludf.DUMMYFUNCTION("""COMPUTED_VALUE"""),1)</f>
        <v>1</v>
      </c>
      <c r="E7498" s="2">
        <f ca="1">IFERROR(__xludf.DUMMYFUNCTION("""COMPUTED_VALUE"""),1)</f>
        <v>1</v>
      </c>
    </row>
    <row r="7499" spans="1:5" ht="13">
      <c r="A7499" s="2" t="str">
        <f ca="1">IFERROR(__xludf.DUMMYFUNCTION("""COMPUTED_VALUE"""),"Simmons, Mark")</f>
        <v>Simmons, Mark</v>
      </c>
      <c r="B7499" s="3">
        <f ca="1">IFERROR(__xludf.DUMMYFUNCTION("""COMPUTED_VALUE"""),1)</f>
        <v>1</v>
      </c>
      <c r="C7499" s="7">
        <f ca="1">IFERROR(__xludf.DUMMYFUNCTION("""COMPUTED_VALUE"""),1)</f>
        <v>1</v>
      </c>
      <c r="D7499" s="8">
        <f ca="1">IFERROR(__xludf.DUMMYFUNCTION("""COMPUTED_VALUE"""),1)</f>
        <v>1</v>
      </c>
      <c r="E7499" s="2">
        <f ca="1">IFERROR(__xludf.DUMMYFUNCTION("""COMPUTED_VALUE"""),1)</f>
        <v>1</v>
      </c>
    </row>
    <row r="7500" spans="1:5" ht="13">
      <c r="A7500" s="2" t="str">
        <f ca="1">IFERROR(__xludf.DUMMYFUNCTION("""COMPUTED_VALUE"""),"Simon, Frank")</f>
        <v>Simon, Frank</v>
      </c>
      <c r="B7500" s="3">
        <f ca="1">IFERROR(__xludf.DUMMYFUNCTION("""COMPUTED_VALUE"""),1)</f>
        <v>1</v>
      </c>
      <c r="C7500" s="7">
        <f ca="1">IFERROR(__xludf.DUMMYFUNCTION("""COMPUTED_VALUE"""),1)</f>
        <v>1</v>
      </c>
      <c r="D7500" s="8">
        <f ca="1">IFERROR(__xludf.DUMMYFUNCTION("""COMPUTED_VALUE"""),5)</f>
        <v>5</v>
      </c>
      <c r="E7500" s="2">
        <f ca="1">IFERROR(__xludf.DUMMYFUNCTION("""COMPUTED_VALUE"""),2)</f>
        <v>2</v>
      </c>
    </row>
    <row r="7501" spans="1:5" ht="13">
      <c r="A7501" s="2" t="str">
        <f ca="1">IFERROR(__xludf.DUMMYFUNCTION("""COMPUTED_VALUE"""),"Simon, Greg")</f>
        <v>Simon, Greg</v>
      </c>
      <c r="B7501" s="2">
        <f ca="1">IFERROR(__xludf.DUMMYFUNCTION("""COMPUTED_VALUE"""),1)</f>
        <v>1</v>
      </c>
      <c r="C7501" s="7">
        <f ca="1">IFERROR(__xludf.DUMMYFUNCTION("""COMPUTED_VALUE"""),1)</f>
        <v>1</v>
      </c>
      <c r="D7501" s="8">
        <f ca="1">IFERROR(__xludf.DUMMYFUNCTION("""COMPUTED_VALUE"""),1)</f>
        <v>1</v>
      </c>
      <c r="E7501" s="2">
        <f ca="1">IFERROR(__xludf.DUMMYFUNCTION("""COMPUTED_VALUE"""),1)</f>
        <v>1</v>
      </c>
    </row>
    <row r="7502" spans="1:5" ht="13">
      <c r="A7502" s="2" t="str">
        <f ca="1">IFERROR(__xludf.DUMMYFUNCTION("""COMPUTED_VALUE"""),"Simon, Paul")</f>
        <v>Simon, Paul</v>
      </c>
      <c r="B7502" s="3">
        <f ca="1">IFERROR(__xludf.DUMMYFUNCTION("""COMPUTED_VALUE"""),1)</f>
        <v>1</v>
      </c>
      <c r="C7502" s="7">
        <f ca="1">IFERROR(__xludf.DUMMYFUNCTION("""COMPUTED_VALUE"""),1)</f>
        <v>1</v>
      </c>
      <c r="D7502" s="8">
        <f ca="1">IFERROR(__xludf.DUMMYFUNCTION("""COMPUTED_VALUE"""),1)</f>
        <v>1</v>
      </c>
      <c r="E7502" s="2">
        <f ca="1">IFERROR(__xludf.DUMMYFUNCTION("""COMPUTED_VALUE"""),1)</f>
        <v>1</v>
      </c>
    </row>
    <row r="7503" spans="1:5" ht="13">
      <c r="A7503" s="2" t="str">
        <f ca="1">IFERROR(__xludf.DUMMYFUNCTION("""COMPUTED_VALUE"""),"Simon, Paul / Garkfunkel, Art")</f>
        <v>Simon, Paul / Garkfunkel, Art</v>
      </c>
      <c r="B7503" s="3">
        <f ca="1">IFERROR(__xludf.DUMMYFUNCTION("""COMPUTED_VALUE"""),1)</f>
        <v>1</v>
      </c>
      <c r="C7503" s="7">
        <f ca="1">IFERROR(__xludf.DUMMYFUNCTION("""COMPUTED_VALUE"""),1)</f>
        <v>1</v>
      </c>
      <c r="D7503" s="8">
        <f ca="1">IFERROR(__xludf.DUMMYFUNCTION("""COMPUTED_VALUE"""),1)</f>
        <v>1</v>
      </c>
      <c r="E7503" s="2">
        <f ca="1">IFERROR(__xludf.DUMMYFUNCTION("""COMPUTED_VALUE"""),1)</f>
        <v>1</v>
      </c>
    </row>
    <row r="7504" spans="1:5" ht="13">
      <c r="A7504" s="2" t="str">
        <f ca="1">IFERROR(__xludf.DUMMYFUNCTION("""COMPUTED_VALUE"""),"Simon, Robert L.")</f>
        <v>Simon, Robert L.</v>
      </c>
      <c r="B7504" s="3">
        <f ca="1">IFERROR(__xludf.DUMMYFUNCTION("""COMPUTED_VALUE"""),1)</f>
        <v>1</v>
      </c>
      <c r="C7504" s="7">
        <f ca="1">IFERROR(__xludf.DUMMYFUNCTION("""COMPUTED_VALUE"""),1)</f>
        <v>1</v>
      </c>
      <c r="D7504" s="8">
        <f ca="1">IFERROR(__xludf.DUMMYFUNCTION("""COMPUTED_VALUE"""),5)</f>
        <v>5</v>
      </c>
      <c r="E7504" s="2">
        <f ca="1">IFERROR(__xludf.DUMMYFUNCTION("""COMPUTED_VALUE"""),2)</f>
        <v>2</v>
      </c>
    </row>
    <row r="7505" spans="1:5" ht="13">
      <c r="A7505" s="2" t="str">
        <f ca="1">IFERROR(__xludf.DUMMYFUNCTION("""COMPUTED_VALUE"""),"Simonec, Tim")</f>
        <v>Simonec, Tim</v>
      </c>
      <c r="B7505" s="3">
        <f ca="1">IFERROR(__xludf.DUMMYFUNCTION("""COMPUTED_VALUE"""),1)</f>
        <v>1</v>
      </c>
      <c r="C7505" s="7">
        <f ca="1">IFERROR(__xludf.DUMMYFUNCTION("""COMPUTED_VALUE"""),1)</f>
        <v>1</v>
      </c>
      <c r="D7505" s="8">
        <f ca="1">IFERROR(__xludf.DUMMYFUNCTION("""COMPUTED_VALUE"""),1)</f>
        <v>1</v>
      </c>
      <c r="E7505" s="2">
        <f ca="1">IFERROR(__xludf.DUMMYFUNCTION("""COMPUTED_VALUE"""),1)</f>
        <v>1</v>
      </c>
    </row>
    <row r="7506" spans="1:5" ht="13">
      <c r="A7506" s="2" t="str">
        <f ca="1">IFERROR(__xludf.DUMMYFUNCTION("""COMPUTED_VALUE"""),"Simons, Gardell")</f>
        <v>Simons, Gardell</v>
      </c>
      <c r="B7506" s="3">
        <f ca="1">IFERROR(__xludf.DUMMYFUNCTION("""COMPUTED_VALUE"""),1)</f>
        <v>1</v>
      </c>
      <c r="C7506" s="7">
        <f ca="1">IFERROR(__xludf.DUMMYFUNCTION("""COMPUTED_VALUE"""),1)</f>
        <v>1</v>
      </c>
      <c r="D7506" s="8">
        <f ca="1">IFERROR(__xludf.DUMMYFUNCTION("""COMPUTED_VALUE"""),5)</f>
        <v>5</v>
      </c>
      <c r="E7506" s="2">
        <f ca="1">IFERROR(__xludf.DUMMYFUNCTION("""COMPUTED_VALUE"""),2)</f>
        <v>2</v>
      </c>
    </row>
    <row r="7507" spans="1:5" ht="13">
      <c r="A7507" s="2" t="str">
        <f ca="1">IFERROR(__xludf.DUMMYFUNCTION("""COMPUTED_VALUE"""),"Simons, Seymour")</f>
        <v>Simons, Seymour</v>
      </c>
      <c r="B7507" s="2">
        <f ca="1">IFERROR(__xludf.DUMMYFUNCTION("""COMPUTED_VALUE"""),1)</f>
        <v>1</v>
      </c>
      <c r="C7507" s="7">
        <f ca="1">IFERROR(__xludf.DUMMYFUNCTION("""COMPUTED_VALUE"""),1)</f>
        <v>1</v>
      </c>
      <c r="D7507" s="8">
        <f ca="1">IFERROR(__xludf.DUMMYFUNCTION("""COMPUTED_VALUE"""),5)</f>
        <v>5</v>
      </c>
      <c r="E7507" s="2">
        <f ca="1">IFERROR(__xludf.DUMMYFUNCTION("""COMPUTED_VALUE"""),2)</f>
        <v>2</v>
      </c>
    </row>
    <row r="7508" spans="1:5" ht="13">
      <c r="A7508" s="2" t="str">
        <f ca="1">IFERROR(__xludf.DUMMYFUNCTION("""COMPUTED_VALUE"""),"Simpson, Carl")</f>
        <v>Simpson, Carl</v>
      </c>
      <c r="B7508" s="3">
        <f ca="1">IFERROR(__xludf.DUMMYFUNCTION("""COMPUTED_VALUE"""),1)</f>
        <v>1</v>
      </c>
      <c r="C7508" s="7">
        <f ca="1">IFERROR(__xludf.DUMMYFUNCTION("""COMPUTED_VALUE"""),1)</f>
        <v>1</v>
      </c>
      <c r="D7508" s="8">
        <f ca="1">IFERROR(__xludf.DUMMYFUNCTION("""COMPUTED_VALUE"""),1)</f>
        <v>1</v>
      </c>
      <c r="E7508" s="2">
        <f ca="1">IFERROR(__xludf.DUMMYFUNCTION("""COMPUTED_VALUE"""),1)</f>
        <v>1</v>
      </c>
    </row>
    <row r="7509" spans="1:5" ht="13">
      <c r="A7509" s="2" t="str">
        <f ca="1">IFERROR(__xludf.DUMMYFUNCTION("""COMPUTED_VALUE"""),"Simpson, Daniel Léo")</f>
        <v>Simpson, Daniel Léo</v>
      </c>
      <c r="B7509" s="3">
        <f ca="1">IFERROR(__xludf.DUMMYFUNCTION("""COMPUTED_VALUE"""),1)</f>
        <v>1</v>
      </c>
      <c r="C7509" s="7">
        <f ca="1">IFERROR(__xludf.DUMMYFUNCTION("""COMPUTED_VALUE"""),1)</f>
        <v>1</v>
      </c>
      <c r="D7509" s="8">
        <f ca="1">IFERROR(__xludf.DUMMYFUNCTION("""COMPUTED_VALUE"""),1)</f>
        <v>1</v>
      </c>
      <c r="E7509" s="2">
        <f ca="1">IFERROR(__xludf.DUMMYFUNCTION("""COMPUTED_VALUE"""),1)</f>
        <v>1</v>
      </c>
    </row>
    <row r="7510" spans="1:5" ht="13">
      <c r="A7510" s="2" t="str">
        <f ca="1">IFERROR(__xludf.DUMMYFUNCTION("""COMPUTED_VALUE"""),"Simpson, Mark")</f>
        <v>Simpson, Mark</v>
      </c>
      <c r="B7510" s="3">
        <f ca="1">IFERROR(__xludf.DUMMYFUNCTION("""COMPUTED_VALUE"""),1)</f>
        <v>1</v>
      </c>
      <c r="C7510" s="7">
        <f ca="1">IFERROR(__xludf.DUMMYFUNCTION("""COMPUTED_VALUE"""),1)</f>
        <v>1</v>
      </c>
      <c r="D7510" s="8">
        <f ca="1">IFERROR(__xludf.DUMMYFUNCTION("""COMPUTED_VALUE"""),1)</f>
        <v>1</v>
      </c>
      <c r="E7510" s="2">
        <f ca="1">IFERROR(__xludf.DUMMYFUNCTION("""COMPUTED_VALUE"""),1)</f>
        <v>1</v>
      </c>
    </row>
    <row r="7511" spans="1:5" ht="13">
      <c r="A7511" s="2" t="str">
        <f ca="1">IFERROR(__xludf.DUMMYFUNCTION("""COMPUTED_VALUE"""),"Simpson, Nicholas")</f>
        <v>Simpson, Nicholas</v>
      </c>
      <c r="B7511" s="3">
        <f ca="1">IFERROR(__xludf.DUMMYFUNCTION("""COMPUTED_VALUE"""),1)</f>
        <v>1</v>
      </c>
      <c r="C7511" s="7">
        <f ca="1">IFERROR(__xludf.DUMMYFUNCTION("""COMPUTED_VALUE"""),1)</f>
        <v>1</v>
      </c>
      <c r="D7511" s="8">
        <f ca="1">IFERROR(__xludf.DUMMYFUNCTION("""COMPUTED_VALUE"""),1)</f>
        <v>1</v>
      </c>
      <c r="E7511" s="2">
        <f ca="1">IFERROR(__xludf.DUMMYFUNCTION("""COMPUTED_VALUE"""),1)</f>
        <v>1</v>
      </c>
    </row>
    <row r="7512" spans="1:5" ht="13">
      <c r="A7512" s="2" t="str">
        <f ca="1">IFERROR(__xludf.DUMMYFUNCTION("""COMPUTED_VALUE"""),"Simpson, Steven")</f>
        <v>Simpson, Steven</v>
      </c>
      <c r="B7512" s="2">
        <f ca="1">IFERROR(__xludf.DUMMYFUNCTION("""COMPUTED_VALUE"""),1)</f>
        <v>1</v>
      </c>
      <c r="C7512" s="7">
        <f ca="1">IFERROR(__xludf.DUMMYFUNCTION("""COMPUTED_VALUE"""),1)</f>
        <v>1</v>
      </c>
      <c r="D7512" s="8">
        <f ca="1">IFERROR(__xludf.DUMMYFUNCTION("""COMPUTED_VALUE"""),1)</f>
        <v>1</v>
      </c>
      <c r="E7512" s="2">
        <f ca="1">IFERROR(__xludf.DUMMYFUNCTION("""COMPUTED_VALUE"""),1)</f>
        <v>1</v>
      </c>
    </row>
    <row r="7513" spans="1:5" ht="13">
      <c r="A7513" s="2" t="str">
        <f ca="1">IFERROR(__xludf.DUMMYFUNCTION("""COMPUTED_VALUE"""),"Simpson, Thomas")</f>
        <v>Simpson, Thomas</v>
      </c>
      <c r="B7513" s="3">
        <f ca="1">IFERROR(__xludf.DUMMYFUNCTION("""COMPUTED_VALUE"""),1)</f>
        <v>1</v>
      </c>
      <c r="C7513" s="7">
        <f ca="1">IFERROR(__xludf.DUMMYFUNCTION("""COMPUTED_VALUE"""),1)</f>
        <v>1</v>
      </c>
      <c r="D7513" s="8">
        <f ca="1">IFERROR(__xludf.DUMMYFUNCTION("""COMPUTED_VALUE"""),5)</f>
        <v>5</v>
      </c>
      <c r="E7513" s="2">
        <f ca="1">IFERROR(__xludf.DUMMYFUNCTION("""COMPUTED_VALUE"""),2)</f>
        <v>2</v>
      </c>
    </row>
    <row r="7514" spans="1:5" ht="13">
      <c r="A7514" s="2" t="str">
        <f ca="1">IFERROR(__xludf.DUMMYFUNCTION("""COMPUTED_VALUE"""),"Sims, Kyle R.")</f>
        <v>Sims, Kyle R.</v>
      </c>
      <c r="B7514" s="3">
        <f ca="1">IFERROR(__xludf.DUMMYFUNCTION("""COMPUTED_VALUE"""),1)</f>
        <v>1</v>
      </c>
      <c r="C7514" s="7">
        <f ca="1">IFERROR(__xludf.DUMMYFUNCTION("""COMPUTED_VALUE"""),1)</f>
        <v>1</v>
      </c>
      <c r="D7514" s="8">
        <f ca="1">IFERROR(__xludf.DUMMYFUNCTION("""COMPUTED_VALUE"""),1)</f>
        <v>1</v>
      </c>
      <c r="E7514" s="2">
        <f ca="1">IFERROR(__xludf.DUMMYFUNCTION("""COMPUTED_VALUE"""),1)</f>
        <v>1</v>
      </c>
    </row>
    <row r="7515" spans="1:5" ht="13">
      <c r="A7515" s="2" t="str">
        <f ca="1">IFERROR(__xludf.DUMMYFUNCTION("""COMPUTED_VALUE"""),"Sinclair, James B.")</f>
        <v>Sinclair, James B.</v>
      </c>
      <c r="B7515" s="3">
        <f ca="1">IFERROR(__xludf.DUMMYFUNCTION("""COMPUTED_VALUE"""),1)</f>
        <v>1</v>
      </c>
      <c r="C7515" s="7">
        <f ca="1">IFERROR(__xludf.DUMMYFUNCTION("""COMPUTED_VALUE"""),1)</f>
        <v>1</v>
      </c>
      <c r="D7515" s="8">
        <f ca="1">IFERROR(__xludf.DUMMYFUNCTION("""COMPUTED_VALUE"""),1)</f>
        <v>1</v>
      </c>
      <c r="E7515" s="2">
        <f ca="1">IFERROR(__xludf.DUMMYFUNCTION("""COMPUTED_VALUE"""),1)</f>
        <v>1</v>
      </c>
    </row>
    <row r="7516" spans="1:5" ht="13">
      <c r="A7516" s="2" t="str">
        <f ca="1">IFERROR(__xludf.DUMMYFUNCTION("""COMPUTED_VALUE"""),"Sinclair, John V.")</f>
        <v>Sinclair, John V.</v>
      </c>
      <c r="B7516" s="3">
        <f ca="1">IFERROR(__xludf.DUMMYFUNCTION("""COMPUTED_VALUE"""),1)</f>
        <v>1</v>
      </c>
      <c r="C7516" s="7">
        <f ca="1">IFERROR(__xludf.DUMMYFUNCTION("""COMPUTED_VALUE"""),1)</f>
        <v>1</v>
      </c>
      <c r="D7516" s="8">
        <f ca="1">IFERROR(__xludf.DUMMYFUNCTION("""COMPUTED_VALUE"""),1)</f>
        <v>1</v>
      </c>
      <c r="E7516" s="2">
        <f ca="1">IFERROR(__xludf.DUMMYFUNCTION("""COMPUTED_VALUE"""),1)</f>
        <v>1</v>
      </c>
    </row>
    <row r="7517" spans="1:5" ht="13">
      <c r="A7517" s="2" t="str">
        <f ca="1">IFERROR(__xludf.DUMMYFUNCTION("""COMPUTED_VALUE"""),"Sinding, Christian")</f>
        <v>Sinding, Christian</v>
      </c>
      <c r="B7517" s="3">
        <f ca="1">IFERROR(__xludf.DUMMYFUNCTION("""COMPUTED_VALUE"""),1)</f>
        <v>1</v>
      </c>
      <c r="C7517" s="7">
        <f ca="1">IFERROR(__xludf.DUMMYFUNCTION("""COMPUTED_VALUE"""),1)</f>
        <v>1</v>
      </c>
      <c r="D7517" s="8">
        <f ca="1">IFERROR(__xludf.DUMMYFUNCTION("""COMPUTED_VALUE"""),5)</f>
        <v>5</v>
      </c>
      <c r="E7517" s="2">
        <f ca="1">IFERROR(__xludf.DUMMYFUNCTION("""COMPUTED_VALUE"""),2)</f>
        <v>2</v>
      </c>
    </row>
    <row r="7518" spans="1:5" ht="13">
      <c r="A7518" s="2" t="str">
        <f ca="1">IFERROR(__xludf.DUMMYFUNCTION("""COMPUTED_VALUE"""),"Singelee, Jean Baptiste")</f>
        <v>Singelee, Jean Baptiste</v>
      </c>
      <c r="B7518" s="3">
        <f ca="1">IFERROR(__xludf.DUMMYFUNCTION("""COMPUTED_VALUE"""),1)</f>
        <v>1</v>
      </c>
      <c r="C7518" s="7">
        <f ca="1">IFERROR(__xludf.DUMMYFUNCTION("""COMPUTED_VALUE"""),1)</f>
        <v>1</v>
      </c>
      <c r="D7518" s="8">
        <f ca="1">IFERROR(__xludf.DUMMYFUNCTION("""COMPUTED_VALUE"""),5)</f>
        <v>5</v>
      </c>
      <c r="E7518" s="2">
        <f ca="1">IFERROR(__xludf.DUMMYFUNCTION("""COMPUTED_VALUE"""),2)</f>
        <v>2</v>
      </c>
    </row>
    <row r="7519" spans="1:5" ht="13">
      <c r="A7519" s="8" t="str">
        <f ca="1">IFERROR(__xludf.DUMMYFUNCTION("""COMPUTED_VALUE"""),"Singer, Gregory")</f>
        <v>Singer, Gregory</v>
      </c>
      <c r="B7519" s="3">
        <f ca="1">IFERROR(__xludf.DUMMYFUNCTION("""COMPUTED_VALUE"""),1)</f>
        <v>1</v>
      </c>
      <c r="C7519" s="7">
        <f ca="1">IFERROR(__xludf.DUMMYFUNCTION("""COMPUTED_VALUE"""),1)</f>
        <v>1</v>
      </c>
      <c r="D7519" s="8">
        <f ca="1">IFERROR(__xludf.DUMMYFUNCTION("""COMPUTED_VALUE"""),1)</f>
        <v>1</v>
      </c>
      <c r="E7519" s="2">
        <f ca="1">IFERROR(__xludf.DUMMYFUNCTION("""COMPUTED_VALUE"""),1)</f>
        <v>1</v>
      </c>
    </row>
    <row r="7520" spans="1:5" ht="13">
      <c r="A7520" s="2" t="str">
        <f ca="1">IFERROR(__xludf.DUMMYFUNCTION("""COMPUTED_VALUE"""),"Singer, Malcolm")</f>
        <v>Singer, Malcolm</v>
      </c>
      <c r="B7520" s="2">
        <f ca="1">IFERROR(__xludf.DUMMYFUNCTION("""COMPUTED_VALUE"""),1)</f>
        <v>1</v>
      </c>
      <c r="C7520" s="2">
        <f ca="1">IFERROR(__xludf.DUMMYFUNCTION("""COMPUTED_VALUE"""),1)</f>
        <v>1</v>
      </c>
      <c r="D7520" s="8">
        <f ca="1">IFERROR(__xludf.DUMMYFUNCTION("""COMPUTED_VALUE"""),1)</f>
        <v>1</v>
      </c>
      <c r="E7520" s="2">
        <f ca="1">IFERROR(__xludf.DUMMYFUNCTION("""COMPUTED_VALUE"""),1)</f>
        <v>1</v>
      </c>
    </row>
    <row r="7521" spans="1:5" ht="13">
      <c r="A7521" s="2" t="str">
        <f ca="1">IFERROR(__xludf.DUMMYFUNCTION("""COMPUTED_VALUE"""),"Singh, Vijay")</f>
        <v>Singh, Vijay</v>
      </c>
      <c r="B7521" s="2">
        <f ca="1">IFERROR(__xludf.DUMMYFUNCTION("""COMPUTED_VALUE"""),1)</f>
        <v>1</v>
      </c>
      <c r="C7521" s="7">
        <f ca="1">IFERROR(__xludf.DUMMYFUNCTION("""COMPUTED_VALUE"""),1)</f>
        <v>1</v>
      </c>
      <c r="D7521" s="8">
        <f ca="1">IFERROR(__xludf.DUMMYFUNCTION("""COMPUTED_VALUE"""),1)</f>
        <v>1</v>
      </c>
      <c r="E7521" s="2">
        <f ca="1">IFERROR(__xludf.DUMMYFUNCTION("""COMPUTED_VALUE"""),1)</f>
        <v>1</v>
      </c>
    </row>
    <row r="7522" spans="1:5" ht="13">
      <c r="A7522" s="2" t="str">
        <f ca="1">IFERROR(__xludf.DUMMYFUNCTION("""COMPUTED_VALUE"""),"Singletary, Thomas")</f>
        <v>Singletary, Thomas</v>
      </c>
      <c r="B7522" s="3">
        <f ca="1">IFERROR(__xludf.DUMMYFUNCTION("""COMPUTED_VALUE"""),1)</f>
        <v>1</v>
      </c>
      <c r="C7522" s="7">
        <f ca="1">IFERROR(__xludf.DUMMYFUNCTION("""COMPUTED_VALUE"""),1)</f>
        <v>1</v>
      </c>
      <c r="D7522" s="8">
        <f ca="1">IFERROR(__xludf.DUMMYFUNCTION("""COMPUTED_VALUE"""),1)</f>
        <v>1</v>
      </c>
      <c r="E7522" s="2">
        <f ca="1">IFERROR(__xludf.DUMMYFUNCTION("""COMPUTED_VALUE"""),1)</f>
        <v>1</v>
      </c>
    </row>
    <row r="7523" spans="1:5" ht="13">
      <c r="A7523" s="2" t="str">
        <f ca="1">IFERROR(__xludf.DUMMYFUNCTION("""COMPUTED_VALUE"""),"Singleton, Kenneth")</f>
        <v>Singleton, Kenneth</v>
      </c>
      <c r="B7523" s="3">
        <f ca="1">IFERROR(__xludf.DUMMYFUNCTION("""COMPUTED_VALUE"""),1)</f>
        <v>1</v>
      </c>
      <c r="C7523" s="7">
        <f ca="1">IFERROR(__xludf.DUMMYFUNCTION("""COMPUTED_VALUE"""),1)</f>
        <v>1</v>
      </c>
      <c r="D7523" s="8">
        <f ca="1">IFERROR(__xludf.DUMMYFUNCTION("""COMPUTED_VALUE"""),1)</f>
        <v>1</v>
      </c>
      <c r="E7523" s="2">
        <f ca="1">IFERROR(__xludf.DUMMYFUNCTION("""COMPUTED_VALUE"""),1)</f>
        <v>1</v>
      </c>
    </row>
    <row r="7524" spans="1:5" ht="13">
      <c r="A7524" s="2" t="str">
        <f ca="1">IFERROR(__xludf.DUMMYFUNCTION("""COMPUTED_VALUE"""),"Singley III, H. E.")</f>
        <v>Singley III, H. E.</v>
      </c>
      <c r="B7524" s="3">
        <f ca="1">IFERROR(__xludf.DUMMYFUNCTION("""COMPUTED_VALUE"""),1)</f>
        <v>1</v>
      </c>
      <c r="C7524" s="7">
        <f ca="1">IFERROR(__xludf.DUMMYFUNCTION("""COMPUTED_VALUE"""),1)</f>
        <v>1</v>
      </c>
      <c r="D7524" s="8">
        <f ca="1">IFERROR(__xludf.DUMMYFUNCTION("""COMPUTED_VALUE"""),1)</f>
        <v>1</v>
      </c>
      <c r="E7524" s="2">
        <f ca="1">IFERROR(__xludf.DUMMYFUNCTION("""COMPUTED_VALUE"""),1)</f>
        <v>1</v>
      </c>
    </row>
    <row r="7525" spans="1:5" ht="13">
      <c r="A7525" s="2" t="str">
        <f ca="1">IFERROR(__xludf.DUMMYFUNCTION("""COMPUTED_VALUE"""),"Sinigaglia, Leone")</f>
        <v>Sinigaglia, Leone</v>
      </c>
      <c r="B7525" s="3">
        <f ca="1">IFERROR(__xludf.DUMMYFUNCTION("""COMPUTED_VALUE"""),1)</f>
        <v>1</v>
      </c>
      <c r="C7525" s="7">
        <f ca="1">IFERROR(__xludf.DUMMYFUNCTION("""COMPUTED_VALUE"""),1)</f>
        <v>1</v>
      </c>
      <c r="D7525" s="8">
        <f ca="1">IFERROR(__xludf.DUMMYFUNCTION("""COMPUTED_VALUE"""),5)</f>
        <v>5</v>
      </c>
      <c r="E7525" s="2">
        <f ca="1">IFERROR(__xludf.DUMMYFUNCTION("""COMPUTED_VALUE"""),2)</f>
        <v>2</v>
      </c>
    </row>
    <row r="7526" spans="1:5" ht="13">
      <c r="A7526" s="2" t="str">
        <f ca="1">IFERROR(__xludf.DUMMYFUNCTION("""COMPUTED_VALUE"""),"Siniyaglia, Leone")</f>
        <v>Siniyaglia, Leone</v>
      </c>
      <c r="B7526" s="3">
        <f ca="1">IFERROR(__xludf.DUMMYFUNCTION("""COMPUTED_VALUE"""),1)</f>
        <v>1</v>
      </c>
      <c r="C7526" s="7">
        <f ca="1">IFERROR(__xludf.DUMMYFUNCTION("""COMPUTED_VALUE"""),1)</f>
        <v>1</v>
      </c>
      <c r="D7526" s="8">
        <f ca="1">IFERROR(__xludf.DUMMYFUNCTION("""COMPUTED_VALUE"""),5)</f>
        <v>5</v>
      </c>
      <c r="E7526" s="2">
        <f ca="1">IFERROR(__xludf.DUMMYFUNCTION("""COMPUTED_VALUE"""),2)</f>
        <v>2</v>
      </c>
    </row>
    <row r="7527" spans="1:5" ht="13">
      <c r="A7527" s="2" t="str">
        <f ca="1">IFERROR(__xludf.DUMMYFUNCTION("""COMPUTED_VALUE"""),"Sirett, Mark")</f>
        <v>Sirett, Mark</v>
      </c>
      <c r="B7527" s="3">
        <f ca="1">IFERROR(__xludf.DUMMYFUNCTION("""COMPUTED_VALUE"""),1)</f>
        <v>1</v>
      </c>
      <c r="C7527" s="7">
        <f ca="1">IFERROR(__xludf.DUMMYFUNCTION("""COMPUTED_VALUE"""),1)</f>
        <v>1</v>
      </c>
      <c r="D7527" s="8">
        <f ca="1">IFERROR(__xludf.DUMMYFUNCTION("""COMPUTED_VALUE"""),1)</f>
        <v>1</v>
      </c>
      <c r="E7527" s="2">
        <f ca="1">IFERROR(__xludf.DUMMYFUNCTION("""COMPUTED_VALUE"""),1)</f>
        <v>1</v>
      </c>
    </row>
    <row r="7528" spans="1:5" ht="13">
      <c r="A7528" s="8" t="str">
        <f ca="1">IFERROR(__xludf.DUMMYFUNCTION("""COMPUTED_VALUE"""),"Sirvatka, Martin")</f>
        <v>Sirvatka, Martin</v>
      </c>
      <c r="B7528" s="9">
        <f ca="1">IFERROR(__xludf.DUMMYFUNCTION("""COMPUTED_VALUE"""),1)</f>
        <v>1</v>
      </c>
      <c r="C7528" s="7">
        <f ca="1">IFERROR(__xludf.DUMMYFUNCTION("""COMPUTED_VALUE"""),1)</f>
        <v>1</v>
      </c>
      <c r="D7528" s="8">
        <f ca="1">IFERROR(__xludf.DUMMYFUNCTION("""COMPUTED_VALUE"""),1)</f>
        <v>1</v>
      </c>
      <c r="E7528" s="9">
        <f ca="1">IFERROR(__xludf.DUMMYFUNCTION("""COMPUTED_VALUE"""),1)</f>
        <v>1</v>
      </c>
    </row>
    <row r="7529" spans="1:5" ht="13">
      <c r="A7529" s="2" t="str">
        <f ca="1">IFERROR(__xludf.DUMMYFUNCTION("""COMPUTED_VALUE"""),"Sisask, Urmas")</f>
        <v>Sisask, Urmas</v>
      </c>
      <c r="B7529" s="2">
        <f ca="1">IFERROR(__xludf.DUMMYFUNCTION("""COMPUTED_VALUE"""),1)</f>
        <v>1</v>
      </c>
      <c r="C7529" s="7">
        <f ca="1">IFERROR(__xludf.DUMMYFUNCTION("""COMPUTED_VALUE"""),1)</f>
        <v>1</v>
      </c>
      <c r="D7529" s="8">
        <f ca="1">IFERROR(__xludf.DUMMYFUNCTION("""COMPUTED_VALUE"""),1)</f>
        <v>1</v>
      </c>
      <c r="E7529" s="2">
        <f ca="1">IFERROR(__xludf.DUMMYFUNCTION("""COMPUTED_VALUE"""),1)</f>
        <v>1</v>
      </c>
    </row>
    <row r="7530" spans="1:5" ht="13">
      <c r="A7530" s="2" t="str">
        <f ca="1">IFERROR(__xludf.DUMMYFUNCTION("""COMPUTED_VALUE"""),"Siskind, Paul")</f>
        <v>Siskind, Paul</v>
      </c>
      <c r="B7530" s="3">
        <f ca="1">IFERROR(__xludf.DUMMYFUNCTION("""COMPUTED_VALUE"""),1)</f>
        <v>1</v>
      </c>
      <c r="C7530" s="7">
        <f ca="1">IFERROR(__xludf.DUMMYFUNCTION("""COMPUTED_VALUE"""),1)</f>
        <v>1</v>
      </c>
      <c r="D7530" s="8">
        <f ca="1">IFERROR(__xludf.DUMMYFUNCTION("""COMPUTED_VALUE"""),1)</f>
        <v>1</v>
      </c>
      <c r="E7530" s="2">
        <f ca="1">IFERROR(__xludf.DUMMYFUNCTION("""COMPUTED_VALUE"""),1)</f>
        <v>1</v>
      </c>
    </row>
    <row r="7531" spans="1:5" ht="13">
      <c r="A7531" s="2" t="str">
        <f ca="1">IFERROR(__xludf.DUMMYFUNCTION("""COMPUTED_VALUE"""),"Sitton, Carl")</f>
        <v>Sitton, Carl</v>
      </c>
      <c r="B7531" s="3">
        <f ca="1">IFERROR(__xludf.DUMMYFUNCTION("""COMPUTED_VALUE"""),1)</f>
        <v>1</v>
      </c>
      <c r="C7531" s="7">
        <f ca="1">IFERROR(__xludf.DUMMYFUNCTION("""COMPUTED_VALUE"""),1)</f>
        <v>1</v>
      </c>
      <c r="D7531" s="8">
        <f ca="1">IFERROR(__xludf.DUMMYFUNCTION("""COMPUTED_VALUE"""),5)</f>
        <v>5</v>
      </c>
      <c r="E7531" s="2">
        <f ca="1">IFERROR(__xludf.DUMMYFUNCTION("""COMPUTED_VALUE"""),2)</f>
        <v>2</v>
      </c>
    </row>
    <row r="7532" spans="1:5" ht="13">
      <c r="A7532" s="2" t="str">
        <f ca="1">IFERROR(__xludf.DUMMYFUNCTION("""COMPUTED_VALUE"""),"Sitton, Michael")</f>
        <v>Sitton, Michael</v>
      </c>
      <c r="B7532" s="3">
        <f ca="1">IFERROR(__xludf.DUMMYFUNCTION("""COMPUTED_VALUE"""),1)</f>
        <v>1</v>
      </c>
      <c r="C7532" s="7">
        <f ca="1">IFERROR(__xludf.DUMMYFUNCTION("""COMPUTED_VALUE"""),1)</f>
        <v>1</v>
      </c>
      <c r="D7532" s="8">
        <f ca="1">IFERROR(__xludf.DUMMYFUNCTION("""COMPUTED_VALUE"""),1)</f>
        <v>1</v>
      </c>
      <c r="E7532" s="2">
        <f ca="1">IFERROR(__xludf.DUMMYFUNCTION("""COMPUTED_VALUE"""),1)</f>
        <v>1</v>
      </c>
    </row>
    <row r="7533" spans="1:5" ht="13">
      <c r="A7533" s="2" t="str">
        <f ca="1">IFERROR(__xludf.DUMMYFUNCTION("""COMPUTED_VALUE"""),"Sixten, Fredrik")</f>
        <v>Sixten, Fredrik</v>
      </c>
      <c r="B7533" s="3">
        <f ca="1">IFERROR(__xludf.DUMMYFUNCTION("""COMPUTED_VALUE"""),1)</f>
        <v>1</v>
      </c>
      <c r="C7533" s="7">
        <f ca="1">IFERROR(__xludf.DUMMYFUNCTION("""COMPUTED_VALUE"""),1)</f>
        <v>1</v>
      </c>
      <c r="D7533" s="8">
        <f ca="1">IFERROR(__xludf.DUMMYFUNCTION("""COMPUTED_VALUE"""),1)</f>
        <v>1</v>
      </c>
      <c r="E7533" s="2">
        <f ca="1">IFERROR(__xludf.DUMMYFUNCTION("""COMPUTED_VALUE"""),1)</f>
        <v>1</v>
      </c>
    </row>
    <row r="7534" spans="1:5" ht="13">
      <c r="A7534" s="8" t="str">
        <f ca="1">IFERROR(__xludf.DUMMYFUNCTION("""COMPUTED_VALUE"""),"Sjöberg, Carl")</f>
        <v>Sjöberg, Carl</v>
      </c>
      <c r="B7534" s="3">
        <f ca="1">IFERROR(__xludf.DUMMYFUNCTION("""COMPUTED_VALUE"""),1)</f>
        <v>1</v>
      </c>
      <c r="C7534" s="7">
        <f ca="1">IFERROR(__xludf.DUMMYFUNCTION("""COMPUTED_VALUE"""),1)</f>
        <v>1</v>
      </c>
      <c r="D7534" s="8">
        <f ca="1">IFERROR(__xludf.DUMMYFUNCTION("""COMPUTED_VALUE"""),5)</f>
        <v>5</v>
      </c>
      <c r="E7534" s="2">
        <f ca="1">IFERROR(__xludf.DUMMYFUNCTION("""COMPUTED_VALUE"""),2)</f>
        <v>2</v>
      </c>
    </row>
    <row r="7535" spans="1:5" ht="13">
      <c r="A7535" s="8" t="str">
        <f ca="1">IFERROR(__xludf.DUMMYFUNCTION("""COMPUTED_VALUE"""),"Sjolund, Paul")</f>
        <v>Sjolund, Paul</v>
      </c>
      <c r="B7535" s="3">
        <f ca="1">IFERROR(__xludf.DUMMYFUNCTION("""COMPUTED_VALUE"""),1)</f>
        <v>1</v>
      </c>
      <c r="C7535" s="7">
        <f ca="1">IFERROR(__xludf.DUMMYFUNCTION("""COMPUTED_VALUE"""),1)</f>
        <v>1</v>
      </c>
      <c r="D7535" s="8">
        <f ca="1">IFERROR(__xludf.DUMMYFUNCTION("""COMPUTED_VALUE"""),1)</f>
        <v>1</v>
      </c>
      <c r="E7535" s="2">
        <f ca="1">IFERROR(__xludf.DUMMYFUNCTION("""COMPUTED_VALUE"""),1)</f>
        <v>1</v>
      </c>
    </row>
    <row r="7536" spans="1:5" ht="13">
      <c r="A7536" s="2" t="str">
        <f ca="1">IFERROR(__xludf.DUMMYFUNCTION("""COMPUTED_VALUE"""),"Skaff, Will")</f>
        <v>Skaff, Will</v>
      </c>
      <c r="B7536" s="3">
        <f ca="1">IFERROR(__xludf.DUMMYFUNCTION("""COMPUTED_VALUE"""),1)</f>
        <v>1</v>
      </c>
      <c r="C7536" s="7">
        <f ca="1">IFERROR(__xludf.DUMMYFUNCTION("""COMPUTED_VALUE"""),1)</f>
        <v>1</v>
      </c>
      <c r="D7536" s="8">
        <f ca="1">IFERROR(__xludf.DUMMYFUNCTION("""COMPUTED_VALUE"""),1)</f>
        <v>1</v>
      </c>
      <c r="E7536" s="2">
        <f ca="1">IFERROR(__xludf.DUMMYFUNCTION("""COMPUTED_VALUE"""),1)</f>
        <v>1</v>
      </c>
    </row>
    <row r="7537" spans="1:5" ht="13">
      <c r="A7537" s="2" t="str">
        <f ca="1">IFERROR(__xludf.DUMMYFUNCTION("""COMPUTED_VALUE"""),"Skaggs, Andrew")</f>
        <v>Skaggs, Andrew</v>
      </c>
      <c r="B7537" s="3">
        <f ca="1">IFERROR(__xludf.DUMMYFUNCTION("""COMPUTED_VALUE"""),1)</f>
        <v>1</v>
      </c>
      <c r="C7537" s="7">
        <f ca="1">IFERROR(__xludf.DUMMYFUNCTION("""COMPUTED_VALUE"""),1)</f>
        <v>1</v>
      </c>
      <c r="D7537" s="8">
        <f ca="1">IFERROR(__xludf.DUMMYFUNCTION("""COMPUTED_VALUE"""),1)</f>
        <v>1</v>
      </c>
      <c r="E7537" s="2">
        <f ca="1">IFERROR(__xludf.DUMMYFUNCTION("""COMPUTED_VALUE"""),1)</f>
        <v>1</v>
      </c>
    </row>
    <row r="7538" spans="1:5" ht="13">
      <c r="A7538" s="2" t="str">
        <f ca="1">IFERROR(__xludf.DUMMYFUNCTION("""COMPUTED_VALUE"""),"Skalkottas, Nikos")</f>
        <v>Skalkottas, Nikos</v>
      </c>
      <c r="B7538" s="3">
        <f ca="1">IFERROR(__xludf.DUMMYFUNCTION("""COMPUTED_VALUE"""),1)</f>
        <v>1</v>
      </c>
      <c r="C7538" s="7">
        <f ca="1">IFERROR(__xludf.DUMMYFUNCTION("""COMPUTED_VALUE"""),1)</f>
        <v>1</v>
      </c>
      <c r="D7538" s="8">
        <f ca="1">IFERROR(__xludf.DUMMYFUNCTION("""COMPUTED_VALUE"""),5)</f>
        <v>5</v>
      </c>
      <c r="E7538" s="2">
        <f ca="1">IFERROR(__xludf.DUMMYFUNCTION("""COMPUTED_VALUE"""),2)</f>
        <v>2</v>
      </c>
    </row>
    <row r="7539" spans="1:5" ht="13">
      <c r="A7539" s="2" t="str">
        <f ca="1">IFERROR(__xludf.DUMMYFUNCTION("""COMPUTED_VALUE"""),"Skålnes, Odd Martin")</f>
        <v>Skålnes, Odd Martin</v>
      </c>
      <c r="B7539" s="2">
        <f ca="1">IFERROR(__xludf.DUMMYFUNCTION("""COMPUTED_VALUE"""),1)</f>
        <v>1</v>
      </c>
      <c r="C7539" s="2">
        <f ca="1">IFERROR(__xludf.DUMMYFUNCTION("""COMPUTED_VALUE"""),1)</f>
        <v>1</v>
      </c>
      <c r="D7539" s="8">
        <f ca="1">IFERROR(__xludf.DUMMYFUNCTION("""COMPUTED_VALUE"""),1)</f>
        <v>1</v>
      </c>
      <c r="E7539" s="2">
        <f ca="1">IFERROR(__xludf.DUMMYFUNCTION("""COMPUTED_VALUE"""),1)</f>
        <v>1</v>
      </c>
    </row>
    <row r="7540" spans="1:5" ht="13">
      <c r="A7540" s="2" t="str">
        <f ca="1">IFERROR(__xludf.DUMMYFUNCTION("""COMPUTED_VALUE"""),"Skalovski, Todor")</f>
        <v>Skalovski, Todor</v>
      </c>
      <c r="B7540" s="2">
        <f ca="1">IFERROR(__xludf.DUMMYFUNCTION("""COMPUTED_VALUE"""),1)</f>
        <v>1</v>
      </c>
      <c r="C7540" s="7">
        <f ca="1">IFERROR(__xludf.DUMMYFUNCTION("""COMPUTED_VALUE"""),1)</f>
        <v>1</v>
      </c>
      <c r="D7540" s="8">
        <f ca="1">IFERROR(__xludf.DUMMYFUNCTION("""COMPUTED_VALUE"""),5)</f>
        <v>5</v>
      </c>
      <c r="E7540" s="2">
        <f ca="1">IFERROR(__xludf.DUMMYFUNCTION("""COMPUTED_VALUE"""),2)</f>
        <v>2</v>
      </c>
    </row>
    <row r="7541" spans="1:5" ht="13">
      <c r="A7541" s="2" t="str">
        <f ca="1">IFERROR(__xludf.DUMMYFUNCTION("""COMPUTED_VALUE"""),"Skeels, Wilbur")</f>
        <v>Skeels, Wilbur</v>
      </c>
      <c r="B7541" s="3">
        <f ca="1">IFERROR(__xludf.DUMMYFUNCTION("""COMPUTED_VALUE"""),1)</f>
        <v>1</v>
      </c>
      <c r="C7541" s="7">
        <f ca="1">IFERROR(__xludf.DUMMYFUNCTION("""COMPUTED_VALUE"""),1)</f>
        <v>1</v>
      </c>
      <c r="D7541" s="8">
        <f ca="1">IFERROR(__xludf.DUMMYFUNCTION("""COMPUTED_VALUE"""),5)</f>
        <v>5</v>
      </c>
      <c r="E7541" s="2">
        <f ca="1">IFERROR(__xludf.DUMMYFUNCTION("""COMPUTED_VALUE"""),2)</f>
        <v>2</v>
      </c>
    </row>
    <row r="7542" spans="1:5" ht="13">
      <c r="A7542" s="2" t="str">
        <f ca="1">IFERROR(__xludf.DUMMYFUNCTION("""COMPUTED_VALUE"""),"Skeffington, Craig")</f>
        <v>Skeffington, Craig</v>
      </c>
      <c r="B7542" s="3">
        <f ca="1">IFERROR(__xludf.DUMMYFUNCTION("""COMPUTED_VALUE"""),1)</f>
        <v>1</v>
      </c>
      <c r="C7542" s="7">
        <f ca="1">IFERROR(__xludf.DUMMYFUNCTION("""COMPUTED_VALUE"""),1)</f>
        <v>1</v>
      </c>
      <c r="D7542" s="8">
        <f ca="1">IFERROR(__xludf.DUMMYFUNCTION("""COMPUTED_VALUE"""),1)</f>
        <v>1</v>
      </c>
      <c r="E7542" s="2">
        <f ca="1">IFERROR(__xludf.DUMMYFUNCTION("""COMPUTED_VALUE"""),1)</f>
        <v>1</v>
      </c>
    </row>
    <row r="7543" spans="1:5" ht="13">
      <c r="A7543" s="8" t="str">
        <f ca="1">IFERROR(__xludf.DUMMYFUNCTION("""COMPUTED_VALUE"""),"Skempton, Howard")</f>
        <v>Skempton, Howard</v>
      </c>
      <c r="B7543" s="3">
        <f ca="1">IFERROR(__xludf.DUMMYFUNCTION("""COMPUTED_VALUE"""),1)</f>
        <v>1</v>
      </c>
      <c r="C7543" s="7">
        <f ca="1">IFERROR(__xludf.DUMMYFUNCTION("""COMPUTED_VALUE"""),1)</f>
        <v>1</v>
      </c>
      <c r="D7543" s="8">
        <f ca="1">IFERROR(__xludf.DUMMYFUNCTION("""COMPUTED_VALUE"""),1)</f>
        <v>1</v>
      </c>
      <c r="E7543" s="2">
        <f ca="1">IFERROR(__xludf.DUMMYFUNCTION("""COMPUTED_VALUE"""),1)</f>
        <v>1</v>
      </c>
    </row>
    <row r="7544" spans="1:5" ht="13">
      <c r="A7544" s="2" t="str">
        <f ca="1">IFERROR(__xludf.DUMMYFUNCTION("""COMPUTED_VALUE"""),"Skepasts, Arijs")</f>
        <v>Skepasts, Arijs</v>
      </c>
      <c r="B7544" s="3">
        <f ca="1">IFERROR(__xludf.DUMMYFUNCTION("""COMPUTED_VALUE"""),1)</f>
        <v>1</v>
      </c>
      <c r="C7544" s="7">
        <f ca="1">IFERROR(__xludf.DUMMYFUNCTION("""COMPUTED_VALUE"""),1)</f>
        <v>1</v>
      </c>
      <c r="D7544" s="8">
        <f ca="1">IFERROR(__xludf.DUMMYFUNCTION("""COMPUTED_VALUE"""),1)</f>
        <v>1</v>
      </c>
      <c r="E7544" s="2">
        <f ca="1">IFERROR(__xludf.DUMMYFUNCTION("""COMPUTED_VALUE"""),1)</f>
        <v>1</v>
      </c>
    </row>
    <row r="7545" spans="1:5" ht="13">
      <c r="A7545" s="2" t="str">
        <f ca="1">IFERROR(__xludf.DUMMYFUNCTION("""COMPUTED_VALUE"""),"Skidmore, David")</f>
        <v>Skidmore, David</v>
      </c>
      <c r="B7545" s="3">
        <f ca="1">IFERROR(__xludf.DUMMYFUNCTION("""COMPUTED_VALUE"""),1)</f>
        <v>1</v>
      </c>
      <c r="C7545" s="7">
        <f ca="1">IFERROR(__xludf.DUMMYFUNCTION("""COMPUTED_VALUE"""),1)</f>
        <v>1</v>
      </c>
      <c r="D7545" s="8">
        <f ca="1">IFERROR(__xludf.DUMMYFUNCTION("""COMPUTED_VALUE"""),1)</f>
        <v>1</v>
      </c>
      <c r="E7545" s="2">
        <f ca="1">IFERROR(__xludf.DUMMYFUNCTION("""COMPUTED_VALUE"""),1)</f>
        <v>1</v>
      </c>
    </row>
    <row r="7546" spans="1:5" ht="13">
      <c r="A7546" s="2" t="str">
        <f ca="1">IFERROR(__xludf.DUMMYFUNCTION("""COMPUTED_VALUE"""),"Skipworth, Lachlan")</f>
        <v>Skipworth, Lachlan</v>
      </c>
      <c r="B7546" s="3">
        <f ca="1">IFERROR(__xludf.DUMMYFUNCTION("""COMPUTED_VALUE"""),1)</f>
        <v>1</v>
      </c>
      <c r="C7546" s="7">
        <f ca="1">IFERROR(__xludf.DUMMYFUNCTION("""COMPUTED_VALUE"""),1)</f>
        <v>1</v>
      </c>
      <c r="D7546" s="8">
        <f ca="1">IFERROR(__xludf.DUMMYFUNCTION("""COMPUTED_VALUE"""),1)</f>
        <v>1</v>
      </c>
      <c r="E7546" s="2">
        <f ca="1">IFERROR(__xludf.DUMMYFUNCTION("""COMPUTED_VALUE"""),1)</f>
        <v>1</v>
      </c>
    </row>
    <row r="7547" spans="1:5" ht="13">
      <c r="A7547" s="2" t="str">
        <f ca="1">IFERROR(__xludf.DUMMYFUNCTION("""COMPUTED_VALUE"""),"Skolnik, Walter")</f>
        <v>Skolnik, Walter</v>
      </c>
      <c r="B7547" s="3">
        <f ca="1">IFERROR(__xludf.DUMMYFUNCTION("""COMPUTED_VALUE"""),1)</f>
        <v>1</v>
      </c>
      <c r="C7547" s="7">
        <f ca="1">IFERROR(__xludf.DUMMYFUNCTION("""COMPUTED_VALUE"""),1)</f>
        <v>1</v>
      </c>
      <c r="D7547" s="8">
        <f ca="1">IFERROR(__xludf.DUMMYFUNCTION("""COMPUTED_VALUE"""),5)</f>
        <v>5</v>
      </c>
      <c r="E7547" s="2">
        <f ca="1">IFERROR(__xludf.DUMMYFUNCTION("""COMPUTED_VALUE"""),2)</f>
        <v>2</v>
      </c>
    </row>
    <row r="7548" spans="1:5" ht="13">
      <c r="A7548" s="2" t="str">
        <f ca="1">IFERROR(__xludf.DUMMYFUNCTION("""COMPUTED_VALUE"""),"Skoryk, Myroslav")</f>
        <v>Skoryk, Myroslav</v>
      </c>
      <c r="B7548" s="3">
        <f ca="1">IFERROR(__xludf.DUMMYFUNCTION("""COMPUTED_VALUE"""),1)</f>
        <v>1</v>
      </c>
      <c r="C7548" s="7">
        <f ca="1">IFERROR(__xludf.DUMMYFUNCTION("""COMPUTED_VALUE"""),1)</f>
        <v>1</v>
      </c>
      <c r="D7548" s="8">
        <f ca="1">IFERROR(__xludf.DUMMYFUNCTION("""COMPUTED_VALUE"""),5)</f>
        <v>5</v>
      </c>
      <c r="E7548" s="2">
        <f ca="1">IFERROR(__xludf.DUMMYFUNCTION("""COMPUTED_VALUE"""),2)</f>
        <v>2</v>
      </c>
    </row>
    <row r="7549" spans="1:5" ht="13">
      <c r="A7549" s="2" t="str">
        <f ca="1">IFERROR(__xludf.DUMMYFUNCTION("""COMPUTED_VALUE"""),"Skrowaczewski, Stanisław")</f>
        <v>Skrowaczewski, Stanisław</v>
      </c>
      <c r="B7549" s="3">
        <f ca="1">IFERROR(__xludf.DUMMYFUNCTION("""COMPUTED_VALUE"""),1)</f>
        <v>1</v>
      </c>
      <c r="C7549" s="7">
        <f ca="1">IFERROR(__xludf.DUMMYFUNCTION("""COMPUTED_VALUE"""),1)</f>
        <v>1</v>
      </c>
      <c r="D7549" s="8">
        <f ca="1">IFERROR(__xludf.DUMMYFUNCTION("""COMPUTED_VALUE"""),5)</f>
        <v>5</v>
      </c>
      <c r="E7549" s="2">
        <f ca="1">IFERROR(__xludf.DUMMYFUNCTION("""COMPUTED_VALUE"""),2)</f>
        <v>2</v>
      </c>
    </row>
    <row r="7550" spans="1:5" ht="13">
      <c r="A7550" s="2" t="str">
        <f ca="1">IFERROR(__xludf.DUMMYFUNCTION("""COMPUTED_VALUE"""),"Slater, Neil")</f>
        <v>Slater, Neil</v>
      </c>
      <c r="B7550" s="2">
        <f ca="1">IFERROR(__xludf.DUMMYFUNCTION("""COMPUTED_VALUE"""),1)</f>
        <v>1</v>
      </c>
      <c r="C7550" s="7">
        <f ca="1">IFERROR(__xludf.DUMMYFUNCTION("""COMPUTED_VALUE"""),1)</f>
        <v>1</v>
      </c>
      <c r="D7550" s="8">
        <f ca="1">IFERROR(__xludf.DUMMYFUNCTION("""COMPUTED_VALUE"""),1)</f>
        <v>1</v>
      </c>
      <c r="E7550" s="2">
        <f ca="1">IFERROR(__xludf.DUMMYFUNCTION("""COMPUTED_VALUE"""),1)</f>
        <v>1</v>
      </c>
    </row>
    <row r="7551" spans="1:5" ht="13">
      <c r="A7551" s="2" t="str">
        <f ca="1">IFERROR(__xludf.DUMMYFUNCTION("""COMPUTED_VALUE"""),"Slates, Philip")</f>
        <v>Slates, Philip</v>
      </c>
      <c r="B7551" s="3">
        <f ca="1">IFERROR(__xludf.DUMMYFUNCTION("""COMPUTED_VALUE"""),1)</f>
        <v>1</v>
      </c>
      <c r="C7551" s="7">
        <f ca="1">IFERROR(__xludf.DUMMYFUNCTION("""COMPUTED_VALUE"""),1)</f>
        <v>1</v>
      </c>
      <c r="D7551" s="8">
        <f ca="1">IFERROR(__xludf.DUMMYFUNCTION("""COMPUTED_VALUE"""),5)</f>
        <v>5</v>
      </c>
      <c r="E7551" s="2">
        <f ca="1">IFERROR(__xludf.DUMMYFUNCTION("""COMPUTED_VALUE"""),2)</f>
        <v>2</v>
      </c>
    </row>
    <row r="7552" spans="1:5" ht="13">
      <c r="A7552" s="8" t="str">
        <f ca="1">IFERROR(__xludf.DUMMYFUNCTION("""COMPUTED_VALUE"""),"Slatkin, Daniel")</f>
        <v>Slatkin, Daniel</v>
      </c>
      <c r="B7552" s="3">
        <f ca="1">IFERROR(__xludf.DUMMYFUNCTION("""COMPUTED_VALUE"""),1)</f>
        <v>1</v>
      </c>
      <c r="C7552" s="7">
        <f ca="1">IFERROR(__xludf.DUMMYFUNCTION("""COMPUTED_VALUE"""),1)</f>
        <v>1</v>
      </c>
      <c r="D7552" s="8">
        <f ca="1">IFERROR(__xludf.DUMMYFUNCTION("""COMPUTED_VALUE"""),1)</f>
        <v>1</v>
      </c>
      <c r="E7552" s="2">
        <f ca="1">IFERROR(__xludf.DUMMYFUNCTION("""COMPUTED_VALUE"""),1)</f>
        <v>1</v>
      </c>
    </row>
    <row r="7553" spans="1:5" ht="13">
      <c r="A7553" s="2" t="str">
        <f ca="1">IFERROR(__xludf.DUMMYFUNCTION("""COMPUTED_VALUE"""),"Slatkin, Leonard")</f>
        <v>Slatkin, Leonard</v>
      </c>
      <c r="B7553" s="3">
        <f ca="1">IFERROR(__xludf.DUMMYFUNCTION("""COMPUTED_VALUE"""),1)</f>
        <v>1</v>
      </c>
      <c r="C7553" s="7">
        <f ca="1">IFERROR(__xludf.DUMMYFUNCTION("""COMPUTED_VALUE"""),1)</f>
        <v>1</v>
      </c>
      <c r="D7553" s="8">
        <f ca="1">IFERROR(__xludf.DUMMYFUNCTION("""COMPUTED_VALUE"""),5)</f>
        <v>5</v>
      </c>
      <c r="E7553" s="2">
        <f ca="1">IFERROR(__xludf.DUMMYFUNCTION("""COMPUTED_VALUE"""),2)</f>
        <v>2</v>
      </c>
    </row>
    <row r="7554" spans="1:5" ht="13">
      <c r="A7554" s="2" t="str">
        <f ca="1">IFERROR(__xludf.DUMMYFUNCTION("""COMPUTED_VALUE"""),"Slawson, Brian")</f>
        <v>Slawson, Brian</v>
      </c>
      <c r="B7554" s="3">
        <f ca="1">IFERROR(__xludf.DUMMYFUNCTION("""COMPUTED_VALUE"""),1)</f>
        <v>1</v>
      </c>
      <c r="C7554" s="7">
        <f ca="1">IFERROR(__xludf.DUMMYFUNCTION("""COMPUTED_VALUE"""),1)</f>
        <v>1</v>
      </c>
      <c r="D7554" s="8">
        <f ca="1">IFERROR(__xludf.DUMMYFUNCTION("""COMPUTED_VALUE"""),1)</f>
        <v>1</v>
      </c>
      <c r="E7554" s="2">
        <f ca="1">IFERROR(__xludf.DUMMYFUNCTION("""COMPUTED_VALUE"""),1)</f>
        <v>1</v>
      </c>
    </row>
    <row r="7555" spans="1:5" ht="13">
      <c r="A7555" s="2" t="str">
        <f ca="1">IFERROR(__xludf.DUMMYFUNCTION("""COMPUTED_VALUE"""),"Sled, Bruce")</f>
        <v>Sled, Bruce</v>
      </c>
      <c r="B7555" s="3">
        <f ca="1">IFERROR(__xludf.DUMMYFUNCTION("""COMPUTED_VALUE"""),1)</f>
        <v>1</v>
      </c>
      <c r="C7555" s="7">
        <f ca="1">IFERROR(__xludf.DUMMYFUNCTION("""COMPUTED_VALUE"""),1)</f>
        <v>1</v>
      </c>
      <c r="D7555" s="8">
        <f ca="1">IFERROR(__xludf.DUMMYFUNCTION("""COMPUTED_VALUE"""),1)</f>
        <v>1</v>
      </c>
      <c r="E7555" s="2">
        <f ca="1">IFERROR(__xludf.DUMMYFUNCTION("""COMPUTED_VALUE"""),1)</f>
        <v>1</v>
      </c>
    </row>
    <row r="7556" spans="1:5" ht="13">
      <c r="A7556" s="2" t="str">
        <f ca="1">IFERROR(__xludf.DUMMYFUNCTION("""COMPUTED_VALUE"""),"Sleeper, Thomas")</f>
        <v>Sleeper, Thomas</v>
      </c>
      <c r="B7556" s="3">
        <f ca="1">IFERROR(__xludf.DUMMYFUNCTION("""COMPUTED_VALUE"""),1)</f>
        <v>1</v>
      </c>
      <c r="C7556" s="7">
        <f ca="1">IFERROR(__xludf.DUMMYFUNCTION("""COMPUTED_VALUE"""),1)</f>
        <v>1</v>
      </c>
      <c r="D7556" s="8">
        <f ca="1">IFERROR(__xludf.DUMMYFUNCTION("""COMPUTED_VALUE"""),5)</f>
        <v>5</v>
      </c>
      <c r="E7556" s="2">
        <f ca="1">IFERROR(__xludf.DUMMYFUNCTION("""COMPUTED_VALUE"""),2)</f>
        <v>2</v>
      </c>
    </row>
    <row r="7557" spans="1:5" ht="13">
      <c r="A7557" s="2" t="str">
        <f ca="1">IFERROR(__xludf.DUMMYFUNCTION("""COMPUTED_VALUE"""),"Sleeping at Last")</f>
        <v>Sleeping at Last</v>
      </c>
      <c r="B7557" s="2">
        <f ca="1">IFERROR(__xludf.DUMMYFUNCTION("""COMPUTED_VALUE"""),1)</f>
        <v>1</v>
      </c>
      <c r="C7557" s="2">
        <f ca="1">IFERROR(__xludf.DUMMYFUNCTION("""COMPUTED_VALUE"""),1)</f>
        <v>1</v>
      </c>
      <c r="D7557" s="8">
        <f ca="1">IFERROR(__xludf.DUMMYFUNCTION("""COMPUTED_VALUE"""),1)</f>
        <v>1</v>
      </c>
      <c r="E7557" s="2">
        <f ca="1">IFERROR(__xludf.DUMMYFUNCTION("""COMPUTED_VALUE"""),1)</f>
        <v>1</v>
      </c>
    </row>
    <row r="7558" spans="1:5" ht="13">
      <c r="A7558" s="2" t="str">
        <f ca="1">IFERROR(__xludf.DUMMYFUNCTION("""COMPUTED_VALUE"""),"Slobodyanik, Alexander")</f>
        <v>Slobodyanik, Alexander</v>
      </c>
      <c r="B7558" s="3">
        <f ca="1">IFERROR(__xludf.DUMMYFUNCTION("""COMPUTED_VALUE"""),1)</f>
        <v>1</v>
      </c>
      <c r="C7558" s="7">
        <f ca="1">IFERROR(__xludf.DUMMYFUNCTION("""COMPUTED_VALUE"""),1)</f>
        <v>1</v>
      </c>
      <c r="D7558" s="8">
        <f ca="1">IFERROR(__xludf.DUMMYFUNCTION("""COMPUTED_VALUE"""),5)</f>
        <v>5</v>
      </c>
      <c r="E7558" s="2">
        <f ca="1">IFERROR(__xludf.DUMMYFUNCTION("""COMPUTED_VALUE"""),2)</f>
        <v>2</v>
      </c>
    </row>
    <row r="7559" spans="1:5" ht="13">
      <c r="A7559" s="2" t="str">
        <f ca="1">IFERROR(__xludf.DUMMYFUNCTION("""COMPUTED_VALUE"""),"Slocum, Earl")</f>
        <v>Slocum, Earl</v>
      </c>
      <c r="B7559" s="3">
        <f ca="1">IFERROR(__xludf.DUMMYFUNCTION("""COMPUTED_VALUE"""),1)</f>
        <v>1</v>
      </c>
      <c r="C7559" s="7">
        <f ca="1">IFERROR(__xludf.DUMMYFUNCTION("""COMPUTED_VALUE"""),1)</f>
        <v>1</v>
      </c>
      <c r="D7559" s="8">
        <f ca="1">IFERROR(__xludf.DUMMYFUNCTION("""COMPUTED_VALUE"""),5)</f>
        <v>5</v>
      </c>
      <c r="E7559" s="3">
        <f ca="1">IFERROR(__xludf.DUMMYFUNCTION("""COMPUTED_VALUE"""),2)</f>
        <v>2</v>
      </c>
    </row>
    <row r="7560" spans="1:5" ht="13">
      <c r="A7560" s="2" t="str">
        <f ca="1">IFERROR(__xludf.DUMMYFUNCTION("""COMPUTED_VALUE"""),"Slogedal, Bjarne")</f>
        <v>Slogedal, Bjarne</v>
      </c>
      <c r="B7560" s="3">
        <f ca="1">IFERROR(__xludf.DUMMYFUNCTION("""COMPUTED_VALUE"""),1)</f>
        <v>1</v>
      </c>
      <c r="C7560" s="7">
        <f ca="1">IFERROR(__xludf.DUMMYFUNCTION("""COMPUTED_VALUE"""),1)</f>
        <v>1</v>
      </c>
      <c r="D7560" s="8">
        <f ca="1">IFERROR(__xludf.DUMMYFUNCTION("""COMPUTED_VALUE"""),1)</f>
        <v>1</v>
      </c>
      <c r="E7560" s="2">
        <f ca="1">IFERROR(__xludf.DUMMYFUNCTION("""COMPUTED_VALUE"""),1)</f>
        <v>1</v>
      </c>
    </row>
    <row r="7561" spans="1:5" ht="13">
      <c r="A7561" s="2" t="str">
        <f ca="1">IFERROR(__xludf.DUMMYFUNCTION("""COMPUTED_VALUE"""),"Slonaker, Dave")</f>
        <v>Slonaker, Dave</v>
      </c>
      <c r="B7561" s="3">
        <f ca="1">IFERROR(__xludf.DUMMYFUNCTION("""COMPUTED_VALUE"""),1)</f>
        <v>1</v>
      </c>
      <c r="C7561" s="7">
        <f ca="1">IFERROR(__xludf.DUMMYFUNCTION("""COMPUTED_VALUE"""),1)</f>
        <v>1</v>
      </c>
      <c r="D7561" s="8">
        <f ca="1">IFERROR(__xludf.DUMMYFUNCTION("""COMPUTED_VALUE"""),1)</f>
        <v>1</v>
      </c>
      <c r="E7561" s="2">
        <f ca="1">IFERROR(__xludf.DUMMYFUNCTION("""COMPUTED_VALUE"""),1)</f>
        <v>1</v>
      </c>
    </row>
    <row r="7562" spans="1:5" ht="13">
      <c r="A7562" s="2" t="str">
        <f ca="1">IFERROR(__xludf.DUMMYFUNCTION("""COMPUTED_VALUE"""),"Sluder, Kevin")</f>
        <v>Sluder, Kevin</v>
      </c>
      <c r="B7562" s="3">
        <f ca="1">IFERROR(__xludf.DUMMYFUNCTION("""COMPUTED_VALUE"""),1)</f>
        <v>1</v>
      </c>
      <c r="C7562" s="7">
        <f ca="1">IFERROR(__xludf.DUMMYFUNCTION("""COMPUTED_VALUE"""),1)</f>
        <v>1</v>
      </c>
      <c r="D7562" s="8">
        <f ca="1">IFERROR(__xludf.DUMMYFUNCTION("""COMPUTED_VALUE"""),1)</f>
        <v>1</v>
      </c>
      <c r="E7562" s="2">
        <f ca="1">IFERROR(__xludf.DUMMYFUNCTION("""COMPUTED_VALUE"""),1)</f>
        <v>1</v>
      </c>
    </row>
    <row r="7563" spans="1:5" ht="13">
      <c r="A7563" s="2" t="str">
        <f ca="1">IFERROR(__xludf.DUMMYFUNCTION("""COMPUTED_VALUE"""),"Smallman, Jeff")</f>
        <v>Smallman, Jeff</v>
      </c>
      <c r="B7563" s="3">
        <f ca="1">IFERROR(__xludf.DUMMYFUNCTION("""COMPUTED_VALUE"""),1)</f>
        <v>1</v>
      </c>
      <c r="C7563" s="7">
        <f ca="1">IFERROR(__xludf.DUMMYFUNCTION("""COMPUTED_VALUE"""),1)</f>
        <v>1</v>
      </c>
      <c r="D7563" s="8">
        <f ca="1">IFERROR(__xludf.DUMMYFUNCTION("""COMPUTED_VALUE"""),1)</f>
        <v>1</v>
      </c>
      <c r="E7563" s="2">
        <f ca="1">IFERROR(__xludf.DUMMYFUNCTION("""COMPUTED_VALUE"""),1)</f>
        <v>1</v>
      </c>
    </row>
    <row r="7564" spans="1:5" ht="13">
      <c r="A7564" s="2" t="str">
        <f ca="1">IFERROR(__xludf.DUMMYFUNCTION("""COMPUTED_VALUE"""),"Smart, Gary")</f>
        <v>Smart, Gary</v>
      </c>
      <c r="B7564" s="3">
        <f ca="1">IFERROR(__xludf.DUMMYFUNCTION("""COMPUTED_VALUE"""),1)</f>
        <v>1</v>
      </c>
      <c r="C7564" s="7">
        <f ca="1">IFERROR(__xludf.DUMMYFUNCTION("""COMPUTED_VALUE"""),1)</f>
        <v>1</v>
      </c>
      <c r="D7564" s="8">
        <f ca="1">IFERROR(__xludf.DUMMYFUNCTION("""COMPUTED_VALUE"""),1)</f>
        <v>1</v>
      </c>
      <c r="E7564" s="2">
        <f ca="1">IFERROR(__xludf.DUMMYFUNCTION("""COMPUTED_VALUE"""),1)</f>
        <v>1</v>
      </c>
    </row>
    <row r="7565" spans="1:5" ht="13">
      <c r="A7565" s="2" t="str">
        <f ca="1">IFERROR(__xludf.DUMMYFUNCTION("""COMPUTED_VALUE"""),"Smart, Henry")</f>
        <v>Smart, Henry</v>
      </c>
      <c r="B7565" s="3">
        <f ca="1">IFERROR(__xludf.DUMMYFUNCTION("""COMPUTED_VALUE"""),1)</f>
        <v>1</v>
      </c>
      <c r="C7565" s="7">
        <f ca="1">IFERROR(__xludf.DUMMYFUNCTION("""COMPUTED_VALUE"""),1)</f>
        <v>1</v>
      </c>
      <c r="D7565" s="8">
        <f ca="1">IFERROR(__xludf.DUMMYFUNCTION("""COMPUTED_VALUE"""),5)</f>
        <v>5</v>
      </c>
      <c r="E7565" s="2">
        <f ca="1">IFERROR(__xludf.DUMMYFUNCTION("""COMPUTED_VALUE"""),2)</f>
        <v>2</v>
      </c>
    </row>
    <row r="7566" spans="1:5" ht="13">
      <c r="A7566" s="2" t="str">
        <f ca="1">IFERROR(__xludf.DUMMYFUNCTION("""COMPUTED_VALUE"""),"Smetana, Bedřich")</f>
        <v>Smetana, Bedřich</v>
      </c>
      <c r="B7566" s="3">
        <f ca="1">IFERROR(__xludf.DUMMYFUNCTION("""COMPUTED_VALUE"""),1)</f>
        <v>1</v>
      </c>
      <c r="C7566" s="7">
        <f ca="1">IFERROR(__xludf.DUMMYFUNCTION("""COMPUTED_VALUE"""),1)</f>
        <v>1</v>
      </c>
      <c r="D7566" s="8">
        <f ca="1">IFERROR(__xludf.DUMMYFUNCTION("""COMPUTED_VALUE"""),5)</f>
        <v>5</v>
      </c>
      <c r="E7566" s="2">
        <f ca="1">IFERROR(__xludf.DUMMYFUNCTION("""COMPUTED_VALUE"""),2)</f>
        <v>2</v>
      </c>
    </row>
    <row r="7567" spans="1:5" ht="13">
      <c r="A7567" s="2" t="str">
        <f ca="1">IFERROR(__xludf.DUMMYFUNCTION("""COMPUTED_VALUE"""),"Smit, Leopold")</f>
        <v>Smit, Leopold</v>
      </c>
      <c r="B7567" s="2">
        <f ca="1">IFERROR(__xludf.DUMMYFUNCTION("""COMPUTED_VALUE"""),1)</f>
        <v>1</v>
      </c>
      <c r="C7567" s="7">
        <f ca="1">IFERROR(__xludf.DUMMYFUNCTION("""COMPUTED_VALUE"""),1)</f>
        <v>1</v>
      </c>
      <c r="D7567" s="8">
        <f ca="1">IFERROR(__xludf.DUMMYFUNCTION("""COMPUTED_VALUE"""),5)</f>
        <v>5</v>
      </c>
      <c r="E7567" s="2">
        <f ca="1">IFERROR(__xludf.DUMMYFUNCTION("""COMPUTED_VALUE"""),2)</f>
        <v>2</v>
      </c>
    </row>
    <row r="7568" spans="1:5" ht="13">
      <c r="A7568" s="2" t="str">
        <f ca="1">IFERROR(__xludf.DUMMYFUNCTION("""COMPUTED_VALUE"""),"Smith / Story")</f>
        <v>Smith / Story</v>
      </c>
      <c r="B7568" s="3">
        <f ca="1">IFERROR(__xludf.DUMMYFUNCTION("""COMPUTED_VALUE"""),1)</f>
        <v>1</v>
      </c>
      <c r="C7568" s="7">
        <f ca="1">IFERROR(__xludf.DUMMYFUNCTION("""COMPUTED_VALUE"""),1)</f>
        <v>1</v>
      </c>
      <c r="D7568" s="8">
        <f ca="1">IFERROR(__xludf.DUMMYFUNCTION("""COMPUTED_VALUE"""),1)</f>
        <v>1</v>
      </c>
      <c r="E7568" s="2">
        <f ca="1">IFERROR(__xludf.DUMMYFUNCTION("""COMPUTED_VALUE"""),1)</f>
        <v>1</v>
      </c>
    </row>
    <row r="7569" spans="1:5" ht="13">
      <c r="A7569" s="2" t="str">
        <f ca="1">IFERROR(__xludf.DUMMYFUNCTION("""COMPUTED_VALUE"""),"Smith, Alan")</f>
        <v>Smith, Alan</v>
      </c>
      <c r="B7569" s="3">
        <f ca="1">IFERROR(__xludf.DUMMYFUNCTION("""COMPUTED_VALUE"""),1)</f>
        <v>1</v>
      </c>
      <c r="C7569" s="7">
        <f ca="1">IFERROR(__xludf.DUMMYFUNCTION("""COMPUTED_VALUE"""),1)</f>
        <v>1</v>
      </c>
      <c r="D7569" s="8">
        <f ca="1">IFERROR(__xludf.DUMMYFUNCTION("""COMPUTED_VALUE"""),5)</f>
        <v>5</v>
      </c>
      <c r="E7569" s="2">
        <f ca="1">IFERROR(__xludf.DUMMYFUNCTION("""COMPUTED_VALUE"""),2)</f>
        <v>2</v>
      </c>
    </row>
    <row r="7570" spans="1:5" ht="13">
      <c r="A7570" s="8" t="str">
        <f ca="1">IFERROR(__xludf.DUMMYFUNCTION("""COMPUTED_VALUE"""),"Smith, Andrew Martin")</f>
        <v>Smith, Andrew Martin</v>
      </c>
      <c r="B7570" s="3">
        <f ca="1">IFERROR(__xludf.DUMMYFUNCTION("""COMPUTED_VALUE"""),1)</f>
        <v>1</v>
      </c>
      <c r="C7570" s="7">
        <f ca="1">IFERROR(__xludf.DUMMYFUNCTION("""COMPUTED_VALUE"""),1)</f>
        <v>1</v>
      </c>
      <c r="D7570" s="8">
        <f ca="1">IFERROR(__xludf.DUMMYFUNCTION("""COMPUTED_VALUE"""),1)</f>
        <v>1</v>
      </c>
      <c r="E7570" s="2">
        <f ca="1">IFERROR(__xludf.DUMMYFUNCTION("""COMPUTED_VALUE"""),1)</f>
        <v>1</v>
      </c>
    </row>
    <row r="7571" spans="1:5" ht="13">
      <c r="A7571" s="2" t="str">
        <f ca="1">IFERROR(__xludf.DUMMYFUNCTION("""COMPUTED_VALUE"""),"Smith, Bobby")</f>
        <v>Smith, Bobby</v>
      </c>
      <c r="B7571" s="3">
        <f ca="1">IFERROR(__xludf.DUMMYFUNCTION("""COMPUTED_VALUE"""),1)</f>
        <v>1</v>
      </c>
      <c r="C7571" s="7">
        <f ca="1">IFERROR(__xludf.DUMMYFUNCTION("""COMPUTED_VALUE"""),1)</f>
        <v>1</v>
      </c>
      <c r="D7571" s="8">
        <f ca="1">IFERROR(__xludf.DUMMYFUNCTION("""COMPUTED_VALUE"""),5)</f>
        <v>5</v>
      </c>
      <c r="E7571" s="2">
        <f ca="1">IFERROR(__xludf.DUMMYFUNCTION("""COMPUTED_VALUE"""),2)</f>
        <v>2</v>
      </c>
    </row>
    <row r="7572" spans="1:5" ht="13">
      <c r="A7572" s="2" t="str">
        <f ca="1">IFERROR(__xludf.DUMMYFUNCTION("""COMPUTED_VALUE"""),"Smith, Bramwell")</f>
        <v>Smith, Bramwell</v>
      </c>
      <c r="B7572" s="3">
        <f ca="1">IFERROR(__xludf.DUMMYFUNCTION("""COMPUTED_VALUE"""),1)</f>
        <v>1</v>
      </c>
      <c r="C7572" s="7">
        <f ca="1">IFERROR(__xludf.DUMMYFUNCTION("""COMPUTED_VALUE"""),1)</f>
        <v>1</v>
      </c>
      <c r="D7572" s="8">
        <f ca="1">IFERROR(__xludf.DUMMYFUNCTION("""COMPUTED_VALUE"""),5)</f>
        <v>5</v>
      </c>
      <c r="E7572" s="2">
        <f ca="1">IFERROR(__xludf.DUMMYFUNCTION("""COMPUTED_VALUE"""),2)</f>
        <v>2</v>
      </c>
    </row>
    <row r="7573" spans="1:5" ht="13">
      <c r="A7573" s="2" t="str">
        <f ca="1">IFERROR(__xludf.DUMMYFUNCTION("""COMPUTED_VALUE"""),"Smith, Bruce R.")</f>
        <v>Smith, Bruce R.</v>
      </c>
      <c r="B7573" s="2">
        <f ca="1">IFERROR(__xludf.DUMMYFUNCTION("""COMPUTED_VALUE"""),1)</f>
        <v>1</v>
      </c>
      <c r="C7573" s="7">
        <f ca="1">IFERROR(__xludf.DUMMYFUNCTION("""COMPUTED_VALUE"""),1)</f>
        <v>1</v>
      </c>
      <c r="D7573" s="8">
        <f ca="1">IFERROR(__xludf.DUMMYFUNCTION("""COMPUTED_VALUE"""),5)</f>
        <v>5</v>
      </c>
      <c r="E7573" s="2">
        <f ca="1">IFERROR(__xludf.DUMMYFUNCTION("""COMPUTED_VALUE"""),2)</f>
        <v>2</v>
      </c>
    </row>
    <row r="7574" spans="1:5" ht="13">
      <c r="A7574" s="2" t="str">
        <f ca="1">IFERROR(__xludf.DUMMYFUNCTION("""COMPUTED_VALUE"""),"Smith, Charles")</f>
        <v>Smith, Charles</v>
      </c>
      <c r="B7574" s="3">
        <f ca="1">IFERROR(__xludf.DUMMYFUNCTION("""COMPUTED_VALUE"""),1)</f>
        <v>1</v>
      </c>
      <c r="C7574" s="7">
        <f ca="1">IFERROR(__xludf.DUMMYFUNCTION("""COMPUTED_VALUE"""),1)</f>
        <v>1</v>
      </c>
      <c r="D7574" s="8">
        <f ca="1">IFERROR(__xludf.DUMMYFUNCTION("""COMPUTED_VALUE"""),5)</f>
        <v>5</v>
      </c>
      <c r="E7574" s="2">
        <f ca="1">IFERROR(__xludf.DUMMYFUNCTION("""COMPUTED_VALUE"""),2)</f>
        <v>2</v>
      </c>
    </row>
    <row r="7575" spans="1:5" ht="13">
      <c r="A7575" s="2" t="str">
        <f ca="1">IFERROR(__xludf.DUMMYFUNCTION("""COMPUTED_VALUE"""),"Smith, Claude T.")</f>
        <v>Smith, Claude T.</v>
      </c>
      <c r="B7575" s="3">
        <f ca="1">IFERROR(__xludf.DUMMYFUNCTION("""COMPUTED_VALUE"""),1)</f>
        <v>1</v>
      </c>
      <c r="C7575" s="7">
        <f ca="1">IFERROR(__xludf.DUMMYFUNCTION("""COMPUTED_VALUE"""),1)</f>
        <v>1</v>
      </c>
      <c r="D7575" s="8">
        <f ca="1">IFERROR(__xludf.DUMMYFUNCTION("""COMPUTED_VALUE"""),5)</f>
        <v>5</v>
      </c>
      <c r="E7575" s="2">
        <f ca="1">IFERROR(__xludf.DUMMYFUNCTION("""COMPUTED_VALUE"""),2)</f>
        <v>2</v>
      </c>
    </row>
    <row r="7576" spans="1:5" ht="13">
      <c r="A7576" s="2" t="str">
        <f ca="1">IFERROR(__xludf.DUMMYFUNCTION("""COMPUTED_VALUE"""),"Smith, Connor")</f>
        <v>Smith, Connor</v>
      </c>
      <c r="B7576" s="3">
        <f ca="1">IFERROR(__xludf.DUMMYFUNCTION("""COMPUTED_VALUE"""),1)</f>
        <v>1</v>
      </c>
      <c r="C7576" s="7">
        <f ca="1">IFERROR(__xludf.DUMMYFUNCTION("""COMPUTED_VALUE"""),1)</f>
        <v>1</v>
      </c>
      <c r="D7576" s="8">
        <f ca="1">IFERROR(__xludf.DUMMYFUNCTION("""COMPUTED_VALUE"""),1)</f>
        <v>1</v>
      </c>
      <c r="E7576" s="2">
        <f ca="1">IFERROR(__xludf.DUMMYFUNCTION("""COMPUTED_VALUE"""),1)</f>
        <v>1</v>
      </c>
    </row>
    <row r="7577" spans="1:5" ht="13">
      <c r="A7577" s="2" t="str">
        <f ca="1">IFERROR(__xludf.DUMMYFUNCTION("""COMPUTED_VALUE"""),"Smith, D. Farnell")</f>
        <v>Smith, D. Farnell</v>
      </c>
      <c r="B7577" s="3">
        <f ca="1">IFERROR(__xludf.DUMMYFUNCTION("""COMPUTED_VALUE"""),1)</f>
        <v>1</v>
      </c>
      <c r="C7577" s="7">
        <f ca="1">IFERROR(__xludf.DUMMYFUNCTION("""COMPUTED_VALUE"""),1)</f>
        <v>1</v>
      </c>
      <c r="D7577" s="8">
        <f ca="1">IFERROR(__xludf.DUMMYFUNCTION("""COMPUTED_VALUE"""),1)</f>
        <v>1</v>
      </c>
      <c r="E7577" s="2">
        <f ca="1">IFERROR(__xludf.DUMMYFUNCTION("""COMPUTED_VALUE"""),1)</f>
        <v>1</v>
      </c>
    </row>
    <row r="7578" spans="1:5" ht="13">
      <c r="A7578" s="2" t="str">
        <f ca="1">IFERROR(__xludf.DUMMYFUNCTION("""COMPUTED_VALUE"""),"Smith, Dean")</f>
        <v>Smith, Dean</v>
      </c>
      <c r="B7578" s="3">
        <f ca="1">IFERROR(__xludf.DUMMYFUNCTION("""COMPUTED_VALUE"""),1)</f>
        <v>1</v>
      </c>
      <c r="C7578" s="7">
        <f ca="1">IFERROR(__xludf.DUMMYFUNCTION("""COMPUTED_VALUE"""),1)</f>
        <v>1</v>
      </c>
      <c r="D7578" s="8">
        <f ca="1">IFERROR(__xludf.DUMMYFUNCTION("""COMPUTED_VALUE"""),1)</f>
        <v>1</v>
      </c>
      <c r="E7578" s="2">
        <f ca="1">IFERROR(__xludf.DUMMYFUNCTION("""COMPUTED_VALUE"""),1)</f>
        <v>1</v>
      </c>
    </row>
    <row r="7579" spans="1:5" ht="13">
      <c r="A7579" s="8" t="str">
        <f ca="1">IFERROR(__xludf.DUMMYFUNCTION("""COMPUTED_VALUE"""),"Smith, Don")</f>
        <v>Smith, Don</v>
      </c>
      <c r="B7579" s="3">
        <f ca="1">IFERROR(__xludf.DUMMYFUNCTION("""COMPUTED_VALUE"""),1)</f>
        <v>1</v>
      </c>
      <c r="C7579" s="7">
        <f ca="1">IFERROR(__xludf.DUMMYFUNCTION("""COMPUTED_VALUE"""),1)</f>
        <v>1</v>
      </c>
      <c r="D7579" s="8">
        <f ca="1">IFERROR(__xludf.DUMMYFUNCTION("""COMPUTED_VALUE"""),1)</f>
        <v>1</v>
      </c>
      <c r="E7579" s="2">
        <f ca="1">IFERROR(__xludf.DUMMYFUNCTION("""COMPUTED_VALUE"""),1)</f>
        <v>1</v>
      </c>
    </row>
    <row r="7580" spans="1:5" ht="13">
      <c r="A7580" s="2" t="str">
        <f ca="1">IFERROR(__xludf.DUMMYFUNCTION("""COMPUTED_VALUE"""),"Smith, G. Alan")</f>
        <v>Smith, G. Alan</v>
      </c>
      <c r="B7580" s="3">
        <f ca="1">IFERROR(__xludf.DUMMYFUNCTION("""COMPUTED_VALUE"""),1)</f>
        <v>1</v>
      </c>
      <c r="C7580" s="7">
        <f ca="1">IFERROR(__xludf.DUMMYFUNCTION("""COMPUTED_VALUE"""),1)</f>
        <v>1</v>
      </c>
      <c r="D7580" s="8">
        <f ca="1">IFERROR(__xludf.DUMMYFUNCTION("""COMPUTED_VALUE"""),1)</f>
        <v>1</v>
      </c>
      <c r="E7580" s="2">
        <f ca="1">IFERROR(__xludf.DUMMYFUNCTION("""COMPUTED_VALUE"""),1)</f>
        <v>1</v>
      </c>
    </row>
    <row r="7581" spans="1:5" ht="13">
      <c r="A7581" s="2" t="str">
        <f ca="1">IFERROR(__xludf.DUMMYFUNCTION("""COMPUTED_VALUE"""),"Smith, George")</f>
        <v>Smith, George</v>
      </c>
      <c r="B7581" s="3">
        <f ca="1">IFERROR(__xludf.DUMMYFUNCTION("""COMPUTED_VALUE"""),1)</f>
        <v>1</v>
      </c>
      <c r="C7581" s="7">
        <f ca="1">IFERROR(__xludf.DUMMYFUNCTION("""COMPUTED_VALUE"""),1)</f>
        <v>1</v>
      </c>
      <c r="D7581" s="8">
        <f ca="1">IFERROR(__xludf.DUMMYFUNCTION("""COMPUTED_VALUE"""),1)</f>
        <v>1</v>
      </c>
      <c r="E7581" s="2">
        <f ca="1">IFERROR(__xludf.DUMMYFUNCTION("""COMPUTED_VALUE"""),1)</f>
        <v>1</v>
      </c>
    </row>
    <row r="7582" spans="1:5" ht="13">
      <c r="A7582" s="8" t="str">
        <f ca="1">IFERROR(__xludf.DUMMYFUNCTION("""COMPUTED_VALUE"""),"Smith, Gregg")</f>
        <v>Smith, Gregg</v>
      </c>
      <c r="B7582" s="3">
        <f ca="1">IFERROR(__xludf.DUMMYFUNCTION("""COMPUTED_VALUE"""),1)</f>
        <v>1</v>
      </c>
      <c r="C7582" s="7">
        <f ca="1">IFERROR(__xludf.DUMMYFUNCTION("""COMPUTED_VALUE"""),1)</f>
        <v>1</v>
      </c>
      <c r="D7582" s="8">
        <f ca="1">IFERROR(__xludf.DUMMYFUNCTION("""COMPUTED_VALUE"""),5)</f>
        <v>5</v>
      </c>
      <c r="E7582" s="2">
        <f ca="1">IFERROR(__xludf.DUMMYFUNCTION("""COMPUTED_VALUE"""),2)</f>
        <v>2</v>
      </c>
    </row>
    <row r="7583" spans="1:5" ht="13">
      <c r="A7583" s="2" t="str">
        <f ca="1">IFERROR(__xludf.DUMMYFUNCTION("""COMPUTED_VALUE"""),"Smith, Gregory")</f>
        <v>Smith, Gregory</v>
      </c>
      <c r="B7583" s="3">
        <f ca="1">IFERROR(__xludf.DUMMYFUNCTION("""COMPUTED_VALUE"""),1)</f>
        <v>1</v>
      </c>
      <c r="C7583" s="7">
        <f ca="1">IFERROR(__xludf.DUMMYFUNCTION("""COMPUTED_VALUE"""),1)</f>
        <v>1</v>
      </c>
      <c r="D7583" s="8">
        <f ca="1">IFERROR(__xludf.DUMMYFUNCTION("""COMPUTED_VALUE"""),1)</f>
        <v>1</v>
      </c>
      <c r="E7583" s="2">
        <f ca="1">IFERROR(__xludf.DUMMYFUNCTION("""COMPUTED_VALUE"""),1)</f>
        <v>1</v>
      </c>
    </row>
    <row r="7584" spans="1:5" ht="13">
      <c r="A7584" s="2" t="str">
        <f ca="1">IFERROR(__xludf.DUMMYFUNCTION("""COMPUTED_VALUE"""),"Smith, J. Daniel")</f>
        <v>Smith, J. Daniel</v>
      </c>
      <c r="B7584" s="3">
        <f ca="1">IFERROR(__xludf.DUMMYFUNCTION("""COMPUTED_VALUE"""),1)</f>
        <v>1</v>
      </c>
      <c r="C7584" s="7">
        <f ca="1">IFERROR(__xludf.DUMMYFUNCTION("""COMPUTED_VALUE"""),1)</f>
        <v>1</v>
      </c>
      <c r="D7584" s="8">
        <f ca="1">IFERROR(__xludf.DUMMYFUNCTION("""COMPUTED_VALUE"""),1)</f>
        <v>1</v>
      </c>
      <c r="E7584" s="2">
        <f ca="1">IFERROR(__xludf.DUMMYFUNCTION("""COMPUTED_VALUE"""),1)</f>
        <v>1</v>
      </c>
    </row>
    <row r="7585" spans="1:5" ht="13">
      <c r="A7585" s="2" t="str">
        <f ca="1">IFERROR(__xludf.DUMMYFUNCTION("""COMPUTED_VALUE"""),"Smith, John Stafford")</f>
        <v>Smith, John Stafford</v>
      </c>
      <c r="B7585" s="3">
        <f ca="1">IFERROR(__xludf.DUMMYFUNCTION("""COMPUTED_VALUE"""),1)</f>
        <v>1</v>
      </c>
      <c r="C7585" s="7">
        <f ca="1">IFERROR(__xludf.DUMMYFUNCTION("""COMPUTED_VALUE"""),1)</f>
        <v>1</v>
      </c>
      <c r="D7585" s="8">
        <f ca="1">IFERROR(__xludf.DUMMYFUNCTION("""COMPUTED_VALUE"""),5)</f>
        <v>5</v>
      </c>
      <c r="E7585" s="2">
        <f ca="1">IFERROR(__xludf.DUMMYFUNCTION("""COMPUTED_VALUE"""),2)</f>
        <v>2</v>
      </c>
    </row>
    <row r="7586" spans="1:5" ht="13">
      <c r="A7586" s="2" t="str">
        <f ca="1">IFERROR(__xludf.DUMMYFUNCTION("""COMPUTED_VALUE"""),"Smith, Johnny")</f>
        <v>Smith, Johnny</v>
      </c>
      <c r="B7586" s="2">
        <f ca="1">IFERROR(__xludf.DUMMYFUNCTION("""COMPUTED_VALUE"""),1)</f>
        <v>1</v>
      </c>
      <c r="C7586" s="7">
        <f ca="1">IFERROR(__xludf.DUMMYFUNCTION("""COMPUTED_VALUE"""),1)</f>
        <v>1</v>
      </c>
      <c r="D7586" s="8">
        <f ca="1">IFERROR(__xludf.DUMMYFUNCTION("""COMPUTED_VALUE"""),5)</f>
        <v>5</v>
      </c>
      <c r="E7586" s="2">
        <f ca="1">IFERROR(__xludf.DUMMYFUNCTION("""COMPUTED_VALUE"""),2)</f>
        <v>2</v>
      </c>
    </row>
    <row r="7587" spans="1:5" ht="13">
      <c r="A7587" s="2" t="str">
        <f ca="1">IFERROR(__xludf.DUMMYFUNCTION("""COMPUTED_VALUE"""),"Smith, Kile")</f>
        <v>Smith, Kile</v>
      </c>
      <c r="B7587" s="3">
        <f ca="1">IFERROR(__xludf.DUMMYFUNCTION("""COMPUTED_VALUE"""),1)</f>
        <v>1</v>
      </c>
      <c r="C7587" s="7">
        <f ca="1">IFERROR(__xludf.DUMMYFUNCTION("""COMPUTED_VALUE"""),1)</f>
        <v>1</v>
      </c>
      <c r="D7587" s="8">
        <f ca="1">IFERROR(__xludf.DUMMYFUNCTION("""COMPUTED_VALUE"""),1)</f>
        <v>1</v>
      </c>
      <c r="E7587" s="2">
        <f ca="1">IFERROR(__xludf.DUMMYFUNCTION("""COMPUTED_VALUE"""),1)</f>
        <v>1</v>
      </c>
    </row>
    <row r="7588" spans="1:5" ht="13">
      <c r="A7588" s="2" t="str">
        <f ca="1">IFERROR(__xludf.DUMMYFUNCTION("""COMPUTED_VALUE"""),"Smith, Larry Alan")</f>
        <v>Smith, Larry Alan</v>
      </c>
      <c r="B7588" s="3">
        <f ca="1">IFERROR(__xludf.DUMMYFUNCTION("""COMPUTED_VALUE"""),1)</f>
        <v>1</v>
      </c>
      <c r="C7588" s="7">
        <f ca="1">IFERROR(__xludf.DUMMYFUNCTION("""COMPUTED_VALUE"""),1)</f>
        <v>1</v>
      </c>
      <c r="D7588" s="8">
        <f ca="1">IFERROR(__xludf.DUMMYFUNCTION("""COMPUTED_VALUE"""),1)</f>
        <v>1</v>
      </c>
      <c r="E7588" s="2">
        <f ca="1">IFERROR(__xludf.DUMMYFUNCTION("""COMPUTED_VALUE"""),1)</f>
        <v>1</v>
      </c>
    </row>
    <row r="7589" spans="1:5" ht="13">
      <c r="A7589" s="2" t="str">
        <f ca="1">IFERROR(__xludf.DUMMYFUNCTION("""COMPUTED_VALUE"""),"Smith, Leonard")</f>
        <v>Smith, Leonard</v>
      </c>
      <c r="B7589" s="3">
        <f ca="1">IFERROR(__xludf.DUMMYFUNCTION("""COMPUTED_VALUE"""),1)</f>
        <v>1</v>
      </c>
      <c r="C7589" s="7">
        <f ca="1">IFERROR(__xludf.DUMMYFUNCTION("""COMPUTED_VALUE"""),1)</f>
        <v>1</v>
      </c>
      <c r="D7589" s="8">
        <f ca="1">IFERROR(__xludf.DUMMYFUNCTION("""COMPUTED_VALUE"""),5)</f>
        <v>5</v>
      </c>
      <c r="E7589" s="2">
        <f ca="1">IFERROR(__xludf.DUMMYFUNCTION("""COMPUTED_VALUE"""),2)</f>
        <v>2</v>
      </c>
    </row>
    <row r="7590" spans="1:5" ht="13">
      <c r="A7590" s="2" t="str">
        <f ca="1">IFERROR(__xludf.DUMMYFUNCTION("""COMPUTED_VALUE"""),"Smith, Leonard B.")</f>
        <v>Smith, Leonard B.</v>
      </c>
      <c r="B7590" s="3">
        <f ca="1">IFERROR(__xludf.DUMMYFUNCTION("""COMPUTED_VALUE"""),1)</f>
        <v>1</v>
      </c>
      <c r="C7590" s="7">
        <f ca="1">IFERROR(__xludf.DUMMYFUNCTION("""COMPUTED_VALUE"""),1)</f>
        <v>1</v>
      </c>
      <c r="D7590" s="8">
        <f ca="1">IFERROR(__xludf.DUMMYFUNCTION("""COMPUTED_VALUE"""),5)</f>
        <v>5</v>
      </c>
      <c r="E7590" s="2">
        <f ca="1">IFERROR(__xludf.DUMMYFUNCTION("""COMPUTED_VALUE"""),2)</f>
        <v>2</v>
      </c>
    </row>
    <row r="7591" spans="1:5" ht="13">
      <c r="A7591" s="2" t="str">
        <f ca="1">IFERROR(__xludf.DUMMYFUNCTION("""COMPUTED_VALUE"""),"Smith, M.M. (aka John Kinyon)")</f>
        <v>Smith, M.M. (aka John Kinyon)</v>
      </c>
      <c r="B7591" s="2">
        <f ca="1">IFERROR(__xludf.DUMMYFUNCTION("""COMPUTED_VALUE"""),1)</f>
        <v>1</v>
      </c>
      <c r="C7591" s="7">
        <f ca="1">IFERROR(__xludf.DUMMYFUNCTION("""COMPUTED_VALUE"""),1)</f>
        <v>1</v>
      </c>
      <c r="D7591" s="8">
        <f ca="1">IFERROR(__xludf.DUMMYFUNCTION("""COMPUTED_VALUE"""),5)</f>
        <v>5</v>
      </c>
      <c r="E7591" s="2">
        <f ca="1">IFERROR(__xludf.DUMMYFUNCTION("""COMPUTED_VALUE"""),2)</f>
        <v>2</v>
      </c>
    </row>
    <row r="7592" spans="1:5" ht="13">
      <c r="A7592" s="2" t="str">
        <f ca="1">IFERROR(__xludf.DUMMYFUNCTION("""COMPUTED_VALUE"""),"Smith, Mark")</f>
        <v>Smith, Mark</v>
      </c>
      <c r="B7592" s="3">
        <f ca="1">IFERROR(__xludf.DUMMYFUNCTION("""COMPUTED_VALUE"""),1)</f>
        <v>1</v>
      </c>
      <c r="C7592" s="7">
        <f ca="1">IFERROR(__xludf.DUMMYFUNCTION("""COMPUTED_VALUE"""),1)</f>
        <v>1</v>
      </c>
      <c r="D7592" s="8">
        <f ca="1">IFERROR(__xludf.DUMMYFUNCTION("""COMPUTED_VALUE"""),1)</f>
        <v>1</v>
      </c>
      <c r="E7592" s="2">
        <f ca="1">IFERROR(__xludf.DUMMYFUNCTION("""COMPUTED_VALUE"""),1)</f>
        <v>1</v>
      </c>
    </row>
    <row r="7593" spans="1:5" ht="13">
      <c r="A7593" s="2" t="str">
        <f ca="1">IFERROR(__xludf.DUMMYFUNCTION("""COMPUTED_VALUE"""),"Smith, Michael W.")</f>
        <v>Smith, Michael W.</v>
      </c>
      <c r="B7593" s="3">
        <f ca="1">IFERROR(__xludf.DUMMYFUNCTION("""COMPUTED_VALUE"""),1)</f>
        <v>1</v>
      </c>
      <c r="C7593" s="7">
        <f ca="1">IFERROR(__xludf.DUMMYFUNCTION("""COMPUTED_VALUE"""),1)</f>
        <v>1</v>
      </c>
      <c r="D7593" s="8">
        <f ca="1">IFERROR(__xludf.DUMMYFUNCTION("""COMPUTED_VALUE"""),1)</f>
        <v>1</v>
      </c>
      <c r="E7593" s="2">
        <f ca="1">IFERROR(__xludf.DUMMYFUNCTION("""COMPUTED_VALUE"""),1)</f>
        <v>1</v>
      </c>
    </row>
    <row r="7594" spans="1:5" ht="13">
      <c r="A7594" s="2" t="str">
        <f ca="1">IFERROR(__xludf.DUMMYFUNCTION("""COMPUTED_VALUE"""),"Smith, Nicolas")</f>
        <v>Smith, Nicolas</v>
      </c>
      <c r="B7594" s="3">
        <f ca="1">IFERROR(__xludf.DUMMYFUNCTION("""COMPUTED_VALUE"""),1)</f>
        <v>1</v>
      </c>
      <c r="C7594" s="7">
        <f ca="1">IFERROR(__xludf.DUMMYFUNCTION("""COMPUTED_VALUE"""),1)</f>
        <v>1</v>
      </c>
      <c r="D7594" s="8">
        <f ca="1">IFERROR(__xludf.DUMMYFUNCTION("""COMPUTED_VALUE"""),1)</f>
        <v>1</v>
      </c>
      <c r="E7594" s="2">
        <f ca="1">IFERROR(__xludf.DUMMYFUNCTION("""COMPUTED_VALUE"""),1)</f>
        <v>1</v>
      </c>
    </row>
    <row r="7595" spans="1:5" ht="13">
      <c r="A7595" s="2" t="str">
        <f ca="1">IFERROR(__xludf.DUMMYFUNCTION("""COMPUTED_VALUE"""),"Smith, Rob")</f>
        <v>Smith, Rob</v>
      </c>
      <c r="B7595" s="3">
        <f ca="1">IFERROR(__xludf.DUMMYFUNCTION("""COMPUTED_VALUE"""),1)</f>
        <v>1</v>
      </c>
      <c r="C7595" s="7">
        <f ca="1">IFERROR(__xludf.DUMMYFUNCTION("""COMPUTED_VALUE"""),1)</f>
        <v>1</v>
      </c>
      <c r="D7595" s="8">
        <f ca="1">IFERROR(__xludf.DUMMYFUNCTION("""COMPUTED_VALUE"""),1)</f>
        <v>1</v>
      </c>
      <c r="E7595" s="2">
        <f ca="1">IFERROR(__xludf.DUMMYFUNCTION("""COMPUTED_VALUE"""),1)</f>
        <v>1</v>
      </c>
    </row>
    <row r="7596" spans="1:5" ht="13">
      <c r="A7596" s="2" t="str">
        <f ca="1">IFERROR(__xludf.DUMMYFUNCTION("""COMPUTED_VALUE"""),"Smith, Robert")</f>
        <v>Smith, Robert</v>
      </c>
      <c r="B7596" s="3">
        <f ca="1">IFERROR(__xludf.DUMMYFUNCTION("""COMPUTED_VALUE"""),1)</f>
        <v>1</v>
      </c>
      <c r="C7596" s="7">
        <f ca="1">IFERROR(__xludf.DUMMYFUNCTION("""COMPUTED_VALUE"""),1)</f>
        <v>1</v>
      </c>
      <c r="D7596" s="8">
        <f ca="1">IFERROR(__xludf.DUMMYFUNCTION("""COMPUTED_VALUE"""),1)</f>
        <v>1</v>
      </c>
      <c r="E7596" s="2">
        <f ca="1">IFERROR(__xludf.DUMMYFUNCTION("""COMPUTED_VALUE"""),1)</f>
        <v>1</v>
      </c>
    </row>
    <row r="7597" spans="1:5" ht="13">
      <c r="A7597" s="2" t="str">
        <f ca="1">IFERROR(__xludf.DUMMYFUNCTION("""COMPUTED_VALUE"""),"Smith, Robert Edward")</f>
        <v>Smith, Robert Edward</v>
      </c>
      <c r="B7597" s="3">
        <f ca="1">IFERROR(__xludf.DUMMYFUNCTION("""COMPUTED_VALUE"""),1)</f>
        <v>1</v>
      </c>
      <c r="C7597" s="7">
        <f ca="1">IFERROR(__xludf.DUMMYFUNCTION("""COMPUTED_VALUE"""),1)</f>
        <v>1</v>
      </c>
      <c r="D7597" s="8">
        <f ca="1">IFERROR(__xludf.DUMMYFUNCTION("""COMPUTED_VALUE"""),1)</f>
        <v>1</v>
      </c>
      <c r="E7597" s="2">
        <f ca="1">IFERROR(__xludf.DUMMYFUNCTION("""COMPUTED_VALUE"""),1)</f>
        <v>1</v>
      </c>
    </row>
    <row r="7598" spans="1:5" ht="13">
      <c r="A7598" s="2" t="str">
        <f ca="1">IFERROR(__xludf.DUMMYFUNCTION("""COMPUTED_VALUE"""),"Smith, Robert W.")</f>
        <v>Smith, Robert W.</v>
      </c>
      <c r="B7598" s="3">
        <f ca="1">IFERROR(__xludf.DUMMYFUNCTION("""COMPUTED_VALUE"""),1)</f>
        <v>1</v>
      </c>
      <c r="C7598" s="7">
        <f ca="1">IFERROR(__xludf.DUMMYFUNCTION("""COMPUTED_VALUE"""),1)</f>
        <v>1</v>
      </c>
      <c r="D7598" s="8">
        <f ca="1">IFERROR(__xludf.DUMMYFUNCTION("""COMPUTED_VALUE"""),5)</f>
        <v>5</v>
      </c>
      <c r="E7598" s="2">
        <f ca="1">IFERROR(__xludf.DUMMYFUNCTION("""COMPUTED_VALUE"""),2)</f>
        <v>2</v>
      </c>
    </row>
    <row r="7599" spans="1:5" ht="13">
      <c r="A7599" s="2" t="str">
        <f ca="1">IFERROR(__xludf.DUMMYFUNCTION("""COMPUTED_VALUE"""),"Smith, Robert W. / Story, Michael")</f>
        <v>Smith, Robert W. / Story, Michael</v>
      </c>
      <c r="B7599" s="2">
        <f ca="1">IFERROR(__xludf.DUMMYFUNCTION("""COMPUTED_VALUE"""),1)</f>
        <v>1</v>
      </c>
      <c r="C7599" s="2">
        <f ca="1">IFERROR(__xludf.DUMMYFUNCTION("""COMPUTED_VALUE"""),1)</f>
        <v>1</v>
      </c>
      <c r="D7599" s="8">
        <f ca="1">IFERROR(__xludf.DUMMYFUNCTION("""COMPUTED_VALUE"""),5)</f>
        <v>5</v>
      </c>
      <c r="E7599" s="2">
        <f ca="1">IFERROR(__xludf.DUMMYFUNCTION("""COMPUTED_VALUE"""),2)</f>
        <v>2</v>
      </c>
    </row>
    <row r="7600" spans="1:5" ht="13">
      <c r="A7600" s="8" t="str">
        <f ca="1">IFERROR(__xludf.DUMMYFUNCTION("""COMPUTED_VALUE"""),"Smith, Seymour")</f>
        <v>Smith, Seymour</v>
      </c>
      <c r="B7600" s="3">
        <f ca="1">IFERROR(__xludf.DUMMYFUNCTION("""COMPUTED_VALUE"""),1)</f>
        <v>1</v>
      </c>
      <c r="C7600" s="7">
        <f ca="1">IFERROR(__xludf.DUMMYFUNCTION("""COMPUTED_VALUE"""),1)</f>
        <v>1</v>
      </c>
      <c r="D7600" s="8">
        <f ca="1">IFERROR(__xludf.DUMMYFUNCTION("""COMPUTED_VALUE"""),5)</f>
        <v>5</v>
      </c>
      <c r="E7600" s="2">
        <f ca="1">IFERROR(__xludf.DUMMYFUNCTION("""COMPUTED_VALUE"""),2)</f>
        <v>2</v>
      </c>
    </row>
    <row r="7601" spans="1:5" ht="13">
      <c r="A7601" s="2" t="str">
        <f ca="1">IFERROR(__xludf.DUMMYFUNCTION("""COMPUTED_VALUE"""),"Smith, Stephan")</f>
        <v>Smith, Stephan</v>
      </c>
      <c r="B7601" s="3">
        <f ca="1">IFERROR(__xludf.DUMMYFUNCTION("""COMPUTED_VALUE"""),1)</f>
        <v>1</v>
      </c>
      <c r="C7601" s="7">
        <f ca="1">IFERROR(__xludf.DUMMYFUNCTION("""COMPUTED_VALUE"""),1)</f>
        <v>1</v>
      </c>
      <c r="D7601" s="8">
        <f ca="1">IFERROR(__xludf.DUMMYFUNCTION("""COMPUTED_VALUE"""),1)</f>
        <v>1</v>
      </c>
      <c r="E7601" s="2">
        <f ca="1">IFERROR(__xludf.DUMMYFUNCTION("""COMPUTED_VALUE"""),1)</f>
        <v>1</v>
      </c>
    </row>
    <row r="7602" spans="1:5" ht="13">
      <c r="A7602" s="8" t="str">
        <f ca="1">IFERROR(__xludf.DUMMYFUNCTION("""COMPUTED_VALUE"""),"Smith, Stephen")</f>
        <v>Smith, Stephen</v>
      </c>
      <c r="B7602" s="3">
        <f ca="1">IFERROR(__xludf.DUMMYFUNCTION("""COMPUTED_VALUE"""),1)</f>
        <v>1</v>
      </c>
      <c r="C7602" s="7">
        <f ca="1">IFERROR(__xludf.DUMMYFUNCTION("""COMPUTED_VALUE"""),1)</f>
        <v>1</v>
      </c>
      <c r="D7602" s="8">
        <f ca="1">IFERROR(__xludf.DUMMYFUNCTION("""COMPUTED_VALUE"""),1)</f>
        <v>1</v>
      </c>
      <c r="E7602" s="2">
        <f ca="1">IFERROR(__xludf.DUMMYFUNCTION("""COMPUTED_VALUE"""),1)</f>
        <v>1</v>
      </c>
    </row>
    <row r="7603" spans="1:5" ht="13">
      <c r="A7603" s="2" t="str">
        <f ca="1">IFERROR(__xludf.DUMMYFUNCTION("""COMPUTED_VALUE"""),"Smith, Steve")</f>
        <v>Smith, Steve</v>
      </c>
      <c r="B7603" s="3">
        <f ca="1">IFERROR(__xludf.DUMMYFUNCTION("""COMPUTED_VALUE"""),1)</f>
        <v>1</v>
      </c>
      <c r="C7603" s="7">
        <f ca="1">IFERROR(__xludf.DUMMYFUNCTION("""COMPUTED_VALUE"""),1)</f>
        <v>1</v>
      </c>
      <c r="D7603" s="8">
        <f ca="1">IFERROR(__xludf.DUMMYFUNCTION("""COMPUTED_VALUE"""),1)</f>
        <v>1</v>
      </c>
      <c r="E7603" s="2">
        <f ca="1">IFERROR(__xludf.DUMMYFUNCTION("""COMPUTED_VALUE"""),1)</f>
        <v>1</v>
      </c>
    </row>
    <row r="7604" spans="1:5" ht="13">
      <c r="A7604" s="2" t="str">
        <f ca="1">IFERROR(__xludf.DUMMYFUNCTION("""COMPUTED_VALUE"""),"Smith, Terry")</f>
        <v>Smith, Terry</v>
      </c>
      <c r="B7604" s="3">
        <f ca="1">IFERROR(__xludf.DUMMYFUNCTION("""COMPUTED_VALUE"""),1)</f>
        <v>1</v>
      </c>
      <c r="C7604" s="7">
        <f ca="1">IFERROR(__xludf.DUMMYFUNCTION("""COMPUTED_VALUE"""),1)</f>
        <v>1</v>
      </c>
      <c r="D7604" s="8">
        <f ca="1">IFERROR(__xludf.DUMMYFUNCTION("""COMPUTED_VALUE"""),1)</f>
        <v>1</v>
      </c>
      <c r="E7604" s="2">
        <f ca="1">IFERROR(__xludf.DUMMYFUNCTION("""COMPUTED_VALUE"""),1)</f>
        <v>1</v>
      </c>
    </row>
    <row r="7605" spans="1:5" ht="13">
      <c r="A7605" s="8" t="str">
        <f ca="1">IFERROR(__xludf.DUMMYFUNCTION("""COMPUTED_VALUE"""),"Smith, Todd")</f>
        <v>Smith, Todd</v>
      </c>
      <c r="B7605" s="3">
        <f ca="1">IFERROR(__xludf.DUMMYFUNCTION("""COMPUTED_VALUE"""),1)</f>
        <v>1</v>
      </c>
      <c r="C7605" s="7">
        <f ca="1">IFERROR(__xludf.DUMMYFUNCTION("""COMPUTED_VALUE"""),1)</f>
        <v>1</v>
      </c>
      <c r="D7605" s="8">
        <f ca="1">IFERROR(__xludf.DUMMYFUNCTION("""COMPUTED_VALUE"""),1)</f>
        <v>1</v>
      </c>
      <c r="E7605" s="2">
        <f ca="1">IFERROR(__xludf.DUMMYFUNCTION("""COMPUTED_VALUE"""),1)</f>
        <v>1</v>
      </c>
    </row>
    <row r="7606" spans="1:5" ht="13">
      <c r="A7606" s="2" t="str">
        <f ca="1">IFERROR(__xludf.DUMMYFUNCTION("""COMPUTED_VALUE"""),"Smith, Trevor")</f>
        <v>Smith, Trevor</v>
      </c>
      <c r="B7606" s="3">
        <f ca="1">IFERROR(__xludf.DUMMYFUNCTION("""COMPUTED_VALUE"""),1)</f>
        <v>1</v>
      </c>
      <c r="C7606" s="7">
        <f ca="1">IFERROR(__xludf.DUMMYFUNCTION("""COMPUTED_VALUE"""),1)</f>
        <v>1</v>
      </c>
      <c r="D7606" s="8">
        <f ca="1">IFERROR(__xludf.DUMMYFUNCTION("""COMPUTED_VALUE"""),1)</f>
        <v>1</v>
      </c>
      <c r="E7606" s="2">
        <f ca="1">IFERROR(__xludf.DUMMYFUNCTION("""COMPUTED_VALUE"""),1)</f>
        <v>1</v>
      </c>
    </row>
    <row r="7607" spans="1:5" ht="13">
      <c r="A7607" s="2" t="str">
        <f ca="1">IFERROR(__xludf.DUMMYFUNCTION("""COMPUTED_VALUE"""),"Smith, Walter M.")</f>
        <v>Smith, Walter M.</v>
      </c>
      <c r="B7607" s="2">
        <f ca="1">IFERROR(__xludf.DUMMYFUNCTION("""COMPUTED_VALUE"""),1)</f>
        <v>1</v>
      </c>
      <c r="C7607" s="7">
        <f ca="1">IFERROR(__xludf.DUMMYFUNCTION("""COMPUTED_VALUE"""),1)</f>
        <v>1</v>
      </c>
      <c r="D7607" s="8">
        <f ca="1">IFERROR(__xludf.DUMMYFUNCTION("""COMPUTED_VALUE"""),5)</f>
        <v>5</v>
      </c>
      <c r="E7607" s="2">
        <f ca="1">IFERROR(__xludf.DUMMYFUNCTION("""COMPUTED_VALUE"""),2)</f>
        <v>2</v>
      </c>
    </row>
    <row r="7608" spans="1:5" ht="13">
      <c r="A7608" s="8" t="str">
        <f ca="1">IFERROR(__xludf.DUMMYFUNCTION("""COMPUTED_VALUE"""),"Smith, William Henry")</f>
        <v>Smith, William Henry</v>
      </c>
      <c r="B7608" s="3">
        <f ca="1">IFERROR(__xludf.DUMMYFUNCTION("""COMPUTED_VALUE"""),1)</f>
        <v>1</v>
      </c>
      <c r="C7608" s="7">
        <f ca="1">IFERROR(__xludf.DUMMYFUNCTION("""COMPUTED_VALUE"""),1)</f>
        <v>1</v>
      </c>
      <c r="D7608" s="8">
        <f ca="1">IFERROR(__xludf.DUMMYFUNCTION("""COMPUTED_VALUE"""),5)</f>
        <v>5</v>
      </c>
      <c r="E7608" s="2">
        <f ca="1">IFERROR(__xludf.DUMMYFUNCTION("""COMPUTED_VALUE"""),2)</f>
        <v>2</v>
      </c>
    </row>
    <row r="7609" spans="1:5" ht="13">
      <c r="A7609" s="2" t="str">
        <f ca="1">IFERROR(__xludf.DUMMYFUNCTION("""COMPUTED_VALUE"""),"Smith, Zachary")</f>
        <v>Smith, Zachary</v>
      </c>
      <c r="B7609" s="3">
        <f ca="1">IFERROR(__xludf.DUMMYFUNCTION("""COMPUTED_VALUE"""),1)</f>
        <v>1</v>
      </c>
      <c r="C7609" s="7">
        <f ca="1">IFERROR(__xludf.DUMMYFUNCTION("""COMPUTED_VALUE"""),1)</f>
        <v>1</v>
      </c>
      <c r="D7609" s="8">
        <f ca="1">IFERROR(__xludf.DUMMYFUNCTION("""COMPUTED_VALUE"""),1)</f>
        <v>1</v>
      </c>
      <c r="E7609" s="2">
        <f ca="1">IFERROR(__xludf.DUMMYFUNCTION("""COMPUTED_VALUE"""),1)</f>
        <v>1</v>
      </c>
    </row>
    <row r="7610" spans="1:5" ht="13">
      <c r="A7610" s="8" t="str">
        <f ca="1">IFERROR(__xludf.DUMMYFUNCTION("""COMPUTED_VALUE"""),"Smolanoff, Michael")</f>
        <v>Smolanoff, Michael</v>
      </c>
      <c r="B7610" s="3">
        <f ca="1">IFERROR(__xludf.DUMMYFUNCTION("""COMPUTED_VALUE"""),1)</f>
        <v>1</v>
      </c>
      <c r="C7610" s="7">
        <f ca="1">IFERROR(__xludf.DUMMYFUNCTION("""COMPUTED_VALUE"""),1)</f>
        <v>1</v>
      </c>
      <c r="D7610" s="8">
        <f ca="1">IFERROR(__xludf.DUMMYFUNCTION("""COMPUTED_VALUE"""),1)</f>
        <v>1</v>
      </c>
      <c r="E7610" s="2">
        <f ca="1">IFERROR(__xludf.DUMMYFUNCTION("""COMPUTED_VALUE"""),1)</f>
        <v>1</v>
      </c>
    </row>
    <row r="7611" spans="1:5" ht="13">
      <c r="A7611" s="2" t="str">
        <f ca="1">IFERROR(__xludf.DUMMYFUNCTION("""COMPUTED_VALUE"""),"Smolenski, Danny")</f>
        <v>Smolenski, Danny</v>
      </c>
      <c r="B7611" s="3">
        <f ca="1">IFERROR(__xludf.DUMMYFUNCTION("""COMPUTED_VALUE"""),1)</f>
        <v>1</v>
      </c>
      <c r="C7611" s="7">
        <f ca="1">IFERROR(__xludf.DUMMYFUNCTION("""COMPUTED_VALUE"""),1)</f>
        <v>1</v>
      </c>
      <c r="D7611" s="8">
        <f ca="1">IFERROR(__xludf.DUMMYFUNCTION("""COMPUTED_VALUE"""),1)</f>
        <v>1</v>
      </c>
      <c r="E7611" s="2">
        <f ca="1">IFERROR(__xludf.DUMMYFUNCTION("""COMPUTED_VALUE"""),1)</f>
        <v>1</v>
      </c>
    </row>
    <row r="7612" spans="1:5" ht="13">
      <c r="A7612" s="2" t="str">
        <f ca="1">IFERROR(__xludf.DUMMYFUNCTION("""COMPUTED_VALUE"""),"Smukal, Mike")</f>
        <v>Smukal, Mike</v>
      </c>
      <c r="B7612" s="2">
        <f ca="1">IFERROR(__xludf.DUMMYFUNCTION("""COMPUTED_VALUE"""),1)</f>
        <v>1</v>
      </c>
      <c r="C7612" s="7">
        <f ca="1">IFERROR(__xludf.DUMMYFUNCTION("""COMPUTED_VALUE"""),1)</f>
        <v>1</v>
      </c>
      <c r="D7612" s="8">
        <f ca="1">IFERROR(__xludf.DUMMYFUNCTION("""COMPUTED_VALUE"""),5)</f>
        <v>5</v>
      </c>
      <c r="E7612" s="2">
        <f ca="1">IFERROR(__xludf.DUMMYFUNCTION("""COMPUTED_VALUE"""),2)</f>
        <v>2</v>
      </c>
    </row>
    <row r="7613" spans="1:5" ht="13">
      <c r="A7613" s="2" t="str">
        <f ca="1">IFERROR(__xludf.DUMMYFUNCTION("""COMPUTED_VALUE"""),"Snavely, Jack")</f>
        <v>Snavely, Jack</v>
      </c>
      <c r="B7613" s="3">
        <f ca="1">IFERROR(__xludf.DUMMYFUNCTION("""COMPUTED_VALUE"""),1)</f>
        <v>1</v>
      </c>
      <c r="C7613" s="7">
        <f ca="1">IFERROR(__xludf.DUMMYFUNCTION("""COMPUTED_VALUE"""),1)</f>
        <v>1</v>
      </c>
      <c r="D7613" s="8">
        <f ca="1">IFERROR(__xludf.DUMMYFUNCTION("""COMPUTED_VALUE"""),1)</f>
        <v>1</v>
      </c>
      <c r="E7613" s="2">
        <f ca="1">IFERROR(__xludf.DUMMYFUNCTION("""COMPUTED_VALUE"""),1)</f>
        <v>1</v>
      </c>
    </row>
    <row r="7614" spans="1:5" ht="13">
      <c r="A7614" s="2" t="str">
        <f ca="1">IFERROR(__xludf.DUMMYFUNCTION("""COMPUTED_VALUE"""),"Snedecor, Phil")</f>
        <v>Snedecor, Phil</v>
      </c>
      <c r="B7614" s="3">
        <f ca="1">IFERROR(__xludf.DUMMYFUNCTION("""COMPUTED_VALUE"""),1)</f>
        <v>1</v>
      </c>
      <c r="C7614" s="7">
        <f ca="1">IFERROR(__xludf.DUMMYFUNCTION("""COMPUTED_VALUE"""),1)</f>
        <v>1</v>
      </c>
      <c r="D7614" s="8">
        <f ca="1">IFERROR(__xludf.DUMMYFUNCTION("""COMPUTED_VALUE"""),1)</f>
        <v>1</v>
      </c>
      <c r="E7614" s="2">
        <f ca="1">IFERROR(__xludf.DUMMYFUNCTION("""COMPUTED_VALUE"""),1)</f>
        <v>1</v>
      </c>
    </row>
    <row r="7615" spans="1:5" ht="13">
      <c r="A7615" s="8" t="str">
        <f ca="1">IFERROR(__xludf.DUMMYFUNCTION("""COMPUTED_VALUE"""),"Snedeker, Jeffrey")</f>
        <v>Snedeker, Jeffrey</v>
      </c>
      <c r="B7615" s="3">
        <f ca="1">IFERROR(__xludf.DUMMYFUNCTION("""COMPUTED_VALUE"""),1)</f>
        <v>1</v>
      </c>
      <c r="C7615" s="7">
        <f ca="1">IFERROR(__xludf.DUMMYFUNCTION("""COMPUTED_VALUE"""),1)</f>
        <v>1</v>
      </c>
      <c r="D7615" s="8">
        <f ca="1">IFERROR(__xludf.DUMMYFUNCTION("""COMPUTED_VALUE"""),1)</f>
        <v>1</v>
      </c>
      <c r="E7615" s="2">
        <f ca="1">IFERROR(__xludf.DUMMYFUNCTION("""COMPUTED_VALUE"""),1)</f>
        <v>1</v>
      </c>
    </row>
    <row r="7616" spans="1:5" ht="13">
      <c r="A7616" s="2" t="str">
        <f ca="1">IFERROR(__xludf.DUMMYFUNCTION("""COMPUTED_VALUE"""),"Snelgrove, Michael")</f>
        <v>Snelgrove, Michael</v>
      </c>
      <c r="B7616" s="3">
        <f ca="1">IFERROR(__xludf.DUMMYFUNCTION("""COMPUTED_VALUE"""),1)</f>
        <v>1</v>
      </c>
      <c r="C7616" s="7">
        <f ca="1">IFERROR(__xludf.DUMMYFUNCTION("""COMPUTED_VALUE"""),1)</f>
        <v>1</v>
      </c>
      <c r="D7616" s="8">
        <f ca="1">IFERROR(__xludf.DUMMYFUNCTION("""COMPUTED_VALUE"""),1)</f>
        <v>1</v>
      </c>
      <c r="E7616" s="2">
        <f ca="1">IFERROR(__xludf.DUMMYFUNCTION("""COMPUTED_VALUE"""),1)</f>
        <v>1</v>
      </c>
    </row>
    <row r="7617" spans="1:5" ht="13">
      <c r="A7617" s="2" t="str">
        <f ca="1">IFERROR(__xludf.DUMMYFUNCTION("""COMPUTED_VALUE"""),"Snidero, Jim")</f>
        <v>Snidero, Jim</v>
      </c>
      <c r="B7617" s="3">
        <f ca="1">IFERROR(__xludf.DUMMYFUNCTION("""COMPUTED_VALUE"""),1)</f>
        <v>1</v>
      </c>
      <c r="C7617" s="7">
        <f ca="1">IFERROR(__xludf.DUMMYFUNCTION("""COMPUTED_VALUE"""),1)</f>
        <v>1</v>
      </c>
      <c r="D7617" s="8">
        <f ca="1">IFERROR(__xludf.DUMMYFUNCTION("""COMPUTED_VALUE"""),1)</f>
        <v>1</v>
      </c>
      <c r="E7617" s="2">
        <f ca="1">IFERROR(__xludf.DUMMYFUNCTION("""COMPUTED_VALUE"""),1)</f>
        <v>1</v>
      </c>
    </row>
    <row r="7618" spans="1:5" ht="13">
      <c r="A7618" s="2" t="str">
        <f ca="1">IFERROR(__xludf.DUMMYFUNCTION("""COMPUTED_VALUE"""),"Snoeck, Kenneth")</f>
        <v>Snoeck, Kenneth</v>
      </c>
      <c r="B7618" s="3">
        <f ca="1">IFERROR(__xludf.DUMMYFUNCTION("""COMPUTED_VALUE"""),1)</f>
        <v>1</v>
      </c>
      <c r="C7618" s="7">
        <f ca="1">IFERROR(__xludf.DUMMYFUNCTION("""COMPUTED_VALUE"""),1)</f>
        <v>1</v>
      </c>
      <c r="D7618" s="8">
        <f ca="1">IFERROR(__xludf.DUMMYFUNCTION("""COMPUTED_VALUE"""),1)</f>
        <v>1</v>
      </c>
      <c r="E7618" s="2">
        <f ca="1">IFERROR(__xludf.DUMMYFUNCTION("""COMPUTED_VALUE"""),1)</f>
        <v>1</v>
      </c>
    </row>
    <row r="7619" spans="1:5" ht="13">
      <c r="A7619" s="2" t="str">
        <f ca="1">IFERROR(__xludf.DUMMYFUNCTION("""COMPUTED_VALUE"""),"Snowden, Steven")</f>
        <v>Snowden, Steven</v>
      </c>
      <c r="B7619" s="3">
        <f ca="1">IFERROR(__xludf.DUMMYFUNCTION("""COMPUTED_VALUE"""),1)</f>
        <v>1</v>
      </c>
      <c r="C7619" s="7">
        <f ca="1">IFERROR(__xludf.DUMMYFUNCTION("""COMPUTED_VALUE"""),1)</f>
        <v>1</v>
      </c>
      <c r="D7619" s="8">
        <f ca="1">IFERROR(__xludf.DUMMYFUNCTION("""COMPUTED_VALUE"""),1)</f>
        <v>1</v>
      </c>
      <c r="E7619" s="2">
        <f ca="1">IFERROR(__xludf.DUMMYFUNCTION("""COMPUTED_VALUE"""),1)</f>
        <v>1</v>
      </c>
    </row>
    <row r="7620" spans="1:5" ht="13">
      <c r="A7620" s="2" t="str">
        <f ca="1">IFERROR(__xludf.DUMMYFUNCTION("""COMPUTED_VALUE"""),"Snyder, Timothy")</f>
        <v>Snyder, Timothy</v>
      </c>
      <c r="B7620" s="3">
        <f ca="1">IFERROR(__xludf.DUMMYFUNCTION("""COMPUTED_VALUE"""),1)</f>
        <v>1</v>
      </c>
      <c r="C7620" s="7">
        <f ca="1">IFERROR(__xludf.DUMMYFUNCTION("""COMPUTED_VALUE"""),1)</f>
        <v>1</v>
      </c>
      <c r="D7620" s="8">
        <f ca="1">IFERROR(__xludf.DUMMYFUNCTION("""COMPUTED_VALUE"""),1)</f>
        <v>1</v>
      </c>
      <c r="E7620" s="2">
        <f ca="1">IFERROR(__xludf.DUMMYFUNCTION("""COMPUTED_VALUE"""),1)</f>
        <v>1</v>
      </c>
    </row>
    <row r="7621" spans="1:5" ht="13">
      <c r="A7621" s="2" t="str">
        <f ca="1">IFERROR(__xludf.DUMMYFUNCTION("""COMPUTED_VALUE"""),"Sochinski, James")</f>
        <v>Sochinski, James</v>
      </c>
      <c r="B7621" s="3">
        <f ca="1">IFERROR(__xludf.DUMMYFUNCTION("""COMPUTED_VALUE"""),1)</f>
        <v>1</v>
      </c>
      <c r="C7621" s="7">
        <f ca="1">IFERROR(__xludf.DUMMYFUNCTION("""COMPUTED_VALUE"""),1)</f>
        <v>1</v>
      </c>
      <c r="D7621" s="8">
        <f ca="1">IFERROR(__xludf.DUMMYFUNCTION("""COMPUTED_VALUE"""),1)</f>
        <v>1</v>
      </c>
      <c r="E7621" s="2">
        <f ca="1">IFERROR(__xludf.DUMMYFUNCTION("""COMPUTED_VALUE"""),1)</f>
        <v>1</v>
      </c>
    </row>
    <row r="7622" spans="1:5" ht="13">
      <c r="A7622" s="2" t="str">
        <f ca="1">IFERROR(__xludf.DUMMYFUNCTION("""COMPUTED_VALUE"""),"Söderman, August")</f>
        <v>Söderman, August</v>
      </c>
      <c r="B7622" s="2">
        <f ca="1">IFERROR(__xludf.DUMMYFUNCTION("""COMPUTED_VALUE"""),1)</f>
        <v>1</v>
      </c>
      <c r="C7622" s="7">
        <f ca="1">IFERROR(__xludf.DUMMYFUNCTION("""COMPUTED_VALUE"""),1)</f>
        <v>1</v>
      </c>
      <c r="D7622" s="8">
        <f ca="1">IFERROR(__xludf.DUMMYFUNCTION("""COMPUTED_VALUE"""),5)</f>
        <v>5</v>
      </c>
      <c r="E7622" s="2">
        <f ca="1">IFERROR(__xludf.DUMMYFUNCTION("""COMPUTED_VALUE"""),2)</f>
        <v>2</v>
      </c>
    </row>
    <row r="7623" spans="1:5" ht="13">
      <c r="A7623" s="2" t="str">
        <f ca="1">IFERROR(__xludf.DUMMYFUNCTION("""COMPUTED_VALUE"""),"Soderwall, Ron")</f>
        <v>Soderwall, Ron</v>
      </c>
      <c r="B7623" s="3">
        <f ca="1">IFERROR(__xludf.DUMMYFUNCTION("""COMPUTED_VALUE"""),1)</f>
        <v>1</v>
      </c>
      <c r="C7623" s="7">
        <f ca="1">IFERROR(__xludf.DUMMYFUNCTION("""COMPUTED_VALUE"""),1)</f>
        <v>1</v>
      </c>
      <c r="D7623" s="8">
        <f ca="1">IFERROR(__xludf.DUMMYFUNCTION("""COMPUTED_VALUE"""),1)</f>
        <v>1</v>
      </c>
      <c r="E7623" s="2">
        <f ca="1">IFERROR(__xludf.DUMMYFUNCTION("""COMPUTED_VALUE"""),1)</f>
        <v>1</v>
      </c>
    </row>
    <row r="7624" spans="1:5" ht="13">
      <c r="A7624" s="2" t="str">
        <f ca="1">IFERROR(__xludf.DUMMYFUNCTION("""COMPUTED_VALUE"""),"Sokol, Jonathan")</f>
        <v>Sokol, Jonathan</v>
      </c>
      <c r="B7624" s="3">
        <f ca="1">IFERROR(__xludf.DUMMYFUNCTION("""COMPUTED_VALUE"""),1)</f>
        <v>1</v>
      </c>
      <c r="C7624" s="7">
        <f ca="1">IFERROR(__xludf.DUMMYFUNCTION("""COMPUTED_VALUE"""),1)</f>
        <v>1</v>
      </c>
      <c r="D7624" s="8">
        <f ca="1">IFERROR(__xludf.DUMMYFUNCTION("""COMPUTED_VALUE"""),1)</f>
        <v>1</v>
      </c>
      <c r="E7624" s="2">
        <f ca="1">IFERROR(__xludf.DUMMYFUNCTION("""COMPUTED_VALUE"""),1)</f>
        <v>1</v>
      </c>
    </row>
    <row r="7625" spans="1:5" ht="13">
      <c r="A7625" s="8" t="str">
        <f ca="1">IFERROR(__xludf.DUMMYFUNCTION("""COMPUTED_VALUE"""),"Sokol, Vilem")</f>
        <v>Sokol, Vilem</v>
      </c>
      <c r="B7625" s="2">
        <f ca="1">IFERROR(__xludf.DUMMYFUNCTION("""COMPUTED_VALUE"""),1)</f>
        <v>1</v>
      </c>
      <c r="C7625" s="7">
        <f ca="1">IFERROR(__xludf.DUMMYFUNCTION("""COMPUTED_VALUE"""),1)</f>
        <v>1</v>
      </c>
      <c r="D7625" s="8">
        <f ca="1">IFERROR(__xludf.DUMMYFUNCTION("""COMPUTED_VALUE"""),5)</f>
        <v>5</v>
      </c>
      <c r="E7625" s="2">
        <f ca="1">IFERROR(__xludf.DUMMYFUNCTION("""COMPUTED_VALUE"""),2)</f>
        <v>2</v>
      </c>
    </row>
    <row r="7626" spans="1:5" ht="13">
      <c r="A7626" s="2" t="str">
        <f ca="1">IFERROR(__xludf.DUMMYFUNCTION("""COMPUTED_VALUE"""),"Sole, Emilio")</f>
        <v>Sole, Emilio</v>
      </c>
      <c r="B7626" s="3">
        <f ca="1">IFERROR(__xludf.DUMMYFUNCTION("""COMPUTED_VALUE"""),1)</f>
        <v>1</v>
      </c>
      <c r="C7626" s="7">
        <f ca="1">IFERROR(__xludf.DUMMYFUNCTION("""COMPUTED_VALUE"""),1)</f>
        <v>1</v>
      </c>
      <c r="D7626" s="8">
        <f ca="1">IFERROR(__xludf.DUMMYFUNCTION("""COMPUTED_VALUE"""),1)</f>
        <v>1</v>
      </c>
      <c r="E7626" s="2">
        <f ca="1">IFERROR(__xludf.DUMMYFUNCTION("""COMPUTED_VALUE"""),1)</f>
        <v>1</v>
      </c>
    </row>
    <row r="7627" spans="1:5" ht="13">
      <c r="A7627" s="2" t="str">
        <f ca="1">IFERROR(__xludf.DUMMYFUNCTION("""COMPUTED_VALUE"""),"Soler, Antonio")</f>
        <v>Soler, Antonio</v>
      </c>
      <c r="B7627" s="2">
        <f ca="1">IFERROR(__xludf.DUMMYFUNCTION("""COMPUTED_VALUE"""),1)</f>
        <v>1</v>
      </c>
      <c r="C7627" s="7">
        <f ca="1">IFERROR(__xludf.DUMMYFUNCTION("""COMPUTED_VALUE"""),1)</f>
        <v>1</v>
      </c>
      <c r="D7627" s="8">
        <f ca="1">IFERROR(__xludf.DUMMYFUNCTION("""COMPUTED_VALUE"""),5)</f>
        <v>5</v>
      </c>
      <c r="E7627" s="2">
        <f ca="1">IFERROR(__xludf.DUMMYFUNCTION("""COMPUTED_VALUE"""),2)</f>
        <v>2</v>
      </c>
    </row>
    <row r="7628" spans="1:5" ht="13">
      <c r="A7628" s="2" t="str">
        <f ca="1">IFERROR(__xludf.DUMMYFUNCTION("""COMPUTED_VALUE"""),"Sollima, Giovanni")</f>
        <v>Sollima, Giovanni</v>
      </c>
      <c r="B7628" s="3">
        <f ca="1">IFERROR(__xludf.DUMMYFUNCTION("""COMPUTED_VALUE"""),1)</f>
        <v>1</v>
      </c>
      <c r="C7628" s="7">
        <f ca="1">IFERROR(__xludf.DUMMYFUNCTION("""COMPUTED_VALUE"""),1)</f>
        <v>1</v>
      </c>
      <c r="D7628" s="8">
        <f ca="1">IFERROR(__xludf.DUMMYFUNCTION("""COMPUTED_VALUE"""),1)</f>
        <v>1</v>
      </c>
      <c r="E7628" s="2">
        <f ca="1">IFERROR(__xludf.DUMMYFUNCTION("""COMPUTED_VALUE"""),1)</f>
        <v>1</v>
      </c>
    </row>
    <row r="7629" spans="1:5" ht="13">
      <c r="A7629" s="8" t="str">
        <f ca="1">IFERROR(__xludf.DUMMYFUNCTION("""COMPUTED_VALUE"""),"Solo, Emilio")</f>
        <v>Solo, Emilio</v>
      </c>
      <c r="B7629" s="3">
        <f ca="1">IFERROR(__xludf.DUMMYFUNCTION("""COMPUTED_VALUE"""),1)</f>
        <v>1</v>
      </c>
      <c r="C7629" s="7">
        <f ca="1">IFERROR(__xludf.DUMMYFUNCTION("""COMPUTED_VALUE"""),1)</f>
        <v>1</v>
      </c>
      <c r="D7629" s="8">
        <f ca="1">IFERROR(__xludf.DUMMYFUNCTION("""COMPUTED_VALUE"""),1)</f>
        <v>1</v>
      </c>
      <c r="E7629" s="2">
        <f ca="1">IFERROR(__xludf.DUMMYFUNCTION("""COMPUTED_VALUE"""),1)</f>
        <v>1</v>
      </c>
    </row>
    <row r="7630" spans="1:5" ht="13">
      <c r="A7630" s="8" t="str">
        <f ca="1">IFERROR(__xludf.DUMMYFUNCTION("""COMPUTED_VALUE"""),"Soloviev-Sedoy, Vasily")</f>
        <v>Soloviev-Sedoy, Vasily</v>
      </c>
      <c r="B7630" s="2">
        <f ca="1">IFERROR(__xludf.DUMMYFUNCTION("""COMPUTED_VALUE"""),1)</f>
        <v>1</v>
      </c>
      <c r="C7630" s="7">
        <f ca="1">IFERROR(__xludf.DUMMYFUNCTION("""COMPUTED_VALUE"""),1)</f>
        <v>1</v>
      </c>
      <c r="D7630" s="8">
        <f ca="1">IFERROR(__xludf.DUMMYFUNCTION("""COMPUTED_VALUE"""),5)</f>
        <v>5</v>
      </c>
      <c r="E7630" s="2">
        <f ca="1">IFERROR(__xludf.DUMMYFUNCTION("""COMPUTED_VALUE"""),2)</f>
        <v>2</v>
      </c>
    </row>
    <row r="7631" spans="1:5" ht="13">
      <c r="A7631" s="8" t="str">
        <f ca="1">IFERROR(__xludf.DUMMYFUNCTION("""COMPUTED_VALUE"""),"Soltis, Aaron")</f>
        <v>Soltis, Aaron</v>
      </c>
      <c r="B7631" s="3">
        <f ca="1">IFERROR(__xludf.DUMMYFUNCTION("""COMPUTED_VALUE"""),1)</f>
        <v>1</v>
      </c>
      <c r="C7631" s="7">
        <f ca="1">IFERROR(__xludf.DUMMYFUNCTION("""COMPUTED_VALUE"""),1)</f>
        <v>1</v>
      </c>
      <c r="D7631" s="8">
        <f ca="1">IFERROR(__xludf.DUMMYFUNCTION("""COMPUTED_VALUE"""),1)</f>
        <v>1</v>
      </c>
      <c r="E7631" s="2">
        <f ca="1">IFERROR(__xludf.DUMMYFUNCTION("""COMPUTED_VALUE"""),1)</f>
        <v>1</v>
      </c>
    </row>
    <row r="7632" spans="1:5" ht="13">
      <c r="A7632" s="8" t="str">
        <f ca="1">IFERROR(__xludf.DUMMYFUNCTION("""COMPUTED_VALUE"""),"Somers, Harry")</f>
        <v>Somers, Harry</v>
      </c>
      <c r="B7632" s="3">
        <f ca="1">IFERROR(__xludf.DUMMYFUNCTION("""COMPUTED_VALUE"""),1)</f>
        <v>1</v>
      </c>
      <c r="C7632" s="7">
        <f ca="1">IFERROR(__xludf.DUMMYFUNCTION("""COMPUTED_VALUE"""),1)</f>
        <v>1</v>
      </c>
      <c r="D7632" s="8">
        <f ca="1">IFERROR(__xludf.DUMMYFUNCTION("""COMPUTED_VALUE"""),5)</f>
        <v>5</v>
      </c>
      <c r="E7632" s="2">
        <f ca="1">IFERROR(__xludf.DUMMYFUNCTION("""COMPUTED_VALUE"""),2)</f>
        <v>2</v>
      </c>
    </row>
    <row r="7633" spans="1:5" ht="13">
      <c r="A7633" s="2" t="str">
        <f ca="1">IFERROR(__xludf.DUMMYFUNCTION("""COMPUTED_VALUE"""),"Sommadossi, Marco")</f>
        <v>Sommadossi, Marco</v>
      </c>
      <c r="B7633" s="3">
        <f ca="1">IFERROR(__xludf.DUMMYFUNCTION("""COMPUTED_VALUE"""),1)</f>
        <v>1</v>
      </c>
      <c r="C7633" s="7">
        <f ca="1">IFERROR(__xludf.DUMMYFUNCTION("""COMPUTED_VALUE"""),1)</f>
        <v>1</v>
      </c>
      <c r="D7633" s="8">
        <f ca="1">IFERROR(__xludf.DUMMYFUNCTION("""COMPUTED_VALUE"""),1)</f>
        <v>1</v>
      </c>
      <c r="E7633" s="2">
        <f ca="1">IFERROR(__xludf.DUMMYFUNCTION("""COMPUTED_VALUE"""),1)</f>
        <v>1</v>
      </c>
    </row>
    <row r="7634" spans="1:5" ht="13">
      <c r="A7634" s="2" t="str">
        <f ca="1">IFERROR(__xludf.DUMMYFUNCTION("""COMPUTED_VALUE"""),"Sommerro, Henning")</f>
        <v>Sommerro, Henning</v>
      </c>
      <c r="B7634" s="3">
        <f ca="1">IFERROR(__xludf.DUMMYFUNCTION("""COMPUTED_VALUE"""),1)</f>
        <v>1</v>
      </c>
      <c r="C7634" s="7">
        <f ca="1">IFERROR(__xludf.DUMMYFUNCTION("""COMPUTED_VALUE"""),1)</f>
        <v>1</v>
      </c>
      <c r="D7634" s="8">
        <f ca="1">IFERROR(__xludf.DUMMYFUNCTION("""COMPUTED_VALUE"""),1)</f>
        <v>1</v>
      </c>
      <c r="E7634" s="2">
        <f ca="1">IFERROR(__xludf.DUMMYFUNCTION("""COMPUTED_VALUE"""),1)</f>
        <v>1</v>
      </c>
    </row>
    <row r="7635" spans="1:5" ht="13">
      <c r="A7635" s="2" t="str">
        <f ca="1">IFERROR(__xludf.DUMMYFUNCTION("""COMPUTED_VALUE"""),"Sondheim, Stephen")</f>
        <v>Sondheim, Stephen</v>
      </c>
      <c r="B7635" s="3">
        <f ca="1">IFERROR(__xludf.DUMMYFUNCTION("""COMPUTED_VALUE"""),1)</f>
        <v>1</v>
      </c>
      <c r="C7635" s="7">
        <f ca="1">IFERROR(__xludf.DUMMYFUNCTION("""COMPUTED_VALUE"""),1)</f>
        <v>1</v>
      </c>
      <c r="D7635" s="8">
        <f ca="1">IFERROR(__xludf.DUMMYFUNCTION("""COMPUTED_VALUE"""),1)</f>
        <v>1</v>
      </c>
      <c r="E7635" s="2">
        <f ca="1">IFERROR(__xludf.DUMMYFUNCTION("""COMPUTED_VALUE"""),1)</f>
        <v>1</v>
      </c>
    </row>
    <row r="7636" spans="1:5" ht="13">
      <c r="A7636" s="2" t="str">
        <f ca="1">IFERROR(__xludf.DUMMYFUNCTION("""COMPUTED_VALUE"""),"Sondheim, Steven")</f>
        <v>Sondheim, Steven</v>
      </c>
      <c r="B7636" s="2">
        <f ca="1">IFERROR(__xludf.DUMMYFUNCTION("""COMPUTED_VALUE"""),1)</f>
        <v>1</v>
      </c>
      <c r="C7636" s="7">
        <f ca="1">IFERROR(__xludf.DUMMYFUNCTION("""COMPUTED_VALUE"""),1)</f>
        <v>1</v>
      </c>
      <c r="D7636" s="8">
        <f ca="1">IFERROR(__xludf.DUMMYFUNCTION("""COMPUTED_VALUE"""),5)</f>
        <v>5</v>
      </c>
      <c r="E7636" s="2">
        <f ca="1">IFERROR(__xludf.DUMMYFUNCTION("""COMPUTED_VALUE"""),2)</f>
        <v>2</v>
      </c>
    </row>
    <row r="7637" spans="1:5" ht="13">
      <c r="A7637" s="2" t="str">
        <f ca="1">IFERROR(__xludf.DUMMYFUNCTION("""COMPUTED_VALUE"""),"Sonenberg, Daniel")</f>
        <v>Sonenberg, Daniel</v>
      </c>
      <c r="B7637" s="3">
        <f ca="1">IFERROR(__xludf.DUMMYFUNCTION("""COMPUTED_VALUE"""),1)</f>
        <v>1</v>
      </c>
      <c r="C7637" s="7">
        <f ca="1">IFERROR(__xludf.DUMMYFUNCTION("""COMPUTED_VALUE"""),1)</f>
        <v>1</v>
      </c>
      <c r="D7637" s="8">
        <f ca="1">IFERROR(__xludf.DUMMYFUNCTION("""COMPUTED_VALUE"""),1)</f>
        <v>1</v>
      </c>
      <c r="E7637" s="2">
        <f ca="1">IFERROR(__xludf.DUMMYFUNCTION("""COMPUTED_VALUE"""),1)</f>
        <v>1</v>
      </c>
    </row>
    <row r="7638" spans="1:5" ht="13">
      <c r="A7638" s="8" t="str">
        <f ca="1">IFERROR(__xludf.DUMMYFUNCTION("""COMPUTED_VALUE"""),"Sonnenberg, Jon")</f>
        <v>Sonnenberg, Jon</v>
      </c>
      <c r="B7638" s="3">
        <f ca="1">IFERROR(__xludf.DUMMYFUNCTION("""COMPUTED_VALUE"""),1)</f>
        <v>1</v>
      </c>
      <c r="C7638" s="7">
        <f ca="1">IFERROR(__xludf.DUMMYFUNCTION("""COMPUTED_VALUE"""),1)</f>
        <v>1</v>
      </c>
      <c r="D7638" s="8">
        <f ca="1">IFERROR(__xludf.DUMMYFUNCTION("""COMPUTED_VALUE"""),1)</f>
        <v>1</v>
      </c>
      <c r="E7638" s="2">
        <f ca="1">IFERROR(__xludf.DUMMYFUNCTION("""COMPUTED_VALUE"""),1)</f>
        <v>1</v>
      </c>
    </row>
    <row r="7639" spans="1:5" ht="13">
      <c r="A7639" s="8" t="str">
        <f ca="1">IFERROR(__xludf.DUMMYFUNCTION("""COMPUTED_VALUE"""),"Sonnenberg, Jon / Walsh, Jake Gunnar")</f>
        <v>Sonnenberg, Jon / Walsh, Jake Gunnar</v>
      </c>
      <c r="B7639" s="3">
        <f ca="1">IFERROR(__xludf.DUMMYFUNCTION("""COMPUTED_VALUE"""),1)</f>
        <v>1</v>
      </c>
      <c r="C7639" s="7">
        <f ca="1">IFERROR(__xludf.DUMMYFUNCTION("""COMPUTED_VALUE"""),1)</f>
        <v>1</v>
      </c>
      <c r="D7639" s="8">
        <f ca="1">IFERROR(__xludf.DUMMYFUNCTION("""COMPUTED_VALUE"""),1)</f>
        <v>1</v>
      </c>
      <c r="E7639" s="2">
        <f ca="1">IFERROR(__xludf.DUMMYFUNCTION("""COMPUTED_VALUE"""),1)</f>
        <v>1</v>
      </c>
    </row>
    <row r="7640" spans="1:5" ht="13">
      <c r="A7640" s="2" t="str">
        <f ca="1">IFERROR(__xludf.DUMMYFUNCTION("""COMPUTED_VALUE"""),"Sonntag, Gottfried")</f>
        <v>Sonntag, Gottfried</v>
      </c>
      <c r="B7640" s="3">
        <f ca="1">IFERROR(__xludf.DUMMYFUNCTION("""COMPUTED_VALUE"""),1)</f>
        <v>1</v>
      </c>
      <c r="C7640" s="7">
        <f ca="1">IFERROR(__xludf.DUMMYFUNCTION("""COMPUTED_VALUE"""),1)</f>
        <v>1</v>
      </c>
      <c r="D7640" s="8">
        <f ca="1">IFERROR(__xludf.DUMMYFUNCTION("""COMPUTED_VALUE"""),5)</f>
        <v>5</v>
      </c>
      <c r="E7640" s="2">
        <f ca="1">IFERROR(__xludf.DUMMYFUNCTION("""COMPUTED_VALUE"""),2)</f>
        <v>2</v>
      </c>
    </row>
    <row r="7641" spans="1:5" ht="13">
      <c r="A7641" s="2" t="str">
        <f ca="1">IFERROR(__xludf.DUMMYFUNCTION("""COMPUTED_VALUE"""),"Soper, Kenneth B.")</f>
        <v>Soper, Kenneth B.</v>
      </c>
      <c r="B7641" s="3">
        <f ca="1">IFERROR(__xludf.DUMMYFUNCTION("""COMPUTED_VALUE"""),1)</f>
        <v>1</v>
      </c>
      <c r="C7641" s="7">
        <f ca="1">IFERROR(__xludf.DUMMYFUNCTION("""COMPUTED_VALUE"""),1)</f>
        <v>1</v>
      </c>
      <c r="D7641" s="8">
        <f ca="1">IFERROR(__xludf.DUMMYFUNCTION("""COMPUTED_VALUE"""),1)</f>
        <v>1</v>
      </c>
      <c r="E7641" s="2">
        <f ca="1">IFERROR(__xludf.DUMMYFUNCTION("""COMPUTED_VALUE"""),1)</f>
        <v>1</v>
      </c>
    </row>
    <row r="7642" spans="1:5" ht="13">
      <c r="A7642" s="2" t="str">
        <f ca="1">IFERROR(__xludf.DUMMYFUNCTION("""COMPUTED_VALUE"""),"Sopkin, Henry")</f>
        <v>Sopkin, Henry</v>
      </c>
      <c r="B7642" s="3">
        <f ca="1">IFERROR(__xludf.DUMMYFUNCTION("""COMPUTED_VALUE"""),1)</f>
        <v>1</v>
      </c>
      <c r="C7642" s="7">
        <f ca="1">IFERROR(__xludf.DUMMYFUNCTION("""COMPUTED_VALUE"""),1)</f>
        <v>1</v>
      </c>
      <c r="D7642" s="8">
        <f ca="1">IFERROR(__xludf.DUMMYFUNCTION("""COMPUTED_VALUE"""),5)</f>
        <v>5</v>
      </c>
      <c r="E7642" s="2">
        <f ca="1">IFERROR(__xludf.DUMMYFUNCTION("""COMPUTED_VALUE"""),2)</f>
        <v>2</v>
      </c>
    </row>
    <row r="7643" spans="1:5" ht="13">
      <c r="A7643" s="2" t="str">
        <f ca="1">IFERROR(__xludf.DUMMYFUNCTION("""COMPUTED_VALUE"""),"Sor, Fernando")</f>
        <v>Sor, Fernando</v>
      </c>
      <c r="B7643" s="3">
        <f ca="1">IFERROR(__xludf.DUMMYFUNCTION("""COMPUTED_VALUE"""),1)</f>
        <v>1</v>
      </c>
      <c r="C7643" s="7">
        <f ca="1">IFERROR(__xludf.DUMMYFUNCTION("""COMPUTED_VALUE"""),1)</f>
        <v>1</v>
      </c>
      <c r="D7643" s="8">
        <f ca="1">IFERROR(__xludf.DUMMYFUNCTION("""COMPUTED_VALUE"""),5)</f>
        <v>5</v>
      </c>
      <c r="E7643" s="3">
        <f ca="1">IFERROR(__xludf.DUMMYFUNCTION("""COMPUTED_VALUE"""),2)</f>
        <v>2</v>
      </c>
    </row>
    <row r="7644" spans="1:5" ht="13">
      <c r="A7644" s="8" t="str">
        <f ca="1">IFERROR(__xludf.DUMMYFUNCTION("""COMPUTED_VALUE"""),"Sorah, Donald")</f>
        <v>Sorah, Donald</v>
      </c>
      <c r="B7644" s="3">
        <f ca="1">IFERROR(__xludf.DUMMYFUNCTION("""COMPUTED_VALUE"""),1)</f>
        <v>1</v>
      </c>
      <c r="C7644" s="7">
        <f ca="1">IFERROR(__xludf.DUMMYFUNCTION("""COMPUTED_VALUE"""),1)</f>
        <v>1</v>
      </c>
      <c r="D7644" s="8">
        <f ca="1">IFERROR(__xludf.DUMMYFUNCTION("""COMPUTED_VALUE"""),1)</f>
        <v>1</v>
      </c>
      <c r="E7644" s="2">
        <f ca="1">IFERROR(__xludf.DUMMYFUNCTION("""COMPUTED_VALUE"""),1)</f>
        <v>1</v>
      </c>
    </row>
    <row r="7645" spans="1:5" ht="13">
      <c r="A7645" s="2" t="str">
        <f ca="1">IFERROR(__xludf.DUMMYFUNCTION("""COMPUTED_VALUE"""),"Sørensen, Bent")</f>
        <v>Sørensen, Bent</v>
      </c>
      <c r="B7645" s="3">
        <f ca="1">IFERROR(__xludf.DUMMYFUNCTION("""COMPUTED_VALUE"""),1)</f>
        <v>1</v>
      </c>
      <c r="C7645" s="7">
        <f ca="1">IFERROR(__xludf.DUMMYFUNCTION("""COMPUTED_VALUE"""),1)</f>
        <v>1</v>
      </c>
      <c r="D7645" s="8">
        <f ca="1">IFERROR(__xludf.DUMMYFUNCTION("""COMPUTED_VALUE"""),1)</f>
        <v>1</v>
      </c>
      <c r="E7645" s="2">
        <f ca="1">IFERROR(__xludf.DUMMYFUNCTION("""COMPUTED_VALUE"""),1)</f>
        <v>1</v>
      </c>
    </row>
    <row r="7646" spans="1:5" ht="13">
      <c r="A7646" s="2" t="str">
        <f ca="1">IFERROR(__xludf.DUMMYFUNCTION("""COMPUTED_VALUE"""),"Sorenson, Dean")</f>
        <v>Sorenson, Dean</v>
      </c>
      <c r="B7646" s="3">
        <f ca="1">IFERROR(__xludf.DUMMYFUNCTION("""COMPUTED_VALUE"""),1)</f>
        <v>1</v>
      </c>
      <c r="C7646" s="7">
        <f ca="1">IFERROR(__xludf.DUMMYFUNCTION("""COMPUTED_VALUE"""),1)</f>
        <v>1</v>
      </c>
      <c r="D7646" s="8">
        <f ca="1">IFERROR(__xludf.DUMMYFUNCTION("""COMPUTED_VALUE"""),1)</f>
        <v>1</v>
      </c>
      <c r="E7646" s="2">
        <f ca="1">IFERROR(__xludf.DUMMYFUNCTION("""COMPUTED_VALUE"""),1)</f>
        <v>1</v>
      </c>
    </row>
    <row r="7647" spans="1:5" ht="13">
      <c r="A7647" s="2" t="str">
        <f ca="1">IFERROR(__xludf.DUMMYFUNCTION("""COMPUTED_VALUE"""),"Sorenson, Dean / Pearson, Bruce")</f>
        <v>Sorenson, Dean / Pearson, Bruce</v>
      </c>
      <c r="B7647" s="3">
        <f ca="1">IFERROR(__xludf.DUMMYFUNCTION("""COMPUTED_VALUE"""),1)</f>
        <v>1</v>
      </c>
      <c r="C7647" s="7">
        <f ca="1">IFERROR(__xludf.DUMMYFUNCTION("""COMPUTED_VALUE"""),1)</f>
        <v>1</v>
      </c>
      <c r="D7647" s="8">
        <f ca="1">IFERROR(__xludf.DUMMYFUNCTION("""COMPUTED_VALUE"""),1)</f>
        <v>1</v>
      </c>
      <c r="E7647" s="2">
        <f ca="1">IFERROR(__xludf.DUMMYFUNCTION("""COMPUTED_VALUE"""),1)</f>
        <v>1</v>
      </c>
    </row>
    <row r="7648" spans="1:5" ht="13">
      <c r="A7648" s="2" t="str">
        <f ca="1">IFERROR(__xludf.DUMMYFUNCTION("""COMPUTED_VALUE"""),"Soriano, Francesco")</f>
        <v>Soriano, Francesco</v>
      </c>
      <c r="B7648" s="3">
        <f ca="1">IFERROR(__xludf.DUMMYFUNCTION("""COMPUTED_VALUE"""),1)</f>
        <v>1</v>
      </c>
      <c r="C7648" s="7">
        <f ca="1">IFERROR(__xludf.DUMMYFUNCTION("""COMPUTED_VALUE"""),1)</f>
        <v>1</v>
      </c>
      <c r="D7648" s="8">
        <f ca="1">IFERROR(__xludf.DUMMYFUNCTION("""COMPUTED_VALUE"""),5)</f>
        <v>5</v>
      </c>
      <c r="E7648" s="2">
        <f ca="1">IFERROR(__xludf.DUMMYFUNCTION("""COMPUTED_VALUE"""),2)</f>
        <v>2</v>
      </c>
    </row>
    <row r="7649" spans="1:5" ht="13">
      <c r="A7649" s="2" t="str">
        <f ca="1">IFERROR(__xludf.DUMMYFUNCTION("""COMPUTED_VALUE"""),"Sormani, Angelo")</f>
        <v>Sormani, Angelo</v>
      </c>
      <c r="B7649" s="3">
        <f ca="1">IFERROR(__xludf.DUMMYFUNCTION("""COMPUTED_VALUE"""),1)</f>
        <v>1</v>
      </c>
      <c r="C7649" s="7">
        <f ca="1">IFERROR(__xludf.DUMMYFUNCTION("""COMPUTED_VALUE"""),1)</f>
        <v>1</v>
      </c>
      <c r="D7649" s="8">
        <f ca="1">IFERROR(__xludf.DUMMYFUNCTION("""COMPUTED_VALUE"""),1)</f>
        <v>1</v>
      </c>
      <c r="E7649" s="2">
        <f ca="1">IFERROR(__xludf.DUMMYFUNCTION("""COMPUTED_VALUE"""),1)</f>
        <v>1</v>
      </c>
    </row>
    <row r="7650" spans="1:5" ht="13">
      <c r="A7650" s="2" t="str">
        <f ca="1">IFERROR(__xludf.DUMMYFUNCTION("""COMPUTED_VALUE"""),"Sorozabal, Pablo")</f>
        <v>Sorozabal, Pablo</v>
      </c>
      <c r="B7650" s="3">
        <f ca="1">IFERROR(__xludf.DUMMYFUNCTION("""COMPUTED_VALUE"""),1)</f>
        <v>1</v>
      </c>
      <c r="C7650" s="7">
        <f ca="1">IFERROR(__xludf.DUMMYFUNCTION("""COMPUTED_VALUE"""),1)</f>
        <v>1</v>
      </c>
      <c r="D7650" s="8">
        <f ca="1">IFERROR(__xludf.DUMMYFUNCTION("""COMPUTED_VALUE"""),5)</f>
        <v>5</v>
      </c>
      <c r="E7650" s="2">
        <f ca="1">IFERROR(__xludf.DUMMYFUNCTION("""COMPUTED_VALUE"""),2)</f>
        <v>2</v>
      </c>
    </row>
    <row r="7651" spans="1:5" ht="13">
      <c r="A7651" s="2" t="str">
        <f ca="1">IFERROR(__xludf.DUMMYFUNCTION("""COMPUTED_VALUE"""),"Sortomme, Richard")</f>
        <v>Sortomme, Richard</v>
      </c>
      <c r="B7651" s="3">
        <f ca="1">IFERROR(__xludf.DUMMYFUNCTION("""COMPUTED_VALUE"""),1)</f>
        <v>1</v>
      </c>
      <c r="C7651" s="7">
        <f ca="1">IFERROR(__xludf.DUMMYFUNCTION("""COMPUTED_VALUE"""),1)</f>
        <v>1</v>
      </c>
      <c r="D7651" s="8">
        <f ca="1">IFERROR(__xludf.DUMMYFUNCTION("""COMPUTED_VALUE"""),1)</f>
        <v>1</v>
      </c>
      <c r="E7651" s="2">
        <f ca="1">IFERROR(__xludf.DUMMYFUNCTION("""COMPUTED_VALUE"""),1)</f>
        <v>1</v>
      </c>
    </row>
    <row r="7652" spans="1:5" ht="13">
      <c r="A7652" s="2" t="str">
        <f ca="1">IFERROR(__xludf.DUMMYFUNCTION("""COMPUTED_VALUE"""),"Sosnik, Harry")</f>
        <v>Sosnik, Harry</v>
      </c>
      <c r="B7652" s="3">
        <f ca="1">IFERROR(__xludf.DUMMYFUNCTION("""COMPUTED_VALUE"""),1)</f>
        <v>1</v>
      </c>
      <c r="C7652" s="7">
        <f ca="1">IFERROR(__xludf.DUMMYFUNCTION("""COMPUTED_VALUE"""),1)</f>
        <v>1</v>
      </c>
      <c r="D7652" s="8">
        <f ca="1">IFERROR(__xludf.DUMMYFUNCTION("""COMPUTED_VALUE"""),5)</f>
        <v>5</v>
      </c>
      <c r="E7652" s="3">
        <f ca="1">IFERROR(__xludf.DUMMYFUNCTION("""COMPUTED_VALUE"""),2)</f>
        <v>2</v>
      </c>
    </row>
    <row r="7653" spans="1:5" ht="13">
      <c r="A7653" s="2" t="str">
        <f ca="1">IFERROR(__xludf.DUMMYFUNCTION("""COMPUTED_VALUE"""),"Sosnowchik, Marc")</f>
        <v>Sosnowchik, Marc</v>
      </c>
      <c r="B7653" s="3">
        <f ca="1">IFERROR(__xludf.DUMMYFUNCTION("""COMPUTED_VALUE"""),1)</f>
        <v>1</v>
      </c>
      <c r="C7653" s="7">
        <f ca="1">IFERROR(__xludf.DUMMYFUNCTION("""COMPUTED_VALUE"""),1)</f>
        <v>1</v>
      </c>
      <c r="D7653" s="8">
        <f ca="1">IFERROR(__xludf.DUMMYFUNCTION("""COMPUTED_VALUE"""),1)</f>
        <v>1</v>
      </c>
      <c r="E7653" s="2">
        <f ca="1">IFERROR(__xludf.DUMMYFUNCTION("""COMPUTED_VALUE"""),1)</f>
        <v>1</v>
      </c>
    </row>
    <row r="7654" spans="1:5" ht="13">
      <c r="A7654" s="8" t="str">
        <f ca="1">IFERROR(__xludf.DUMMYFUNCTION("""COMPUTED_VALUE"""),"Sotullo, Eduardo")</f>
        <v>Sotullo, Eduardo</v>
      </c>
      <c r="B7654" s="3">
        <f ca="1">IFERROR(__xludf.DUMMYFUNCTION("""COMPUTED_VALUE"""),1)</f>
        <v>1</v>
      </c>
      <c r="C7654" s="7">
        <f ca="1">IFERROR(__xludf.DUMMYFUNCTION("""COMPUTED_VALUE"""),1)</f>
        <v>1</v>
      </c>
      <c r="D7654" s="8">
        <f ca="1">IFERROR(__xludf.DUMMYFUNCTION("""COMPUTED_VALUE"""),1)</f>
        <v>1</v>
      </c>
      <c r="E7654" s="2">
        <f ca="1">IFERROR(__xludf.DUMMYFUNCTION("""COMPUTED_VALUE"""),1)</f>
        <v>1</v>
      </c>
    </row>
    <row r="7655" spans="1:5" ht="13">
      <c r="A7655" s="2" t="str">
        <f ca="1">IFERROR(__xludf.DUMMYFUNCTION("""COMPUTED_VALUE"""),"Soulage, Marcelle")</f>
        <v>Soulage, Marcelle</v>
      </c>
      <c r="B7655" s="3">
        <f ca="1">IFERROR(__xludf.DUMMYFUNCTION("""COMPUTED_VALUE"""),1)</f>
        <v>1</v>
      </c>
      <c r="C7655" s="7">
        <f ca="1">IFERROR(__xludf.DUMMYFUNCTION("""COMPUTED_VALUE"""),1)</f>
        <v>1</v>
      </c>
      <c r="D7655" s="8">
        <f ca="1">IFERROR(__xludf.DUMMYFUNCTION("""COMPUTED_VALUE"""),5)</f>
        <v>5</v>
      </c>
      <c r="E7655" s="2">
        <f ca="1">IFERROR(__xludf.DUMMYFUNCTION("""COMPUTED_VALUE"""),2)</f>
        <v>2</v>
      </c>
    </row>
    <row r="7656" spans="1:5" ht="13">
      <c r="A7656" s="2" t="str">
        <f ca="1">IFERROR(__xludf.DUMMYFUNCTION("""COMPUTED_VALUE"""),"Soule, Jeremy")</f>
        <v>Soule, Jeremy</v>
      </c>
      <c r="B7656" s="2">
        <f ca="1">IFERROR(__xludf.DUMMYFUNCTION("""COMPUTED_VALUE"""),1)</f>
        <v>1</v>
      </c>
      <c r="C7656" s="2">
        <f ca="1">IFERROR(__xludf.DUMMYFUNCTION("""COMPUTED_VALUE"""),1)</f>
        <v>1</v>
      </c>
      <c r="D7656" s="8">
        <f ca="1">IFERROR(__xludf.DUMMYFUNCTION("""COMPUTED_VALUE"""),1)</f>
        <v>1</v>
      </c>
      <c r="E7656" s="2">
        <f ca="1">IFERROR(__xludf.DUMMYFUNCTION("""COMPUTED_VALUE"""),1)</f>
        <v>1</v>
      </c>
    </row>
    <row r="7657" spans="1:5" ht="13">
      <c r="A7657" s="2" t="str">
        <f ca="1">IFERROR(__xludf.DUMMYFUNCTION("""COMPUTED_VALUE"""),"Sousa, John Philip")</f>
        <v>Sousa, John Philip</v>
      </c>
      <c r="B7657" s="3">
        <f ca="1">IFERROR(__xludf.DUMMYFUNCTION("""COMPUTED_VALUE"""),1)</f>
        <v>1</v>
      </c>
      <c r="C7657" s="7">
        <f ca="1">IFERROR(__xludf.DUMMYFUNCTION("""COMPUTED_VALUE"""),1)</f>
        <v>1</v>
      </c>
      <c r="D7657" s="8">
        <f ca="1">IFERROR(__xludf.DUMMYFUNCTION("""COMPUTED_VALUE"""),5)</f>
        <v>5</v>
      </c>
      <c r="E7657" s="2">
        <f ca="1">IFERROR(__xludf.DUMMYFUNCTION("""COMPUTED_VALUE"""),2)</f>
        <v>2</v>
      </c>
    </row>
    <row r="7658" spans="1:5" ht="13">
      <c r="A7658" s="2" t="str">
        <f ca="1">IFERROR(__xludf.DUMMYFUNCTION("""COMPUTED_VALUE"""),"Sousa, John Phillip / Schissel, Loras")</f>
        <v>Sousa, John Phillip / Schissel, Loras</v>
      </c>
      <c r="B7658" s="2">
        <f ca="1">IFERROR(__xludf.DUMMYFUNCTION("""COMPUTED_VALUE"""),1)</f>
        <v>1</v>
      </c>
      <c r="C7658" s="2">
        <f ca="1">IFERROR(__xludf.DUMMYFUNCTION("""COMPUTED_VALUE"""),1)</f>
        <v>1</v>
      </c>
      <c r="D7658" s="8">
        <f ca="1">IFERROR(__xludf.DUMMYFUNCTION("""COMPUTED_VALUE"""),5)</f>
        <v>5</v>
      </c>
      <c r="E7658" s="2">
        <f ca="1">IFERROR(__xludf.DUMMYFUNCTION("""COMPUTED_VALUE"""),2)</f>
        <v>2</v>
      </c>
    </row>
    <row r="7659" spans="1:5" ht="13">
      <c r="A7659" s="2" t="str">
        <f ca="1">IFERROR(__xludf.DUMMYFUNCTION("""COMPUTED_VALUE"""),"Southard, Keane")</f>
        <v>Southard, Keane</v>
      </c>
      <c r="B7659" s="2">
        <f ca="1">IFERROR(__xludf.DUMMYFUNCTION("""COMPUTED_VALUE"""),1)</f>
        <v>1</v>
      </c>
      <c r="C7659" s="7">
        <f ca="1">IFERROR(__xludf.DUMMYFUNCTION("""COMPUTED_VALUE"""),1)</f>
        <v>1</v>
      </c>
      <c r="D7659" s="8">
        <f ca="1">IFERROR(__xludf.DUMMYFUNCTION("""COMPUTED_VALUE"""),1)</f>
        <v>1</v>
      </c>
      <c r="E7659" s="2">
        <f ca="1">IFERROR(__xludf.DUMMYFUNCTION("""COMPUTED_VALUE"""),1)</f>
        <v>1</v>
      </c>
    </row>
    <row r="7660" spans="1:5" ht="13">
      <c r="A7660" s="8" t="str">
        <f ca="1">IFERROR(__xludf.DUMMYFUNCTION("""COMPUTED_VALUE"""),"Southerland, Rolfe")</f>
        <v>Southerland, Rolfe</v>
      </c>
      <c r="B7660" s="3">
        <f ca="1">IFERROR(__xludf.DUMMYFUNCTION("""COMPUTED_VALUE"""),1)</f>
        <v>1</v>
      </c>
      <c r="C7660" s="7">
        <f ca="1">IFERROR(__xludf.DUMMYFUNCTION("""COMPUTED_VALUE"""),1)</f>
        <v>1</v>
      </c>
      <c r="D7660" s="8">
        <f ca="1">IFERROR(__xludf.DUMMYFUNCTION("""COMPUTED_VALUE"""),5)</f>
        <v>5</v>
      </c>
      <c r="E7660" s="2">
        <f ca="1">IFERROR(__xludf.DUMMYFUNCTION("""COMPUTED_VALUE"""),2)</f>
        <v>2</v>
      </c>
    </row>
    <row r="7661" spans="1:5" ht="13">
      <c r="A7661" s="2" t="str">
        <f ca="1">IFERROR(__xludf.DUMMYFUNCTION("""COMPUTED_VALUE"""),"Southers, Leroy")</f>
        <v>Southers, Leroy</v>
      </c>
      <c r="B7661" s="3">
        <f ca="1">IFERROR(__xludf.DUMMYFUNCTION("""COMPUTED_VALUE"""),1)</f>
        <v>1</v>
      </c>
      <c r="C7661" s="7">
        <f ca="1">IFERROR(__xludf.DUMMYFUNCTION("""COMPUTED_VALUE"""),1)</f>
        <v>1</v>
      </c>
      <c r="D7661" s="8">
        <f ca="1">IFERROR(__xludf.DUMMYFUNCTION("""COMPUTED_VALUE"""),5)</f>
        <v>5</v>
      </c>
      <c r="E7661" s="2">
        <f ca="1">IFERROR(__xludf.DUMMYFUNCTION("""COMPUTED_VALUE"""),2)</f>
        <v>2</v>
      </c>
    </row>
    <row r="7662" spans="1:5" ht="13">
      <c r="A7662" s="2" t="str">
        <f ca="1">IFERROR(__xludf.DUMMYFUNCTION("""COMPUTED_VALUE"""),"Sowash, Rick")</f>
        <v>Sowash, Rick</v>
      </c>
      <c r="B7662" s="3">
        <f ca="1">IFERROR(__xludf.DUMMYFUNCTION("""COMPUTED_VALUE"""),1)</f>
        <v>1</v>
      </c>
      <c r="C7662" s="7">
        <f ca="1">IFERROR(__xludf.DUMMYFUNCTION("""COMPUTED_VALUE"""),1)</f>
        <v>1</v>
      </c>
      <c r="D7662" s="8">
        <f ca="1">IFERROR(__xludf.DUMMYFUNCTION("""COMPUTED_VALUE"""),1)</f>
        <v>1</v>
      </c>
      <c r="E7662" s="2">
        <f ca="1">IFERROR(__xludf.DUMMYFUNCTION("""COMPUTED_VALUE"""),1)</f>
        <v>1</v>
      </c>
    </row>
    <row r="7663" spans="1:5" ht="13">
      <c r="A7663" s="2" t="str">
        <f ca="1">IFERROR(__xludf.DUMMYFUNCTION("""COMPUTED_VALUE"""),"Sowerby, Leo")</f>
        <v>Sowerby, Leo</v>
      </c>
      <c r="B7663" s="3">
        <f ca="1">IFERROR(__xludf.DUMMYFUNCTION("""COMPUTED_VALUE"""),1)</f>
        <v>1</v>
      </c>
      <c r="C7663" s="7">
        <f ca="1">IFERROR(__xludf.DUMMYFUNCTION("""COMPUTED_VALUE"""),1)</f>
        <v>1</v>
      </c>
      <c r="D7663" s="8">
        <f ca="1">IFERROR(__xludf.DUMMYFUNCTION("""COMPUTED_VALUE"""),5)</f>
        <v>5</v>
      </c>
      <c r="E7663" s="2">
        <f ca="1">IFERROR(__xludf.DUMMYFUNCTION("""COMPUTED_VALUE"""),2)</f>
        <v>2</v>
      </c>
    </row>
    <row r="7664" spans="1:5" ht="13">
      <c r="A7664" s="2" t="str">
        <f ca="1">IFERROR(__xludf.DUMMYFUNCTION("""COMPUTED_VALUE"""),"Sozio, Peter")</f>
        <v>Sozio, Peter</v>
      </c>
      <c r="B7664" s="3">
        <f ca="1">IFERROR(__xludf.DUMMYFUNCTION("""COMPUTED_VALUE"""),1)</f>
        <v>1</v>
      </c>
      <c r="C7664" s="7">
        <f ca="1">IFERROR(__xludf.DUMMYFUNCTION("""COMPUTED_VALUE"""),1)</f>
        <v>1</v>
      </c>
      <c r="D7664" s="8">
        <f ca="1">IFERROR(__xludf.DUMMYFUNCTION("""COMPUTED_VALUE"""),1)</f>
        <v>1</v>
      </c>
      <c r="E7664" s="2">
        <f ca="1">IFERROR(__xludf.DUMMYFUNCTION("""COMPUTED_VALUE"""),1)</f>
        <v>1</v>
      </c>
    </row>
    <row r="7665" spans="1:5" ht="13">
      <c r="A7665" s="2" t="str">
        <f ca="1">IFERROR(__xludf.DUMMYFUNCTION("""COMPUTED_VALUE"""),"Spaeth, Sigmund")</f>
        <v>Spaeth, Sigmund</v>
      </c>
      <c r="B7665" s="2">
        <f ca="1">IFERROR(__xludf.DUMMYFUNCTION("""COMPUTED_VALUE"""),1)</f>
        <v>1</v>
      </c>
      <c r="C7665" s="7">
        <f ca="1">IFERROR(__xludf.DUMMYFUNCTION("""COMPUTED_VALUE"""),1)</f>
        <v>1</v>
      </c>
      <c r="D7665" s="8">
        <f ca="1">IFERROR(__xludf.DUMMYFUNCTION("""COMPUTED_VALUE"""),5)</f>
        <v>5</v>
      </c>
      <c r="E7665" s="2">
        <f ca="1">IFERROR(__xludf.DUMMYFUNCTION("""COMPUTED_VALUE"""),2)</f>
        <v>2</v>
      </c>
    </row>
    <row r="7666" spans="1:5" ht="13">
      <c r="A7666" s="2" t="str">
        <f ca="1">IFERROR(__xludf.DUMMYFUNCTION("""COMPUTED_VALUE"""),"Spaeth, Sigmund / Thompson, Carl O.")</f>
        <v>Spaeth, Sigmund / Thompson, Carl O.</v>
      </c>
      <c r="B7666" s="2">
        <f ca="1">IFERROR(__xludf.DUMMYFUNCTION("""COMPUTED_VALUE"""),1)</f>
        <v>1</v>
      </c>
      <c r="C7666" s="2">
        <f ca="1">IFERROR(__xludf.DUMMYFUNCTION("""COMPUTED_VALUE"""),1)</f>
        <v>1</v>
      </c>
      <c r="D7666" s="8">
        <f ca="1">IFERROR(__xludf.DUMMYFUNCTION("""COMPUTED_VALUE"""),5)</f>
        <v>5</v>
      </c>
      <c r="E7666" s="2">
        <f ca="1">IFERROR(__xludf.DUMMYFUNCTION("""COMPUTED_VALUE"""),2)</f>
        <v>2</v>
      </c>
    </row>
    <row r="7667" spans="1:5" ht="13">
      <c r="A7667" s="2" t="str">
        <f ca="1">IFERROR(__xludf.DUMMYFUNCTION("""COMPUTED_VALUE"""),"Spaniola, Joseph")</f>
        <v>Spaniola, Joseph</v>
      </c>
      <c r="B7667" s="3">
        <f ca="1">IFERROR(__xludf.DUMMYFUNCTION("""COMPUTED_VALUE"""),1)</f>
        <v>1</v>
      </c>
      <c r="C7667" s="7">
        <f ca="1">IFERROR(__xludf.DUMMYFUNCTION("""COMPUTED_VALUE"""),1)</f>
        <v>1</v>
      </c>
      <c r="D7667" s="8">
        <f ca="1">IFERROR(__xludf.DUMMYFUNCTION("""COMPUTED_VALUE"""),1)</f>
        <v>1</v>
      </c>
      <c r="E7667" s="2">
        <f ca="1">IFERROR(__xludf.DUMMYFUNCTION("""COMPUTED_VALUE"""),1)</f>
        <v>1</v>
      </c>
    </row>
    <row r="7668" spans="1:5" ht="13">
      <c r="A7668" s="2" t="str">
        <f ca="1">IFERROR(__xludf.DUMMYFUNCTION("""COMPUTED_VALUE"""),"Sparke, Philip")</f>
        <v>Sparke, Philip</v>
      </c>
      <c r="B7668" s="3">
        <f ca="1">IFERROR(__xludf.DUMMYFUNCTION("""COMPUTED_VALUE"""),1)</f>
        <v>1</v>
      </c>
      <c r="C7668" s="7">
        <f ca="1">IFERROR(__xludf.DUMMYFUNCTION("""COMPUTED_VALUE"""),1)</f>
        <v>1</v>
      </c>
      <c r="D7668" s="8">
        <f ca="1">IFERROR(__xludf.DUMMYFUNCTION("""COMPUTED_VALUE"""),1)</f>
        <v>1</v>
      </c>
      <c r="E7668" s="2">
        <f ca="1">IFERROR(__xludf.DUMMYFUNCTION("""COMPUTED_VALUE"""),1)</f>
        <v>1</v>
      </c>
    </row>
    <row r="7669" spans="1:5" ht="13">
      <c r="A7669" s="2" t="str">
        <f ca="1">IFERROR(__xludf.DUMMYFUNCTION("""COMPUTED_VALUE"""),"Sparkman, Josh")</f>
        <v>Sparkman, Josh</v>
      </c>
      <c r="B7669" s="3">
        <f ca="1">IFERROR(__xludf.DUMMYFUNCTION("""COMPUTED_VALUE"""),1)</f>
        <v>1</v>
      </c>
      <c r="C7669" s="7">
        <f ca="1">IFERROR(__xludf.DUMMYFUNCTION("""COMPUTED_VALUE"""),1)</f>
        <v>1</v>
      </c>
      <c r="D7669" s="8">
        <f ca="1">IFERROR(__xludf.DUMMYFUNCTION("""COMPUTED_VALUE"""),1)</f>
        <v>1</v>
      </c>
      <c r="E7669" s="2">
        <f ca="1">IFERROR(__xludf.DUMMYFUNCTION("""COMPUTED_VALUE"""),1)</f>
        <v>1</v>
      </c>
    </row>
    <row r="7670" spans="1:5" ht="13">
      <c r="A7670" s="2" t="str">
        <f ca="1">IFERROR(__xludf.DUMMYFUNCTION("""COMPUTED_VALUE"""),"Sparks, Brian")</f>
        <v>Sparks, Brian</v>
      </c>
      <c r="B7670" s="3">
        <f ca="1">IFERROR(__xludf.DUMMYFUNCTION("""COMPUTED_VALUE"""),1)</f>
        <v>1</v>
      </c>
      <c r="C7670" s="7">
        <f ca="1">IFERROR(__xludf.DUMMYFUNCTION("""COMPUTED_VALUE"""),1)</f>
        <v>1</v>
      </c>
      <c r="D7670" s="8">
        <f ca="1">IFERROR(__xludf.DUMMYFUNCTION("""COMPUTED_VALUE"""),1)</f>
        <v>1</v>
      </c>
      <c r="E7670" s="2">
        <f ca="1">IFERROR(__xludf.DUMMYFUNCTION("""COMPUTED_VALUE"""),1)</f>
        <v>1</v>
      </c>
    </row>
    <row r="7671" spans="1:5" ht="13">
      <c r="A7671" s="2" t="str">
        <f ca="1">IFERROR(__xludf.DUMMYFUNCTION("""COMPUTED_VALUE"""),"Sparks, Nate")</f>
        <v>Sparks, Nate</v>
      </c>
      <c r="B7671" s="3">
        <f ca="1">IFERROR(__xludf.DUMMYFUNCTION("""COMPUTED_VALUE"""),1)</f>
        <v>1</v>
      </c>
      <c r="C7671" s="7">
        <f ca="1">IFERROR(__xludf.DUMMYFUNCTION("""COMPUTED_VALUE"""),1)</f>
        <v>1</v>
      </c>
      <c r="D7671" s="8">
        <f ca="1">IFERROR(__xludf.DUMMYFUNCTION("""COMPUTED_VALUE"""),1)</f>
        <v>1</v>
      </c>
      <c r="E7671" s="2">
        <f ca="1">IFERROR(__xludf.DUMMYFUNCTION("""COMPUTED_VALUE"""),1)</f>
        <v>1</v>
      </c>
    </row>
    <row r="7672" spans="1:5" ht="13">
      <c r="A7672" s="2" t="str">
        <f ca="1">IFERROR(__xludf.DUMMYFUNCTION("""COMPUTED_VALUE"""),"Sparr, D. J.")</f>
        <v>Sparr, D. J.</v>
      </c>
      <c r="B7672" s="3">
        <f ca="1">IFERROR(__xludf.DUMMYFUNCTION("""COMPUTED_VALUE"""),1)</f>
        <v>1</v>
      </c>
      <c r="C7672" s="7">
        <f ca="1">IFERROR(__xludf.DUMMYFUNCTION("""COMPUTED_VALUE"""),1)</f>
        <v>1</v>
      </c>
      <c r="D7672" s="8">
        <f ca="1">IFERROR(__xludf.DUMMYFUNCTION("""COMPUTED_VALUE"""),1)</f>
        <v>1</v>
      </c>
      <c r="E7672" s="2">
        <f ca="1">IFERROR(__xludf.DUMMYFUNCTION("""COMPUTED_VALUE"""),1)</f>
        <v>1</v>
      </c>
    </row>
    <row r="7673" spans="1:5" ht="13">
      <c r="A7673" s="2" t="str">
        <f ca="1">IFERROR(__xludf.DUMMYFUNCTION("""COMPUTED_VALUE"""),"Spata, Doug")</f>
        <v>Spata, Doug</v>
      </c>
      <c r="B7673" s="3">
        <f ca="1">IFERROR(__xludf.DUMMYFUNCTION("""COMPUTED_VALUE"""),1)</f>
        <v>1</v>
      </c>
      <c r="C7673" s="7">
        <f ca="1">IFERROR(__xludf.DUMMYFUNCTION("""COMPUTED_VALUE"""),1)</f>
        <v>1</v>
      </c>
      <c r="D7673" s="8">
        <f ca="1">IFERROR(__xludf.DUMMYFUNCTION("""COMPUTED_VALUE"""),1)</f>
        <v>1</v>
      </c>
      <c r="E7673" s="2">
        <f ca="1">IFERROR(__xludf.DUMMYFUNCTION("""COMPUTED_VALUE"""),1)</f>
        <v>1</v>
      </c>
    </row>
    <row r="7674" spans="1:5" ht="13">
      <c r="A7674" s="2" t="str">
        <f ca="1">IFERROR(__xludf.DUMMYFUNCTION("""COMPUTED_VALUE"""),"Spaulding, Josh")</f>
        <v>Spaulding, Josh</v>
      </c>
      <c r="B7674" s="3">
        <f ca="1">IFERROR(__xludf.DUMMYFUNCTION("""COMPUTED_VALUE"""),1)</f>
        <v>1</v>
      </c>
      <c r="C7674" s="7">
        <f ca="1">IFERROR(__xludf.DUMMYFUNCTION("""COMPUTED_VALUE"""),1)</f>
        <v>1</v>
      </c>
      <c r="D7674" s="8">
        <f ca="1">IFERROR(__xludf.DUMMYFUNCTION("""COMPUTED_VALUE"""),1)</f>
        <v>1</v>
      </c>
      <c r="E7674" s="2">
        <f ca="1">IFERROR(__xludf.DUMMYFUNCTION("""COMPUTED_VALUE"""),1)</f>
        <v>1</v>
      </c>
    </row>
    <row r="7675" spans="1:5" ht="13">
      <c r="A7675" s="2" t="str">
        <f ca="1">IFERROR(__xludf.DUMMYFUNCTION("""COMPUTED_VALUE"""),"Spears, Gregory")</f>
        <v>Spears, Gregory</v>
      </c>
      <c r="B7675" s="3">
        <f ca="1">IFERROR(__xludf.DUMMYFUNCTION("""COMPUTED_VALUE"""),1)</f>
        <v>1</v>
      </c>
      <c r="C7675" s="7">
        <f ca="1">IFERROR(__xludf.DUMMYFUNCTION("""COMPUTED_VALUE"""),1)</f>
        <v>1</v>
      </c>
      <c r="D7675" s="8">
        <f ca="1">IFERROR(__xludf.DUMMYFUNCTION("""COMPUTED_VALUE"""),1)</f>
        <v>1</v>
      </c>
      <c r="E7675" s="2">
        <f ca="1">IFERROR(__xludf.DUMMYFUNCTION("""COMPUTED_VALUE"""),1)</f>
        <v>1</v>
      </c>
    </row>
    <row r="7676" spans="1:5" ht="13">
      <c r="A7676" s="2" t="str">
        <f ca="1">IFERROR(__xludf.DUMMYFUNCTION("""COMPUTED_VALUE"""),"Spears, Jared")</f>
        <v>Spears, Jared</v>
      </c>
      <c r="B7676" s="3">
        <f ca="1">IFERROR(__xludf.DUMMYFUNCTION("""COMPUTED_VALUE"""),1)</f>
        <v>1</v>
      </c>
      <c r="C7676" s="7">
        <f ca="1">IFERROR(__xludf.DUMMYFUNCTION("""COMPUTED_VALUE"""),1)</f>
        <v>1</v>
      </c>
      <c r="D7676" s="8">
        <f ca="1">IFERROR(__xludf.DUMMYFUNCTION("""COMPUTED_VALUE"""),1)</f>
        <v>1</v>
      </c>
      <c r="E7676" s="2">
        <f ca="1">IFERROR(__xludf.DUMMYFUNCTION("""COMPUTED_VALUE"""),1)</f>
        <v>1</v>
      </c>
    </row>
    <row r="7677" spans="1:5" ht="13">
      <c r="A7677" s="2" t="str">
        <f ca="1">IFERROR(__xludf.DUMMYFUNCTION("""COMPUTED_VALUE"""),"Speck, Frederick")</f>
        <v>Speck, Frederick</v>
      </c>
      <c r="B7677" s="3">
        <f ca="1">IFERROR(__xludf.DUMMYFUNCTION("""COMPUTED_VALUE"""),1)</f>
        <v>1</v>
      </c>
      <c r="C7677" s="7">
        <f ca="1">IFERROR(__xludf.DUMMYFUNCTION("""COMPUTED_VALUE"""),1)</f>
        <v>1</v>
      </c>
      <c r="D7677" s="8">
        <f ca="1">IFERROR(__xludf.DUMMYFUNCTION("""COMPUTED_VALUE"""),1)</f>
        <v>1</v>
      </c>
      <c r="E7677" s="2">
        <f ca="1">IFERROR(__xludf.DUMMYFUNCTION("""COMPUTED_VALUE"""),1)</f>
        <v>1</v>
      </c>
    </row>
    <row r="7678" spans="1:5" ht="13">
      <c r="A7678" s="2" t="str">
        <f ca="1">IFERROR(__xludf.DUMMYFUNCTION("""COMPUTED_VALUE"""),"Spede, Mark")</f>
        <v>Spede, Mark</v>
      </c>
      <c r="B7678" s="3">
        <f ca="1">IFERROR(__xludf.DUMMYFUNCTION("""COMPUTED_VALUE"""),1)</f>
        <v>1</v>
      </c>
      <c r="C7678" s="7">
        <f ca="1">IFERROR(__xludf.DUMMYFUNCTION("""COMPUTED_VALUE"""),1)</f>
        <v>1</v>
      </c>
      <c r="D7678" s="8">
        <f ca="1">IFERROR(__xludf.DUMMYFUNCTION("""COMPUTED_VALUE"""),1)</f>
        <v>1</v>
      </c>
      <c r="E7678" s="2">
        <f ca="1">IFERROR(__xludf.DUMMYFUNCTION("""COMPUTED_VALUE"""),1)</f>
        <v>1</v>
      </c>
    </row>
    <row r="7679" spans="1:5" ht="13">
      <c r="A7679" s="2" t="str">
        <f ca="1">IFERROR(__xludf.DUMMYFUNCTION("""COMPUTED_VALUE"""),"Spence, Lew")</f>
        <v>Spence, Lew</v>
      </c>
      <c r="B7679" s="2">
        <f ca="1">IFERROR(__xludf.DUMMYFUNCTION("""COMPUTED_VALUE"""),1)</f>
        <v>1</v>
      </c>
      <c r="C7679" s="7">
        <f ca="1">IFERROR(__xludf.DUMMYFUNCTION("""COMPUTED_VALUE"""),1)</f>
        <v>1</v>
      </c>
      <c r="D7679" s="8">
        <f ca="1">IFERROR(__xludf.DUMMYFUNCTION("""COMPUTED_VALUE"""),5)</f>
        <v>5</v>
      </c>
      <c r="E7679" s="2">
        <f ca="1">IFERROR(__xludf.DUMMYFUNCTION("""COMPUTED_VALUE"""),2)</f>
        <v>2</v>
      </c>
    </row>
    <row r="7680" spans="1:5" ht="13">
      <c r="A7680" s="2" t="str">
        <f ca="1">IFERROR(__xludf.DUMMYFUNCTION("""COMPUTED_VALUE"""),"Spendiarov, Alexander")</f>
        <v>Spendiarov, Alexander</v>
      </c>
      <c r="B7680" s="3">
        <f ca="1">IFERROR(__xludf.DUMMYFUNCTION("""COMPUTED_VALUE"""),1)</f>
        <v>1</v>
      </c>
      <c r="C7680" s="7">
        <f ca="1">IFERROR(__xludf.DUMMYFUNCTION("""COMPUTED_VALUE"""),1)</f>
        <v>1</v>
      </c>
      <c r="D7680" s="8">
        <f ca="1">IFERROR(__xludf.DUMMYFUNCTION("""COMPUTED_VALUE"""),5)</f>
        <v>5</v>
      </c>
      <c r="E7680" s="2">
        <f ca="1">IFERROR(__xludf.DUMMYFUNCTION("""COMPUTED_VALUE"""),2)</f>
        <v>2</v>
      </c>
    </row>
    <row r="7681" spans="1:5" ht="13">
      <c r="A7681" s="2" t="str">
        <f ca="1">IFERROR(__xludf.DUMMYFUNCTION("""COMPUTED_VALUE"""),"Spera, Dominic")</f>
        <v>Spera, Dominic</v>
      </c>
      <c r="B7681" s="3">
        <f ca="1">IFERROR(__xludf.DUMMYFUNCTION("""COMPUTED_VALUE"""),1)</f>
        <v>1</v>
      </c>
      <c r="C7681" s="7">
        <f ca="1">IFERROR(__xludf.DUMMYFUNCTION("""COMPUTED_VALUE"""),1)</f>
        <v>1</v>
      </c>
      <c r="D7681" s="8">
        <f ca="1">IFERROR(__xludf.DUMMYFUNCTION("""COMPUTED_VALUE"""),1)</f>
        <v>1</v>
      </c>
      <c r="E7681" s="2">
        <f ca="1">IFERROR(__xludf.DUMMYFUNCTION("""COMPUTED_VALUE"""),1)</f>
        <v>1</v>
      </c>
    </row>
    <row r="7682" spans="1:5" ht="13">
      <c r="A7682" s="2" t="str">
        <f ca="1">IFERROR(__xludf.DUMMYFUNCTION("""COMPUTED_VALUE"""),"Speranza, Patrick")</f>
        <v>Speranza, Patrick</v>
      </c>
      <c r="B7682" s="3">
        <f ca="1">IFERROR(__xludf.DUMMYFUNCTION("""COMPUTED_VALUE"""),1)</f>
        <v>1</v>
      </c>
      <c r="C7682" s="7">
        <f ca="1">IFERROR(__xludf.DUMMYFUNCTION("""COMPUTED_VALUE"""),1)</f>
        <v>1</v>
      </c>
      <c r="D7682" s="8">
        <f ca="1">IFERROR(__xludf.DUMMYFUNCTION("""COMPUTED_VALUE"""),1)</f>
        <v>1</v>
      </c>
      <c r="E7682" s="2">
        <f ca="1">IFERROR(__xludf.DUMMYFUNCTION("""COMPUTED_VALUE"""),1)</f>
        <v>1</v>
      </c>
    </row>
    <row r="7683" spans="1:5" ht="13">
      <c r="A7683" s="8" t="str">
        <f ca="1">IFERROR(__xludf.DUMMYFUNCTION("""COMPUTED_VALUE"""),"Sperry, Ethan")</f>
        <v>Sperry, Ethan</v>
      </c>
      <c r="B7683" s="3">
        <f ca="1">IFERROR(__xludf.DUMMYFUNCTION("""COMPUTED_VALUE"""),1)</f>
        <v>1</v>
      </c>
      <c r="C7683" s="7">
        <f ca="1">IFERROR(__xludf.DUMMYFUNCTION("""COMPUTED_VALUE"""),1)</f>
        <v>1</v>
      </c>
      <c r="D7683" s="8">
        <f ca="1">IFERROR(__xludf.DUMMYFUNCTION("""COMPUTED_VALUE"""),1)</f>
        <v>1</v>
      </c>
      <c r="E7683" s="2">
        <f ca="1">IFERROR(__xludf.DUMMYFUNCTION("""COMPUTED_VALUE"""),1)</f>
        <v>1</v>
      </c>
    </row>
    <row r="7684" spans="1:5" ht="13">
      <c r="A7684" s="8" t="str">
        <f ca="1">IFERROR(__xludf.DUMMYFUNCTION("""COMPUTED_VALUE"""),"Spicker, Max")</f>
        <v>Spicker, Max</v>
      </c>
      <c r="B7684" s="9">
        <f ca="1">IFERROR(__xludf.DUMMYFUNCTION("""COMPUTED_VALUE"""),1)</f>
        <v>1</v>
      </c>
      <c r="C7684" s="7">
        <f ca="1">IFERROR(__xludf.DUMMYFUNCTION("""COMPUTED_VALUE"""),1)</f>
        <v>1</v>
      </c>
      <c r="D7684" s="8">
        <f ca="1">IFERROR(__xludf.DUMMYFUNCTION("""COMPUTED_VALUE"""),5)</f>
        <v>5</v>
      </c>
      <c r="E7684" s="9">
        <f ca="1">IFERROR(__xludf.DUMMYFUNCTION("""COMPUTED_VALUE"""),2)</f>
        <v>2</v>
      </c>
    </row>
    <row r="7685" spans="1:5" ht="13">
      <c r="A7685" s="2" t="str">
        <f ca="1">IFERROR(__xludf.DUMMYFUNCTION("""COMPUTED_VALUE"""),"Spillman, Jonathan")</f>
        <v>Spillman, Jonathan</v>
      </c>
      <c r="B7685" s="3">
        <f ca="1">IFERROR(__xludf.DUMMYFUNCTION("""COMPUTED_VALUE"""),1)</f>
        <v>1</v>
      </c>
      <c r="C7685" s="7">
        <f ca="1">IFERROR(__xludf.DUMMYFUNCTION("""COMPUTED_VALUE"""),1)</f>
        <v>1</v>
      </c>
      <c r="D7685" s="8">
        <f ca="1">IFERROR(__xludf.DUMMYFUNCTION("""COMPUTED_VALUE"""),5)</f>
        <v>5</v>
      </c>
      <c r="E7685" s="2">
        <f ca="1">IFERROR(__xludf.DUMMYFUNCTION("""COMPUTED_VALUE"""),2)</f>
        <v>2</v>
      </c>
    </row>
    <row r="7686" spans="1:5" ht="13">
      <c r="A7686" s="2" t="str">
        <f ca="1">IFERROR(__xludf.DUMMYFUNCTION("""COMPUTED_VALUE"""),"Spinazzola, James")</f>
        <v>Spinazzola, James</v>
      </c>
      <c r="B7686" s="3">
        <f ca="1">IFERROR(__xludf.DUMMYFUNCTION("""COMPUTED_VALUE"""),1)</f>
        <v>1</v>
      </c>
      <c r="C7686" s="7">
        <f ca="1">IFERROR(__xludf.DUMMYFUNCTION("""COMPUTED_VALUE"""),1)</f>
        <v>1</v>
      </c>
      <c r="D7686" s="8">
        <f ca="1">IFERROR(__xludf.DUMMYFUNCTION("""COMPUTED_VALUE"""),1)</f>
        <v>1</v>
      </c>
      <c r="E7686" s="2">
        <f ca="1">IFERROR(__xludf.DUMMYFUNCTION("""COMPUTED_VALUE"""),1)</f>
        <v>1</v>
      </c>
    </row>
    <row r="7687" spans="1:5" ht="13">
      <c r="A7687" s="2" t="str">
        <f ca="1">IFERROR(__xludf.DUMMYFUNCTION("""COMPUTED_VALUE"""),"Spinney, Charles")</f>
        <v>Spinney, Charles</v>
      </c>
      <c r="B7687" s="3">
        <f ca="1">IFERROR(__xludf.DUMMYFUNCTION("""COMPUTED_VALUE"""),1)</f>
        <v>1</v>
      </c>
      <c r="C7687" s="7">
        <f ca="1">IFERROR(__xludf.DUMMYFUNCTION("""COMPUTED_VALUE"""),1)</f>
        <v>1</v>
      </c>
      <c r="D7687" s="8">
        <f ca="1">IFERROR(__xludf.DUMMYFUNCTION("""COMPUTED_VALUE"""),5)</f>
        <v>5</v>
      </c>
      <c r="E7687" s="2">
        <f ca="1">IFERROR(__xludf.DUMMYFUNCTION("""COMPUTED_VALUE"""),2)</f>
        <v>2</v>
      </c>
    </row>
    <row r="7688" spans="1:5" ht="13">
      <c r="A7688" s="8" t="str">
        <f ca="1">IFERROR(__xludf.DUMMYFUNCTION("""COMPUTED_VALUE"""),"Spinosa, Frank")</f>
        <v>Spinosa, Frank</v>
      </c>
      <c r="B7688" s="3">
        <f ca="1">IFERROR(__xludf.DUMMYFUNCTION("""COMPUTED_VALUE"""),1)</f>
        <v>1</v>
      </c>
      <c r="C7688" s="7">
        <f ca="1">IFERROR(__xludf.DUMMYFUNCTION("""COMPUTED_VALUE"""),1)</f>
        <v>1</v>
      </c>
      <c r="D7688" s="8">
        <f ca="1">IFERROR(__xludf.DUMMYFUNCTION("""COMPUTED_VALUE"""),5)</f>
        <v>5</v>
      </c>
      <c r="E7688" s="2">
        <f ca="1">IFERROR(__xludf.DUMMYFUNCTION("""COMPUTED_VALUE"""),2)</f>
        <v>2</v>
      </c>
    </row>
    <row r="7689" spans="1:5" ht="13">
      <c r="A7689" s="2" t="str">
        <f ca="1">IFERROR(__xludf.DUMMYFUNCTION("""COMPUTED_VALUE"""),"Spittal, Robert")</f>
        <v>Spittal, Robert</v>
      </c>
      <c r="B7689" s="3">
        <f ca="1">IFERROR(__xludf.DUMMYFUNCTION("""COMPUTED_VALUE"""),1)</f>
        <v>1</v>
      </c>
      <c r="C7689" s="7">
        <f ca="1">IFERROR(__xludf.DUMMYFUNCTION("""COMPUTED_VALUE"""),1)</f>
        <v>1</v>
      </c>
      <c r="D7689" s="8">
        <f ca="1">IFERROR(__xludf.DUMMYFUNCTION("""COMPUTED_VALUE"""),1)</f>
        <v>1</v>
      </c>
      <c r="E7689" s="2">
        <f ca="1">IFERROR(__xludf.DUMMYFUNCTION("""COMPUTED_VALUE"""),1)</f>
        <v>1</v>
      </c>
    </row>
    <row r="7690" spans="1:5" ht="13">
      <c r="A7690" s="2" t="str">
        <f ca="1">IFERROR(__xludf.DUMMYFUNCTION("""COMPUTED_VALUE"""),"Spivak, Josef")</f>
        <v>Spivak, Josef</v>
      </c>
      <c r="B7690" s="3">
        <f ca="1">IFERROR(__xludf.DUMMYFUNCTION("""COMPUTED_VALUE"""),1)</f>
        <v>1</v>
      </c>
      <c r="C7690" s="7">
        <f ca="1">IFERROR(__xludf.DUMMYFUNCTION("""COMPUTED_VALUE"""),1)</f>
        <v>1</v>
      </c>
      <c r="D7690" s="8">
        <f ca="1">IFERROR(__xludf.DUMMYFUNCTION("""COMPUTED_VALUE"""),5)</f>
        <v>5</v>
      </c>
      <c r="E7690" s="2">
        <f ca="1">IFERROR(__xludf.DUMMYFUNCTION("""COMPUTED_VALUE"""),2)</f>
        <v>2</v>
      </c>
    </row>
    <row r="7691" spans="1:5" ht="13">
      <c r="A7691" s="8" t="str">
        <f ca="1">IFERROR(__xludf.DUMMYFUNCTION("""COMPUTED_VALUE"""),"Spivak, Yossi")</f>
        <v>Spivak, Yossi</v>
      </c>
      <c r="B7691" s="3">
        <f ca="1">IFERROR(__xludf.DUMMYFUNCTION("""COMPUTED_VALUE"""),1)</f>
        <v>1</v>
      </c>
      <c r="C7691" s="7">
        <f ca="1">IFERROR(__xludf.DUMMYFUNCTION("""COMPUTED_VALUE"""),1)</f>
        <v>1</v>
      </c>
      <c r="D7691" s="8">
        <f ca="1">IFERROR(__xludf.DUMMYFUNCTION("""COMPUTED_VALUE"""),5)</f>
        <v>5</v>
      </c>
      <c r="E7691" s="3">
        <f ca="1">IFERROR(__xludf.DUMMYFUNCTION("""COMPUTED_VALUE"""),2)</f>
        <v>2</v>
      </c>
    </row>
    <row r="7692" spans="1:5" ht="13">
      <c r="A7692" s="8" t="str">
        <f ca="1">IFERROR(__xludf.DUMMYFUNCTION("""COMPUTED_VALUE"""),"Spivakovsky, Michael")</f>
        <v>Spivakovsky, Michael</v>
      </c>
      <c r="B7692" s="3">
        <f ca="1">IFERROR(__xludf.DUMMYFUNCTION("""COMPUTED_VALUE"""),1)</f>
        <v>1</v>
      </c>
      <c r="C7692" s="7">
        <f ca="1">IFERROR(__xludf.DUMMYFUNCTION("""COMPUTED_VALUE"""),1)</f>
        <v>1</v>
      </c>
      <c r="D7692" s="8">
        <f ca="1">IFERROR(__xludf.DUMMYFUNCTION("""COMPUTED_VALUE"""),5)</f>
        <v>5</v>
      </c>
      <c r="E7692" s="2">
        <f ca="1">IFERROR(__xludf.DUMMYFUNCTION("""COMPUTED_VALUE"""),2)</f>
        <v>2</v>
      </c>
    </row>
    <row r="7693" spans="1:5" ht="13">
      <c r="A7693" s="2" t="str">
        <f ca="1">IFERROR(__xludf.DUMMYFUNCTION("""COMPUTED_VALUE"""),"Spohr, Louis")</f>
        <v>Spohr, Louis</v>
      </c>
      <c r="B7693" s="2">
        <f ca="1">IFERROR(__xludf.DUMMYFUNCTION("""COMPUTED_VALUE"""),1)</f>
        <v>1</v>
      </c>
      <c r="C7693" s="7">
        <f ca="1">IFERROR(__xludf.DUMMYFUNCTION("""COMPUTED_VALUE"""),1)</f>
        <v>1</v>
      </c>
      <c r="D7693" s="8">
        <f ca="1">IFERROR(__xludf.DUMMYFUNCTION("""COMPUTED_VALUE"""),5)</f>
        <v>5</v>
      </c>
      <c r="E7693" s="2">
        <f ca="1">IFERROR(__xludf.DUMMYFUNCTION("""COMPUTED_VALUE"""),2)</f>
        <v>2</v>
      </c>
    </row>
    <row r="7694" spans="1:5" ht="13">
      <c r="A7694" s="2" t="str">
        <f ca="1">IFERROR(__xludf.DUMMYFUNCTION("""COMPUTED_VALUE"""),"Spontini, Gaspare")</f>
        <v>Spontini, Gaspare</v>
      </c>
      <c r="B7694" s="3">
        <f ca="1">IFERROR(__xludf.DUMMYFUNCTION("""COMPUTED_VALUE"""),1)</f>
        <v>1</v>
      </c>
      <c r="C7694" s="7">
        <f ca="1">IFERROR(__xludf.DUMMYFUNCTION("""COMPUTED_VALUE"""),1)</f>
        <v>1</v>
      </c>
      <c r="D7694" s="8">
        <f ca="1">IFERROR(__xludf.DUMMYFUNCTION("""COMPUTED_VALUE"""),5)</f>
        <v>5</v>
      </c>
      <c r="E7694" s="2">
        <f ca="1">IFERROR(__xludf.DUMMYFUNCTION("""COMPUTED_VALUE"""),2)</f>
        <v>2</v>
      </c>
    </row>
    <row r="7695" spans="1:5" ht="13">
      <c r="A7695" s="2" t="str">
        <f ca="1">IFERROR(__xludf.DUMMYFUNCTION("""COMPUTED_VALUE"""),"Spraggins, Jason")</f>
        <v>Spraggins, Jason</v>
      </c>
      <c r="B7695" s="3">
        <f ca="1">IFERROR(__xludf.DUMMYFUNCTION("""COMPUTED_VALUE"""),1)</f>
        <v>1</v>
      </c>
      <c r="C7695" s="7">
        <f ca="1">IFERROR(__xludf.DUMMYFUNCTION("""COMPUTED_VALUE"""),1)</f>
        <v>1</v>
      </c>
      <c r="D7695" s="8">
        <f ca="1">IFERROR(__xludf.DUMMYFUNCTION("""COMPUTED_VALUE"""),1)</f>
        <v>1</v>
      </c>
      <c r="E7695" s="2">
        <f ca="1">IFERROR(__xludf.DUMMYFUNCTION("""COMPUTED_VALUE"""),1)</f>
        <v>1</v>
      </c>
    </row>
    <row r="7696" spans="1:5" ht="13">
      <c r="A7696" s="2" t="str">
        <f ca="1">IFERROR(__xludf.DUMMYFUNCTION("""COMPUTED_VALUE"""),"Spraggins, Jason A.")</f>
        <v>Spraggins, Jason A.</v>
      </c>
      <c r="B7696" s="2">
        <f ca="1">IFERROR(__xludf.DUMMYFUNCTION("""COMPUTED_VALUE"""),1)</f>
        <v>1</v>
      </c>
      <c r="C7696" s="7">
        <f ca="1">IFERROR(__xludf.DUMMYFUNCTION("""COMPUTED_VALUE"""),1)</f>
        <v>1</v>
      </c>
      <c r="D7696" s="8">
        <f ca="1">IFERROR(__xludf.DUMMYFUNCTION("""COMPUTED_VALUE"""),1)</f>
        <v>1</v>
      </c>
      <c r="E7696" s="2">
        <f ca="1">IFERROR(__xludf.DUMMYFUNCTION("""COMPUTED_VALUE"""),1)</f>
        <v>1</v>
      </c>
    </row>
    <row r="7697" spans="1:5" ht="13">
      <c r="A7697" s="2" t="str">
        <f ca="1">IFERROR(__xludf.DUMMYFUNCTION("""COMPUTED_VALUE"""),"Sprague, Peter")</f>
        <v>Sprague, Peter</v>
      </c>
      <c r="B7697" s="2">
        <f ca="1">IFERROR(__xludf.DUMMYFUNCTION("""COMPUTED_VALUE"""),1)</f>
        <v>1</v>
      </c>
      <c r="C7697" s="2">
        <f ca="1">IFERROR(__xludf.DUMMYFUNCTION("""COMPUTED_VALUE"""),1)</f>
        <v>1</v>
      </c>
      <c r="D7697" s="8">
        <f ca="1">IFERROR(__xludf.DUMMYFUNCTION("""COMPUTED_VALUE"""),1)</f>
        <v>1</v>
      </c>
      <c r="E7697" s="2">
        <f ca="1">IFERROR(__xludf.DUMMYFUNCTION("""COMPUTED_VALUE"""),1)</f>
        <v>1</v>
      </c>
    </row>
    <row r="7698" spans="1:5" ht="13">
      <c r="A7698" s="8" t="str">
        <f ca="1">IFERROR(__xludf.DUMMYFUNCTION("""COMPUTED_VALUE"""),"Sprague, Raymond")</f>
        <v>Sprague, Raymond</v>
      </c>
      <c r="B7698" s="9">
        <f ca="1">IFERROR(__xludf.DUMMYFUNCTION("""COMPUTED_VALUE"""),1)</f>
        <v>1</v>
      </c>
      <c r="C7698" s="7">
        <f ca="1">IFERROR(__xludf.DUMMYFUNCTION("""COMPUTED_VALUE"""),1)</f>
        <v>1</v>
      </c>
      <c r="D7698" s="8">
        <f ca="1">IFERROR(__xludf.DUMMYFUNCTION("""COMPUTED_VALUE"""),1)</f>
        <v>1</v>
      </c>
      <c r="E7698" s="9">
        <f ca="1">IFERROR(__xludf.DUMMYFUNCTION("""COMPUTED_VALUE"""),1)</f>
        <v>1</v>
      </c>
    </row>
    <row r="7699" spans="1:5" ht="13">
      <c r="A7699" s="2" t="str">
        <f ca="1">IFERROR(__xludf.DUMMYFUNCTION("""COMPUTED_VALUE"""),"Sprenkle, Elam")</f>
        <v>Sprenkle, Elam</v>
      </c>
      <c r="B7699" s="3">
        <f ca="1">IFERROR(__xludf.DUMMYFUNCTION("""COMPUTED_VALUE"""),1)</f>
        <v>1</v>
      </c>
      <c r="C7699" s="7">
        <f ca="1">IFERROR(__xludf.DUMMYFUNCTION("""COMPUTED_VALUE"""),1)</f>
        <v>1</v>
      </c>
      <c r="D7699" s="8">
        <f ca="1">IFERROR(__xludf.DUMMYFUNCTION("""COMPUTED_VALUE"""),5)</f>
        <v>5</v>
      </c>
      <c r="E7699" s="2">
        <f ca="1">IFERROR(__xludf.DUMMYFUNCTION("""COMPUTED_VALUE"""),2)</f>
        <v>2</v>
      </c>
    </row>
    <row r="7700" spans="1:5" ht="13">
      <c r="A7700" s="2" t="str">
        <f ca="1">IFERROR(__xludf.DUMMYFUNCTION("""COMPUTED_VALUE"""),"Spresser, Michael")</f>
        <v>Spresser, Michael</v>
      </c>
      <c r="B7700" s="3">
        <f ca="1">IFERROR(__xludf.DUMMYFUNCTION("""COMPUTED_VALUE"""),1)</f>
        <v>1</v>
      </c>
      <c r="C7700" s="7">
        <f ca="1">IFERROR(__xludf.DUMMYFUNCTION("""COMPUTED_VALUE"""),1)</f>
        <v>1</v>
      </c>
      <c r="D7700" s="8">
        <f ca="1">IFERROR(__xludf.DUMMYFUNCTION("""COMPUTED_VALUE"""),1)</f>
        <v>1</v>
      </c>
      <c r="E7700" s="2">
        <f ca="1">IFERROR(__xludf.DUMMYFUNCTION("""COMPUTED_VALUE"""),1)</f>
        <v>1</v>
      </c>
    </row>
    <row r="7701" spans="1:5" ht="13">
      <c r="A7701" s="8" t="str">
        <f ca="1">IFERROR(__xludf.DUMMYFUNCTION("""COMPUTED_VALUE"""),"Spring, Glen")</f>
        <v>Spring, Glen</v>
      </c>
      <c r="B7701" s="3">
        <f ca="1">IFERROR(__xludf.DUMMYFUNCTION("""COMPUTED_VALUE"""),1)</f>
        <v>1</v>
      </c>
      <c r="C7701" s="7">
        <f ca="1">IFERROR(__xludf.DUMMYFUNCTION("""COMPUTED_VALUE"""),1)</f>
        <v>1</v>
      </c>
      <c r="D7701" s="8">
        <f ca="1">IFERROR(__xludf.DUMMYFUNCTION("""COMPUTED_VALUE"""),1)</f>
        <v>1</v>
      </c>
      <c r="E7701" s="2">
        <f ca="1">IFERROR(__xludf.DUMMYFUNCTION("""COMPUTED_VALUE"""),1)</f>
        <v>1</v>
      </c>
    </row>
    <row r="7702" spans="1:5" ht="13">
      <c r="A7702" s="8" t="str">
        <f ca="1">IFERROR(__xludf.DUMMYFUNCTION("""COMPUTED_VALUE"""),"Springer, Philip")</f>
        <v>Springer, Philip</v>
      </c>
      <c r="B7702" s="3">
        <f ca="1">IFERROR(__xludf.DUMMYFUNCTION("""COMPUTED_VALUE"""),1)</f>
        <v>1</v>
      </c>
      <c r="C7702" s="7">
        <f ca="1">IFERROR(__xludf.DUMMYFUNCTION("""COMPUTED_VALUE"""),1)</f>
        <v>1</v>
      </c>
      <c r="D7702" s="8">
        <f ca="1">IFERROR(__xludf.DUMMYFUNCTION("""COMPUTED_VALUE"""),5)</f>
        <v>5</v>
      </c>
      <c r="E7702" s="2">
        <f ca="1">IFERROR(__xludf.DUMMYFUNCTION("""COMPUTED_VALUE"""),2)</f>
        <v>2</v>
      </c>
    </row>
    <row r="7703" spans="1:5" ht="13">
      <c r="A7703" s="2" t="str">
        <f ca="1">IFERROR(__xludf.DUMMYFUNCTION("""COMPUTED_VALUE"""),"Springfield, David")</f>
        <v>Springfield, David</v>
      </c>
      <c r="B7703" s="3">
        <f ca="1">IFERROR(__xludf.DUMMYFUNCTION("""COMPUTED_VALUE"""),1)</f>
        <v>1</v>
      </c>
      <c r="C7703" s="7">
        <f ca="1">IFERROR(__xludf.DUMMYFUNCTION("""COMPUTED_VALUE"""),1)</f>
        <v>1</v>
      </c>
      <c r="D7703" s="8">
        <f ca="1">IFERROR(__xludf.DUMMYFUNCTION("""COMPUTED_VALUE"""),1)</f>
        <v>1</v>
      </c>
      <c r="E7703" s="2">
        <f ca="1">IFERROR(__xludf.DUMMYFUNCTION("""COMPUTED_VALUE"""),1)</f>
        <v>1</v>
      </c>
    </row>
    <row r="7704" spans="1:5" ht="13">
      <c r="A7704" s="2" t="str">
        <f ca="1">IFERROR(__xludf.DUMMYFUNCTION("""COMPUTED_VALUE"""),"Sproul, James")</f>
        <v>Sproul, James</v>
      </c>
      <c r="B7704" s="3">
        <f ca="1">IFERROR(__xludf.DUMMYFUNCTION("""COMPUTED_VALUE"""),1)</f>
        <v>1</v>
      </c>
      <c r="C7704" s="7">
        <f ca="1">IFERROR(__xludf.DUMMYFUNCTION("""COMPUTED_VALUE"""),1)</f>
        <v>1</v>
      </c>
      <c r="D7704" s="8">
        <f ca="1">IFERROR(__xludf.DUMMYFUNCTION("""COMPUTED_VALUE"""),1)</f>
        <v>1</v>
      </c>
      <c r="E7704" s="2">
        <f ca="1">IFERROR(__xludf.DUMMYFUNCTION("""COMPUTED_VALUE"""),1)</f>
        <v>1</v>
      </c>
    </row>
    <row r="7705" spans="1:5" ht="13">
      <c r="A7705" s="8" t="str">
        <f ca="1">IFERROR(__xludf.DUMMYFUNCTION("""COMPUTED_VALUE"""),"Squatrito, Fred")</f>
        <v>Squatrito, Fred</v>
      </c>
      <c r="B7705" s="3">
        <f ca="1">IFERROR(__xludf.DUMMYFUNCTION("""COMPUTED_VALUE"""),1)</f>
        <v>1</v>
      </c>
      <c r="C7705" s="7">
        <f ca="1">IFERROR(__xludf.DUMMYFUNCTION("""COMPUTED_VALUE"""),1)</f>
        <v>1</v>
      </c>
      <c r="D7705" s="8">
        <f ca="1">IFERROR(__xludf.DUMMYFUNCTION("""COMPUTED_VALUE"""),1)</f>
        <v>1</v>
      </c>
      <c r="E7705" s="2">
        <f ca="1">IFERROR(__xludf.DUMMYFUNCTION("""COMPUTED_VALUE"""),1)</f>
        <v>1</v>
      </c>
    </row>
    <row r="7706" spans="1:5" ht="13">
      <c r="A7706" s="2" t="str">
        <f ca="1">IFERROR(__xludf.DUMMYFUNCTION("""COMPUTED_VALUE"""),"Squires, Stephen")</f>
        <v>Squires, Stephen</v>
      </c>
      <c r="B7706" s="2">
        <f ca="1">IFERROR(__xludf.DUMMYFUNCTION("""COMPUTED_VALUE"""),1)</f>
        <v>1</v>
      </c>
      <c r="C7706" s="7">
        <f ca="1">IFERROR(__xludf.DUMMYFUNCTION("""COMPUTED_VALUE"""),1)</f>
        <v>1</v>
      </c>
      <c r="D7706" s="8">
        <f ca="1">IFERROR(__xludf.DUMMYFUNCTION("""COMPUTED_VALUE"""),1)</f>
        <v>1</v>
      </c>
      <c r="E7706" s="2">
        <f ca="1">IFERROR(__xludf.DUMMYFUNCTION("""COMPUTED_VALUE"""),1)</f>
        <v>1</v>
      </c>
    </row>
    <row r="7707" spans="1:5" ht="13">
      <c r="A7707" s="2" t="str">
        <f ca="1">IFERROR(__xludf.DUMMYFUNCTION("""COMPUTED_VALUE"""),"Squires, Steven")</f>
        <v>Squires, Steven</v>
      </c>
      <c r="B7707" s="3">
        <f ca="1">IFERROR(__xludf.DUMMYFUNCTION("""COMPUTED_VALUE"""),1)</f>
        <v>1</v>
      </c>
      <c r="C7707" s="7">
        <f ca="1">IFERROR(__xludf.DUMMYFUNCTION("""COMPUTED_VALUE"""),1)</f>
        <v>1</v>
      </c>
      <c r="D7707" s="8">
        <f ca="1">IFERROR(__xludf.DUMMYFUNCTION("""COMPUTED_VALUE"""),1)</f>
        <v>1</v>
      </c>
      <c r="E7707" s="2">
        <f ca="1">IFERROR(__xludf.DUMMYFUNCTION("""COMPUTED_VALUE"""),1)</f>
        <v>1</v>
      </c>
    </row>
    <row r="7708" spans="1:5" ht="13">
      <c r="A7708" s="2" t="str">
        <f ca="1">IFERROR(__xludf.DUMMYFUNCTION("""COMPUTED_VALUE"""),"Srebotnjak, Alojz")</f>
        <v>Srebotnjak, Alojz</v>
      </c>
      <c r="B7708" s="3">
        <f ca="1">IFERROR(__xludf.DUMMYFUNCTION("""COMPUTED_VALUE"""),1)</f>
        <v>1</v>
      </c>
      <c r="C7708" s="7">
        <f ca="1">IFERROR(__xludf.DUMMYFUNCTION("""COMPUTED_VALUE"""),1)</f>
        <v>1</v>
      </c>
      <c r="D7708" s="8">
        <f ca="1">IFERROR(__xludf.DUMMYFUNCTION("""COMPUTED_VALUE"""),5)</f>
        <v>5</v>
      </c>
      <c r="E7708" s="2">
        <f ca="1">IFERROR(__xludf.DUMMYFUNCTION("""COMPUTED_VALUE"""),2)</f>
        <v>2</v>
      </c>
    </row>
    <row r="7709" spans="1:5" ht="13">
      <c r="A7709" s="2" t="str">
        <f ca="1">IFERROR(__xludf.DUMMYFUNCTION("""COMPUTED_VALUE"""),"Srutowski, John")</f>
        <v>Srutowski, John</v>
      </c>
      <c r="B7709" s="3">
        <f ca="1">IFERROR(__xludf.DUMMYFUNCTION("""COMPUTED_VALUE"""),1)</f>
        <v>1</v>
      </c>
      <c r="C7709" s="7">
        <f ca="1">IFERROR(__xludf.DUMMYFUNCTION("""COMPUTED_VALUE"""),1)</f>
        <v>1</v>
      </c>
      <c r="D7709" s="8">
        <f ca="1">IFERROR(__xludf.DUMMYFUNCTION("""COMPUTED_VALUE"""),1)</f>
        <v>1</v>
      </c>
      <c r="E7709" s="2">
        <f ca="1">IFERROR(__xludf.DUMMYFUNCTION("""COMPUTED_VALUE"""),1)</f>
        <v>1</v>
      </c>
    </row>
    <row r="7710" spans="1:5" ht="13">
      <c r="A7710" s="2" t="str">
        <f ca="1">IFERROR(__xludf.DUMMYFUNCTION("""COMPUTED_VALUE"""),"Sscharwenka, Franz Xavier")</f>
        <v>Sscharwenka, Franz Xavier</v>
      </c>
      <c r="B7710" s="3">
        <f ca="1">IFERROR(__xludf.DUMMYFUNCTION("""COMPUTED_VALUE"""),1)</f>
        <v>1</v>
      </c>
      <c r="C7710" s="7">
        <f ca="1">IFERROR(__xludf.DUMMYFUNCTION("""COMPUTED_VALUE"""),1)</f>
        <v>1</v>
      </c>
      <c r="D7710" s="8">
        <f ca="1">IFERROR(__xludf.DUMMYFUNCTION("""COMPUTED_VALUE"""),1)</f>
        <v>1</v>
      </c>
      <c r="E7710" s="2">
        <f ca="1">IFERROR(__xludf.DUMMYFUNCTION("""COMPUTED_VALUE"""),1)</f>
        <v>1</v>
      </c>
    </row>
    <row r="7711" spans="1:5" ht="13">
      <c r="A7711" s="2" t="str">
        <f ca="1">IFERROR(__xludf.DUMMYFUNCTION("""COMPUTED_VALUE"""),"St. Clair, Floyd")</f>
        <v>St. Clair, Floyd</v>
      </c>
      <c r="B7711" s="3">
        <f ca="1">IFERROR(__xludf.DUMMYFUNCTION("""COMPUTED_VALUE"""),1)</f>
        <v>1</v>
      </c>
      <c r="C7711" s="7">
        <f ca="1">IFERROR(__xludf.DUMMYFUNCTION("""COMPUTED_VALUE"""),1)</f>
        <v>1</v>
      </c>
      <c r="D7711" s="8">
        <f ca="1">IFERROR(__xludf.DUMMYFUNCTION("""COMPUTED_VALUE"""),5)</f>
        <v>5</v>
      </c>
      <c r="E7711" s="2">
        <f ca="1">IFERROR(__xludf.DUMMYFUNCTION("""COMPUTED_VALUE"""),2)</f>
        <v>2</v>
      </c>
    </row>
    <row r="7712" spans="1:5" ht="13">
      <c r="A7712" s="2" t="str">
        <f ca="1">IFERROR(__xludf.DUMMYFUNCTION("""COMPUTED_VALUE"""),"Staden, Johann")</f>
        <v>Staden, Johann</v>
      </c>
      <c r="B7712" s="3">
        <f ca="1">IFERROR(__xludf.DUMMYFUNCTION("""COMPUTED_VALUE"""),1)</f>
        <v>1</v>
      </c>
      <c r="C7712" s="7">
        <f ca="1">IFERROR(__xludf.DUMMYFUNCTION("""COMPUTED_VALUE"""),1)</f>
        <v>1</v>
      </c>
      <c r="D7712" s="8">
        <f ca="1">IFERROR(__xludf.DUMMYFUNCTION("""COMPUTED_VALUE"""),5)</f>
        <v>5</v>
      </c>
      <c r="E7712" s="2">
        <f ca="1">IFERROR(__xludf.DUMMYFUNCTION("""COMPUTED_VALUE"""),2)</f>
        <v>2</v>
      </c>
    </row>
    <row r="7713" spans="1:5" ht="13">
      <c r="A7713" s="2" t="str">
        <f ca="1">IFERROR(__xludf.DUMMYFUNCTION("""COMPUTED_VALUE"""),"Stafylakis, Harry")</f>
        <v>Stafylakis, Harry</v>
      </c>
      <c r="B7713" s="3">
        <f ca="1">IFERROR(__xludf.DUMMYFUNCTION("""COMPUTED_VALUE"""),1)</f>
        <v>1</v>
      </c>
      <c r="C7713" s="7">
        <f ca="1">IFERROR(__xludf.DUMMYFUNCTION("""COMPUTED_VALUE"""),1)</f>
        <v>1</v>
      </c>
      <c r="D7713" s="8">
        <f ca="1">IFERROR(__xludf.DUMMYFUNCTION("""COMPUTED_VALUE"""),1)</f>
        <v>1</v>
      </c>
      <c r="E7713" s="2">
        <f ca="1">IFERROR(__xludf.DUMMYFUNCTION("""COMPUTED_VALUE"""),1)</f>
        <v>1</v>
      </c>
    </row>
    <row r="7714" spans="1:5" ht="13">
      <c r="A7714" s="2" t="str">
        <f ca="1">IFERROR(__xludf.DUMMYFUNCTION("""COMPUTED_VALUE"""),"Staheli, Ronald")</f>
        <v>Staheli, Ronald</v>
      </c>
      <c r="B7714" s="2">
        <f ca="1">IFERROR(__xludf.DUMMYFUNCTION("""COMPUTED_VALUE"""),1)</f>
        <v>1</v>
      </c>
      <c r="C7714" s="7">
        <f ca="1">IFERROR(__xludf.DUMMYFUNCTION("""COMPUTED_VALUE"""),1)</f>
        <v>1</v>
      </c>
      <c r="D7714" s="8">
        <f ca="1">IFERROR(__xludf.DUMMYFUNCTION("""COMPUTED_VALUE"""),1)</f>
        <v>1</v>
      </c>
      <c r="E7714" s="2">
        <f ca="1">IFERROR(__xludf.DUMMYFUNCTION("""COMPUTED_VALUE"""),1)</f>
        <v>1</v>
      </c>
    </row>
    <row r="7715" spans="1:5" ht="13">
      <c r="A7715" s="2" t="str">
        <f ca="1">IFERROR(__xludf.DUMMYFUNCTION("""COMPUTED_VALUE"""),"Staigers, Del")</f>
        <v>Staigers, Del</v>
      </c>
      <c r="B7715" s="3">
        <f ca="1">IFERROR(__xludf.DUMMYFUNCTION("""COMPUTED_VALUE"""),1)</f>
        <v>1</v>
      </c>
      <c r="C7715" s="7">
        <f ca="1">IFERROR(__xludf.DUMMYFUNCTION("""COMPUTED_VALUE"""),1)</f>
        <v>1</v>
      </c>
      <c r="D7715" s="8">
        <f ca="1">IFERROR(__xludf.DUMMYFUNCTION("""COMPUTED_VALUE"""),5)</f>
        <v>5</v>
      </c>
      <c r="E7715" s="2">
        <f ca="1">IFERROR(__xludf.DUMMYFUNCTION("""COMPUTED_VALUE"""),2)</f>
        <v>2</v>
      </c>
    </row>
    <row r="7716" spans="1:5" ht="13">
      <c r="A7716" s="2" t="str">
        <f ca="1">IFERROR(__xludf.DUMMYFUNCTION("""COMPUTED_VALUE"""),"Stainer, John")</f>
        <v>Stainer, John</v>
      </c>
      <c r="B7716" s="3">
        <f ca="1">IFERROR(__xludf.DUMMYFUNCTION("""COMPUTED_VALUE"""),1)</f>
        <v>1</v>
      </c>
      <c r="C7716" s="7">
        <f ca="1">IFERROR(__xludf.DUMMYFUNCTION("""COMPUTED_VALUE"""),1)</f>
        <v>1</v>
      </c>
      <c r="D7716" s="8">
        <f ca="1">IFERROR(__xludf.DUMMYFUNCTION("""COMPUTED_VALUE"""),5)</f>
        <v>5</v>
      </c>
      <c r="E7716" s="2">
        <f ca="1">IFERROR(__xludf.DUMMYFUNCTION("""COMPUTED_VALUE"""),2)</f>
        <v>2</v>
      </c>
    </row>
    <row r="7717" spans="1:5" ht="13">
      <c r="A7717" s="2" t="str">
        <f ca="1">IFERROR(__xludf.DUMMYFUNCTION("""COMPUTED_VALUE"""),"Stalder, Giuseppe")</f>
        <v>Stalder, Giuseppe</v>
      </c>
      <c r="B7717" s="3">
        <f ca="1">IFERROR(__xludf.DUMMYFUNCTION("""COMPUTED_VALUE"""),1)</f>
        <v>1</v>
      </c>
      <c r="C7717" s="7">
        <f ca="1">IFERROR(__xludf.DUMMYFUNCTION("""COMPUTED_VALUE"""),1)</f>
        <v>1</v>
      </c>
      <c r="D7717" s="8">
        <f ca="1">IFERROR(__xludf.DUMMYFUNCTION("""COMPUTED_VALUE"""),1)</f>
        <v>1</v>
      </c>
      <c r="E7717" s="2">
        <f ca="1">IFERROR(__xludf.DUMMYFUNCTION("""COMPUTED_VALUE"""),1)</f>
        <v>1</v>
      </c>
    </row>
    <row r="7718" spans="1:5" ht="13">
      <c r="A7718" s="2" t="str">
        <f ca="1">IFERROR(__xludf.DUMMYFUNCTION("""COMPUTED_VALUE"""),"Stallcop, Glenn")</f>
        <v>Stallcop, Glenn</v>
      </c>
      <c r="B7718" s="3">
        <f ca="1">IFERROR(__xludf.DUMMYFUNCTION("""COMPUTED_VALUE"""),1)</f>
        <v>1</v>
      </c>
      <c r="C7718" s="7">
        <f ca="1">IFERROR(__xludf.DUMMYFUNCTION("""COMPUTED_VALUE"""),1)</f>
        <v>1</v>
      </c>
      <c r="D7718" s="8">
        <f ca="1">IFERROR(__xludf.DUMMYFUNCTION("""COMPUTED_VALUE"""),1)</f>
        <v>1</v>
      </c>
      <c r="E7718" s="2">
        <f ca="1">IFERROR(__xludf.DUMMYFUNCTION("""COMPUTED_VALUE"""),1)</f>
        <v>1</v>
      </c>
    </row>
    <row r="7719" spans="1:5" ht="13">
      <c r="A7719" s="8" t="str">
        <f ca="1">IFERROR(__xludf.DUMMYFUNCTION("""COMPUTED_VALUE"""),"Stallsmith, John")</f>
        <v>Stallsmith, John</v>
      </c>
      <c r="B7719" s="3">
        <f ca="1">IFERROR(__xludf.DUMMYFUNCTION("""COMPUTED_VALUE"""),1)</f>
        <v>1</v>
      </c>
      <c r="C7719" s="7">
        <f ca="1">IFERROR(__xludf.DUMMYFUNCTION("""COMPUTED_VALUE"""),1)</f>
        <v>1</v>
      </c>
      <c r="D7719" s="8">
        <f ca="1">IFERROR(__xludf.DUMMYFUNCTION("""COMPUTED_VALUE"""),1)</f>
        <v>1</v>
      </c>
      <c r="E7719" s="2">
        <f ca="1">IFERROR(__xludf.DUMMYFUNCTION("""COMPUTED_VALUE"""),1)</f>
        <v>1</v>
      </c>
    </row>
    <row r="7720" spans="1:5" ht="13">
      <c r="A7720" s="2" t="str">
        <f ca="1">IFERROR(__xludf.DUMMYFUNCTION("""COMPUTED_VALUE"""),"Stalter, Todd")</f>
        <v>Stalter, Todd</v>
      </c>
      <c r="B7720" s="3">
        <f ca="1">IFERROR(__xludf.DUMMYFUNCTION("""COMPUTED_VALUE"""),1)</f>
        <v>1</v>
      </c>
      <c r="C7720" s="7">
        <f ca="1">IFERROR(__xludf.DUMMYFUNCTION("""COMPUTED_VALUE"""),1)</f>
        <v>1</v>
      </c>
      <c r="D7720" s="8">
        <f ca="1">IFERROR(__xludf.DUMMYFUNCTION("""COMPUTED_VALUE"""),1)</f>
        <v>1</v>
      </c>
      <c r="E7720" s="2">
        <f ca="1">IFERROR(__xludf.DUMMYFUNCTION("""COMPUTED_VALUE"""),1)</f>
        <v>1</v>
      </c>
    </row>
    <row r="7721" spans="1:5" ht="13">
      <c r="A7721" s="2" t="str">
        <f ca="1">IFERROR(__xludf.DUMMYFUNCTION("""COMPUTED_VALUE"""),"Stambler, David")</f>
        <v>Stambler, David</v>
      </c>
      <c r="B7721" s="3">
        <f ca="1">IFERROR(__xludf.DUMMYFUNCTION("""COMPUTED_VALUE"""),1)</f>
        <v>1</v>
      </c>
      <c r="C7721" s="7">
        <f ca="1">IFERROR(__xludf.DUMMYFUNCTION("""COMPUTED_VALUE"""),1)</f>
        <v>1</v>
      </c>
      <c r="D7721" s="8">
        <f ca="1">IFERROR(__xludf.DUMMYFUNCTION("""COMPUTED_VALUE"""),1)</f>
        <v>1</v>
      </c>
      <c r="E7721" s="2">
        <f ca="1">IFERROR(__xludf.DUMMYFUNCTION("""COMPUTED_VALUE"""),1)</f>
        <v>1</v>
      </c>
    </row>
    <row r="7722" spans="1:5" ht="13">
      <c r="A7722" s="2" t="str">
        <f ca="1">IFERROR(__xludf.DUMMYFUNCTION("""COMPUTED_VALUE"""),"Stamitz, Carl")</f>
        <v>Stamitz, Carl</v>
      </c>
      <c r="B7722" s="3">
        <f ca="1">IFERROR(__xludf.DUMMYFUNCTION("""COMPUTED_VALUE"""),1)</f>
        <v>1</v>
      </c>
      <c r="C7722" s="7">
        <f ca="1">IFERROR(__xludf.DUMMYFUNCTION("""COMPUTED_VALUE"""),1)</f>
        <v>1</v>
      </c>
      <c r="D7722" s="8">
        <f ca="1">IFERROR(__xludf.DUMMYFUNCTION("""COMPUTED_VALUE"""),5)</f>
        <v>5</v>
      </c>
      <c r="E7722" s="2">
        <f ca="1">IFERROR(__xludf.DUMMYFUNCTION("""COMPUTED_VALUE"""),2)</f>
        <v>2</v>
      </c>
    </row>
    <row r="7723" spans="1:5" ht="13">
      <c r="A7723" s="2" t="str">
        <f ca="1">IFERROR(__xludf.DUMMYFUNCTION("""COMPUTED_VALUE"""),"Stamitz, Carl Philipp")</f>
        <v>Stamitz, Carl Philipp</v>
      </c>
      <c r="B7723" s="3">
        <f ca="1">IFERROR(__xludf.DUMMYFUNCTION("""COMPUTED_VALUE"""),1)</f>
        <v>1</v>
      </c>
      <c r="C7723" s="7">
        <f ca="1">IFERROR(__xludf.DUMMYFUNCTION("""COMPUTED_VALUE"""),1)</f>
        <v>1</v>
      </c>
      <c r="D7723" s="8">
        <f ca="1">IFERROR(__xludf.DUMMYFUNCTION("""COMPUTED_VALUE"""),5)</f>
        <v>5</v>
      </c>
      <c r="E7723" s="2">
        <f ca="1">IFERROR(__xludf.DUMMYFUNCTION("""COMPUTED_VALUE"""),2)</f>
        <v>2</v>
      </c>
    </row>
    <row r="7724" spans="1:5" ht="13">
      <c r="A7724" s="2" t="str">
        <f ca="1">IFERROR(__xludf.DUMMYFUNCTION("""COMPUTED_VALUE"""),"Stamitz, Johann")</f>
        <v>Stamitz, Johann</v>
      </c>
      <c r="B7724" s="3">
        <f ca="1">IFERROR(__xludf.DUMMYFUNCTION("""COMPUTED_VALUE"""),1)</f>
        <v>1</v>
      </c>
      <c r="C7724" s="7">
        <f ca="1">IFERROR(__xludf.DUMMYFUNCTION("""COMPUTED_VALUE"""),1)</f>
        <v>1</v>
      </c>
      <c r="D7724" s="8">
        <f ca="1">IFERROR(__xludf.DUMMYFUNCTION("""COMPUTED_VALUE"""),5)</f>
        <v>5</v>
      </c>
      <c r="E7724" s="2">
        <f ca="1">IFERROR(__xludf.DUMMYFUNCTION("""COMPUTED_VALUE"""),2)</f>
        <v>2</v>
      </c>
    </row>
    <row r="7725" spans="1:5" ht="13">
      <c r="A7725" s="2" t="str">
        <f ca="1">IFERROR(__xludf.DUMMYFUNCTION("""COMPUTED_VALUE"""),"Stamm, Hans-André")</f>
        <v>Stamm, Hans-André</v>
      </c>
      <c r="B7725" s="3">
        <f ca="1">IFERROR(__xludf.DUMMYFUNCTION("""COMPUTED_VALUE"""),1)</f>
        <v>1</v>
      </c>
      <c r="C7725" s="7">
        <f ca="1">IFERROR(__xludf.DUMMYFUNCTION("""COMPUTED_VALUE"""),1)</f>
        <v>1</v>
      </c>
      <c r="D7725" s="8">
        <f ca="1">IFERROR(__xludf.DUMMYFUNCTION("""COMPUTED_VALUE"""),1)</f>
        <v>1</v>
      </c>
      <c r="E7725" s="2">
        <f ca="1">IFERROR(__xludf.DUMMYFUNCTION("""COMPUTED_VALUE"""),1)</f>
        <v>1</v>
      </c>
    </row>
    <row r="7726" spans="1:5" ht="13">
      <c r="A7726" s="2" t="str">
        <f ca="1">IFERROR(__xludf.DUMMYFUNCTION("""COMPUTED_VALUE"""),"Stamp, Jack")</f>
        <v>Stamp, Jack</v>
      </c>
      <c r="B7726" s="3">
        <f ca="1">IFERROR(__xludf.DUMMYFUNCTION("""COMPUTED_VALUE"""),1)</f>
        <v>1</v>
      </c>
      <c r="C7726" s="7">
        <f ca="1">IFERROR(__xludf.DUMMYFUNCTION("""COMPUTED_VALUE"""),1)</f>
        <v>1</v>
      </c>
      <c r="D7726" s="8">
        <f ca="1">IFERROR(__xludf.DUMMYFUNCTION("""COMPUTED_VALUE"""),1)</f>
        <v>1</v>
      </c>
      <c r="E7726" s="2">
        <f ca="1">IFERROR(__xludf.DUMMYFUNCTION("""COMPUTED_VALUE"""),1)</f>
        <v>1</v>
      </c>
    </row>
    <row r="7727" spans="1:5" ht="13">
      <c r="A7727" s="2" t="str">
        <f ca="1">IFERROR(__xludf.DUMMYFUNCTION("""COMPUTED_VALUE"""),"Stamp, Jack / Mahr, Timothy / Boysen, Andrew Jr. / Pappas, Joseph / Gillingham, David")</f>
        <v>Stamp, Jack / Mahr, Timothy / Boysen, Andrew Jr. / Pappas, Joseph / Gillingham, David</v>
      </c>
      <c r="B7727" s="3">
        <f ca="1">IFERROR(__xludf.DUMMYFUNCTION("""COMPUTED_VALUE"""),1)</f>
        <v>1</v>
      </c>
      <c r="C7727" s="7">
        <f ca="1">IFERROR(__xludf.DUMMYFUNCTION("""COMPUTED_VALUE"""),1)</f>
        <v>1</v>
      </c>
      <c r="D7727" s="8">
        <f ca="1">IFERROR(__xludf.DUMMYFUNCTION("""COMPUTED_VALUE"""),1)</f>
        <v>1</v>
      </c>
      <c r="E7727" s="2">
        <f ca="1">IFERROR(__xludf.DUMMYFUNCTION("""COMPUTED_VALUE"""),1)</f>
        <v>1</v>
      </c>
    </row>
    <row r="7728" spans="1:5" ht="13">
      <c r="A7728" s="2" t="str">
        <f ca="1">IFERROR(__xludf.DUMMYFUNCTION("""COMPUTED_VALUE"""),"Stamp, Jack; Mahr, Timothy; Boysen, Andrew Jr.; Pappas, Joseph; Gillingham, David")</f>
        <v>Stamp, Jack; Mahr, Timothy; Boysen, Andrew Jr.; Pappas, Joseph; Gillingham, David</v>
      </c>
      <c r="B7728" s="3">
        <f ca="1">IFERROR(__xludf.DUMMYFUNCTION("""COMPUTED_VALUE"""),1)</f>
        <v>1</v>
      </c>
      <c r="C7728" s="7">
        <f ca="1">IFERROR(__xludf.DUMMYFUNCTION("""COMPUTED_VALUE"""),1)</f>
        <v>1</v>
      </c>
      <c r="D7728" s="8">
        <f ca="1">IFERROR(__xludf.DUMMYFUNCTION("""COMPUTED_VALUE"""),1)</f>
        <v>1</v>
      </c>
      <c r="E7728" s="2">
        <f ca="1">IFERROR(__xludf.DUMMYFUNCTION("""COMPUTED_VALUE"""),1)</f>
        <v>1</v>
      </c>
    </row>
    <row r="7729" spans="1:5" ht="13">
      <c r="A7729" s="2" t="str">
        <f ca="1">IFERROR(__xludf.DUMMYFUNCTION("""COMPUTED_VALUE"""),"Stampe, Tyler")</f>
        <v>Stampe, Tyler</v>
      </c>
      <c r="B7729" s="3">
        <f ca="1">IFERROR(__xludf.DUMMYFUNCTION("""COMPUTED_VALUE"""),1)</f>
        <v>1</v>
      </c>
      <c r="C7729" s="7">
        <f ca="1">IFERROR(__xludf.DUMMYFUNCTION("""COMPUTED_VALUE"""),1)</f>
        <v>1</v>
      </c>
      <c r="D7729" s="8">
        <f ca="1">IFERROR(__xludf.DUMMYFUNCTION("""COMPUTED_VALUE"""),1)</f>
        <v>1</v>
      </c>
      <c r="E7729" s="2">
        <f ca="1">IFERROR(__xludf.DUMMYFUNCTION("""COMPUTED_VALUE"""),1)</f>
        <v>1</v>
      </c>
    </row>
    <row r="7730" spans="1:5" ht="13">
      <c r="A7730" s="2" t="str">
        <f ca="1">IFERROR(__xludf.DUMMYFUNCTION("""COMPUTED_VALUE"""),"Stamps, Dave")</f>
        <v>Stamps, Dave</v>
      </c>
      <c r="B7730" s="3">
        <f ca="1">IFERROR(__xludf.DUMMYFUNCTION("""COMPUTED_VALUE"""),1)</f>
        <v>1</v>
      </c>
      <c r="C7730" s="7">
        <f ca="1">IFERROR(__xludf.DUMMYFUNCTION("""COMPUTED_VALUE"""),1)</f>
        <v>1</v>
      </c>
      <c r="D7730" s="8">
        <f ca="1">IFERROR(__xludf.DUMMYFUNCTION("""COMPUTED_VALUE"""),1)</f>
        <v>1</v>
      </c>
      <c r="E7730" s="2">
        <f ca="1">IFERROR(__xludf.DUMMYFUNCTION("""COMPUTED_VALUE"""),1)</f>
        <v>1</v>
      </c>
    </row>
    <row r="7731" spans="1:5" ht="13">
      <c r="A7731" s="2" t="str">
        <f ca="1">IFERROR(__xludf.DUMMYFUNCTION("""COMPUTED_VALUE"""),"Standridge, Randall D.")</f>
        <v>Standridge, Randall D.</v>
      </c>
      <c r="B7731" s="3">
        <f ca="1">IFERROR(__xludf.DUMMYFUNCTION("""COMPUTED_VALUE"""),1)</f>
        <v>1</v>
      </c>
      <c r="C7731" s="7">
        <f ca="1">IFERROR(__xludf.DUMMYFUNCTION("""COMPUTED_VALUE"""),1)</f>
        <v>1</v>
      </c>
      <c r="D7731" s="8">
        <f ca="1">IFERROR(__xludf.DUMMYFUNCTION("""COMPUTED_VALUE"""),1)</f>
        <v>1</v>
      </c>
      <c r="E7731" s="2">
        <f ca="1">IFERROR(__xludf.DUMMYFUNCTION("""COMPUTED_VALUE"""),1)</f>
        <v>1</v>
      </c>
    </row>
    <row r="7732" spans="1:5" ht="13">
      <c r="A7732" s="2" t="str">
        <f ca="1">IFERROR(__xludf.DUMMYFUNCTION("""COMPUTED_VALUE"""),"Stanford, Charles")</f>
        <v>Stanford, Charles</v>
      </c>
      <c r="B7732" s="3">
        <f ca="1">IFERROR(__xludf.DUMMYFUNCTION("""COMPUTED_VALUE"""),1)</f>
        <v>1</v>
      </c>
      <c r="C7732" s="7">
        <f ca="1">IFERROR(__xludf.DUMMYFUNCTION("""COMPUTED_VALUE"""),1)</f>
        <v>1</v>
      </c>
      <c r="D7732" s="8">
        <f ca="1">IFERROR(__xludf.DUMMYFUNCTION("""COMPUTED_VALUE"""),5)</f>
        <v>5</v>
      </c>
      <c r="E7732" s="2">
        <f ca="1">IFERROR(__xludf.DUMMYFUNCTION("""COMPUTED_VALUE"""),2)</f>
        <v>2</v>
      </c>
    </row>
    <row r="7733" spans="1:5" ht="13">
      <c r="A7733" s="2" t="str">
        <f ca="1">IFERROR(__xludf.DUMMYFUNCTION("""COMPUTED_VALUE"""),"Stanford, Charles Villiers")</f>
        <v>Stanford, Charles Villiers</v>
      </c>
      <c r="B7733" s="3">
        <f ca="1">IFERROR(__xludf.DUMMYFUNCTION("""COMPUTED_VALUE"""),1)</f>
        <v>1</v>
      </c>
      <c r="C7733" s="7">
        <f ca="1">IFERROR(__xludf.DUMMYFUNCTION("""COMPUTED_VALUE"""),1)</f>
        <v>1</v>
      </c>
      <c r="D7733" s="8">
        <f ca="1">IFERROR(__xludf.DUMMYFUNCTION("""COMPUTED_VALUE"""),5)</f>
        <v>5</v>
      </c>
      <c r="E7733" s="2">
        <f ca="1">IFERROR(__xludf.DUMMYFUNCTION("""COMPUTED_VALUE"""),2)</f>
        <v>2</v>
      </c>
    </row>
    <row r="7734" spans="1:5" ht="13">
      <c r="A7734" s="2" t="str">
        <f ca="1">IFERROR(__xludf.DUMMYFUNCTION("""COMPUTED_VALUE"""),"Stanhope, David")</f>
        <v>Stanhope, David</v>
      </c>
      <c r="B7734" s="3">
        <f ca="1">IFERROR(__xludf.DUMMYFUNCTION("""COMPUTED_VALUE"""),1)</f>
        <v>1</v>
      </c>
      <c r="C7734" s="7">
        <f ca="1">IFERROR(__xludf.DUMMYFUNCTION("""COMPUTED_VALUE"""),1)</f>
        <v>1</v>
      </c>
      <c r="D7734" s="8">
        <f ca="1">IFERROR(__xludf.DUMMYFUNCTION("""COMPUTED_VALUE"""),1)</f>
        <v>1</v>
      </c>
      <c r="E7734" s="2">
        <f ca="1">IFERROR(__xludf.DUMMYFUNCTION("""COMPUTED_VALUE"""),1)</f>
        <v>1</v>
      </c>
    </row>
    <row r="7735" spans="1:5" ht="13">
      <c r="A7735" s="2" t="str">
        <f ca="1">IFERROR(__xludf.DUMMYFUNCTION("""COMPUTED_VALUE"""),"Stanichar, Christopher")</f>
        <v>Stanichar, Christopher</v>
      </c>
      <c r="B7735" s="2">
        <f ca="1">IFERROR(__xludf.DUMMYFUNCTION("""COMPUTED_VALUE"""),1)</f>
        <v>1</v>
      </c>
      <c r="C7735" s="7">
        <f ca="1">IFERROR(__xludf.DUMMYFUNCTION("""COMPUTED_VALUE"""),1)</f>
        <v>1</v>
      </c>
      <c r="D7735" s="8">
        <f ca="1">IFERROR(__xludf.DUMMYFUNCTION("""COMPUTED_VALUE"""),1)</f>
        <v>1</v>
      </c>
      <c r="E7735" s="2">
        <f ca="1">IFERROR(__xludf.DUMMYFUNCTION("""COMPUTED_VALUE"""),1)</f>
        <v>1</v>
      </c>
    </row>
    <row r="7736" spans="1:5" ht="13">
      <c r="A7736" s="2" t="str">
        <f ca="1">IFERROR(__xludf.DUMMYFUNCTION("""COMPUTED_VALUE"""),"Staniland, Andrew")</f>
        <v>Staniland, Andrew</v>
      </c>
      <c r="B7736" s="3">
        <f ca="1">IFERROR(__xludf.DUMMYFUNCTION("""COMPUTED_VALUE"""),1)</f>
        <v>1</v>
      </c>
      <c r="C7736" s="7">
        <f ca="1">IFERROR(__xludf.DUMMYFUNCTION("""COMPUTED_VALUE"""),1)</f>
        <v>1</v>
      </c>
      <c r="D7736" s="8">
        <f ca="1">IFERROR(__xludf.DUMMYFUNCTION("""COMPUTED_VALUE"""),1)</f>
        <v>1</v>
      </c>
      <c r="E7736" s="2">
        <f ca="1">IFERROR(__xludf.DUMMYFUNCTION("""COMPUTED_VALUE"""),1)</f>
        <v>1</v>
      </c>
    </row>
    <row r="7737" spans="1:5" ht="13">
      <c r="A7737" s="2" t="str">
        <f ca="1">IFERROR(__xludf.DUMMYFUNCTION("""COMPUTED_VALUE"""),"Stanislaw, Richard")</f>
        <v>Stanislaw, Richard</v>
      </c>
      <c r="B7737" s="3">
        <f ca="1">IFERROR(__xludf.DUMMYFUNCTION("""COMPUTED_VALUE"""),1)</f>
        <v>1</v>
      </c>
      <c r="C7737" s="7">
        <f ca="1">IFERROR(__xludf.DUMMYFUNCTION("""COMPUTED_VALUE"""),1)</f>
        <v>1</v>
      </c>
      <c r="D7737" s="8">
        <f ca="1">IFERROR(__xludf.DUMMYFUNCTION("""COMPUTED_VALUE"""),1)</f>
        <v>1</v>
      </c>
      <c r="E7737" s="2">
        <f ca="1">IFERROR(__xludf.DUMMYFUNCTION("""COMPUTED_VALUE"""),1)</f>
        <v>1</v>
      </c>
    </row>
    <row r="7738" spans="1:5" ht="13">
      <c r="A7738" s="2" t="str">
        <f ca="1">IFERROR(__xludf.DUMMYFUNCTION("""COMPUTED_VALUE"""),"Stanland, Dalton &amp; Grady, Clifton")</f>
        <v>Stanland, Dalton &amp; Grady, Clifton</v>
      </c>
      <c r="B7738" s="3">
        <f ca="1">IFERROR(__xludf.DUMMYFUNCTION("""COMPUTED_VALUE"""),1)</f>
        <v>1</v>
      </c>
      <c r="C7738" s="7">
        <f ca="1">IFERROR(__xludf.DUMMYFUNCTION("""COMPUTED_VALUE"""),1)</f>
        <v>1</v>
      </c>
      <c r="D7738" s="8">
        <f ca="1">IFERROR(__xludf.DUMMYFUNCTION("""COMPUTED_VALUE"""),1)</f>
        <v>1</v>
      </c>
      <c r="E7738" s="2">
        <f ca="1">IFERROR(__xludf.DUMMYFUNCTION("""COMPUTED_VALUE"""),1)</f>
        <v>1</v>
      </c>
    </row>
    <row r="7739" spans="1:5" ht="13">
      <c r="A7739" s="2" t="str">
        <f ca="1">IFERROR(__xludf.DUMMYFUNCTION("""COMPUTED_VALUE"""),"Stanley, Hal / Karl, Raymond")</f>
        <v>Stanley, Hal / Karl, Raymond</v>
      </c>
      <c r="B7739" s="3">
        <f ca="1">IFERROR(__xludf.DUMMYFUNCTION("""COMPUTED_VALUE"""),1)</f>
        <v>1</v>
      </c>
      <c r="C7739" s="7">
        <f ca="1">IFERROR(__xludf.DUMMYFUNCTION("""COMPUTED_VALUE"""),1)</f>
        <v>1</v>
      </c>
      <c r="D7739" s="8">
        <f ca="1">IFERROR(__xludf.DUMMYFUNCTION("""COMPUTED_VALUE"""),5)</f>
        <v>5</v>
      </c>
      <c r="E7739" s="2">
        <f ca="1">IFERROR(__xludf.DUMMYFUNCTION("""COMPUTED_VALUE"""),2)</f>
        <v>2</v>
      </c>
    </row>
    <row r="7740" spans="1:5" ht="13">
      <c r="A7740" s="2" t="str">
        <f ca="1">IFERROR(__xludf.DUMMYFUNCTION("""COMPUTED_VALUE"""),"Stanley, John")</f>
        <v>Stanley, John</v>
      </c>
      <c r="B7740" s="3">
        <f ca="1">IFERROR(__xludf.DUMMYFUNCTION("""COMPUTED_VALUE"""),1)</f>
        <v>1</v>
      </c>
      <c r="C7740" s="7">
        <f ca="1">IFERROR(__xludf.DUMMYFUNCTION("""COMPUTED_VALUE"""),1)</f>
        <v>1</v>
      </c>
      <c r="D7740" s="8">
        <f ca="1">IFERROR(__xludf.DUMMYFUNCTION("""COMPUTED_VALUE"""),5)</f>
        <v>5</v>
      </c>
      <c r="E7740" s="2">
        <f ca="1">IFERROR(__xludf.DUMMYFUNCTION("""COMPUTED_VALUE"""),2)</f>
        <v>2</v>
      </c>
    </row>
    <row r="7741" spans="1:5" ht="13">
      <c r="A7741" s="2" t="str">
        <f ca="1">IFERROR(__xludf.DUMMYFUNCTION("""COMPUTED_VALUE"""),"Stanley, Steve")</f>
        <v>Stanley, Steve</v>
      </c>
      <c r="B7741" s="3">
        <f ca="1">IFERROR(__xludf.DUMMYFUNCTION("""COMPUTED_VALUE"""),1)</f>
        <v>1</v>
      </c>
      <c r="C7741" s="7">
        <f ca="1">IFERROR(__xludf.DUMMYFUNCTION("""COMPUTED_VALUE"""),1)</f>
        <v>1</v>
      </c>
      <c r="D7741" s="8">
        <f ca="1">IFERROR(__xludf.DUMMYFUNCTION("""COMPUTED_VALUE"""),1)</f>
        <v>1</v>
      </c>
      <c r="E7741" s="2">
        <f ca="1">IFERROR(__xludf.DUMMYFUNCTION("""COMPUTED_VALUE"""),1)</f>
        <v>1</v>
      </c>
    </row>
    <row r="7742" spans="1:5" ht="13">
      <c r="A7742" s="2" t="str">
        <f ca="1">IFERROR(__xludf.DUMMYFUNCTION("""COMPUTED_VALUE"""),"Stanton, Geoffrey")</f>
        <v>Stanton, Geoffrey</v>
      </c>
      <c r="B7742" s="3">
        <f ca="1">IFERROR(__xludf.DUMMYFUNCTION("""COMPUTED_VALUE"""),1)</f>
        <v>1</v>
      </c>
      <c r="C7742" s="7">
        <f ca="1">IFERROR(__xludf.DUMMYFUNCTION("""COMPUTED_VALUE"""),1)</f>
        <v>1</v>
      </c>
      <c r="D7742" s="8">
        <f ca="1">IFERROR(__xludf.DUMMYFUNCTION("""COMPUTED_VALUE"""),1)</f>
        <v>1</v>
      </c>
      <c r="E7742" s="2">
        <f ca="1">IFERROR(__xludf.DUMMYFUNCTION("""COMPUTED_VALUE"""),1)</f>
        <v>1</v>
      </c>
    </row>
    <row r="7743" spans="1:5" ht="13">
      <c r="A7743" s="2" t="str">
        <f ca="1">IFERROR(__xludf.DUMMYFUNCTION("""COMPUTED_VALUE"""),"Stanton, Jim")</f>
        <v>Stanton, Jim</v>
      </c>
      <c r="B7743" s="3">
        <f ca="1">IFERROR(__xludf.DUMMYFUNCTION("""COMPUTED_VALUE"""),1)</f>
        <v>1</v>
      </c>
      <c r="C7743" s="7">
        <f ca="1">IFERROR(__xludf.DUMMYFUNCTION("""COMPUTED_VALUE"""),1)</f>
        <v>1</v>
      </c>
      <c r="D7743" s="8">
        <f ca="1">IFERROR(__xludf.DUMMYFUNCTION("""COMPUTED_VALUE"""),1)</f>
        <v>1</v>
      </c>
      <c r="E7743" s="2">
        <f ca="1">IFERROR(__xludf.DUMMYFUNCTION("""COMPUTED_VALUE"""),1)</f>
        <v>1</v>
      </c>
    </row>
    <row r="7744" spans="1:5" ht="13">
      <c r="A7744" s="2" t="str">
        <f ca="1">IFERROR(__xludf.DUMMYFUNCTION("""COMPUTED_VALUE"""),"Stanton, Royal")</f>
        <v>Stanton, Royal</v>
      </c>
      <c r="B7744" s="2">
        <f ca="1">IFERROR(__xludf.DUMMYFUNCTION("""COMPUTED_VALUE"""),1)</f>
        <v>1</v>
      </c>
      <c r="C7744" s="7">
        <f ca="1">IFERROR(__xludf.DUMMYFUNCTION("""COMPUTED_VALUE"""),1)</f>
        <v>1</v>
      </c>
      <c r="D7744" s="8">
        <f ca="1">IFERROR(__xludf.DUMMYFUNCTION("""COMPUTED_VALUE"""),5)</f>
        <v>5</v>
      </c>
      <c r="E7744" s="2">
        <f ca="1">IFERROR(__xludf.DUMMYFUNCTION("""COMPUTED_VALUE"""),2)</f>
        <v>2</v>
      </c>
    </row>
    <row r="7745" spans="1:5" ht="13">
      <c r="A7745" s="2" t="str">
        <f ca="1">IFERROR(__xludf.DUMMYFUNCTION("""COMPUTED_VALUE"""),"Stanton, Scott")</f>
        <v>Stanton, Scott</v>
      </c>
      <c r="B7745" s="3">
        <f ca="1">IFERROR(__xludf.DUMMYFUNCTION("""COMPUTED_VALUE"""),1)</f>
        <v>1</v>
      </c>
      <c r="C7745" s="7">
        <f ca="1">IFERROR(__xludf.DUMMYFUNCTION("""COMPUTED_VALUE"""),1)</f>
        <v>1</v>
      </c>
      <c r="D7745" s="8">
        <f ca="1">IFERROR(__xludf.DUMMYFUNCTION("""COMPUTED_VALUE"""),1)</f>
        <v>1</v>
      </c>
      <c r="E7745" s="2">
        <f ca="1">IFERROR(__xludf.DUMMYFUNCTION("""COMPUTED_VALUE"""),1)</f>
        <v>1</v>
      </c>
    </row>
    <row r="7746" spans="1:5" ht="13">
      <c r="A7746" s="2" t="str">
        <f ca="1">IFERROR(__xludf.DUMMYFUNCTION("""COMPUTED_VALUE"""),"Stanton, V. (aka John Kinyon)")</f>
        <v>Stanton, V. (aka John Kinyon)</v>
      </c>
      <c r="B7746" s="2">
        <f ca="1">IFERROR(__xludf.DUMMYFUNCTION("""COMPUTED_VALUE"""),1)</f>
        <v>1</v>
      </c>
      <c r="C7746" s="7">
        <f ca="1">IFERROR(__xludf.DUMMYFUNCTION("""COMPUTED_VALUE"""),1)</f>
        <v>1</v>
      </c>
      <c r="D7746" s="8">
        <f ca="1">IFERROR(__xludf.DUMMYFUNCTION("""COMPUTED_VALUE"""),5)</f>
        <v>5</v>
      </c>
      <c r="E7746" s="2">
        <f ca="1">IFERROR(__xludf.DUMMYFUNCTION("""COMPUTED_VALUE"""),2)</f>
        <v>2</v>
      </c>
    </row>
    <row r="7747" spans="1:5" ht="13">
      <c r="A7747" s="2" t="str">
        <f ca="1">IFERROR(__xludf.DUMMYFUNCTION("""COMPUTED_VALUE"""),"Stanton, Zack")</f>
        <v>Stanton, Zack</v>
      </c>
      <c r="B7747" s="3">
        <f ca="1">IFERROR(__xludf.DUMMYFUNCTION("""COMPUTED_VALUE"""),1)</f>
        <v>1</v>
      </c>
      <c r="C7747" s="7">
        <f ca="1">IFERROR(__xludf.DUMMYFUNCTION("""COMPUTED_VALUE"""),1)</f>
        <v>1</v>
      </c>
      <c r="D7747" s="8">
        <f ca="1">IFERROR(__xludf.DUMMYFUNCTION("""COMPUTED_VALUE"""),1)</f>
        <v>1</v>
      </c>
      <c r="E7747" s="2">
        <f ca="1">IFERROR(__xludf.DUMMYFUNCTION("""COMPUTED_VALUE"""),1)</f>
        <v>1</v>
      </c>
    </row>
    <row r="7748" spans="1:5" ht="13">
      <c r="A7748" s="2" t="str">
        <f ca="1">IFERROR(__xludf.DUMMYFUNCTION("""COMPUTED_VALUE"""),"Starer, Robert")</f>
        <v>Starer, Robert</v>
      </c>
      <c r="B7748" s="3">
        <f ca="1">IFERROR(__xludf.DUMMYFUNCTION("""COMPUTED_VALUE"""),1)</f>
        <v>1</v>
      </c>
      <c r="C7748" s="7">
        <f ca="1">IFERROR(__xludf.DUMMYFUNCTION("""COMPUTED_VALUE"""),1)</f>
        <v>1</v>
      </c>
      <c r="D7748" s="8">
        <f ca="1">IFERROR(__xludf.DUMMYFUNCTION("""COMPUTED_VALUE"""),5)</f>
        <v>5</v>
      </c>
      <c r="E7748" s="2">
        <f ca="1">IFERROR(__xludf.DUMMYFUNCTION("""COMPUTED_VALUE"""),2)</f>
        <v>2</v>
      </c>
    </row>
    <row r="7749" spans="1:5" ht="13">
      <c r="A7749" s="2" t="str">
        <f ca="1">IFERROR(__xludf.DUMMYFUNCTION("""COMPUTED_VALUE"""),"Stark, Brian")</f>
        <v>Stark, Brian</v>
      </c>
      <c r="B7749" s="2">
        <f ca="1">IFERROR(__xludf.DUMMYFUNCTION("""COMPUTED_VALUE"""),1)</f>
        <v>1</v>
      </c>
      <c r="C7749" s="7">
        <f ca="1">IFERROR(__xludf.DUMMYFUNCTION("""COMPUTED_VALUE"""),1)</f>
        <v>1</v>
      </c>
      <c r="D7749" s="8">
        <f ca="1">IFERROR(__xludf.DUMMYFUNCTION("""COMPUTED_VALUE"""),1)</f>
        <v>1</v>
      </c>
      <c r="E7749" s="2">
        <f ca="1">IFERROR(__xludf.DUMMYFUNCTION("""COMPUTED_VALUE"""),1)</f>
        <v>1</v>
      </c>
    </row>
    <row r="7750" spans="1:5" ht="13">
      <c r="A7750" s="2" t="str">
        <f ca="1">IFERROR(__xludf.DUMMYFUNCTION("""COMPUTED_VALUE"""),"Stark, Christopher")</f>
        <v>Stark, Christopher</v>
      </c>
      <c r="B7750" s="3">
        <f ca="1">IFERROR(__xludf.DUMMYFUNCTION("""COMPUTED_VALUE"""),1)</f>
        <v>1</v>
      </c>
      <c r="C7750" s="7">
        <f ca="1">IFERROR(__xludf.DUMMYFUNCTION("""COMPUTED_VALUE"""),1)</f>
        <v>1</v>
      </c>
      <c r="D7750" s="8">
        <f ca="1">IFERROR(__xludf.DUMMYFUNCTION("""COMPUTED_VALUE"""),1)</f>
        <v>1</v>
      </c>
      <c r="E7750" s="2">
        <f ca="1">IFERROR(__xludf.DUMMYFUNCTION("""COMPUTED_VALUE"""),1)</f>
        <v>1</v>
      </c>
    </row>
    <row r="7751" spans="1:5" ht="13">
      <c r="A7751" s="2" t="str">
        <f ca="1">IFERROR(__xludf.DUMMYFUNCTION("""COMPUTED_VALUE"""),"Starkey, Leeann Ashby")</f>
        <v>Starkey, Leeann Ashby</v>
      </c>
      <c r="B7751" s="3">
        <f ca="1">IFERROR(__xludf.DUMMYFUNCTION("""COMPUTED_VALUE"""),1)</f>
        <v>1</v>
      </c>
      <c r="C7751" s="7">
        <f ca="1">IFERROR(__xludf.DUMMYFUNCTION("""COMPUTED_VALUE"""),1)</f>
        <v>1</v>
      </c>
      <c r="D7751" s="8">
        <f ca="1">IFERROR(__xludf.DUMMYFUNCTION("""COMPUTED_VALUE"""),1)</f>
        <v>1</v>
      </c>
      <c r="E7751" s="2">
        <f ca="1">IFERROR(__xludf.DUMMYFUNCTION("""COMPUTED_VALUE"""),1)</f>
        <v>1</v>
      </c>
    </row>
    <row r="7752" spans="1:5" ht="13">
      <c r="A7752" s="2" t="str">
        <f ca="1">IFERROR(__xludf.DUMMYFUNCTION("""COMPUTED_VALUE"""),"Starr, Douglas")</f>
        <v>Starr, Douglas</v>
      </c>
      <c r="B7752" s="3">
        <f ca="1">IFERROR(__xludf.DUMMYFUNCTION("""COMPUTED_VALUE"""),1)</f>
        <v>1</v>
      </c>
      <c r="C7752" s="7">
        <f ca="1">IFERROR(__xludf.DUMMYFUNCTION("""COMPUTED_VALUE"""),1)</f>
        <v>1</v>
      </c>
      <c r="D7752" s="8">
        <f ca="1">IFERROR(__xludf.DUMMYFUNCTION("""COMPUTED_VALUE"""),1)</f>
        <v>1</v>
      </c>
      <c r="E7752" s="2">
        <f ca="1">IFERROR(__xludf.DUMMYFUNCTION("""COMPUTED_VALUE"""),1)</f>
        <v>1</v>
      </c>
    </row>
    <row r="7753" spans="1:5" ht="13">
      <c r="A7753" s="8" t="str">
        <f ca="1">IFERROR(__xludf.DUMMYFUNCTION("""COMPUTED_VALUE"""),"Starr, William")</f>
        <v>Starr, William</v>
      </c>
      <c r="B7753" s="3">
        <f ca="1">IFERROR(__xludf.DUMMYFUNCTION("""COMPUTED_VALUE"""),1)</f>
        <v>1</v>
      </c>
      <c r="C7753" s="7">
        <f ca="1">IFERROR(__xludf.DUMMYFUNCTION("""COMPUTED_VALUE"""),1)</f>
        <v>1</v>
      </c>
      <c r="D7753" s="8">
        <f ca="1">IFERROR(__xludf.DUMMYFUNCTION("""COMPUTED_VALUE"""),5)</f>
        <v>5</v>
      </c>
      <c r="E7753" s="2">
        <f ca="1">IFERROR(__xludf.DUMMYFUNCTION("""COMPUTED_VALUE"""),2)</f>
        <v>2</v>
      </c>
    </row>
    <row r="7754" spans="1:5" ht="13">
      <c r="A7754" s="2" t="str">
        <f ca="1">IFERROR(__xludf.DUMMYFUNCTION("""COMPUTED_VALUE"""),"Starzer, Josef")</f>
        <v>Starzer, Josef</v>
      </c>
      <c r="B7754" s="3">
        <f ca="1">IFERROR(__xludf.DUMMYFUNCTION("""COMPUTED_VALUE"""),1)</f>
        <v>1</v>
      </c>
      <c r="C7754" s="7">
        <f ca="1">IFERROR(__xludf.DUMMYFUNCTION("""COMPUTED_VALUE"""),1)</f>
        <v>1</v>
      </c>
      <c r="D7754" s="8">
        <f ca="1">IFERROR(__xludf.DUMMYFUNCTION("""COMPUTED_VALUE"""),1)</f>
        <v>1</v>
      </c>
      <c r="E7754" s="2">
        <f ca="1">IFERROR(__xludf.DUMMYFUNCTION("""COMPUTED_VALUE"""),1)</f>
        <v>1</v>
      </c>
    </row>
    <row r="7755" spans="1:5" ht="13">
      <c r="A7755" s="2" t="str">
        <f ca="1">IFERROR(__xludf.DUMMYFUNCTION("""COMPUTED_VALUE"""),"Stassevitch, Paul")</f>
        <v>Stassevitch, Paul</v>
      </c>
      <c r="B7755" s="3">
        <f ca="1">IFERROR(__xludf.DUMMYFUNCTION("""COMPUTED_VALUE"""),1)</f>
        <v>1</v>
      </c>
      <c r="C7755" s="7">
        <f ca="1">IFERROR(__xludf.DUMMYFUNCTION("""COMPUTED_VALUE"""),1)</f>
        <v>1</v>
      </c>
      <c r="D7755" s="8">
        <f ca="1">IFERROR(__xludf.DUMMYFUNCTION("""COMPUTED_VALUE"""),5)</f>
        <v>5</v>
      </c>
      <c r="E7755" s="2">
        <f ca="1">IFERROR(__xludf.DUMMYFUNCTION("""COMPUTED_VALUE"""),2)</f>
        <v>2</v>
      </c>
    </row>
    <row r="7756" spans="1:5" ht="13">
      <c r="A7756" s="2" t="str">
        <f ca="1">IFERROR(__xludf.DUMMYFUNCTION("""COMPUTED_VALUE"""),"Staud, Johannes Maria")</f>
        <v>Staud, Johannes Maria</v>
      </c>
      <c r="B7756" s="3">
        <f ca="1">IFERROR(__xludf.DUMMYFUNCTION("""COMPUTED_VALUE"""),1)</f>
        <v>1</v>
      </c>
      <c r="C7756" s="7">
        <f ca="1">IFERROR(__xludf.DUMMYFUNCTION("""COMPUTED_VALUE"""),1)</f>
        <v>1</v>
      </c>
      <c r="D7756" s="8">
        <f ca="1">IFERROR(__xludf.DUMMYFUNCTION("""COMPUTED_VALUE"""),1)</f>
        <v>1</v>
      </c>
      <c r="E7756" s="2">
        <f ca="1">IFERROR(__xludf.DUMMYFUNCTION("""COMPUTED_VALUE"""),1)</f>
        <v>1</v>
      </c>
    </row>
    <row r="7757" spans="1:5" ht="13">
      <c r="A7757" s="2" t="str">
        <f ca="1">IFERROR(__xludf.DUMMYFUNCTION("""COMPUTED_VALUE"""),"Stauffer, Donald W.")</f>
        <v>Stauffer, Donald W.</v>
      </c>
      <c r="B7757" s="2">
        <f ca="1">IFERROR(__xludf.DUMMYFUNCTION("""COMPUTED_VALUE"""),1)</f>
        <v>1</v>
      </c>
      <c r="C7757" s="7">
        <f ca="1">IFERROR(__xludf.DUMMYFUNCTION("""COMPUTED_VALUE"""),1)</f>
        <v>1</v>
      </c>
      <c r="D7757" s="8">
        <f ca="1">IFERROR(__xludf.DUMMYFUNCTION("""COMPUTED_VALUE"""),1)</f>
        <v>1</v>
      </c>
      <c r="E7757" s="2">
        <f ca="1">IFERROR(__xludf.DUMMYFUNCTION("""COMPUTED_VALUE"""),1)</f>
        <v>1</v>
      </c>
    </row>
    <row r="7758" spans="1:5" ht="13">
      <c r="A7758" s="2" t="str">
        <f ca="1">IFERROR(__xludf.DUMMYFUNCTION("""COMPUTED_VALUE"""),"Steadman-Allen, Ray")</f>
        <v>Steadman-Allen, Ray</v>
      </c>
      <c r="B7758" s="2">
        <f ca="1">IFERROR(__xludf.DUMMYFUNCTION("""COMPUTED_VALUE"""),1)</f>
        <v>1</v>
      </c>
      <c r="C7758" s="2">
        <f ca="1">IFERROR(__xludf.DUMMYFUNCTION("""COMPUTED_VALUE"""),1)</f>
        <v>1</v>
      </c>
      <c r="D7758" s="8">
        <f ca="1">IFERROR(__xludf.DUMMYFUNCTION("""COMPUTED_VALUE"""),5)</f>
        <v>5</v>
      </c>
      <c r="E7758" s="2">
        <f ca="1">IFERROR(__xludf.DUMMYFUNCTION("""COMPUTED_VALUE"""),2)</f>
        <v>2</v>
      </c>
    </row>
    <row r="7759" spans="1:5" ht="13">
      <c r="A7759" s="2" t="str">
        <f ca="1">IFERROR(__xludf.DUMMYFUNCTION("""COMPUTED_VALUE"""),"Steel, Christopher")</f>
        <v>Steel, Christopher</v>
      </c>
      <c r="B7759" s="3">
        <f ca="1">IFERROR(__xludf.DUMMYFUNCTION("""COMPUTED_VALUE"""),1)</f>
        <v>1</v>
      </c>
      <c r="C7759" s="7">
        <f ca="1">IFERROR(__xludf.DUMMYFUNCTION("""COMPUTED_VALUE"""),1)</f>
        <v>1</v>
      </c>
      <c r="D7759" s="8">
        <f ca="1">IFERROR(__xludf.DUMMYFUNCTION("""COMPUTED_VALUE"""),5)</f>
        <v>5</v>
      </c>
      <c r="E7759" s="2">
        <f ca="1">IFERROR(__xludf.DUMMYFUNCTION("""COMPUTED_VALUE"""),2)</f>
        <v>2</v>
      </c>
    </row>
    <row r="7760" spans="1:5" ht="13">
      <c r="A7760" s="8" t="str">
        <f ca="1">IFERROR(__xludf.DUMMYFUNCTION("""COMPUTED_VALUE"""),"Steele, Francis")</f>
        <v>Steele, Francis</v>
      </c>
      <c r="B7760" s="9">
        <f ca="1">IFERROR(__xludf.DUMMYFUNCTION("""COMPUTED_VALUE"""),1)</f>
        <v>1</v>
      </c>
      <c r="C7760" s="7">
        <f ca="1">IFERROR(__xludf.DUMMYFUNCTION("""COMPUTED_VALUE"""),1)</f>
        <v>1</v>
      </c>
      <c r="D7760" s="8">
        <f ca="1">IFERROR(__xludf.DUMMYFUNCTION("""COMPUTED_VALUE"""),1)</f>
        <v>1</v>
      </c>
      <c r="E7760" s="9">
        <f ca="1">IFERROR(__xludf.DUMMYFUNCTION("""COMPUTED_VALUE"""),1)</f>
        <v>1</v>
      </c>
    </row>
    <row r="7761" spans="1:5" ht="13">
      <c r="A7761" s="2" t="str">
        <f ca="1">IFERROR(__xludf.DUMMYFUNCTION("""COMPUTED_VALUE"""),"Steen-Andersen, Simon")</f>
        <v>Steen-Andersen, Simon</v>
      </c>
      <c r="B7761" s="3">
        <f ca="1">IFERROR(__xludf.DUMMYFUNCTION("""COMPUTED_VALUE"""),1)</f>
        <v>1</v>
      </c>
      <c r="C7761" s="7">
        <f ca="1">IFERROR(__xludf.DUMMYFUNCTION("""COMPUTED_VALUE"""),1)</f>
        <v>1</v>
      </c>
      <c r="D7761" s="8">
        <f ca="1">IFERROR(__xludf.DUMMYFUNCTION("""COMPUTED_VALUE"""),1)</f>
        <v>1</v>
      </c>
      <c r="E7761" s="2">
        <f ca="1">IFERROR(__xludf.DUMMYFUNCTION("""COMPUTED_VALUE"""),1)</f>
        <v>1</v>
      </c>
    </row>
    <row r="7762" spans="1:5" ht="13">
      <c r="A7762" s="8" t="str">
        <f ca="1">IFERROR(__xludf.DUMMYFUNCTION("""COMPUTED_VALUE"""),"Steenwick, Gisbert")</f>
        <v>Steenwick, Gisbert</v>
      </c>
      <c r="B7762" s="3">
        <f ca="1">IFERROR(__xludf.DUMMYFUNCTION("""COMPUTED_VALUE"""),1)</f>
        <v>1</v>
      </c>
      <c r="C7762" s="7">
        <f ca="1">IFERROR(__xludf.DUMMYFUNCTION("""COMPUTED_VALUE"""),1)</f>
        <v>1</v>
      </c>
      <c r="D7762" s="8">
        <f ca="1">IFERROR(__xludf.DUMMYFUNCTION("""COMPUTED_VALUE"""),5)</f>
        <v>5</v>
      </c>
      <c r="E7762" s="2">
        <f ca="1">IFERROR(__xludf.DUMMYFUNCTION("""COMPUTED_VALUE"""),2)</f>
        <v>2</v>
      </c>
    </row>
    <row r="7763" spans="1:5" ht="13">
      <c r="A7763" s="8" t="str">
        <f ca="1">IFERROR(__xludf.DUMMYFUNCTION("""COMPUTED_VALUE"""),"Steffani, Agostino")</f>
        <v>Steffani, Agostino</v>
      </c>
      <c r="B7763" s="3">
        <f ca="1">IFERROR(__xludf.DUMMYFUNCTION("""COMPUTED_VALUE"""),1)</f>
        <v>1</v>
      </c>
      <c r="C7763" s="7">
        <f ca="1">IFERROR(__xludf.DUMMYFUNCTION("""COMPUTED_VALUE"""),1)</f>
        <v>1</v>
      </c>
      <c r="D7763" s="8">
        <f ca="1">IFERROR(__xludf.DUMMYFUNCTION("""COMPUTED_VALUE"""),5)</f>
        <v>5</v>
      </c>
      <c r="E7763" s="2">
        <f ca="1">IFERROR(__xludf.DUMMYFUNCTION("""COMPUTED_VALUE"""),2)</f>
        <v>2</v>
      </c>
    </row>
    <row r="7764" spans="1:5" ht="13">
      <c r="A7764" s="8" t="str">
        <f ca="1">IFERROR(__xludf.DUMMYFUNCTION("""COMPUTED_VALUE"""),"Steffe, William")</f>
        <v>Steffe, William</v>
      </c>
      <c r="B7764" s="3">
        <f ca="1">IFERROR(__xludf.DUMMYFUNCTION("""COMPUTED_VALUE"""),1)</f>
        <v>1</v>
      </c>
      <c r="C7764" s="7">
        <f ca="1">IFERROR(__xludf.DUMMYFUNCTION("""COMPUTED_VALUE"""),1)</f>
        <v>1</v>
      </c>
      <c r="D7764" s="8">
        <f ca="1">IFERROR(__xludf.DUMMYFUNCTION("""COMPUTED_VALUE"""),5)</f>
        <v>5</v>
      </c>
      <c r="E7764" s="2">
        <f ca="1">IFERROR(__xludf.DUMMYFUNCTION("""COMPUTED_VALUE"""),2)</f>
        <v>2</v>
      </c>
    </row>
    <row r="7765" spans="1:5" ht="13">
      <c r="A7765" s="2" t="str">
        <f ca="1">IFERROR(__xludf.DUMMYFUNCTION("""COMPUTED_VALUE"""),"Steffen, Andrew")</f>
        <v>Steffen, Andrew</v>
      </c>
      <c r="B7765" s="3">
        <f ca="1">IFERROR(__xludf.DUMMYFUNCTION("""COMPUTED_VALUE"""),1)</f>
        <v>1</v>
      </c>
      <c r="C7765" s="7">
        <f ca="1">IFERROR(__xludf.DUMMYFUNCTION("""COMPUTED_VALUE"""),1)</f>
        <v>1</v>
      </c>
      <c r="D7765" s="8">
        <f ca="1">IFERROR(__xludf.DUMMYFUNCTION("""COMPUTED_VALUE"""),1)</f>
        <v>1</v>
      </c>
      <c r="E7765" s="2">
        <f ca="1">IFERROR(__xludf.DUMMYFUNCTION("""COMPUTED_VALUE"""),1)</f>
        <v>1</v>
      </c>
    </row>
    <row r="7766" spans="1:5" ht="13">
      <c r="A7766" s="8" t="str">
        <f ca="1">IFERROR(__xludf.DUMMYFUNCTION("""COMPUTED_VALUE"""),"Steffen, Cecil")</f>
        <v>Steffen, Cecil</v>
      </c>
      <c r="B7766" s="3">
        <f ca="1">IFERROR(__xludf.DUMMYFUNCTION("""COMPUTED_VALUE"""),1)</f>
        <v>1</v>
      </c>
      <c r="C7766" s="7">
        <f ca="1">IFERROR(__xludf.DUMMYFUNCTION("""COMPUTED_VALUE"""),1)</f>
        <v>1</v>
      </c>
      <c r="D7766" s="8">
        <f ca="1">IFERROR(__xludf.DUMMYFUNCTION("""COMPUTED_VALUE"""),5)</f>
        <v>5</v>
      </c>
      <c r="E7766" s="2">
        <f ca="1">IFERROR(__xludf.DUMMYFUNCTION("""COMPUTED_VALUE"""),2)</f>
        <v>2</v>
      </c>
    </row>
    <row r="7767" spans="1:5" ht="13">
      <c r="A7767" s="2" t="str">
        <f ca="1">IFERROR(__xludf.DUMMYFUNCTION("""COMPUTED_VALUE"""),"Steffens, Johann")</f>
        <v>Steffens, Johann</v>
      </c>
      <c r="B7767" s="3">
        <f ca="1">IFERROR(__xludf.DUMMYFUNCTION("""COMPUTED_VALUE"""),1)</f>
        <v>1</v>
      </c>
      <c r="C7767" s="7">
        <f ca="1">IFERROR(__xludf.DUMMYFUNCTION("""COMPUTED_VALUE"""),1)</f>
        <v>1</v>
      </c>
      <c r="D7767" s="8">
        <f ca="1">IFERROR(__xludf.DUMMYFUNCTION("""COMPUTED_VALUE"""),5)</f>
        <v>5</v>
      </c>
      <c r="E7767" s="2">
        <f ca="1">IFERROR(__xludf.DUMMYFUNCTION("""COMPUTED_VALUE"""),2)</f>
        <v>2</v>
      </c>
    </row>
    <row r="7768" spans="1:5" ht="13">
      <c r="A7768" s="2" t="str">
        <f ca="1">IFERROR(__xludf.DUMMYFUNCTION("""COMPUTED_VALUE"""),"Steffy, Thurlow")</f>
        <v>Steffy, Thurlow</v>
      </c>
      <c r="B7768" s="3">
        <f ca="1">IFERROR(__xludf.DUMMYFUNCTION("""COMPUTED_VALUE"""),1)</f>
        <v>1</v>
      </c>
      <c r="C7768" s="7">
        <f ca="1">IFERROR(__xludf.DUMMYFUNCTION("""COMPUTED_VALUE"""),1)</f>
        <v>1</v>
      </c>
      <c r="D7768" s="8">
        <f ca="1">IFERROR(__xludf.DUMMYFUNCTION("""COMPUTED_VALUE"""),1)</f>
        <v>1</v>
      </c>
      <c r="E7768" s="2">
        <f ca="1">IFERROR(__xludf.DUMMYFUNCTION("""COMPUTED_VALUE"""),1)</f>
        <v>1</v>
      </c>
    </row>
    <row r="7769" spans="1:5" ht="13">
      <c r="A7769" s="2" t="str">
        <f ca="1">IFERROR(__xludf.DUMMYFUNCTION("""COMPUTED_VALUE"""),"Steg, Paul")</f>
        <v>Steg, Paul</v>
      </c>
      <c r="B7769" s="3">
        <f ca="1">IFERROR(__xludf.DUMMYFUNCTION("""COMPUTED_VALUE"""),1)</f>
        <v>1</v>
      </c>
      <c r="C7769" s="7">
        <f ca="1">IFERROR(__xludf.DUMMYFUNCTION("""COMPUTED_VALUE"""),1)</f>
        <v>1</v>
      </c>
      <c r="D7769" s="8">
        <f ca="1">IFERROR(__xludf.DUMMYFUNCTION("""COMPUTED_VALUE"""),5)</f>
        <v>5</v>
      </c>
      <c r="E7769" s="2">
        <f ca="1">IFERROR(__xludf.DUMMYFUNCTION("""COMPUTED_VALUE"""),2)</f>
        <v>2</v>
      </c>
    </row>
    <row r="7770" spans="1:5" ht="13">
      <c r="A7770" s="2" t="str">
        <f ca="1">IFERROR(__xludf.DUMMYFUNCTION("""COMPUTED_VALUE"""),"Steiger, Jimmy / Malie, Tommy")</f>
        <v>Steiger, Jimmy / Malie, Tommy</v>
      </c>
      <c r="B7770" s="3">
        <f ca="1">IFERROR(__xludf.DUMMYFUNCTION("""COMPUTED_VALUE"""),1)</f>
        <v>1</v>
      </c>
      <c r="C7770" s="7">
        <f ca="1">IFERROR(__xludf.DUMMYFUNCTION("""COMPUTED_VALUE"""),1)</f>
        <v>1</v>
      </c>
      <c r="D7770" s="8">
        <f ca="1">IFERROR(__xludf.DUMMYFUNCTION("""COMPUTED_VALUE"""),5)</f>
        <v>5</v>
      </c>
      <c r="E7770" s="2">
        <f ca="1">IFERROR(__xludf.DUMMYFUNCTION("""COMPUTED_VALUE"""),2)</f>
        <v>2</v>
      </c>
    </row>
    <row r="7771" spans="1:5" ht="13">
      <c r="A7771" s="2" t="str">
        <f ca="1">IFERROR(__xludf.DUMMYFUNCTION("""COMPUTED_VALUE"""),"Steiger, Leigh D.")</f>
        <v>Steiger, Leigh D.</v>
      </c>
      <c r="B7771" s="3">
        <f ca="1">IFERROR(__xludf.DUMMYFUNCTION("""COMPUTED_VALUE"""),1)</f>
        <v>1</v>
      </c>
      <c r="C7771" s="7">
        <f ca="1">IFERROR(__xludf.DUMMYFUNCTION("""COMPUTED_VALUE"""),1)</f>
        <v>1</v>
      </c>
      <c r="D7771" s="8">
        <f ca="1">IFERROR(__xludf.DUMMYFUNCTION("""COMPUTED_VALUE"""),5)</f>
        <v>5</v>
      </c>
      <c r="E7771" s="2">
        <f ca="1">IFERROR(__xludf.DUMMYFUNCTION("""COMPUTED_VALUE"""),2)</f>
        <v>2</v>
      </c>
    </row>
    <row r="7772" spans="1:5" ht="13">
      <c r="A7772" s="2" t="str">
        <f ca="1">IFERROR(__xludf.DUMMYFUNCTION("""COMPUTED_VALUE"""),"Stein, Alan")</f>
        <v>Stein, Alan</v>
      </c>
      <c r="B7772" s="3">
        <f ca="1">IFERROR(__xludf.DUMMYFUNCTION("""COMPUTED_VALUE"""),1)</f>
        <v>1</v>
      </c>
      <c r="C7772" s="7">
        <f ca="1">IFERROR(__xludf.DUMMYFUNCTION("""COMPUTED_VALUE"""),1)</f>
        <v>1</v>
      </c>
      <c r="D7772" s="8">
        <f ca="1">IFERROR(__xludf.DUMMYFUNCTION("""COMPUTED_VALUE"""),1)</f>
        <v>1</v>
      </c>
      <c r="E7772" s="2">
        <f ca="1">IFERROR(__xludf.DUMMYFUNCTION("""COMPUTED_VALUE"""),1)</f>
        <v>1</v>
      </c>
    </row>
    <row r="7773" spans="1:5" ht="13">
      <c r="A7773" s="2" t="str">
        <f ca="1">IFERROR(__xludf.DUMMYFUNCTION("""COMPUTED_VALUE"""),"Stein, Arne Ole")</f>
        <v>Stein, Arne Ole</v>
      </c>
      <c r="B7773" s="2">
        <f ca="1">IFERROR(__xludf.DUMMYFUNCTION("""COMPUTED_VALUE"""),1)</f>
        <v>1</v>
      </c>
      <c r="C7773" s="7">
        <f ca="1">IFERROR(__xludf.DUMMYFUNCTION("""COMPUTED_VALUE"""),1)</f>
        <v>1</v>
      </c>
      <c r="D7773" s="8">
        <f ca="1">IFERROR(__xludf.DUMMYFUNCTION("""COMPUTED_VALUE"""),1)</f>
        <v>1</v>
      </c>
      <c r="E7773" s="2">
        <f ca="1">IFERROR(__xludf.DUMMYFUNCTION("""COMPUTED_VALUE"""),1)</f>
        <v>1</v>
      </c>
    </row>
    <row r="7774" spans="1:5" ht="13">
      <c r="A7774" s="8" t="str">
        <f ca="1">IFERROR(__xludf.DUMMYFUNCTION("""COMPUTED_VALUE"""),"Stein, David")</f>
        <v>Stein, David</v>
      </c>
      <c r="B7774" s="3">
        <f ca="1">IFERROR(__xludf.DUMMYFUNCTION("""COMPUTED_VALUE"""),1)</f>
        <v>1</v>
      </c>
      <c r="C7774" s="7">
        <f ca="1">IFERROR(__xludf.DUMMYFUNCTION("""COMPUTED_VALUE"""),1)</f>
        <v>1</v>
      </c>
      <c r="D7774" s="8">
        <f ca="1">IFERROR(__xludf.DUMMYFUNCTION("""COMPUTED_VALUE"""),1)</f>
        <v>1</v>
      </c>
      <c r="E7774" s="2">
        <f ca="1">IFERROR(__xludf.DUMMYFUNCTION("""COMPUTED_VALUE"""),1)</f>
        <v>1</v>
      </c>
    </row>
    <row r="7775" spans="1:5" ht="13">
      <c r="A7775" s="8" t="str">
        <f ca="1">IFERROR(__xludf.DUMMYFUNCTION("""COMPUTED_VALUE"""),"Steinberg, Ben")</f>
        <v>Steinberg, Ben</v>
      </c>
      <c r="B7775" s="3">
        <f ca="1">IFERROR(__xludf.DUMMYFUNCTION("""COMPUTED_VALUE"""),1)</f>
        <v>1</v>
      </c>
      <c r="C7775" s="7">
        <f ca="1">IFERROR(__xludf.DUMMYFUNCTION("""COMPUTED_VALUE"""),1)</f>
        <v>1</v>
      </c>
      <c r="D7775" s="8">
        <f ca="1">IFERROR(__xludf.DUMMYFUNCTION("""COMPUTED_VALUE"""),1)</f>
        <v>1</v>
      </c>
      <c r="E7775" s="2">
        <f ca="1">IFERROR(__xludf.DUMMYFUNCTION("""COMPUTED_VALUE"""),1)</f>
        <v>1</v>
      </c>
    </row>
    <row r="7776" spans="1:5" ht="13">
      <c r="A7776" s="2" t="str">
        <f ca="1">IFERROR(__xludf.DUMMYFUNCTION("""COMPUTED_VALUE"""),"Steinberg, Billy / Kelly, Tom")</f>
        <v>Steinberg, Billy / Kelly, Tom</v>
      </c>
      <c r="B7776" s="3">
        <f ca="1">IFERROR(__xludf.DUMMYFUNCTION("""COMPUTED_VALUE"""),1)</f>
        <v>1</v>
      </c>
      <c r="C7776" s="7">
        <f ca="1">IFERROR(__xludf.DUMMYFUNCTION("""COMPUTED_VALUE"""),1)</f>
        <v>1</v>
      </c>
      <c r="D7776" s="8">
        <f ca="1">IFERROR(__xludf.DUMMYFUNCTION("""COMPUTED_VALUE"""),1)</f>
        <v>1</v>
      </c>
      <c r="E7776" s="3">
        <f ca="1">IFERROR(__xludf.DUMMYFUNCTION("""COMPUTED_VALUE"""),1)</f>
        <v>1</v>
      </c>
    </row>
    <row r="7777" spans="1:5" ht="13">
      <c r="A7777" s="2" t="str">
        <f ca="1">IFERROR(__xludf.DUMMYFUNCTION("""COMPUTED_VALUE"""),"Steinel, Mike")</f>
        <v>Steinel, Mike</v>
      </c>
      <c r="B7777" s="3">
        <f ca="1">IFERROR(__xludf.DUMMYFUNCTION("""COMPUTED_VALUE"""),1)</f>
        <v>1</v>
      </c>
      <c r="C7777" s="7">
        <f ca="1">IFERROR(__xludf.DUMMYFUNCTION("""COMPUTED_VALUE"""),1)</f>
        <v>1</v>
      </c>
      <c r="D7777" s="8">
        <f ca="1">IFERROR(__xludf.DUMMYFUNCTION("""COMPUTED_VALUE"""),1)</f>
        <v>1</v>
      </c>
      <c r="E7777" s="2">
        <f ca="1">IFERROR(__xludf.DUMMYFUNCTION("""COMPUTED_VALUE"""),1)</f>
        <v>1</v>
      </c>
    </row>
    <row r="7778" spans="1:5" ht="13">
      <c r="A7778" s="2" t="str">
        <f ca="1">IFERROR(__xludf.DUMMYFUNCTION("""COMPUTED_VALUE"""),"Steiner, Max")</f>
        <v>Steiner, Max</v>
      </c>
      <c r="B7778" s="3">
        <f ca="1">IFERROR(__xludf.DUMMYFUNCTION("""COMPUTED_VALUE"""),1)</f>
        <v>1</v>
      </c>
      <c r="C7778" s="7">
        <f ca="1">IFERROR(__xludf.DUMMYFUNCTION("""COMPUTED_VALUE"""),1)</f>
        <v>1</v>
      </c>
      <c r="D7778" s="8">
        <f ca="1">IFERROR(__xludf.DUMMYFUNCTION("""COMPUTED_VALUE"""),5)</f>
        <v>5</v>
      </c>
      <c r="E7778" s="2">
        <f ca="1">IFERROR(__xludf.DUMMYFUNCTION("""COMPUTED_VALUE"""),2)</f>
        <v>2</v>
      </c>
    </row>
    <row r="7779" spans="1:5" ht="13">
      <c r="A7779" s="2" t="str">
        <f ca="1">IFERROR(__xludf.DUMMYFUNCTION("""COMPUTED_VALUE"""),"Steinitz, Paul")</f>
        <v>Steinitz, Paul</v>
      </c>
      <c r="B7779" s="3">
        <f ca="1">IFERROR(__xludf.DUMMYFUNCTION("""COMPUTED_VALUE"""),1)</f>
        <v>1</v>
      </c>
      <c r="C7779" s="7">
        <f ca="1">IFERROR(__xludf.DUMMYFUNCTION("""COMPUTED_VALUE"""),1)</f>
        <v>1</v>
      </c>
      <c r="D7779" s="8">
        <f ca="1">IFERROR(__xludf.DUMMYFUNCTION("""COMPUTED_VALUE"""),5)</f>
        <v>5</v>
      </c>
      <c r="E7779" s="2">
        <f ca="1">IFERROR(__xludf.DUMMYFUNCTION("""COMPUTED_VALUE"""),2)</f>
        <v>2</v>
      </c>
    </row>
    <row r="7780" spans="1:5" ht="13">
      <c r="A7780" s="2" t="str">
        <f ca="1">IFERROR(__xludf.DUMMYFUNCTION("""COMPUTED_VALUE"""),"Steinkamp, Lloyd")</f>
        <v>Steinkamp, Lloyd</v>
      </c>
      <c r="B7780" s="2">
        <f ca="1">IFERROR(__xludf.DUMMYFUNCTION("""COMPUTED_VALUE"""),1)</f>
        <v>1</v>
      </c>
      <c r="C7780" s="7">
        <f ca="1">IFERROR(__xludf.DUMMYFUNCTION("""COMPUTED_VALUE"""),1)</f>
        <v>1</v>
      </c>
      <c r="D7780" s="8">
        <f ca="1">IFERROR(__xludf.DUMMYFUNCTION("""COMPUTED_VALUE"""),5)</f>
        <v>5</v>
      </c>
      <c r="E7780" s="2">
        <f ca="1">IFERROR(__xludf.DUMMYFUNCTION("""COMPUTED_VALUE"""),2)</f>
        <v>2</v>
      </c>
    </row>
    <row r="7781" spans="1:5" ht="13">
      <c r="A7781" s="2" t="str">
        <f ca="1">IFERROR(__xludf.DUMMYFUNCTION("""COMPUTED_VALUE"""),"Steinohrt, William")</f>
        <v>Steinohrt, William</v>
      </c>
      <c r="B7781" s="3">
        <f ca="1">IFERROR(__xludf.DUMMYFUNCTION("""COMPUTED_VALUE"""),1)</f>
        <v>1</v>
      </c>
      <c r="C7781" s="7">
        <f ca="1">IFERROR(__xludf.DUMMYFUNCTION("""COMPUTED_VALUE"""),1)</f>
        <v>1</v>
      </c>
      <c r="D7781" s="8">
        <f ca="1">IFERROR(__xludf.DUMMYFUNCTION("""COMPUTED_VALUE"""),1)</f>
        <v>1</v>
      </c>
      <c r="E7781" s="3">
        <f ca="1">IFERROR(__xludf.DUMMYFUNCTION("""COMPUTED_VALUE"""),1)</f>
        <v>1</v>
      </c>
    </row>
    <row r="7782" spans="1:5" ht="13">
      <c r="A7782" s="2" t="str">
        <f ca="1">IFERROR(__xludf.DUMMYFUNCTION("""COMPUTED_VALUE"""),"Steinquest, David")</f>
        <v>Steinquest, David</v>
      </c>
      <c r="B7782" s="3">
        <f ca="1">IFERROR(__xludf.DUMMYFUNCTION("""COMPUTED_VALUE"""),1)</f>
        <v>1</v>
      </c>
      <c r="C7782" s="7">
        <f ca="1">IFERROR(__xludf.DUMMYFUNCTION("""COMPUTED_VALUE"""),1)</f>
        <v>1</v>
      </c>
      <c r="D7782" s="8">
        <f ca="1">IFERROR(__xludf.DUMMYFUNCTION("""COMPUTED_VALUE"""),1)</f>
        <v>1</v>
      </c>
      <c r="E7782" s="2">
        <f ca="1">IFERROR(__xludf.DUMMYFUNCTION("""COMPUTED_VALUE"""),1)</f>
        <v>1</v>
      </c>
    </row>
    <row r="7783" spans="1:5" ht="13">
      <c r="A7783" s="2" t="str">
        <f ca="1">IFERROR(__xludf.DUMMYFUNCTION("""COMPUTED_VALUE"""),"Stelluto, George")</f>
        <v>Stelluto, George</v>
      </c>
      <c r="B7783" s="2">
        <f ca="1">IFERROR(__xludf.DUMMYFUNCTION("""COMPUTED_VALUE"""),1)</f>
        <v>1</v>
      </c>
      <c r="C7783" s="2">
        <f ca="1">IFERROR(__xludf.DUMMYFUNCTION("""COMPUTED_VALUE"""),1)</f>
        <v>1</v>
      </c>
      <c r="D7783" s="8">
        <f ca="1">IFERROR(__xludf.DUMMYFUNCTION("""COMPUTED_VALUE"""),1)</f>
        <v>1</v>
      </c>
      <c r="E7783" s="2">
        <f ca="1">IFERROR(__xludf.DUMMYFUNCTION("""COMPUTED_VALUE"""),1)</f>
        <v>1</v>
      </c>
    </row>
    <row r="7784" spans="1:5" ht="13">
      <c r="A7784" s="8" t="str">
        <f ca="1">IFERROR(__xludf.DUMMYFUNCTION("""COMPUTED_VALUE"""),"Stempien, Joey")</f>
        <v>Stempien, Joey</v>
      </c>
      <c r="B7784" s="3">
        <f ca="1">IFERROR(__xludf.DUMMYFUNCTION("""COMPUTED_VALUE"""),1)</f>
        <v>1</v>
      </c>
      <c r="C7784" s="7">
        <f ca="1">IFERROR(__xludf.DUMMYFUNCTION("""COMPUTED_VALUE"""),1)</f>
        <v>1</v>
      </c>
      <c r="D7784" s="8">
        <f ca="1">IFERROR(__xludf.DUMMYFUNCTION("""COMPUTED_VALUE"""),1)</f>
        <v>1</v>
      </c>
      <c r="E7784" s="2">
        <f ca="1">IFERROR(__xludf.DUMMYFUNCTION("""COMPUTED_VALUE"""),1)</f>
        <v>1</v>
      </c>
    </row>
    <row r="7785" spans="1:5" ht="13">
      <c r="A7785" s="2" t="str">
        <f ca="1">IFERROR(__xludf.DUMMYFUNCTION("""COMPUTED_VALUE"""),"Stenhammar, Wilhelm")</f>
        <v>Stenhammar, Wilhelm</v>
      </c>
      <c r="B7785" s="3">
        <f ca="1">IFERROR(__xludf.DUMMYFUNCTION("""COMPUTED_VALUE"""),1)</f>
        <v>1</v>
      </c>
      <c r="C7785" s="7">
        <f ca="1">IFERROR(__xludf.DUMMYFUNCTION("""COMPUTED_VALUE"""),1)</f>
        <v>1</v>
      </c>
      <c r="D7785" s="8">
        <f ca="1">IFERROR(__xludf.DUMMYFUNCTION("""COMPUTED_VALUE"""),5)</f>
        <v>5</v>
      </c>
      <c r="E7785" s="2">
        <f ca="1">IFERROR(__xludf.DUMMYFUNCTION("""COMPUTED_VALUE"""),2)</f>
        <v>2</v>
      </c>
    </row>
    <row r="7786" spans="1:5" ht="13">
      <c r="A7786" s="2" t="str">
        <f ca="1">IFERROR(__xludf.DUMMYFUNCTION("""COMPUTED_VALUE"""),"Stenson, Ervine J.")</f>
        <v>Stenson, Ervine J.</v>
      </c>
      <c r="B7786" s="3">
        <f ca="1">IFERROR(__xludf.DUMMYFUNCTION("""COMPUTED_VALUE"""),1)</f>
        <v>1</v>
      </c>
      <c r="C7786" s="7">
        <f ca="1">IFERROR(__xludf.DUMMYFUNCTION("""COMPUTED_VALUE"""),1)</f>
        <v>1</v>
      </c>
      <c r="D7786" s="8">
        <f ca="1">IFERROR(__xludf.DUMMYFUNCTION("""COMPUTED_VALUE"""),5)</f>
        <v>5</v>
      </c>
      <c r="E7786" s="2">
        <f ca="1">IFERROR(__xludf.DUMMYFUNCTION("""COMPUTED_VALUE"""),2)</f>
        <v>2</v>
      </c>
    </row>
    <row r="7787" spans="1:5" ht="13">
      <c r="A7787" s="8" t="str">
        <f ca="1">IFERROR(__xludf.DUMMYFUNCTION("""COMPUTED_VALUE"""),"Stephan, Richard")</f>
        <v>Stephan, Richard</v>
      </c>
      <c r="B7787" s="3">
        <f ca="1">IFERROR(__xludf.DUMMYFUNCTION("""COMPUTED_VALUE"""),1)</f>
        <v>1</v>
      </c>
      <c r="C7787" s="7">
        <f ca="1">IFERROR(__xludf.DUMMYFUNCTION("""COMPUTED_VALUE"""),1)</f>
        <v>1</v>
      </c>
      <c r="D7787" s="8">
        <f ca="1">IFERROR(__xludf.DUMMYFUNCTION("""COMPUTED_VALUE"""),5)</f>
        <v>5</v>
      </c>
      <c r="E7787" s="2">
        <f ca="1">IFERROR(__xludf.DUMMYFUNCTION("""COMPUTED_VALUE"""),2)</f>
        <v>2</v>
      </c>
    </row>
    <row r="7788" spans="1:5" ht="13">
      <c r="A7788" s="2" t="str">
        <f ca="1">IFERROR(__xludf.DUMMYFUNCTION("""COMPUTED_VALUE"""),"Stephani, Johann")</f>
        <v>Stephani, Johann</v>
      </c>
      <c r="B7788" s="3">
        <f ca="1">IFERROR(__xludf.DUMMYFUNCTION("""COMPUTED_VALUE"""),1)</f>
        <v>1</v>
      </c>
      <c r="C7788" s="7">
        <f ca="1">IFERROR(__xludf.DUMMYFUNCTION("""COMPUTED_VALUE"""),1)</f>
        <v>1</v>
      </c>
      <c r="D7788" s="8">
        <f ca="1">IFERROR(__xludf.DUMMYFUNCTION("""COMPUTED_VALUE"""),5)</f>
        <v>5</v>
      </c>
      <c r="E7788" s="2">
        <f ca="1">IFERROR(__xludf.DUMMYFUNCTION("""COMPUTED_VALUE"""),2)</f>
        <v>2</v>
      </c>
    </row>
    <row r="7789" spans="1:5" ht="13">
      <c r="A7789" s="2" t="str">
        <f ca="1">IFERROR(__xludf.DUMMYFUNCTION("""COMPUTED_VALUE"""),"Stephens, John")</f>
        <v>Stephens, John</v>
      </c>
      <c r="B7789" s="3">
        <f ca="1">IFERROR(__xludf.DUMMYFUNCTION("""COMPUTED_VALUE"""),1)</f>
        <v>1</v>
      </c>
      <c r="C7789" s="7">
        <f ca="1">IFERROR(__xludf.DUMMYFUNCTION("""COMPUTED_VALUE"""),1)</f>
        <v>1</v>
      </c>
      <c r="D7789" s="8">
        <f ca="1">IFERROR(__xludf.DUMMYFUNCTION("""COMPUTED_VALUE"""),1)</f>
        <v>1</v>
      </c>
      <c r="E7789" s="3">
        <f ca="1">IFERROR(__xludf.DUMMYFUNCTION("""COMPUTED_VALUE"""),1)</f>
        <v>1</v>
      </c>
    </row>
    <row r="7790" spans="1:5" ht="13">
      <c r="A7790" s="2" t="str">
        <f ca="1">IFERROR(__xludf.DUMMYFUNCTION("""COMPUTED_VALUE"""),"Stephenson, Allan")</f>
        <v>Stephenson, Allan</v>
      </c>
      <c r="B7790" s="2">
        <f ca="1">IFERROR(__xludf.DUMMYFUNCTION("""COMPUTED_VALUE"""),1)</f>
        <v>1</v>
      </c>
      <c r="C7790" s="7">
        <f ca="1">IFERROR(__xludf.DUMMYFUNCTION("""COMPUTED_VALUE"""),1)</f>
        <v>1</v>
      </c>
      <c r="D7790" s="8">
        <f ca="1">IFERROR(__xludf.DUMMYFUNCTION("""COMPUTED_VALUE"""),5)</f>
        <v>5</v>
      </c>
      <c r="E7790" s="2">
        <f ca="1">IFERROR(__xludf.DUMMYFUNCTION("""COMPUTED_VALUE"""),2)</f>
        <v>2</v>
      </c>
    </row>
    <row r="7791" spans="1:5" ht="13">
      <c r="A7791" s="2" t="str">
        <f ca="1">IFERROR(__xludf.DUMMYFUNCTION("""COMPUTED_VALUE"""),"Stephenson, James")</f>
        <v>Stephenson, James</v>
      </c>
      <c r="B7791" s="3">
        <f ca="1">IFERROR(__xludf.DUMMYFUNCTION("""COMPUTED_VALUE"""),1)</f>
        <v>1</v>
      </c>
      <c r="C7791" s="7">
        <f ca="1">IFERROR(__xludf.DUMMYFUNCTION("""COMPUTED_VALUE"""),1)</f>
        <v>1</v>
      </c>
      <c r="D7791" s="8">
        <f ca="1">IFERROR(__xludf.DUMMYFUNCTION("""COMPUTED_VALUE"""),1)</f>
        <v>1</v>
      </c>
      <c r="E7791" s="2">
        <f ca="1">IFERROR(__xludf.DUMMYFUNCTION("""COMPUTED_VALUE"""),1)</f>
        <v>1</v>
      </c>
    </row>
    <row r="7792" spans="1:5" ht="13">
      <c r="A7792" s="2" t="str">
        <f ca="1">IFERROR(__xludf.DUMMYFUNCTION("""COMPUTED_VALUE"""),"Stephenson, James M.")</f>
        <v>Stephenson, James M.</v>
      </c>
      <c r="B7792" s="3">
        <f ca="1">IFERROR(__xludf.DUMMYFUNCTION("""COMPUTED_VALUE"""),1)</f>
        <v>1</v>
      </c>
      <c r="C7792" s="7">
        <f ca="1">IFERROR(__xludf.DUMMYFUNCTION("""COMPUTED_VALUE"""),1)</f>
        <v>1</v>
      </c>
      <c r="D7792" s="8">
        <f ca="1">IFERROR(__xludf.DUMMYFUNCTION("""COMPUTED_VALUE"""),1)</f>
        <v>1</v>
      </c>
      <c r="E7792" s="2">
        <f ca="1">IFERROR(__xludf.DUMMYFUNCTION("""COMPUTED_VALUE"""),1)</f>
        <v>1</v>
      </c>
    </row>
    <row r="7793" spans="1:5" ht="13">
      <c r="A7793" s="8" t="str">
        <f ca="1">IFERROR(__xludf.DUMMYFUNCTION("""COMPUTED_VALUE"""),"Stephenson, Jim")</f>
        <v>Stephenson, Jim</v>
      </c>
      <c r="B7793" s="3">
        <f ca="1">IFERROR(__xludf.DUMMYFUNCTION("""COMPUTED_VALUE"""),1)</f>
        <v>1</v>
      </c>
      <c r="C7793" s="7">
        <f ca="1">IFERROR(__xludf.DUMMYFUNCTION("""COMPUTED_VALUE"""),1)</f>
        <v>1</v>
      </c>
      <c r="D7793" s="8">
        <f ca="1">IFERROR(__xludf.DUMMYFUNCTION("""COMPUTED_VALUE"""),1)</f>
        <v>1</v>
      </c>
      <c r="E7793" s="2">
        <f ca="1">IFERROR(__xludf.DUMMYFUNCTION("""COMPUTED_VALUE"""),1)</f>
        <v>1</v>
      </c>
    </row>
    <row r="7794" spans="1:5" ht="13">
      <c r="A7794" s="8" t="str">
        <f ca="1">IFERROR(__xludf.DUMMYFUNCTION("""COMPUTED_VALUE"""),"Stepp, William Hamilton")</f>
        <v>Stepp, William Hamilton</v>
      </c>
      <c r="B7794" s="3">
        <f ca="1">IFERROR(__xludf.DUMMYFUNCTION("""COMPUTED_VALUE"""),1)</f>
        <v>1</v>
      </c>
      <c r="C7794" s="7">
        <f ca="1">IFERROR(__xludf.DUMMYFUNCTION("""COMPUTED_VALUE"""),1)</f>
        <v>1</v>
      </c>
      <c r="D7794" s="8">
        <f ca="1">IFERROR(__xludf.DUMMYFUNCTION("""COMPUTED_VALUE"""),1)</f>
        <v>1</v>
      </c>
      <c r="E7794" s="3">
        <f ca="1">IFERROR(__xludf.DUMMYFUNCTION("""COMPUTED_VALUE"""),1)</f>
        <v>1</v>
      </c>
    </row>
    <row r="7795" spans="1:5" ht="13">
      <c r="A7795" s="2" t="str">
        <f ca="1">IFERROR(__xludf.DUMMYFUNCTION("""COMPUTED_VALUE"""),"Stept, H. Sam / Brown, Les")</f>
        <v>Stept, H. Sam / Brown, Les</v>
      </c>
      <c r="B7795" s="2">
        <f ca="1">IFERROR(__xludf.DUMMYFUNCTION("""COMPUTED_VALUE"""),1)</f>
        <v>1</v>
      </c>
      <c r="C7795" s="7">
        <f ca="1">IFERROR(__xludf.DUMMYFUNCTION("""COMPUTED_VALUE"""),1)</f>
        <v>1</v>
      </c>
      <c r="D7795" s="8">
        <f ca="1">IFERROR(__xludf.DUMMYFUNCTION("""COMPUTED_VALUE"""),5)</f>
        <v>5</v>
      </c>
      <c r="E7795" s="2">
        <f ca="1">IFERROR(__xludf.DUMMYFUNCTION("""COMPUTED_VALUE"""),2)</f>
        <v>2</v>
      </c>
    </row>
    <row r="7796" spans="1:5" ht="13">
      <c r="A7796" s="2" t="str">
        <f ca="1">IFERROR(__xludf.DUMMYFUNCTION("""COMPUTED_VALUE"""),"Stept, Sam / Palmer, Bee / Clare, Sidney")</f>
        <v>Stept, Sam / Palmer, Bee / Clare, Sidney</v>
      </c>
      <c r="B7796" s="3">
        <f ca="1">IFERROR(__xludf.DUMMYFUNCTION("""COMPUTED_VALUE"""),1)</f>
        <v>1</v>
      </c>
      <c r="C7796" s="7">
        <f ca="1">IFERROR(__xludf.DUMMYFUNCTION("""COMPUTED_VALUE"""),1)</f>
        <v>1</v>
      </c>
      <c r="D7796" s="8">
        <f ca="1">IFERROR(__xludf.DUMMYFUNCTION("""COMPUTED_VALUE"""),5)</f>
        <v>5</v>
      </c>
      <c r="E7796" s="2">
        <f ca="1">IFERROR(__xludf.DUMMYFUNCTION("""COMPUTED_VALUE"""),2)</f>
        <v>2</v>
      </c>
    </row>
    <row r="7797" spans="1:5" ht="13">
      <c r="A7797" s="2" t="str">
        <f ca="1">IFERROR(__xludf.DUMMYFUNCTION("""COMPUTED_VALUE"""),"Sterk, Jordan")</f>
        <v>Sterk, Jordan</v>
      </c>
      <c r="B7797" s="3">
        <f ca="1">IFERROR(__xludf.DUMMYFUNCTION("""COMPUTED_VALUE"""),1)</f>
        <v>1</v>
      </c>
      <c r="C7797" s="7">
        <f ca="1">IFERROR(__xludf.DUMMYFUNCTION("""COMPUTED_VALUE"""),1)</f>
        <v>1</v>
      </c>
      <c r="D7797" s="8">
        <f ca="1">IFERROR(__xludf.DUMMYFUNCTION("""COMPUTED_VALUE"""),1)</f>
        <v>1</v>
      </c>
      <c r="E7797" s="2">
        <f ca="1">IFERROR(__xludf.DUMMYFUNCTION("""COMPUTED_VALUE"""),1)</f>
        <v>1</v>
      </c>
    </row>
    <row r="7798" spans="1:5" ht="13">
      <c r="A7798" s="2" t="str">
        <f ca="1">IFERROR(__xludf.DUMMYFUNCTION("""COMPUTED_VALUE"""),"Sterling, Andrew")</f>
        <v>Sterling, Andrew</v>
      </c>
      <c r="B7798" s="3">
        <f ca="1">IFERROR(__xludf.DUMMYFUNCTION("""COMPUTED_VALUE"""),1)</f>
        <v>1</v>
      </c>
      <c r="C7798" s="7">
        <f ca="1">IFERROR(__xludf.DUMMYFUNCTION("""COMPUTED_VALUE"""),1)</f>
        <v>1</v>
      </c>
      <c r="D7798" s="8">
        <f ca="1">IFERROR(__xludf.DUMMYFUNCTION("""COMPUTED_VALUE"""),5)</f>
        <v>5</v>
      </c>
      <c r="E7798" s="2">
        <f ca="1">IFERROR(__xludf.DUMMYFUNCTION("""COMPUTED_VALUE"""),2)</f>
        <v>2</v>
      </c>
    </row>
    <row r="7799" spans="1:5" ht="13">
      <c r="A7799" s="2" t="str">
        <f ca="1">IFERROR(__xludf.DUMMYFUNCTION("""COMPUTED_VALUE"""),"Sterling, Andrew / Tilzer, Harry von")</f>
        <v>Sterling, Andrew / Tilzer, Harry von</v>
      </c>
      <c r="B7799" s="3">
        <f ca="1">IFERROR(__xludf.DUMMYFUNCTION("""COMPUTED_VALUE"""),1)</f>
        <v>1</v>
      </c>
      <c r="C7799" s="7">
        <f ca="1">IFERROR(__xludf.DUMMYFUNCTION("""COMPUTED_VALUE"""),1)</f>
        <v>1</v>
      </c>
      <c r="D7799" s="8">
        <f ca="1">IFERROR(__xludf.DUMMYFUNCTION("""COMPUTED_VALUE"""),5)</f>
        <v>5</v>
      </c>
      <c r="E7799" s="2">
        <f ca="1">IFERROR(__xludf.DUMMYFUNCTION("""COMPUTED_VALUE"""),2)</f>
        <v>2</v>
      </c>
    </row>
    <row r="7800" spans="1:5" ht="13">
      <c r="A7800" s="2" t="str">
        <f ca="1">IFERROR(__xludf.DUMMYFUNCTION("""COMPUTED_VALUE"""),"Stern, Mike")</f>
        <v>Stern, Mike</v>
      </c>
      <c r="B7800" s="3">
        <f ca="1">IFERROR(__xludf.DUMMYFUNCTION("""COMPUTED_VALUE"""),1)</f>
        <v>1</v>
      </c>
      <c r="C7800" s="7">
        <f ca="1">IFERROR(__xludf.DUMMYFUNCTION("""COMPUTED_VALUE"""),1)</f>
        <v>1</v>
      </c>
      <c r="D7800" s="8">
        <f ca="1">IFERROR(__xludf.DUMMYFUNCTION("""COMPUTED_VALUE"""),1)</f>
        <v>1</v>
      </c>
      <c r="E7800" s="2">
        <f ca="1">IFERROR(__xludf.DUMMYFUNCTION("""COMPUTED_VALUE"""),1)</f>
        <v>1</v>
      </c>
    </row>
    <row r="7801" spans="1:5" ht="13">
      <c r="A7801" s="8" t="str">
        <f ca="1">IFERROR(__xludf.DUMMYFUNCTION("""COMPUTED_VALUE"""),"Sterrett, Paul")</f>
        <v>Sterrett, Paul</v>
      </c>
      <c r="B7801" s="2">
        <f ca="1">IFERROR(__xludf.DUMMYFUNCTION("""COMPUTED_VALUE"""),1)</f>
        <v>1</v>
      </c>
      <c r="C7801" s="7">
        <f ca="1">IFERROR(__xludf.DUMMYFUNCTION("""COMPUTED_VALUE"""),1)</f>
        <v>1</v>
      </c>
      <c r="D7801" s="8">
        <f ca="1">IFERROR(__xludf.DUMMYFUNCTION("""COMPUTED_VALUE"""),5)</f>
        <v>5</v>
      </c>
      <c r="E7801" s="2">
        <f ca="1">IFERROR(__xludf.DUMMYFUNCTION("""COMPUTED_VALUE"""),2)</f>
        <v>2</v>
      </c>
    </row>
    <row r="7802" spans="1:5" ht="13">
      <c r="A7802" s="8" t="str">
        <f ca="1">IFERROR(__xludf.DUMMYFUNCTION("""COMPUTED_VALUE"""),"Stert, Johannes")</f>
        <v>Stert, Johannes</v>
      </c>
      <c r="B7802" s="3">
        <f ca="1">IFERROR(__xludf.DUMMYFUNCTION("""COMPUTED_VALUE"""),1)</f>
        <v>1</v>
      </c>
      <c r="C7802" s="7">
        <f ca="1">IFERROR(__xludf.DUMMYFUNCTION("""COMPUTED_VALUE"""),1)</f>
        <v>1</v>
      </c>
      <c r="D7802" s="8">
        <f ca="1">IFERROR(__xludf.DUMMYFUNCTION("""COMPUTED_VALUE"""),1)</f>
        <v>1</v>
      </c>
      <c r="E7802" s="2">
        <f ca="1">IFERROR(__xludf.DUMMYFUNCTION("""COMPUTED_VALUE"""),1)</f>
        <v>1</v>
      </c>
    </row>
    <row r="7803" spans="1:5" ht="13">
      <c r="A7803" s="2" t="str">
        <f ca="1">IFERROR(__xludf.DUMMYFUNCTION("""COMPUTED_VALUE"""),"Steubing, Carl")</f>
        <v>Steubing, Carl</v>
      </c>
      <c r="B7803" s="3">
        <f ca="1">IFERROR(__xludf.DUMMYFUNCTION("""COMPUTED_VALUE"""),1)</f>
        <v>1</v>
      </c>
      <c r="C7803" s="7">
        <f ca="1">IFERROR(__xludf.DUMMYFUNCTION("""COMPUTED_VALUE"""),1)</f>
        <v>1</v>
      </c>
      <c r="D7803" s="8">
        <f ca="1">IFERROR(__xludf.DUMMYFUNCTION("""COMPUTED_VALUE"""),5)</f>
        <v>5</v>
      </c>
      <c r="E7803" s="2">
        <f ca="1">IFERROR(__xludf.DUMMYFUNCTION("""COMPUTED_VALUE"""),2)</f>
        <v>2</v>
      </c>
    </row>
    <row r="7804" spans="1:5" ht="13">
      <c r="A7804" s="2" t="str">
        <f ca="1">IFERROR(__xludf.DUMMYFUNCTION("""COMPUTED_VALUE"""),"Stevens, Dave")</f>
        <v>Stevens, Dave</v>
      </c>
      <c r="B7804" s="3">
        <f ca="1">IFERROR(__xludf.DUMMYFUNCTION("""COMPUTED_VALUE"""),1)</f>
        <v>1</v>
      </c>
      <c r="C7804" s="7">
        <f ca="1">IFERROR(__xludf.DUMMYFUNCTION("""COMPUTED_VALUE"""),1)</f>
        <v>1</v>
      </c>
      <c r="D7804" s="8">
        <f ca="1">IFERROR(__xludf.DUMMYFUNCTION("""COMPUTED_VALUE"""),1)</f>
        <v>1</v>
      </c>
      <c r="E7804" s="2">
        <f ca="1">IFERROR(__xludf.DUMMYFUNCTION("""COMPUTED_VALUE"""),1)</f>
        <v>1</v>
      </c>
    </row>
    <row r="7805" spans="1:5" ht="13">
      <c r="A7805" s="8" t="str">
        <f ca="1">IFERROR(__xludf.DUMMYFUNCTION("""COMPUTED_VALUE"""),"Stevens, Everett")</f>
        <v>Stevens, Everett</v>
      </c>
      <c r="B7805" s="2">
        <f ca="1">IFERROR(__xludf.DUMMYFUNCTION("""COMPUTED_VALUE"""),1)</f>
        <v>1</v>
      </c>
      <c r="C7805" s="7">
        <f ca="1">IFERROR(__xludf.DUMMYFUNCTION("""COMPUTED_VALUE"""),1)</f>
        <v>1</v>
      </c>
      <c r="D7805" s="8">
        <f ca="1">IFERROR(__xludf.DUMMYFUNCTION("""COMPUTED_VALUE"""),5)</f>
        <v>5</v>
      </c>
      <c r="E7805" s="2">
        <f ca="1">IFERROR(__xludf.DUMMYFUNCTION("""COMPUTED_VALUE"""),2)</f>
        <v>2</v>
      </c>
    </row>
    <row r="7806" spans="1:5" ht="13">
      <c r="A7806" s="2" t="str">
        <f ca="1">IFERROR(__xludf.DUMMYFUNCTION("""COMPUTED_VALUE"""),"Stevens, Halsey")</f>
        <v>Stevens, Halsey</v>
      </c>
      <c r="B7806" s="2">
        <f ca="1">IFERROR(__xludf.DUMMYFUNCTION("""COMPUTED_VALUE"""),1)</f>
        <v>1</v>
      </c>
      <c r="C7806" s="7">
        <f ca="1">IFERROR(__xludf.DUMMYFUNCTION("""COMPUTED_VALUE"""),1)</f>
        <v>1</v>
      </c>
      <c r="D7806" s="8">
        <f ca="1">IFERROR(__xludf.DUMMYFUNCTION("""COMPUTED_VALUE"""),5)</f>
        <v>5</v>
      </c>
      <c r="E7806" s="2">
        <f ca="1">IFERROR(__xludf.DUMMYFUNCTION("""COMPUTED_VALUE"""),2)</f>
        <v>2</v>
      </c>
    </row>
    <row r="7807" spans="1:5" ht="13">
      <c r="A7807" s="8" t="str">
        <f ca="1">IFERROR(__xludf.DUMMYFUNCTION("""COMPUTED_VALUE"""),"Stevens, James")</f>
        <v>Stevens, James</v>
      </c>
      <c r="B7807" s="3">
        <f ca="1">IFERROR(__xludf.DUMMYFUNCTION("""COMPUTED_VALUE"""),1)</f>
        <v>1</v>
      </c>
      <c r="C7807" s="7">
        <f ca="1">IFERROR(__xludf.DUMMYFUNCTION("""COMPUTED_VALUE"""),1)</f>
        <v>1</v>
      </c>
      <c r="D7807" s="8">
        <f ca="1">IFERROR(__xludf.DUMMYFUNCTION("""COMPUTED_VALUE"""),1)</f>
        <v>1</v>
      </c>
      <c r="E7807" s="2">
        <f ca="1">IFERROR(__xludf.DUMMYFUNCTION("""COMPUTED_VALUE"""),1)</f>
        <v>1</v>
      </c>
    </row>
    <row r="7808" spans="1:5" ht="13">
      <c r="A7808" s="2" t="str">
        <f ca="1">IFERROR(__xludf.DUMMYFUNCTION("""COMPUTED_VALUE"""),"Stevens, John")</f>
        <v>Stevens, John</v>
      </c>
      <c r="B7808" s="3">
        <f ca="1">IFERROR(__xludf.DUMMYFUNCTION("""COMPUTED_VALUE"""),1)</f>
        <v>1</v>
      </c>
      <c r="C7808" s="7">
        <f ca="1">IFERROR(__xludf.DUMMYFUNCTION("""COMPUTED_VALUE"""),1)</f>
        <v>1</v>
      </c>
      <c r="D7808" s="8">
        <f ca="1">IFERROR(__xludf.DUMMYFUNCTION("""COMPUTED_VALUE"""),1)</f>
        <v>1</v>
      </c>
      <c r="E7808" s="2">
        <f ca="1">IFERROR(__xludf.DUMMYFUNCTION("""COMPUTED_VALUE"""),1)</f>
        <v>1</v>
      </c>
    </row>
    <row r="7809" spans="1:5" ht="13">
      <c r="A7809" s="2" t="str">
        <f ca="1">IFERROR(__xludf.DUMMYFUNCTION("""COMPUTED_VALUE"""),"Stevens, Junius W.")</f>
        <v>Stevens, Junius W.</v>
      </c>
      <c r="B7809" s="3">
        <f ca="1">IFERROR(__xludf.DUMMYFUNCTION("""COMPUTED_VALUE"""),1)</f>
        <v>1</v>
      </c>
      <c r="C7809" s="7">
        <f ca="1">IFERROR(__xludf.DUMMYFUNCTION("""COMPUTED_VALUE"""),1)</f>
        <v>1</v>
      </c>
      <c r="D7809" s="8">
        <f ca="1">IFERROR(__xludf.DUMMYFUNCTION("""COMPUTED_VALUE"""),5)</f>
        <v>5</v>
      </c>
      <c r="E7809" s="2">
        <f ca="1">IFERROR(__xludf.DUMMYFUNCTION("""COMPUTED_VALUE"""),2)</f>
        <v>2</v>
      </c>
    </row>
    <row r="7810" spans="1:5" ht="13">
      <c r="A7810" s="2" t="str">
        <f ca="1">IFERROR(__xludf.DUMMYFUNCTION("""COMPUTED_VALUE"""),"Stevens, Lee")</f>
        <v>Stevens, Lee</v>
      </c>
      <c r="B7810" s="3">
        <f ca="1">IFERROR(__xludf.DUMMYFUNCTION("""COMPUTED_VALUE"""),1)</f>
        <v>1</v>
      </c>
      <c r="C7810" s="7">
        <f ca="1">IFERROR(__xludf.DUMMYFUNCTION("""COMPUTED_VALUE"""),1)</f>
        <v>1</v>
      </c>
      <c r="D7810" s="8">
        <f ca="1">IFERROR(__xludf.DUMMYFUNCTION("""COMPUTED_VALUE"""),1)</f>
        <v>1</v>
      </c>
      <c r="E7810" s="2">
        <f ca="1">IFERROR(__xludf.DUMMYFUNCTION("""COMPUTED_VALUE"""),1)</f>
        <v>1</v>
      </c>
    </row>
    <row r="7811" spans="1:5" ht="13">
      <c r="A7811" s="2" t="str">
        <f ca="1">IFERROR(__xludf.DUMMYFUNCTION("""COMPUTED_VALUE"""),"Stevens, Morton")</f>
        <v>Stevens, Morton</v>
      </c>
      <c r="B7811" s="3">
        <f ca="1">IFERROR(__xludf.DUMMYFUNCTION("""COMPUTED_VALUE"""),1)</f>
        <v>1</v>
      </c>
      <c r="C7811" s="7">
        <f ca="1">IFERROR(__xludf.DUMMYFUNCTION("""COMPUTED_VALUE"""),1)</f>
        <v>1</v>
      </c>
      <c r="D7811" s="8">
        <f ca="1">IFERROR(__xludf.DUMMYFUNCTION("""COMPUTED_VALUE"""),5)</f>
        <v>5</v>
      </c>
      <c r="E7811" s="2">
        <f ca="1">IFERROR(__xludf.DUMMYFUNCTION("""COMPUTED_VALUE"""),2)</f>
        <v>2</v>
      </c>
    </row>
    <row r="7812" spans="1:5" ht="13">
      <c r="A7812" s="2" t="str">
        <f ca="1">IFERROR(__xludf.DUMMYFUNCTION("""COMPUTED_VALUE"""),"Stevens, Sufjan")</f>
        <v>Stevens, Sufjan</v>
      </c>
      <c r="B7812" s="3">
        <f ca="1">IFERROR(__xludf.DUMMYFUNCTION("""COMPUTED_VALUE"""),1)</f>
        <v>1</v>
      </c>
      <c r="C7812" s="7">
        <f ca="1">IFERROR(__xludf.DUMMYFUNCTION("""COMPUTED_VALUE"""),1)</f>
        <v>1</v>
      </c>
      <c r="D7812" s="8">
        <f ca="1">IFERROR(__xludf.DUMMYFUNCTION("""COMPUTED_VALUE"""),1)</f>
        <v>1</v>
      </c>
      <c r="E7812" s="2">
        <f ca="1">IFERROR(__xludf.DUMMYFUNCTION("""COMPUTED_VALUE"""),1)</f>
        <v>1</v>
      </c>
    </row>
    <row r="7813" spans="1:5" ht="13">
      <c r="A7813" s="2" t="str">
        <f ca="1">IFERROR(__xludf.DUMMYFUNCTION("""COMPUTED_VALUE"""),"Stevenson, Ben")</f>
        <v>Stevenson, Ben</v>
      </c>
      <c r="B7813" s="3">
        <f ca="1">IFERROR(__xludf.DUMMYFUNCTION("""COMPUTED_VALUE"""),1)</f>
        <v>1</v>
      </c>
      <c r="C7813" s="7">
        <f ca="1">IFERROR(__xludf.DUMMYFUNCTION("""COMPUTED_VALUE"""),1)</f>
        <v>1</v>
      </c>
      <c r="D7813" s="8">
        <f ca="1">IFERROR(__xludf.DUMMYFUNCTION("""COMPUTED_VALUE"""),1)</f>
        <v>1</v>
      </c>
      <c r="E7813" s="2">
        <f ca="1">IFERROR(__xludf.DUMMYFUNCTION("""COMPUTED_VALUE"""),1)</f>
        <v>1</v>
      </c>
    </row>
    <row r="7814" spans="1:5" ht="13">
      <c r="A7814" s="2" t="str">
        <f ca="1">IFERROR(__xludf.DUMMYFUNCTION("""COMPUTED_VALUE"""),"Stevenson, Bruce")</f>
        <v>Stevenson, Bruce</v>
      </c>
      <c r="B7814" s="3">
        <f ca="1">IFERROR(__xludf.DUMMYFUNCTION("""COMPUTED_VALUE"""),1)</f>
        <v>1</v>
      </c>
      <c r="C7814" s="7">
        <f ca="1">IFERROR(__xludf.DUMMYFUNCTION("""COMPUTED_VALUE"""),1)</f>
        <v>1</v>
      </c>
      <c r="D7814" s="8">
        <f ca="1">IFERROR(__xludf.DUMMYFUNCTION("""COMPUTED_VALUE"""),1)</f>
        <v>1</v>
      </c>
      <c r="E7814" s="2">
        <f ca="1">IFERROR(__xludf.DUMMYFUNCTION("""COMPUTED_VALUE"""),1)</f>
        <v>1</v>
      </c>
    </row>
    <row r="7815" spans="1:5" ht="13">
      <c r="A7815" s="2" t="str">
        <f ca="1">IFERROR(__xludf.DUMMYFUNCTION("""COMPUTED_VALUE"""),"Stevenson, John")</f>
        <v>Stevenson, John</v>
      </c>
      <c r="B7815" s="3">
        <f ca="1">IFERROR(__xludf.DUMMYFUNCTION("""COMPUTED_VALUE"""),1)</f>
        <v>1</v>
      </c>
      <c r="C7815" s="7">
        <f ca="1">IFERROR(__xludf.DUMMYFUNCTION("""COMPUTED_VALUE"""),1)</f>
        <v>1</v>
      </c>
      <c r="D7815" s="8">
        <f ca="1">IFERROR(__xludf.DUMMYFUNCTION("""COMPUTED_VALUE"""),5)</f>
        <v>5</v>
      </c>
      <c r="E7815" s="2">
        <f ca="1">IFERROR(__xludf.DUMMYFUNCTION("""COMPUTED_VALUE"""),2)</f>
        <v>2</v>
      </c>
    </row>
    <row r="7816" spans="1:5" ht="13">
      <c r="A7816" s="2" t="str">
        <f ca="1">IFERROR(__xludf.DUMMYFUNCTION("""COMPUTED_VALUE"""),"Stewart, Daniel Patrick")</f>
        <v>Stewart, Daniel Patrick</v>
      </c>
      <c r="B7816" s="2">
        <f ca="1">IFERROR(__xludf.DUMMYFUNCTION("""COMPUTED_VALUE"""),1)</f>
        <v>1</v>
      </c>
      <c r="C7816" s="2">
        <f ca="1">IFERROR(__xludf.DUMMYFUNCTION("""COMPUTED_VALUE"""),1)</f>
        <v>1</v>
      </c>
      <c r="D7816" s="8">
        <f ca="1">IFERROR(__xludf.DUMMYFUNCTION("""COMPUTED_VALUE"""),1)</f>
        <v>1</v>
      </c>
      <c r="E7816" s="2">
        <f ca="1">IFERROR(__xludf.DUMMYFUNCTION("""COMPUTED_VALUE"""),1)</f>
        <v>1</v>
      </c>
    </row>
    <row r="7817" spans="1:5" ht="13">
      <c r="A7817" s="2" t="str">
        <f ca="1">IFERROR(__xludf.DUMMYFUNCTION("""COMPUTED_VALUE"""),"Stewart, John R.")</f>
        <v>Stewart, John R.</v>
      </c>
      <c r="B7817" s="3">
        <f ca="1">IFERROR(__xludf.DUMMYFUNCTION("""COMPUTED_VALUE"""),1)</f>
        <v>1</v>
      </c>
      <c r="C7817" s="7">
        <f ca="1">IFERROR(__xludf.DUMMYFUNCTION("""COMPUTED_VALUE"""),1)</f>
        <v>1</v>
      </c>
      <c r="D7817" s="8">
        <f ca="1">IFERROR(__xludf.DUMMYFUNCTION("""COMPUTED_VALUE"""),1)</f>
        <v>1</v>
      </c>
      <c r="E7817" s="2">
        <f ca="1">IFERROR(__xludf.DUMMYFUNCTION("""COMPUTED_VALUE"""),1)</f>
        <v>1</v>
      </c>
    </row>
    <row r="7818" spans="1:5" ht="13">
      <c r="A7818" s="2" t="str">
        <f ca="1">IFERROR(__xludf.DUMMYFUNCTION("""COMPUTED_VALUE"""),"Stickles, William")</f>
        <v>Stickles, William</v>
      </c>
      <c r="B7818" s="3">
        <f ca="1">IFERROR(__xludf.DUMMYFUNCTION("""COMPUTED_VALUE"""),1)</f>
        <v>1</v>
      </c>
      <c r="C7818" s="7">
        <f ca="1">IFERROR(__xludf.DUMMYFUNCTION("""COMPUTED_VALUE"""),1)</f>
        <v>1</v>
      </c>
      <c r="D7818" s="8">
        <f ca="1">IFERROR(__xludf.DUMMYFUNCTION("""COMPUTED_VALUE"""),5)</f>
        <v>5</v>
      </c>
      <c r="E7818" s="2">
        <f ca="1">IFERROR(__xludf.DUMMYFUNCTION("""COMPUTED_VALUE"""),2)</f>
        <v>2</v>
      </c>
    </row>
    <row r="7819" spans="1:5" ht="13">
      <c r="A7819" s="2" t="str">
        <f ca="1">IFERROR(__xludf.DUMMYFUNCTION("""COMPUTED_VALUE"""),"Stillman, Bobby")</f>
        <v>Stillman, Bobby</v>
      </c>
      <c r="B7819" s="3">
        <f ca="1">IFERROR(__xludf.DUMMYFUNCTION("""COMPUTED_VALUE"""),1)</f>
        <v>1</v>
      </c>
      <c r="C7819" s="7">
        <f ca="1">IFERROR(__xludf.DUMMYFUNCTION("""COMPUTED_VALUE"""),1)</f>
        <v>1</v>
      </c>
      <c r="D7819" s="8">
        <f ca="1">IFERROR(__xludf.DUMMYFUNCTION("""COMPUTED_VALUE"""),1)</f>
        <v>1</v>
      </c>
      <c r="E7819" s="2">
        <f ca="1">IFERROR(__xludf.DUMMYFUNCTION("""COMPUTED_VALUE"""),1)</f>
        <v>1</v>
      </c>
    </row>
    <row r="7820" spans="1:5" ht="13">
      <c r="A7820" s="2" t="str">
        <f ca="1">IFERROR(__xludf.DUMMYFUNCTION("""COMPUTED_VALUE"""),"Stills, Stephen")</f>
        <v>Stills, Stephen</v>
      </c>
      <c r="B7820" s="3">
        <f ca="1">IFERROR(__xludf.DUMMYFUNCTION("""COMPUTED_VALUE"""),1)</f>
        <v>1</v>
      </c>
      <c r="C7820" s="7">
        <f ca="1">IFERROR(__xludf.DUMMYFUNCTION("""COMPUTED_VALUE"""),1)</f>
        <v>1</v>
      </c>
      <c r="D7820" s="8">
        <f ca="1">IFERROR(__xludf.DUMMYFUNCTION("""COMPUTED_VALUE"""),1)</f>
        <v>1</v>
      </c>
      <c r="E7820" s="2">
        <f ca="1">IFERROR(__xludf.DUMMYFUNCTION("""COMPUTED_VALUE"""),1)</f>
        <v>1</v>
      </c>
    </row>
    <row r="7821" spans="1:5" ht="13">
      <c r="A7821" s="2" t="str">
        <f ca="1">IFERROR(__xludf.DUMMYFUNCTION("""COMPUTED_VALUE"""),"Stiltman, Bobby")</f>
        <v>Stiltman, Bobby</v>
      </c>
      <c r="B7821" s="3">
        <f ca="1">IFERROR(__xludf.DUMMYFUNCTION("""COMPUTED_VALUE"""),1)</f>
        <v>1</v>
      </c>
      <c r="C7821" s="7">
        <f ca="1">IFERROR(__xludf.DUMMYFUNCTION("""COMPUTED_VALUE"""),1)</f>
        <v>1</v>
      </c>
      <c r="D7821" s="8">
        <f ca="1">IFERROR(__xludf.DUMMYFUNCTION("""COMPUTED_VALUE"""),1)</f>
        <v>1</v>
      </c>
      <c r="E7821" s="2">
        <f ca="1">IFERROR(__xludf.DUMMYFUNCTION("""COMPUTED_VALUE"""),1)</f>
        <v>1</v>
      </c>
    </row>
    <row r="7822" spans="1:5" ht="13">
      <c r="A7822" s="2" t="str">
        <f ca="1">IFERROR(__xludf.DUMMYFUNCTION("""COMPUTED_VALUE"""),"Sting")</f>
        <v>Sting</v>
      </c>
      <c r="B7822" s="3">
        <f ca="1">IFERROR(__xludf.DUMMYFUNCTION("""COMPUTED_VALUE"""),1)</f>
        <v>1</v>
      </c>
      <c r="C7822" s="7">
        <f ca="1">IFERROR(__xludf.DUMMYFUNCTION("""COMPUTED_VALUE"""),1)</f>
        <v>1</v>
      </c>
      <c r="D7822" s="8">
        <f ca="1">IFERROR(__xludf.DUMMYFUNCTION("""COMPUTED_VALUE"""),1)</f>
        <v>1</v>
      </c>
      <c r="E7822" s="2">
        <f ca="1">IFERROR(__xludf.DUMMYFUNCTION("""COMPUTED_VALUE"""),1)</f>
        <v>1</v>
      </c>
    </row>
    <row r="7823" spans="1:5" ht="13">
      <c r="A7823" s="2" t="str">
        <f ca="1">IFERROR(__xludf.DUMMYFUNCTION("""COMPUTED_VALUE"""),"Stith, Marice")</f>
        <v>Stith, Marice</v>
      </c>
      <c r="B7823" s="3">
        <f ca="1">IFERROR(__xludf.DUMMYFUNCTION("""COMPUTED_VALUE"""),1)</f>
        <v>1</v>
      </c>
      <c r="C7823" s="7">
        <f ca="1">IFERROR(__xludf.DUMMYFUNCTION("""COMPUTED_VALUE"""),1)</f>
        <v>1</v>
      </c>
      <c r="D7823" s="8">
        <f ca="1">IFERROR(__xludf.DUMMYFUNCTION("""COMPUTED_VALUE"""),5)</f>
        <v>5</v>
      </c>
      <c r="E7823" s="2">
        <f ca="1">IFERROR(__xludf.DUMMYFUNCTION("""COMPUTED_VALUE"""),2)</f>
        <v>2</v>
      </c>
    </row>
    <row r="7824" spans="1:5" ht="13">
      <c r="A7824" s="2" t="str">
        <f ca="1">IFERROR(__xludf.DUMMYFUNCTION("""COMPUTED_VALUE"""),"Stitzel, Rick")</f>
        <v>Stitzel, Rick</v>
      </c>
      <c r="B7824" s="3">
        <f ca="1">IFERROR(__xludf.DUMMYFUNCTION("""COMPUTED_VALUE"""),1)</f>
        <v>1</v>
      </c>
      <c r="C7824" s="7">
        <f ca="1">IFERROR(__xludf.DUMMYFUNCTION("""COMPUTED_VALUE"""),1)</f>
        <v>1</v>
      </c>
      <c r="D7824" s="8">
        <f ca="1">IFERROR(__xludf.DUMMYFUNCTION("""COMPUTED_VALUE"""),1)</f>
        <v>1</v>
      </c>
      <c r="E7824" s="2">
        <f ca="1">IFERROR(__xludf.DUMMYFUNCTION("""COMPUTED_VALUE"""),1)</f>
        <v>1</v>
      </c>
    </row>
    <row r="7825" spans="1:5" ht="13">
      <c r="A7825" s="2" t="str">
        <f ca="1">IFERROR(__xludf.DUMMYFUNCTION("""COMPUTED_VALUE"""),"Stix, Otto")</f>
        <v>Stix, Otto</v>
      </c>
      <c r="B7825" s="3">
        <f ca="1">IFERROR(__xludf.DUMMYFUNCTION("""COMPUTED_VALUE"""),1)</f>
        <v>1</v>
      </c>
      <c r="C7825" s="7">
        <f ca="1">IFERROR(__xludf.DUMMYFUNCTION("""COMPUTED_VALUE"""),1)</f>
        <v>1</v>
      </c>
      <c r="D7825" s="8">
        <f ca="1">IFERROR(__xludf.DUMMYFUNCTION("""COMPUTED_VALUE"""),5)</f>
        <v>5</v>
      </c>
      <c r="E7825" s="2">
        <f ca="1">IFERROR(__xludf.DUMMYFUNCTION("""COMPUTED_VALUE"""),2)</f>
        <v>2</v>
      </c>
    </row>
    <row r="7826" spans="1:5" ht="13">
      <c r="A7826" s="2" t="str">
        <f ca="1">IFERROR(__xludf.DUMMYFUNCTION("""COMPUTED_VALUE"""),"Stock, David")</f>
        <v>Stock, David</v>
      </c>
      <c r="B7826" s="3">
        <f ca="1">IFERROR(__xludf.DUMMYFUNCTION("""COMPUTED_VALUE"""),1)</f>
        <v>1</v>
      </c>
      <c r="C7826" s="7">
        <f ca="1">IFERROR(__xludf.DUMMYFUNCTION("""COMPUTED_VALUE"""),1)</f>
        <v>1</v>
      </c>
      <c r="D7826" s="8">
        <f ca="1">IFERROR(__xludf.DUMMYFUNCTION("""COMPUTED_VALUE"""),5)</f>
        <v>5</v>
      </c>
      <c r="E7826" s="2">
        <f ca="1">IFERROR(__xludf.DUMMYFUNCTION("""COMPUTED_VALUE"""),2)</f>
        <v>2</v>
      </c>
    </row>
    <row r="7827" spans="1:5" ht="13">
      <c r="A7827" s="8" t="str">
        <f ca="1">IFERROR(__xludf.DUMMYFUNCTION("""COMPUTED_VALUE"""),"Stocker, David")</f>
        <v>Stocker, David</v>
      </c>
      <c r="B7827" s="3">
        <f ca="1">IFERROR(__xludf.DUMMYFUNCTION("""COMPUTED_VALUE"""),1)</f>
        <v>1</v>
      </c>
      <c r="C7827" s="7">
        <f ca="1">IFERROR(__xludf.DUMMYFUNCTION("""COMPUTED_VALUE"""),1)</f>
        <v>1</v>
      </c>
      <c r="D7827" s="8">
        <f ca="1">IFERROR(__xludf.DUMMYFUNCTION("""COMPUTED_VALUE"""),1)</f>
        <v>1</v>
      </c>
      <c r="E7827" s="2">
        <f ca="1">IFERROR(__xludf.DUMMYFUNCTION("""COMPUTED_VALUE"""),1)</f>
        <v>1</v>
      </c>
    </row>
    <row r="7828" spans="1:5" ht="13">
      <c r="A7828" s="2" t="str">
        <f ca="1">IFERROR(__xludf.DUMMYFUNCTION("""COMPUTED_VALUE"""),"Stockhausen, Karlheinz")</f>
        <v>Stockhausen, Karlheinz</v>
      </c>
      <c r="B7828" s="3">
        <f ca="1">IFERROR(__xludf.DUMMYFUNCTION("""COMPUTED_VALUE"""),1)</f>
        <v>1</v>
      </c>
      <c r="C7828" s="7">
        <f ca="1">IFERROR(__xludf.DUMMYFUNCTION("""COMPUTED_VALUE"""),1)</f>
        <v>1</v>
      </c>
      <c r="D7828" s="8">
        <f ca="1">IFERROR(__xludf.DUMMYFUNCTION("""COMPUTED_VALUE"""),5)</f>
        <v>5</v>
      </c>
      <c r="E7828" s="2">
        <f ca="1">IFERROR(__xludf.DUMMYFUNCTION("""COMPUTED_VALUE"""),2)</f>
        <v>2</v>
      </c>
    </row>
    <row r="7829" spans="1:5" ht="13">
      <c r="A7829" s="2" t="str">
        <f ca="1">IFERROR(__xludf.DUMMYFUNCTION("""COMPUTED_VALUE"""),"Stoessel, Albert")</f>
        <v>Stoessel, Albert</v>
      </c>
      <c r="B7829" s="2">
        <f ca="1">IFERROR(__xludf.DUMMYFUNCTION("""COMPUTED_VALUE"""),1)</f>
        <v>1</v>
      </c>
      <c r="C7829" s="7">
        <f ca="1">IFERROR(__xludf.DUMMYFUNCTION("""COMPUTED_VALUE"""),1)</f>
        <v>1</v>
      </c>
      <c r="D7829" s="8">
        <f ca="1">IFERROR(__xludf.DUMMYFUNCTION("""COMPUTED_VALUE"""),5)</f>
        <v>5</v>
      </c>
      <c r="E7829" s="2">
        <f ca="1">IFERROR(__xludf.DUMMYFUNCTION("""COMPUTED_VALUE"""),2)</f>
        <v>2</v>
      </c>
    </row>
    <row r="7830" spans="1:5" ht="13">
      <c r="A7830" s="2" t="str">
        <f ca="1">IFERROR(__xludf.DUMMYFUNCTION("""COMPUTED_VALUE"""),"Stohr, Richard")</f>
        <v>Stohr, Richard</v>
      </c>
      <c r="B7830" s="2">
        <f ca="1">IFERROR(__xludf.DUMMYFUNCTION("""COMPUTED_VALUE"""),1)</f>
        <v>1</v>
      </c>
      <c r="C7830" s="7">
        <f ca="1">IFERROR(__xludf.DUMMYFUNCTION("""COMPUTED_VALUE"""),1)</f>
        <v>1</v>
      </c>
      <c r="D7830" s="8">
        <f ca="1">IFERROR(__xludf.DUMMYFUNCTION("""COMPUTED_VALUE"""),5)</f>
        <v>5</v>
      </c>
      <c r="E7830" s="2">
        <f ca="1">IFERROR(__xludf.DUMMYFUNCTION("""COMPUTED_VALUE"""),2)</f>
        <v>2</v>
      </c>
    </row>
    <row r="7831" spans="1:5" ht="13">
      <c r="A7831" s="2" t="str">
        <f ca="1">IFERROR(__xludf.DUMMYFUNCTION("""COMPUTED_VALUE"""),"Stoker, Richard")</f>
        <v>Stoker, Richard</v>
      </c>
      <c r="B7831" s="3">
        <f ca="1">IFERROR(__xludf.DUMMYFUNCTION("""COMPUTED_VALUE"""),1)</f>
        <v>1</v>
      </c>
      <c r="C7831" s="7">
        <f ca="1">IFERROR(__xludf.DUMMYFUNCTION("""COMPUTED_VALUE"""),1)</f>
        <v>1</v>
      </c>
      <c r="D7831" s="8">
        <f ca="1">IFERROR(__xludf.DUMMYFUNCTION("""COMPUTED_VALUE"""),5)</f>
        <v>5</v>
      </c>
      <c r="E7831" s="2">
        <f ca="1">IFERROR(__xludf.DUMMYFUNCTION("""COMPUTED_VALUE"""),2)</f>
        <v>2</v>
      </c>
    </row>
    <row r="7832" spans="1:5" ht="13">
      <c r="A7832" s="2" t="str">
        <f ca="1">IFERROR(__xludf.DUMMYFUNCTION("""COMPUTED_VALUE"""),"Stokes, Tobin")</f>
        <v>Stokes, Tobin</v>
      </c>
      <c r="B7832" s="3">
        <f ca="1">IFERROR(__xludf.DUMMYFUNCTION("""COMPUTED_VALUE"""),1)</f>
        <v>1</v>
      </c>
      <c r="C7832" s="7">
        <f ca="1">IFERROR(__xludf.DUMMYFUNCTION("""COMPUTED_VALUE"""),1)</f>
        <v>1</v>
      </c>
      <c r="D7832" s="8">
        <f ca="1">IFERROR(__xludf.DUMMYFUNCTION("""COMPUTED_VALUE"""),1)</f>
        <v>1</v>
      </c>
      <c r="E7832" s="2">
        <f ca="1">IFERROR(__xludf.DUMMYFUNCTION("""COMPUTED_VALUE"""),1)</f>
        <v>1</v>
      </c>
    </row>
    <row r="7833" spans="1:5" ht="13">
      <c r="A7833" s="2" t="str">
        <f ca="1">IFERROR(__xludf.DUMMYFUNCTION("""COMPUTED_VALUE"""),"Stokowski, Leopold")</f>
        <v>Stokowski, Leopold</v>
      </c>
      <c r="B7833" s="3">
        <f ca="1">IFERROR(__xludf.DUMMYFUNCTION("""COMPUTED_VALUE"""),1)</f>
        <v>1</v>
      </c>
      <c r="C7833" s="7">
        <f ca="1">IFERROR(__xludf.DUMMYFUNCTION("""COMPUTED_VALUE"""),1)</f>
        <v>1</v>
      </c>
      <c r="D7833" s="8">
        <f ca="1">IFERROR(__xludf.DUMMYFUNCTION("""COMPUTED_VALUE"""),5)</f>
        <v>5</v>
      </c>
      <c r="E7833" s="2">
        <f ca="1">IFERROR(__xludf.DUMMYFUNCTION("""COMPUTED_VALUE"""),2)</f>
        <v>2</v>
      </c>
    </row>
    <row r="7834" spans="1:5" ht="13">
      <c r="A7834" s="2" t="str">
        <f ca="1">IFERROR(__xludf.DUMMYFUNCTION("""COMPUTED_VALUE"""),"Stolarik, Justin R.")</f>
        <v>Stolarik, Justin R.</v>
      </c>
      <c r="B7834" s="3">
        <f ca="1">IFERROR(__xludf.DUMMYFUNCTION("""COMPUTED_VALUE"""),1)</f>
        <v>1</v>
      </c>
      <c r="C7834" s="7">
        <f ca="1">IFERROR(__xludf.DUMMYFUNCTION("""COMPUTED_VALUE"""),1)</f>
        <v>1</v>
      </c>
      <c r="D7834" s="8">
        <f ca="1">IFERROR(__xludf.DUMMYFUNCTION("""COMPUTED_VALUE"""),1)</f>
        <v>1</v>
      </c>
      <c r="E7834" s="2">
        <f ca="1">IFERROR(__xludf.DUMMYFUNCTION("""COMPUTED_VALUE"""),1)</f>
        <v>1</v>
      </c>
    </row>
    <row r="7835" spans="1:5" ht="13">
      <c r="A7835" s="2" t="str">
        <f ca="1">IFERROR(__xludf.DUMMYFUNCTION("""COMPUTED_VALUE"""),"Stolte, Siegfried")</f>
        <v>Stolte, Siegfried</v>
      </c>
      <c r="B7835" s="3">
        <f ca="1">IFERROR(__xludf.DUMMYFUNCTION("""COMPUTED_VALUE"""),1)</f>
        <v>1</v>
      </c>
      <c r="C7835" s="7">
        <f ca="1">IFERROR(__xludf.DUMMYFUNCTION("""COMPUTED_VALUE"""),1)</f>
        <v>1</v>
      </c>
      <c r="D7835" s="8">
        <f ca="1">IFERROR(__xludf.DUMMYFUNCTION("""COMPUTED_VALUE"""),5)</f>
        <v>5</v>
      </c>
      <c r="E7835" s="2">
        <f ca="1">IFERROR(__xludf.DUMMYFUNCTION("""COMPUTED_VALUE"""),2)</f>
        <v>2</v>
      </c>
    </row>
    <row r="7836" spans="1:5" ht="13">
      <c r="A7836" s="8" t="str">
        <f ca="1">IFERROR(__xludf.DUMMYFUNCTION("""COMPUTED_VALUE"""),"Stolz, Robert")</f>
        <v>Stolz, Robert</v>
      </c>
      <c r="B7836" s="3">
        <f ca="1">IFERROR(__xludf.DUMMYFUNCTION("""COMPUTED_VALUE"""),1)</f>
        <v>1</v>
      </c>
      <c r="C7836" s="7">
        <f ca="1">IFERROR(__xludf.DUMMYFUNCTION("""COMPUTED_VALUE"""),1)</f>
        <v>1</v>
      </c>
      <c r="D7836" s="8">
        <f ca="1">IFERROR(__xludf.DUMMYFUNCTION("""COMPUTED_VALUE"""),5)</f>
        <v>5</v>
      </c>
      <c r="E7836" s="2">
        <f ca="1">IFERROR(__xludf.DUMMYFUNCTION("""COMPUTED_VALUE"""),2)</f>
        <v>2</v>
      </c>
    </row>
    <row r="7837" spans="1:5" ht="13">
      <c r="A7837" s="2" t="str">
        <f ca="1">IFERROR(__xludf.DUMMYFUNCTION("""COMPUTED_VALUE"""),"Stölzel, Gottfried Heinrich")</f>
        <v>Stölzel, Gottfried Heinrich</v>
      </c>
      <c r="B7837" s="2">
        <f ca="1">IFERROR(__xludf.DUMMYFUNCTION("""COMPUTED_VALUE"""),1)</f>
        <v>1</v>
      </c>
      <c r="C7837" s="7">
        <f ca="1">IFERROR(__xludf.DUMMYFUNCTION("""COMPUTED_VALUE"""),1)</f>
        <v>1</v>
      </c>
      <c r="D7837" s="8">
        <f ca="1">IFERROR(__xludf.DUMMYFUNCTION("""COMPUTED_VALUE"""),5)</f>
        <v>5</v>
      </c>
      <c r="E7837" s="2">
        <f ca="1">IFERROR(__xludf.DUMMYFUNCTION("""COMPUTED_VALUE"""),2)</f>
        <v>2</v>
      </c>
    </row>
    <row r="7838" spans="1:5" ht="13">
      <c r="A7838" s="2" t="str">
        <f ca="1">IFERROR(__xludf.DUMMYFUNCTION("""COMPUTED_VALUE"""),"Stonaker, Ben")</f>
        <v>Stonaker, Ben</v>
      </c>
      <c r="B7838" s="3">
        <f ca="1">IFERROR(__xludf.DUMMYFUNCTION("""COMPUTED_VALUE"""),1)</f>
        <v>1</v>
      </c>
      <c r="C7838" s="7">
        <f ca="1">IFERROR(__xludf.DUMMYFUNCTION("""COMPUTED_VALUE"""),1)</f>
        <v>1</v>
      </c>
      <c r="D7838" s="8">
        <f ca="1">IFERROR(__xludf.DUMMYFUNCTION("""COMPUTED_VALUE"""),1)</f>
        <v>1</v>
      </c>
      <c r="E7838" s="2">
        <f ca="1">IFERROR(__xludf.DUMMYFUNCTION("""COMPUTED_VALUE"""),1)</f>
        <v>1</v>
      </c>
    </row>
    <row r="7839" spans="1:5" ht="13">
      <c r="A7839" s="2" t="str">
        <f ca="1">IFERROR(__xludf.DUMMYFUNCTION("""COMPUTED_VALUE"""),"Stone, David")</f>
        <v>Stone, David</v>
      </c>
      <c r="B7839" s="3">
        <f ca="1">IFERROR(__xludf.DUMMYFUNCTION("""COMPUTED_VALUE"""),1)</f>
        <v>1</v>
      </c>
      <c r="C7839" s="7">
        <f ca="1">IFERROR(__xludf.DUMMYFUNCTION("""COMPUTED_VALUE"""),1)</f>
        <v>1</v>
      </c>
      <c r="D7839" s="8">
        <f ca="1">IFERROR(__xludf.DUMMYFUNCTION("""COMPUTED_VALUE"""),1)</f>
        <v>1</v>
      </c>
      <c r="E7839" s="2">
        <f ca="1">IFERROR(__xludf.DUMMYFUNCTION("""COMPUTED_VALUE"""),1)</f>
        <v>1</v>
      </c>
    </row>
    <row r="7840" spans="1:5" ht="13">
      <c r="A7840" s="2" t="str">
        <f ca="1">IFERROR(__xludf.DUMMYFUNCTION("""COMPUTED_VALUE"""),"Stone, David / Boyd, John")</f>
        <v>Stone, David / Boyd, John</v>
      </c>
      <c r="B7840" s="3">
        <f ca="1">IFERROR(__xludf.DUMMYFUNCTION("""COMPUTED_VALUE"""),1)</f>
        <v>1</v>
      </c>
      <c r="C7840" s="7">
        <f ca="1">IFERROR(__xludf.DUMMYFUNCTION("""COMPUTED_VALUE"""),1)</f>
        <v>1</v>
      </c>
      <c r="D7840" s="8">
        <f ca="1">IFERROR(__xludf.DUMMYFUNCTION("""COMPUTED_VALUE"""),1)</f>
        <v>1</v>
      </c>
      <c r="E7840" s="2">
        <f ca="1">IFERROR(__xludf.DUMMYFUNCTION("""COMPUTED_VALUE"""),1)</f>
        <v>1</v>
      </c>
    </row>
    <row r="7841" spans="1:5" ht="13">
      <c r="A7841" s="8" t="str">
        <f ca="1">IFERROR(__xludf.DUMMYFUNCTION("""COMPUTED_VALUE"""),"Stone, Kurt")</f>
        <v>Stone, Kurt</v>
      </c>
      <c r="B7841" s="9">
        <f ca="1">IFERROR(__xludf.DUMMYFUNCTION("""COMPUTED_VALUE"""),1)</f>
        <v>1</v>
      </c>
      <c r="C7841" s="7">
        <f ca="1">IFERROR(__xludf.DUMMYFUNCTION("""COMPUTED_VALUE"""),1)</f>
        <v>1</v>
      </c>
      <c r="D7841" s="8">
        <f ca="1">IFERROR(__xludf.DUMMYFUNCTION("""COMPUTED_VALUE"""),5)</f>
        <v>5</v>
      </c>
      <c r="E7841" s="9">
        <f ca="1">IFERROR(__xludf.DUMMYFUNCTION("""COMPUTED_VALUE"""),2)</f>
        <v>2</v>
      </c>
    </row>
    <row r="7842" spans="1:5" ht="13">
      <c r="A7842" s="2" t="str">
        <f ca="1">IFERROR(__xludf.DUMMYFUNCTION("""COMPUTED_VALUE"""),"Stone, Peter")</f>
        <v>Stone, Peter</v>
      </c>
      <c r="B7842" s="3">
        <f ca="1">IFERROR(__xludf.DUMMYFUNCTION("""COMPUTED_VALUE"""),1)</f>
        <v>1</v>
      </c>
      <c r="C7842" s="7">
        <f ca="1">IFERROR(__xludf.DUMMYFUNCTION("""COMPUTED_VALUE"""),1)</f>
        <v>1</v>
      </c>
      <c r="D7842" s="8">
        <f ca="1">IFERROR(__xludf.DUMMYFUNCTION("""COMPUTED_VALUE"""),1)</f>
        <v>1</v>
      </c>
      <c r="E7842" s="2">
        <f ca="1">IFERROR(__xludf.DUMMYFUNCTION("""COMPUTED_VALUE"""),1)</f>
        <v>1</v>
      </c>
    </row>
    <row r="7843" spans="1:5" ht="13">
      <c r="A7843" s="2" t="str">
        <f ca="1">IFERROR(__xludf.DUMMYFUNCTION("""COMPUTED_VALUE"""),"Stone, Thomas")</f>
        <v>Stone, Thomas</v>
      </c>
      <c r="B7843" s="3">
        <f ca="1">IFERROR(__xludf.DUMMYFUNCTION("""COMPUTED_VALUE"""),1)</f>
        <v>1</v>
      </c>
      <c r="C7843" s="7">
        <f ca="1">IFERROR(__xludf.DUMMYFUNCTION("""COMPUTED_VALUE"""),1)</f>
        <v>1</v>
      </c>
      <c r="D7843" s="8">
        <f ca="1">IFERROR(__xludf.DUMMYFUNCTION("""COMPUTED_VALUE"""),1)</f>
        <v>1</v>
      </c>
      <c r="E7843" s="2">
        <f ca="1">IFERROR(__xludf.DUMMYFUNCTION("""COMPUTED_VALUE"""),1)</f>
        <v>1</v>
      </c>
    </row>
    <row r="7844" spans="1:5" ht="13">
      <c r="A7844" s="8" t="str">
        <f ca="1">IFERROR(__xludf.DUMMYFUNCTION("""COMPUTED_VALUE"""),"Stonebarger, Phil")</f>
        <v>Stonebarger, Phil</v>
      </c>
      <c r="B7844" s="3">
        <f ca="1">IFERROR(__xludf.DUMMYFUNCTION("""COMPUTED_VALUE"""),1)</f>
        <v>1</v>
      </c>
      <c r="C7844" s="7">
        <f ca="1">IFERROR(__xludf.DUMMYFUNCTION("""COMPUTED_VALUE"""),1)</f>
        <v>1</v>
      </c>
      <c r="D7844" s="8">
        <f ca="1">IFERROR(__xludf.DUMMYFUNCTION("""COMPUTED_VALUE"""),1)</f>
        <v>1</v>
      </c>
      <c r="E7844" s="2">
        <f ca="1">IFERROR(__xludf.DUMMYFUNCTION("""COMPUTED_VALUE"""),1)</f>
        <v>1</v>
      </c>
    </row>
    <row r="7845" spans="1:5" ht="13">
      <c r="A7845" s="8" t="str">
        <f ca="1">IFERROR(__xludf.DUMMYFUNCTION("""COMPUTED_VALUE"""),"Stonehill, Randy")</f>
        <v>Stonehill, Randy</v>
      </c>
      <c r="B7845" s="3">
        <f ca="1">IFERROR(__xludf.DUMMYFUNCTION("""COMPUTED_VALUE"""),1)</f>
        <v>1</v>
      </c>
      <c r="C7845" s="7">
        <f ca="1">IFERROR(__xludf.DUMMYFUNCTION("""COMPUTED_VALUE"""),1)</f>
        <v>1</v>
      </c>
      <c r="D7845" s="8">
        <f ca="1">IFERROR(__xludf.DUMMYFUNCTION("""COMPUTED_VALUE"""),1)</f>
        <v>1</v>
      </c>
      <c r="E7845" s="2">
        <f ca="1">IFERROR(__xludf.DUMMYFUNCTION("""COMPUTED_VALUE"""),1)</f>
        <v>1</v>
      </c>
    </row>
    <row r="7846" spans="1:5" ht="13">
      <c r="A7846" s="2" t="str">
        <f ca="1">IFERROR(__xludf.DUMMYFUNCTION("""COMPUTED_VALUE"""),"Stookey, Nathaniel")</f>
        <v>Stookey, Nathaniel</v>
      </c>
      <c r="B7846" s="3">
        <f ca="1">IFERROR(__xludf.DUMMYFUNCTION("""COMPUTED_VALUE"""),1)</f>
        <v>1</v>
      </c>
      <c r="C7846" s="7">
        <f ca="1">IFERROR(__xludf.DUMMYFUNCTION("""COMPUTED_VALUE"""),1)</f>
        <v>1</v>
      </c>
      <c r="D7846" s="8">
        <f ca="1">IFERROR(__xludf.DUMMYFUNCTION("""COMPUTED_VALUE"""),1)</f>
        <v>1</v>
      </c>
      <c r="E7846" s="2">
        <f ca="1">IFERROR(__xludf.DUMMYFUNCTION("""COMPUTED_VALUE"""),1)</f>
        <v>1</v>
      </c>
    </row>
    <row r="7847" spans="1:5" ht="13">
      <c r="A7847" s="2" t="str">
        <f ca="1">IFERROR(__xludf.DUMMYFUNCTION("""COMPUTED_VALUE"""),"Stopa, Alex")</f>
        <v>Stopa, Alex</v>
      </c>
      <c r="B7847" s="3">
        <f ca="1">IFERROR(__xludf.DUMMYFUNCTION("""COMPUTED_VALUE"""),1)</f>
        <v>1</v>
      </c>
      <c r="C7847" s="7">
        <f ca="1">IFERROR(__xludf.DUMMYFUNCTION("""COMPUTED_VALUE"""),1)</f>
        <v>1</v>
      </c>
      <c r="D7847" s="8">
        <f ca="1">IFERROR(__xludf.DUMMYFUNCTION("""COMPUTED_VALUE"""),1)</f>
        <v>1</v>
      </c>
      <c r="E7847" s="2">
        <f ca="1">IFERROR(__xludf.DUMMYFUNCTION("""COMPUTED_VALUE"""),1)</f>
        <v>1</v>
      </c>
    </row>
    <row r="7848" spans="1:5" ht="13">
      <c r="A7848" s="2" t="str">
        <f ca="1">IFERROR(__xludf.DUMMYFUNCTION("""COMPUTED_VALUE"""),"Stopford, Philip")</f>
        <v>Stopford, Philip</v>
      </c>
      <c r="B7848" s="3">
        <f ca="1">IFERROR(__xludf.DUMMYFUNCTION("""COMPUTED_VALUE"""),1)</f>
        <v>1</v>
      </c>
      <c r="C7848" s="7">
        <f ca="1">IFERROR(__xludf.DUMMYFUNCTION("""COMPUTED_VALUE"""),1)</f>
        <v>1</v>
      </c>
      <c r="D7848" s="8">
        <f ca="1">IFERROR(__xludf.DUMMYFUNCTION("""COMPUTED_VALUE"""),1)</f>
        <v>1</v>
      </c>
      <c r="E7848" s="2">
        <f ca="1">IFERROR(__xludf.DUMMYFUNCTION("""COMPUTED_VALUE"""),1)</f>
        <v>1</v>
      </c>
    </row>
    <row r="7849" spans="1:5" ht="13">
      <c r="A7849" s="8" t="str">
        <f ca="1">IFERROR(__xludf.DUMMYFUNCTION("""COMPUTED_VALUE"""),"Stopford, Philip W.")</f>
        <v>Stopford, Philip W.</v>
      </c>
      <c r="B7849" s="3">
        <f ca="1">IFERROR(__xludf.DUMMYFUNCTION("""COMPUTED_VALUE"""),1)</f>
        <v>1</v>
      </c>
      <c r="C7849" s="7">
        <f ca="1">IFERROR(__xludf.DUMMYFUNCTION("""COMPUTED_VALUE"""),1)</f>
        <v>1</v>
      </c>
      <c r="D7849" s="8">
        <f ca="1">IFERROR(__xludf.DUMMYFUNCTION("""COMPUTED_VALUE"""),1)</f>
        <v>1</v>
      </c>
      <c r="E7849" s="2">
        <f ca="1">IFERROR(__xludf.DUMMYFUNCTION("""COMPUTED_VALUE"""),1)</f>
        <v>1</v>
      </c>
    </row>
    <row r="7850" spans="1:5" ht="13">
      <c r="A7850" s="2" t="str">
        <f ca="1">IFERROR(__xludf.DUMMYFUNCTION("""COMPUTED_VALUE"""),"Story, Brian Scott")</f>
        <v>Story, Brian Scott</v>
      </c>
      <c r="B7850" s="3">
        <f ca="1">IFERROR(__xludf.DUMMYFUNCTION("""COMPUTED_VALUE"""),1)</f>
        <v>1</v>
      </c>
      <c r="C7850" s="7">
        <f ca="1">IFERROR(__xludf.DUMMYFUNCTION("""COMPUTED_VALUE"""),1)</f>
        <v>1</v>
      </c>
      <c r="D7850" s="8">
        <f ca="1">IFERROR(__xludf.DUMMYFUNCTION("""COMPUTED_VALUE"""),1)</f>
        <v>1</v>
      </c>
      <c r="E7850" s="2">
        <f ca="1">IFERROR(__xludf.DUMMYFUNCTION("""COMPUTED_VALUE"""),1)</f>
        <v>1</v>
      </c>
    </row>
    <row r="7851" spans="1:5" ht="13">
      <c r="A7851" s="2" t="str">
        <f ca="1">IFERROR(__xludf.DUMMYFUNCTION("""COMPUTED_VALUE"""),"Story, Michael")</f>
        <v>Story, Michael</v>
      </c>
      <c r="B7851" s="3">
        <f ca="1">IFERROR(__xludf.DUMMYFUNCTION("""COMPUTED_VALUE"""),1)</f>
        <v>1</v>
      </c>
      <c r="C7851" s="7">
        <f ca="1">IFERROR(__xludf.DUMMYFUNCTION("""COMPUTED_VALUE"""),1)</f>
        <v>1</v>
      </c>
      <c r="D7851" s="8">
        <f ca="1">IFERROR(__xludf.DUMMYFUNCTION("""COMPUTED_VALUE"""),1)</f>
        <v>1</v>
      </c>
      <c r="E7851" s="2">
        <f ca="1">IFERROR(__xludf.DUMMYFUNCTION("""COMPUTED_VALUE"""),1)</f>
        <v>1</v>
      </c>
    </row>
    <row r="7852" spans="1:5" ht="13">
      <c r="A7852" s="2" t="str">
        <f ca="1">IFERROR(__xludf.DUMMYFUNCTION("""COMPUTED_VALUE"""),"Story, Oliver")</f>
        <v>Story, Oliver</v>
      </c>
      <c r="B7852" s="3">
        <f ca="1">IFERROR(__xludf.DUMMYFUNCTION("""COMPUTED_VALUE"""),1)</f>
        <v>1</v>
      </c>
      <c r="C7852" s="7">
        <f ca="1">IFERROR(__xludf.DUMMYFUNCTION("""COMPUTED_VALUE"""),1)</f>
        <v>1</v>
      </c>
      <c r="D7852" s="8">
        <f ca="1">IFERROR(__xludf.DUMMYFUNCTION("""COMPUTED_VALUE"""),5)</f>
        <v>5</v>
      </c>
      <c r="E7852" s="2">
        <f ca="1">IFERROR(__xludf.DUMMYFUNCTION("""COMPUTED_VALUE"""),2)</f>
        <v>2</v>
      </c>
    </row>
    <row r="7853" spans="1:5" ht="13">
      <c r="A7853" s="2" t="str">
        <f ca="1">IFERROR(__xludf.DUMMYFUNCTION("""COMPUTED_VALUE"""),"Stothart, Herbert")</f>
        <v>Stothart, Herbert</v>
      </c>
      <c r="B7853" s="3">
        <f ca="1">IFERROR(__xludf.DUMMYFUNCTION("""COMPUTED_VALUE"""),1)</f>
        <v>1</v>
      </c>
      <c r="C7853" s="7">
        <f ca="1">IFERROR(__xludf.DUMMYFUNCTION("""COMPUTED_VALUE"""),1)</f>
        <v>1</v>
      </c>
      <c r="D7853" s="8">
        <f ca="1">IFERROR(__xludf.DUMMYFUNCTION("""COMPUTED_VALUE"""),5)</f>
        <v>5</v>
      </c>
      <c r="E7853" s="2">
        <f ca="1">IFERROR(__xludf.DUMMYFUNCTION("""COMPUTED_VALUE"""),2)</f>
        <v>2</v>
      </c>
    </row>
    <row r="7854" spans="1:5" ht="13">
      <c r="A7854" s="2" t="str">
        <f ca="1">IFERROR(__xludf.DUMMYFUNCTION("""COMPUTED_VALUE"""),"Stotter, Douglas")</f>
        <v>Stotter, Douglas</v>
      </c>
      <c r="B7854" s="3">
        <f ca="1">IFERROR(__xludf.DUMMYFUNCTION("""COMPUTED_VALUE"""),1)</f>
        <v>1</v>
      </c>
      <c r="C7854" s="7">
        <f ca="1">IFERROR(__xludf.DUMMYFUNCTION("""COMPUTED_VALUE"""),1)</f>
        <v>1</v>
      </c>
      <c r="D7854" s="8">
        <f ca="1">IFERROR(__xludf.DUMMYFUNCTION("""COMPUTED_VALUE"""),5)</f>
        <v>5</v>
      </c>
      <c r="E7854" s="2">
        <f ca="1">IFERROR(__xludf.DUMMYFUNCTION("""COMPUTED_VALUE"""),2)</f>
        <v>2</v>
      </c>
    </row>
    <row r="7855" spans="1:5" ht="13">
      <c r="A7855" s="2" t="str">
        <f ca="1">IFERROR(__xludf.DUMMYFUNCTION("""COMPUTED_VALUE"""),"Stotts, Stuart")</f>
        <v>Stotts, Stuart</v>
      </c>
      <c r="B7855" s="3">
        <f ca="1">IFERROR(__xludf.DUMMYFUNCTION("""COMPUTED_VALUE"""),1)</f>
        <v>1</v>
      </c>
      <c r="C7855" s="7">
        <f ca="1">IFERROR(__xludf.DUMMYFUNCTION("""COMPUTED_VALUE"""),1)</f>
        <v>1</v>
      </c>
      <c r="D7855" s="8">
        <f ca="1">IFERROR(__xludf.DUMMYFUNCTION("""COMPUTED_VALUE"""),1)</f>
        <v>1</v>
      </c>
      <c r="E7855" s="2">
        <f ca="1">IFERROR(__xludf.DUMMYFUNCTION("""COMPUTED_VALUE"""),1)</f>
        <v>1</v>
      </c>
    </row>
    <row r="7856" spans="1:5" ht="13">
      <c r="A7856" s="2" t="str">
        <f ca="1">IFERROR(__xludf.DUMMYFUNCTION("""COMPUTED_VALUE"""),"Stoufer, Fred")</f>
        <v>Stoufer, Fred</v>
      </c>
      <c r="B7856" s="3">
        <f ca="1">IFERROR(__xludf.DUMMYFUNCTION("""COMPUTED_VALUE"""),1)</f>
        <v>1</v>
      </c>
      <c r="C7856" s="7">
        <f ca="1">IFERROR(__xludf.DUMMYFUNCTION("""COMPUTED_VALUE"""),1)</f>
        <v>1</v>
      </c>
      <c r="D7856" s="8">
        <f ca="1">IFERROR(__xludf.DUMMYFUNCTION("""COMPUTED_VALUE"""),5)</f>
        <v>5</v>
      </c>
      <c r="E7856" s="2">
        <f ca="1">IFERROR(__xludf.DUMMYFUNCTION("""COMPUTED_VALUE"""),2)</f>
        <v>2</v>
      </c>
    </row>
    <row r="7857" spans="1:5" ht="13">
      <c r="A7857" s="2" t="str">
        <f ca="1">IFERROR(__xludf.DUMMYFUNCTION("""COMPUTED_VALUE"""),"Stout, Alan")</f>
        <v>Stout, Alan</v>
      </c>
      <c r="B7857" s="3">
        <f ca="1">IFERROR(__xludf.DUMMYFUNCTION("""COMPUTED_VALUE"""),1)</f>
        <v>1</v>
      </c>
      <c r="C7857" s="7">
        <f ca="1">IFERROR(__xludf.DUMMYFUNCTION("""COMPUTED_VALUE"""),1)</f>
        <v>1</v>
      </c>
      <c r="D7857" s="8">
        <f ca="1">IFERROR(__xludf.DUMMYFUNCTION("""COMPUTED_VALUE"""),5)</f>
        <v>5</v>
      </c>
      <c r="E7857" s="3">
        <f ca="1">IFERROR(__xludf.DUMMYFUNCTION("""COMPUTED_VALUE"""),2)</f>
        <v>2</v>
      </c>
    </row>
    <row r="7858" spans="1:5" ht="13">
      <c r="A7858" s="2" t="str">
        <f ca="1">IFERROR(__xludf.DUMMYFUNCTION("""COMPUTED_VALUE"""),"Stout, John")</f>
        <v>Stout, John</v>
      </c>
      <c r="B7858" s="2">
        <f ca="1">IFERROR(__xludf.DUMMYFUNCTION("""COMPUTED_VALUE"""),1)</f>
        <v>1</v>
      </c>
      <c r="C7858" s="7">
        <f ca="1">IFERROR(__xludf.DUMMYFUNCTION("""COMPUTED_VALUE"""),1)</f>
        <v>1</v>
      </c>
      <c r="D7858" s="8">
        <f ca="1">IFERROR(__xludf.DUMMYFUNCTION("""COMPUTED_VALUE"""),5)</f>
        <v>5</v>
      </c>
      <c r="E7858" s="2">
        <f ca="1">IFERROR(__xludf.DUMMYFUNCTION("""COMPUTED_VALUE"""),2)</f>
        <v>2</v>
      </c>
    </row>
    <row r="7859" spans="1:5" ht="13">
      <c r="A7859" s="8" t="str">
        <f ca="1">IFERROR(__xludf.DUMMYFUNCTION("""COMPUTED_VALUE"""),"Stoutamire, Albert")</f>
        <v>Stoutamire, Albert</v>
      </c>
      <c r="B7859" s="3">
        <f ca="1">IFERROR(__xludf.DUMMYFUNCTION("""COMPUTED_VALUE"""),1)</f>
        <v>1</v>
      </c>
      <c r="C7859" s="7">
        <f ca="1">IFERROR(__xludf.DUMMYFUNCTION("""COMPUTED_VALUE"""),1)</f>
        <v>1</v>
      </c>
      <c r="D7859" s="8">
        <f ca="1">IFERROR(__xludf.DUMMYFUNCTION("""COMPUTED_VALUE"""),5)</f>
        <v>5</v>
      </c>
      <c r="E7859" s="2">
        <f ca="1">IFERROR(__xludf.DUMMYFUNCTION("""COMPUTED_VALUE"""),2)</f>
        <v>2</v>
      </c>
    </row>
    <row r="7860" spans="1:5" ht="13">
      <c r="A7860" s="2" t="str">
        <f ca="1">IFERROR(__xludf.DUMMYFUNCTION("""COMPUTED_VALUE"""),"Stowkowski, Leopold")</f>
        <v>Stowkowski, Leopold</v>
      </c>
      <c r="B7860" s="3">
        <f ca="1">IFERROR(__xludf.DUMMYFUNCTION("""COMPUTED_VALUE"""),1)</f>
        <v>1</v>
      </c>
      <c r="C7860" s="7">
        <f ca="1">IFERROR(__xludf.DUMMYFUNCTION("""COMPUTED_VALUE"""),1)</f>
        <v>1</v>
      </c>
      <c r="D7860" s="8">
        <f ca="1">IFERROR(__xludf.DUMMYFUNCTION("""COMPUTED_VALUE"""),5)</f>
        <v>5</v>
      </c>
      <c r="E7860" s="2">
        <f ca="1">IFERROR(__xludf.DUMMYFUNCTION("""COMPUTED_VALUE"""),2)</f>
        <v>2</v>
      </c>
    </row>
    <row r="7861" spans="1:5" ht="13">
      <c r="A7861" s="8" t="str">
        <f ca="1">IFERROR(__xludf.DUMMYFUNCTION("""COMPUTED_VALUE"""),"Stradella, Alessandro")</f>
        <v>Stradella, Alessandro</v>
      </c>
      <c r="B7861" s="3">
        <f ca="1">IFERROR(__xludf.DUMMYFUNCTION("""COMPUTED_VALUE"""),1)</f>
        <v>1</v>
      </c>
      <c r="C7861" s="7">
        <f ca="1">IFERROR(__xludf.DUMMYFUNCTION("""COMPUTED_VALUE"""),1)</f>
        <v>1</v>
      </c>
      <c r="D7861" s="8">
        <f ca="1">IFERROR(__xludf.DUMMYFUNCTION("""COMPUTED_VALUE"""),5)</f>
        <v>5</v>
      </c>
      <c r="E7861" s="2">
        <f ca="1">IFERROR(__xludf.DUMMYFUNCTION("""COMPUTED_VALUE"""),2)</f>
        <v>2</v>
      </c>
    </row>
    <row r="7862" spans="1:5" ht="13">
      <c r="A7862" s="8" t="str">
        <f ca="1">IFERROR(__xludf.DUMMYFUNCTION("""COMPUTED_VALUE"""),"Straker, Ken")</f>
        <v>Straker, Ken</v>
      </c>
      <c r="B7862" s="9">
        <f ca="1">IFERROR(__xludf.DUMMYFUNCTION("""COMPUTED_VALUE"""),1)</f>
        <v>1</v>
      </c>
      <c r="C7862" s="7">
        <f ca="1">IFERROR(__xludf.DUMMYFUNCTION("""COMPUTED_VALUE"""),1)</f>
        <v>1</v>
      </c>
      <c r="D7862" s="8">
        <f ca="1">IFERROR(__xludf.DUMMYFUNCTION("""COMPUTED_VALUE"""),5)</f>
        <v>5</v>
      </c>
      <c r="E7862" s="9">
        <f ca="1">IFERROR(__xludf.DUMMYFUNCTION("""COMPUTED_VALUE"""),2)</f>
        <v>2</v>
      </c>
    </row>
    <row r="7863" spans="1:5" ht="13">
      <c r="A7863" s="2" t="str">
        <f ca="1">IFERROR(__xludf.DUMMYFUNCTION("""COMPUTED_VALUE"""),"Strand, Leif / Helge, Olov")</f>
        <v>Strand, Leif / Helge, Olov</v>
      </c>
      <c r="B7863" s="3">
        <f ca="1">IFERROR(__xludf.DUMMYFUNCTION("""COMPUTED_VALUE"""),1)</f>
        <v>1</v>
      </c>
      <c r="C7863" s="7">
        <f ca="1">IFERROR(__xludf.DUMMYFUNCTION("""COMPUTED_VALUE"""),1)</f>
        <v>1</v>
      </c>
      <c r="D7863" s="8">
        <f ca="1">IFERROR(__xludf.DUMMYFUNCTION("""COMPUTED_VALUE"""),5)</f>
        <v>5</v>
      </c>
      <c r="E7863" s="2">
        <f ca="1">IFERROR(__xludf.DUMMYFUNCTION("""COMPUTED_VALUE"""),2)</f>
        <v>2</v>
      </c>
    </row>
    <row r="7864" spans="1:5" ht="13">
      <c r="A7864" s="2" t="str">
        <f ca="1">IFERROR(__xludf.DUMMYFUNCTION("""COMPUTED_VALUE"""),"Strang, Tim")</f>
        <v>Strang, Tim</v>
      </c>
      <c r="B7864" s="3">
        <f ca="1">IFERROR(__xludf.DUMMYFUNCTION("""COMPUTED_VALUE"""),1)</f>
        <v>1</v>
      </c>
      <c r="C7864" s="7">
        <f ca="1">IFERROR(__xludf.DUMMYFUNCTION("""COMPUTED_VALUE"""),1)</f>
        <v>1</v>
      </c>
      <c r="D7864" s="8">
        <f ca="1">IFERROR(__xludf.DUMMYFUNCTION("""COMPUTED_VALUE"""),1)</f>
        <v>1</v>
      </c>
      <c r="E7864" s="2">
        <f ca="1">IFERROR(__xludf.DUMMYFUNCTION("""COMPUTED_VALUE"""),1)</f>
        <v>1</v>
      </c>
    </row>
    <row r="7865" spans="1:5" ht="13">
      <c r="A7865" s="2" t="str">
        <f ca="1">IFERROR(__xludf.DUMMYFUNCTION("""COMPUTED_VALUE"""),"Stratton, Bert")</f>
        <v>Stratton, Bert</v>
      </c>
      <c r="B7865" s="3">
        <f ca="1">IFERROR(__xludf.DUMMYFUNCTION("""COMPUTED_VALUE"""),1)</f>
        <v>1</v>
      </c>
      <c r="C7865" s="7">
        <f ca="1">IFERROR(__xludf.DUMMYFUNCTION("""COMPUTED_VALUE"""),1)</f>
        <v>1</v>
      </c>
      <c r="D7865" s="8">
        <f ca="1">IFERROR(__xludf.DUMMYFUNCTION("""COMPUTED_VALUE"""),1)</f>
        <v>1</v>
      </c>
      <c r="E7865" s="2">
        <f ca="1">IFERROR(__xludf.DUMMYFUNCTION("""COMPUTED_VALUE"""),1)</f>
        <v>1</v>
      </c>
    </row>
    <row r="7866" spans="1:5" ht="13">
      <c r="A7866" s="2" t="str">
        <f ca="1">IFERROR(__xludf.DUMMYFUNCTION("""COMPUTED_VALUE"""),"Straus, Oscar")</f>
        <v>Straus, Oscar</v>
      </c>
      <c r="B7866" s="2">
        <f ca="1">IFERROR(__xludf.DUMMYFUNCTION("""COMPUTED_VALUE"""),1)</f>
        <v>1</v>
      </c>
      <c r="C7866" s="7">
        <f ca="1">IFERROR(__xludf.DUMMYFUNCTION("""COMPUTED_VALUE"""),1)</f>
        <v>1</v>
      </c>
      <c r="D7866" s="8">
        <f ca="1">IFERROR(__xludf.DUMMYFUNCTION("""COMPUTED_VALUE"""),5)</f>
        <v>5</v>
      </c>
      <c r="E7866" s="2">
        <f ca="1">IFERROR(__xludf.DUMMYFUNCTION("""COMPUTED_VALUE"""),2)</f>
        <v>2</v>
      </c>
    </row>
    <row r="7867" spans="1:5" ht="13">
      <c r="A7867" s="2" t="str">
        <f ca="1">IFERROR(__xludf.DUMMYFUNCTION("""COMPUTED_VALUE"""),"Strauss family")</f>
        <v>Strauss family</v>
      </c>
      <c r="B7867" s="3">
        <f ca="1">IFERROR(__xludf.DUMMYFUNCTION("""COMPUTED_VALUE"""),1)</f>
        <v>1</v>
      </c>
      <c r="C7867" s="7">
        <f ca="1">IFERROR(__xludf.DUMMYFUNCTION("""COMPUTED_VALUE"""),1)</f>
        <v>1</v>
      </c>
      <c r="D7867" s="8">
        <f ca="1">IFERROR(__xludf.DUMMYFUNCTION("""COMPUTED_VALUE"""),5)</f>
        <v>5</v>
      </c>
      <c r="E7867" s="2">
        <f ca="1">IFERROR(__xludf.DUMMYFUNCTION("""COMPUTED_VALUE"""),2)</f>
        <v>2</v>
      </c>
    </row>
    <row r="7868" spans="1:5" ht="13">
      <c r="A7868" s="2" t="str">
        <f ca="1">IFERROR(__xludf.DUMMYFUNCTION("""COMPUTED_VALUE"""),"Strauss Jr., Johann")</f>
        <v>Strauss Jr., Johann</v>
      </c>
      <c r="B7868" s="3">
        <f ca="1">IFERROR(__xludf.DUMMYFUNCTION("""COMPUTED_VALUE"""),1)</f>
        <v>1</v>
      </c>
      <c r="C7868" s="7">
        <f ca="1">IFERROR(__xludf.DUMMYFUNCTION("""COMPUTED_VALUE"""),1)</f>
        <v>1</v>
      </c>
      <c r="D7868" s="8">
        <f ca="1">IFERROR(__xludf.DUMMYFUNCTION("""COMPUTED_VALUE"""),5)</f>
        <v>5</v>
      </c>
      <c r="E7868" s="2">
        <f ca="1">IFERROR(__xludf.DUMMYFUNCTION("""COMPUTED_VALUE"""),2)</f>
        <v>2</v>
      </c>
    </row>
    <row r="7869" spans="1:5" ht="13">
      <c r="A7869" s="2" t="str">
        <f ca="1">IFERROR(__xludf.DUMMYFUNCTION("""COMPUTED_VALUE"""),"Strauss, Eduard")</f>
        <v>Strauss, Eduard</v>
      </c>
      <c r="B7869" s="3">
        <f ca="1">IFERROR(__xludf.DUMMYFUNCTION("""COMPUTED_VALUE"""),1)</f>
        <v>1</v>
      </c>
      <c r="C7869" s="7">
        <f ca="1">IFERROR(__xludf.DUMMYFUNCTION("""COMPUTED_VALUE"""),1)</f>
        <v>1</v>
      </c>
      <c r="D7869" s="8">
        <f ca="1">IFERROR(__xludf.DUMMYFUNCTION("""COMPUTED_VALUE"""),5)</f>
        <v>5</v>
      </c>
      <c r="E7869" s="2">
        <f ca="1">IFERROR(__xludf.DUMMYFUNCTION("""COMPUTED_VALUE"""),2)</f>
        <v>2</v>
      </c>
    </row>
    <row r="7870" spans="1:5" ht="13">
      <c r="A7870" s="2" t="str">
        <f ca="1">IFERROR(__xludf.DUMMYFUNCTION("""COMPUTED_VALUE"""),"Strauss, Edward")</f>
        <v>Strauss, Edward</v>
      </c>
      <c r="B7870" s="2">
        <f ca="1">IFERROR(__xludf.DUMMYFUNCTION("""COMPUTED_VALUE"""),1)</f>
        <v>1</v>
      </c>
      <c r="C7870" s="7">
        <f ca="1">IFERROR(__xludf.DUMMYFUNCTION("""COMPUTED_VALUE"""),1)</f>
        <v>1</v>
      </c>
      <c r="D7870" s="8">
        <f ca="1">IFERROR(__xludf.DUMMYFUNCTION("""COMPUTED_VALUE"""),5)</f>
        <v>5</v>
      </c>
      <c r="E7870" s="2">
        <f ca="1">IFERROR(__xludf.DUMMYFUNCTION("""COMPUTED_VALUE"""),2)</f>
        <v>2</v>
      </c>
    </row>
    <row r="7871" spans="1:5" ht="13">
      <c r="A7871" s="2" t="str">
        <f ca="1">IFERROR(__xludf.DUMMYFUNCTION("""COMPUTED_VALUE"""),"Strauss, Franz")</f>
        <v>Strauss, Franz</v>
      </c>
      <c r="B7871" s="3">
        <f ca="1">IFERROR(__xludf.DUMMYFUNCTION("""COMPUTED_VALUE"""),1)</f>
        <v>1</v>
      </c>
      <c r="C7871" s="7">
        <f ca="1">IFERROR(__xludf.DUMMYFUNCTION("""COMPUTED_VALUE"""),1)</f>
        <v>1</v>
      </c>
      <c r="D7871" s="8">
        <f ca="1">IFERROR(__xludf.DUMMYFUNCTION("""COMPUTED_VALUE"""),5)</f>
        <v>5</v>
      </c>
      <c r="E7871" s="2">
        <f ca="1">IFERROR(__xludf.DUMMYFUNCTION("""COMPUTED_VALUE"""),2)</f>
        <v>2</v>
      </c>
    </row>
    <row r="7872" spans="1:5" ht="13">
      <c r="A7872" s="2" t="str">
        <f ca="1">IFERROR(__xludf.DUMMYFUNCTION("""COMPUTED_VALUE"""),"Strauss, Johann")</f>
        <v>Strauss, Johann</v>
      </c>
      <c r="B7872" s="3">
        <f ca="1">IFERROR(__xludf.DUMMYFUNCTION("""COMPUTED_VALUE"""),1)</f>
        <v>1</v>
      </c>
      <c r="C7872" s="7">
        <f ca="1">IFERROR(__xludf.DUMMYFUNCTION("""COMPUTED_VALUE"""),1)</f>
        <v>1</v>
      </c>
      <c r="D7872" s="8">
        <f ca="1">IFERROR(__xludf.DUMMYFUNCTION("""COMPUTED_VALUE"""),5)</f>
        <v>5</v>
      </c>
      <c r="E7872" s="2">
        <f ca="1">IFERROR(__xludf.DUMMYFUNCTION("""COMPUTED_VALUE"""),2)</f>
        <v>2</v>
      </c>
    </row>
    <row r="7873" spans="1:5" ht="13">
      <c r="A7873" s="2" t="str">
        <f ca="1">IFERROR(__xludf.DUMMYFUNCTION("""COMPUTED_VALUE"""),"Strauss, Johann II")</f>
        <v>Strauss, Johann II</v>
      </c>
      <c r="B7873" s="2">
        <f ca="1">IFERROR(__xludf.DUMMYFUNCTION("""COMPUTED_VALUE"""),1)</f>
        <v>1</v>
      </c>
      <c r="C7873" s="7">
        <f ca="1">IFERROR(__xludf.DUMMYFUNCTION("""COMPUTED_VALUE"""),1)</f>
        <v>1</v>
      </c>
      <c r="D7873" s="8">
        <f ca="1">IFERROR(__xludf.DUMMYFUNCTION("""COMPUTED_VALUE"""),5)</f>
        <v>5</v>
      </c>
      <c r="E7873" s="2">
        <f ca="1">IFERROR(__xludf.DUMMYFUNCTION("""COMPUTED_VALUE"""),2)</f>
        <v>2</v>
      </c>
    </row>
    <row r="7874" spans="1:5" ht="13">
      <c r="A7874" s="2" t="str">
        <f ca="1">IFERROR(__xludf.DUMMYFUNCTION("""COMPUTED_VALUE"""),"Strauss, Johann, Jr.")</f>
        <v>Strauss, Johann, Jr.</v>
      </c>
      <c r="B7874" s="2">
        <f ca="1">IFERROR(__xludf.DUMMYFUNCTION("""COMPUTED_VALUE"""),1)</f>
        <v>1</v>
      </c>
      <c r="C7874" s="7">
        <f ca="1">IFERROR(__xludf.DUMMYFUNCTION("""COMPUTED_VALUE"""),1)</f>
        <v>1</v>
      </c>
      <c r="D7874" s="8">
        <f ca="1">IFERROR(__xludf.DUMMYFUNCTION("""COMPUTED_VALUE"""),5)</f>
        <v>5</v>
      </c>
      <c r="E7874" s="2">
        <f ca="1">IFERROR(__xludf.DUMMYFUNCTION("""COMPUTED_VALUE"""),2)</f>
        <v>2</v>
      </c>
    </row>
    <row r="7875" spans="1:5" ht="13">
      <c r="A7875" s="2" t="str">
        <f ca="1">IFERROR(__xludf.DUMMYFUNCTION("""COMPUTED_VALUE"""),"Strauss, Josef")</f>
        <v>Strauss, Josef</v>
      </c>
      <c r="B7875" s="3">
        <f ca="1">IFERROR(__xludf.DUMMYFUNCTION("""COMPUTED_VALUE"""),1)</f>
        <v>1</v>
      </c>
      <c r="C7875" s="7">
        <f ca="1">IFERROR(__xludf.DUMMYFUNCTION("""COMPUTED_VALUE"""),1)</f>
        <v>1</v>
      </c>
      <c r="D7875" s="8">
        <f ca="1">IFERROR(__xludf.DUMMYFUNCTION("""COMPUTED_VALUE"""),5)</f>
        <v>5</v>
      </c>
      <c r="E7875" s="2">
        <f ca="1">IFERROR(__xludf.DUMMYFUNCTION("""COMPUTED_VALUE"""),2)</f>
        <v>2</v>
      </c>
    </row>
    <row r="7876" spans="1:5" ht="13">
      <c r="A7876" s="2" t="str">
        <f ca="1">IFERROR(__xludf.DUMMYFUNCTION("""COMPUTED_VALUE"""),"Strauss, Richard")</f>
        <v>Strauss, Richard</v>
      </c>
      <c r="B7876" s="3">
        <f ca="1">IFERROR(__xludf.DUMMYFUNCTION("""COMPUTED_VALUE"""),1)</f>
        <v>1</v>
      </c>
      <c r="C7876" s="7">
        <f ca="1">IFERROR(__xludf.DUMMYFUNCTION("""COMPUTED_VALUE"""),1)</f>
        <v>1</v>
      </c>
      <c r="D7876" s="8">
        <f ca="1">IFERROR(__xludf.DUMMYFUNCTION("""COMPUTED_VALUE"""),5)</f>
        <v>5</v>
      </c>
      <c r="E7876" s="2">
        <f ca="1">IFERROR(__xludf.DUMMYFUNCTION("""COMPUTED_VALUE"""),2)</f>
        <v>2</v>
      </c>
    </row>
    <row r="7877" spans="1:5" ht="13">
      <c r="A7877" s="2" t="str">
        <f ca="1">IFERROR(__xludf.DUMMYFUNCTION("""COMPUTED_VALUE"""),"Stravinsky, Igor")</f>
        <v>Stravinsky, Igor</v>
      </c>
      <c r="B7877" s="3">
        <f ca="1">IFERROR(__xludf.DUMMYFUNCTION("""COMPUTED_VALUE"""),1)</f>
        <v>1</v>
      </c>
      <c r="C7877" s="7">
        <f ca="1">IFERROR(__xludf.DUMMYFUNCTION("""COMPUTED_VALUE"""),1)</f>
        <v>1</v>
      </c>
      <c r="D7877" s="8">
        <f ca="1">IFERROR(__xludf.DUMMYFUNCTION("""COMPUTED_VALUE"""),5)</f>
        <v>5</v>
      </c>
      <c r="E7877" s="2">
        <f ca="1">IFERROR(__xludf.DUMMYFUNCTION("""COMPUTED_VALUE"""),2)</f>
        <v>2</v>
      </c>
    </row>
    <row r="7878" spans="1:5" ht="13">
      <c r="A7878" s="2" t="str">
        <f ca="1">IFERROR(__xludf.DUMMYFUNCTION("""COMPUTED_VALUE"""),"Stravinsky, Soulima")</f>
        <v>Stravinsky, Soulima</v>
      </c>
      <c r="B7878" s="2">
        <f ca="1">IFERROR(__xludf.DUMMYFUNCTION("""COMPUTED_VALUE"""),1)</f>
        <v>1</v>
      </c>
      <c r="C7878" s="7">
        <f ca="1">IFERROR(__xludf.DUMMYFUNCTION("""COMPUTED_VALUE"""),1)</f>
        <v>1</v>
      </c>
      <c r="D7878" s="8">
        <f ca="1">IFERROR(__xludf.DUMMYFUNCTION("""COMPUTED_VALUE"""),5)</f>
        <v>5</v>
      </c>
      <c r="E7878" s="2">
        <f ca="1">IFERROR(__xludf.DUMMYFUNCTION("""COMPUTED_VALUE"""),2)</f>
        <v>2</v>
      </c>
    </row>
    <row r="7879" spans="1:5" ht="13">
      <c r="A7879" s="2" t="str">
        <f ca="1">IFERROR(__xludf.DUMMYFUNCTION("""COMPUTED_VALUE"""),"Strazzeri, Frank")</f>
        <v>Strazzeri, Frank</v>
      </c>
      <c r="B7879" s="2">
        <f ca="1">IFERROR(__xludf.DUMMYFUNCTION("""COMPUTED_VALUE"""),1)</f>
        <v>1</v>
      </c>
      <c r="C7879" s="2">
        <f ca="1">IFERROR(__xludf.DUMMYFUNCTION("""COMPUTED_VALUE"""),1)</f>
        <v>1</v>
      </c>
      <c r="D7879" s="8">
        <f ca="1">IFERROR(__xludf.DUMMYFUNCTION("""COMPUTED_VALUE"""),5)</f>
        <v>5</v>
      </c>
      <c r="E7879" s="2">
        <f ca="1">IFERROR(__xludf.DUMMYFUNCTION("""COMPUTED_VALUE"""),2)</f>
        <v>2</v>
      </c>
    </row>
    <row r="7880" spans="1:5" ht="13">
      <c r="A7880" s="2" t="str">
        <f ca="1">IFERROR(__xludf.DUMMYFUNCTION("""COMPUTED_VALUE"""),"Street, Tison")</f>
        <v>Street, Tison</v>
      </c>
      <c r="B7880" s="3">
        <f ca="1">IFERROR(__xludf.DUMMYFUNCTION("""COMPUTED_VALUE"""),1)</f>
        <v>1</v>
      </c>
      <c r="C7880" s="7">
        <f ca="1">IFERROR(__xludf.DUMMYFUNCTION("""COMPUTED_VALUE"""),1)</f>
        <v>1</v>
      </c>
      <c r="D7880" s="8">
        <f ca="1">IFERROR(__xludf.DUMMYFUNCTION("""COMPUTED_VALUE"""),1)</f>
        <v>1</v>
      </c>
      <c r="E7880" s="2">
        <f ca="1">IFERROR(__xludf.DUMMYFUNCTION("""COMPUTED_VALUE"""),1)</f>
        <v>1</v>
      </c>
    </row>
    <row r="7881" spans="1:5" ht="13">
      <c r="A7881" s="2" t="str">
        <f ca="1">IFERROR(__xludf.DUMMYFUNCTION("""COMPUTED_VALUE"""),"Strejc, Jiří")</f>
        <v>Strejc, Jiří</v>
      </c>
      <c r="B7881" s="3">
        <f ca="1">IFERROR(__xludf.DUMMYFUNCTION("""COMPUTED_VALUE"""),1)</f>
        <v>1</v>
      </c>
      <c r="C7881" s="7">
        <f ca="1">IFERROR(__xludf.DUMMYFUNCTION("""COMPUTED_VALUE"""),1)</f>
        <v>1</v>
      </c>
      <c r="D7881" s="8">
        <f ca="1">IFERROR(__xludf.DUMMYFUNCTION("""COMPUTED_VALUE"""),5)</f>
        <v>5</v>
      </c>
      <c r="E7881" s="2">
        <f ca="1">IFERROR(__xludf.DUMMYFUNCTION("""COMPUTED_VALUE"""),2)</f>
        <v>2</v>
      </c>
    </row>
    <row r="7882" spans="1:5" ht="13">
      <c r="A7882" s="2" t="str">
        <f ca="1">IFERROR(__xludf.DUMMYFUNCTION("""COMPUTED_VALUE"""),"Strens, Jules")</f>
        <v>Strens, Jules</v>
      </c>
      <c r="B7882" s="3">
        <f ca="1">IFERROR(__xludf.DUMMYFUNCTION("""COMPUTED_VALUE"""),1)</f>
        <v>1</v>
      </c>
      <c r="C7882" s="7">
        <f ca="1">IFERROR(__xludf.DUMMYFUNCTION("""COMPUTED_VALUE"""),1)</f>
        <v>1</v>
      </c>
      <c r="D7882" s="8">
        <f ca="1">IFERROR(__xludf.DUMMYFUNCTION("""COMPUTED_VALUE"""),5)</f>
        <v>5</v>
      </c>
      <c r="E7882" s="2">
        <f ca="1">IFERROR(__xludf.DUMMYFUNCTION("""COMPUTED_VALUE"""),2)</f>
        <v>2</v>
      </c>
    </row>
    <row r="7883" spans="1:5" ht="13">
      <c r="A7883" s="8" t="str">
        <f ca="1">IFERROR(__xludf.DUMMYFUNCTION("""COMPUTED_VALUE"""),"Strid, George")</f>
        <v>Strid, George</v>
      </c>
      <c r="B7883" s="9">
        <f ca="1">IFERROR(__xludf.DUMMYFUNCTION("""COMPUTED_VALUE"""),1)</f>
        <v>1</v>
      </c>
      <c r="C7883" s="7">
        <f ca="1">IFERROR(__xludf.DUMMYFUNCTION("""COMPUTED_VALUE"""),1)</f>
        <v>1</v>
      </c>
      <c r="D7883" s="8">
        <f ca="1">IFERROR(__xludf.DUMMYFUNCTION("""COMPUTED_VALUE"""),1)</f>
        <v>1</v>
      </c>
      <c r="E7883" s="9">
        <f ca="1">IFERROR(__xludf.DUMMYFUNCTION("""COMPUTED_VALUE"""),1)</f>
        <v>1</v>
      </c>
    </row>
    <row r="7884" spans="1:5" ht="13">
      <c r="A7884" s="2" t="str">
        <f ca="1">IFERROR(__xludf.DUMMYFUNCTION("""COMPUTED_VALUE"""),"Strommen, Carl")</f>
        <v>Strommen, Carl</v>
      </c>
      <c r="B7884" s="3">
        <f ca="1">IFERROR(__xludf.DUMMYFUNCTION("""COMPUTED_VALUE"""),1)</f>
        <v>1</v>
      </c>
      <c r="C7884" s="7">
        <f ca="1">IFERROR(__xludf.DUMMYFUNCTION("""COMPUTED_VALUE"""),1)</f>
        <v>1</v>
      </c>
      <c r="D7884" s="8">
        <f ca="1">IFERROR(__xludf.DUMMYFUNCTION("""COMPUTED_VALUE"""),1)</f>
        <v>1</v>
      </c>
      <c r="E7884" s="2">
        <f ca="1">IFERROR(__xludf.DUMMYFUNCTION("""COMPUTED_VALUE"""),1)</f>
        <v>1</v>
      </c>
    </row>
    <row r="7885" spans="1:5" ht="13">
      <c r="A7885" s="2" t="str">
        <f ca="1">IFERROR(__xludf.DUMMYFUNCTION("""COMPUTED_VALUE"""),"Stroope, Z. Randall")</f>
        <v>Stroope, Z. Randall</v>
      </c>
      <c r="B7885" s="2">
        <f ca="1">IFERROR(__xludf.DUMMYFUNCTION("""COMPUTED_VALUE"""),1)</f>
        <v>1</v>
      </c>
      <c r="C7885" s="7">
        <f ca="1">IFERROR(__xludf.DUMMYFUNCTION("""COMPUTED_VALUE"""),1)</f>
        <v>1</v>
      </c>
      <c r="D7885" s="8">
        <f ca="1">IFERROR(__xludf.DUMMYFUNCTION("""COMPUTED_VALUE"""),5)</f>
        <v>5</v>
      </c>
      <c r="E7885" s="2">
        <f ca="1">IFERROR(__xludf.DUMMYFUNCTION("""COMPUTED_VALUE"""),2)</f>
        <v>2</v>
      </c>
    </row>
    <row r="7886" spans="1:5" ht="13">
      <c r="A7886" s="8" t="str">
        <f ca="1">IFERROR(__xludf.DUMMYFUNCTION("""COMPUTED_VALUE"""),"Stroud, Douglas")</f>
        <v>Stroud, Douglas</v>
      </c>
      <c r="B7886" s="3">
        <f ca="1">IFERROR(__xludf.DUMMYFUNCTION("""COMPUTED_VALUE"""),1)</f>
        <v>1</v>
      </c>
      <c r="C7886" s="7">
        <f ca="1">IFERROR(__xludf.DUMMYFUNCTION("""COMPUTED_VALUE"""),1)</f>
        <v>1</v>
      </c>
      <c r="D7886" s="8">
        <f ca="1">IFERROR(__xludf.DUMMYFUNCTION("""COMPUTED_VALUE"""),1)</f>
        <v>1</v>
      </c>
      <c r="E7886" s="2">
        <f ca="1">IFERROR(__xludf.DUMMYFUNCTION("""COMPUTED_VALUE"""),1)</f>
        <v>1</v>
      </c>
    </row>
    <row r="7887" spans="1:5" ht="13">
      <c r="A7887" s="8" t="str">
        <f ca="1">IFERROR(__xludf.DUMMYFUNCTION("""COMPUTED_VALUE"""),"Stroud, Ray")</f>
        <v>Stroud, Ray</v>
      </c>
      <c r="B7887" s="9">
        <f ca="1">IFERROR(__xludf.DUMMYFUNCTION("""COMPUTED_VALUE"""),1)</f>
        <v>1</v>
      </c>
      <c r="C7887" s="7">
        <f ca="1">IFERROR(__xludf.DUMMYFUNCTION("""COMPUTED_VALUE"""),1)</f>
        <v>1</v>
      </c>
      <c r="D7887" s="8">
        <f ca="1">IFERROR(__xludf.DUMMYFUNCTION("""COMPUTED_VALUE"""),1)</f>
        <v>1</v>
      </c>
      <c r="E7887" s="9">
        <f ca="1">IFERROR(__xludf.DUMMYFUNCTION("""COMPUTED_VALUE"""),1)</f>
        <v>1</v>
      </c>
    </row>
    <row r="7888" spans="1:5" ht="13">
      <c r="A7888" s="2" t="str">
        <f ca="1">IFERROR(__xludf.DUMMYFUNCTION("""COMPUTED_VALUE"""),"Stroup, Clayton")</f>
        <v>Stroup, Clayton</v>
      </c>
      <c r="B7888" s="9">
        <f ca="1">IFERROR(__xludf.DUMMYFUNCTION("""COMPUTED_VALUE"""),1)</f>
        <v>1</v>
      </c>
      <c r="C7888" s="7">
        <f ca="1">IFERROR(__xludf.DUMMYFUNCTION("""COMPUTED_VALUE"""),1)</f>
        <v>1</v>
      </c>
      <c r="D7888" s="8">
        <f ca="1">IFERROR(__xludf.DUMMYFUNCTION("""COMPUTED_VALUE"""),1)</f>
        <v>1</v>
      </c>
      <c r="E7888" s="9">
        <f ca="1">IFERROR(__xludf.DUMMYFUNCTION("""COMPUTED_VALUE"""),1)</f>
        <v>1</v>
      </c>
    </row>
    <row r="7889" spans="1:5" ht="13">
      <c r="A7889" s="2" t="str">
        <f ca="1">IFERROR(__xludf.DUMMYFUNCTION("""COMPUTED_VALUE"""),"Strouse, Charles")</f>
        <v>Strouse, Charles</v>
      </c>
      <c r="B7889" s="3">
        <f ca="1">IFERROR(__xludf.DUMMYFUNCTION("""COMPUTED_VALUE"""),1)</f>
        <v>1</v>
      </c>
      <c r="C7889" s="7">
        <f ca="1">IFERROR(__xludf.DUMMYFUNCTION("""COMPUTED_VALUE"""),1)</f>
        <v>1</v>
      </c>
      <c r="D7889" s="8">
        <f ca="1">IFERROR(__xludf.DUMMYFUNCTION("""COMPUTED_VALUE"""),1)</f>
        <v>1</v>
      </c>
      <c r="E7889" s="2">
        <f ca="1">IFERROR(__xludf.DUMMYFUNCTION("""COMPUTED_VALUE"""),1)</f>
        <v>1</v>
      </c>
    </row>
    <row r="7890" spans="1:5" ht="13">
      <c r="A7890" s="2" t="str">
        <f ca="1">IFERROR(__xludf.DUMMYFUNCTION("""COMPUTED_VALUE"""),"Strube, Gustav")</f>
        <v>Strube, Gustav</v>
      </c>
      <c r="B7890" s="2">
        <f ca="1">IFERROR(__xludf.DUMMYFUNCTION("""COMPUTED_VALUE"""),1)</f>
        <v>1</v>
      </c>
      <c r="C7890" s="7">
        <f ca="1">IFERROR(__xludf.DUMMYFUNCTION("""COMPUTED_VALUE"""),1)</f>
        <v>1</v>
      </c>
      <c r="D7890" s="8">
        <f ca="1">IFERROR(__xludf.DUMMYFUNCTION("""COMPUTED_VALUE"""),5)</f>
        <v>5</v>
      </c>
      <c r="E7890" s="2">
        <f ca="1">IFERROR(__xludf.DUMMYFUNCTION("""COMPUTED_VALUE"""),2)</f>
        <v>2</v>
      </c>
    </row>
    <row r="7891" spans="1:5" ht="13">
      <c r="A7891" s="8" t="str">
        <f ca="1">IFERROR(__xludf.DUMMYFUNCTION("""COMPUTED_VALUE"""),"Struble, Larry")</f>
        <v>Struble, Larry</v>
      </c>
      <c r="B7891" s="3">
        <f ca="1">IFERROR(__xludf.DUMMYFUNCTION("""COMPUTED_VALUE"""),1)</f>
        <v>1</v>
      </c>
      <c r="C7891" s="7">
        <f ca="1">IFERROR(__xludf.DUMMYFUNCTION("""COMPUTED_VALUE"""),1)</f>
        <v>1</v>
      </c>
      <c r="D7891" s="8">
        <f ca="1">IFERROR(__xludf.DUMMYFUNCTION("""COMPUTED_VALUE"""),1)</f>
        <v>1</v>
      </c>
      <c r="E7891" s="2">
        <f ca="1">IFERROR(__xludf.DUMMYFUNCTION("""COMPUTED_VALUE"""),1)</f>
        <v>1</v>
      </c>
    </row>
    <row r="7892" spans="1:5" ht="13">
      <c r="A7892" s="2" t="str">
        <f ca="1">IFERROR(__xludf.DUMMYFUNCTION("""COMPUTED_VALUE"""),"Stuart, Hugh M.")</f>
        <v>Stuart, Hugh M.</v>
      </c>
      <c r="B7892" s="3">
        <f ca="1">IFERROR(__xludf.DUMMYFUNCTION("""COMPUTED_VALUE"""),1)</f>
        <v>1</v>
      </c>
      <c r="C7892" s="7">
        <f ca="1">IFERROR(__xludf.DUMMYFUNCTION("""COMPUTED_VALUE"""),1)</f>
        <v>1</v>
      </c>
      <c r="D7892" s="8">
        <f ca="1">IFERROR(__xludf.DUMMYFUNCTION("""COMPUTED_VALUE"""),5)</f>
        <v>5</v>
      </c>
      <c r="E7892" s="2">
        <f ca="1">IFERROR(__xludf.DUMMYFUNCTION("""COMPUTED_VALUE"""),2)</f>
        <v>2</v>
      </c>
    </row>
    <row r="7893" spans="1:5" ht="13">
      <c r="A7893" s="2" t="str">
        <f ca="1">IFERROR(__xludf.DUMMYFUNCTION("""COMPUTED_VALUE"""),"Stubbs, Duncan")</f>
        <v>Stubbs, Duncan</v>
      </c>
      <c r="B7893" s="3">
        <f ca="1">IFERROR(__xludf.DUMMYFUNCTION("""COMPUTED_VALUE"""),1)</f>
        <v>1</v>
      </c>
      <c r="C7893" s="7">
        <f ca="1">IFERROR(__xludf.DUMMYFUNCTION("""COMPUTED_VALUE"""),1)</f>
        <v>1</v>
      </c>
      <c r="D7893" s="8">
        <f ca="1">IFERROR(__xludf.DUMMYFUNCTION("""COMPUTED_VALUE"""),1)</f>
        <v>1</v>
      </c>
      <c r="E7893" s="2">
        <f ca="1">IFERROR(__xludf.DUMMYFUNCTION("""COMPUTED_VALUE"""),1)</f>
        <v>1</v>
      </c>
    </row>
    <row r="7894" spans="1:5" ht="13">
      <c r="A7894" s="2" t="str">
        <f ca="1">IFERROR(__xludf.DUMMYFUNCTION("""COMPUTED_VALUE"""),"Stucky, Steven")</f>
        <v>Stucky, Steven</v>
      </c>
      <c r="B7894" s="3">
        <f ca="1">IFERROR(__xludf.DUMMYFUNCTION("""COMPUTED_VALUE"""),1)</f>
        <v>1</v>
      </c>
      <c r="C7894" s="7">
        <f ca="1">IFERROR(__xludf.DUMMYFUNCTION("""COMPUTED_VALUE"""),1)</f>
        <v>1</v>
      </c>
      <c r="D7894" s="8">
        <f ca="1">IFERROR(__xludf.DUMMYFUNCTION("""COMPUTED_VALUE"""),5)</f>
        <v>5</v>
      </c>
      <c r="E7894" s="2">
        <f ca="1">IFERROR(__xludf.DUMMYFUNCTION("""COMPUTED_VALUE"""),2)</f>
        <v>2</v>
      </c>
    </row>
    <row r="7895" spans="1:5" ht="13">
      <c r="A7895" s="2" t="str">
        <f ca="1">IFERROR(__xludf.DUMMYFUNCTION("""COMPUTED_VALUE"""),"Sturm, Fred")</f>
        <v>Sturm, Fred</v>
      </c>
      <c r="B7895" s="3">
        <f ca="1">IFERROR(__xludf.DUMMYFUNCTION("""COMPUTED_VALUE"""),1)</f>
        <v>1</v>
      </c>
      <c r="C7895" s="7">
        <f ca="1">IFERROR(__xludf.DUMMYFUNCTION("""COMPUTED_VALUE"""),1)</f>
        <v>1</v>
      </c>
      <c r="D7895" s="8">
        <f ca="1">IFERROR(__xludf.DUMMYFUNCTION("""COMPUTED_VALUE"""),5)</f>
        <v>5</v>
      </c>
      <c r="E7895" s="2">
        <f ca="1">IFERROR(__xludf.DUMMYFUNCTION("""COMPUTED_VALUE"""),2)</f>
        <v>2</v>
      </c>
    </row>
    <row r="7896" spans="1:5" ht="13">
      <c r="A7896" s="2" t="str">
        <f ca="1">IFERROR(__xludf.DUMMYFUNCTION("""COMPUTED_VALUE"""),"Sturm, Ike")</f>
        <v>Sturm, Ike</v>
      </c>
      <c r="B7896" s="3">
        <f ca="1">IFERROR(__xludf.DUMMYFUNCTION("""COMPUTED_VALUE"""),1)</f>
        <v>1</v>
      </c>
      <c r="C7896" s="7">
        <f ca="1">IFERROR(__xludf.DUMMYFUNCTION("""COMPUTED_VALUE"""),1)</f>
        <v>1</v>
      </c>
      <c r="D7896" s="8">
        <f ca="1">IFERROR(__xludf.DUMMYFUNCTION("""COMPUTED_VALUE"""),1)</f>
        <v>1</v>
      </c>
      <c r="E7896" s="2">
        <f ca="1">IFERROR(__xludf.DUMMYFUNCTION("""COMPUTED_VALUE"""),1)</f>
        <v>1</v>
      </c>
    </row>
    <row r="7897" spans="1:5" ht="13">
      <c r="A7897" s="2" t="str">
        <f ca="1">IFERROR(__xludf.DUMMYFUNCTION("""COMPUTED_VALUE"""),"Styne, Jule")</f>
        <v>Styne, Jule</v>
      </c>
      <c r="B7897" s="2">
        <f ca="1">IFERROR(__xludf.DUMMYFUNCTION("""COMPUTED_VALUE"""),1)</f>
        <v>1</v>
      </c>
      <c r="C7897" s="7">
        <f ca="1">IFERROR(__xludf.DUMMYFUNCTION("""COMPUTED_VALUE"""),1)</f>
        <v>1</v>
      </c>
      <c r="D7897" s="8">
        <f ca="1">IFERROR(__xludf.DUMMYFUNCTION("""COMPUTED_VALUE"""),5)</f>
        <v>5</v>
      </c>
      <c r="E7897" s="2">
        <f ca="1">IFERROR(__xludf.DUMMYFUNCTION("""COMPUTED_VALUE"""),2)</f>
        <v>2</v>
      </c>
    </row>
    <row r="7898" spans="1:5" ht="13">
      <c r="A7898" s="2" t="str">
        <f ca="1">IFERROR(__xludf.DUMMYFUNCTION("""COMPUTED_VALUE"""),"Styne, Jule / Calvin, Dot")</f>
        <v>Styne, Jule / Calvin, Dot</v>
      </c>
      <c r="B7898" s="2">
        <f ca="1">IFERROR(__xludf.DUMMYFUNCTION("""COMPUTED_VALUE"""),1)</f>
        <v>1</v>
      </c>
      <c r="C7898" s="7">
        <f ca="1">IFERROR(__xludf.DUMMYFUNCTION("""COMPUTED_VALUE"""),1)</f>
        <v>1</v>
      </c>
      <c r="D7898" s="8">
        <f ca="1">IFERROR(__xludf.DUMMYFUNCTION("""COMPUTED_VALUE"""),5)</f>
        <v>5</v>
      </c>
      <c r="E7898" s="2">
        <f ca="1">IFERROR(__xludf.DUMMYFUNCTION("""COMPUTED_VALUE"""),2)</f>
        <v>2</v>
      </c>
    </row>
    <row r="7899" spans="1:5" ht="13">
      <c r="A7899" s="2" t="str">
        <f ca="1">IFERROR(__xludf.DUMMYFUNCTION("""COMPUTED_VALUE"""),"Styne, Jule / Comden, Betty / Green, Adolph")</f>
        <v>Styne, Jule / Comden, Betty / Green, Adolph</v>
      </c>
      <c r="B7899" s="3">
        <f ca="1">IFERROR(__xludf.DUMMYFUNCTION("""COMPUTED_VALUE"""),1)</f>
        <v>1</v>
      </c>
      <c r="C7899" s="7">
        <f ca="1">IFERROR(__xludf.DUMMYFUNCTION("""COMPUTED_VALUE"""),1)</f>
        <v>1</v>
      </c>
      <c r="D7899" s="8">
        <f ca="1">IFERROR(__xludf.DUMMYFUNCTION("""COMPUTED_VALUE"""),5)</f>
        <v>5</v>
      </c>
      <c r="E7899" s="2">
        <f ca="1">IFERROR(__xludf.DUMMYFUNCTION("""COMPUTED_VALUE"""),2)</f>
        <v>2</v>
      </c>
    </row>
    <row r="7900" spans="1:5" ht="13">
      <c r="A7900" s="2" t="str">
        <f ca="1">IFERROR(__xludf.DUMMYFUNCTION("""COMPUTED_VALUE"""),"Styne, Jule / Hilliard, Bob")</f>
        <v>Styne, Jule / Hilliard, Bob</v>
      </c>
      <c r="B7900" s="2">
        <f ca="1">IFERROR(__xludf.DUMMYFUNCTION("""COMPUTED_VALUE"""),1)</f>
        <v>1</v>
      </c>
      <c r="C7900" s="7">
        <f ca="1">IFERROR(__xludf.DUMMYFUNCTION("""COMPUTED_VALUE"""),1)</f>
        <v>1</v>
      </c>
      <c r="D7900" s="8">
        <f ca="1">IFERROR(__xludf.DUMMYFUNCTION("""COMPUTED_VALUE"""),5)</f>
        <v>5</v>
      </c>
      <c r="E7900" s="2">
        <f ca="1">IFERROR(__xludf.DUMMYFUNCTION("""COMPUTED_VALUE"""),2)</f>
        <v>2</v>
      </c>
    </row>
    <row r="7901" spans="1:5" ht="13">
      <c r="A7901" s="2" t="str">
        <f ca="1">IFERROR(__xludf.DUMMYFUNCTION("""COMPUTED_VALUE"""),"Styne, Jule / Robin, Leo")</f>
        <v>Styne, Jule / Robin, Leo</v>
      </c>
      <c r="B7901" s="2">
        <f ca="1">IFERROR(__xludf.DUMMYFUNCTION("""COMPUTED_VALUE"""),1)</f>
        <v>1</v>
      </c>
      <c r="C7901" s="7">
        <f ca="1">IFERROR(__xludf.DUMMYFUNCTION("""COMPUTED_VALUE"""),1)</f>
        <v>1</v>
      </c>
      <c r="D7901" s="8">
        <f ca="1">IFERROR(__xludf.DUMMYFUNCTION("""COMPUTED_VALUE"""),5)</f>
        <v>5</v>
      </c>
      <c r="E7901" s="2">
        <f ca="1">IFERROR(__xludf.DUMMYFUNCTION("""COMPUTED_VALUE"""),2)</f>
        <v>2</v>
      </c>
    </row>
    <row r="7902" spans="1:5" ht="13">
      <c r="A7902" s="8" t="str">
        <f ca="1">IFERROR(__xludf.DUMMYFUNCTION("""COMPUTED_VALUE"""),"Styne, Julie")</f>
        <v>Styne, Julie</v>
      </c>
      <c r="B7902" s="3">
        <f ca="1">IFERROR(__xludf.DUMMYFUNCTION("""COMPUTED_VALUE"""),1)</f>
        <v>1</v>
      </c>
      <c r="C7902" s="7">
        <f ca="1">IFERROR(__xludf.DUMMYFUNCTION("""COMPUTED_VALUE"""),1)</f>
        <v>1</v>
      </c>
      <c r="D7902" s="8">
        <f ca="1">IFERROR(__xludf.DUMMYFUNCTION("""COMPUTED_VALUE"""),5)</f>
        <v>5</v>
      </c>
      <c r="E7902" s="2">
        <f ca="1">IFERROR(__xludf.DUMMYFUNCTION("""COMPUTED_VALUE"""),2)</f>
        <v>2</v>
      </c>
    </row>
    <row r="7903" spans="1:5" ht="13">
      <c r="A7903" s="2" t="str">
        <f ca="1">IFERROR(__xludf.DUMMYFUNCTION("""COMPUTED_VALUE"""),"Suber, Stephen")</f>
        <v>Suber, Stephen</v>
      </c>
      <c r="B7903" s="3">
        <f ca="1">IFERROR(__xludf.DUMMYFUNCTION("""COMPUTED_VALUE"""),1)</f>
        <v>1</v>
      </c>
      <c r="C7903" s="7">
        <f ca="1">IFERROR(__xludf.DUMMYFUNCTION("""COMPUTED_VALUE"""),1)</f>
        <v>1</v>
      </c>
      <c r="D7903" s="8">
        <f ca="1">IFERROR(__xludf.DUMMYFUNCTION("""COMPUTED_VALUE"""),1)</f>
        <v>1</v>
      </c>
      <c r="E7903" s="2">
        <f ca="1">IFERROR(__xludf.DUMMYFUNCTION("""COMPUTED_VALUE"""),1)</f>
        <v>1</v>
      </c>
    </row>
    <row r="7904" spans="1:5" ht="13">
      <c r="A7904" s="2" t="str">
        <f ca="1">IFERROR(__xludf.DUMMYFUNCTION("""COMPUTED_VALUE"""),"Subke, David")</f>
        <v>Subke, David</v>
      </c>
      <c r="B7904" s="3">
        <f ca="1">IFERROR(__xludf.DUMMYFUNCTION("""COMPUTED_VALUE"""),1)</f>
        <v>1</v>
      </c>
      <c r="C7904" s="7">
        <f ca="1">IFERROR(__xludf.DUMMYFUNCTION("""COMPUTED_VALUE"""),1)</f>
        <v>1</v>
      </c>
      <c r="D7904" s="8">
        <f ca="1">IFERROR(__xludf.DUMMYFUNCTION("""COMPUTED_VALUE"""),5)</f>
        <v>5</v>
      </c>
      <c r="E7904" s="2">
        <f ca="1">IFERROR(__xludf.DUMMYFUNCTION("""COMPUTED_VALUE"""),2)</f>
        <v>2</v>
      </c>
    </row>
    <row r="7905" spans="1:5" ht="13">
      <c r="A7905" s="2" t="str">
        <f ca="1">IFERROR(__xludf.DUMMYFUNCTION("""COMPUTED_VALUE"""),"Suchoff, Benjamin")</f>
        <v>Suchoff, Benjamin</v>
      </c>
      <c r="B7905" s="3">
        <f ca="1">IFERROR(__xludf.DUMMYFUNCTION("""COMPUTED_VALUE"""),1)</f>
        <v>1</v>
      </c>
      <c r="C7905" s="7">
        <f ca="1">IFERROR(__xludf.DUMMYFUNCTION("""COMPUTED_VALUE"""),1)</f>
        <v>1</v>
      </c>
      <c r="D7905" s="8">
        <f ca="1">IFERROR(__xludf.DUMMYFUNCTION("""COMPUTED_VALUE"""),1)</f>
        <v>1</v>
      </c>
      <c r="E7905" s="2">
        <f ca="1">IFERROR(__xludf.DUMMYFUNCTION("""COMPUTED_VALUE"""),1)</f>
        <v>1</v>
      </c>
    </row>
    <row r="7906" spans="1:5" ht="13">
      <c r="A7906" s="2" t="str">
        <f ca="1">IFERROR(__xludf.DUMMYFUNCTION("""COMPUTED_VALUE"""),"Sudduth, Glenn / Busby, Bill")</f>
        <v>Sudduth, Glenn / Busby, Bill</v>
      </c>
      <c r="B7906" s="3">
        <f ca="1">IFERROR(__xludf.DUMMYFUNCTION("""COMPUTED_VALUE"""),1)</f>
        <v>1</v>
      </c>
      <c r="C7906" s="7">
        <f ca="1">IFERROR(__xludf.DUMMYFUNCTION("""COMPUTED_VALUE"""),1)</f>
        <v>1</v>
      </c>
      <c r="D7906" s="8">
        <f ca="1">IFERROR(__xludf.DUMMYFUNCTION("""COMPUTED_VALUE"""),5)</f>
        <v>5</v>
      </c>
      <c r="E7906" s="2">
        <f ca="1">IFERROR(__xludf.DUMMYFUNCTION("""COMPUTED_VALUE"""),2)</f>
        <v>2</v>
      </c>
    </row>
    <row r="7907" spans="1:5" ht="13">
      <c r="A7907" s="2" t="str">
        <f ca="1">IFERROR(__xludf.DUMMYFUNCTION("""COMPUTED_VALUE"""),"Sudduth, James")</f>
        <v>Sudduth, James</v>
      </c>
      <c r="B7907" s="3">
        <f ca="1">IFERROR(__xludf.DUMMYFUNCTION("""COMPUTED_VALUE"""),1)</f>
        <v>1</v>
      </c>
      <c r="C7907" s="7">
        <f ca="1">IFERROR(__xludf.DUMMYFUNCTION("""COMPUTED_VALUE"""),1)</f>
        <v>1</v>
      </c>
      <c r="D7907" s="8">
        <f ca="1">IFERROR(__xludf.DUMMYFUNCTION("""COMPUTED_VALUE"""),5)</f>
        <v>5</v>
      </c>
      <c r="E7907" s="2">
        <f ca="1">IFERROR(__xludf.DUMMYFUNCTION("""COMPUTED_VALUE"""),2)</f>
        <v>2</v>
      </c>
    </row>
    <row r="7908" spans="1:5" ht="13">
      <c r="A7908" s="2" t="str">
        <f ca="1">IFERROR(__xludf.DUMMYFUNCTION("""COMPUTED_VALUE"""),"Suessdorf, Karl / Blackburn, John")</f>
        <v>Suessdorf, Karl / Blackburn, John</v>
      </c>
      <c r="B7908" s="2">
        <f ca="1">IFERROR(__xludf.DUMMYFUNCTION("""COMPUTED_VALUE"""),1)</f>
        <v>1</v>
      </c>
      <c r="C7908" s="7">
        <f ca="1">IFERROR(__xludf.DUMMYFUNCTION("""COMPUTED_VALUE"""),1)</f>
        <v>1</v>
      </c>
      <c r="D7908" s="8">
        <f ca="1">IFERROR(__xludf.DUMMYFUNCTION("""COMPUTED_VALUE"""),5)</f>
        <v>5</v>
      </c>
      <c r="E7908" s="2">
        <f ca="1">IFERROR(__xludf.DUMMYFUNCTION("""COMPUTED_VALUE"""),2)</f>
        <v>2</v>
      </c>
    </row>
    <row r="7909" spans="1:5" ht="13">
      <c r="A7909" s="2" t="str">
        <f ca="1">IFERROR(__xludf.DUMMYFUNCTION("""COMPUTED_VALUE"""),"Sugar, Rezso")</f>
        <v>Sugar, Rezso</v>
      </c>
      <c r="B7909" s="3">
        <f ca="1">IFERROR(__xludf.DUMMYFUNCTION("""COMPUTED_VALUE"""),1)</f>
        <v>1</v>
      </c>
      <c r="C7909" s="7">
        <f ca="1">IFERROR(__xludf.DUMMYFUNCTION("""COMPUTED_VALUE"""),1)</f>
        <v>1</v>
      </c>
      <c r="D7909" s="8">
        <f ca="1">IFERROR(__xludf.DUMMYFUNCTION("""COMPUTED_VALUE"""),5)</f>
        <v>5</v>
      </c>
      <c r="E7909" s="2">
        <f ca="1">IFERROR(__xludf.DUMMYFUNCTION("""COMPUTED_VALUE"""),2)</f>
        <v>2</v>
      </c>
    </row>
    <row r="7910" spans="1:5" ht="13">
      <c r="A7910" s="2" t="str">
        <f ca="1">IFERROR(__xludf.DUMMYFUNCTION("""COMPUTED_VALUE"""),"Sugar, Thomas Elias")</f>
        <v>Sugar, Thomas Elias</v>
      </c>
      <c r="B7910" s="3">
        <f ca="1">IFERROR(__xludf.DUMMYFUNCTION("""COMPUTED_VALUE"""),1)</f>
        <v>1</v>
      </c>
      <c r="C7910" s="7">
        <f ca="1">IFERROR(__xludf.DUMMYFUNCTION("""COMPUTED_VALUE"""),1)</f>
        <v>1</v>
      </c>
      <c r="D7910" s="8">
        <f ca="1">IFERROR(__xludf.DUMMYFUNCTION("""COMPUTED_VALUE"""),1)</f>
        <v>1</v>
      </c>
      <c r="E7910" s="2">
        <f ca="1">IFERROR(__xludf.DUMMYFUNCTION("""COMPUTED_VALUE"""),1)</f>
        <v>1</v>
      </c>
    </row>
    <row r="7911" spans="1:5" ht="13">
      <c r="A7911" s="2" t="str">
        <f ca="1">IFERROR(__xludf.DUMMYFUNCTION("""COMPUTED_VALUE"""),"Suk, Josef")</f>
        <v>Suk, Josef</v>
      </c>
      <c r="B7911" s="3">
        <f ca="1">IFERROR(__xludf.DUMMYFUNCTION("""COMPUTED_VALUE"""),1)</f>
        <v>1</v>
      </c>
      <c r="C7911" s="7">
        <f ca="1">IFERROR(__xludf.DUMMYFUNCTION("""COMPUTED_VALUE"""),1)</f>
        <v>1</v>
      </c>
      <c r="D7911" s="8">
        <f ca="1">IFERROR(__xludf.DUMMYFUNCTION("""COMPUTED_VALUE"""),5)</f>
        <v>5</v>
      </c>
      <c r="E7911" s="2">
        <f ca="1">IFERROR(__xludf.DUMMYFUNCTION("""COMPUTED_VALUE"""),2)</f>
        <v>2</v>
      </c>
    </row>
    <row r="7912" spans="1:5" ht="13">
      <c r="A7912" s="2" t="str">
        <f ca="1">IFERROR(__xludf.DUMMYFUNCTION("""COMPUTED_VALUE"""),"Suk, Joseph")</f>
        <v>Suk, Joseph</v>
      </c>
      <c r="B7912" s="3">
        <f ca="1">IFERROR(__xludf.DUMMYFUNCTION("""COMPUTED_VALUE"""),1)</f>
        <v>1</v>
      </c>
      <c r="C7912" s="7">
        <f ca="1">IFERROR(__xludf.DUMMYFUNCTION("""COMPUTED_VALUE"""),1)</f>
        <v>1</v>
      </c>
      <c r="D7912" s="8">
        <f ca="1">IFERROR(__xludf.DUMMYFUNCTION("""COMPUTED_VALUE"""),5)</f>
        <v>5</v>
      </c>
      <c r="E7912" s="2">
        <f ca="1">IFERROR(__xludf.DUMMYFUNCTION("""COMPUTED_VALUE"""),2)</f>
        <v>2</v>
      </c>
    </row>
    <row r="7913" spans="1:5" ht="13">
      <c r="A7913" s="2" t="str">
        <f ca="1">IFERROR(__xludf.DUMMYFUNCTION("""COMPUTED_VALUE"""),"Sullivan, Arthur")</f>
        <v>Sullivan, Arthur</v>
      </c>
      <c r="B7913" s="3">
        <f ca="1">IFERROR(__xludf.DUMMYFUNCTION("""COMPUTED_VALUE"""),1)</f>
        <v>1</v>
      </c>
      <c r="C7913" s="7">
        <f ca="1">IFERROR(__xludf.DUMMYFUNCTION("""COMPUTED_VALUE"""),1)</f>
        <v>1</v>
      </c>
      <c r="D7913" s="8">
        <f ca="1">IFERROR(__xludf.DUMMYFUNCTION("""COMPUTED_VALUE"""),5)</f>
        <v>5</v>
      </c>
      <c r="E7913" s="2">
        <f ca="1">IFERROR(__xludf.DUMMYFUNCTION("""COMPUTED_VALUE"""),2)</f>
        <v>2</v>
      </c>
    </row>
    <row r="7914" spans="1:5" ht="13">
      <c r="A7914" s="2" t="str">
        <f ca="1">IFERROR(__xludf.DUMMYFUNCTION("""COMPUTED_VALUE"""),"Summer, Mark")</f>
        <v>Summer, Mark</v>
      </c>
      <c r="B7914" s="3">
        <f ca="1">IFERROR(__xludf.DUMMYFUNCTION("""COMPUTED_VALUE"""),1)</f>
        <v>1</v>
      </c>
      <c r="C7914" s="7">
        <f ca="1">IFERROR(__xludf.DUMMYFUNCTION("""COMPUTED_VALUE"""),1)</f>
        <v>1</v>
      </c>
      <c r="D7914" s="8">
        <f ca="1">IFERROR(__xludf.DUMMYFUNCTION("""COMPUTED_VALUE"""),1)</f>
        <v>1</v>
      </c>
      <c r="E7914" s="2">
        <f ca="1">IFERROR(__xludf.DUMMYFUNCTION("""COMPUTED_VALUE"""),1)</f>
        <v>1</v>
      </c>
    </row>
    <row r="7915" spans="1:5" ht="13">
      <c r="A7915" s="2" t="str">
        <f ca="1">IFERROR(__xludf.DUMMYFUNCTION("""COMPUTED_VALUE"""),"Summers, Richard")</f>
        <v>Summers, Richard</v>
      </c>
      <c r="B7915" s="3">
        <f ca="1">IFERROR(__xludf.DUMMYFUNCTION("""COMPUTED_VALUE"""),1)</f>
        <v>1</v>
      </c>
      <c r="C7915" s="7">
        <f ca="1">IFERROR(__xludf.DUMMYFUNCTION("""COMPUTED_VALUE"""),1)</f>
        <v>1</v>
      </c>
      <c r="D7915" s="8">
        <f ca="1">IFERROR(__xludf.DUMMYFUNCTION("""COMPUTED_VALUE"""),1)</f>
        <v>1</v>
      </c>
      <c r="E7915" s="2">
        <f ca="1">IFERROR(__xludf.DUMMYFUNCTION("""COMPUTED_VALUE"""),1)</f>
        <v>1</v>
      </c>
    </row>
    <row r="7916" spans="1:5" ht="13">
      <c r="A7916" s="2" t="str">
        <f ca="1">IFERROR(__xludf.DUMMYFUNCTION("""COMPUTED_VALUE"""),"Sumner, Christopher")</f>
        <v>Sumner, Christopher</v>
      </c>
      <c r="B7916" s="3">
        <f ca="1">IFERROR(__xludf.DUMMYFUNCTION("""COMPUTED_VALUE"""),1)</f>
        <v>1</v>
      </c>
      <c r="C7916" s="7">
        <f ca="1">IFERROR(__xludf.DUMMYFUNCTION("""COMPUTED_VALUE"""),1)</f>
        <v>1</v>
      </c>
      <c r="D7916" s="8">
        <f ca="1">IFERROR(__xludf.DUMMYFUNCTION("""COMPUTED_VALUE"""),1)</f>
        <v>1</v>
      </c>
      <c r="E7916" s="2">
        <f ca="1">IFERROR(__xludf.DUMMYFUNCTION("""COMPUTED_VALUE"""),1)</f>
        <v>1</v>
      </c>
    </row>
    <row r="7917" spans="1:5" ht="13">
      <c r="A7917" s="2" t="str">
        <f ca="1">IFERROR(__xludf.DUMMYFUNCTION("""COMPUTED_VALUE"""),"Sumwalt, Sean")</f>
        <v>Sumwalt, Sean</v>
      </c>
      <c r="B7917" s="3">
        <f ca="1">IFERROR(__xludf.DUMMYFUNCTION("""COMPUTED_VALUE"""),1)</f>
        <v>1</v>
      </c>
      <c r="C7917" s="7">
        <f ca="1">IFERROR(__xludf.DUMMYFUNCTION("""COMPUTED_VALUE"""),1)</f>
        <v>1</v>
      </c>
      <c r="D7917" s="8">
        <f ca="1">IFERROR(__xludf.DUMMYFUNCTION("""COMPUTED_VALUE"""),1)</f>
        <v>1</v>
      </c>
      <c r="E7917" s="2">
        <f ca="1">IFERROR(__xludf.DUMMYFUNCTION("""COMPUTED_VALUE"""),1)</f>
        <v>1</v>
      </c>
    </row>
    <row r="7918" spans="1:5" ht="13">
      <c r="A7918" s="8" t="str">
        <f ca="1">IFERROR(__xludf.DUMMYFUNCTION("""COMPUTED_VALUE"""),"Sund, Robert")</f>
        <v>Sund, Robert</v>
      </c>
      <c r="B7918" s="3">
        <f ca="1">IFERROR(__xludf.DUMMYFUNCTION("""COMPUTED_VALUE"""),1)</f>
        <v>1</v>
      </c>
      <c r="C7918" s="7">
        <f ca="1">IFERROR(__xludf.DUMMYFUNCTION("""COMPUTED_VALUE"""),1)</f>
        <v>1</v>
      </c>
      <c r="D7918" s="8">
        <f ca="1">IFERROR(__xludf.DUMMYFUNCTION("""COMPUTED_VALUE"""),1)</f>
        <v>1</v>
      </c>
      <c r="E7918" s="2">
        <f ca="1">IFERROR(__xludf.DUMMYFUNCTION("""COMPUTED_VALUE"""),1)</f>
        <v>1</v>
      </c>
    </row>
    <row r="7919" spans="1:5" ht="13">
      <c r="A7919" s="8" t="str">
        <f ca="1">IFERROR(__xludf.DUMMYFUNCTION("""COMPUTED_VALUE"""),"Suolahti, Heikki")</f>
        <v>Suolahti, Heikki</v>
      </c>
      <c r="B7919" s="3">
        <f ca="1">IFERROR(__xludf.DUMMYFUNCTION("""COMPUTED_VALUE"""),1)</f>
        <v>1</v>
      </c>
      <c r="C7919" s="7">
        <f ca="1">IFERROR(__xludf.DUMMYFUNCTION("""COMPUTED_VALUE"""),1)</f>
        <v>1</v>
      </c>
      <c r="D7919" s="8">
        <f ca="1">IFERROR(__xludf.DUMMYFUNCTION("""COMPUTED_VALUE"""),5)</f>
        <v>5</v>
      </c>
      <c r="E7919" s="2">
        <f ca="1">IFERROR(__xludf.DUMMYFUNCTION("""COMPUTED_VALUE"""),2)</f>
        <v>2</v>
      </c>
    </row>
    <row r="7920" spans="1:5" ht="13">
      <c r="A7920" s="2" t="str">
        <f ca="1">IFERROR(__xludf.DUMMYFUNCTION("""COMPUTED_VALUE"""),"Suppé, Franz von")</f>
        <v>Suppé, Franz von</v>
      </c>
      <c r="B7920" s="3">
        <f ca="1">IFERROR(__xludf.DUMMYFUNCTION("""COMPUTED_VALUE"""),1)</f>
        <v>1</v>
      </c>
      <c r="C7920" s="7">
        <f ca="1">IFERROR(__xludf.DUMMYFUNCTION("""COMPUTED_VALUE"""),1)</f>
        <v>1</v>
      </c>
      <c r="D7920" s="8">
        <f ca="1">IFERROR(__xludf.DUMMYFUNCTION("""COMPUTED_VALUE"""),5)</f>
        <v>5</v>
      </c>
      <c r="E7920" s="2">
        <f ca="1">IFERROR(__xludf.DUMMYFUNCTION("""COMPUTED_VALUE"""),2)</f>
        <v>2</v>
      </c>
    </row>
    <row r="7921" spans="1:5" ht="13">
      <c r="A7921" s="2" t="str">
        <f ca="1">IFERROR(__xludf.DUMMYFUNCTION("""COMPUTED_VALUE"""),"Suprynowicz, Clark")</f>
        <v>Suprynowicz, Clark</v>
      </c>
      <c r="B7921" s="3">
        <f ca="1">IFERROR(__xludf.DUMMYFUNCTION("""COMPUTED_VALUE"""),1)</f>
        <v>1</v>
      </c>
      <c r="C7921" s="7">
        <f ca="1">IFERROR(__xludf.DUMMYFUNCTION("""COMPUTED_VALUE"""),1)</f>
        <v>1</v>
      </c>
      <c r="D7921" s="8">
        <f ca="1">IFERROR(__xludf.DUMMYFUNCTION("""COMPUTED_VALUE"""),1)</f>
        <v>1</v>
      </c>
      <c r="E7921" s="2">
        <f ca="1">IFERROR(__xludf.DUMMYFUNCTION("""COMPUTED_VALUE"""),1)</f>
        <v>1</v>
      </c>
    </row>
    <row r="7922" spans="1:5" ht="13">
      <c r="A7922" s="2" t="str">
        <f ca="1">IFERROR(__xludf.DUMMYFUNCTION("""COMPUTED_VALUE"""),"Suriano, Francesco")</f>
        <v>Suriano, Francesco</v>
      </c>
      <c r="B7922" s="3">
        <f ca="1">IFERROR(__xludf.DUMMYFUNCTION("""COMPUTED_VALUE"""),1)</f>
        <v>1</v>
      </c>
      <c r="C7922" s="7">
        <f ca="1">IFERROR(__xludf.DUMMYFUNCTION("""COMPUTED_VALUE"""),1)</f>
        <v>1</v>
      </c>
      <c r="D7922" s="8">
        <f ca="1">IFERROR(__xludf.DUMMYFUNCTION("""COMPUTED_VALUE"""),5)</f>
        <v>5</v>
      </c>
      <c r="E7922" s="2">
        <f ca="1">IFERROR(__xludf.DUMMYFUNCTION("""COMPUTED_VALUE"""),2)</f>
        <v>2</v>
      </c>
    </row>
    <row r="7923" spans="1:5" ht="13">
      <c r="A7923" s="2" t="str">
        <f ca="1">IFERROR(__xludf.DUMMYFUNCTION("""COMPUTED_VALUE"""),"Surinach, Carlos")</f>
        <v>Surinach, Carlos</v>
      </c>
      <c r="B7923" s="3">
        <f ca="1">IFERROR(__xludf.DUMMYFUNCTION("""COMPUTED_VALUE"""),1)</f>
        <v>1</v>
      </c>
      <c r="C7923" s="7">
        <f ca="1">IFERROR(__xludf.DUMMYFUNCTION("""COMPUTED_VALUE"""),1)</f>
        <v>1</v>
      </c>
      <c r="D7923" s="8">
        <f ca="1">IFERROR(__xludf.DUMMYFUNCTION("""COMPUTED_VALUE"""),5)</f>
        <v>5</v>
      </c>
      <c r="E7923" s="2">
        <f ca="1">IFERROR(__xludf.DUMMYFUNCTION("""COMPUTED_VALUE"""),2)</f>
        <v>2</v>
      </c>
    </row>
    <row r="7924" spans="1:5" ht="13">
      <c r="A7924" s="2" t="str">
        <f ca="1">IFERROR(__xludf.DUMMYFUNCTION("""COMPUTED_VALUE"""),"Surley, Ken")</f>
        <v>Surley, Ken</v>
      </c>
      <c r="B7924" s="3">
        <f ca="1">IFERROR(__xludf.DUMMYFUNCTION("""COMPUTED_VALUE"""),1)</f>
        <v>1</v>
      </c>
      <c r="C7924" s="7">
        <f ca="1">IFERROR(__xludf.DUMMYFUNCTION("""COMPUTED_VALUE"""),1)</f>
        <v>1</v>
      </c>
      <c r="D7924" s="8">
        <f ca="1">IFERROR(__xludf.DUMMYFUNCTION("""COMPUTED_VALUE"""),1)</f>
        <v>1</v>
      </c>
      <c r="E7924" s="2">
        <f ca="1">IFERROR(__xludf.DUMMYFUNCTION("""COMPUTED_VALUE"""),1)</f>
        <v>1</v>
      </c>
    </row>
    <row r="7925" spans="1:5" ht="13">
      <c r="A7925" s="2" t="str">
        <f ca="1">IFERROR(__xludf.DUMMYFUNCTION("""COMPUTED_VALUE"""),"Surovchak, Mark")</f>
        <v>Surovchak, Mark</v>
      </c>
      <c r="B7925" s="2">
        <f ca="1">IFERROR(__xludf.DUMMYFUNCTION("""COMPUTED_VALUE"""),1)</f>
        <v>1</v>
      </c>
      <c r="C7925" s="7">
        <f ca="1">IFERROR(__xludf.DUMMYFUNCTION("""COMPUTED_VALUE"""),1)</f>
        <v>1</v>
      </c>
      <c r="D7925" s="8">
        <f ca="1">IFERROR(__xludf.DUMMYFUNCTION("""COMPUTED_VALUE"""),1)</f>
        <v>1</v>
      </c>
      <c r="E7925" s="2">
        <f ca="1">IFERROR(__xludf.DUMMYFUNCTION("""COMPUTED_VALUE"""),1)</f>
        <v>1</v>
      </c>
    </row>
    <row r="7926" spans="1:5" ht="13">
      <c r="A7926" s="2" t="str">
        <f ca="1">IFERROR(__xludf.DUMMYFUNCTION("""COMPUTED_VALUE"""),"Susa, Conrad")</f>
        <v>Susa, Conrad</v>
      </c>
      <c r="B7926" s="2">
        <f ca="1">IFERROR(__xludf.DUMMYFUNCTION("""COMPUTED_VALUE"""),1)</f>
        <v>1</v>
      </c>
      <c r="C7926" s="7">
        <f ca="1">IFERROR(__xludf.DUMMYFUNCTION("""COMPUTED_VALUE"""),1)</f>
        <v>1</v>
      </c>
      <c r="D7926" s="8">
        <f ca="1">IFERROR(__xludf.DUMMYFUNCTION("""COMPUTED_VALUE"""),5)</f>
        <v>5</v>
      </c>
      <c r="E7926" s="2">
        <f ca="1">IFERROR(__xludf.DUMMYFUNCTION("""COMPUTED_VALUE"""),2)</f>
        <v>2</v>
      </c>
    </row>
    <row r="7927" spans="1:5" ht="13">
      <c r="A7927" s="2" t="str">
        <f ca="1">IFERROR(__xludf.DUMMYFUNCTION("""COMPUTED_VALUE"""),"Susato / Gervaise")</f>
        <v>Susato / Gervaise</v>
      </c>
      <c r="B7927" s="3">
        <f ca="1">IFERROR(__xludf.DUMMYFUNCTION("""COMPUTED_VALUE"""),1)</f>
        <v>1</v>
      </c>
      <c r="C7927" s="7">
        <f ca="1">IFERROR(__xludf.DUMMYFUNCTION("""COMPUTED_VALUE"""),1)</f>
        <v>1</v>
      </c>
      <c r="D7927" s="8">
        <f ca="1">IFERROR(__xludf.DUMMYFUNCTION("""COMPUTED_VALUE"""),5)</f>
        <v>5</v>
      </c>
      <c r="E7927" s="2">
        <f ca="1">IFERROR(__xludf.DUMMYFUNCTION("""COMPUTED_VALUE"""),2)</f>
        <v>2</v>
      </c>
    </row>
    <row r="7928" spans="1:5" ht="13">
      <c r="A7928" s="2" t="str">
        <f ca="1">IFERROR(__xludf.DUMMYFUNCTION("""COMPUTED_VALUE"""),"Susato / Martin Peerson / Stephen Chin")</f>
        <v>Susato / Martin Peerson / Stephen Chin</v>
      </c>
      <c r="B7928" s="3">
        <f ca="1">IFERROR(__xludf.DUMMYFUNCTION("""COMPUTED_VALUE"""),1)</f>
        <v>1</v>
      </c>
      <c r="C7928" s="7">
        <f ca="1">IFERROR(__xludf.DUMMYFUNCTION("""COMPUTED_VALUE"""),1)</f>
        <v>1</v>
      </c>
      <c r="D7928" s="8">
        <f ca="1">IFERROR(__xludf.DUMMYFUNCTION("""COMPUTED_VALUE"""),5)</f>
        <v>5</v>
      </c>
      <c r="E7928" s="2">
        <f ca="1">IFERROR(__xludf.DUMMYFUNCTION("""COMPUTED_VALUE"""),2)</f>
        <v>2</v>
      </c>
    </row>
    <row r="7929" spans="1:5" ht="13">
      <c r="A7929" s="2" t="str">
        <f ca="1">IFERROR(__xludf.DUMMYFUNCTION("""COMPUTED_VALUE"""),"Susato, Tielman")</f>
        <v>Susato, Tielman</v>
      </c>
      <c r="B7929" s="3">
        <f ca="1">IFERROR(__xludf.DUMMYFUNCTION("""COMPUTED_VALUE"""),1)</f>
        <v>1</v>
      </c>
      <c r="C7929" s="7">
        <f ca="1">IFERROR(__xludf.DUMMYFUNCTION("""COMPUTED_VALUE"""),1)</f>
        <v>1</v>
      </c>
      <c r="D7929" s="8">
        <f ca="1">IFERROR(__xludf.DUMMYFUNCTION("""COMPUTED_VALUE"""),5)</f>
        <v>5</v>
      </c>
      <c r="E7929" s="2">
        <f ca="1">IFERROR(__xludf.DUMMYFUNCTION("""COMPUTED_VALUE"""),2)</f>
        <v>2</v>
      </c>
    </row>
    <row r="7930" spans="1:5" ht="13">
      <c r="A7930" s="2" t="str">
        <f ca="1">IFERROR(__xludf.DUMMYFUNCTION("""COMPUTED_VALUE"""),"Susato, Tielman / Mainerio, Giorgio")</f>
        <v>Susato, Tielman / Mainerio, Giorgio</v>
      </c>
      <c r="B7930" s="2">
        <f ca="1">IFERROR(__xludf.DUMMYFUNCTION("""COMPUTED_VALUE"""),1)</f>
        <v>1</v>
      </c>
      <c r="C7930" s="7">
        <f ca="1">IFERROR(__xludf.DUMMYFUNCTION("""COMPUTED_VALUE"""),1)</f>
        <v>1</v>
      </c>
      <c r="D7930" s="8">
        <f ca="1">IFERROR(__xludf.DUMMYFUNCTION("""COMPUTED_VALUE"""),5)</f>
        <v>5</v>
      </c>
      <c r="E7930" s="2">
        <f ca="1">IFERROR(__xludf.DUMMYFUNCTION("""COMPUTED_VALUE"""),2)</f>
        <v>2</v>
      </c>
    </row>
    <row r="7931" spans="1:5" ht="13">
      <c r="A7931" s="2" t="str">
        <f ca="1">IFERROR(__xludf.DUMMYFUNCTION("""COMPUTED_VALUE"""),"Susi, Anthony")</f>
        <v>Susi, Anthony</v>
      </c>
      <c r="B7931" s="3">
        <f ca="1">IFERROR(__xludf.DUMMYFUNCTION("""COMPUTED_VALUE"""),1)</f>
        <v>1</v>
      </c>
      <c r="C7931" s="7">
        <f ca="1">IFERROR(__xludf.DUMMYFUNCTION("""COMPUTED_VALUE"""),1)</f>
        <v>1</v>
      </c>
      <c r="D7931" s="8">
        <f ca="1">IFERROR(__xludf.DUMMYFUNCTION("""COMPUTED_VALUE"""),1)</f>
        <v>1</v>
      </c>
      <c r="E7931" s="2">
        <f ca="1">IFERROR(__xludf.DUMMYFUNCTION("""COMPUTED_VALUE"""),1)</f>
        <v>1</v>
      </c>
    </row>
    <row r="7932" spans="1:5" ht="13">
      <c r="A7932" s="2" t="str">
        <f ca="1">IFERROR(__xludf.DUMMYFUNCTION("""COMPUTED_VALUE"""),"Sussman, Ari")</f>
        <v>Sussman, Ari</v>
      </c>
      <c r="B7932" s="3">
        <f ca="1">IFERROR(__xludf.DUMMYFUNCTION("""COMPUTED_VALUE"""),1)</f>
        <v>1</v>
      </c>
      <c r="C7932" s="7">
        <f ca="1">IFERROR(__xludf.DUMMYFUNCTION("""COMPUTED_VALUE"""),1)</f>
        <v>1</v>
      </c>
      <c r="D7932" s="8">
        <f ca="1">IFERROR(__xludf.DUMMYFUNCTION("""COMPUTED_VALUE"""),1)</f>
        <v>1</v>
      </c>
      <c r="E7932" s="2">
        <f ca="1">IFERROR(__xludf.DUMMYFUNCTION("""COMPUTED_VALUE"""),1)</f>
        <v>1</v>
      </c>
    </row>
    <row r="7933" spans="1:5" ht="13">
      <c r="A7933" s="2" t="str">
        <f ca="1">IFERROR(__xludf.DUMMYFUNCTION("""COMPUTED_VALUE"""),"Süssmayr, Franz Xaver")</f>
        <v>Süssmayr, Franz Xaver</v>
      </c>
      <c r="B7933" s="3">
        <f ca="1">IFERROR(__xludf.DUMMYFUNCTION("""COMPUTED_VALUE"""),1)</f>
        <v>1</v>
      </c>
      <c r="C7933" s="7">
        <f ca="1">IFERROR(__xludf.DUMMYFUNCTION("""COMPUTED_VALUE"""),1)</f>
        <v>1</v>
      </c>
      <c r="D7933" s="8">
        <f ca="1">IFERROR(__xludf.DUMMYFUNCTION("""COMPUTED_VALUE"""),5)</f>
        <v>5</v>
      </c>
      <c r="E7933" s="2">
        <f ca="1">IFERROR(__xludf.DUMMYFUNCTION("""COMPUTED_VALUE"""),2)</f>
        <v>2</v>
      </c>
    </row>
    <row r="7934" spans="1:5" ht="13">
      <c r="A7934" s="2" t="str">
        <f ca="1">IFERROR(__xludf.DUMMYFUNCTION("""COMPUTED_VALUE"""),"Suter, Anthony")</f>
        <v>Suter, Anthony</v>
      </c>
      <c r="B7934" s="3">
        <f ca="1">IFERROR(__xludf.DUMMYFUNCTION("""COMPUTED_VALUE"""),1)</f>
        <v>1</v>
      </c>
      <c r="C7934" s="7">
        <f ca="1">IFERROR(__xludf.DUMMYFUNCTION("""COMPUTED_VALUE"""),1)</f>
        <v>1</v>
      </c>
      <c r="D7934" s="8">
        <f ca="1">IFERROR(__xludf.DUMMYFUNCTION("""COMPUTED_VALUE"""),1)</f>
        <v>1</v>
      </c>
      <c r="E7934" s="2">
        <f ca="1">IFERROR(__xludf.DUMMYFUNCTION("""COMPUTED_VALUE"""),1)</f>
        <v>1</v>
      </c>
    </row>
    <row r="7935" spans="1:5" ht="13">
      <c r="A7935" s="2" t="str">
        <f ca="1">IFERROR(__xludf.DUMMYFUNCTION("""COMPUTED_VALUE"""),"Sutermeister, Heinrich")</f>
        <v>Sutermeister, Heinrich</v>
      </c>
      <c r="B7935" s="3">
        <f ca="1">IFERROR(__xludf.DUMMYFUNCTION("""COMPUTED_VALUE"""),1)</f>
        <v>1</v>
      </c>
      <c r="C7935" s="7">
        <f ca="1">IFERROR(__xludf.DUMMYFUNCTION("""COMPUTED_VALUE"""),1)</f>
        <v>1</v>
      </c>
      <c r="D7935" s="8">
        <f ca="1">IFERROR(__xludf.DUMMYFUNCTION("""COMPUTED_VALUE"""),5)</f>
        <v>5</v>
      </c>
      <c r="E7935" s="2">
        <f ca="1">IFERROR(__xludf.DUMMYFUNCTION("""COMPUTED_VALUE"""),2)</f>
        <v>2</v>
      </c>
    </row>
    <row r="7936" spans="1:5" ht="13">
      <c r="A7936" s="2" t="str">
        <f ca="1">IFERROR(__xludf.DUMMYFUNCTION("""COMPUTED_VALUE"""),"Sutherland, Pete")</f>
        <v>Sutherland, Pete</v>
      </c>
      <c r="B7936" s="2">
        <f ca="1">IFERROR(__xludf.DUMMYFUNCTION("""COMPUTED_VALUE"""),1)</f>
        <v>1</v>
      </c>
      <c r="C7936" s="2">
        <f ca="1">IFERROR(__xludf.DUMMYFUNCTION("""COMPUTED_VALUE"""),1)</f>
        <v>1</v>
      </c>
      <c r="D7936" s="8">
        <f ca="1">IFERROR(__xludf.DUMMYFUNCTION("""COMPUTED_VALUE"""),5)</f>
        <v>5</v>
      </c>
      <c r="E7936" s="2">
        <f ca="1">IFERROR(__xludf.DUMMYFUNCTION("""COMPUTED_VALUE"""),2)</f>
        <v>2</v>
      </c>
    </row>
    <row r="7937" spans="1:5" ht="13">
      <c r="A7937" s="2" t="str">
        <f ca="1">IFERROR(__xludf.DUMMYFUNCTION("""COMPUTED_VALUE"""),"Suttle, Clark")</f>
        <v>Suttle, Clark</v>
      </c>
      <c r="B7937" s="3">
        <f ca="1">IFERROR(__xludf.DUMMYFUNCTION("""COMPUTED_VALUE"""),1)</f>
        <v>1</v>
      </c>
      <c r="C7937" s="7">
        <f ca="1">IFERROR(__xludf.DUMMYFUNCTION("""COMPUTED_VALUE"""),1)</f>
        <v>1</v>
      </c>
      <c r="D7937" s="8">
        <f ca="1">IFERROR(__xludf.DUMMYFUNCTION("""COMPUTED_VALUE"""),1)</f>
        <v>1</v>
      </c>
      <c r="E7937" s="2">
        <f ca="1">IFERROR(__xludf.DUMMYFUNCTION("""COMPUTED_VALUE"""),1)</f>
        <v>1</v>
      </c>
    </row>
    <row r="7938" spans="1:5" ht="13">
      <c r="A7938" s="2" t="str">
        <f ca="1">IFERROR(__xludf.DUMMYFUNCTION("""COMPUTED_VALUE"""),"Sutton, Adrian")</f>
        <v>Sutton, Adrian</v>
      </c>
      <c r="B7938" s="2">
        <f ca="1">IFERROR(__xludf.DUMMYFUNCTION("""COMPUTED_VALUE"""),1)</f>
        <v>1</v>
      </c>
      <c r="C7938" s="2">
        <f ca="1">IFERROR(__xludf.DUMMYFUNCTION("""COMPUTED_VALUE"""),1)</f>
        <v>1</v>
      </c>
      <c r="D7938" s="8">
        <f ca="1">IFERROR(__xludf.DUMMYFUNCTION("""COMPUTED_VALUE"""),1)</f>
        <v>1</v>
      </c>
      <c r="E7938" s="2">
        <f ca="1">IFERROR(__xludf.DUMMYFUNCTION("""COMPUTED_VALUE"""),1)</f>
        <v>1</v>
      </c>
    </row>
    <row r="7939" spans="1:5" ht="13">
      <c r="A7939" s="2" t="str">
        <f ca="1">IFERROR(__xludf.DUMMYFUNCTION("""COMPUTED_VALUE"""),"Svane, Randall")</f>
        <v>Svane, Randall</v>
      </c>
      <c r="B7939" s="3">
        <f ca="1">IFERROR(__xludf.DUMMYFUNCTION("""COMPUTED_VALUE"""),1)</f>
        <v>1</v>
      </c>
      <c r="C7939" s="7">
        <f ca="1">IFERROR(__xludf.DUMMYFUNCTION("""COMPUTED_VALUE"""),1)</f>
        <v>1</v>
      </c>
      <c r="D7939" s="8">
        <f ca="1">IFERROR(__xludf.DUMMYFUNCTION("""COMPUTED_VALUE"""),1)</f>
        <v>1</v>
      </c>
      <c r="E7939" s="2">
        <f ca="1">IFERROR(__xludf.DUMMYFUNCTION("""COMPUTED_VALUE"""),1)</f>
        <v>1</v>
      </c>
    </row>
    <row r="7940" spans="1:5" ht="13">
      <c r="A7940" s="2" t="str">
        <f ca="1">IFERROR(__xludf.DUMMYFUNCTION("""COMPUTED_VALUE"""),"Sveinsson, Kjartan")</f>
        <v>Sveinsson, Kjartan</v>
      </c>
      <c r="B7940" s="3">
        <f ca="1">IFERROR(__xludf.DUMMYFUNCTION("""COMPUTED_VALUE"""),1)</f>
        <v>1</v>
      </c>
      <c r="C7940" s="7">
        <f ca="1">IFERROR(__xludf.DUMMYFUNCTION("""COMPUTED_VALUE"""),1)</f>
        <v>1</v>
      </c>
      <c r="D7940" s="8">
        <f ca="1">IFERROR(__xludf.DUMMYFUNCTION("""COMPUTED_VALUE"""),1)</f>
        <v>1</v>
      </c>
      <c r="E7940" s="2">
        <f ca="1">IFERROR(__xludf.DUMMYFUNCTION("""COMPUTED_VALUE"""),1)</f>
        <v>1</v>
      </c>
    </row>
    <row r="7941" spans="1:5" ht="13">
      <c r="A7941" s="2" t="str">
        <f ca="1">IFERROR(__xludf.DUMMYFUNCTION("""COMPUTED_VALUE"""),"Svendsen, Johan S.")</f>
        <v>Svendsen, Johan S.</v>
      </c>
      <c r="B7941" s="3">
        <f ca="1">IFERROR(__xludf.DUMMYFUNCTION("""COMPUTED_VALUE"""),1)</f>
        <v>1</v>
      </c>
      <c r="C7941" s="7">
        <f ca="1">IFERROR(__xludf.DUMMYFUNCTION("""COMPUTED_VALUE"""),1)</f>
        <v>1</v>
      </c>
      <c r="D7941" s="8">
        <f ca="1">IFERROR(__xludf.DUMMYFUNCTION("""COMPUTED_VALUE"""),5)</f>
        <v>5</v>
      </c>
      <c r="E7941" s="2">
        <f ca="1">IFERROR(__xludf.DUMMYFUNCTION("""COMPUTED_VALUE"""),2)</f>
        <v>2</v>
      </c>
    </row>
    <row r="7942" spans="1:5" ht="13">
      <c r="A7942" s="2" t="str">
        <f ca="1">IFERROR(__xludf.DUMMYFUNCTION("""COMPUTED_VALUE"""),"Svendson, Johan")</f>
        <v>Svendson, Johan</v>
      </c>
      <c r="B7942" s="3">
        <f ca="1">IFERROR(__xludf.DUMMYFUNCTION("""COMPUTED_VALUE"""),1)</f>
        <v>1</v>
      </c>
      <c r="C7942" s="7">
        <f ca="1">IFERROR(__xludf.DUMMYFUNCTION("""COMPUTED_VALUE"""),1)</f>
        <v>1</v>
      </c>
      <c r="D7942" s="8">
        <f ca="1">IFERROR(__xludf.DUMMYFUNCTION("""COMPUTED_VALUE"""),5)</f>
        <v>5</v>
      </c>
      <c r="E7942" s="2">
        <f ca="1">IFERROR(__xludf.DUMMYFUNCTION("""COMPUTED_VALUE"""),2)</f>
        <v>2</v>
      </c>
    </row>
    <row r="7943" spans="1:5" ht="13">
      <c r="A7943" s="8" t="str">
        <f ca="1">IFERROR(__xludf.DUMMYFUNCTION("""COMPUTED_VALUE"""),"Svilainis, Giedrius")</f>
        <v>Svilainis, Giedrius</v>
      </c>
      <c r="B7943" s="3">
        <f ca="1">IFERROR(__xludf.DUMMYFUNCTION("""COMPUTED_VALUE"""),1)</f>
        <v>1</v>
      </c>
      <c r="C7943" s="7">
        <f ca="1">IFERROR(__xludf.DUMMYFUNCTION("""COMPUTED_VALUE"""),1)</f>
        <v>1</v>
      </c>
      <c r="D7943" s="8">
        <f ca="1">IFERROR(__xludf.DUMMYFUNCTION("""COMPUTED_VALUE"""),1)</f>
        <v>1</v>
      </c>
      <c r="E7943" s="2">
        <f ca="1">IFERROR(__xludf.DUMMYFUNCTION("""COMPUTED_VALUE"""),1)</f>
        <v>1</v>
      </c>
    </row>
    <row r="7944" spans="1:5" ht="13">
      <c r="A7944" s="2" t="str">
        <f ca="1">IFERROR(__xludf.DUMMYFUNCTION("""COMPUTED_VALUE"""),"Sviridov, Georgy")</f>
        <v>Sviridov, Georgy</v>
      </c>
      <c r="B7944" s="3">
        <f ca="1">IFERROR(__xludf.DUMMYFUNCTION("""COMPUTED_VALUE"""),1)</f>
        <v>1</v>
      </c>
      <c r="C7944" s="7">
        <f ca="1">IFERROR(__xludf.DUMMYFUNCTION("""COMPUTED_VALUE"""),1)</f>
        <v>1</v>
      </c>
      <c r="D7944" s="8">
        <f ca="1">IFERROR(__xludf.DUMMYFUNCTION("""COMPUTED_VALUE"""),5)</f>
        <v>5</v>
      </c>
      <c r="E7944" s="2">
        <f ca="1">IFERROR(__xludf.DUMMYFUNCTION("""COMPUTED_VALUE"""),2)</f>
        <v>2</v>
      </c>
    </row>
    <row r="7945" spans="1:5" ht="13">
      <c r="A7945" s="2" t="str">
        <f ca="1">IFERROR(__xludf.DUMMYFUNCTION("""COMPUTED_VALUE"""),"Svoboda, Tomas")</f>
        <v>Svoboda, Tomas</v>
      </c>
      <c r="B7945" s="2">
        <f ca="1">IFERROR(__xludf.DUMMYFUNCTION("""COMPUTED_VALUE"""),1)</f>
        <v>1</v>
      </c>
      <c r="C7945" s="2">
        <f ca="1">IFERROR(__xludf.DUMMYFUNCTION("""COMPUTED_VALUE"""),1)</f>
        <v>1</v>
      </c>
      <c r="D7945" s="8">
        <f ca="1">IFERROR(__xludf.DUMMYFUNCTION("""COMPUTED_VALUE"""),1)</f>
        <v>1</v>
      </c>
      <c r="E7945" s="2">
        <f ca="1">IFERROR(__xludf.DUMMYFUNCTION("""COMPUTED_VALUE"""),1)</f>
        <v>1</v>
      </c>
    </row>
    <row r="7946" spans="1:5" ht="13">
      <c r="A7946" s="8" t="str">
        <f ca="1">IFERROR(__xludf.DUMMYFUNCTION("""COMPUTED_VALUE"""),"Swack, Irwin")</f>
        <v>Swack, Irwin</v>
      </c>
      <c r="B7946" s="3">
        <f ca="1">IFERROR(__xludf.DUMMYFUNCTION("""COMPUTED_VALUE"""),1)</f>
        <v>1</v>
      </c>
      <c r="C7946" s="7">
        <f ca="1">IFERROR(__xludf.DUMMYFUNCTION("""COMPUTED_VALUE"""),1)</f>
        <v>1</v>
      </c>
      <c r="D7946" s="8">
        <f ca="1">IFERROR(__xludf.DUMMYFUNCTION("""COMPUTED_VALUE"""),5)</f>
        <v>5</v>
      </c>
      <c r="E7946" s="2">
        <f ca="1">IFERROR(__xludf.DUMMYFUNCTION("""COMPUTED_VALUE"""),2)</f>
        <v>2</v>
      </c>
    </row>
    <row r="7947" spans="1:5" ht="13">
      <c r="A7947" s="2" t="str">
        <f ca="1">IFERROR(__xludf.DUMMYFUNCTION("""COMPUTED_VALUE"""),"Swain, John")</f>
        <v>Swain, John</v>
      </c>
      <c r="B7947" s="3">
        <f ca="1">IFERROR(__xludf.DUMMYFUNCTION("""COMPUTED_VALUE"""),1)</f>
        <v>1</v>
      </c>
      <c r="C7947" s="7">
        <f ca="1">IFERROR(__xludf.DUMMYFUNCTION("""COMPUTED_VALUE"""),1)</f>
        <v>1</v>
      </c>
      <c r="D7947" s="8">
        <f ca="1">IFERROR(__xludf.DUMMYFUNCTION("""COMPUTED_VALUE"""),5)</f>
        <v>5</v>
      </c>
      <c r="E7947" s="2">
        <f ca="1">IFERROR(__xludf.DUMMYFUNCTION("""COMPUTED_VALUE"""),2)</f>
        <v>2</v>
      </c>
    </row>
    <row r="7948" spans="1:5" ht="13">
      <c r="A7948" s="2" t="str">
        <f ca="1">IFERROR(__xludf.DUMMYFUNCTION("""COMPUTED_VALUE"""),"Swallow, Steve")</f>
        <v>Swallow, Steve</v>
      </c>
      <c r="B7948" s="3">
        <f ca="1">IFERROR(__xludf.DUMMYFUNCTION("""COMPUTED_VALUE"""),1)</f>
        <v>1</v>
      </c>
      <c r="C7948" s="7">
        <f ca="1">IFERROR(__xludf.DUMMYFUNCTION("""COMPUTED_VALUE"""),1)</f>
        <v>1</v>
      </c>
      <c r="D7948" s="8">
        <f ca="1">IFERROR(__xludf.DUMMYFUNCTION("""COMPUTED_VALUE"""),1)</f>
        <v>1</v>
      </c>
      <c r="E7948" s="2">
        <f ca="1">IFERROR(__xludf.DUMMYFUNCTION("""COMPUTED_VALUE"""),1)</f>
        <v>1</v>
      </c>
    </row>
    <row r="7949" spans="1:5" ht="13">
      <c r="A7949" s="8" t="str">
        <f ca="1">IFERROR(__xludf.DUMMYFUNCTION("""COMPUTED_VALUE"""),"Swanson, Stefan")</f>
        <v>Swanson, Stefan</v>
      </c>
      <c r="B7949" s="3">
        <f ca="1">IFERROR(__xludf.DUMMYFUNCTION("""COMPUTED_VALUE"""),1)</f>
        <v>1</v>
      </c>
      <c r="C7949" s="7">
        <f ca="1">IFERROR(__xludf.DUMMYFUNCTION("""COMPUTED_VALUE"""),1)</f>
        <v>1</v>
      </c>
      <c r="D7949" s="8">
        <f ca="1">IFERROR(__xludf.DUMMYFUNCTION("""COMPUTED_VALUE"""),1)</f>
        <v>1</v>
      </c>
      <c r="E7949" s="2">
        <f ca="1">IFERROR(__xludf.DUMMYFUNCTION("""COMPUTED_VALUE"""),1)</f>
        <v>1</v>
      </c>
    </row>
    <row r="7950" spans="1:5" ht="13">
      <c r="A7950" s="2" t="str">
        <f ca="1">IFERROR(__xludf.DUMMYFUNCTION("""COMPUTED_VALUE"""),"Swarenski, Hans")</f>
        <v>Swarenski, Hans</v>
      </c>
      <c r="B7950" s="3">
        <f ca="1">IFERROR(__xludf.DUMMYFUNCTION("""COMPUTED_VALUE"""),1)</f>
        <v>1</v>
      </c>
      <c r="C7950" s="7">
        <f ca="1">IFERROR(__xludf.DUMMYFUNCTION("""COMPUTED_VALUE"""),1)</f>
        <v>1</v>
      </c>
      <c r="D7950" s="8">
        <f ca="1">IFERROR(__xludf.DUMMYFUNCTION("""COMPUTED_VALUE"""),1)</f>
        <v>1</v>
      </c>
      <c r="E7950" s="2">
        <f ca="1">IFERROR(__xludf.DUMMYFUNCTION("""COMPUTED_VALUE"""),1)</f>
        <v>1</v>
      </c>
    </row>
    <row r="7951" spans="1:5" ht="13">
      <c r="A7951" s="2" t="str">
        <f ca="1">IFERROR(__xludf.DUMMYFUNCTION("""COMPUTED_VALUE"""),"Swearingen, James")</f>
        <v>Swearingen, James</v>
      </c>
      <c r="B7951" s="3">
        <f ca="1">IFERROR(__xludf.DUMMYFUNCTION("""COMPUTED_VALUE"""),1)</f>
        <v>1</v>
      </c>
      <c r="C7951" s="7">
        <f ca="1">IFERROR(__xludf.DUMMYFUNCTION("""COMPUTED_VALUE"""),1)</f>
        <v>1</v>
      </c>
      <c r="D7951" s="8">
        <f ca="1">IFERROR(__xludf.DUMMYFUNCTION("""COMPUTED_VALUE"""),1)</f>
        <v>1</v>
      </c>
      <c r="E7951" s="2">
        <f ca="1">IFERROR(__xludf.DUMMYFUNCTION("""COMPUTED_VALUE"""),1)</f>
        <v>1</v>
      </c>
    </row>
    <row r="7952" spans="1:5" ht="13">
      <c r="A7952" s="2" t="str">
        <f ca="1">IFERROR(__xludf.DUMMYFUNCTION("""COMPUTED_VALUE"""),"Sweelinck, Jan Pieterszoon")</f>
        <v>Sweelinck, Jan Pieterszoon</v>
      </c>
      <c r="B7952" s="3">
        <f ca="1">IFERROR(__xludf.DUMMYFUNCTION("""COMPUTED_VALUE"""),1)</f>
        <v>1</v>
      </c>
      <c r="C7952" s="7">
        <f ca="1">IFERROR(__xludf.DUMMYFUNCTION("""COMPUTED_VALUE"""),1)</f>
        <v>1</v>
      </c>
      <c r="D7952" s="8">
        <f ca="1">IFERROR(__xludf.DUMMYFUNCTION("""COMPUTED_VALUE"""),5)</f>
        <v>5</v>
      </c>
      <c r="E7952" s="3">
        <f ca="1">IFERROR(__xludf.DUMMYFUNCTION("""COMPUTED_VALUE"""),2)</f>
        <v>2</v>
      </c>
    </row>
    <row r="7953" spans="1:5" ht="13">
      <c r="A7953" s="2" t="str">
        <f ca="1">IFERROR(__xludf.DUMMYFUNCTION("""COMPUTED_VALUE"""),"Sweeney, Michael")</f>
        <v>Sweeney, Michael</v>
      </c>
      <c r="B7953" s="3">
        <f ca="1">IFERROR(__xludf.DUMMYFUNCTION("""COMPUTED_VALUE"""),1)</f>
        <v>1</v>
      </c>
      <c r="C7953" s="7">
        <f ca="1">IFERROR(__xludf.DUMMYFUNCTION("""COMPUTED_VALUE"""),1)</f>
        <v>1</v>
      </c>
      <c r="D7953" s="8">
        <f ca="1">IFERROR(__xludf.DUMMYFUNCTION("""COMPUTED_VALUE"""),1)</f>
        <v>1</v>
      </c>
      <c r="E7953" s="2">
        <f ca="1">IFERROR(__xludf.DUMMYFUNCTION("""COMPUTED_VALUE"""),1)</f>
        <v>1</v>
      </c>
    </row>
    <row r="7954" spans="1:5" ht="13">
      <c r="A7954" s="2" t="str">
        <f ca="1">IFERROR(__xludf.DUMMYFUNCTION("""COMPUTED_VALUE"""),"Sweet, Gabriel")</f>
        <v>Sweet, Gabriel</v>
      </c>
      <c r="B7954" s="3">
        <f ca="1">IFERROR(__xludf.DUMMYFUNCTION("""COMPUTED_VALUE"""),1)</f>
        <v>1</v>
      </c>
      <c r="C7954" s="7">
        <f ca="1">IFERROR(__xludf.DUMMYFUNCTION("""COMPUTED_VALUE"""),1)</f>
        <v>1</v>
      </c>
      <c r="D7954" s="8">
        <f ca="1">IFERROR(__xludf.DUMMYFUNCTION("""COMPUTED_VALUE"""),1)</f>
        <v>1</v>
      </c>
      <c r="E7954" s="2">
        <f ca="1">IFERROR(__xludf.DUMMYFUNCTION("""COMPUTED_VALUE"""),1)</f>
        <v>1</v>
      </c>
    </row>
    <row r="7955" spans="1:5" ht="13">
      <c r="A7955" s="2" t="str">
        <f ca="1">IFERROR(__xludf.DUMMYFUNCTION("""COMPUTED_VALUE"""),"Sweet, George")</f>
        <v>Sweet, George</v>
      </c>
      <c r="B7955" s="3">
        <f ca="1">IFERROR(__xludf.DUMMYFUNCTION("""COMPUTED_VALUE"""),1)</f>
        <v>1</v>
      </c>
      <c r="C7955" s="7">
        <f ca="1">IFERROR(__xludf.DUMMYFUNCTION("""COMPUTED_VALUE"""),1)</f>
        <v>1</v>
      </c>
      <c r="D7955" s="8">
        <f ca="1">IFERROR(__xludf.DUMMYFUNCTION("""COMPUTED_VALUE"""),1)</f>
        <v>1</v>
      </c>
      <c r="E7955" s="2">
        <f ca="1">IFERROR(__xludf.DUMMYFUNCTION("""COMPUTED_VALUE"""),1)</f>
        <v>1</v>
      </c>
    </row>
    <row r="7956" spans="1:5" ht="13">
      <c r="A7956" s="2" t="str">
        <f ca="1">IFERROR(__xludf.DUMMYFUNCTION("""COMPUTED_VALUE"""),"Sweney, John")</f>
        <v>Sweney, John</v>
      </c>
      <c r="B7956" s="2">
        <f ca="1">IFERROR(__xludf.DUMMYFUNCTION("""COMPUTED_VALUE"""),1)</f>
        <v>1</v>
      </c>
      <c r="C7956" s="7">
        <f ca="1">IFERROR(__xludf.DUMMYFUNCTION("""COMPUTED_VALUE"""),1)</f>
        <v>1</v>
      </c>
      <c r="D7956" s="8">
        <f ca="1">IFERROR(__xludf.DUMMYFUNCTION("""COMPUTED_VALUE"""),5)</f>
        <v>5</v>
      </c>
      <c r="E7956" s="2">
        <f ca="1">IFERROR(__xludf.DUMMYFUNCTION("""COMPUTED_VALUE"""),2)</f>
        <v>2</v>
      </c>
    </row>
    <row r="7957" spans="1:5" ht="13">
      <c r="A7957" s="2" t="str">
        <f ca="1">IFERROR(__xludf.DUMMYFUNCTION("""COMPUTED_VALUE"""),"Sweney, John Robson / Hewitt, Eliza")</f>
        <v>Sweney, John Robson / Hewitt, Eliza</v>
      </c>
      <c r="B7957" s="2">
        <f ca="1">IFERROR(__xludf.DUMMYFUNCTION("""COMPUTED_VALUE"""),1)</f>
        <v>1</v>
      </c>
      <c r="C7957" s="7">
        <f ca="1">IFERROR(__xludf.DUMMYFUNCTION("""COMPUTED_VALUE"""),1)</f>
        <v>1</v>
      </c>
      <c r="D7957" s="8">
        <f ca="1">IFERROR(__xludf.DUMMYFUNCTION("""COMPUTED_VALUE"""),5)</f>
        <v>5</v>
      </c>
      <c r="E7957" s="2">
        <f ca="1">IFERROR(__xludf.DUMMYFUNCTION("""COMPUTED_VALUE"""),2)</f>
        <v>2</v>
      </c>
    </row>
    <row r="7958" spans="1:5" ht="13">
      <c r="A7958" s="2" t="str">
        <f ca="1">IFERROR(__xludf.DUMMYFUNCTION("""COMPUTED_VALUE"""),"Swenson, Harry")</f>
        <v>Swenson, Harry</v>
      </c>
      <c r="B7958" s="3">
        <f ca="1">IFERROR(__xludf.DUMMYFUNCTION("""COMPUTED_VALUE"""),1)</f>
        <v>1</v>
      </c>
      <c r="C7958" s="7">
        <f ca="1">IFERROR(__xludf.DUMMYFUNCTION("""COMPUTED_VALUE"""),1)</f>
        <v>1</v>
      </c>
      <c r="D7958" s="8">
        <f ca="1">IFERROR(__xludf.DUMMYFUNCTION("""COMPUTED_VALUE"""),1)</f>
        <v>1</v>
      </c>
      <c r="E7958" s="2">
        <f ca="1">IFERROR(__xludf.DUMMYFUNCTION("""COMPUTED_VALUE"""),1)</f>
        <v>1</v>
      </c>
    </row>
    <row r="7959" spans="1:5" ht="13">
      <c r="A7959" s="2" t="str">
        <f ca="1">IFERROR(__xludf.DUMMYFUNCTION("""COMPUTED_VALUE"""),"Swenson, Rob")</f>
        <v>Swenson, Rob</v>
      </c>
      <c r="B7959" s="3">
        <f ca="1">IFERROR(__xludf.DUMMYFUNCTION("""COMPUTED_VALUE"""),1)</f>
        <v>1</v>
      </c>
      <c r="C7959" s="7">
        <f ca="1">IFERROR(__xludf.DUMMYFUNCTION("""COMPUTED_VALUE"""),1)</f>
        <v>1</v>
      </c>
      <c r="D7959" s="8">
        <f ca="1">IFERROR(__xludf.DUMMYFUNCTION("""COMPUTED_VALUE"""),1)</f>
        <v>1</v>
      </c>
      <c r="E7959" s="2">
        <f ca="1">IFERROR(__xludf.DUMMYFUNCTION("""COMPUTED_VALUE"""),1)</f>
        <v>1</v>
      </c>
    </row>
    <row r="7960" spans="1:5" ht="13">
      <c r="A7960" s="2" t="str">
        <f ca="1">IFERROR(__xludf.DUMMYFUNCTION("""COMPUTED_VALUE"""),"Swenson, Warren")</f>
        <v>Swenson, Warren</v>
      </c>
      <c r="B7960" s="3">
        <f ca="1">IFERROR(__xludf.DUMMYFUNCTION("""COMPUTED_VALUE"""),1)</f>
        <v>1</v>
      </c>
      <c r="C7960" s="7">
        <f ca="1">IFERROR(__xludf.DUMMYFUNCTION("""COMPUTED_VALUE"""),1)</f>
        <v>1</v>
      </c>
      <c r="D7960" s="8">
        <f ca="1">IFERROR(__xludf.DUMMYFUNCTION("""COMPUTED_VALUE"""),5)</f>
        <v>5</v>
      </c>
      <c r="E7960" s="2">
        <f ca="1">IFERROR(__xludf.DUMMYFUNCTION("""COMPUTED_VALUE"""),2)</f>
        <v>2</v>
      </c>
    </row>
    <row r="7961" spans="1:5" ht="13">
      <c r="A7961" s="2" t="str">
        <f ca="1">IFERROR(__xludf.DUMMYFUNCTION("""COMPUTED_VALUE"""),"Swerts, Piet")</f>
        <v>Swerts, Piet</v>
      </c>
      <c r="B7961" s="3">
        <f ca="1">IFERROR(__xludf.DUMMYFUNCTION("""COMPUTED_VALUE"""),1)</f>
        <v>1</v>
      </c>
      <c r="C7961" s="7">
        <f ca="1">IFERROR(__xludf.DUMMYFUNCTION("""COMPUTED_VALUE"""),1)</f>
        <v>1</v>
      </c>
      <c r="D7961" s="8">
        <f ca="1">IFERROR(__xludf.DUMMYFUNCTION("""COMPUTED_VALUE"""),1)</f>
        <v>1</v>
      </c>
      <c r="E7961" s="2">
        <f ca="1">IFERROR(__xludf.DUMMYFUNCTION("""COMPUTED_VALUE"""),1)</f>
        <v>1</v>
      </c>
    </row>
    <row r="7962" spans="1:5" ht="13">
      <c r="A7962" s="2" t="str">
        <f ca="1">IFERROR(__xludf.DUMMYFUNCTION("""COMPUTED_VALUE"""),"Swingle, J. Matthew")</f>
        <v>Swingle, J. Matthew</v>
      </c>
      <c r="B7962" s="3">
        <f ca="1">IFERROR(__xludf.DUMMYFUNCTION("""COMPUTED_VALUE"""),1)</f>
        <v>1</v>
      </c>
      <c r="C7962" s="7">
        <f ca="1">IFERROR(__xludf.DUMMYFUNCTION("""COMPUTED_VALUE"""),1)</f>
        <v>1</v>
      </c>
      <c r="D7962" s="8">
        <f ca="1">IFERROR(__xludf.DUMMYFUNCTION("""COMPUTED_VALUE"""),1)</f>
        <v>1</v>
      </c>
      <c r="E7962" s="2">
        <f ca="1">IFERROR(__xludf.DUMMYFUNCTION("""COMPUTED_VALUE"""),1)</f>
        <v>1</v>
      </c>
    </row>
    <row r="7963" spans="1:5" ht="13">
      <c r="A7963" s="2" t="str">
        <f ca="1">IFERROR(__xludf.DUMMYFUNCTION("""COMPUTED_VALUE"""),"Syler, James")</f>
        <v>Syler, James</v>
      </c>
      <c r="B7963" s="3">
        <f ca="1">IFERROR(__xludf.DUMMYFUNCTION("""COMPUTED_VALUE"""),1)</f>
        <v>1</v>
      </c>
      <c r="C7963" s="7">
        <f ca="1">IFERROR(__xludf.DUMMYFUNCTION("""COMPUTED_VALUE"""),1)</f>
        <v>1</v>
      </c>
      <c r="D7963" s="8">
        <f ca="1">IFERROR(__xludf.DUMMYFUNCTION("""COMPUTED_VALUE"""),1)</f>
        <v>1</v>
      </c>
      <c r="E7963" s="2">
        <f ca="1">IFERROR(__xludf.DUMMYFUNCTION("""COMPUTED_VALUE"""),1)</f>
        <v>1</v>
      </c>
    </row>
    <row r="7964" spans="1:5" ht="13">
      <c r="A7964" s="2" t="str">
        <f ca="1">IFERROR(__xludf.DUMMYFUNCTION("""COMPUTED_VALUE"""),"Sylvestrov, Valentyn")</f>
        <v>Sylvestrov, Valentyn</v>
      </c>
      <c r="B7964" s="3">
        <f ca="1">IFERROR(__xludf.DUMMYFUNCTION("""COMPUTED_VALUE"""),1)</f>
        <v>1</v>
      </c>
      <c r="C7964" s="7">
        <f ca="1">IFERROR(__xludf.DUMMYFUNCTION("""COMPUTED_VALUE"""),1)</f>
        <v>1</v>
      </c>
      <c r="D7964" s="8">
        <f ca="1">IFERROR(__xludf.DUMMYFUNCTION("""COMPUTED_VALUE"""),1)</f>
        <v>1</v>
      </c>
      <c r="E7964" s="2">
        <f ca="1">IFERROR(__xludf.DUMMYFUNCTION("""COMPUTED_VALUE"""),1)</f>
        <v>1</v>
      </c>
    </row>
    <row r="7965" spans="1:5" ht="13">
      <c r="A7965" s="2" t="str">
        <f ca="1">IFERROR(__xludf.DUMMYFUNCTION("""COMPUTED_VALUE"""),"Symonds, Norman")</f>
        <v>Symonds, Norman</v>
      </c>
      <c r="B7965" s="3">
        <f ca="1">IFERROR(__xludf.DUMMYFUNCTION("""COMPUTED_VALUE"""),1)</f>
        <v>1</v>
      </c>
      <c r="C7965" s="7">
        <f ca="1">IFERROR(__xludf.DUMMYFUNCTION("""COMPUTED_VALUE"""),1)</f>
        <v>1</v>
      </c>
      <c r="D7965" s="8">
        <f ca="1">IFERROR(__xludf.DUMMYFUNCTION("""COMPUTED_VALUE"""),5)</f>
        <v>5</v>
      </c>
      <c r="E7965" s="2">
        <f ca="1">IFERROR(__xludf.DUMMYFUNCTION("""COMPUTED_VALUE"""),2)</f>
        <v>2</v>
      </c>
    </row>
    <row r="7966" spans="1:5" ht="13">
      <c r="A7966" s="8" t="str">
        <f ca="1">IFERROR(__xludf.DUMMYFUNCTION("""COMPUTED_VALUE"""),"Syring, Dennis")</f>
        <v>Syring, Dennis</v>
      </c>
      <c r="B7966" s="3">
        <f ca="1">IFERROR(__xludf.DUMMYFUNCTION("""COMPUTED_VALUE"""),1)</f>
        <v>1</v>
      </c>
      <c r="C7966" s="7">
        <f ca="1">IFERROR(__xludf.DUMMYFUNCTION("""COMPUTED_VALUE"""),1)</f>
        <v>1</v>
      </c>
      <c r="D7966" s="8">
        <f ca="1">IFERROR(__xludf.DUMMYFUNCTION("""COMPUTED_VALUE"""),1)</f>
        <v>1</v>
      </c>
      <c r="E7966" s="2">
        <f ca="1">IFERROR(__xludf.DUMMYFUNCTION("""COMPUTED_VALUE"""),1)</f>
        <v>1</v>
      </c>
    </row>
    <row r="7967" spans="1:5" ht="13">
      <c r="A7967" s="2" t="str">
        <f ca="1">IFERROR(__xludf.DUMMYFUNCTION("""COMPUTED_VALUE"""),"Syswerda, Todd")</f>
        <v>Syswerda, Todd</v>
      </c>
      <c r="B7967" s="3">
        <f ca="1">IFERROR(__xludf.DUMMYFUNCTION("""COMPUTED_VALUE"""),1)</f>
        <v>1</v>
      </c>
      <c r="C7967" s="7">
        <f ca="1">IFERROR(__xludf.DUMMYFUNCTION("""COMPUTED_VALUE"""),1)</f>
        <v>1</v>
      </c>
      <c r="D7967" s="8">
        <f ca="1">IFERROR(__xludf.DUMMYFUNCTION("""COMPUTED_VALUE"""),1)</f>
        <v>1</v>
      </c>
      <c r="E7967" s="2">
        <f ca="1">IFERROR(__xludf.DUMMYFUNCTION("""COMPUTED_VALUE"""),1)</f>
        <v>1</v>
      </c>
    </row>
    <row r="7968" spans="1:5" ht="13">
      <c r="A7968" s="2" t="str">
        <f ca="1">IFERROR(__xludf.DUMMYFUNCTION("""COMPUTED_VALUE"""),"Syzmanowski, Karol")</f>
        <v>Syzmanowski, Karol</v>
      </c>
      <c r="B7968" s="2">
        <f ca="1">IFERROR(__xludf.DUMMYFUNCTION("""COMPUTED_VALUE"""),1)</f>
        <v>1</v>
      </c>
      <c r="C7968" s="7">
        <f ca="1">IFERROR(__xludf.DUMMYFUNCTION("""COMPUTED_VALUE"""),1)</f>
        <v>1</v>
      </c>
      <c r="D7968" s="8">
        <f ca="1">IFERROR(__xludf.DUMMYFUNCTION("""COMPUTED_VALUE"""),5)</f>
        <v>5</v>
      </c>
      <c r="E7968" s="2">
        <f ca="1">IFERROR(__xludf.DUMMYFUNCTION("""COMPUTED_VALUE"""),2)</f>
        <v>2</v>
      </c>
    </row>
    <row r="7969" spans="1:5" ht="13">
      <c r="A7969" s="8" t="str">
        <f ca="1">IFERROR(__xludf.DUMMYFUNCTION("""COMPUTED_VALUE"""),"Szabo, Burt")</f>
        <v>Szabo, Burt</v>
      </c>
      <c r="B7969" s="2">
        <f ca="1">IFERROR(__xludf.DUMMYFUNCTION("""COMPUTED_VALUE"""),1)</f>
        <v>1</v>
      </c>
      <c r="C7969" s="7">
        <f ca="1">IFERROR(__xludf.DUMMYFUNCTION("""COMPUTED_VALUE"""),1)</f>
        <v>1</v>
      </c>
      <c r="D7969" s="8">
        <f ca="1">IFERROR(__xludf.DUMMYFUNCTION("""COMPUTED_VALUE"""),5)</f>
        <v>5</v>
      </c>
      <c r="E7969" s="2">
        <f ca="1">IFERROR(__xludf.DUMMYFUNCTION("""COMPUTED_VALUE"""),2)</f>
        <v>2</v>
      </c>
    </row>
    <row r="7970" spans="1:5" ht="13">
      <c r="A7970" s="2" t="str">
        <f ca="1">IFERROR(__xludf.DUMMYFUNCTION("""COMPUTED_VALUE"""),"Szathmary, Irving")</f>
        <v>Szathmary, Irving</v>
      </c>
      <c r="B7970" s="2">
        <f ca="1">IFERROR(__xludf.DUMMYFUNCTION("""COMPUTED_VALUE"""),1)</f>
        <v>1</v>
      </c>
      <c r="C7970" s="7">
        <f ca="1">IFERROR(__xludf.DUMMYFUNCTION("""COMPUTED_VALUE"""),1)</f>
        <v>1</v>
      </c>
      <c r="D7970" s="8">
        <f ca="1">IFERROR(__xludf.DUMMYFUNCTION("""COMPUTED_VALUE"""),5)</f>
        <v>5</v>
      </c>
      <c r="E7970" s="2">
        <f ca="1">IFERROR(__xludf.DUMMYFUNCTION("""COMPUTED_VALUE"""),2)</f>
        <v>2</v>
      </c>
    </row>
    <row r="7971" spans="1:5" ht="13">
      <c r="A7971" s="8" t="str">
        <f ca="1">IFERROR(__xludf.DUMMYFUNCTION("""COMPUTED_VALUE"""),"Szell, George")</f>
        <v>Szell, George</v>
      </c>
      <c r="B7971" s="2">
        <f ca="1">IFERROR(__xludf.DUMMYFUNCTION("""COMPUTED_VALUE"""),1)</f>
        <v>1</v>
      </c>
      <c r="C7971" s="7">
        <f ca="1">IFERROR(__xludf.DUMMYFUNCTION("""COMPUTED_VALUE"""),1)</f>
        <v>1</v>
      </c>
      <c r="D7971" s="8">
        <f ca="1">IFERROR(__xludf.DUMMYFUNCTION("""COMPUTED_VALUE"""),5)</f>
        <v>5</v>
      </c>
      <c r="E7971" s="2">
        <f ca="1">IFERROR(__xludf.DUMMYFUNCTION("""COMPUTED_VALUE"""),2)</f>
        <v>2</v>
      </c>
    </row>
    <row r="7972" spans="1:5" ht="13">
      <c r="A7972" s="2" t="str">
        <f ca="1">IFERROR(__xludf.DUMMYFUNCTION("""COMPUTED_VALUE"""),"Szentpáli, Roland")</f>
        <v>Szentpáli, Roland</v>
      </c>
      <c r="B7972" s="3">
        <f ca="1">IFERROR(__xludf.DUMMYFUNCTION("""COMPUTED_VALUE"""),1)</f>
        <v>1</v>
      </c>
      <c r="C7972" s="7">
        <f ca="1">IFERROR(__xludf.DUMMYFUNCTION("""COMPUTED_VALUE"""),1)</f>
        <v>1</v>
      </c>
      <c r="D7972" s="8">
        <f ca="1">IFERROR(__xludf.DUMMYFUNCTION("""COMPUTED_VALUE"""),1)</f>
        <v>1</v>
      </c>
      <c r="E7972" s="2">
        <f ca="1">IFERROR(__xludf.DUMMYFUNCTION("""COMPUTED_VALUE"""),1)</f>
        <v>1</v>
      </c>
    </row>
    <row r="7973" spans="1:5" ht="13">
      <c r="A7973" s="2" t="str">
        <f ca="1">IFERROR(__xludf.DUMMYFUNCTION("""COMPUTED_VALUE"""),"Szollosy, András")</f>
        <v>Szollosy, András</v>
      </c>
      <c r="B7973" s="2">
        <f ca="1">IFERROR(__xludf.DUMMYFUNCTION("""COMPUTED_VALUE"""),1)</f>
        <v>1</v>
      </c>
      <c r="C7973" s="7">
        <f ca="1">IFERROR(__xludf.DUMMYFUNCTION("""COMPUTED_VALUE"""),1)</f>
        <v>1</v>
      </c>
      <c r="D7973" s="8">
        <f ca="1">IFERROR(__xludf.DUMMYFUNCTION("""COMPUTED_VALUE"""),5)</f>
        <v>5</v>
      </c>
      <c r="E7973" s="2">
        <f ca="1">IFERROR(__xludf.DUMMYFUNCTION("""COMPUTED_VALUE"""),2)</f>
        <v>2</v>
      </c>
    </row>
    <row r="7974" spans="1:5" ht="13">
      <c r="A7974" s="2" t="str">
        <f ca="1">IFERROR(__xludf.DUMMYFUNCTION("""COMPUTED_VALUE"""),"Szőllősy, András")</f>
        <v>Szőllősy, András</v>
      </c>
      <c r="B7974" s="2">
        <f ca="1">IFERROR(__xludf.DUMMYFUNCTION("""COMPUTED_VALUE"""),1)</f>
        <v>1</v>
      </c>
      <c r="C7974" s="7">
        <f ca="1">IFERROR(__xludf.DUMMYFUNCTION("""COMPUTED_VALUE"""),1)</f>
        <v>1</v>
      </c>
      <c r="D7974" s="8">
        <f ca="1">IFERROR(__xludf.DUMMYFUNCTION("""COMPUTED_VALUE"""),5)</f>
        <v>5</v>
      </c>
      <c r="E7974" s="2">
        <f ca="1">IFERROR(__xludf.DUMMYFUNCTION("""COMPUTED_VALUE"""),2)</f>
        <v>2</v>
      </c>
    </row>
    <row r="7975" spans="1:5" ht="13">
      <c r="A7975" s="2" t="str">
        <f ca="1">IFERROR(__xludf.DUMMYFUNCTION("""COMPUTED_VALUE"""),"Szőnyi, Erzsébet")</f>
        <v>Szőnyi, Erzsébet</v>
      </c>
      <c r="B7975" s="3">
        <f ca="1">IFERROR(__xludf.DUMMYFUNCTION("""COMPUTED_VALUE"""),1)</f>
        <v>1</v>
      </c>
      <c r="C7975" s="7">
        <f ca="1">IFERROR(__xludf.DUMMYFUNCTION("""COMPUTED_VALUE"""),1)</f>
        <v>1</v>
      </c>
      <c r="D7975" s="8">
        <f ca="1">IFERROR(__xludf.DUMMYFUNCTION("""COMPUTED_VALUE"""),5)</f>
        <v>5</v>
      </c>
      <c r="E7975" s="2">
        <f ca="1">IFERROR(__xludf.DUMMYFUNCTION("""COMPUTED_VALUE"""),2)</f>
        <v>2</v>
      </c>
    </row>
    <row r="7976" spans="1:5" ht="13">
      <c r="A7976" s="8" t="str">
        <f ca="1">IFERROR(__xludf.DUMMYFUNCTION("""COMPUTED_VALUE"""),"Szpilman, Władysław")</f>
        <v>Szpilman, Władysław</v>
      </c>
      <c r="B7976" s="2">
        <f ca="1">IFERROR(__xludf.DUMMYFUNCTION("""COMPUTED_VALUE"""),1)</f>
        <v>1</v>
      </c>
      <c r="C7976" s="7">
        <f ca="1">IFERROR(__xludf.DUMMYFUNCTION("""COMPUTED_VALUE"""),1)</f>
        <v>1</v>
      </c>
      <c r="D7976" s="8">
        <f ca="1">IFERROR(__xludf.DUMMYFUNCTION("""COMPUTED_VALUE"""),5)</f>
        <v>5</v>
      </c>
      <c r="E7976" s="2">
        <f ca="1">IFERROR(__xludf.DUMMYFUNCTION("""COMPUTED_VALUE"""),2)</f>
        <v>2</v>
      </c>
    </row>
    <row r="7977" spans="1:5" ht="13">
      <c r="A7977" s="2" t="str">
        <f ca="1">IFERROR(__xludf.DUMMYFUNCTION("""COMPUTED_VALUE"""),"Szymanowski, Karol")</f>
        <v>Szymanowski, Karol</v>
      </c>
      <c r="B7977" s="3">
        <f ca="1">IFERROR(__xludf.DUMMYFUNCTION("""COMPUTED_VALUE"""),1)</f>
        <v>1</v>
      </c>
      <c r="C7977" s="7">
        <f ca="1">IFERROR(__xludf.DUMMYFUNCTION("""COMPUTED_VALUE"""),1)</f>
        <v>1</v>
      </c>
      <c r="D7977" s="8">
        <f ca="1">IFERROR(__xludf.DUMMYFUNCTION("""COMPUTED_VALUE"""),5)</f>
        <v>5</v>
      </c>
      <c r="E7977" s="2">
        <f ca="1">IFERROR(__xludf.DUMMYFUNCTION("""COMPUTED_VALUE"""),2)</f>
        <v>2</v>
      </c>
    </row>
    <row r="7978" spans="1:5" ht="13">
      <c r="A7978" s="2" t="str">
        <f ca="1">IFERROR(__xludf.DUMMYFUNCTION("""COMPUTED_VALUE"""),"Tacka, Philip")</f>
        <v>Tacka, Philip</v>
      </c>
      <c r="B7978" s="2">
        <f ca="1">IFERROR(__xludf.DUMMYFUNCTION("""COMPUTED_VALUE"""),1)</f>
        <v>1</v>
      </c>
      <c r="C7978" s="7">
        <f ca="1">IFERROR(__xludf.DUMMYFUNCTION("""COMPUTED_VALUE"""),1)</f>
        <v>1</v>
      </c>
      <c r="D7978" s="8">
        <f ca="1">IFERROR(__xludf.DUMMYFUNCTION("""COMPUTED_VALUE"""),1)</f>
        <v>1</v>
      </c>
      <c r="E7978" s="2">
        <f ca="1">IFERROR(__xludf.DUMMYFUNCTION("""COMPUTED_VALUE"""),1)</f>
        <v>1</v>
      </c>
    </row>
    <row r="7979" spans="1:5" ht="13">
      <c r="A7979" s="2" t="str">
        <f ca="1">IFERROR(__xludf.DUMMYFUNCTION("""COMPUTED_VALUE"""),"Tacke, Daniel")</f>
        <v>Tacke, Daniel</v>
      </c>
      <c r="B7979" s="3">
        <f ca="1">IFERROR(__xludf.DUMMYFUNCTION("""COMPUTED_VALUE"""),1)</f>
        <v>1</v>
      </c>
      <c r="C7979" s="7">
        <f ca="1">IFERROR(__xludf.DUMMYFUNCTION("""COMPUTED_VALUE"""),1)</f>
        <v>1</v>
      </c>
      <c r="D7979" s="8">
        <f ca="1">IFERROR(__xludf.DUMMYFUNCTION("""COMPUTED_VALUE"""),1)</f>
        <v>1</v>
      </c>
      <c r="E7979" s="2">
        <f ca="1">IFERROR(__xludf.DUMMYFUNCTION("""COMPUTED_VALUE"""),1)</f>
        <v>1</v>
      </c>
    </row>
    <row r="7980" spans="1:5" ht="13">
      <c r="A7980" s="2" t="str">
        <f ca="1">IFERROR(__xludf.DUMMYFUNCTION("""COMPUTED_VALUE"""),"Taffanel, Paul")</f>
        <v>Taffanel, Paul</v>
      </c>
      <c r="B7980" s="2">
        <f ca="1">IFERROR(__xludf.DUMMYFUNCTION("""COMPUTED_VALUE"""),1)</f>
        <v>1</v>
      </c>
      <c r="C7980" s="7">
        <f ca="1">IFERROR(__xludf.DUMMYFUNCTION("""COMPUTED_VALUE"""),1)</f>
        <v>1</v>
      </c>
      <c r="D7980" s="8">
        <f ca="1">IFERROR(__xludf.DUMMYFUNCTION("""COMPUTED_VALUE"""),5)</f>
        <v>5</v>
      </c>
      <c r="E7980" s="2">
        <f ca="1">IFERROR(__xludf.DUMMYFUNCTION("""COMPUTED_VALUE"""),2)</f>
        <v>2</v>
      </c>
    </row>
    <row r="7981" spans="1:5" ht="13">
      <c r="A7981" s="2" t="str">
        <f ca="1">IFERROR(__xludf.DUMMYFUNCTION("""COMPUTED_VALUE"""),"Takach, Timothy")</f>
        <v>Takach, Timothy</v>
      </c>
      <c r="B7981" s="2">
        <f ca="1">IFERROR(__xludf.DUMMYFUNCTION("""COMPUTED_VALUE"""),1)</f>
        <v>1</v>
      </c>
      <c r="C7981" s="7">
        <f ca="1">IFERROR(__xludf.DUMMYFUNCTION("""COMPUTED_VALUE"""),1)</f>
        <v>1</v>
      </c>
      <c r="D7981" s="8">
        <f ca="1">IFERROR(__xludf.DUMMYFUNCTION("""COMPUTED_VALUE"""),1)</f>
        <v>1</v>
      </c>
      <c r="E7981" s="2">
        <f ca="1">IFERROR(__xludf.DUMMYFUNCTION("""COMPUTED_VALUE"""),1)</f>
        <v>1</v>
      </c>
    </row>
    <row r="7982" spans="1:5" ht="13">
      <c r="A7982" s="2" t="str">
        <f ca="1">IFERROR(__xludf.DUMMYFUNCTION("""COMPUTED_VALUE"""),"Takach, Timothy C.")</f>
        <v>Takach, Timothy C.</v>
      </c>
      <c r="B7982" s="2">
        <f ca="1">IFERROR(__xludf.DUMMYFUNCTION("""COMPUTED_VALUE"""),1)</f>
        <v>1</v>
      </c>
      <c r="C7982" s="7">
        <f ca="1">IFERROR(__xludf.DUMMYFUNCTION("""COMPUTED_VALUE"""),1)</f>
        <v>1</v>
      </c>
      <c r="D7982" s="8">
        <f ca="1">IFERROR(__xludf.DUMMYFUNCTION("""COMPUTED_VALUE"""),1)</f>
        <v>1</v>
      </c>
      <c r="E7982" s="2">
        <f ca="1">IFERROR(__xludf.DUMMYFUNCTION("""COMPUTED_VALUE"""),1)</f>
        <v>1</v>
      </c>
    </row>
    <row r="7983" spans="1:5" ht="13">
      <c r="A7983" s="2" t="str">
        <f ca="1">IFERROR(__xludf.DUMMYFUNCTION("""COMPUTED_VALUE"""),"Tal, Avraham")</f>
        <v>Tal, Avraham</v>
      </c>
      <c r="B7983" s="3">
        <f ca="1">IFERROR(__xludf.DUMMYFUNCTION("""COMPUTED_VALUE"""),1)</f>
        <v>1</v>
      </c>
      <c r="C7983" s="7">
        <f ca="1">IFERROR(__xludf.DUMMYFUNCTION("""COMPUTED_VALUE"""),1)</f>
        <v>1</v>
      </c>
      <c r="D7983" s="8">
        <f ca="1">IFERROR(__xludf.DUMMYFUNCTION("""COMPUTED_VALUE"""),1)</f>
        <v>1</v>
      </c>
      <c r="E7983" s="2">
        <f ca="1">IFERROR(__xludf.DUMMYFUNCTION("""COMPUTED_VALUE"""),1)</f>
        <v>1</v>
      </c>
    </row>
    <row r="7984" spans="1:5" ht="13">
      <c r="A7984" s="2" t="str">
        <f ca="1">IFERROR(__xludf.DUMMYFUNCTION("""COMPUTED_VALUE"""),"Talaga, Steve")</f>
        <v>Talaga, Steve</v>
      </c>
      <c r="B7984" s="2">
        <f ca="1">IFERROR(__xludf.DUMMYFUNCTION("""COMPUTED_VALUE"""),1)</f>
        <v>1</v>
      </c>
      <c r="C7984" s="2">
        <f ca="1">IFERROR(__xludf.DUMMYFUNCTION("""COMPUTED_VALUE"""),1)</f>
        <v>1</v>
      </c>
      <c r="D7984" s="8">
        <f ca="1">IFERROR(__xludf.DUMMYFUNCTION("""COMPUTED_VALUE"""),1)</f>
        <v>1</v>
      </c>
      <c r="E7984" s="2">
        <f ca="1">IFERROR(__xludf.DUMMYFUNCTION("""COMPUTED_VALUE"""),1)</f>
        <v>1</v>
      </c>
    </row>
    <row r="7985" spans="1:5" ht="13">
      <c r="A7985" s="2" t="str">
        <f ca="1">IFERROR(__xludf.DUMMYFUNCTION("""COMPUTED_VALUE"""),"Talbot, Joby")</f>
        <v>Talbot, Joby</v>
      </c>
      <c r="B7985" s="3">
        <f ca="1">IFERROR(__xludf.DUMMYFUNCTION("""COMPUTED_VALUE"""),1)</f>
        <v>1</v>
      </c>
      <c r="C7985" s="7">
        <f ca="1">IFERROR(__xludf.DUMMYFUNCTION("""COMPUTED_VALUE"""),1)</f>
        <v>1</v>
      </c>
      <c r="D7985" s="8">
        <f ca="1">IFERROR(__xludf.DUMMYFUNCTION("""COMPUTED_VALUE"""),1)</f>
        <v>1</v>
      </c>
      <c r="E7985" s="2">
        <f ca="1">IFERROR(__xludf.DUMMYFUNCTION("""COMPUTED_VALUE"""),1)</f>
        <v>1</v>
      </c>
    </row>
    <row r="7986" spans="1:5" ht="13">
      <c r="A7986" s="2" t="str">
        <f ca="1">IFERROR(__xludf.DUMMYFUNCTION("""COMPUTED_VALUE"""),"Talley, Barry")</f>
        <v>Talley, Barry</v>
      </c>
      <c r="B7986" s="3">
        <f ca="1">IFERROR(__xludf.DUMMYFUNCTION("""COMPUTED_VALUE"""),1)</f>
        <v>1</v>
      </c>
      <c r="C7986" s="7">
        <f ca="1">IFERROR(__xludf.DUMMYFUNCTION("""COMPUTED_VALUE"""),1)</f>
        <v>1</v>
      </c>
      <c r="D7986" s="8">
        <f ca="1">IFERROR(__xludf.DUMMYFUNCTION("""COMPUTED_VALUE"""),1)</f>
        <v>1</v>
      </c>
      <c r="E7986" s="2">
        <f ca="1">IFERROR(__xludf.DUMMYFUNCTION("""COMPUTED_VALUE"""),1)</f>
        <v>1</v>
      </c>
    </row>
    <row r="7987" spans="1:5" ht="13">
      <c r="A7987" s="2" t="str">
        <f ca="1">IFERROR(__xludf.DUMMYFUNCTION("""COMPUTED_VALUE"""),"Tallis, Thomas")</f>
        <v>Tallis, Thomas</v>
      </c>
      <c r="B7987" s="3">
        <f ca="1">IFERROR(__xludf.DUMMYFUNCTION("""COMPUTED_VALUE"""),1)</f>
        <v>1</v>
      </c>
      <c r="C7987" s="7">
        <f ca="1">IFERROR(__xludf.DUMMYFUNCTION("""COMPUTED_VALUE"""),1)</f>
        <v>1</v>
      </c>
      <c r="D7987" s="8">
        <f ca="1">IFERROR(__xludf.DUMMYFUNCTION("""COMPUTED_VALUE"""),5)</f>
        <v>5</v>
      </c>
      <c r="E7987" s="2">
        <f ca="1">IFERROR(__xludf.DUMMYFUNCTION("""COMPUTED_VALUE"""),2)</f>
        <v>2</v>
      </c>
    </row>
    <row r="7988" spans="1:5" ht="13">
      <c r="A7988" s="2" t="str">
        <f ca="1">IFERROR(__xludf.DUMMYFUNCTION("""COMPUTED_VALUE"""),"Tallis, Thomas / Handl, Jacob")</f>
        <v>Tallis, Thomas / Handl, Jacob</v>
      </c>
      <c r="B7988" s="3">
        <f ca="1">IFERROR(__xludf.DUMMYFUNCTION("""COMPUTED_VALUE"""),1)</f>
        <v>1</v>
      </c>
      <c r="C7988" s="7">
        <f ca="1">IFERROR(__xludf.DUMMYFUNCTION("""COMPUTED_VALUE"""),1)</f>
        <v>1</v>
      </c>
      <c r="D7988" s="8">
        <f ca="1">IFERROR(__xludf.DUMMYFUNCTION("""COMPUTED_VALUE"""),5)</f>
        <v>5</v>
      </c>
      <c r="E7988" s="2">
        <f ca="1">IFERROR(__xludf.DUMMYFUNCTION("""COMPUTED_VALUE"""),2)</f>
        <v>2</v>
      </c>
    </row>
    <row r="7989" spans="1:5" ht="13">
      <c r="A7989" s="2" t="str">
        <f ca="1">IFERROR(__xludf.DUMMYFUNCTION("""COMPUTED_VALUE"""),"Talmi, Yoav")</f>
        <v>Talmi, Yoav</v>
      </c>
      <c r="B7989" s="3">
        <f ca="1">IFERROR(__xludf.DUMMYFUNCTION("""COMPUTED_VALUE"""),1)</f>
        <v>1</v>
      </c>
      <c r="C7989" s="7">
        <f ca="1">IFERROR(__xludf.DUMMYFUNCTION("""COMPUTED_VALUE"""),1)</f>
        <v>1</v>
      </c>
      <c r="D7989" s="8">
        <f ca="1">IFERROR(__xludf.DUMMYFUNCTION("""COMPUTED_VALUE"""),1)</f>
        <v>1</v>
      </c>
      <c r="E7989" s="2">
        <f ca="1">IFERROR(__xludf.DUMMYFUNCTION("""COMPUTED_VALUE"""),1)</f>
        <v>1</v>
      </c>
    </row>
    <row r="7990" spans="1:5" ht="13">
      <c r="A7990" s="2" t="str">
        <f ca="1">IFERROR(__xludf.DUMMYFUNCTION("""COMPUTED_VALUE"""),"Tamanini, Marco")</f>
        <v>Tamanini, Marco</v>
      </c>
      <c r="B7990" s="3">
        <f ca="1">IFERROR(__xludf.DUMMYFUNCTION("""COMPUTED_VALUE"""),1)</f>
        <v>1</v>
      </c>
      <c r="C7990" s="7">
        <f ca="1">IFERROR(__xludf.DUMMYFUNCTION("""COMPUTED_VALUE"""),1)</f>
        <v>1</v>
      </c>
      <c r="D7990" s="8">
        <f ca="1">IFERROR(__xludf.DUMMYFUNCTION("""COMPUTED_VALUE"""),1)</f>
        <v>1</v>
      </c>
      <c r="E7990" s="2">
        <f ca="1">IFERROR(__xludf.DUMMYFUNCTION("""COMPUTED_VALUE"""),1)</f>
        <v>1</v>
      </c>
    </row>
    <row r="7991" spans="1:5" ht="13">
      <c r="A7991" s="2" t="str">
        <f ca="1">IFERROR(__xludf.DUMMYFUNCTION("""COMPUTED_VALUE"""),"Tamberg, Eino")</f>
        <v>Tamberg, Eino</v>
      </c>
      <c r="B7991" s="3">
        <f ca="1">IFERROR(__xludf.DUMMYFUNCTION("""COMPUTED_VALUE"""),1)</f>
        <v>1</v>
      </c>
      <c r="C7991" s="7">
        <f ca="1">IFERROR(__xludf.DUMMYFUNCTION("""COMPUTED_VALUE"""),1)</f>
        <v>1</v>
      </c>
      <c r="D7991" s="8">
        <f ca="1">IFERROR(__xludf.DUMMYFUNCTION("""COMPUTED_VALUE"""),5)</f>
        <v>5</v>
      </c>
      <c r="E7991" s="2">
        <f ca="1">IFERROR(__xludf.DUMMYFUNCTION("""COMPUTED_VALUE"""),2)</f>
        <v>2</v>
      </c>
    </row>
    <row r="7992" spans="1:5" ht="13">
      <c r="A7992" s="2" t="str">
        <f ca="1">IFERROR(__xludf.DUMMYFUNCTION("""COMPUTED_VALUE"""),"Taneyev, Sergei")</f>
        <v>Taneyev, Sergei</v>
      </c>
      <c r="B7992" s="3">
        <f ca="1">IFERROR(__xludf.DUMMYFUNCTION("""COMPUTED_VALUE"""),1)</f>
        <v>1</v>
      </c>
      <c r="C7992" s="7">
        <f ca="1">IFERROR(__xludf.DUMMYFUNCTION("""COMPUTED_VALUE"""),1)</f>
        <v>1</v>
      </c>
      <c r="D7992" s="8">
        <f ca="1">IFERROR(__xludf.DUMMYFUNCTION("""COMPUTED_VALUE"""),5)</f>
        <v>5</v>
      </c>
      <c r="E7992" s="2">
        <f ca="1">IFERROR(__xludf.DUMMYFUNCTION("""COMPUTED_VALUE"""),2)</f>
        <v>2</v>
      </c>
    </row>
    <row r="7993" spans="1:5" ht="13">
      <c r="A7993" s="2" t="str">
        <f ca="1">IFERROR(__xludf.DUMMYFUNCTION("""COMPUTED_VALUE"""),"Tanguy, Eric")</f>
        <v>Tanguy, Eric</v>
      </c>
      <c r="B7993" s="3">
        <f ca="1">IFERROR(__xludf.DUMMYFUNCTION("""COMPUTED_VALUE"""),1)</f>
        <v>1</v>
      </c>
      <c r="C7993" s="7">
        <f ca="1">IFERROR(__xludf.DUMMYFUNCTION("""COMPUTED_VALUE"""),1)</f>
        <v>1</v>
      </c>
      <c r="D7993" s="8">
        <f ca="1">IFERROR(__xludf.DUMMYFUNCTION("""COMPUTED_VALUE"""),1)</f>
        <v>1</v>
      </c>
      <c r="E7993" s="2">
        <f ca="1">IFERROR(__xludf.DUMMYFUNCTION("""COMPUTED_VALUE"""),1)</f>
        <v>1</v>
      </c>
    </row>
    <row r="7994" spans="1:5" ht="13">
      <c r="A7994" s="2" t="str">
        <f ca="1">IFERROR(__xludf.DUMMYFUNCTION("""COMPUTED_VALUE"""),"Tanner, Stephen")</f>
        <v>Tanner, Stephen</v>
      </c>
      <c r="B7994" s="3">
        <f ca="1">IFERROR(__xludf.DUMMYFUNCTION("""COMPUTED_VALUE"""),1)</f>
        <v>1</v>
      </c>
      <c r="C7994" s="7">
        <f ca="1">IFERROR(__xludf.DUMMYFUNCTION("""COMPUTED_VALUE"""),1)</f>
        <v>1</v>
      </c>
      <c r="D7994" s="8">
        <f ca="1">IFERROR(__xludf.DUMMYFUNCTION("""COMPUTED_VALUE"""),1)</f>
        <v>1</v>
      </c>
      <c r="E7994" s="2">
        <f ca="1">IFERROR(__xludf.DUMMYFUNCTION("""COMPUTED_VALUE"""),1)</f>
        <v>1</v>
      </c>
    </row>
    <row r="7995" spans="1:5" ht="13">
      <c r="A7995" s="8" t="str">
        <f ca="1">IFERROR(__xludf.DUMMYFUNCTION("""COMPUTED_VALUE"""),"Tansman, Alexandre")</f>
        <v>Tansman, Alexandre</v>
      </c>
      <c r="B7995" s="3">
        <f ca="1">IFERROR(__xludf.DUMMYFUNCTION("""COMPUTED_VALUE"""),1)</f>
        <v>1</v>
      </c>
      <c r="C7995" s="7">
        <f ca="1">IFERROR(__xludf.DUMMYFUNCTION("""COMPUTED_VALUE"""),1)</f>
        <v>1</v>
      </c>
      <c r="D7995" s="8">
        <f ca="1">IFERROR(__xludf.DUMMYFUNCTION("""COMPUTED_VALUE"""),5)</f>
        <v>5</v>
      </c>
      <c r="E7995" s="2">
        <f ca="1">IFERROR(__xludf.DUMMYFUNCTION("""COMPUTED_VALUE"""),2)</f>
        <v>2</v>
      </c>
    </row>
    <row r="7996" spans="1:5" ht="13">
      <c r="A7996" s="2" t="str">
        <f ca="1">IFERROR(__xludf.DUMMYFUNCTION("""COMPUTED_VALUE"""),"Tanyev, Sergeĭ")</f>
        <v>Tanyev, Sergeĭ</v>
      </c>
      <c r="B7996" s="3">
        <f ca="1">IFERROR(__xludf.DUMMYFUNCTION("""COMPUTED_VALUE"""),1)</f>
        <v>1</v>
      </c>
      <c r="C7996" s="7">
        <f ca="1">IFERROR(__xludf.DUMMYFUNCTION("""COMPUTED_VALUE"""),1)</f>
        <v>1</v>
      </c>
      <c r="D7996" s="8">
        <f ca="1">IFERROR(__xludf.DUMMYFUNCTION("""COMPUTED_VALUE"""),5)</f>
        <v>5</v>
      </c>
      <c r="E7996" s="2">
        <f ca="1">IFERROR(__xludf.DUMMYFUNCTION("""COMPUTED_VALUE"""),2)</f>
        <v>2</v>
      </c>
    </row>
    <row r="7997" spans="1:5" ht="13">
      <c r="A7997" s="2" t="str">
        <f ca="1">IFERROR(__xludf.DUMMYFUNCTION("""COMPUTED_VALUE"""),"Tarkman, Andreas")</f>
        <v>Tarkman, Andreas</v>
      </c>
      <c r="B7997" s="3">
        <f ca="1">IFERROR(__xludf.DUMMYFUNCTION("""COMPUTED_VALUE"""),1)</f>
        <v>1</v>
      </c>
      <c r="C7997" s="7">
        <f ca="1">IFERROR(__xludf.DUMMYFUNCTION("""COMPUTED_VALUE"""),1)</f>
        <v>1</v>
      </c>
      <c r="D7997" s="8">
        <f ca="1">IFERROR(__xludf.DUMMYFUNCTION("""COMPUTED_VALUE"""),1)</f>
        <v>1</v>
      </c>
      <c r="E7997" s="2">
        <f ca="1">IFERROR(__xludf.DUMMYFUNCTION("""COMPUTED_VALUE"""),1)</f>
        <v>1</v>
      </c>
    </row>
    <row r="7998" spans="1:5" ht="13">
      <c r="A7998" s="8" t="str">
        <f ca="1">IFERROR(__xludf.DUMMYFUNCTION("""COMPUTED_VALUE"""),"Tarnopolski, Vladimir")</f>
        <v>Tarnopolski, Vladimir</v>
      </c>
      <c r="B7998" s="3">
        <f ca="1">IFERROR(__xludf.DUMMYFUNCTION("""COMPUTED_VALUE"""),1)</f>
        <v>1</v>
      </c>
      <c r="C7998" s="7">
        <f ca="1">IFERROR(__xludf.DUMMYFUNCTION("""COMPUTED_VALUE"""),1)</f>
        <v>1</v>
      </c>
      <c r="D7998" s="8">
        <f ca="1">IFERROR(__xludf.DUMMYFUNCTION("""COMPUTED_VALUE"""),1)</f>
        <v>1</v>
      </c>
      <c r="E7998" s="2">
        <f ca="1">IFERROR(__xludf.DUMMYFUNCTION("""COMPUTED_VALUE"""),1)</f>
        <v>1</v>
      </c>
    </row>
    <row r="7999" spans="1:5" ht="13">
      <c r="A7999" s="2" t="str">
        <f ca="1">IFERROR(__xludf.DUMMYFUNCTION("""COMPUTED_VALUE"""),"Tarrega, Francesco")</f>
        <v>Tarrega, Francesco</v>
      </c>
      <c r="B7999" s="3">
        <f ca="1">IFERROR(__xludf.DUMMYFUNCTION("""COMPUTED_VALUE"""),1)</f>
        <v>1</v>
      </c>
      <c r="C7999" s="7">
        <f ca="1">IFERROR(__xludf.DUMMYFUNCTION("""COMPUTED_VALUE"""),1)</f>
        <v>1</v>
      </c>
      <c r="D7999" s="8">
        <f ca="1">IFERROR(__xludf.DUMMYFUNCTION("""COMPUTED_VALUE"""),5)</f>
        <v>5</v>
      </c>
      <c r="E7999" s="2">
        <f ca="1">IFERROR(__xludf.DUMMYFUNCTION("""COMPUTED_VALUE"""),2)</f>
        <v>2</v>
      </c>
    </row>
    <row r="8000" spans="1:5" ht="13">
      <c r="A8000" s="2" t="str">
        <f ca="1">IFERROR(__xludf.DUMMYFUNCTION("""COMPUTED_VALUE"""),"Tárrega, Francisco")</f>
        <v>Tárrega, Francisco</v>
      </c>
      <c r="B8000" s="3">
        <f ca="1">IFERROR(__xludf.DUMMYFUNCTION("""COMPUTED_VALUE"""),1)</f>
        <v>1</v>
      </c>
      <c r="C8000" s="7">
        <f ca="1">IFERROR(__xludf.DUMMYFUNCTION("""COMPUTED_VALUE"""),1)</f>
        <v>1</v>
      </c>
      <c r="D8000" s="8">
        <f ca="1">IFERROR(__xludf.DUMMYFUNCTION("""COMPUTED_VALUE"""),5)</f>
        <v>5</v>
      </c>
      <c r="E8000" s="2">
        <f ca="1">IFERROR(__xludf.DUMMYFUNCTION("""COMPUTED_VALUE"""),2)</f>
        <v>2</v>
      </c>
    </row>
    <row r="8001" spans="1:5" ht="13">
      <c r="A8001" s="2" t="str">
        <f ca="1">IFERROR(__xludf.DUMMYFUNCTION("""COMPUTED_VALUE"""),"Tartini, Giuseppe")</f>
        <v>Tartini, Giuseppe</v>
      </c>
      <c r="B8001" s="3">
        <f ca="1">IFERROR(__xludf.DUMMYFUNCTION("""COMPUTED_VALUE"""),1)</f>
        <v>1</v>
      </c>
      <c r="C8001" s="7">
        <f ca="1">IFERROR(__xludf.DUMMYFUNCTION("""COMPUTED_VALUE"""),1)</f>
        <v>1</v>
      </c>
      <c r="D8001" s="8">
        <f ca="1">IFERROR(__xludf.DUMMYFUNCTION("""COMPUTED_VALUE"""),5)</f>
        <v>5</v>
      </c>
      <c r="E8001" s="2">
        <f ca="1">IFERROR(__xludf.DUMMYFUNCTION("""COMPUTED_VALUE"""),2)</f>
        <v>2</v>
      </c>
    </row>
    <row r="8002" spans="1:5" ht="13">
      <c r="A8002" s="2" t="str">
        <f ca="1">IFERROR(__xludf.DUMMYFUNCTION("""COMPUTED_VALUE"""),"Tarver, Charles")</f>
        <v>Tarver, Charles</v>
      </c>
      <c r="B8002" s="3">
        <f ca="1">IFERROR(__xludf.DUMMYFUNCTION("""COMPUTED_VALUE"""),1)</f>
        <v>1</v>
      </c>
      <c r="C8002" s="7">
        <f ca="1">IFERROR(__xludf.DUMMYFUNCTION("""COMPUTED_VALUE"""),1)</f>
        <v>1</v>
      </c>
      <c r="D8002" s="8">
        <f ca="1">IFERROR(__xludf.DUMMYFUNCTION("""COMPUTED_VALUE"""),1)</f>
        <v>1</v>
      </c>
      <c r="E8002" s="3">
        <f ca="1">IFERROR(__xludf.DUMMYFUNCTION("""COMPUTED_VALUE"""),1)</f>
        <v>1</v>
      </c>
    </row>
    <row r="8003" spans="1:5" ht="13">
      <c r="A8003" s="8" t="str">
        <f ca="1">IFERROR(__xludf.DUMMYFUNCTION("""COMPUTED_VALUE"""),"Tashjian, Pete")</f>
        <v>Tashjian, Pete</v>
      </c>
      <c r="B8003" s="3">
        <f ca="1">IFERROR(__xludf.DUMMYFUNCTION("""COMPUTED_VALUE"""),1)</f>
        <v>1</v>
      </c>
      <c r="C8003" s="7">
        <f ca="1">IFERROR(__xludf.DUMMYFUNCTION("""COMPUTED_VALUE"""),1)</f>
        <v>1</v>
      </c>
      <c r="D8003" s="8">
        <f ca="1">IFERROR(__xludf.DUMMYFUNCTION("""COMPUTED_VALUE"""),1)</f>
        <v>1</v>
      </c>
      <c r="E8003" s="2">
        <f ca="1">IFERROR(__xludf.DUMMYFUNCTION("""COMPUTED_VALUE"""),1)</f>
        <v>1</v>
      </c>
    </row>
    <row r="8004" spans="1:5" ht="13">
      <c r="A8004" s="2" t="str">
        <f ca="1">IFERROR(__xludf.DUMMYFUNCTION("""COMPUTED_VALUE"""),"Tassone, Pasquale")</f>
        <v>Tassone, Pasquale</v>
      </c>
      <c r="B8004" s="3">
        <f ca="1">IFERROR(__xludf.DUMMYFUNCTION("""COMPUTED_VALUE"""),1)</f>
        <v>1</v>
      </c>
      <c r="C8004" s="7">
        <f ca="1">IFERROR(__xludf.DUMMYFUNCTION("""COMPUTED_VALUE"""),1)</f>
        <v>1</v>
      </c>
      <c r="D8004" s="8">
        <f ca="1">IFERROR(__xludf.DUMMYFUNCTION("""COMPUTED_VALUE"""),1)</f>
        <v>1</v>
      </c>
      <c r="E8004" s="2">
        <f ca="1">IFERROR(__xludf.DUMMYFUNCTION("""COMPUTED_VALUE"""),1)</f>
        <v>1</v>
      </c>
    </row>
    <row r="8005" spans="1:5" ht="13">
      <c r="A8005" s="8" t="str">
        <f ca="1">IFERROR(__xludf.DUMMYFUNCTION("""COMPUTED_VALUE"""),"Tate, Brian")</f>
        <v>Tate, Brian</v>
      </c>
      <c r="B8005" s="3">
        <f ca="1">IFERROR(__xludf.DUMMYFUNCTION("""COMPUTED_VALUE"""),1)</f>
        <v>1</v>
      </c>
      <c r="C8005" s="7">
        <f ca="1">IFERROR(__xludf.DUMMYFUNCTION("""COMPUTED_VALUE"""),1)</f>
        <v>1</v>
      </c>
      <c r="D8005" s="8">
        <f ca="1">IFERROR(__xludf.DUMMYFUNCTION("""COMPUTED_VALUE"""),1)</f>
        <v>1</v>
      </c>
      <c r="E8005" s="2">
        <f ca="1">IFERROR(__xludf.DUMMYFUNCTION("""COMPUTED_VALUE"""),1)</f>
        <v>1</v>
      </c>
    </row>
    <row r="8006" spans="1:5" ht="13">
      <c r="A8006" s="2" t="str">
        <f ca="1">IFERROR(__xludf.DUMMYFUNCTION("""COMPUTED_VALUE"""),"Tatgenhorst, John")</f>
        <v>Tatgenhorst, John</v>
      </c>
      <c r="B8006" s="3">
        <f ca="1">IFERROR(__xludf.DUMMYFUNCTION("""COMPUTED_VALUE"""),1)</f>
        <v>1</v>
      </c>
      <c r="C8006" s="7">
        <f ca="1">IFERROR(__xludf.DUMMYFUNCTION("""COMPUTED_VALUE"""),1)</f>
        <v>1</v>
      </c>
      <c r="D8006" s="8">
        <f ca="1">IFERROR(__xludf.DUMMYFUNCTION("""COMPUTED_VALUE"""),1)</f>
        <v>1</v>
      </c>
      <c r="E8006" s="2">
        <f ca="1">IFERROR(__xludf.DUMMYFUNCTION("""COMPUTED_VALUE"""),1)</f>
        <v>1</v>
      </c>
    </row>
    <row r="8007" spans="1:5" ht="13">
      <c r="A8007" s="2" t="str">
        <f ca="1">IFERROR(__xludf.DUMMYFUNCTION("""COMPUTED_VALUE"""),"Taube, Scott")</f>
        <v>Taube, Scott</v>
      </c>
      <c r="B8007" s="3">
        <f ca="1">IFERROR(__xludf.DUMMYFUNCTION("""COMPUTED_VALUE"""),1)</f>
        <v>1</v>
      </c>
      <c r="C8007" s="7">
        <f ca="1">IFERROR(__xludf.DUMMYFUNCTION("""COMPUTED_VALUE"""),1)</f>
        <v>1</v>
      </c>
      <c r="D8007" s="8">
        <f ca="1">IFERROR(__xludf.DUMMYFUNCTION("""COMPUTED_VALUE"""),1)</f>
        <v>1</v>
      </c>
      <c r="E8007" s="2">
        <f ca="1">IFERROR(__xludf.DUMMYFUNCTION("""COMPUTED_VALUE"""),1)</f>
        <v>1</v>
      </c>
    </row>
    <row r="8008" spans="1:5" ht="13">
      <c r="A8008" s="2" t="str">
        <f ca="1">IFERROR(__xludf.DUMMYFUNCTION("""COMPUTED_VALUE"""),"Taubert, Wilhelm")</f>
        <v>Taubert, Wilhelm</v>
      </c>
      <c r="B8008" s="2">
        <f ca="1">IFERROR(__xludf.DUMMYFUNCTION("""COMPUTED_VALUE"""),1)</f>
        <v>1</v>
      </c>
      <c r="C8008" s="7">
        <f ca="1">IFERROR(__xludf.DUMMYFUNCTION("""COMPUTED_VALUE"""),1)</f>
        <v>1</v>
      </c>
      <c r="D8008" s="8">
        <f ca="1">IFERROR(__xludf.DUMMYFUNCTION("""COMPUTED_VALUE"""),5)</f>
        <v>5</v>
      </c>
      <c r="E8008" s="2">
        <f ca="1">IFERROR(__xludf.DUMMYFUNCTION("""COMPUTED_VALUE"""),2)</f>
        <v>2</v>
      </c>
    </row>
    <row r="8009" spans="1:5" ht="13">
      <c r="A8009" s="2" t="str">
        <f ca="1">IFERROR(__xludf.DUMMYFUNCTION("""COMPUTED_VALUE"""),"Taurins, Jason")</f>
        <v>Taurins, Jason</v>
      </c>
      <c r="B8009" s="3">
        <f ca="1">IFERROR(__xludf.DUMMYFUNCTION("""COMPUTED_VALUE"""),1)</f>
        <v>1</v>
      </c>
      <c r="C8009" s="7">
        <f ca="1">IFERROR(__xludf.DUMMYFUNCTION("""COMPUTED_VALUE"""),1)</f>
        <v>1</v>
      </c>
      <c r="D8009" s="8">
        <f ca="1">IFERROR(__xludf.DUMMYFUNCTION("""COMPUTED_VALUE"""),1)</f>
        <v>1</v>
      </c>
      <c r="E8009" s="2">
        <f ca="1">IFERROR(__xludf.DUMMYFUNCTION("""COMPUTED_VALUE"""),1)</f>
        <v>1</v>
      </c>
    </row>
    <row r="8010" spans="1:5" ht="13">
      <c r="A8010" s="2" t="str">
        <f ca="1">IFERROR(__xludf.DUMMYFUNCTION("""COMPUTED_VALUE"""),"Tauský, Vilém")</f>
        <v>Tauský, Vilém</v>
      </c>
      <c r="B8010" s="2">
        <f ca="1">IFERROR(__xludf.DUMMYFUNCTION("""COMPUTED_VALUE"""),1)</f>
        <v>1</v>
      </c>
      <c r="C8010" s="7">
        <f ca="1">IFERROR(__xludf.DUMMYFUNCTION("""COMPUTED_VALUE"""),1)</f>
        <v>1</v>
      </c>
      <c r="D8010" s="8">
        <f ca="1">IFERROR(__xludf.DUMMYFUNCTION("""COMPUTED_VALUE"""),5)</f>
        <v>5</v>
      </c>
      <c r="E8010" s="2">
        <f ca="1">IFERROR(__xludf.DUMMYFUNCTION("""COMPUTED_VALUE"""),2)</f>
        <v>2</v>
      </c>
    </row>
    <row r="8011" spans="1:5" ht="13">
      <c r="A8011" s="2" t="str">
        <f ca="1">IFERROR(__xludf.DUMMYFUNCTION("""COMPUTED_VALUE"""),"Tavener, John")</f>
        <v>Tavener, John</v>
      </c>
      <c r="B8011" s="3">
        <f ca="1">IFERROR(__xludf.DUMMYFUNCTION("""COMPUTED_VALUE"""),1)</f>
        <v>1</v>
      </c>
      <c r="C8011" s="7">
        <f ca="1">IFERROR(__xludf.DUMMYFUNCTION("""COMPUTED_VALUE"""),1)</f>
        <v>1</v>
      </c>
      <c r="D8011" s="8">
        <f ca="1">IFERROR(__xludf.DUMMYFUNCTION("""COMPUTED_VALUE"""),5)</f>
        <v>5</v>
      </c>
      <c r="E8011" s="2">
        <f ca="1">IFERROR(__xludf.DUMMYFUNCTION("""COMPUTED_VALUE"""),2)</f>
        <v>2</v>
      </c>
    </row>
    <row r="8012" spans="1:5" ht="13">
      <c r="A8012" s="2" t="str">
        <f ca="1">IFERROR(__xludf.DUMMYFUNCTION("""COMPUTED_VALUE"""),"Taylor, Benjamin")</f>
        <v>Taylor, Benjamin</v>
      </c>
      <c r="B8012" s="3">
        <f ca="1">IFERROR(__xludf.DUMMYFUNCTION("""COMPUTED_VALUE"""),1)</f>
        <v>1</v>
      </c>
      <c r="C8012" s="7">
        <f ca="1">IFERROR(__xludf.DUMMYFUNCTION("""COMPUTED_VALUE"""),1)</f>
        <v>1</v>
      </c>
      <c r="D8012" s="8">
        <f ca="1">IFERROR(__xludf.DUMMYFUNCTION("""COMPUTED_VALUE"""),1)</f>
        <v>1</v>
      </c>
      <c r="E8012" s="2">
        <f ca="1">IFERROR(__xludf.DUMMYFUNCTION("""COMPUTED_VALUE"""),1)</f>
        <v>1</v>
      </c>
    </row>
    <row r="8013" spans="1:5" ht="13">
      <c r="A8013" s="2" t="str">
        <f ca="1">IFERROR(__xludf.DUMMYFUNCTION("""COMPUTED_VALUE"""),"Taylor, Benjamin Dean")</f>
        <v>Taylor, Benjamin Dean</v>
      </c>
      <c r="B8013" s="3">
        <f ca="1">IFERROR(__xludf.DUMMYFUNCTION("""COMPUTED_VALUE"""),1)</f>
        <v>1</v>
      </c>
      <c r="C8013" s="7">
        <f ca="1">IFERROR(__xludf.DUMMYFUNCTION("""COMPUTED_VALUE"""),1)</f>
        <v>1</v>
      </c>
      <c r="D8013" s="8">
        <f ca="1">IFERROR(__xludf.DUMMYFUNCTION("""COMPUTED_VALUE"""),1)</f>
        <v>1</v>
      </c>
      <c r="E8013" s="2">
        <f ca="1">IFERROR(__xludf.DUMMYFUNCTION("""COMPUTED_VALUE"""),1)</f>
        <v>1</v>
      </c>
    </row>
    <row r="8014" spans="1:5" ht="13">
      <c r="A8014" s="2" t="str">
        <f ca="1">IFERROR(__xludf.DUMMYFUNCTION("""COMPUTED_VALUE"""),"Taylor, Clifton")</f>
        <v>Taylor, Clifton</v>
      </c>
      <c r="B8014" s="3">
        <f ca="1">IFERROR(__xludf.DUMMYFUNCTION("""COMPUTED_VALUE"""),1)</f>
        <v>1</v>
      </c>
      <c r="C8014" s="7">
        <f ca="1">IFERROR(__xludf.DUMMYFUNCTION("""COMPUTED_VALUE"""),1)</f>
        <v>1</v>
      </c>
      <c r="D8014" s="8">
        <f ca="1">IFERROR(__xludf.DUMMYFUNCTION("""COMPUTED_VALUE"""),1)</f>
        <v>1</v>
      </c>
      <c r="E8014" s="2">
        <f ca="1">IFERROR(__xludf.DUMMYFUNCTION("""COMPUTED_VALUE"""),1)</f>
        <v>1</v>
      </c>
    </row>
    <row r="8015" spans="1:5" ht="13">
      <c r="A8015" s="8" t="str">
        <f ca="1">IFERROR(__xludf.DUMMYFUNCTION("""COMPUTED_VALUE"""),"Taylor, Deems")</f>
        <v>Taylor, Deems</v>
      </c>
      <c r="B8015" s="3">
        <f ca="1">IFERROR(__xludf.DUMMYFUNCTION("""COMPUTED_VALUE"""),1)</f>
        <v>1</v>
      </c>
      <c r="C8015" s="7">
        <f ca="1">IFERROR(__xludf.DUMMYFUNCTION("""COMPUTED_VALUE"""),1)</f>
        <v>1</v>
      </c>
      <c r="D8015" s="8">
        <f ca="1">IFERROR(__xludf.DUMMYFUNCTION("""COMPUTED_VALUE"""),5)</f>
        <v>5</v>
      </c>
      <c r="E8015" s="2">
        <f ca="1">IFERROR(__xludf.DUMMYFUNCTION("""COMPUTED_VALUE"""),2)</f>
        <v>2</v>
      </c>
    </row>
    <row r="8016" spans="1:5" ht="13">
      <c r="A8016" s="2" t="str">
        <f ca="1">IFERROR(__xludf.DUMMYFUNCTION("""COMPUTED_VALUE"""),"Taylor, J. Siebert")</f>
        <v>Taylor, J. Siebert</v>
      </c>
      <c r="B8016" s="3">
        <f ca="1">IFERROR(__xludf.DUMMYFUNCTION("""COMPUTED_VALUE"""),1)</f>
        <v>1</v>
      </c>
      <c r="C8016" s="7">
        <f ca="1">IFERROR(__xludf.DUMMYFUNCTION("""COMPUTED_VALUE"""),1)</f>
        <v>1</v>
      </c>
      <c r="D8016" s="8">
        <f ca="1">IFERROR(__xludf.DUMMYFUNCTION("""COMPUTED_VALUE"""),5)</f>
        <v>5</v>
      </c>
      <c r="E8016" s="2">
        <f ca="1">IFERROR(__xludf.DUMMYFUNCTION("""COMPUTED_VALUE"""),2)</f>
        <v>2</v>
      </c>
    </row>
    <row r="8017" spans="1:5" ht="13">
      <c r="A8017" s="8" t="str">
        <f ca="1">IFERROR(__xludf.DUMMYFUNCTION("""COMPUTED_VALUE"""),"Taylor, James")</f>
        <v>Taylor, James</v>
      </c>
      <c r="B8017" s="3">
        <f ca="1">IFERROR(__xludf.DUMMYFUNCTION("""COMPUTED_VALUE"""),1)</f>
        <v>1</v>
      </c>
      <c r="C8017" s="7">
        <f ca="1">IFERROR(__xludf.DUMMYFUNCTION("""COMPUTED_VALUE"""),1)</f>
        <v>1</v>
      </c>
      <c r="D8017" s="8">
        <f ca="1">IFERROR(__xludf.DUMMYFUNCTION("""COMPUTED_VALUE"""),5)</f>
        <v>5</v>
      </c>
      <c r="E8017" s="2">
        <f ca="1">IFERROR(__xludf.DUMMYFUNCTION("""COMPUTED_VALUE"""),2)</f>
        <v>2</v>
      </c>
    </row>
    <row r="8018" spans="1:5" ht="13">
      <c r="A8018" s="2" t="str">
        <f ca="1">IFERROR(__xludf.DUMMYFUNCTION("""COMPUTED_VALUE"""),"Taylor, James / Grolnick, Don")</f>
        <v>Taylor, James / Grolnick, Don</v>
      </c>
      <c r="B8018" s="3">
        <f ca="1">IFERROR(__xludf.DUMMYFUNCTION("""COMPUTED_VALUE"""),1)</f>
        <v>1</v>
      </c>
      <c r="C8018" s="7">
        <f ca="1">IFERROR(__xludf.DUMMYFUNCTION("""COMPUTED_VALUE"""),1)</f>
        <v>1</v>
      </c>
      <c r="D8018" s="8">
        <f ca="1">IFERROR(__xludf.DUMMYFUNCTION("""COMPUTED_VALUE"""),1)</f>
        <v>1</v>
      </c>
      <c r="E8018" s="2">
        <f ca="1">IFERROR(__xludf.DUMMYFUNCTION("""COMPUTED_VALUE"""),1)</f>
        <v>1</v>
      </c>
    </row>
    <row r="8019" spans="1:5" ht="13">
      <c r="A8019" s="2" t="str">
        <f ca="1">IFERROR(__xludf.DUMMYFUNCTION("""COMPUTED_VALUE"""),"Taylor, Jay")</f>
        <v>Taylor, Jay</v>
      </c>
      <c r="B8019" s="2">
        <f ca="1">IFERROR(__xludf.DUMMYFUNCTION("""COMPUTED_VALUE"""),1)</f>
        <v>1</v>
      </c>
      <c r="C8019" s="7">
        <f ca="1">IFERROR(__xludf.DUMMYFUNCTION("""COMPUTED_VALUE"""),1)</f>
        <v>1</v>
      </c>
      <c r="D8019" s="8">
        <f ca="1">IFERROR(__xludf.DUMMYFUNCTION("""COMPUTED_VALUE"""),1)</f>
        <v>1</v>
      </c>
      <c r="E8019" s="2">
        <f ca="1">IFERROR(__xludf.DUMMYFUNCTION("""COMPUTED_VALUE"""),1)</f>
        <v>1</v>
      </c>
    </row>
    <row r="8020" spans="1:5" ht="13">
      <c r="A8020" s="2" t="str">
        <f ca="1">IFERROR(__xludf.DUMMYFUNCTION("""COMPUTED_VALUE"""),"Taylor, Jeff")</f>
        <v>Taylor, Jeff</v>
      </c>
      <c r="B8020" s="2">
        <f ca="1">IFERROR(__xludf.DUMMYFUNCTION("""COMPUTED_VALUE"""),1)</f>
        <v>1</v>
      </c>
      <c r="C8020" s="7">
        <f ca="1">IFERROR(__xludf.DUMMYFUNCTION("""COMPUTED_VALUE"""),1)</f>
        <v>1</v>
      </c>
      <c r="D8020" s="8">
        <f ca="1">IFERROR(__xludf.DUMMYFUNCTION("""COMPUTED_VALUE"""),1)</f>
        <v>1</v>
      </c>
      <c r="E8020" s="2">
        <f ca="1">IFERROR(__xludf.DUMMYFUNCTION("""COMPUTED_VALUE"""),1)</f>
        <v>1</v>
      </c>
    </row>
    <row r="8021" spans="1:5" ht="13">
      <c r="A8021" s="2" t="str">
        <f ca="1">IFERROR(__xludf.DUMMYFUNCTION("""COMPUTED_VALUE"""),"Taylor, Jeffrey")</f>
        <v>Taylor, Jeffrey</v>
      </c>
      <c r="B8021" s="3">
        <f ca="1">IFERROR(__xludf.DUMMYFUNCTION("""COMPUTED_VALUE"""),1)</f>
        <v>1</v>
      </c>
      <c r="C8021" s="7">
        <f ca="1">IFERROR(__xludf.DUMMYFUNCTION("""COMPUTED_VALUE"""),1)</f>
        <v>1</v>
      </c>
      <c r="D8021" s="8">
        <f ca="1">IFERROR(__xludf.DUMMYFUNCTION("""COMPUTED_VALUE"""),1)</f>
        <v>1</v>
      </c>
      <c r="E8021" s="2">
        <f ca="1">IFERROR(__xludf.DUMMYFUNCTION("""COMPUTED_VALUE"""),1)</f>
        <v>1</v>
      </c>
    </row>
    <row r="8022" spans="1:5" ht="13">
      <c r="A8022" s="2" t="str">
        <f ca="1">IFERROR(__xludf.DUMMYFUNCTION("""COMPUTED_VALUE"""),"Taylor, Jim")</f>
        <v>Taylor, Jim</v>
      </c>
      <c r="B8022" s="3">
        <f ca="1">IFERROR(__xludf.DUMMYFUNCTION("""COMPUTED_VALUE"""),1)</f>
        <v>1</v>
      </c>
      <c r="C8022" s="7">
        <f ca="1">IFERROR(__xludf.DUMMYFUNCTION("""COMPUTED_VALUE"""),1)</f>
        <v>1</v>
      </c>
      <c r="D8022" s="8">
        <f ca="1">IFERROR(__xludf.DUMMYFUNCTION("""COMPUTED_VALUE"""),1)</f>
        <v>1</v>
      </c>
      <c r="E8022" s="2">
        <f ca="1">IFERROR(__xludf.DUMMYFUNCTION("""COMPUTED_VALUE"""),1)</f>
        <v>1</v>
      </c>
    </row>
    <row r="8023" spans="1:5" ht="13">
      <c r="A8023" s="2" t="str">
        <f ca="1">IFERROR(__xludf.DUMMYFUNCTION("""COMPUTED_VALUE"""),"Taylor, Les")</f>
        <v>Taylor, Les</v>
      </c>
      <c r="B8023" s="2">
        <f ca="1">IFERROR(__xludf.DUMMYFUNCTION("""COMPUTED_VALUE"""),1)</f>
        <v>1</v>
      </c>
      <c r="C8023" s="7">
        <f ca="1">IFERROR(__xludf.DUMMYFUNCTION("""COMPUTED_VALUE"""),1)</f>
        <v>1</v>
      </c>
      <c r="D8023" s="8">
        <f ca="1">IFERROR(__xludf.DUMMYFUNCTION("""COMPUTED_VALUE"""),5)</f>
        <v>5</v>
      </c>
      <c r="E8023" s="2">
        <f ca="1">IFERROR(__xludf.DUMMYFUNCTION("""COMPUTED_VALUE"""),2)</f>
        <v>2</v>
      </c>
    </row>
    <row r="8024" spans="1:5" ht="13">
      <c r="A8024" s="2" t="str">
        <f ca="1">IFERROR(__xludf.DUMMYFUNCTION("""COMPUTED_VALUE"""),"Taylor, Mark")</f>
        <v>Taylor, Mark</v>
      </c>
      <c r="B8024" s="3">
        <f ca="1">IFERROR(__xludf.DUMMYFUNCTION("""COMPUTED_VALUE"""),1)</f>
        <v>1</v>
      </c>
      <c r="C8024" s="7">
        <f ca="1">IFERROR(__xludf.DUMMYFUNCTION("""COMPUTED_VALUE"""),1)</f>
        <v>1</v>
      </c>
      <c r="D8024" s="8">
        <f ca="1">IFERROR(__xludf.DUMMYFUNCTION("""COMPUTED_VALUE"""),1)</f>
        <v>1</v>
      </c>
      <c r="E8024" s="2">
        <f ca="1">IFERROR(__xludf.DUMMYFUNCTION("""COMPUTED_VALUE"""),1)</f>
        <v>1</v>
      </c>
    </row>
    <row r="8025" spans="1:5" ht="13">
      <c r="A8025" s="2" t="str">
        <f ca="1">IFERROR(__xludf.DUMMYFUNCTION("""COMPUTED_VALUE"""),"Taylor, Noah")</f>
        <v>Taylor, Noah</v>
      </c>
      <c r="B8025" s="3">
        <f ca="1">IFERROR(__xludf.DUMMYFUNCTION("""COMPUTED_VALUE"""),1)</f>
        <v>1</v>
      </c>
      <c r="C8025" s="7">
        <f ca="1">IFERROR(__xludf.DUMMYFUNCTION("""COMPUTED_VALUE"""),1)</f>
        <v>1</v>
      </c>
      <c r="D8025" s="8">
        <f ca="1">IFERROR(__xludf.DUMMYFUNCTION("""COMPUTED_VALUE"""),1)</f>
        <v>1</v>
      </c>
      <c r="E8025" s="2">
        <f ca="1">IFERROR(__xludf.DUMMYFUNCTION("""COMPUTED_VALUE"""),1)</f>
        <v>1</v>
      </c>
    </row>
    <row r="8026" spans="1:5" ht="13">
      <c r="A8026" s="2" t="str">
        <f ca="1">IFERROR(__xludf.DUMMYFUNCTION("""COMPUTED_VALUE"""),"Taylor, Phil")</f>
        <v>Taylor, Phil</v>
      </c>
      <c r="B8026" s="3">
        <f ca="1">IFERROR(__xludf.DUMMYFUNCTION("""COMPUTED_VALUE"""),1)</f>
        <v>1</v>
      </c>
      <c r="C8026" s="7">
        <f ca="1">IFERROR(__xludf.DUMMYFUNCTION("""COMPUTED_VALUE"""),1)</f>
        <v>1</v>
      </c>
      <c r="D8026" s="8">
        <f ca="1">IFERROR(__xludf.DUMMYFUNCTION("""COMPUTED_VALUE"""),1)</f>
        <v>1</v>
      </c>
      <c r="E8026" s="2">
        <f ca="1">IFERROR(__xludf.DUMMYFUNCTION("""COMPUTED_VALUE"""),1)</f>
        <v>1</v>
      </c>
    </row>
    <row r="8027" spans="1:5" ht="13">
      <c r="A8027" s="2" t="str">
        <f ca="1">IFERROR(__xludf.DUMMYFUNCTION("""COMPUTED_VALUE"""),"Taylor, Roger")</f>
        <v>Taylor, Roger</v>
      </c>
      <c r="B8027" s="3">
        <f ca="1">IFERROR(__xludf.DUMMYFUNCTION("""COMPUTED_VALUE"""),1)</f>
        <v>1</v>
      </c>
      <c r="C8027" s="7">
        <f ca="1">IFERROR(__xludf.DUMMYFUNCTION("""COMPUTED_VALUE"""),1)</f>
        <v>1</v>
      </c>
      <c r="D8027" s="8">
        <f ca="1">IFERROR(__xludf.DUMMYFUNCTION("""COMPUTED_VALUE"""),1)</f>
        <v>1</v>
      </c>
      <c r="E8027" s="2">
        <f ca="1">IFERROR(__xludf.DUMMYFUNCTION("""COMPUTED_VALUE"""),1)</f>
        <v>1</v>
      </c>
    </row>
    <row r="8028" spans="1:5" ht="13">
      <c r="A8028" s="2" t="str">
        <f ca="1">IFERROR(__xludf.DUMMYFUNCTION("""COMPUTED_VALUE"""),"Taylor, Tell")</f>
        <v>Taylor, Tell</v>
      </c>
      <c r="B8028" s="3">
        <f ca="1">IFERROR(__xludf.DUMMYFUNCTION("""COMPUTED_VALUE"""),1)</f>
        <v>1</v>
      </c>
      <c r="C8028" s="7">
        <f ca="1">IFERROR(__xludf.DUMMYFUNCTION("""COMPUTED_VALUE"""),1)</f>
        <v>1</v>
      </c>
      <c r="D8028" s="8">
        <f ca="1">IFERROR(__xludf.DUMMYFUNCTION("""COMPUTED_VALUE"""),5)</f>
        <v>5</v>
      </c>
      <c r="E8028" s="2">
        <f ca="1">IFERROR(__xludf.DUMMYFUNCTION("""COMPUTED_VALUE"""),2)</f>
        <v>2</v>
      </c>
    </row>
    <row r="8029" spans="1:5" ht="13">
      <c r="A8029" s="2" t="str">
        <f ca="1">IFERROR(__xludf.DUMMYFUNCTION("""COMPUTED_VALUE"""),"Taylor, Tyler")</f>
        <v>Taylor, Tyler</v>
      </c>
      <c r="B8029" s="3">
        <f ca="1">IFERROR(__xludf.DUMMYFUNCTION("""COMPUTED_VALUE"""),1)</f>
        <v>1</v>
      </c>
      <c r="C8029" s="7">
        <f ca="1">IFERROR(__xludf.DUMMYFUNCTION("""COMPUTED_VALUE"""),1)</f>
        <v>1</v>
      </c>
      <c r="D8029" s="8">
        <f ca="1">IFERROR(__xludf.DUMMYFUNCTION("""COMPUTED_VALUE"""),1)</f>
        <v>1</v>
      </c>
      <c r="E8029" s="2">
        <f ca="1">IFERROR(__xludf.DUMMYFUNCTION("""COMPUTED_VALUE"""),1)</f>
        <v>1</v>
      </c>
    </row>
    <row r="8030" spans="1:5" ht="13">
      <c r="A8030" s="2" t="str">
        <f ca="1">IFERROR(__xludf.DUMMYFUNCTION("""COMPUTED_VALUE"""),"Taylor, Zack")</f>
        <v>Taylor, Zack</v>
      </c>
      <c r="B8030" s="3">
        <f ca="1">IFERROR(__xludf.DUMMYFUNCTION("""COMPUTED_VALUE"""),1)</f>
        <v>1</v>
      </c>
      <c r="C8030" s="7">
        <f ca="1">IFERROR(__xludf.DUMMYFUNCTION("""COMPUTED_VALUE"""),1)</f>
        <v>1</v>
      </c>
      <c r="D8030" s="8">
        <f ca="1">IFERROR(__xludf.DUMMYFUNCTION("""COMPUTED_VALUE"""),1)</f>
        <v>1</v>
      </c>
      <c r="E8030" s="2">
        <f ca="1">IFERROR(__xludf.DUMMYFUNCTION("""COMPUTED_VALUE"""),1)</f>
        <v>1</v>
      </c>
    </row>
    <row r="8031" spans="1:5" ht="13">
      <c r="A8031" s="2" t="str">
        <f ca="1">IFERROR(__xludf.DUMMYFUNCTION("""COMPUTED_VALUE"""),"Tchaikovsky, Peter Ilich")</f>
        <v>Tchaikovsky, Peter Ilich</v>
      </c>
      <c r="B8031" s="3">
        <f ca="1">IFERROR(__xludf.DUMMYFUNCTION("""COMPUTED_VALUE"""),1)</f>
        <v>1</v>
      </c>
      <c r="C8031" s="7">
        <f ca="1">IFERROR(__xludf.DUMMYFUNCTION("""COMPUTED_VALUE"""),1)</f>
        <v>1</v>
      </c>
      <c r="D8031" s="8">
        <f ca="1">IFERROR(__xludf.DUMMYFUNCTION("""COMPUTED_VALUE"""),5)</f>
        <v>5</v>
      </c>
      <c r="E8031" s="2">
        <f ca="1">IFERROR(__xludf.DUMMYFUNCTION("""COMPUTED_VALUE"""),2)</f>
        <v>2</v>
      </c>
    </row>
    <row r="8032" spans="1:5" ht="13">
      <c r="A8032" s="2" t="str">
        <f ca="1">IFERROR(__xludf.DUMMYFUNCTION("""COMPUTED_VALUE"""),"Tcherepnin, Alexander")</f>
        <v>Tcherepnin, Alexander</v>
      </c>
      <c r="B8032" s="3">
        <f ca="1">IFERROR(__xludf.DUMMYFUNCTION("""COMPUTED_VALUE"""),1)</f>
        <v>1</v>
      </c>
      <c r="C8032" s="7">
        <f ca="1">IFERROR(__xludf.DUMMYFUNCTION("""COMPUTED_VALUE"""),1)</f>
        <v>1</v>
      </c>
      <c r="D8032" s="8">
        <f ca="1">IFERROR(__xludf.DUMMYFUNCTION("""COMPUTED_VALUE"""),5)</f>
        <v>5</v>
      </c>
      <c r="E8032" s="2">
        <f ca="1">IFERROR(__xludf.DUMMYFUNCTION("""COMPUTED_VALUE"""),2)</f>
        <v>2</v>
      </c>
    </row>
    <row r="8033" spans="1:5" ht="13">
      <c r="A8033" s="2" t="str">
        <f ca="1">IFERROR(__xludf.DUMMYFUNCTION("""COMPUTED_VALUE"""),"Tcherepnin, Nikolai")</f>
        <v>Tcherepnin, Nikolai</v>
      </c>
      <c r="B8033" s="3">
        <f ca="1">IFERROR(__xludf.DUMMYFUNCTION("""COMPUTED_VALUE"""),1)</f>
        <v>1</v>
      </c>
      <c r="C8033" s="7">
        <f ca="1">IFERROR(__xludf.DUMMYFUNCTION("""COMPUTED_VALUE"""),1)</f>
        <v>1</v>
      </c>
      <c r="D8033" s="8">
        <f ca="1">IFERROR(__xludf.DUMMYFUNCTION("""COMPUTED_VALUE"""),5)</f>
        <v>5</v>
      </c>
      <c r="E8033" s="2">
        <f ca="1">IFERROR(__xludf.DUMMYFUNCTION("""COMPUTED_VALUE"""),2)</f>
        <v>2</v>
      </c>
    </row>
    <row r="8034" spans="1:5" ht="13">
      <c r="A8034" s="2" t="str">
        <f ca="1">IFERROR(__xludf.DUMMYFUNCTION("""COMPUTED_VALUE"""),"Teague, William")</f>
        <v>Teague, William</v>
      </c>
      <c r="B8034" s="2">
        <f ca="1">IFERROR(__xludf.DUMMYFUNCTION("""COMPUTED_VALUE"""),1)</f>
        <v>1</v>
      </c>
      <c r="C8034" s="7">
        <f ca="1">IFERROR(__xludf.DUMMYFUNCTION("""COMPUTED_VALUE"""),1)</f>
        <v>1</v>
      </c>
      <c r="D8034" s="8">
        <f ca="1">IFERROR(__xludf.DUMMYFUNCTION("""COMPUTED_VALUE"""),5)</f>
        <v>5</v>
      </c>
      <c r="E8034" s="2">
        <f ca="1">IFERROR(__xludf.DUMMYFUNCTION("""COMPUTED_VALUE"""),2)</f>
        <v>2</v>
      </c>
    </row>
    <row r="8035" spans="1:5" ht="13">
      <c r="A8035" s="2" t="str">
        <f ca="1">IFERROR(__xludf.DUMMYFUNCTION("""COMPUTED_VALUE"""),"Teas, David")</f>
        <v>Teas, David</v>
      </c>
      <c r="B8035" s="3">
        <f ca="1">IFERROR(__xludf.DUMMYFUNCTION("""COMPUTED_VALUE"""),1)</f>
        <v>1</v>
      </c>
      <c r="C8035" s="7">
        <f ca="1">IFERROR(__xludf.DUMMYFUNCTION("""COMPUTED_VALUE"""),1)</f>
        <v>1</v>
      </c>
      <c r="D8035" s="8">
        <f ca="1">IFERROR(__xludf.DUMMYFUNCTION("""COMPUTED_VALUE"""),1)</f>
        <v>1</v>
      </c>
      <c r="E8035" s="2">
        <f ca="1">IFERROR(__xludf.DUMMYFUNCTION("""COMPUTED_VALUE"""),1)</f>
        <v>1</v>
      </c>
    </row>
    <row r="8036" spans="1:5" ht="13">
      <c r="A8036" s="2" t="str">
        <f ca="1">IFERROR(__xludf.DUMMYFUNCTION("""COMPUTED_VALUE"""),"Tebay, Jonathan C.")</f>
        <v>Tebay, Jonathan C.</v>
      </c>
      <c r="B8036" s="3">
        <f ca="1">IFERROR(__xludf.DUMMYFUNCTION("""COMPUTED_VALUE"""),1)</f>
        <v>1</v>
      </c>
      <c r="C8036" s="7">
        <f ca="1">IFERROR(__xludf.DUMMYFUNCTION("""COMPUTED_VALUE"""),1)</f>
        <v>1</v>
      </c>
      <c r="D8036" s="8">
        <f ca="1">IFERROR(__xludf.DUMMYFUNCTION("""COMPUTED_VALUE"""),1)</f>
        <v>1</v>
      </c>
      <c r="E8036" s="2">
        <f ca="1">IFERROR(__xludf.DUMMYFUNCTION("""COMPUTED_VALUE"""),1)</f>
        <v>1</v>
      </c>
    </row>
    <row r="8037" spans="1:5" ht="13">
      <c r="A8037" s="2" t="str">
        <f ca="1">IFERROR(__xludf.DUMMYFUNCTION("""COMPUTED_VALUE"""),"Tedrow, Alex")</f>
        <v>Tedrow, Alex</v>
      </c>
      <c r="B8037" s="2">
        <f ca="1">IFERROR(__xludf.DUMMYFUNCTION("""COMPUTED_VALUE"""),1)</f>
        <v>1</v>
      </c>
      <c r="C8037" s="7">
        <f ca="1">IFERROR(__xludf.DUMMYFUNCTION("""COMPUTED_VALUE"""),1)</f>
        <v>1</v>
      </c>
      <c r="D8037" s="8">
        <f ca="1">IFERROR(__xludf.DUMMYFUNCTION("""COMPUTED_VALUE"""),1)</f>
        <v>1</v>
      </c>
      <c r="E8037" s="2">
        <f ca="1">IFERROR(__xludf.DUMMYFUNCTION("""COMPUTED_VALUE"""),1)</f>
        <v>1</v>
      </c>
    </row>
    <row r="8038" spans="1:5" ht="13">
      <c r="A8038" s="2" t="str">
        <f ca="1">IFERROR(__xludf.DUMMYFUNCTION("""COMPUTED_VALUE"""),"Teichler, R. Christopher")</f>
        <v>Teichler, R. Christopher</v>
      </c>
      <c r="B8038" s="3">
        <f ca="1">IFERROR(__xludf.DUMMYFUNCTION("""COMPUTED_VALUE"""),1)</f>
        <v>1</v>
      </c>
      <c r="C8038" s="7">
        <f ca="1">IFERROR(__xludf.DUMMYFUNCTION("""COMPUTED_VALUE"""),1)</f>
        <v>1</v>
      </c>
      <c r="D8038" s="8">
        <f ca="1">IFERROR(__xludf.DUMMYFUNCTION("""COMPUTED_VALUE"""),1)</f>
        <v>1</v>
      </c>
      <c r="E8038" s="2">
        <f ca="1">IFERROR(__xludf.DUMMYFUNCTION("""COMPUTED_VALUE"""),1)</f>
        <v>1</v>
      </c>
    </row>
    <row r="8039" spans="1:5" ht="13">
      <c r="A8039" s="2" t="str">
        <f ca="1">IFERROR(__xludf.DUMMYFUNCTION("""COMPUTED_VALUE"""),"Teike, Carl")</f>
        <v>Teike, Carl</v>
      </c>
      <c r="B8039" s="3">
        <f ca="1">IFERROR(__xludf.DUMMYFUNCTION("""COMPUTED_VALUE"""),1)</f>
        <v>1</v>
      </c>
      <c r="C8039" s="7">
        <f ca="1">IFERROR(__xludf.DUMMYFUNCTION("""COMPUTED_VALUE"""),1)</f>
        <v>1</v>
      </c>
      <c r="D8039" s="8">
        <f ca="1">IFERROR(__xludf.DUMMYFUNCTION("""COMPUTED_VALUE"""),5)</f>
        <v>5</v>
      </c>
      <c r="E8039" s="2">
        <f ca="1">IFERROR(__xludf.DUMMYFUNCTION("""COMPUTED_VALUE"""),2)</f>
        <v>2</v>
      </c>
    </row>
    <row r="8040" spans="1:5" ht="13">
      <c r="A8040" s="8" t="str">
        <f ca="1">IFERROR(__xludf.DUMMYFUNCTION("""COMPUTED_VALUE"""),"Tejeda, Alonso de")</f>
        <v>Tejeda, Alonso de</v>
      </c>
      <c r="B8040" s="3">
        <f ca="1">IFERROR(__xludf.DUMMYFUNCTION("""COMPUTED_VALUE"""),1)</f>
        <v>1</v>
      </c>
      <c r="C8040" s="7">
        <f ca="1">IFERROR(__xludf.DUMMYFUNCTION("""COMPUTED_VALUE"""),1)</f>
        <v>1</v>
      </c>
      <c r="D8040" s="8">
        <f ca="1">IFERROR(__xludf.DUMMYFUNCTION("""COMPUTED_VALUE"""),5)</f>
        <v>5</v>
      </c>
      <c r="E8040" s="2">
        <f ca="1">IFERROR(__xludf.DUMMYFUNCTION("""COMPUTED_VALUE"""),2)</f>
        <v>2</v>
      </c>
    </row>
    <row r="8041" spans="1:5" ht="13">
      <c r="A8041" s="2" t="str">
        <f ca="1">IFERROR(__xludf.DUMMYFUNCTION("""COMPUTED_VALUE"""),"Telemann, Georg Philipp")</f>
        <v>Telemann, Georg Philipp</v>
      </c>
      <c r="B8041" s="3">
        <f ca="1">IFERROR(__xludf.DUMMYFUNCTION("""COMPUTED_VALUE"""),1)</f>
        <v>1</v>
      </c>
      <c r="C8041" s="7">
        <f ca="1">IFERROR(__xludf.DUMMYFUNCTION("""COMPUTED_VALUE"""),1)</f>
        <v>1</v>
      </c>
      <c r="D8041" s="8">
        <f ca="1">IFERROR(__xludf.DUMMYFUNCTION("""COMPUTED_VALUE"""),5)</f>
        <v>5</v>
      </c>
      <c r="E8041" s="2">
        <f ca="1">IFERROR(__xludf.DUMMYFUNCTION("""COMPUTED_VALUE"""),2)</f>
        <v>2</v>
      </c>
    </row>
    <row r="8042" spans="1:5" ht="13">
      <c r="A8042" s="8" t="str">
        <f ca="1">IFERROR(__xludf.DUMMYFUNCTION("""COMPUTED_VALUE"""),"Tellier, A.")</f>
        <v>Tellier, A.</v>
      </c>
      <c r="B8042" s="3">
        <f ca="1">IFERROR(__xludf.DUMMYFUNCTION("""COMPUTED_VALUE"""),1)</f>
        <v>1</v>
      </c>
      <c r="C8042" s="7">
        <f ca="1">IFERROR(__xludf.DUMMYFUNCTION("""COMPUTED_VALUE"""),1)</f>
        <v>1</v>
      </c>
      <c r="D8042" s="8">
        <f ca="1">IFERROR(__xludf.DUMMYFUNCTION("""COMPUTED_VALUE"""),5)</f>
        <v>5</v>
      </c>
      <c r="E8042" s="2">
        <f ca="1">IFERROR(__xludf.DUMMYFUNCTION("""COMPUTED_VALUE"""),2)</f>
        <v>2</v>
      </c>
    </row>
    <row r="8043" spans="1:5" ht="13">
      <c r="A8043" s="2" t="str">
        <f ca="1">IFERROR(__xludf.DUMMYFUNCTION("""COMPUTED_VALUE"""),"Temianka, Henri")</f>
        <v>Temianka, Henri</v>
      </c>
      <c r="B8043" s="3">
        <f ca="1">IFERROR(__xludf.DUMMYFUNCTION("""COMPUTED_VALUE"""),1)</f>
        <v>1</v>
      </c>
      <c r="C8043" s="7">
        <f ca="1">IFERROR(__xludf.DUMMYFUNCTION("""COMPUTED_VALUE"""),1)</f>
        <v>1</v>
      </c>
      <c r="D8043" s="8">
        <f ca="1">IFERROR(__xludf.DUMMYFUNCTION("""COMPUTED_VALUE"""),5)</f>
        <v>5</v>
      </c>
      <c r="E8043" s="2">
        <f ca="1">IFERROR(__xludf.DUMMYFUNCTION("""COMPUTED_VALUE"""),2)</f>
        <v>2</v>
      </c>
    </row>
    <row r="8044" spans="1:5" ht="13">
      <c r="A8044" s="8" t="str">
        <f ca="1">IFERROR(__xludf.DUMMYFUNCTION("""COMPUTED_VALUE"""),"Temmingh, Roelof")</f>
        <v>Temmingh, Roelof</v>
      </c>
      <c r="B8044" s="3">
        <f ca="1">IFERROR(__xludf.DUMMYFUNCTION("""COMPUTED_VALUE"""),1)</f>
        <v>1</v>
      </c>
      <c r="C8044" s="7">
        <f ca="1">IFERROR(__xludf.DUMMYFUNCTION("""COMPUTED_VALUE"""),1)</f>
        <v>1</v>
      </c>
      <c r="D8044" s="8">
        <f ca="1">IFERROR(__xludf.DUMMYFUNCTION("""COMPUTED_VALUE"""),5)</f>
        <v>5</v>
      </c>
      <c r="E8044" s="2">
        <f ca="1">IFERROR(__xludf.DUMMYFUNCTION("""COMPUTED_VALUE"""),2)</f>
        <v>2</v>
      </c>
    </row>
    <row r="8045" spans="1:5" ht="13">
      <c r="A8045" s="2" t="str">
        <f ca="1">IFERROR(__xludf.DUMMYFUNCTION("""COMPUTED_VALUE"""),"Temperton, Rod")</f>
        <v>Temperton, Rod</v>
      </c>
      <c r="B8045" s="3">
        <f ca="1">IFERROR(__xludf.DUMMYFUNCTION("""COMPUTED_VALUE"""),1)</f>
        <v>1</v>
      </c>
      <c r="C8045" s="7">
        <f ca="1">IFERROR(__xludf.DUMMYFUNCTION("""COMPUTED_VALUE"""),1)</f>
        <v>1</v>
      </c>
      <c r="D8045" s="8">
        <f ca="1">IFERROR(__xludf.DUMMYFUNCTION("""COMPUTED_VALUE"""),5)</f>
        <v>5</v>
      </c>
      <c r="E8045" s="2">
        <f ca="1">IFERROR(__xludf.DUMMYFUNCTION("""COMPUTED_VALUE"""),2)</f>
        <v>2</v>
      </c>
    </row>
    <row r="8046" spans="1:5" ht="13">
      <c r="A8046" s="2" t="str">
        <f ca="1">IFERROR(__xludf.DUMMYFUNCTION("""COMPUTED_VALUE"""),"Temple, Sebastian")</f>
        <v>Temple, Sebastian</v>
      </c>
      <c r="B8046" s="3">
        <f ca="1">IFERROR(__xludf.DUMMYFUNCTION("""COMPUTED_VALUE"""),1)</f>
        <v>1</v>
      </c>
      <c r="C8046" s="7">
        <f ca="1">IFERROR(__xludf.DUMMYFUNCTION("""COMPUTED_VALUE"""),1)</f>
        <v>1</v>
      </c>
      <c r="D8046" s="8">
        <f ca="1">IFERROR(__xludf.DUMMYFUNCTION("""COMPUTED_VALUE"""),5)</f>
        <v>5</v>
      </c>
      <c r="E8046" s="2">
        <f ca="1">IFERROR(__xludf.DUMMYFUNCTION("""COMPUTED_VALUE"""),2)</f>
        <v>2</v>
      </c>
    </row>
    <row r="8047" spans="1:5" ht="13">
      <c r="A8047" s="2" t="str">
        <f ca="1">IFERROR(__xludf.DUMMYFUNCTION("""COMPUTED_VALUE"""),"Templeton, Mark")</f>
        <v>Templeton, Mark</v>
      </c>
      <c r="B8047" s="3">
        <f ca="1">IFERROR(__xludf.DUMMYFUNCTION("""COMPUTED_VALUE"""),1)</f>
        <v>1</v>
      </c>
      <c r="C8047" s="7">
        <f ca="1">IFERROR(__xludf.DUMMYFUNCTION("""COMPUTED_VALUE"""),1)</f>
        <v>1</v>
      </c>
      <c r="D8047" s="8">
        <f ca="1">IFERROR(__xludf.DUMMYFUNCTION("""COMPUTED_VALUE"""),1)</f>
        <v>1</v>
      </c>
      <c r="E8047" s="2">
        <f ca="1">IFERROR(__xludf.DUMMYFUNCTION("""COMPUTED_VALUE"""),1)</f>
        <v>1</v>
      </c>
    </row>
    <row r="8048" spans="1:5" ht="13">
      <c r="A8048" s="2" t="str">
        <f ca="1">IFERROR(__xludf.DUMMYFUNCTION("""COMPUTED_VALUE"""),"Templeton, Rod")</f>
        <v>Templeton, Rod</v>
      </c>
      <c r="B8048" s="3">
        <f ca="1">IFERROR(__xludf.DUMMYFUNCTION("""COMPUTED_VALUE"""),1)</f>
        <v>1</v>
      </c>
      <c r="C8048" s="7">
        <f ca="1">IFERROR(__xludf.DUMMYFUNCTION("""COMPUTED_VALUE"""),1)</f>
        <v>1</v>
      </c>
      <c r="D8048" s="8">
        <f ca="1">IFERROR(__xludf.DUMMYFUNCTION("""COMPUTED_VALUE"""),5)</f>
        <v>5</v>
      </c>
      <c r="E8048" s="2">
        <f ca="1">IFERROR(__xludf.DUMMYFUNCTION("""COMPUTED_VALUE"""),2)</f>
        <v>2</v>
      </c>
    </row>
    <row r="8049" spans="1:5" ht="13">
      <c r="A8049" s="8" t="str">
        <f ca="1">IFERROR(__xludf.DUMMYFUNCTION("""COMPUTED_VALUE"""),"Tenaglia, Antonio")</f>
        <v>Tenaglia, Antonio</v>
      </c>
      <c r="B8049" s="3">
        <f ca="1">IFERROR(__xludf.DUMMYFUNCTION("""COMPUTED_VALUE"""),1)</f>
        <v>1</v>
      </c>
      <c r="C8049" s="7">
        <f ca="1">IFERROR(__xludf.DUMMYFUNCTION("""COMPUTED_VALUE"""),1)</f>
        <v>1</v>
      </c>
      <c r="D8049" s="8">
        <f ca="1">IFERROR(__xludf.DUMMYFUNCTION("""COMPUTED_VALUE"""),5)</f>
        <v>5</v>
      </c>
      <c r="E8049" s="2">
        <f ca="1">IFERROR(__xludf.DUMMYFUNCTION("""COMPUTED_VALUE"""),2)</f>
        <v>2</v>
      </c>
    </row>
    <row r="8050" spans="1:5" ht="13">
      <c r="A8050" s="8" t="str">
        <f ca="1">IFERROR(__xludf.DUMMYFUNCTION("""COMPUTED_VALUE"""),"Tenaglia, Antonio Francesco")</f>
        <v>Tenaglia, Antonio Francesco</v>
      </c>
      <c r="B8050" s="3">
        <f ca="1">IFERROR(__xludf.DUMMYFUNCTION("""COMPUTED_VALUE"""),1)</f>
        <v>1</v>
      </c>
      <c r="C8050" s="7">
        <f ca="1">IFERROR(__xludf.DUMMYFUNCTION("""COMPUTED_VALUE"""),1)</f>
        <v>1</v>
      </c>
      <c r="D8050" s="8">
        <f ca="1">IFERROR(__xludf.DUMMYFUNCTION("""COMPUTED_VALUE"""),5)</f>
        <v>5</v>
      </c>
      <c r="E8050" s="2">
        <f ca="1">IFERROR(__xludf.DUMMYFUNCTION("""COMPUTED_VALUE"""),2)</f>
        <v>2</v>
      </c>
    </row>
    <row r="8051" spans="1:5" ht="13">
      <c r="A8051" s="2" t="str">
        <f ca="1">IFERROR(__xludf.DUMMYFUNCTION("""COMPUTED_VALUE"""),"Tenney, James")</f>
        <v>Tenney, James</v>
      </c>
      <c r="B8051" s="3">
        <f ca="1">IFERROR(__xludf.DUMMYFUNCTION("""COMPUTED_VALUE"""),1)</f>
        <v>1</v>
      </c>
      <c r="C8051" s="7">
        <f ca="1">IFERROR(__xludf.DUMMYFUNCTION("""COMPUTED_VALUE"""),1)</f>
        <v>1</v>
      </c>
      <c r="D8051" s="8">
        <f ca="1">IFERROR(__xludf.DUMMYFUNCTION("""COMPUTED_VALUE"""),5)</f>
        <v>5</v>
      </c>
      <c r="E8051" s="2">
        <f ca="1">IFERROR(__xludf.DUMMYFUNCTION("""COMPUTED_VALUE"""),2)</f>
        <v>2</v>
      </c>
    </row>
    <row r="8052" spans="1:5" ht="13">
      <c r="A8052" s="2" t="str">
        <f ca="1">IFERROR(__xludf.DUMMYFUNCTION("""COMPUTED_VALUE"""),"Tennyson, Alfred Lord / Ray, Jamey")</f>
        <v>Tennyson, Alfred Lord / Ray, Jamey</v>
      </c>
      <c r="B8052" s="3">
        <f ca="1">IFERROR(__xludf.DUMMYFUNCTION("""COMPUTED_VALUE"""),1)</f>
        <v>1</v>
      </c>
      <c r="C8052" s="7">
        <f ca="1">IFERROR(__xludf.DUMMYFUNCTION("""COMPUTED_VALUE"""),1)</f>
        <v>1</v>
      </c>
      <c r="D8052" s="8">
        <f ca="1">IFERROR(__xludf.DUMMYFUNCTION("""COMPUTED_VALUE"""),5)</f>
        <v>5</v>
      </c>
      <c r="E8052" s="2">
        <f ca="1">IFERROR(__xludf.DUMMYFUNCTION("""COMPUTED_VALUE"""),2)</f>
        <v>2</v>
      </c>
    </row>
    <row r="8053" spans="1:5" ht="13">
      <c r="A8053" s="2" t="str">
        <f ca="1">IFERROR(__xludf.DUMMYFUNCTION("""COMPUTED_VALUE"""),"Tepfer, Dan")</f>
        <v>Tepfer, Dan</v>
      </c>
      <c r="B8053" s="2">
        <f ca="1">IFERROR(__xludf.DUMMYFUNCTION("""COMPUTED_VALUE"""),1)</f>
        <v>1</v>
      </c>
      <c r="C8053" s="2">
        <f ca="1">IFERROR(__xludf.DUMMYFUNCTION("""COMPUTED_VALUE"""),1)</f>
        <v>1</v>
      </c>
      <c r="D8053" s="8">
        <f ca="1">IFERROR(__xludf.DUMMYFUNCTION("""COMPUTED_VALUE"""),1)</f>
        <v>1</v>
      </c>
      <c r="E8053" s="2">
        <f ca="1">IFERROR(__xludf.DUMMYFUNCTION("""COMPUTED_VALUE"""),1)</f>
        <v>1</v>
      </c>
    </row>
    <row r="8054" spans="1:5" ht="13">
      <c r="A8054" s="2" t="str">
        <f ca="1">IFERROR(__xludf.DUMMYFUNCTION("""COMPUTED_VALUE"""),"ter Veldhuis, Jacob")</f>
        <v>ter Veldhuis, Jacob</v>
      </c>
      <c r="B8054" s="3">
        <f ca="1">IFERROR(__xludf.DUMMYFUNCTION("""COMPUTED_VALUE"""),1)</f>
        <v>1</v>
      </c>
      <c r="C8054" s="7">
        <f ca="1">IFERROR(__xludf.DUMMYFUNCTION("""COMPUTED_VALUE"""),1)</f>
        <v>1</v>
      </c>
      <c r="D8054" s="8">
        <f ca="1">IFERROR(__xludf.DUMMYFUNCTION("""COMPUTED_VALUE"""),1)</f>
        <v>1</v>
      </c>
      <c r="E8054" s="2">
        <f ca="1">IFERROR(__xludf.DUMMYFUNCTION("""COMPUTED_VALUE"""),1)</f>
        <v>1</v>
      </c>
    </row>
    <row r="8055" spans="1:5" ht="13">
      <c r="A8055" s="2" t="str">
        <f ca="1">IFERROR(__xludf.DUMMYFUNCTION("""COMPUTED_VALUE"""),"Terhune, Charles")</f>
        <v>Terhune, Charles</v>
      </c>
      <c r="B8055" s="3">
        <f ca="1">IFERROR(__xludf.DUMMYFUNCTION("""COMPUTED_VALUE"""),1)</f>
        <v>1</v>
      </c>
      <c r="C8055" s="7">
        <f ca="1">IFERROR(__xludf.DUMMYFUNCTION("""COMPUTED_VALUE"""),1)</f>
        <v>1</v>
      </c>
      <c r="D8055" s="8">
        <f ca="1">IFERROR(__xludf.DUMMYFUNCTION("""COMPUTED_VALUE"""),1)</f>
        <v>1</v>
      </c>
      <c r="E8055" s="2">
        <f ca="1">IFERROR(__xludf.DUMMYFUNCTION("""COMPUTED_VALUE"""),1)</f>
        <v>1</v>
      </c>
    </row>
    <row r="8056" spans="1:5" ht="13">
      <c r="A8056" s="2" t="str">
        <f ca="1">IFERROR(__xludf.DUMMYFUNCTION("""COMPUTED_VALUE"""),"Terracini, Paul")</f>
        <v>Terracini, Paul</v>
      </c>
      <c r="B8056" s="3">
        <f ca="1">IFERROR(__xludf.DUMMYFUNCTION("""COMPUTED_VALUE"""),1)</f>
        <v>1</v>
      </c>
      <c r="C8056" s="7">
        <f ca="1">IFERROR(__xludf.DUMMYFUNCTION("""COMPUTED_VALUE"""),1)</f>
        <v>1</v>
      </c>
      <c r="D8056" s="8">
        <f ca="1">IFERROR(__xludf.DUMMYFUNCTION("""COMPUTED_VALUE"""),1)</f>
        <v>1</v>
      </c>
      <c r="E8056" s="2">
        <f ca="1">IFERROR(__xludf.DUMMYFUNCTION("""COMPUTED_VALUE"""),1)</f>
        <v>1</v>
      </c>
    </row>
    <row r="8057" spans="1:5" ht="13">
      <c r="A8057" s="2" t="str">
        <f ca="1">IFERROR(__xludf.DUMMYFUNCTION("""COMPUTED_VALUE"""),"Terrazas, Wilfrido")</f>
        <v>Terrazas, Wilfrido</v>
      </c>
      <c r="B8057" s="2">
        <f ca="1">IFERROR(__xludf.DUMMYFUNCTION("""COMPUTED_VALUE"""),1)</f>
        <v>1</v>
      </c>
      <c r="C8057" s="2">
        <f ca="1">IFERROR(__xludf.DUMMYFUNCTION("""COMPUTED_VALUE"""),1)</f>
        <v>1</v>
      </c>
      <c r="D8057" s="8">
        <f ca="1">IFERROR(__xludf.DUMMYFUNCTION("""COMPUTED_VALUE"""),1)</f>
        <v>1</v>
      </c>
      <c r="E8057" s="2">
        <f ca="1">IFERROR(__xludf.DUMMYFUNCTION("""COMPUTED_VALUE"""),1)</f>
        <v>1</v>
      </c>
    </row>
    <row r="8058" spans="1:5" ht="13">
      <c r="A8058" s="2" t="str">
        <f ca="1">IFERROR(__xludf.DUMMYFUNCTION("""COMPUTED_VALUE"""),"Terrett, Keith")</f>
        <v>Terrett, Keith</v>
      </c>
      <c r="B8058" s="2">
        <f ca="1">IFERROR(__xludf.DUMMYFUNCTION("""COMPUTED_VALUE"""),1)</f>
        <v>1</v>
      </c>
      <c r="C8058" s="2">
        <f ca="1">IFERROR(__xludf.DUMMYFUNCTION("""COMPUTED_VALUE"""),1)</f>
        <v>1</v>
      </c>
      <c r="D8058" s="8">
        <f ca="1">IFERROR(__xludf.DUMMYFUNCTION("""COMPUTED_VALUE"""),1)</f>
        <v>1</v>
      </c>
      <c r="E8058" s="2">
        <f ca="1">IFERROR(__xludf.DUMMYFUNCTION("""COMPUTED_VALUE"""),1)</f>
        <v>1</v>
      </c>
    </row>
    <row r="8059" spans="1:5" ht="13">
      <c r="A8059" s="2" t="str">
        <f ca="1">IFERROR(__xludf.DUMMYFUNCTION("""COMPUTED_VALUE"""),"Terry, Peter")</f>
        <v>Terry, Peter</v>
      </c>
      <c r="B8059" s="3">
        <f ca="1">IFERROR(__xludf.DUMMYFUNCTION("""COMPUTED_VALUE"""),1)</f>
        <v>1</v>
      </c>
      <c r="C8059" s="7">
        <f ca="1">IFERROR(__xludf.DUMMYFUNCTION("""COMPUTED_VALUE"""),1)</f>
        <v>1</v>
      </c>
      <c r="D8059" s="8">
        <f ca="1">IFERROR(__xludf.DUMMYFUNCTION("""COMPUTED_VALUE"""),1)</f>
        <v>1</v>
      </c>
      <c r="E8059" s="2">
        <f ca="1">IFERROR(__xludf.DUMMYFUNCTION("""COMPUTED_VALUE"""),1)</f>
        <v>1</v>
      </c>
    </row>
    <row r="8060" spans="1:5" ht="13">
      <c r="A8060" s="2" t="str">
        <f ca="1">IFERROR(__xludf.DUMMYFUNCTION("""COMPUTED_VALUE"""),"Teschner, Melichor")</f>
        <v>Teschner, Melichor</v>
      </c>
      <c r="B8060" s="3">
        <f ca="1">IFERROR(__xludf.DUMMYFUNCTION("""COMPUTED_VALUE"""),1)</f>
        <v>1</v>
      </c>
      <c r="C8060" s="7">
        <f ca="1">IFERROR(__xludf.DUMMYFUNCTION("""COMPUTED_VALUE"""),1)</f>
        <v>1</v>
      </c>
      <c r="D8060" s="8">
        <f ca="1">IFERROR(__xludf.DUMMYFUNCTION("""COMPUTED_VALUE"""),5)</f>
        <v>5</v>
      </c>
      <c r="E8060" s="2">
        <f ca="1">IFERROR(__xludf.DUMMYFUNCTION("""COMPUTED_VALUE"""),2)</f>
        <v>2</v>
      </c>
    </row>
    <row r="8061" spans="1:5" ht="13">
      <c r="A8061" s="2" t="str">
        <f ca="1">IFERROR(__xludf.DUMMYFUNCTION("""COMPUTED_VALUE"""),"Teter, Dane")</f>
        <v>Teter, Dane</v>
      </c>
      <c r="B8061" s="3">
        <f ca="1">IFERROR(__xludf.DUMMYFUNCTION("""COMPUTED_VALUE"""),1)</f>
        <v>1</v>
      </c>
      <c r="C8061" s="7">
        <f ca="1">IFERROR(__xludf.DUMMYFUNCTION("""COMPUTED_VALUE"""),1)</f>
        <v>1</v>
      </c>
      <c r="D8061" s="8">
        <f ca="1">IFERROR(__xludf.DUMMYFUNCTION("""COMPUTED_VALUE"""),1)</f>
        <v>1</v>
      </c>
      <c r="E8061" s="2">
        <f ca="1">IFERROR(__xludf.DUMMYFUNCTION("""COMPUTED_VALUE"""),1)</f>
        <v>1</v>
      </c>
    </row>
    <row r="8062" spans="1:5" ht="13">
      <c r="A8062" s="2" t="str">
        <f ca="1">IFERROR(__xludf.DUMMYFUNCTION("""COMPUTED_VALUE"""),"Teuber, Fred")</f>
        <v>Teuber, Fred</v>
      </c>
      <c r="B8062" s="3">
        <f ca="1">IFERROR(__xludf.DUMMYFUNCTION("""COMPUTED_VALUE"""),1)</f>
        <v>1</v>
      </c>
      <c r="C8062" s="7">
        <f ca="1">IFERROR(__xludf.DUMMYFUNCTION("""COMPUTED_VALUE"""),1)</f>
        <v>1</v>
      </c>
      <c r="D8062" s="8">
        <f ca="1">IFERROR(__xludf.DUMMYFUNCTION("""COMPUTED_VALUE"""),5)</f>
        <v>5</v>
      </c>
      <c r="E8062" s="2">
        <f ca="1">IFERROR(__xludf.DUMMYFUNCTION("""COMPUTED_VALUE"""),2)</f>
        <v>2</v>
      </c>
    </row>
    <row r="8063" spans="1:5" ht="13">
      <c r="A8063" s="2" t="str">
        <f ca="1">IFERROR(__xludf.DUMMYFUNCTION("""COMPUTED_VALUE"""),"Texidor, Jaime")</f>
        <v>Texidor, Jaime</v>
      </c>
      <c r="B8063" s="3">
        <f ca="1">IFERROR(__xludf.DUMMYFUNCTION("""COMPUTED_VALUE"""),1)</f>
        <v>1</v>
      </c>
      <c r="C8063" s="7">
        <f ca="1">IFERROR(__xludf.DUMMYFUNCTION("""COMPUTED_VALUE"""),1)</f>
        <v>1</v>
      </c>
      <c r="D8063" s="8">
        <f ca="1">IFERROR(__xludf.DUMMYFUNCTION("""COMPUTED_VALUE"""),5)</f>
        <v>5</v>
      </c>
      <c r="E8063" s="2">
        <f ca="1">IFERROR(__xludf.DUMMYFUNCTION("""COMPUTED_VALUE"""),2)</f>
        <v>2</v>
      </c>
    </row>
    <row r="8064" spans="1:5" ht="13">
      <c r="A8064" s="2" t="str">
        <f ca="1">IFERROR(__xludf.DUMMYFUNCTION("""COMPUTED_VALUE"""),"Tharaldson, Timothy")</f>
        <v>Tharaldson, Timothy</v>
      </c>
      <c r="B8064" s="2">
        <f ca="1">IFERROR(__xludf.DUMMYFUNCTION("""COMPUTED_VALUE"""),1)</f>
        <v>1</v>
      </c>
      <c r="C8064" s="7">
        <f ca="1">IFERROR(__xludf.DUMMYFUNCTION("""COMPUTED_VALUE"""),1)</f>
        <v>1</v>
      </c>
      <c r="D8064" s="8">
        <f ca="1">IFERROR(__xludf.DUMMYFUNCTION("""COMPUTED_VALUE"""),1)</f>
        <v>1</v>
      </c>
      <c r="E8064" s="2">
        <f ca="1">IFERROR(__xludf.DUMMYFUNCTION("""COMPUTED_VALUE"""),1)</f>
        <v>1</v>
      </c>
    </row>
    <row r="8065" spans="1:5" ht="13">
      <c r="A8065" s="8" t="str">
        <f ca="1">IFERROR(__xludf.DUMMYFUNCTION("""COMPUTED_VALUE"""),"Tharaldson, Timothy Jon")</f>
        <v>Tharaldson, Timothy Jon</v>
      </c>
      <c r="B8065" s="3">
        <f ca="1">IFERROR(__xludf.DUMMYFUNCTION("""COMPUTED_VALUE"""),1)</f>
        <v>1</v>
      </c>
      <c r="C8065" s="7">
        <f ca="1">IFERROR(__xludf.DUMMYFUNCTION("""COMPUTED_VALUE"""),1)</f>
        <v>1</v>
      </c>
      <c r="D8065" s="8">
        <f ca="1">IFERROR(__xludf.DUMMYFUNCTION("""COMPUTED_VALUE"""),1)</f>
        <v>1</v>
      </c>
      <c r="E8065" s="2">
        <f ca="1">IFERROR(__xludf.DUMMYFUNCTION("""COMPUTED_VALUE"""),1)</f>
        <v>1</v>
      </c>
    </row>
    <row r="8066" spans="1:5" ht="13">
      <c r="A8066" s="2" t="str">
        <f ca="1">IFERROR(__xludf.DUMMYFUNCTION("""COMPUTED_VALUE"""),"Thärichen, Werner")</f>
        <v>Thärichen, Werner</v>
      </c>
      <c r="B8066" s="3">
        <f ca="1">IFERROR(__xludf.DUMMYFUNCTION("""COMPUTED_VALUE"""),1)</f>
        <v>1</v>
      </c>
      <c r="C8066" s="7">
        <f ca="1">IFERROR(__xludf.DUMMYFUNCTION("""COMPUTED_VALUE"""),1)</f>
        <v>1</v>
      </c>
      <c r="D8066" s="8">
        <f ca="1">IFERROR(__xludf.DUMMYFUNCTION("""COMPUTED_VALUE"""),5)</f>
        <v>5</v>
      </c>
      <c r="E8066" s="2">
        <f ca="1">IFERROR(__xludf.DUMMYFUNCTION("""COMPUTED_VALUE"""),2)</f>
        <v>2</v>
      </c>
    </row>
    <row r="8067" spans="1:5" ht="13">
      <c r="A8067" s="2" t="str">
        <f ca="1">IFERROR(__xludf.DUMMYFUNCTION("""COMPUTED_VALUE"""),"The Beatles")</f>
        <v>The Beatles</v>
      </c>
      <c r="B8067" s="3">
        <f ca="1">IFERROR(__xludf.DUMMYFUNCTION("""COMPUTED_VALUE"""),1)</f>
        <v>1</v>
      </c>
      <c r="C8067" s="7">
        <f ca="1">IFERROR(__xludf.DUMMYFUNCTION("""COMPUTED_VALUE"""),1)</f>
        <v>1</v>
      </c>
      <c r="D8067" s="8">
        <f ca="1">IFERROR(__xludf.DUMMYFUNCTION("""COMPUTED_VALUE"""),5)</f>
        <v>5</v>
      </c>
      <c r="E8067" s="2">
        <f ca="1">IFERROR(__xludf.DUMMYFUNCTION("""COMPUTED_VALUE"""),2)</f>
        <v>2</v>
      </c>
    </row>
    <row r="8068" spans="1:5" ht="13">
      <c r="A8068" s="2" t="str">
        <f ca="1">IFERROR(__xludf.DUMMYFUNCTION("""COMPUTED_VALUE"""),"Theimer, Axel")</f>
        <v>Theimer, Axel</v>
      </c>
      <c r="B8068" s="3">
        <f ca="1">IFERROR(__xludf.DUMMYFUNCTION("""COMPUTED_VALUE"""),1)</f>
        <v>1</v>
      </c>
      <c r="C8068" s="7">
        <f ca="1">IFERROR(__xludf.DUMMYFUNCTION("""COMPUTED_VALUE"""),1)</f>
        <v>1</v>
      </c>
      <c r="D8068" s="8">
        <f ca="1">IFERROR(__xludf.DUMMYFUNCTION("""COMPUTED_VALUE"""),1)</f>
        <v>1</v>
      </c>
      <c r="E8068" s="2">
        <f ca="1">IFERROR(__xludf.DUMMYFUNCTION("""COMPUTED_VALUE"""),1)</f>
        <v>1</v>
      </c>
    </row>
    <row r="8069" spans="1:5" ht="13">
      <c r="A8069" s="2" t="str">
        <f ca="1">IFERROR(__xludf.DUMMYFUNCTION("""COMPUTED_VALUE"""),"Theisen, Alan")</f>
        <v>Theisen, Alan</v>
      </c>
      <c r="B8069" s="3">
        <f ca="1">IFERROR(__xludf.DUMMYFUNCTION("""COMPUTED_VALUE"""),1)</f>
        <v>1</v>
      </c>
      <c r="C8069" s="7">
        <f ca="1">IFERROR(__xludf.DUMMYFUNCTION("""COMPUTED_VALUE"""),1)</f>
        <v>1</v>
      </c>
      <c r="D8069" s="8">
        <f ca="1">IFERROR(__xludf.DUMMYFUNCTION("""COMPUTED_VALUE"""),1)</f>
        <v>1</v>
      </c>
      <c r="E8069" s="2">
        <f ca="1">IFERROR(__xludf.DUMMYFUNCTION("""COMPUTED_VALUE"""),1)</f>
        <v>1</v>
      </c>
    </row>
    <row r="8070" spans="1:5" ht="13">
      <c r="A8070" s="8" t="str">
        <f ca="1">IFERROR(__xludf.DUMMYFUNCTION("""COMPUTED_VALUE"""),"Theodorakis, Mikis")</f>
        <v>Theodorakis, Mikis</v>
      </c>
      <c r="B8070" s="3">
        <f ca="1">IFERROR(__xludf.DUMMYFUNCTION("""COMPUTED_VALUE"""),1)</f>
        <v>1</v>
      </c>
      <c r="C8070" s="7">
        <f ca="1">IFERROR(__xludf.DUMMYFUNCTION("""COMPUTED_VALUE"""),1)</f>
        <v>1</v>
      </c>
      <c r="D8070" s="8">
        <f ca="1">IFERROR(__xludf.DUMMYFUNCTION("""COMPUTED_VALUE"""),5)</f>
        <v>5</v>
      </c>
      <c r="E8070" s="2">
        <f ca="1">IFERROR(__xludf.DUMMYFUNCTION("""COMPUTED_VALUE"""),2)</f>
        <v>2</v>
      </c>
    </row>
    <row r="8071" spans="1:5" ht="13">
      <c r="A8071" s="2" t="str">
        <f ca="1">IFERROR(__xludf.DUMMYFUNCTION("""COMPUTED_VALUE"""),"Theofanidis, Christopher")</f>
        <v>Theofanidis, Christopher</v>
      </c>
      <c r="B8071" s="3">
        <f ca="1">IFERROR(__xludf.DUMMYFUNCTION("""COMPUTED_VALUE"""),1)</f>
        <v>1</v>
      </c>
      <c r="C8071" s="7">
        <f ca="1">IFERROR(__xludf.DUMMYFUNCTION("""COMPUTED_VALUE"""),1)</f>
        <v>1</v>
      </c>
      <c r="D8071" s="8">
        <f ca="1">IFERROR(__xludf.DUMMYFUNCTION("""COMPUTED_VALUE"""),1)</f>
        <v>1</v>
      </c>
      <c r="E8071" s="2">
        <f ca="1">IFERROR(__xludf.DUMMYFUNCTION("""COMPUTED_VALUE"""),1)</f>
        <v>1</v>
      </c>
    </row>
    <row r="8072" spans="1:5" ht="13">
      <c r="A8072" s="2" t="str">
        <f ca="1">IFERROR(__xludf.DUMMYFUNCTION("""COMPUTED_VALUE"""),"Thibodeaux, Jason")</f>
        <v>Thibodeaux, Jason</v>
      </c>
      <c r="B8072" s="3">
        <f ca="1">IFERROR(__xludf.DUMMYFUNCTION("""COMPUTED_VALUE"""),1)</f>
        <v>1</v>
      </c>
      <c r="C8072" s="7">
        <f ca="1">IFERROR(__xludf.DUMMYFUNCTION("""COMPUTED_VALUE"""),1)</f>
        <v>1</v>
      </c>
      <c r="D8072" s="8">
        <f ca="1">IFERROR(__xludf.DUMMYFUNCTION("""COMPUTED_VALUE"""),1)</f>
        <v>1</v>
      </c>
      <c r="E8072" s="2">
        <f ca="1">IFERROR(__xludf.DUMMYFUNCTION("""COMPUTED_VALUE"""),1)</f>
        <v>1</v>
      </c>
    </row>
    <row r="8073" spans="1:5" ht="13">
      <c r="A8073" s="8" t="str">
        <f ca="1">IFERROR(__xludf.DUMMYFUNCTION("""COMPUTED_VALUE"""),"Thiele, Bob")</f>
        <v>Thiele, Bob</v>
      </c>
      <c r="B8073" s="3">
        <f ca="1">IFERROR(__xludf.DUMMYFUNCTION("""COMPUTED_VALUE"""),1)</f>
        <v>1</v>
      </c>
      <c r="C8073" s="7">
        <f ca="1">IFERROR(__xludf.DUMMYFUNCTION("""COMPUTED_VALUE"""),1)</f>
        <v>1</v>
      </c>
      <c r="D8073" s="8">
        <f ca="1">IFERROR(__xludf.DUMMYFUNCTION("""COMPUTED_VALUE"""),5)</f>
        <v>5</v>
      </c>
      <c r="E8073" s="2">
        <f ca="1">IFERROR(__xludf.DUMMYFUNCTION("""COMPUTED_VALUE"""),2)</f>
        <v>2</v>
      </c>
    </row>
    <row r="8074" spans="1:5" ht="13">
      <c r="A8074" s="2" t="str">
        <f ca="1">IFERROR(__xludf.DUMMYFUNCTION("""COMPUTED_VALUE"""),"Thielemans, Toots / Gimbel, Norman")</f>
        <v>Thielemans, Toots / Gimbel, Norman</v>
      </c>
      <c r="B8074" s="3">
        <f ca="1">IFERROR(__xludf.DUMMYFUNCTION("""COMPUTED_VALUE"""),1)</f>
        <v>1</v>
      </c>
      <c r="C8074" s="7">
        <f ca="1">IFERROR(__xludf.DUMMYFUNCTION("""COMPUTED_VALUE"""),1)</f>
        <v>1</v>
      </c>
      <c r="D8074" s="8">
        <f ca="1">IFERROR(__xludf.DUMMYFUNCTION("""COMPUTED_VALUE"""),5)</f>
        <v>5</v>
      </c>
      <c r="E8074" s="2">
        <f ca="1">IFERROR(__xludf.DUMMYFUNCTION("""COMPUTED_VALUE"""),2)</f>
        <v>2</v>
      </c>
    </row>
    <row r="8075" spans="1:5" ht="13">
      <c r="A8075" s="2" t="str">
        <f ca="1">IFERROR(__xludf.DUMMYFUNCTION("""COMPUTED_VALUE"""),"Thielman")</f>
        <v>Thielman</v>
      </c>
      <c r="B8075" s="3">
        <f ca="1">IFERROR(__xludf.DUMMYFUNCTION("""COMPUTED_VALUE"""),1)</f>
        <v>1</v>
      </c>
      <c r="C8075" s="7">
        <f ca="1">IFERROR(__xludf.DUMMYFUNCTION("""COMPUTED_VALUE"""),1)</f>
        <v>1</v>
      </c>
      <c r="D8075" s="8">
        <f ca="1">IFERROR(__xludf.DUMMYFUNCTION("""COMPUTED_VALUE"""),5)</f>
        <v>5</v>
      </c>
      <c r="E8075" s="2">
        <f ca="1">IFERROR(__xludf.DUMMYFUNCTION("""COMPUTED_VALUE"""),2)</f>
        <v>2</v>
      </c>
    </row>
    <row r="8076" spans="1:5" ht="13">
      <c r="A8076" s="2" t="str">
        <f ca="1">IFERROR(__xludf.DUMMYFUNCTION("""COMPUTED_VALUE"""),"Thielman, Ronald")</f>
        <v>Thielman, Ronald</v>
      </c>
      <c r="B8076" s="2">
        <f ca="1">IFERROR(__xludf.DUMMYFUNCTION("""COMPUTED_VALUE"""),1)</f>
        <v>1</v>
      </c>
      <c r="C8076" s="7">
        <f ca="1">IFERROR(__xludf.DUMMYFUNCTION("""COMPUTED_VALUE"""),1)</f>
        <v>1</v>
      </c>
      <c r="D8076" s="8">
        <f ca="1">IFERROR(__xludf.DUMMYFUNCTION("""COMPUTED_VALUE"""),5)</f>
        <v>5</v>
      </c>
      <c r="E8076" s="2">
        <f ca="1">IFERROR(__xludf.DUMMYFUNCTION("""COMPUTED_VALUE"""),2)</f>
        <v>2</v>
      </c>
    </row>
    <row r="8077" spans="1:5" ht="13">
      <c r="A8077" s="2" t="str">
        <f ca="1">IFERROR(__xludf.DUMMYFUNCTION("""COMPUTED_VALUE"""),"Thiessen, Edgar")</f>
        <v>Thiessen, Edgar</v>
      </c>
      <c r="B8077" s="2">
        <f ca="1">IFERROR(__xludf.DUMMYFUNCTION("""COMPUTED_VALUE"""),1)</f>
        <v>1</v>
      </c>
      <c r="C8077" s="7">
        <f ca="1">IFERROR(__xludf.DUMMYFUNCTION("""COMPUTED_VALUE"""),1)</f>
        <v>1</v>
      </c>
      <c r="D8077" s="8">
        <f ca="1">IFERROR(__xludf.DUMMYFUNCTION("""COMPUTED_VALUE"""),5)</f>
        <v>5</v>
      </c>
      <c r="E8077" s="2">
        <f ca="1">IFERROR(__xludf.DUMMYFUNCTION("""COMPUTED_VALUE"""),2)</f>
        <v>2</v>
      </c>
    </row>
    <row r="8078" spans="1:5" ht="13">
      <c r="A8078" s="2" t="str">
        <f ca="1">IFERROR(__xludf.DUMMYFUNCTION("""COMPUTED_VALUE"""),"Thile, Chris")</f>
        <v>Thile, Chris</v>
      </c>
      <c r="B8078" s="3">
        <f ca="1">IFERROR(__xludf.DUMMYFUNCTION("""COMPUTED_VALUE"""),1)</f>
        <v>1</v>
      </c>
      <c r="C8078" s="7">
        <f ca="1">IFERROR(__xludf.DUMMYFUNCTION("""COMPUTED_VALUE"""),1)</f>
        <v>1</v>
      </c>
      <c r="D8078" s="8">
        <f ca="1">IFERROR(__xludf.DUMMYFUNCTION("""COMPUTED_VALUE"""),1)</f>
        <v>1</v>
      </c>
      <c r="E8078" s="2">
        <f ca="1">IFERROR(__xludf.DUMMYFUNCTION("""COMPUTED_VALUE"""),1)</f>
        <v>1</v>
      </c>
    </row>
    <row r="8079" spans="1:5" ht="13">
      <c r="A8079" s="8" t="str">
        <f ca="1">IFERROR(__xludf.DUMMYFUNCTION("""COMPUTED_VALUE"""),"Thiman, Eric")</f>
        <v>Thiman, Eric</v>
      </c>
      <c r="B8079" s="3">
        <f ca="1">IFERROR(__xludf.DUMMYFUNCTION("""COMPUTED_VALUE"""),1)</f>
        <v>1</v>
      </c>
      <c r="C8079" s="7">
        <f ca="1">IFERROR(__xludf.DUMMYFUNCTION("""COMPUTED_VALUE"""),1)</f>
        <v>1</v>
      </c>
      <c r="D8079" s="8">
        <f ca="1">IFERROR(__xludf.DUMMYFUNCTION("""COMPUTED_VALUE"""),5)</f>
        <v>5</v>
      </c>
      <c r="E8079" s="2">
        <f ca="1">IFERROR(__xludf.DUMMYFUNCTION("""COMPUTED_VALUE"""),2)</f>
        <v>2</v>
      </c>
    </row>
    <row r="8080" spans="1:5" ht="13">
      <c r="A8080" s="8" t="str">
        <f ca="1">IFERROR(__xludf.DUMMYFUNCTION("""COMPUTED_VALUE"""),"Thoburn, Crawford")</f>
        <v>Thoburn, Crawford</v>
      </c>
      <c r="B8080" s="3">
        <f ca="1">IFERROR(__xludf.DUMMYFUNCTION("""COMPUTED_VALUE"""),1)</f>
        <v>1</v>
      </c>
      <c r="C8080" s="7">
        <f ca="1">IFERROR(__xludf.DUMMYFUNCTION("""COMPUTED_VALUE"""),1)</f>
        <v>1</v>
      </c>
      <c r="D8080" s="8">
        <f ca="1">IFERROR(__xludf.DUMMYFUNCTION("""COMPUTED_VALUE"""),5)</f>
        <v>5</v>
      </c>
      <c r="E8080" s="2">
        <f ca="1">IFERROR(__xludf.DUMMYFUNCTION("""COMPUTED_VALUE"""),2)</f>
        <v>2</v>
      </c>
    </row>
    <row r="8081" spans="1:5" ht="13">
      <c r="A8081" s="2" t="str">
        <f ca="1">IFERROR(__xludf.DUMMYFUNCTION("""COMPUTED_VALUE"""),"Thomas, Ambroise")</f>
        <v>Thomas, Ambroise</v>
      </c>
      <c r="B8081" s="3">
        <f ca="1">IFERROR(__xludf.DUMMYFUNCTION("""COMPUTED_VALUE"""),1)</f>
        <v>1</v>
      </c>
      <c r="C8081" s="7">
        <f ca="1">IFERROR(__xludf.DUMMYFUNCTION("""COMPUTED_VALUE"""),1)</f>
        <v>1</v>
      </c>
      <c r="D8081" s="8">
        <f ca="1">IFERROR(__xludf.DUMMYFUNCTION("""COMPUTED_VALUE"""),5)</f>
        <v>5</v>
      </c>
      <c r="E8081" s="3">
        <f ca="1">IFERROR(__xludf.DUMMYFUNCTION("""COMPUTED_VALUE"""),2)</f>
        <v>2</v>
      </c>
    </row>
    <row r="8082" spans="1:5" ht="13">
      <c r="A8082" s="2" t="str">
        <f ca="1">IFERROR(__xludf.DUMMYFUNCTION("""COMPUTED_VALUE"""),"Thomas, Ben")</f>
        <v>Thomas, Ben</v>
      </c>
      <c r="B8082" s="3">
        <f ca="1">IFERROR(__xludf.DUMMYFUNCTION("""COMPUTED_VALUE"""),1)</f>
        <v>1</v>
      </c>
      <c r="C8082" s="7">
        <f ca="1">IFERROR(__xludf.DUMMYFUNCTION("""COMPUTED_VALUE"""),1)</f>
        <v>1</v>
      </c>
      <c r="D8082" s="8">
        <f ca="1">IFERROR(__xludf.DUMMYFUNCTION("""COMPUTED_VALUE"""),1)</f>
        <v>1</v>
      </c>
      <c r="E8082" s="2">
        <f ca="1">IFERROR(__xludf.DUMMYFUNCTION("""COMPUTED_VALUE"""),1)</f>
        <v>1</v>
      </c>
    </row>
    <row r="8083" spans="1:5" ht="13">
      <c r="A8083" s="2" t="str">
        <f ca="1">IFERROR(__xludf.DUMMYFUNCTION("""COMPUTED_VALUE"""),"Thomas, Bill")</f>
        <v>Thomas, Bill</v>
      </c>
      <c r="B8083" s="3">
        <f ca="1">IFERROR(__xludf.DUMMYFUNCTION("""COMPUTED_VALUE"""),1)</f>
        <v>1</v>
      </c>
      <c r="C8083" s="7">
        <f ca="1">IFERROR(__xludf.DUMMYFUNCTION("""COMPUTED_VALUE"""),1)</f>
        <v>1</v>
      </c>
      <c r="D8083" s="8">
        <f ca="1">IFERROR(__xludf.DUMMYFUNCTION("""COMPUTED_VALUE"""),1)</f>
        <v>1</v>
      </c>
      <c r="E8083" s="2">
        <f ca="1">IFERROR(__xludf.DUMMYFUNCTION("""COMPUTED_VALUE"""),1)</f>
        <v>1</v>
      </c>
    </row>
    <row r="8084" spans="1:5" ht="13">
      <c r="A8084" s="2" t="str">
        <f ca="1">IFERROR(__xludf.DUMMYFUNCTION("""COMPUTED_VALUE"""),"Thomas, Chris")</f>
        <v>Thomas, Chris</v>
      </c>
      <c r="B8084" s="3">
        <f ca="1">IFERROR(__xludf.DUMMYFUNCTION("""COMPUTED_VALUE"""),1)</f>
        <v>1</v>
      </c>
      <c r="C8084" s="7">
        <f ca="1">IFERROR(__xludf.DUMMYFUNCTION("""COMPUTED_VALUE"""),1)</f>
        <v>1</v>
      </c>
      <c r="D8084" s="8">
        <f ca="1">IFERROR(__xludf.DUMMYFUNCTION("""COMPUTED_VALUE"""),1)</f>
        <v>1</v>
      </c>
      <c r="E8084" s="2">
        <f ca="1">IFERROR(__xludf.DUMMYFUNCTION("""COMPUTED_VALUE"""),1)</f>
        <v>1</v>
      </c>
    </row>
    <row r="8085" spans="1:5" ht="13">
      <c r="A8085" s="2" t="str">
        <f ca="1">IFERROR(__xludf.DUMMYFUNCTION("""COMPUTED_VALUE"""),"Thomas, David Evan")</f>
        <v>Thomas, David Evan</v>
      </c>
      <c r="B8085" s="3">
        <f ca="1">IFERROR(__xludf.DUMMYFUNCTION("""COMPUTED_VALUE"""),1)</f>
        <v>1</v>
      </c>
      <c r="C8085" s="7">
        <f ca="1">IFERROR(__xludf.DUMMYFUNCTION("""COMPUTED_VALUE"""),1)</f>
        <v>1</v>
      </c>
      <c r="D8085" s="8">
        <f ca="1">IFERROR(__xludf.DUMMYFUNCTION("""COMPUTED_VALUE"""),1)</f>
        <v>1</v>
      </c>
      <c r="E8085" s="2">
        <f ca="1">IFERROR(__xludf.DUMMYFUNCTION("""COMPUTED_VALUE"""),1)</f>
        <v>1</v>
      </c>
    </row>
    <row r="8086" spans="1:5" ht="13">
      <c r="A8086" s="8" t="str">
        <f ca="1">IFERROR(__xludf.DUMMYFUNCTION("""COMPUTED_VALUE"""),"Thomas, Elmer")</f>
        <v>Thomas, Elmer</v>
      </c>
      <c r="B8086" s="9">
        <f ca="1">IFERROR(__xludf.DUMMYFUNCTION("""COMPUTED_VALUE"""),1)</f>
        <v>1</v>
      </c>
      <c r="C8086" s="7">
        <f ca="1">IFERROR(__xludf.DUMMYFUNCTION("""COMPUTED_VALUE"""),1)</f>
        <v>1</v>
      </c>
      <c r="D8086" s="8">
        <f ca="1">IFERROR(__xludf.DUMMYFUNCTION("""COMPUTED_VALUE"""),5)</f>
        <v>5</v>
      </c>
      <c r="E8086" s="9">
        <f ca="1">IFERROR(__xludf.DUMMYFUNCTION("""COMPUTED_VALUE"""),2)</f>
        <v>2</v>
      </c>
    </row>
    <row r="8087" spans="1:5" ht="13">
      <c r="A8087" s="8" t="str">
        <f ca="1">IFERROR(__xludf.DUMMYFUNCTION("""COMPUTED_VALUE"""),"Thomas, J.P.")</f>
        <v>Thomas, J.P.</v>
      </c>
      <c r="B8087" s="3">
        <f ca="1">IFERROR(__xludf.DUMMYFUNCTION("""COMPUTED_VALUE"""),1)</f>
        <v>1</v>
      </c>
      <c r="C8087" s="7">
        <f ca="1">IFERROR(__xludf.DUMMYFUNCTION("""COMPUTED_VALUE"""),1)</f>
        <v>1</v>
      </c>
      <c r="D8087" s="8">
        <f ca="1">IFERROR(__xludf.DUMMYFUNCTION("""COMPUTED_VALUE"""),1)</f>
        <v>1</v>
      </c>
      <c r="E8087" s="2">
        <f ca="1">IFERROR(__xludf.DUMMYFUNCTION("""COMPUTED_VALUE"""),1)</f>
        <v>1</v>
      </c>
    </row>
    <row r="8088" spans="1:5" ht="13">
      <c r="A8088" s="2" t="str">
        <f ca="1">IFERROR(__xludf.DUMMYFUNCTION("""COMPUTED_VALUE"""),"Thomas, John Rogers")</f>
        <v>Thomas, John Rogers</v>
      </c>
      <c r="B8088" s="3">
        <f ca="1">IFERROR(__xludf.DUMMYFUNCTION("""COMPUTED_VALUE"""),1)</f>
        <v>1</v>
      </c>
      <c r="C8088" s="7">
        <f ca="1">IFERROR(__xludf.DUMMYFUNCTION("""COMPUTED_VALUE"""),1)</f>
        <v>1</v>
      </c>
      <c r="D8088" s="8">
        <f ca="1">IFERROR(__xludf.DUMMYFUNCTION("""COMPUTED_VALUE"""),5)</f>
        <v>5</v>
      </c>
      <c r="E8088" s="2">
        <f ca="1">IFERROR(__xludf.DUMMYFUNCTION("""COMPUTED_VALUE"""),2)</f>
        <v>2</v>
      </c>
    </row>
    <row r="8089" spans="1:5" ht="13">
      <c r="A8089" s="2" t="str">
        <f ca="1">IFERROR(__xludf.DUMMYFUNCTION("""COMPUTED_VALUE"""),"Thomas, Mark")</f>
        <v>Thomas, Mark</v>
      </c>
      <c r="B8089" s="2">
        <f ca="1">IFERROR(__xludf.DUMMYFUNCTION("""COMPUTED_VALUE"""),1)</f>
        <v>1</v>
      </c>
      <c r="C8089" s="7">
        <f ca="1">IFERROR(__xludf.DUMMYFUNCTION("""COMPUTED_VALUE"""),1)</f>
        <v>1</v>
      </c>
      <c r="D8089" s="8">
        <f ca="1">IFERROR(__xludf.DUMMYFUNCTION("""COMPUTED_VALUE"""),5)</f>
        <v>5</v>
      </c>
      <c r="E8089" s="2">
        <f ca="1">IFERROR(__xludf.DUMMYFUNCTION("""COMPUTED_VALUE"""),2)</f>
        <v>2</v>
      </c>
    </row>
    <row r="8090" spans="1:5" ht="13">
      <c r="A8090" s="2" t="str">
        <f ca="1">IFERROR(__xludf.DUMMYFUNCTION("""COMPUTED_VALUE"""),"Thomas, Michael Tilson")</f>
        <v>Thomas, Michael Tilson</v>
      </c>
      <c r="B8090" s="3">
        <f ca="1">IFERROR(__xludf.DUMMYFUNCTION("""COMPUTED_VALUE"""),1)</f>
        <v>1</v>
      </c>
      <c r="C8090" s="7">
        <f ca="1">IFERROR(__xludf.DUMMYFUNCTION("""COMPUTED_VALUE"""),1)</f>
        <v>1</v>
      </c>
      <c r="D8090" s="8">
        <f ca="1">IFERROR(__xludf.DUMMYFUNCTION("""COMPUTED_VALUE"""),1)</f>
        <v>1</v>
      </c>
      <c r="E8090" s="2">
        <f ca="1">IFERROR(__xludf.DUMMYFUNCTION("""COMPUTED_VALUE"""),1)</f>
        <v>1</v>
      </c>
    </row>
    <row r="8091" spans="1:5" ht="13">
      <c r="A8091" s="2" t="str">
        <f ca="1">IFERROR(__xludf.DUMMYFUNCTION("""COMPUTED_VALUE"""),"Thomas, Paul David")</f>
        <v>Thomas, Paul David</v>
      </c>
      <c r="B8091" s="3">
        <f ca="1">IFERROR(__xludf.DUMMYFUNCTION("""COMPUTED_VALUE"""),1)</f>
        <v>1</v>
      </c>
      <c r="C8091" s="7">
        <f ca="1">IFERROR(__xludf.DUMMYFUNCTION("""COMPUTED_VALUE"""),1)</f>
        <v>1</v>
      </c>
      <c r="D8091" s="8">
        <f ca="1">IFERROR(__xludf.DUMMYFUNCTION("""COMPUTED_VALUE"""),1)</f>
        <v>1</v>
      </c>
      <c r="E8091" s="2">
        <f ca="1">IFERROR(__xludf.DUMMYFUNCTION("""COMPUTED_VALUE"""),1)</f>
        <v>1</v>
      </c>
    </row>
    <row r="8092" spans="1:5" ht="13">
      <c r="A8092" s="2" t="str">
        <f ca="1">IFERROR(__xludf.DUMMYFUNCTION("""COMPUTED_VALUE"""),"Thomas, Richard Pearson")</f>
        <v>Thomas, Richard Pearson</v>
      </c>
      <c r="B8092" s="3">
        <f ca="1">IFERROR(__xludf.DUMMYFUNCTION("""COMPUTED_VALUE"""),1)</f>
        <v>1</v>
      </c>
      <c r="C8092" s="7">
        <f ca="1">IFERROR(__xludf.DUMMYFUNCTION("""COMPUTED_VALUE"""),1)</f>
        <v>1</v>
      </c>
      <c r="D8092" s="8">
        <f ca="1">IFERROR(__xludf.DUMMYFUNCTION("""COMPUTED_VALUE"""),1)</f>
        <v>1</v>
      </c>
      <c r="E8092" s="2">
        <f ca="1">IFERROR(__xludf.DUMMYFUNCTION("""COMPUTED_VALUE"""),1)</f>
        <v>1</v>
      </c>
    </row>
    <row r="8093" spans="1:5" ht="13">
      <c r="A8093" s="8" t="str">
        <f ca="1">IFERROR(__xludf.DUMMYFUNCTION("""COMPUTED_VALUE"""),"Thomas, T. Donley")</f>
        <v>Thomas, T. Donley</v>
      </c>
      <c r="B8093" s="3">
        <f ca="1">IFERROR(__xludf.DUMMYFUNCTION("""COMPUTED_VALUE"""),1)</f>
        <v>1</v>
      </c>
      <c r="C8093" s="7">
        <f ca="1">IFERROR(__xludf.DUMMYFUNCTION("""COMPUTED_VALUE"""),1)</f>
        <v>1</v>
      </c>
      <c r="D8093" s="8">
        <f ca="1">IFERROR(__xludf.DUMMYFUNCTION("""COMPUTED_VALUE"""),1)</f>
        <v>1</v>
      </c>
      <c r="E8093" s="2">
        <f ca="1">IFERROR(__xludf.DUMMYFUNCTION("""COMPUTED_VALUE"""),1)</f>
        <v>1</v>
      </c>
    </row>
    <row r="8094" spans="1:5" ht="13">
      <c r="A8094" s="2" t="str">
        <f ca="1">IFERROR(__xludf.DUMMYFUNCTION("""COMPUTED_VALUE"""),"Thomas, Theodore")</f>
        <v>Thomas, Theodore</v>
      </c>
      <c r="B8094" s="3">
        <f ca="1">IFERROR(__xludf.DUMMYFUNCTION("""COMPUTED_VALUE"""),1)</f>
        <v>1</v>
      </c>
      <c r="C8094" s="7">
        <f ca="1">IFERROR(__xludf.DUMMYFUNCTION("""COMPUTED_VALUE"""),1)</f>
        <v>1</v>
      </c>
      <c r="D8094" s="8">
        <f ca="1">IFERROR(__xludf.DUMMYFUNCTION("""COMPUTED_VALUE"""),5)</f>
        <v>5</v>
      </c>
      <c r="E8094" s="2">
        <f ca="1">IFERROR(__xludf.DUMMYFUNCTION("""COMPUTED_VALUE"""),2)</f>
        <v>2</v>
      </c>
    </row>
    <row r="8095" spans="1:5" ht="13">
      <c r="A8095" s="2" t="str">
        <f ca="1">IFERROR(__xludf.DUMMYFUNCTION("""COMPUTED_VALUE"""),"Thomason, Lee ""Sparky""")</f>
        <v>Thomason, Lee "Sparky"</v>
      </c>
      <c r="B8095" s="3">
        <f ca="1">IFERROR(__xludf.DUMMYFUNCTION("""COMPUTED_VALUE"""),1)</f>
        <v>1</v>
      </c>
      <c r="C8095" s="7">
        <f ca="1">IFERROR(__xludf.DUMMYFUNCTION("""COMPUTED_VALUE"""),1)</f>
        <v>1</v>
      </c>
      <c r="D8095" s="8">
        <f ca="1">IFERROR(__xludf.DUMMYFUNCTION("""COMPUTED_VALUE"""),1)</f>
        <v>1</v>
      </c>
      <c r="E8095" s="2">
        <f ca="1">IFERROR(__xludf.DUMMYFUNCTION("""COMPUTED_VALUE"""),1)</f>
        <v>1</v>
      </c>
    </row>
    <row r="8096" spans="1:5" ht="13">
      <c r="A8096" s="8" t="str">
        <f ca="1">IFERROR(__xludf.DUMMYFUNCTION("""COMPUTED_VALUE"""),"Thomason, Lee ""Sparky"" / Trentadue, Josh")</f>
        <v>Thomason, Lee "Sparky" / Trentadue, Josh</v>
      </c>
      <c r="B8096" s="3">
        <f ca="1">IFERROR(__xludf.DUMMYFUNCTION("""COMPUTED_VALUE"""),1)</f>
        <v>1</v>
      </c>
      <c r="C8096" s="7">
        <f ca="1">IFERROR(__xludf.DUMMYFUNCTION("""COMPUTED_VALUE"""),1)</f>
        <v>1</v>
      </c>
      <c r="D8096" s="8">
        <f ca="1">IFERROR(__xludf.DUMMYFUNCTION("""COMPUTED_VALUE"""),1)</f>
        <v>1</v>
      </c>
      <c r="E8096" s="2">
        <f ca="1">IFERROR(__xludf.DUMMYFUNCTION("""COMPUTED_VALUE"""),1)</f>
        <v>1</v>
      </c>
    </row>
    <row r="8097" spans="1:5" ht="13">
      <c r="A8097" s="2" t="str">
        <f ca="1">IFERROR(__xludf.DUMMYFUNCTION("""COMPUTED_VALUE"""),"Thompson, Dick")</f>
        <v>Thompson, Dick</v>
      </c>
      <c r="B8097" s="3">
        <f ca="1">IFERROR(__xludf.DUMMYFUNCTION("""COMPUTED_VALUE"""),1)</f>
        <v>1</v>
      </c>
      <c r="C8097" s="7">
        <f ca="1">IFERROR(__xludf.DUMMYFUNCTION("""COMPUTED_VALUE"""),1)</f>
        <v>1</v>
      </c>
      <c r="D8097" s="8">
        <f ca="1">IFERROR(__xludf.DUMMYFUNCTION("""COMPUTED_VALUE"""),1)</f>
        <v>1</v>
      </c>
      <c r="E8097" s="2">
        <f ca="1">IFERROR(__xludf.DUMMYFUNCTION("""COMPUTED_VALUE"""),1)</f>
        <v>1</v>
      </c>
    </row>
    <row r="8098" spans="1:5" ht="13">
      <c r="A8098" s="2" t="str">
        <f ca="1">IFERROR(__xludf.DUMMYFUNCTION("""COMPUTED_VALUE"""),"Thompson, Donald Bryce")</f>
        <v>Thompson, Donald Bryce</v>
      </c>
      <c r="B8098" s="2">
        <f ca="1">IFERROR(__xludf.DUMMYFUNCTION("""COMPUTED_VALUE"""),1)</f>
        <v>1</v>
      </c>
      <c r="C8098" s="7">
        <f ca="1">IFERROR(__xludf.DUMMYFUNCTION("""COMPUTED_VALUE"""),1)</f>
        <v>1</v>
      </c>
      <c r="D8098" s="8">
        <f ca="1">IFERROR(__xludf.DUMMYFUNCTION("""COMPUTED_VALUE"""),5)</f>
        <v>5</v>
      </c>
      <c r="E8098" s="2">
        <f ca="1">IFERROR(__xludf.DUMMYFUNCTION("""COMPUTED_VALUE"""),2)</f>
        <v>2</v>
      </c>
    </row>
    <row r="8099" spans="1:5" ht="13">
      <c r="A8099" s="2" t="str">
        <f ca="1">IFERROR(__xludf.DUMMYFUNCTION("""COMPUTED_VALUE"""),"Thompson, Henry S.")</f>
        <v>Thompson, Henry S.</v>
      </c>
      <c r="B8099" s="3">
        <f ca="1">IFERROR(__xludf.DUMMYFUNCTION("""COMPUTED_VALUE"""),1)</f>
        <v>1</v>
      </c>
      <c r="C8099" s="7">
        <f ca="1">IFERROR(__xludf.DUMMYFUNCTION("""COMPUTED_VALUE"""),1)</f>
        <v>1</v>
      </c>
      <c r="D8099" s="8">
        <f ca="1">IFERROR(__xludf.DUMMYFUNCTION("""COMPUTED_VALUE"""),5)</f>
        <v>5</v>
      </c>
      <c r="E8099" s="2">
        <f ca="1">IFERROR(__xludf.DUMMYFUNCTION("""COMPUTED_VALUE"""),2)</f>
        <v>2</v>
      </c>
    </row>
    <row r="8100" spans="1:5" ht="13">
      <c r="A8100" s="2" t="str">
        <f ca="1">IFERROR(__xludf.DUMMYFUNCTION("""COMPUTED_VALUE"""),"Thompson, Randall")</f>
        <v>Thompson, Randall</v>
      </c>
      <c r="B8100" s="3">
        <f ca="1">IFERROR(__xludf.DUMMYFUNCTION("""COMPUTED_VALUE"""),1)</f>
        <v>1</v>
      </c>
      <c r="C8100" s="7">
        <f ca="1">IFERROR(__xludf.DUMMYFUNCTION("""COMPUTED_VALUE"""),1)</f>
        <v>1</v>
      </c>
      <c r="D8100" s="8">
        <f ca="1">IFERROR(__xludf.DUMMYFUNCTION("""COMPUTED_VALUE"""),5)</f>
        <v>5</v>
      </c>
      <c r="E8100" s="3">
        <f ca="1">IFERROR(__xludf.DUMMYFUNCTION("""COMPUTED_VALUE"""),2)</f>
        <v>2</v>
      </c>
    </row>
    <row r="8101" spans="1:5" ht="13">
      <c r="A8101" s="2" t="str">
        <f ca="1">IFERROR(__xludf.DUMMYFUNCTION("""COMPUTED_VALUE"""),"Thompson, Tim")</f>
        <v>Thompson, Tim</v>
      </c>
      <c r="B8101" s="2">
        <f ca="1">IFERROR(__xludf.DUMMYFUNCTION("""COMPUTED_VALUE"""),1)</f>
        <v>1</v>
      </c>
      <c r="C8101" s="7">
        <f ca="1">IFERROR(__xludf.DUMMYFUNCTION("""COMPUTED_VALUE"""),1)</f>
        <v>1</v>
      </c>
      <c r="D8101" s="8">
        <f ca="1">IFERROR(__xludf.DUMMYFUNCTION("""COMPUTED_VALUE"""),1)</f>
        <v>1</v>
      </c>
      <c r="E8101" s="2">
        <f ca="1">IFERROR(__xludf.DUMMYFUNCTION("""COMPUTED_VALUE"""),1)</f>
        <v>1</v>
      </c>
    </row>
    <row r="8102" spans="1:5" ht="13">
      <c r="A8102" s="2" t="str">
        <f ca="1">IFERROR(__xludf.DUMMYFUNCTION("""COMPUTED_VALUE"""),"Thompson, William")</f>
        <v>Thompson, William</v>
      </c>
      <c r="B8102" s="3">
        <f ca="1">IFERROR(__xludf.DUMMYFUNCTION("""COMPUTED_VALUE"""),1)</f>
        <v>1</v>
      </c>
      <c r="C8102" s="7">
        <f ca="1">IFERROR(__xludf.DUMMYFUNCTION("""COMPUTED_VALUE"""),1)</f>
        <v>1</v>
      </c>
      <c r="D8102" s="8">
        <f ca="1">IFERROR(__xludf.DUMMYFUNCTION("""COMPUTED_VALUE"""),5)</f>
        <v>5</v>
      </c>
      <c r="E8102" s="2">
        <f ca="1">IFERROR(__xludf.DUMMYFUNCTION("""COMPUTED_VALUE"""),2)</f>
        <v>2</v>
      </c>
    </row>
    <row r="8103" spans="1:5" ht="13">
      <c r="A8103" s="2" t="str">
        <f ca="1">IFERROR(__xludf.DUMMYFUNCTION("""COMPUTED_VALUE"""),"Thomson, Virgil")</f>
        <v>Thomson, Virgil</v>
      </c>
      <c r="B8103" s="3">
        <f ca="1">IFERROR(__xludf.DUMMYFUNCTION("""COMPUTED_VALUE"""),1)</f>
        <v>1</v>
      </c>
      <c r="C8103" s="7">
        <f ca="1">IFERROR(__xludf.DUMMYFUNCTION("""COMPUTED_VALUE"""),1)</f>
        <v>1</v>
      </c>
      <c r="D8103" s="8">
        <f ca="1">IFERROR(__xludf.DUMMYFUNCTION("""COMPUTED_VALUE"""),5)</f>
        <v>5</v>
      </c>
      <c r="E8103" s="3">
        <f ca="1">IFERROR(__xludf.DUMMYFUNCTION("""COMPUTED_VALUE"""),2)</f>
        <v>2</v>
      </c>
    </row>
    <row r="8104" spans="1:5" ht="13">
      <c r="A8104" s="2" t="str">
        <f ca="1">IFERROR(__xludf.DUMMYFUNCTION("""COMPUTED_VALUE"""),"Thornborrow, Christopher")</f>
        <v>Thornborrow, Christopher</v>
      </c>
      <c r="B8104" s="3">
        <f ca="1">IFERROR(__xludf.DUMMYFUNCTION("""COMPUTED_VALUE"""),1)</f>
        <v>1</v>
      </c>
      <c r="C8104" s="7">
        <f ca="1">IFERROR(__xludf.DUMMYFUNCTION("""COMPUTED_VALUE"""),1)</f>
        <v>1</v>
      </c>
      <c r="D8104" s="8">
        <f ca="1">IFERROR(__xludf.DUMMYFUNCTION("""COMPUTED_VALUE"""),1)</f>
        <v>1</v>
      </c>
      <c r="E8104" s="2">
        <f ca="1">IFERROR(__xludf.DUMMYFUNCTION("""COMPUTED_VALUE"""),1)</f>
        <v>1</v>
      </c>
    </row>
    <row r="8105" spans="1:5" ht="13">
      <c r="A8105" s="8" t="str">
        <f ca="1">IFERROR(__xludf.DUMMYFUNCTION("""COMPUTED_VALUE"""),"Thorne, Nicholas C. K.")</f>
        <v>Thorne, Nicholas C. K.</v>
      </c>
      <c r="B8105" s="3">
        <f ca="1">IFERROR(__xludf.DUMMYFUNCTION("""COMPUTED_VALUE"""),1)</f>
        <v>1</v>
      </c>
      <c r="C8105" s="7">
        <f ca="1">IFERROR(__xludf.DUMMYFUNCTION("""COMPUTED_VALUE"""),1)</f>
        <v>1</v>
      </c>
      <c r="D8105" s="8">
        <f ca="1">IFERROR(__xludf.DUMMYFUNCTION("""COMPUTED_VALUE"""),5)</f>
        <v>5</v>
      </c>
      <c r="E8105" s="2">
        <f ca="1">IFERROR(__xludf.DUMMYFUNCTION("""COMPUTED_VALUE"""),2)</f>
        <v>2</v>
      </c>
    </row>
    <row r="8106" spans="1:5" ht="13">
      <c r="A8106" s="2" t="str">
        <f ca="1">IFERROR(__xludf.DUMMYFUNCTION("""COMPUTED_VALUE"""),"Thornock, Neil")</f>
        <v>Thornock, Neil</v>
      </c>
      <c r="B8106" s="3">
        <f ca="1">IFERROR(__xludf.DUMMYFUNCTION("""COMPUTED_VALUE"""),1)</f>
        <v>1</v>
      </c>
      <c r="C8106" s="7">
        <f ca="1">IFERROR(__xludf.DUMMYFUNCTION("""COMPUTED_VALUE"""),1)</f>
        <v>1</v>
      </c>
      <c r="D8106" s="8">
        <f ca="1">IFERROR(__xludf.DUMMYFUNCTION("""COMPUTED_VALUE"""),1)</f>
        <v>1</v>
      </c>
      <c r="E8106" s="2">
        <f ca="1">IFERROR(__xludf.DUMMYFUNCTION("""COMPUTED_VALUE"""),1)</f>
        <v>1</v>
      </c>
    </row>
    <row r="8107" spans="1:5" ht="13">
      <c r="A8107" s="2" t="str">
        <f ca="1">IFERROR(__xludf.DUMMYFUNCTION("""COMPUTED_VALUE"""),"Thornton, Boyer")</f>
        <v>Thornton, Boyer</v>
      </c>
      <c r="B8107" s="3">
        <f ca="1">IFERROR(__xludf.DUMMYFUNCTION("""COMPUTED_VALUE"""),1)</f>
        <v>1</v>
      </c>
      <c r="C8107" s="7">
        <f ca="1">IFERROR(__xludf.DUMMYFUNCTION("""COMPUTED_VALUE"""),1)</f>
        <v>1</v>
      </c>
      <c r="D8107" s="8">
        <f ca="1">IFERROR(__xludf.DUMMYFUNCTION("""COMPUTED_VALUE"""),5)</f>
        <v>5</v>
      </c>
      <c r="E8107" s="2">
        <f ca="1">IFERROR(__xludf.DUMMYFUNCTION("""COMPUTED_VALUE"""),2)</f>
        <v>2</v>
      </c>
    </row>
    <row r="8108" spans="1:5" ht="13">
      <c r="A8108" s="2" t="str">
        <f ca="1">IFERROR(__xludf.DUMMYFUNCTION("""COMPUTED_VALUE"""),"Thornton, James")</f>
        <v>Thornton, James</v>
      </c>
      <c r="B8108" s="3">
        <f ca="1">IFERROR(__xludf.DUMMYFUNCTION("""COMPUTED_VALUE"""),1)</f>
        <v>1</v>
      </c>
      <c r="C8108" s="7">
        <f ca="1">IFERROR(__xludf.DUMMYFUNCTION("""COMPUTED_VALUE"""),1)</f>
        <v>1</v>
      </c>
      <c r="D8108" s="8">
        <f ca="1">IFERROR(__xludf.DUMMYFUNCTION("""COMPUTED_VALUE"""),5)</f>
        <v>5</v>
      </c>
      <c r="E8108" s="2">
        <f ca="1">IFERROR(__xludf.DUMMYFUNCTION("""COMPUTED_VALUE"""),2)</f>
        <v>2</v>
      </c>
    </row>
    <row r="8109" spans="1:5" ht="13">
      <c r="A8109" s="8" t="str">
        <f ca="1">IFERROR(__xludf.DUMMYFUNCTION("""COMPUTED_VALUE"""),"Thorsteinsson, H.I.")</f>
        <v>Thorsteinsson, H.I.</v>
      </c>
      <c r="B8109" s="3">
        <f ca="1">IFERROR(__xludf.DUMMYFUNCTION("""COMPUTED_VALUE"""),1)</f>
        <v>1</v>
      </c>
      <c r="C8109" s="7">
        <f ca="1">IFERROR(__xludf.DUMMYFUNCTION("""COMPUTED_VALUE"""),1)</f>
        <v>1</v>
      </c>
      <c r="D8109" s="8">
        <f ca="1">IFERROR(__xludf.DUMMYFUNCTION("""COMPUTED_VALUE"""),1)</f>
        <v>1</v>
      </c>
      <c r="E8109" s="2">
        <f ca="1">IFERROR(__xludf.DUMMYFUNCTION("""COMPUTED_VALUE"""),1)</f>
        <v>1</v>
      </c>
    </row>
    <row r="8110" spans="1:5" ht="13">
      <c r="A8110" s="2" t="str">
        <f ca="1">IFERROR(__xludf.DUMMYFUNCTION("""COMPUTED_VALUE"""),"Thuille, Ludwig")</f>
        <v>Thuille, Ludwig</v>
      </c>
      <c r="B8110" s="3">
        <f ca="1">IFERROR(__xludf.DUMMYFUNCTION("""COMPUTED_VALUE"""),1)</f>
        <v>1</v>
      </c>
      <c r="C8110" s="7">
        <f ca="1">IFERROR(__xludf.DUMMYFUNCTION("""COMPUTED_VALUE"""),1)</f>
        <v>1</v>
      </c>
      <c r="D8110" s="8">
        <f ca="1">IFERROR(__xludf.DUMMYFUNCTION("""COMPUTED_VALUE"""),5)</f>
        <v>5</v>
      </c>
      <c r="E8110" s="2">
        <f ca="1">IFERROR(__xludf.DUMMYFUNCTION("""COMPUTED_VALUE"""),2)</f>
        <v>2</v>
      </c>
    </row>
    <row r="8111" spans="1:5" ht="13">
      <c r="A8111" s="2" t="str">
        <f ca="1">IFERROR(__xludf.DUMMYFUNCTION("""COMPUTED_VALUE"""),"Thurban, Thomas")</f>
        <v>Thurban, Thomas</v>
      </c>
      <c r="B8111" s="3">
        <f ca="1">IFERROR(__xludf.DUMMYFUNCTION("""COMPUTED_VALUE"""),1)</f>
        <v>1</v>
      </c>
      <c r="C8111" s="7">
        <f ca="1">IFERROR(__xludf.DUMMYFUNCTION("""COMPUTED_VALUE"""),1)</f>
        <v>1</v>
      </c>
      <c r="D8111" s="8">
        <f ca="1">IFERROR(__xludf.DUMMYFUNCTION("""COMPUTED_VALUE"""),5)</f>
        <v>5</v>
      </c>
      <c r="E8111" s="2">
        <f ca="1">IFERROR(__xludf.DUMMYFUNCTION("""COMPUTED_VALUE"""),2)</f>
        <v>2</v>
      </c>
    </row>
    <row r="8112" spans="1:5" ht="13">
      <c r="A8112" s="8" t="str">
        <f ca="1">IFERROR(__xludf.DUMMYFUNCTION("""COMPUTED_VALUE"""),"Thurner, Friedrich")</f>
        <v>Thurner, Friedrich</v>
      </c>
      <c r="B8112" s="3">
        <f ca="1">IFERROR(__xludf.DUMMYFUNCTION("""COMPUTED_VALUE"""),1)</f>
        <v>1</v>
      </c>
      <c r="C8112" s="7">
        <f ca="1">IFERROR(__xludf.DUMMYFUNCTION("""COMPUTED_VALUE"""),1)</f>
        <v>1</v>
      </c>
      <c r="D8112" s="8">
        <f ca="1">IFERROR(__xludf.DUMMYFUNCTION("""COMPUTED_VALUE"""),5)</f>
        <v>5</v>
      </c>
      <c r="E8112" s="2">
        <f ca="1">IFERROR(__xludf.DUMMYFUNCTION("""COMPUTED_VALUE"""),2)</f>
        <v>2</v>
      </c>
    </row>
    <row r="8113" spans="1:5" ht="13">
      <c r="A8113" s="2" t="str">
        <f ca="1">IFERROR(__xludf.DUMMYFUNCTION("""COMPUTED_VALUE"""),"Thurston")</f>
        <v>Thurston</v>
      </c>
      <c r="B8113" s="3">
        <f ca="1">IFERROR(__xludf.DUMMYFUNCTION("""COMPUTED_VALUE"""),1)</f>
        <v>1</v>
      </c>
      <c r="C8113" s="7">
        <f ca="1">IFERROR(__xludf.DUMMYFUNCTION("""COMPUTED_VALUE"""),1)</f>
        <v>1</v>
      </c>
      <c r="D8113" s="8">
        <f ca="1">IFERROR(__xludf.DUMMYFUNCTION("""COMPUTED_VALUE"""),5)</f>
        <v>5</v>
      </c>
      <c r="E8113" s="2">
        <f ca="1">IFERROR(__xludf.DUMMYFUNCTION("""COMPUTED_VALUE"""),2)</f>
        <v>2</v>
      </c>
    </row>
    <row r="8114" spans="1:5" ht="13">
      <c r="A8114" s="2" t="str">
        <f ca="1">IFERROR(__xludf.DUMMYFUNCTION("""COMPUTED_VALUE"""),"Thurston, Richard E.")</f>
        <v>Thurston, Richard E.</v>
      </c>
      <c r="B8114" s="3">
        <f ca="1">IFERROR(__xludf.DUMMYFUNCTION("""COMPUTED_VALUE"""),1)</f>
        <v>1</v>
      </c>
      <c r="C8114" s="7">
        <f ca="1">IFERROR(__xludf.DUMMYFUNCTION("""COMPUTED_VALUE"""),1)</f>
        <v>1</v>
      </c>
      <c r="D8114" s="8">
        <f ca="1">IFERROR(__xludf.DUMMYFUNCTION("""COMPUTED_VALUE"""),5)</f>
        <v>5</v>
      </c>
      <c r="E8114" s="2">
        <f ca="1">IFERROR(__xludf.DUMMYFUNCTION("""COMPUTED_VALUE"""),2)</f>
        <v>2</v>
      </c>
    </row>
    <row r="8115" spans="1:5" ht="13">
      <c r="A8115" s="2" t="str">
        <f ca="1">IFERROR(__xludf.DUMMYFUNCTION("""COMPUTED_VALUE"""),"Thurston, Robert")</f>
        <v>Thurston, Robert</v>
      </c>
      <c r="B8115" s="3">
        <f ca="1">IFERROR(__xludf.DUMMYFUNCTION("""COMPUTED_VALUE"""),1)</f>
        <v>1</v>
      </c>
      <c r="C8115" s="7">
        <f ca="1">IFERROR(__xludf.DUMMYFUNCTION("""COMPUTED_VALUE"""),1)</f>
        <v>1</v>
      </c>
      <c r="D8115" s="8">
        <f ca="1">IFERROR(__xludf.DUMMYFUNCTION("""COMPUTED_VALUE"""),1)</f>
        <v>1</v>
      </c>
      <c r="E8115" s="2">
        <f ca="1">IFERROR(__xludf.DUMMYFUNCTION("""COMPUTED_VALUE"""),1)</f>
        <v>1</v>
      </c>
    </row>
    <row r="8116" spans="1:5" ht="13">
      <c r="A8116" s="2" t="str">
        <f ca="1">IFERROR(__xludf.DUMMYFUNCTION("""COMPUTED_VALUE"""),"Thygerson, Robert")</f>
        <v>Thygerson, Robert</v>
      </c>
      <c r="B8116" s="3">
        <f ca="1">IFERROR(__xludf.DUMMYFUNCTION("""COMPUTED_VALUE"""),1)</f>
        <v>1</v>
      </c>
      <c r="C8116" s="7">
        <f ca="1">IFERROR(__xludf.DUMMYFUNCTION("""COMPUTED_VALUE"""),1)</f>
        <v>1</v>
      </c>
      <c r="D8116" s="8">
        <f ca="1">IFERROR(__xludf.DUMMYFUNCTION("""COMPUTED_VALUE"""),5)</f>
        <v>5</v>
      </c>
      <c r="E8116" s="2">
        <f ca="1">IFERROR(__xludf.DUMMYFUNCTION("""COMPUTED_VALUE"""),2)</f>
        <v>2</v>
      </c>
    </row>
    <row r="8117" spans="1:5" ht="13">
      <c r="A8117" s="2" t="str">
        <f ca="1">IFERROR(__xludf.DUMMYFUNCTION("""COMPUTED_VALUE"""),"Thygerson, Robert W.")</f>
        <v>Thygerson, Robert W.</v>
      </c>
      <c r="B8117" s="3">
        <f ca="1">IFERROR(__xludf.DUMMYFUNCTION("""COMPUTED_VALUE"""),1)</f>
        <v>1</v>
      </c>
      <c r="C8117" s="7">
        <f ca="1">IFERROR(__xludf.DUMMYFUNCTION("""COMPUTED_VALUE"""),1)</f>
        <v>1</v>
      </c>
      <c r="D8117" s="8">
        <f ca="1">IFERROR(__xludf.DUMMYFUNCTION("""COMPUTED_VALUE"""),5)</f>
        <v>5</v>
      </c>
      <c r="E8117" s="2">
        <f ca="1">IFERROR(__xludf.DUMMYFUNCTION("""COMPUTED_VALUE"""),2)</f>
        <v>2</v>
      </c>
    </row>
    <row r="8118" spans="1:5" ht="13">
      <c r="A8118" s="2" t="str">
        <f ca="1">IFERROR(__xludf.DUMMYFUNCTION("""COMPUTED_VALUE"""),"Ticheli, Frank")</f>
        <v>Ticheli, Frank</v>
      </c>
      <c r="B8118" s="3">
        <f ca="1">IFERROR(__xludf.DUMMYFUNCTION("""COMPUTED_VALUE"""),1)</f>
        <v>1</v>
      </c>
      <c r="C8118" s="7">
        <f ca="1">IFERROR(__xludf.DUMMYFUNCTION("""COMPUTED_VALUE"""),1)</f>
        <v>1</v>
      </c>
      <c r="D8118" s="8">
        <f ca="1">IFERROR(__xludf.DUMMYFUNCTION("""COMPUTED_VALUE"""),1)</f>
        <v>1</v>
      </c>
      <c r="E8118" s="2">
        <f ca="1">IFERROR(__xludf.DUMMYFUNCTION("""COMPUTED_VALUE"""),1)</f>
        <v>1</v>
      </c>
    </row>
    <row r="8119" spans="1:5" ht="13">
      <c r="A8119" s="2" t="str">
        <f ca="1">IFERROR(__xludf.DUMMYFUNCTION("""COMPUTED_VALUE"""),"Tiefenbach, Peter")</f>
        <v>Tiefenbach, Peter</v>
      </c>
      <c r="B8119" s="3">
        <f ca="1">IFERROR(__xludf.DUMMYFUNCTION("""COMPUTED_VALUE"""),1)</f>
        <v>1</v>
      </c>
      <c r="C8119" s="7">
        <f ca="1">IFERROR(__xludf.DUMMYFUNCTION("""COMPUTED_VALUE"""),1)</f>
        <v>1</v>
      </c>
      <c r="D8119" s="8">
        <f ca="1">IFERROR(__xludf.DUMMYFUNCTION("""COMPUTED_VALUE"""),1)</f>
        <v>1</v>
      </c>
      <c r="E8119" s="2">
        <f ca="1">IFERROR(__xludf.DUMMYFUNCTION("""COMPUTED_VALUE"""),1)</f>
        <v>1</v>
      </c>
    </row>
    <row r="8120" spans="1:5" ht="13">
      <c r="A8120" s="2" t="str">
        <f ca="1">IFERROR(__xludf.DUMMYFUNCTION("""COMPUTED_VALUE"""),"Tiensuu, Jukka")</f>
        <v>Tiensuu, Jukka</v>
      </c>
      <c r="B8120" s="3">
        <f ca="1">IFERROR(__xludf.DUMMYFUNCTION("""COMPUTED_VALUE"""),1)</f>
        <v>1</v>
      </c>
      <c r="C8120" s="7">
        <f ca="1">IFERROR(__xludf.DUMMYFUNCTION("""COMPUTED_VALUE"""),1)</f>
        <v>1</v>
      </c>
      <c r="D8120" s="8">
        <f ca="1">IFERROR(__xludf.DUMMYFUNCTION("""COMPUTED_VALUE"""),1)</f>
        <v>1</v>
      </c>
      <c r="E8120" s="2">
        <f ca="1">IFERROR(__xludf.DUMMYFUNCTION("""COMPUTED_VALUE"""),1)</f>
        <v>1</v>
      </c>
    </row>
    <row r="8121" spans="1:5" ht="13">
      <c r="A8121" s="8" t="str">
        <f ca="1">IFERROR(__xludf.DUMMYFUNCTION("""COMPUTED_VALUE"""),"Tiffault, Leighton")</f>
        <v>Tiffault, Leighton</v>
      </c>
      <c r="B8121" s="2">
        <f ca="1">IFERROR(__xludf.DUMMYFUNCTION("""COMPUTED_VALUE"""),1)</f>
        <v>1</v>
      </c>
      <c r="C8121" s="7">
        <f ca="1">IFERROR(__xludf.DUMMYFUNCTION("""COMPUTED_VALUE"""),1)</f>
        <v>1</v>
      </c>
      <c r="D8121" s="8">
        <f ca="1">IFERROR(__xludf.DUMMYFUNCTION("""COMPUTED_VALUE"""),1)</f>
        <v>1</v>
      </c>
      <c r="E8121" s="2">
        <f ca="1">IFERROR(__xludf.DUMMYFUNCTION("""COMPUTED_VALUE"""),1)</f>
        <v>1</v>
      </c>
    </row>
    <row r="8122" spans="1:5" ht="13">
      <c r="A8122" s="2" t="str">
        <f ca="1">IFERROR(__xludf.DUMMYFUNCTION("""COMPUTED_VALUE"""),"Tilburg, Shaun")</f>
        <v>Tilburg, Shaun</v>
      </c>
      <c r="B8122" s="2">
        <f ca="1">IFERROR(__xludf.DUMMYFUNCTION("""COMPUTED_VALUE"""),1)</f>
        <v>1</v>
      </c>
      <c r="C8122" s="7">
        <f ca="1">IFERROR(__xludf.DUMMYFUNCTION("""COMPUTED_VALUE"""),1)</f>
        <v>1</v>
      </c>
      <c r="D8122" s="8">
        <f ca="1">IFERROR(__xludf.DUMMYFUNCTION("""COMPUTED_VALUE"""),1)</f>
        <v>1</v>
      </c>
      <c r="E8122" s="2">
        <f ca="1">IFERROR(__xludf.DUMMYFUNCTION("""COMPUTED_VALUE"""),1)</f>
        <v>1</v>
      </c>
    </row>
    <row r="8123" spans="1:5" ht="13">
      <c r="A8123" s="2" t="str">
        <f ca="1">IFERROR(__xludf.DUMMYFUNCTION("""COMPUTED_VALUE"""),"Tilley, Alexander")</f>
        <v>Tilley, Alexander</v>
      </c>
      <c r="B8123" s="3">
        <f ca="1">IFERROR(__xludf.DUMMYFUNCTION("""COMPUTED_VALUE"""),1)</f>
        <v>1</v>
      </c>
      <c r="C8123" s="7">
        <f ca="1">IFERROR(__xludf.DUMMYFUNCTION("""COMPUTED_VALUE"""),1)</f>
        <v>1</v>
      </c>
      <c r="D8123" s="8">
        <f ca="1">IFERROR(__xludf.DUMMYFUNCTION("""COMPUTED_VALUE"""),1)</f>
        <v>1</v>
      </c>
      <c r="E8123" s="2">
        <f ca="1">IFERROR(__xludf.DUMMYFUNCTION("""COMPUTED_VALUE"""),1)</f>
        <v>1</v>
      </c>
    </row>
    <row r="8124" spans="1:5" ht="13">
      <c r="A8124" s="2" t="str">
        <f ca="1">IFERROR(__xludf.DUMMYFUNCTION("""COMPUTED_VALUE"""),"Tilson Thomas, Michael")</f>
        <v>Tilson Thomas, Michael</v>
      </c>
      <c r="B8124" s="3">
        <f ca="1">IFERROR(__xludf.DUMMYFUNCTION("""COMPUTED_VALUE"""),1)</f>
        <v>1</v>
      </c>
      <c r="C8124" s="7">
        <f ca="1">IFERROR(__xludf.DUMMYFUNCTION("""COMPUTED_VALUE"""),1)</f>
        <v>1</v>
      </c>
      <c r="D8124" s="8">
        <f ca="1">IFERROR(__xludf.DUMMYFUNCTION("""COMPUTED_VALUE"""),1)</f>
        <v>1</v>
      </c>
      <c r="E8124" s="2">
        <f ca="1">IFERROR(__xludf.DUMMYFUNCTION("""COMPUTED_VALUE"""),1)</f>
        <v>1</v>
      </c>
    </row>
    <row r="8125" spans="1:5" ht="13">
      <c r="A8125" s="2" t="str">
        <f ca="1">IFERROR(__xludf.DUMMYFUNCTION("""COMPUTED_VALUE"""),"Tilzer, Albert von")</f>
        <v>Tilzer, Albert von</v>
      </c>
      <c r="B8125" s="3">
        <f ca="1">IFERROR(__xludf.DUMMYFUNCTION("""COMPUTED_VALUE"""),1)</f>
        <v>1</v>
      </c>
      <c r="C8125" s="7">
        <f ca="1">IFERROR(__xludf.DUMMYFUNCTION("""COMPUTED_VALUE"""),1)</f>
        <v>1</v>
      </c>
      <c r="D8125" s="8">
        <f ca="1">IFERROR(__xludf.DUMMYFUNCTION("""COMPUTED_VALUE"""),5)</f>
        <v>5</v>
      </c>
      <c r="E8125" s="2">
        <f ca="1">IFERROR(__xludf.DUMMYFUNCTION("""COMPUTED_VALUE"""),2)</f>
        <v>2</v>
      </c>
    </row>
    <row r="8126" spans="1:5" ht="13">
      <c r="A8126" s="2" t="str">
        <f ca="1">IFERROR(__xludf.DUMMYFUNCTION("""COMPUTED_VALUE"""),"Tilzer, Albert von / Brown, Lew / Herman, Jerry")</f>
        <v>Tilzer, Albert von / Brown, Lew / Herman, Jerry</v>
      </c>
      <c r="B8126" s="3">
        <f ca="1">IFERROR(__xludf.DUMMYFUNCTION("""COMPUTED_VALUE"""),1)</f>
        <v>1</v>
      </c>
      <c r="C8126" s="7">
        <f ca="1">IFERROR(__xludf.DUMMYFUNCTION("""COMPUTED_VALUE"""),1)</f>
        <v>1</v>
      </c>
      <c r="D8126" s="8">
        <f ca="1">IFERROR(__xludf.DUMMYFUNCTION("""COMPUTED_VALUE"""),5)</f>
        <v>5</v>
      </c>
      <c r="E8126" s="2">
        <f ca="1">IFERROR(__xludf.DUMMYFUNCTION("""COMPUTED_VALUE"""),2)</f>
        <v>2</v>
      </c>
    </row>
    <row r="8127" spans="1:5" ht="13">
      <c r="A8127" s="2" t="str">
        <f ca="1">IFERROR(__xludf.DUMMYFUNCTION("""COMPUTED_VALUE"""),"Tilzer, Albert von / McCarron, Charls / Alberte, Charles")</f>
        <v>Tilzer, Albert von / McCarron, Charls / Alberte, Charles</v>
      </c>
      <c r="B8127" s="2">
        <f ca="1">IFERROR(__xludf.DUMMYFUNCTION("""COMPUTED_VALUE"""),1)</f>
        <v>1</v>
      </c>
      <c r="C8127" s="7">
        <f ca="1">IFERROR(__xludf.DUMMYFUNCTION("""COMPUTED_VALUE"""),1)</f>
        <v>1</v>
      </c>
      <c r="D8127" s="8">
        <f ca="1">IFERROR(__xludf.DUMMYFUNCTION("""COMPUTED_VALUE"""),5)</f>
        <v>5</v>
      </c>
      <c r="E8127" s="2">
        <f ca="1">IFERROR(__xludf.DUMMYFUNCTION("""COMPUTED_VALUE"""),2)</f>
        <v>2</v>
      </c>
    </row>
    <row r="8128" spans="1:5" ht="13">
      <c r="A8128" s="2" t="str">
        <f ca="1">IFERROR(__xludf.DUMMYFUNCTION("""COMPUTED_VALUE"""),"Tilzer, Harry von / Dillon, Will")</f>
        <v>Tilzer, Harry von / Dillon, Will</v>
      </c>
      <c r="B8128" s="2">
        <f ca="1">IFERROR(__xludf.DUMMYFUNCTION("""COMPUTED_VALUE"""),1)</f>
        <v>1</v>
      </c>
      <c r="C8128" s="7">
        <f ca="1">IFERROR(__xludf.DUMMYFUNCTION("""COMPUTED_VALUE"""),1)</f>
        <v>1</v>
      </c>
      <c r="D8128" s="8">
        <f ca="1">IFERROR(__xludf.DUMMYFUNCTION("""COMPUTED_VALUE"""),5)</f>
        <v>5</v>
      </c>
      <c r="E8128" s="2">
        <f ca="1">IFERROR(__xludf.DUMMYFUNCTION("""COMPUTED_VALUE"""),2)</f>
        <v>2</v>
      </c>
    </row>
    <row r="8129" spans="1:5" ht="13">
      <c r="A8129" s="2" t="str">
        <f ca="1">IFERROR(__xludf.DUMMYFUNCTION("""COMPUTED_VALUE"""),"Timberlake, Justin / Martin, Max / Schuster, Johan")</f>
        <v>Timberlake, Justin / Martin, Max / Schuster, Johan</v>
      </c>
      <c r="B8129" s="2">
        <f ca="1">IFERROR(__xludf.DUMMYFUNCTION("""COMPUTED_VALUE"""),1)</f>
        <v>1</v>
      </c>
      <c r="C8129" s="7">
        <f ca="1">IFERROR(__xludf.DUMMYFUNCTION("""COMPUTED_VALUE"""),1)</f>
        <v>1</v>
      </c>
      <c r="D8129" s="8">
        <f ca="1">IFERROR(__xludf.DUMMYFUNCTION("""COMPUTED_VALUE"""),1)</f>
        <v>1</v>
      </c>
      <c r="E8129" s="2">
        <f ca="1">IFERROR(__xludf.DUMMYFUNCTION("""COMPUTED_VALUE"""),1)</f>
        <v>1</v>
      </c>
    </row>
    <row r="8130" spans="1:5" ht="13">
      <c r="A8130" s="2" t="str">
        <f ca="1">IFERROR(__xludf.DUMMYFUNCTION("""COMPUTED_VALUE"""),"Tindley, Charles Albert")</f>
        <v>Tindley, Charles Albert</v>
      </c>
      <c r="B8130" s="3">
        <f ca="1">IFERROR(__xludf.DUMMYFUNCTION("""COMPUTED_VALUE"""),1)</f>
        <v>1</v>
      </c>
      <c r="C8130" s="7">
        <f ca="1">IFERROR(__xludf.DUMMYFUNCTION("""COMPUTED_VALUE"""),1)</f>
        <v>1</v>
      </c>
      <c r="D8130" s="8">
        <f ca="1">IFERROR(__xludf.DUMMYFUNCTION("""COMPUTED_VALUE"""),5)</f>
        <v>5</v>
      </c>
      <c r="E8130" s="2">
        <f ca="1">IFERROR(__xludf.DUMMYFUNCTION("""COMPUTED_VALUE"""),2)</f>
        <v>2</v>
      </c>
    </row>
    <row r="8131" spans="1:5" ht="13">
      <c r="A8131" s="2" t="str">
        <f ca="1">IFERROR(__xludf.DUMMYFUNCTION("""COMPUTED_VALUE"""),"Tippett, Michael")</f>
        <v>Tippett, Michael</v>
      </c>
      <c r="B8131" s="3">
        <f ca="1">IFERROR(__xludf.DUMMYFUNCTION("""COMPUTED_VALUE"""),1)</f>
        <v>1</v>
      </c>
      <c r="C8131" s="7">
        <f ca="1">IFERROR(__xludf.DUMMYFUNCTION("""COMPUTED_VALUE"""),1)</f>
        <v>1</v>
      </c>
      <c r="D8131" s="8">
        <f ca="1">IFERROR(__xludf.DUMMYFUNCTION("""COMPUTED_VALUE"""),5)</f>
        <v>5</v>
      </c>
      <c r="E8131" s="2">
        <f ca="1">IFERROR(__xludf.DUMMYFUNCTION("""COMPUTED_VALUE"""),2)</f>
        <v>2</v>
      </c>
    </row>
    <row r="8132" spans="1:5" ht="13">
      <c r="A8132" s="2" t="str">
        <f ca="1">IFERROR(__xludf.DUMMYFUNCTION("""COMPUTED_VALUE"""),"Tippette, Bruce")</f>
        <v>Tippette, Bruce</v>
      </c>
      <c r="B8132" s="3">
        <f ca="1">IFERROR(__xludf.DUMMYFUNCTION("""COMPUTED_VALUE"""),1)</f>
        <v>1</v>
      </c>
      <c r="C8132" s="7">
        <f ca="1">IFERROR(__xludf.DUMMYFUNCTION("""COMPUTED_VALUE"""),1)</f>
        <v>1</v>
      </c>
      <c r="D8132" s="8">
        <f ca="1">IFERROR(__xludf.DUMMYFUNCTION("""COMPUTED_VALUE"""),1)</f>
        <v>1</v>
      </c>
      <c r="E8132" s="2">
        <f ca="1">IFERROR(__xludf.DUMMYFUNCTION("""COMPUTED_VALUE"""),1)</f>
        <v>1</v>
      </c>
    </row>
    <row r="8133" spans="1:5" ht="13">
      <c r="A8133" s="2" t="str">
        <f ca="1">IFERROR(__xludf.DUMMYFUNCTION("""COMPUTED_VALUE"""),"Tippette, Bruce W.")</f>
        <v>Tippette, Bruce W.</v>
      </c>
      <c r="B8133" s="2">
        <f ca="1">IFERROR(__xludf.DUMMYFUNCTION("""COMPUTED_VALUE"""),1)</f>
        <v>1</v>
      </c>
      <c r="C8133" s="7">
        <f ca="1">IFERROR(__xludf.DUMMYFUNCTION("""COMPUTED_VALUE"""),1)</f>
        <v>1</v>
      </c>
      <c r="D8133" s="8">
        <f ca="1">IFERROR(__xludf.DUMMYFUNCTION("""COMPUTED_VALUE"""),1)</f>
        <v>1</v>
      </c>
      <c r="E8133" s="2">
        <f ca="1">IFERROR(__xludf.DUMMYFUNCTION("""COMPUTED_VALUE"""),1)</f>
        <v>1</v>
      </c>
    </row>
    <row r="8134" spans="1:5" ht="13">
      <c r="A8134" s="8" t="str">
        <f ca="1">IFERROR(__xludf.DUMMYFUNCTION("""COMPUTED_VALUE"""),"Tircuit, Heuwell")</f>
        <v>Tircuit, Heuwell</v>
      </c>
      <c r="B8134" s="2">
        <f ca="1">IFERROR(__xludf.DUMMYFUNCTION("""COMPUTED_VALUE"""),1)</f>
        <v>1</v>
      </c>
      <c r="C8134" s="7">
        <f ca="1">IFERROR(__xludf.DUMMYFUNCTION("""COMPUTED_VALUE"""),1)</f>
        <v>1</v>
      </c>
      <c r="D8134" s="8">
        <f ca="1">IFERROR(__xludf.DUMMYFUNCTION("""COMPUTED_VALUE"""),5)</f>
        <v>5</v>
      </c>
      <c r="E8134" s="2">
        <f ca="1">IFERROR(__xludf.DUMMYFUNCTION("""COMPUTED_VALUE"""),2)</f>
        <v>2</v>
      </c>
    </row>
    <row r="8135" spans="1:5" ht="13">
      <c r="A8135" s="2" t="str">
        <f ca="1">IFERROR(__xludf.DUMMYFUNCTION("""COMPUTED_VALUE"""),"Titcomb, Everett")</f>
        <v>Titcomb, Everett</v>
      </c>
      <c r="B8135" s="3">
        <f ca="1">IFERROR(__xludf.DUMMYFUNCTION("""COMPUTED_VALUE"""),1)</f>
        <v>1</v>
      </c>
      <c r="C8135" s="7">
        <f ca="1">IFERROR(__xludf.DUMMYFUNCTION("""COMPUTED_VALUE"""),1)</f>
        <v>1</v>
      </c>
      <c r="D8135" s="8">
        <f ca="1">IFERROR(__xludf.DUMMYFUNCTION("""COMPUTED_VALUE"""),5)</f>
        <v>5</v>
      </c>
      <c r="E8135" s="2">
        <f ca="1">IFERROR(__xludf.DUMMYFUNCTION("""COMPUTED_VALUE"""),2)</f>
        <v>2</v>
      </c>
    </row>
    <row r="8136" spans="1:5" ht="13">
      <c r="A8136" s="2" t="str">
        <f ca="1">IFERROR(__xludf.DUMMYFUNCTION("""COMPUTED_VALUE"""),"Titlebaum, Mike")</f>
        <v>Titlebaum, Mike</v>
      </c>
      <c r="B8136" s="3">
        <f ca="1">IFERROR(__xludf.DUMMYFUNCTION("""COMPUTED_VALUE"""),1)</f>
        <v>1</v>
      </c>
      <c r="C8136" s="7">
        <f ca="1">IFERROR(__xludf.DUMMYFUNCTION("""COMPUTED_VALUE"""),1)</f>
        <v>1</v>
      </c>
      <c r="D8136" s="8">
        <f ca="1">IFERROR(__xludf.DUMMYFUNCTION("""COMPUTED_VALUE"""),1)</f>
        <v>1</v>
      </c>
      <c r="E8136" s="2">
        <f ca="1">IFERROR(__xludf.DUMMYFUNCTION("""COMPUTED_VALUE"""),1)</f>
        <v>1</v>
      </c>
    </row>
    <row r="8137" spans="1:5" ht="13">
      <c r="A8137" s="2" t="str">
        <f ca="1">IFERROR(__xludf.DUMMYFUNCTION("""COMPUTED_VALUE"""),"Tobani, Theodore Moses")</f>
        <v>Tobani, Theodore Moses</v>
      </c>
      <c r="B8137" s="3">
        <f ca="1">IFERROR(__xludf.DUMMYFUNCTION("""COMPUTED_VALUE"""),1)</f>
        <v>1</v>
      </c>
      <c r="C8137" s="7">
        <f ca="1">IFERROR(__xludf.DUMMYFUNCTION("""COMPUTED_VALUE"""),1)</f>
        <v>1</v>
      </c>
      <c r="D8137" s="8">
        <f ca="1">IFERROR(__xludf.DUMMYFUNCTION("""COMPUTED_VALUE"""),5)</f>
        <v>5</v>
      </c>
      <c r="E8137" s="2">
        <f ca="1">IFERROR(__xludf.DUMMYFUNCTION("""COMPUTED_VALUE"""),2)</f>
        <v>2</v>
      </c>
    </row>
    <row r="8138" spans="1:5" ht="13">
      <c r="A8138" s="2" t="str">
        <f ca="1">IFERROR(__xludf.DUMMYFUNCTION("""COMPUTED_VALUE"""),"Toch, Ernst")</f>
        <v>Toch, Ernst</v>
      </c>
      <c r="B8138" s="3">
        <f ca="1">IFERROR(__xludf.DUMMYFUNCTION("""COMPUTED_VALUE"""),1)</f>
        <v>1</v>
      </c>
      <c r="C8138" s="7">
        <f ca="1">IFERROR(__xludf.DUMMYFUNCTION("""COMPUTED_VALUE"""),1)</f>
        <v>1</v>
      </c>
      <c r="D8138" s="8">
        <f ca="1">IFERROR(__xludf.DUMMYFUNCTION("""COMPUTED_VALUE"""),5)</f>
        <v>5</v>
      </c>
      <c r="E8138" s="2">
        <f ca="1">IFERROR(__xludf.DUMMYFUNCTION("""COMPUTED_VALUE"""),2)</f>
        <v>2</v>
      </c>
    </row>
    <row r="8139" spans="1:5" ht="13">
      <c r="A8139" s="2" t="str">
        <f ca="1">IFERROR(__xludf.DUMMYFUNCTION("""COMPUTED_VALUE"""),"Todd, Will")</f>
        <v>Todd, Will</v>
      </c>
      <c r="B8139" s="2">
        <f ca="1">IFERROR(__xludf.DUMMYFUNCTION("""COMPUTED_VALUE"""),1)</f>
        <v>1</v>
      </c>
      <c r="C8139" s="7">
        <f ca="1">IFERROR(__xludf.DUMMYFUNCTION("""COMPUTED_VALUE"""),1)</f>
        <v>1</v>
      </c>
      <c r="D8139" s="8">
        <f ca="1">IFERROR(__xludf.DUMMYFUNCTION("""COMPUTED_VALUE"""),1)</f>
        <v>1</v>
      </c>
      <c r="E8139" s="2">
        <f ca="1">IFERROR(__xludf.DUMMYFUNCTION("""COMPUTED_VALUE"""),1)</f>
        <v>1</v>
      </c>
    </row>
    <row r="8140" spans="1:5" ht="13">
      <c r="A8140" s="8" t="str">
        <f ca="1">IFERROR(__xludf.DUMMYFUNCTION("""COMPUTED_VALUE"""),"Todorov, Ivan")</f>
        <v>Todorov, Ivan</v>
      </c>
      <c r="B8140" s="3">
        <f ca="1">IFERROR(__xludf.DUMMYFUNCTION("""COMPUTED_VALUE"""),1)</f>
        <v>1</v>
      </c>
      <c r="C8140" s="7">
        <f ca="1">IFERROR(__xludf.DUMMYFUNCTION("""COMPUTED_VALUE"""),1)</f>
        <v>1</v>
      </c>
      <c r="D8140" s="8">
        <f ca="1">IFERROR(__xludf.DUMMYFUNCTION("""COMPUTED_VALUE"""),1)</f>
        <v>1</v>
      </c>
      <c r="E8140" s="2">
        <f ca="1">IFERROR(__xludf.DUMMYFUNCTION("""COMPUTED_VALUE"""),1)</f>
        <v>1</v>
      </c>
    </row>
    <row r="8141" spans="1:5" ht="13">
      <c r="A8141" s="2" t="str">
        <f ca="1">IFERROR(__xludf.DUMMYFUNCTION("""COMPUTED_VALUE"""),"Tokke, Justin")</f>
        <v>Tokke, Justin</v>
      </c>
      <c r="B8141" s="3">
        <f ca="1">IFERROR(__xludf.DUMMYFUNCTION("""COMPUTED_VALUE"""),1)</f>
        <v>1</v>
      </c>
      <c r="C8141" s="7">
        <f ca="1">IFERROR(__xludf.DUMMYFUNCTION("""COMPUTED_VALUE"""),1)</f>
        <v>1</v>
      </c>
      <c r="D8141" s="8">
        <f ca="1">IFERROR(__xludf.DUMMYFUNCTION("""COMPUTED_VALUE"""),1)</f>
        <v>1</v>
      </c>
      <c r="E8141" s="2">
        <f ca="1">IFERROR(__xludf.DUMMYFUNCTION("""COMPUTED_VALUE"""),1)</f>
        <v>1</v>
      </c>
    </row>
    <row r="8142" spans="1:5" ht="13">
      <c r="A8142" s="2" t="str">
        <f ca="1">IFERROR(__xludf.DUMMYFUNCTION("""COMPUTED_VALUE"""),"Toldrà, Eduard")</f>
        <v>Toldrà, Eduard</v>
      </c>
      <c r="B8142" s="3">
        <f ca="1">IFERROR(__xludf.DUMMYFUNCTION("""COMPUTED_VALUE"""),1)</f>
        <v>1</v>
      </c>
      <c r="C8142" s="7">
        <f ca="1">IFERROR(__xludf.DUMMYFUNCTION("""COMPUTED_VALUE"""),1)</f>
        <v>1</v>
      </c>
      <c r="D8142" s="8">
        <f ca="1">IFERROR(__xludf.DUMMYFUNCTION("""COMPUTED_VALUE"""),5)</f>
        <v>5</v>
      </c>
      <c r="E8142" s="2">
        <f ca="1">IFERROR(__xludf.DUMMYFUNCTION("""COMPUTED_VALUE"""),2)</f>
        <v>2</v>
      </c>
    </row>
    <row r="8143" spans="1:5" ht="13">
      <c r="A8143" s="2" t="str">
        <f ca="1">IFERROR(__xludf.DUMMYFUNCTION("""COMPUTED_VALUE"""),"Tolmage, Gerald")</f>
        <v>Tolmage, Gerald</v>
      </c>
      <c r="B8143" s="3">
        <f ca="1">IFERROR(__xludf.DUMMYFUNCTION("""COMPUTED_VALUE"""),1)</f>
        <v>1</v>
      </c>
      <c r="C8143" s="7">
        <f ca="1">IFERROR(__xludf.DUMMYFUNCTION("""COMPUTED_VALUE"""),1)</f>
        <v>1</v>
      </c>
      <c r="D8143" s="8">
        <f ca="1">IFERROR(__xludf.DUMMYFUNCTION("""COMPUTED_VALUE"""),5)</f>
        <v>5</v>
      </c>
      <c r="E8143" s="2">
        <f ca="1">IFERROR(__xludf.DUMMYFUNCTION("""COMPUTED_VALUE"""),2)</f>
        <v>2</v>
      </c>
    </row>
    <row r="8144" spans="1:5" ht="13">
      <c r="A8144" s="2" t="str">
        <f ca="1">IFERROR(__xludf.DUMMYFUNCTION("""COMPUTED_VALUE"""),"Tomaro, Mike")</f>
        <v>Tomaro, Mike</v>
      </c>
      <c r="B8144" s="3">
        <f ca="1">IFERROR(__xludf.DUMMYFUNCTION("""COMPUTED_VALUE"""),1)</f>
        <v>1</v>
      </c>
      <c r="C8144" s="7">
        <f ca="1">IFERROR(__xludf.DUMMYFUNCTION("""COMPUTED_VALUE"""),1)</f>
        <v>1</v>
      </c>
      <c r="D8144" s="8">
        <f ca="1">IFERROR(__xludf.DUMMYFUNCTION("""COMPUTED_VALUE"""),1)</f>
        <v>1</v>
      </c>
      <c r="E8144" s="2">
        <f ca="1">IFERROR(__xludf.DUMMYFUNCTION("""COMPUTED_VALUE"""),1)</f>
        <v>1</v>
      </c>
    </row>
    <row r="8145" spans="1:5" ht="13">
      <c r="A8145" s="8" t="str">
        <f ca="1">IFERROR(__xludf.DUMMYFUNCTION("""COMPUTED_VALUE"""),"Tomas Luis de Victoria")</f>
        <v>Tomas Luis de Victoria</v>
      </c>
      <c r="B8145" s="3">
        <f ca="1">IFERROR(__xludf.DUMMYFUNCTION("""COMPUTED_VALUE"""),1)</f>
        <v>1</v>
      </c>
      <c r="C8145" s="7">
        <f ca="1">IFERROR(__xludf.DUMMYFUNCTION("""COMPUTED_VALUE"""),1)</f>
        <v>1</v>
      </c>
      <c r="D8145" s="8">
        <f ca="1">IFERROR(__xludf.DUMMYFUNCTION("""COMPUTED_VALUE"""),5)</f>
        <v>5</v>
      </c>
      <c r="E8145" s="2">
        <f ca="1">IFERROR(__xludf.DUMMYFUNCTION("""COMPUTED_VALUE"""),2)</f>
        <v>2</v>
      </c>
    </row>
    <row r="8146" spans="1:5" ht="13">
      <c r="A8146" s="2" t="str">
        <f ca="1">IFERROR(__xludf.DUMMYFUNCTION("""COMPUTED_VALUE"""),"Tomasi, Henri")</f>
        <v>Tomasi, Henri</v>
      </c>
      <c r="B8146" s="3">
        <f ca="1">IFERROR(__xludf.DUMMYFUNCTION("""COMPUTED_VALUE"""),1)</f>
        <v>1</v>
      </c>
      <c r="C8146" s="7">
        <f ca="1">IFERROR(__xludf.DUMMYFUNCTION("""COMPUTED_VALUE"""),1)</f>
        <v>1</v>
      </c>
      <c r="D8146" s="8">
        <f ca="1">IFERROR(__xludf.DUMMYFUNCTION("""COMPUTED_VALUE"""),5)</f>
        <v>5</v>
      </c>
      <c r="E8146" s="2">
        <f ca="1">IFERROR(__xludf.DUMMYFUNCTION("""COMPUTED_VALUE"""),2)</f>
        <v>2</v>
      </c>
    </row>
    <row r="8147" spans="1:5" ht="13">
      <c r="A8147" s="2" t="str">
        <f ca="1">IFERROR(__xludf.DUMMYFUNCTION("""COMPUTED_VALUE"""),"Tómasson, Haukur")</f>
        <v>Tómasson, Haukur</v>
      </c>
      <c r="B8147" s="3">
        <f ca="1">IFERROR(__xludf.DUMMYFUNCTION("""COMPUTED_VALUE"""),1)</f>
        <v>1</v>
      </c>
      <c r="C8147" s="7">
        <f ca="1">IFERROR(__xludf.DUMMYFUNCTION("""COMPUTED_VALUE"""),1)</f>
        <v>1</v>
      </c>
      <c r="D8147" s="8">
        <f ca="1">IFERROR(__xludf.DUMMYFUNCTION("""COMPUTED_VALUE"""),1)</f>
        <v>1</v>
      </c>
      <c r="E8147" s="2">
        <f ca="1">IFERROR(__xludf.DUMMYFUNCTION("""COMPUTED_VALUE"""),1)</f>
        <v>1</v>
      </c>
    </row>
    <row r="8148" spans="1:5" ht="13">
      <c r="A8148" s="8" t="str">
        <f ca="1">IFERROR(__xludf.DUMMYFUNCTION("""COMPUTED_VALUE"""),"Tomkins, Thomas")</f>
        <v>Tomkins, Thomas</v>
      </c>
      <c r="B8148" s="3">
        <f ca="1">IFERROR(__xludf.DUMMYFUNCTION("""COMPUTED_VALUE"""),1)</f>
        <v>1</v>
      </c>
      <c r="C8148" s="7">
        <f ca="1">IFERROR(__xludf.DUMMYFUNCTION("""COMPUTED_VALUE"""),1)</f>
        <v>1</v>
      </c>
      <c r="D8148" s="8">
        <f ca="1">IFERROR(__xludf.DUMMYFUNCTION("""COMPUTED_VALUE"""),5)</f>
        <v>5</v>
      </c>
      <c r="E8148" s="2">
        <f ca="1">IFERROR(__xludf.DUMMYFUNCTION("""COMPUTED_VALUE"""),2)</f>
        <v>2</v>
      </c>
    </row>
    <row r="8149" spans="1:5" ht="13">
      <c r="A8149" s="2" t="str">
        <f ca="1">IFERROR(__xludf.DUMMYFUNCTION("""COMPUTED_VALUE"""),"Tomlinson, Ernest")</f>
        <v>Tomlinson, Ernest</v>
      </c>
      <c r="B8149" s="3">
        <f ca="1">IFERROR(__xludf.DUMMYFUNCTION("""COMPUTED_VALUE"""),1)</f>
        <v>1</v>
      </c>
      <c r="C8149" s="7">
        <f ca="1">IFERROR(__xludf.DUMMYFUNCTION("""COMPUTED_VALUE"""),1)</f>
        <v>1</v>
      </c>
      <c r="D8149" s="8">
        <f ca="1">IFERROR(__xludf.DUMMYFUNCTION("""COMPUTED_VALUE"""),5)</f>
        <v>5</v>
      </c>
      <c r="E8149" s="2">
        <f ca="1">IFERROR(__xludf.DUMMYFUNCTION("""COMPUTED_VALUE"""),2)</f>
        <v>2</v>
      </c>
    </row>
    <row r="8150" spans="1:5" ht="13">
      <c r="A8150" s="2" t="str">
        <f ca="1">IFERROR(__xludf.DUMMYFUNCTION("""COMPUTED_VALUE"""),"Tommassini, Matthew")</f>
        <v>Tommassini, Matthew</v>
      </c>
      <c r="B8150" s="3">
        <f ca="1">IFERROR(__xludf.DUMMYFUNCTION("""COMPUTED_VALUE"""),1)</f>
        <v>1</v>
      </c>
      <c r="C8150" s="7">
        <f ca="1">IFERROR(__xludf.DUMMYFUNCTION("""COMPUTED_VALUE"""),1)</f>
        <v>1</v>
      </c>
      <c r="D8150" s="8">
        <f ca="1">IFERROR(__xludf.DUMMYFUNCTION("""COMPUTED_VALUE"""),1)</f>
        <v>1</v>
      </c>
      <c r="E8150" s="2">
        <f ca="1">IFERROR(__xludf.DUMMYFUNCTION("""COMPUTED_VALUE"""),1)</f>
        <v>1</v>
      </c>
    </row>
    <row r="8151" spans="1:5" ht="13">
      <c r="A8151" s="2" t="str">
        <f ca="1">IFERROR(__xludf.DUMMYFUNCTION("""COMPUTED_VALUE"""),"Tong, William")</f>
        <v>Tong, William</v>
      </c>
      <c r="B8151" s="3">
        <f ca="1">IFERROR(__xludf.DUMMYFUNCTION("""COMPUTED_VALUE"""),1)</f>
        <v>1</v>
      </c>
      <c r="C8151" s="7">
        <f ca="1">IFERROR(__xludf.DUMMYFUNCTION("""COMPUTED_VALUE"""),1)</f>
        <v>1</v>
      </c>
      <c r="D8151" s="8">
        <f ca="1">IFERROR(__xludf.DUMMYFUNCTION("""COMPUTED_VALUE"""),5)</f>
        <v>5</v>
      </c>
      <c r="E8151" s="2">
        <f ca="1">IFERROR(__xludf.DUMMYFUNCTION("""COMPUTED_VALUE"""),2)</f>
        <v>2</v>
      </c>
    </row>
    <row r="8152" spans="1:5" ht="13">
      <c r="A8152" s="2" t="str">
        <f ca="1">IFERROR(__xludf.DUMMYFUNCTION("""COMPUTED_VALUE"""),"Topff, Johann")</f>
        <v>Topff, Johann</v>
      </c>
      <c r="B8152" s="3">
        <f ca="1">IFERROR(__xludf.DUMMYFUNCTION("""COMPUTED_VALUE"""),1)</f>
        <v>1</v>
      </c>
      <c r="C8152" s="7">
        <f ca="1">IFERROR(__xludf.DUMMYFUNCTION("""COMPUTED_VALUE"""),1)</f>
        <v>1</v>
      </c>
      <c r="D8152" s="8">
        <f ca="1">IFERROR(__xludf.DUMMYFUNCTION("""COMPUTED_VALUE"""),5)</f>
        <v>5</v>
      </c>
      <c r="E8152" s="2">
        <f ca="1">IFERROR(__xludf.DUMMYFUNCTION("""COMPUTED_VALUE"""),2)</f>
        <v>2</v>
      </c>
    </row>
    <row r="8153" spans="1:5" ht="13">
      <c r="A8153" s="2" t="str">
        <f ca="1">IFERROR(__xludf.DUMMYFUNCTION("""COMPUTED_VALUE"""),"Topolewski, Timothy")</f>
        <v>Topolewski, Timothy</v>
      </c>
      <c r="B8153" s="3">
        <f ca="1">IFERROR(__xludf.DUMMYFUNCTION("""COMPUTED_VALUE"""),1)</f>
        <v>1</v>
      </c>
      <c r="C8153" s="7">
        <f ca="1">IFERROR(__xludf.DUMMYFUNCTION("""COMPUTED_VALUE"""),1)</f>
        <v>1</v>
      </c>
      <c r="D8153" s="8">
        <f ca="1">IFERROR(__xludf.DUMMYFUNCTION("""COMPUTED_VALUE"""),1)</f>
        <v>1</v>
      </c>
      <c r="E8153" s="2">
        <f ca="1">IFERROR(__xludf.DUMMYFUNCTION("""COMPUTED_VALUE"""),1)</f>
        <v>1</v>
      </c>
    </row>
    <row r="8154" spans="1:5" ht="13">
      <c r="A8154" s="2" t="str">
        <f ca="1">IFERROR(__xludf.DUMMYFUNCTION("""COMPUTED_VALUE"""),"Torelli, Giuseppe")</f>
        <v>Torelli, Giuseppe</v>
      </c>
      <c r="B8154" s="3">
        <f ca="1">IFERROR(__xludf.DUMMYFUNCTION("""COMPUTED_VALUE"""),1)</f>
        <v>1</v>
      </c>
      <c r="C8154" s="7">
        <f ca="1">IFERROR(__xludf.DUMMYFUNCTION("""COMPUTED_VALUE"""),1)</f>
        <v>1</v>
      </c>
      <c r="D8154" s="8">
        <f ca="1">IFERROR(__xludf.DUMMYFUNCTION("""COMPUTED_VALUE"""),5)</f>
        <v>5</v>
      </c>
      <c r="E8154" s="2">
        <f ca="1">IFERROR(__xludf.DUMMYFUNCTION("""COMPUTED_VALUE"""),2)</f>
        <v>2</v>
      </c>
    </row>
    <row r="8155" spans="1:5" ht="13">
      <c r="A8155" s="2" t="str">
        <f ca="1">IFERROR(__xludf.DUMMYFUNCTION("""COMPUTED_VALUE"""),"Torian Jr., Charles J.")</f>
        <v>Torian Jr., Charles J.</v>
      </c>
      <c r="B8155" s="2">
        <f ca="1">IFERROR(__xludf.DUMMYFUNCTION("""COMPUTED_VALUE"""),1)</f>
        <v>1</v>
      </c>
      <c r="C8155" s="7">
        <f ca="1">IFERROR(__xludf.DUMMYFUNCTION("""COMPUTED_VALUE"""),1)</f>
        <v>1</v>
      </c>
      <c r="D8155" s="8">
        <f ca="1">IFERROR(__xludf.DUMMYFUNCTION("""COMPUTED_VALUE"""),1)</f>
        <v>1</v>
      </c>
      <c r="E8155" s="2">
        <f ca="1">IFERROR(__xludf.DUMMYFUNCTION("""COMPUTED_VALUE"""),1)</f>
        <v>1</v>
      </c>
    </row>
    <row r="8156" spans="1:5" ht="13">
      <c r="A8156" s="8" t="str">
        <f ca="1">IFERROR(__xludf.DUMMYFUNCTION("""COMPUTED_VALUE"""),"Torjussen, Trygve")</f>
        <v>Torjussen, Trygve</v>
      </c>
      <c r="B8156" s="3">
        <f ca="1">IFERROR(__xludf.DUMMYFUNCTION("""COMPUTED_VALUE"""),1)</f>
        <v>1</v>
      </c>
      <c r="C8156" s="7">
        <f ca="1">IFERROR(__xludf.DUMMYFUNCTION("""COMPUTED_VALUE"""),1)</f>
        <v>1</v>
      </c>
      <c r="D8156" s="8">
        <f ca="1">IFERROR(__xludf.DUMMYFUNCTION("""COMPUTED_VALUE"""),5)</f>
        <v>5</v>
      </c>
      <c r="E8156" s="2">
        <f ca="1">IFERROR(__xludf.DUMMYFUNCTION("""COMPUTED_VALUE"""),2)</f>
        <v>2</v>
      </c>
    </row>
    <row r="8157" spans="1:5" ht="13">
      <c r="A8157" s="2" t="str">
        <f ca="1">IFERROR(__xludf.DUMMYFUNCTION("""COMPUTED_VALUE"""),"Torke, Michael")</f>
        <v>Torke, Michael</v>
      </c>
      <c r="B8157" s="3">
        <f ca="1">IFERROR(__xludf.DUMMYFUNCTION("""COMPUTED_VALUE"""),1)</f>
        <v>1</v>
      </c>
      <c r="C8157" s="7">
        <f ca="1">IFERROR(__xludf.DUMMYFUNCTION("""COMPUTED_VALUE"""),1)</f>
        <v>1</v>
      </c>
      <c r="D8157" s="8">
        <f ca="1">IFERROR(__xludf.DUMMYFUNCTION("""COMPUTED_VALUE"""),1)</f>
        <v>1</v>
      </c>
      <c r="E8157" s="2">
        <f ca="1">IFERROR(__xludf.DUMMYFUNCTION("""COMPUTED_VALUE"""),1)</f>
        <v>1</v>
      </c>
    </row>
    <row r="8158" spans="1:5" ht="13">
      <c r="A8158" s="2" t="str">
        <f ca="1">IFERROR(__xludf.DUMMYFUNCTION("""COMPUTED_VALUE"""),"Tormé, Mel")</f>
        <v>Tormé, Mel</v>
      </c>
      <c r="B8158" s="2">
        <f ca="1">IFERROR(__xludf.DUMMYFUNCTION("""COMPUTED_VALUE"""),1)</f>
        <v>1</v>
      </c>
      <c r="C8158" s="7">
        <f ca="1">IFERROR(__xludf.DUMMYFUNCTION("""COMPUTED_VALUE"""),1)</f>
        <v>1</v>
      </c>
      <c r="D8158" s="8">
        <f ca="1">IFERROR(__xludf.DUMMYFUNCTION("""COMPUTED_VALUE"""),5)</f>
        <v>5</v>
      </c>
      <c r="E8158" s="2">
        <f ca="1">IFERROR(__xludf.DUMMYFUNCTION("""COMPUTED_VALUE"""),2)</f>
        <v>2</v>
      </c>
    </row>
    <row r="8159" spans="1:5" ht="13">
      <c r="A8159" s="2" t="str">
        <f ca="1">IFERROR(__xludf.DUMMYFUNCTION("""COMPUTED_VALUE"""),"Tormé, Mel / Wells, Robert")</f>
        <v>Tormé, Mel / Wells, Robert</v>
      </c>
      <c r="B8159" s="2">
        <f ca="1">IFERROR(__xludf.DUMMYFUNCTION("""COMPUTED_VALUE"""),1)</f>
        <v>1</v>
      </c>
      <c r="C8159" s="7">
        <f ca="1">IFERROR(__xludf.DUMMYFUNCTION("""COMPUTED_VALUE"""),1)</f>
        <v>1</v>
      </c>
      <c r="D8159" s="8">
        <f ca="1">IFERROR(__xludf.DUMMYFUNCTION("""COMPUTED_VALUE"""),5)</f>
        <v>5</v>
      </c>
      <c r="E8159" s="2">
        <f ca="1">IFERROR(__xludf.DUMMYFUNCTION("""COMPUTED_VALUE"""),2)</f>
        <v>2</v>
      </c>
    </row>
    <row r="8160" spans="1:5" ht="13">
      <c r="A8160" s="2" t="str">
        <f ca="1">IFERROR(__xludf.DUMMYFUNCTION("""COMPUTED_VALUE"""),"Tormis, Veljo")</f>
        <v>Tormis, Veljo</v>
      </c>
      <c r="B8160" s="2">
        <f ca="1">IFERROR(__xludf.DUMMYFUNCTION("""COMPUTED_VALUE"""),1)</f>
        <v>1</v>
      </c>
      <c r="C8160" s="7">
        <f ca="1">IFERROR(__xludf.DUMMYFUNCTION("""COMPUTED_VALUE"""),1)</f>
        <v>1</v>
      </c>
      <c r="D8160" s="8">
        <f ca="1">IFERROR(__xludf.DUMMYFUNCTION("""COMPUTED_VALUE"""),5)</f>
        <v>5</v>
      </c>
      <c r="E8160" s="2">
        <f ca="1">IFERROR(__xludf.DUMMYFUNCTION("""COMPUTED_VALUE"""),2)</f>
        <v>2</v>
      </c>
    </row>
    <row r="8161" spans="1:5" ht="13">
      <c r="A8161" s="2" t="str">
        <f ca="1">IFERROR(__xludf.DUMMYFUNCTION("""COMPUTED_VALUE"""),"Torosian, Dan")</f>
        <v>Torosian, Dan</v>
      </c>
      <c r="B8161" s="3">
        <f ca="1">IFERROR(__xludf.DUMMYFUNCTION("""COMPUTED_VALUE"""),1)</f>
        <v>1</v>
      </c>
      <c r="C8161" s="7">
        <f ca="1">IFERROR(__xludf.DUMMYFUNCTION("""COMPUTED_VALUE"""),1)</f>
        <v>1</v>
      </c>
      <c r="D8161" s="8">
        <f ca="1">IFERROR(__xludf.DUMMYFUNCTION("""COMPUTED_VALUE"""),1)</f>
        <v>1</v>
      </c>
      <c r="E8161" s="2">
        <f ca="1">IFERROR(__xludf.DUMMYFUNCTION("""COMPUTED_VALUE"""),1)</f>
        <v>1</v>
      </c>
    </row>
    <row r="8162" spans="1:5" ht="13">
      <c r="A8162" s="2" t="str">
        <f ca="1">IFERROR(__xludf.DUMMYFUNCTION("""COMPUTED_VALUE"""),"Torroba, Federico Moreno")</f>
        <v>Torroba, Federico Moreno</v>
      </c>
      <c r="B8162" s="3">
        <f ca="1">IFERROR(__xludf.DUMMYFUNCTION("""COMPUTED_VALUE"""),1)</f>
        <v>1</v>
      </c>
      <c r="C8162" s="7">
        <f ca="1">IFERROR(__xludf.DUMMYFUNCTION("""COMPUTED_VALUE"""),1)</f>
        <v>1</v>
      </c>
      <c r="D8162" s="8">
        <f ca="1">IFERROR(__xludf.DUMMYFUNCTION("""COMPUTED_VALUE"""),5)</f>
        <v>5</v>
      </c>
      <c r="E8162" s="2">
        <f ca="1">IFERROR(__xludf.DUMMYFUNCTION("""COMPUTED_VALUE"""),2)</f>
        <v>2</v>
      </c>
    </row>
    <row r="8163" spans="1:5" ht="13">
      <c r="A8163" s="2" t="str">
        <f ca="1">IFERROR(__xludf.DUMMYFUNCTION("""COMPUTED_VALUE"""),"Tortolano, William")</f>
        <v>Tortolano, William</v>
      </c>
      <c r="B8163" s="2">
        <f ca="1">IFERROR(__xludf.DUMMYFUNCTION("""COMPUTED_VALUE"""),1)</f>
        <v>1</v>
      </c>
      <c r="C8163" s="2">
        <f ca="1">IFERROR(__xludf.DUMMYFUNCTION("""COMPUTED_VALUE"""),1)</f>
        <v>1</v>
      </c>
      <c r="D8163" s="8">
        <f ca="1">IFERROR(__xludf.DUMMYFUNCTION("""COMPUTED_VALUE"""),1)</f>
        <v>1</v>
      </c>
      <c r="E8163" s="2">
        <f ca="1">IFERROR(__xludf.DUMMYFUNCTION("""COMPUTED_VALUE"""),1)</f>
        <v>1</v>
      </c>
    </row>
    <row r="8164" spans="1:5" ht="13">
      <c r="A8164" s="2" t="str">
        <f ca="1">IFERROR(__xludf.DUMMYFUNCTION("""COMPUTED_VALUE"""),"Toselli, Enrico")</f>
        <v>Toselli, Enrico</v>
      </c>
      <c r="B8164" s="2">
        <f ca="1">IFERROR(__xludf.DUMMYFUNCTION("""COMPUTED_VALUE"""),1)</f>
        <v>1</v>
      </c>
      <c r="C8164" s="7">
        <f ca="1">IFERROR(__xludf.DUMMYFUNCTION("""COMPUTED_VALUE"""),1)</f>
        <v>1</v>
      </c>
      <c r="D8164" s="8">
        <f ca="1">IFERROR(__xludf.DUMMYFUNCTION("""COMPUTED_VALUE"""),5)</f>
        <v>5</v>
      </c>
      <c r="E8164" s="2">
        <f ca="1">IFERROR(__xludf.DUMMYFUNCTION("""COMPUTED_VALUE"""),2)</f>
        <v>2</v>
      </c>
    </row>
    <row r="8165" spans="1:5" ht="13">
      <c r="A8165" s="2" t="str">
        <f ca="1">IFERROR(__xludf.DUMMYFUNCTION("""COMPUTED_VALUE"""),"Tosti, Francesco Paolo")</f>
        <v>Tosti, Francesco Paolo</v>
      </c>
      <c r="B8165" s="3">
        <f ca="1">IFERROR(__xludf.DUMMYFUNCTION("""COMPUTED_VALUE"""),1)</f>
        <v>1</v>
      </c>
      <c r="C8165" s="7">
        <f ca="1">IFERROR(__xludf.DUMMYFUNCTION("""COMPUTED_VALUE"""),1)</f>
        <v>1</v>
      </c>
      <c r="D8165" s="8">
        <f ca="1">IFERROR(__xludf.DUMMYFUNCTION("""COMPUTED_VALUE"""),5)</f>
        <v>5</v>
      </c>
      <c r="E8165" s="2">
        <f ca="1">IFERROR(__xludf.DUMMYFUNCTION("""COMPUTED_VALUE"""),2)</f>
        <v>2</v>
      </c>
    </row>
    <row r="8166" spans="1:5" ht="13">
      <c r="A8166" s="2" t="str">
        <f ca="1">IFERROR(__xludf.DUMMYFUNCTION("""COMPUTED_VALUE"""),"Touchette, Charles")</f>
        <v>Touchette, Charles</v>
      </c>
      <c r="B8166" s="3">
        <f ca="1">IFERROR(__xludf.DUMMYFUNCTION("""COMPUTED_VALUE"""),1)</f>
        <v>1</v>
      </c>
      <c r="C8166" s="7">
        <f ca="1">IFERROR(__xludf.DUMMYFUNCTION("""COMPUTED_VALUE"""),1)</f>
        <v>1</v>
      </c>
      <c r="D8166" s="8">
        <f ca="1">IFERROR(__xludf.DUMMYFUNCTION("""COMPUTED_VALUE"""),5)</f>
        <v>5</v>
      </c>
      <c r="E8166" s="2">
        <f ca="1">IFERROR(__xludf.DUMMYFUNCTION("""COMPUTED_VALUE"""),2)</f>
        <v>2</v>
      </c>
    </row>
    <row r="8167" spans="1:5" ht="13">
      <c r="A8167" s="2" t="str">
        <f ca="1">IFERROR(__xludf.DUMMYFUNCTION("""COMPUTED_VALUE"""),"Tournier, Marcel")</f>
        <v>Tournier, Marcel</v>
      </c>
      <c r="B8167" s="2">
        <f ca="1">IFERROR(__xludf.DUMMYFUNCTION("""COMPUTED_VALUE"""),1)</f>
        <v>1</v>
      </c>
      <c r="C8167" s="7">
        <f ca="1">IFERROR(__xludf.DUMMYFUNCTION("""COMPUTED_VALUE"""),1)</f>
        <v>1</v>
      </c>
      <c r="D8167" s="8">
        <f ca="1">IFERROR(__xludf.DUMMYFUNCTION("""COMPUTED_VALUE"""),5)</f>
        <v>5</v>
      </c>
      <c r="E8167" s="2">
        <f ca="1">IFERROR(__xludf.DUMMYFUNCTION("""COMPUTED_VALUE"""),2)</f>
        <v>2</v>
      </c>
    </row>
    <row r="8168" spans="1:5" ht="13">
      <c r="A8168" s="2" t="str">
        <f ca="1">IFERROR(__xludf.DUMMYFUNCTION("""COMPUTED_VALUE"""),"Tousignant, Martin")</f>
        <v>Tousignant, Martin</v>
      </c>
      <c r="B8168" s="3">
        <f ca="1">IFERROR(__xludf.DUMMYFUNCTION("""COMPUTED_VALUE"""),1)</f>
        <v>1</v>
      </c>
      <c r="C8168" s="7">
        <f ca="1">IFERROR(__xludf.DUMMYFUNCTION("""COMPUTED_VALUE"""),1)</f>
        <v>1</v>
      </c>
      <c r="D8168" s="8">
        <f ca="1">IFERROR(__xludf.DUMMYFUNCTION("""COMPUTED_VALUE"""),1)</f>
        <v>1</v>
      </c>
      <c r="E8168" s="2">
        <f ca="1">IFERROR(__xludf.DUMMYFUNCTION("""COMPUTED_VALUE"""),1)</f>
        <v>1</v>
      </c>
    </row>
    <row r="8169" spans="1:5" ht="13">
      <c r="A8169" s="2" t="str">
        <f ca="1">IFERROR(__xludf.DUMMYFUNCTION("""COMPUTED_VALUE"""),"Tovey, Bramwell")</f>
        <v>Tovey, Bramwell</v>
      </c>
      <c r="B8169" s="3">
        <f ca="1">IFERROR(__xludf.DUMMYFUNCTION("""COMPUTED_VALUE"""),1)</f>
        <v>1</v>
      </c>
      <c r="C8169" s="7">
        <f ca="1">IFERROR(__xludf.DUMMYFUNCTION("""COMPUTED_VALUE"""),1)</f>
        <v>1</v>
      </c>
      <c r="D8169" s="8">
        <f ca="1">IFERROR(__xludf.DUMMYFUNCTION("""COMPUTED_VALUE"""),1)</f>
        <v>1</v>
      </c>
      <c r="E8169" s="2">
        <f ca="1">IFERROR(__xludf.DUMMYFUNCTION("""COMPUTED_VALUE"""),1)</f>
        <v>1</v>
      </c>
    </row>
    <row r="8170" spans="1:5" ht="13">
      <c r="A8170" s="2" t="str">
        <f ca="1">IFERROR(__xludf.DUMMYFUNCTION("""COMPUTED_VALUE"""),"Townend, Stuart")</f>
        <v>Townend, Stuart</v>
      </c>
      <c r="B8170" s="3">
        <f ca="1">IFERROR(__xludf.DUMMYFUNCTION("""COMPUTED_VALUE"""),1)</f>
        <v>1</v>
      </c>
      <c r="C8170" s="7">
        <f ca="1">IFERROR(__xludf.DUMMYFUNCTION("""COMPUTED_VALUE"""),1)</f>
        <v>1</v>
      </c>
      <c r="D8170" s="8">
        <f ca="1">IFERROR(__xludf.DUMMYFUNCTION("""COMPUTED_VALUE"""),1)</f>
        <v>1</v>
      </c>
      <c r="E8170" s="2">
        <f ca="1">IFERROR(__xludf.DUMMYFUNCTION("""COMPUTED_VALUE"""),1)</f>
        <v>1</v>
      </c>
    </row>
    <row r="8171" spans="1:5" ht="13">
      <c r="A8171" s="2" t="str">
        <f ca="1">IFERROR(__xludf.DUMMYFUNCTION("""COMPUTED_VALUE"""),"Towns, Colin")</f>
        <v>Towns, Colin</v>
      </c>
      <c r="B8171" s="3">
        <f ca="1">IFERROR(__xludf.DUMMYFUNCTION("""COMPUTED_VALUE"""),1)</f>
        <v>1</v>
      </c>
      <c r="C8171" s="7">
        <f ca="1">IFERROR(__xludf.DUMMYFUNCTION("""COMPUTED_VALUE"""),1)</f>
        <v>1</v>
      </c>
      <c r="D8171" s="8">
        <f ca="1">IFERROR(__xludf.DUMMYFUNCTION("""COMPUTED_VALUE"""),1)</f>
        <v>1</v>
      </c>
      <c r="E8171" s="2">
        <f ca="1">IFERROR(__xludf.DUMMYFUNCTION("""COMPUTED_VALUE"""),1)</f>
        <v>1</v>
      </c>
    </row>
    <row r="8172" spans="1:5" ht="13">
      <c r="A8172" s="2" t="str">
        <f ca="1">IFERROR(__xludf.DUMMYFUNCTION("""COMPUTED_VALUE"""),"Townsend, Douglas")</f>
        <v>Townsend, Douglas</v>
      </c>
      <c r="B8172" s="3">
        <f ca="1">IFERROR(__xludf.DUMMYFUNCTION("""COMPUTED_VALUE"""),1)</f>
        <v>1</v>
      </c>
      <c r="C8172" s="7">
        <f ca="1">IFERROR(__xludf.DUMMYFUNCTION("""COMPUTED_VALUE"""),1)</f>
        <v>1</v>
      </c>
      <c r="D8172" s="8">
        <f ca="1">IFERROR(__xludf.DUMMYFUNCTION("""COMPUTED_VALUE"""),5)</f>
        <v>5</v>
      </c>
      <c r="E8172" s="2">
        <f ca="1">IFERROR(__xludf.DUMMYFUNCTION("""COMPUTED_VALUE"""),2)</f>
        <v>2</v>
      </c>
    </row>
    <row r="8173" spans="1:5" ht="13">
      <c r="A8173" s="8" t="str">
        <f ca="1">IFERROR(__xludf.DUMMYFUNCTION("""COMPUTED_VALUE"""),"Track, Gerhard")</f>
        <v>Track, Gerhard</v>
      </c>
      <c r="B8173" s="3">
        <f ca="1">IFERROR(__xludf.DUMMYFUNCTION("""COMPUTED_VALUE"""),1)</f>
        <v>1</v>
      </c>
      <c r="C8173" s="7">
        <f ca="1">IFERROR(__xludf.DUMMYFUNCTION("""COMPUTED_VALUE"""),1)</f>
        <v>1</v>
      </c>
      <c r="D8173" s="8">
        <f ca="1">IFERROR(__xludf.DUMMYFUNCTION("""COMPUTED_VALUE"""),5)</f>
        <v>5</v>
      </c>
      <c r="E8173" s="2">
        <f ca="1">IFERROR(__xludf.DUMMYFUNCTION("""COMPUTED_VALUE"""),2)</f>
        <v>2</v>
      </c>
    </row>
    <row r="8174" spans="1:5" ht="13">
      <c r="A8174" s="8" t="str">
        <f ca="1">IFERROR(__xludf.DUMMYFUNCTION("""COMPUTED_VALUE"""),"Traditional - Rabe, Folke")</f>
        <v>Traditional - Rabe, Folke</v>
      </c>
      <c r="B8174" s="3">
        <f ca="1">IFERROR(__xludf.DUMMYFUNCTION("""COMPUTED_VALUE"""),1)</f>
        <v>1</v>
      </c>
      <c r="C8174" s="7">
        <f ca="1">IFERROR(__xludf.DUMMYFUNCTION("""COMPUTED_VALUE"""),1)</f>
        <v>1</v>
      </c>
      <c r="D8174" s="8">
        <f ca="1">IFERROR(__xludf.DUMMYFUNCTION("""COMPUTED_VALUE"""),5)</f>
        <v>5</v>
      </c>
      <c r="E8174" s="2">
        <f ca="1">IFERROR(__xludf.DUMMYFUNCTION("""COMPUTED_VALUE"""),2)</f>
        <v>2</v>
      </c>
    </row>
    <row r="8175" spans="1:5" ht="13">
      <c r="A8175" s="2" t="str">
        <f ca="1">IFERROR(__xludf.DUMMYFUNCTION("""COMPUTED_VALUE"""),"Traetta, Tommaso")</f>
        <v>Traetta, Tommaso</v>
      </c>
      <c r="B8175" s="3">
        <f ca="1">IFERROR(__xludf.DUMMYFUNCTION("""COMPUTED_VALUE"""),1)</f>
        <v>1</v>
      </c>
      <c r="C8175" s="7">
        <f ca="1">IFERROR(__xludf.DUMMYFUNCTION("""COMPUTED_VALUE"""),1)</f>
        <v>1</v>
      </c>
      <c r="D8175" s="8">
        <f ca="1">IFERROR(__xludf.DUMMYFUNCTION("""COMPUTED_VALUE"""),5)</f>
        <v>5</v>
      </c>
      <c r="E8175" s="2">
        <f ca="1">IFERROR(__xludf.DUMMYFUNCTION("""COMPUTED_VALUE"""),2)</f>
        <v>2</v>
      </c>
    </row>
    <row r="8176" spans="1:5" ht="13">
      <c r="A8176" s="8" t="str">
        <f ca="1">IFERROR(__xludf.DUMMYFUNCTION("""COMPUTED_VALUE"""),"Trahey, Dan")</f>
        <v>Trahey, Dan</v>
      </c>
      <c r="B8176" s="3">
        <f ca="1">IFERROR(__xludf.DUMMYFUNCTION("""COMPUTED_VALUE"""),1)</f>
        <v>1</v>
      </c>
      <c r="C8176" s="7">
        <f ca="1">IFERROR(__xludf.DUMMYFUNCTION("""COMPUTED_VALUE"""),1)</f>
        <v>1</v>
      </c>
      <c r="D8176" s="8">
        <f ca="1">IFERROR(__xludf.DUMMYFUNCTION("""COMPUTED_VALUE"""),1)</f>
        <v>1</v>
      </c>
      <c r="E8176" s="2">
        <f ca="1">IFERROR(__xludf.DUMMYFUNCTION("""COMPUTED_VALUE"""),1)</f>
        <v>1</v>
      </c>
    </row>
    <row r="8177" spans="1:5" ht="13">
      <c r="A8177" s="2" t="str">
        <f ca="1">IFERROR(__xludf.DUMMYFUNCTION("""COMPUTED_VALUE"""),"Tramack, Steve")</f>
        <v>Tramack, Steve</v>
      </c>
      <c r="B8177" s="2">
        <f ca="1">IFERROR(__xludf.DUMMYFUNCTION("""COMPUTED_VALUE"""),1)</f>
        <v>1</v>
      </c>
      <c r="C8177" s="7">
        <f ca="1">IFERROR(__xludf.DUMMYFUNCTION("""COMPUTED_VALUE"""),1)</f>
        <v>1</v>
      </c>
      <c r="D8177" s="8">
        <f ca="1">IFERROR(__xludf.DUMMYFUNCTION("""COMPUTED_VALUE"""),1)</f>
        <v>1</v>
      </c>
      <c r="E8177" s="2">
        <f ca="1">IFERROR(__xludf.DUMMYFUNCTION("""COMPUTED_VALUE"""),1)</f>
        <v>1</v>
      </c>
    </row>
    <row r="8178" spans="1:5" ht="13">
      <c r="A8178" s="2" t="str">
        <f ca="1">IFERROR(__xludf.DUMMYFUNCTION("""COMPUTED_VALUE"""),"Trant, Brian")</f>
        <v>Trant, Brian</v>
      </c>
      <c r="B8178" s="3">
        <f ca="1">IFERROR(__xludf.DUMMYFUNCTION("""COMPUTED_VALUE"""),1)</f>
        <v>1</v>
      </c>
      <c r="C8178" s="7">
        <f ca="1">IFERROR(__xludf.DUMMYFUNCTION("""COMPUTED_VALUE"""),1)</f>
        <v>1</v>
      </c>
      <c r="D8178" s="8">
        <f ca="1">IFERROR(__xludf.DUMMYFUNCTION("""COMPUTED_VALUE"""),1)</f>
        <v>1</v>
      </c>
      <c r="E8178" s="2">
        <f ca="1">IFERROR(__xludf.DUMMYFUNCTION("""COMPUTED_VALUE"""),1)</f>
        <v>1</v>
      </c>
    </row>
    <row r="8179" spans="1:5" ht="13">
      <c r="A8179" s="2" t="str">
        <f ca="1">IFERROR(__xludf.DUMMYFUNCTION("""COMPUTED_VALUE"""),"Trapkus, Paul")</f>
        <v>Trapkus, Paul</v>
      </c>
      <c r="B8179" s="3">
        <f ca="1">IFERROR(__xludf.DUMMYFUNCTION("""COMPUTED_VALUE"""),1)</f>
        <v>1</v>
      </c>
      <c r="C8179" s="7">
        <f ca="1">IFERROR(__xludf.DUMMYFUNCTION("""COMPUTED_VALUE"""),1)</f>
        <v>1</v>
      </c>
      <c r="D8179" s="8">
        <f ca="1">IFERROR(__xludf.DUMMYFUNCTION("""COMPUTED_VALUE"""),1)</f>
        <v>1</v>
      </c>
      <c r="E8179" s="2">
        <f ca="1">IFERROR(__xludf.DUMMYFUNCTION("""COMPUTED_VALUE"""),1)</f>
        <v>1</v>
      </c>
    </row>
    <row r="8180" spans="1:5" ht="13">
      <c r="A8180" s="2" t="str">
        <f ca="1">IFERROR(__xludf.DUMMYFUNCTION("""COMPUTED_VALUE"""),"Traugh, Robert")</f>
        <v>Traugh, Robert</v>
      </c>
      <c r="B8180" s="2">
        <f ca="1">IFERROR(__xludf.DUMMYFUNCTION("""COMPUTED_VALUE"""),1)</f>
        <v>1</v>
      </c>
      <c r="C8180" s="7">
        <f ca="1">IFERROR(__xludf.DUMMYFUNCTION("""COMPUTED_VALUE"""),1)</f>
        <v>1</v>
      </c>
      <c r="D8180" s="8">
        <f ca="1">IFERROR(__xludf.DUMMYFUNCTION("""COMPUTED_VALUE"""),1)</f>
        <v>1</v>
      </c>
      <c r="E8180" s="2">
        <f ca="1">IFERROR(__xludf.DUMMYFUNCTION("""COMPUTED_VALUE"""),1)</f>
        <v>1</v>
      </c>
    </row>
    <row r="8181" spans="1:5" ht="13">
      <c r="A8181" s="2" t="str">
        <f ca="1">IFERROR(__xludf.DUMMYFUNCTION("""COMPUTED_VALUE"""),"Travassos, Alexandre")</f>
        <v>Travassos, Alexandre</v>
      </c>
      <c r="B8181" s="3">
        <f ca="1">IFERROR(__xludf.DUMMYFUNCTION("""COMPUTED_VALUE"""),1)</f>
        <v>1</v>
      </c>
      <c r="C8181" s="7">
        <f ca="1">IFERROR(__xludf.DUMMYFUNCTION("""COMPUTED_VALUE"""),1)</f>
        <v>1</v>
      </c>
      <c r="D8181" s="8">
        <f ca="1">IFERROR(__xludf.DUMMYFUNCTION("""COMPUTED_VALUE"""),1)</f>
        <v>1</v>
      </c>
      <c r="E8181" s="2">
        <f ca="1">IFERROR(__xludf.DUMMYFUNCTION("""COMPUTED_VALUE"""),1)</f>
        <v>1</v>
      </c>
    </row>
    <row r="8182" spans="1:5" ht="13">
      <c r="A8182" s="2" t="str">
        <f ca="1">IFERROR(__xludf.DUMMYFUNCTION("""COMPUTED_VALUE"""),"Travis, Merle")</f>
        <v>Travis, Merle</v>
      </c>
      <c r="B8182" s="3">
        <f ca="1">IFERROR(__xludf.DUMMYFUNCTION("""COMPUTED_VALUE"""),1)</f>
        <v>1</v>
      </c>
      <c r="C8182" s="7">
        <f ca="1">IFERROR(__xludf.DUMMYFUNCTION("""COMPUTED_VALUE"""),1)</f>
        <v>1</v>
      </c>
      <c r="D8182" s="8">
        <f ca="1">IFERROR(__xludf.DUMMYFUNCTION("""COMPUTED_VALUE"""),5)</f>
        <v>5</v>
      </c>
      <c r="E8182" s="2">
        <f ca="1">IFERROR(__xludf.DUMMYFUNCTION("""COMPUTED_VALUE"""),2)</f>
        <v>2</v>
      </c>
    </row>
    <row r="8183" spans="1:5" ht="13">
      <c r="A8183" s="2" t="str">
        <f ca="1">IFERROR(__xludf.DUMMYFUNCTION("""COMPUTED_VALUE"""),"Tredici, David Del")</f>
        <v>Tredici, David Del</v>
      </c>
      <c r="B8183" s="3">
        <f ca="1">IFERROR(__xludf.DUMMYFUNCTION("""COMPUTED_VALUE"""),1)</f>
        <v>1</v>
      </c>
      <c r="C8183" s="7">
        <f ca="1">IFERROR(__xludf.DUMMYFUNCTION("""COMPUTED_VALUE"""),1)</f>
        <v>1</v>
      </c>
      <c r="D8183" s="8">
        <f ca="1">IFERROR(__xludf.DUMMYFUNCTION("""COMPUTED_VALUE"""),5)</f>
        <v>5</v>
      </c>
      <c r="E8183" s="2">
        <f ca="1">IFERROR(__xludf.DUMMYFUNCTION("""COMPUTED_VALUE"""),2)</f>
        <v>2</v>
      </c>
    </row>
    <row r="8184" spans="1:5" ht="13">
      <c r="A8184" s="8" t="str">
        <f ca="1">IFERROR(__xludf.DUMMYFUNCTION("""COMPUTED_VALUE"""),"Treharne, Bryceson")</f>
        <v>Treharne, Bryceson</v>
      </c>
      <c r="B8184" s="9">
        <f ca="1">IFERROR(__xludf.DUMMYFUNCTION("""COMPUTED_VALUE"""),1)</f>
        <v>1</v>
      </c>
      <c r="C8184" s="7">
        <f ca="1">IFERROR(__xludf.DUMMYFUNCTION("""COMPUTED_VALUE"""),1)</f>
        <v>1</v>
      </c>
      <c r="D8184" s="8">
        <f ca="1">IFERROR(__xludf.DUMMYFUNCTION("""COMPUTED_VALUE"""),1)</f>
        <v>1</v>
      </c>
      <c r="E8184" s="9">
        <f ca="1">IFERROR(__xludf.DUMMYFUNCTION("""COMPUTED_VALUE"""),1)</f>
        <v>1</v>
      </c>
    </row>
    <row r="8185" spans="1:5" ht="13">
      <c r="A8185" s="2" t="str">
        <f ca="1">IFERROR(__xludf.DUMMYFUNCTION("""COMPUTED_VALUE"""),"Trenet, Charles")</f>
        <v>Trenet, Charles</v>
      </c>
      <c r="B8185" s="3">
        <f ca="1">IFERROR(__xludf.DUMMYFUNCTION("""COMPUTED_VALUE"""),1)</f>
        <v>1</v>
      </c>
      <c r="C8185" s="7">
        <f ca="1">IFERROR(__xludf.DUMMYFUNCTION("""COMPUTED_VALUE"""),1)</f>
        <v>1</v>
      </c>
      <c r="D8185" s="8">
        <f ca="1">IFERROR(__xludf.DUMMYFUNCTION("""COMPUTED_VALUE"""),5)</f>
        <v>5</v>
      </c>
      <c r="E8185" s="2">
        <f ca="1">IFERROR(__xludf.DUMMYFUNCTION("""COMPUTED_VALUE"""),2)</f>
        <v>2</v>
      </c>
    </row>
    <row r="8186" spans="1:5" ht="13">
      <c r="A8186" s="2" t="str">
        <f ca="1">IFERROR(__xludf.DUMMYFUNCTION("""COMPUTED_VALUE"""),"Trenney, Tom")</f>
        <v>Trenney, Tom</v>
      </c>
      <c r="B8186" s="2">
        <f ca="1">IFERROR(__xludf.DUMMYFUNCTION("""COMPUTED_VALUE"""),1)</f>
        <v>1</v>
      </c>
      <c r="C8186" s="7">
        <f ca="1">IFERROR(__xludf.DUMMYFUNCTION("""COMPUTED_VALUE"""),1)</f>
        <v>1</v>
      </c>
      <c r="D8186" s="8">
        <f ca="1">IFERROR(__xludf.DUMMYFUNCTION("""COMPUTED_VALUE"""),1)</f>
        <v>1</v>
      </c>
      <c r="E8186" s="2">
        <f ca="1">IFERROR(__xludf.DUMMYFUNCTION("""COMPUTED_VALUE"""),1)</f>
        <v>1</v>
      </c>
    </row>
    <row r="8187" spans="1:5" ht="13">
      <c r="A8187" s="2" t="str">
        <f ca="1">IFERROR(__xludf.DUMMYFUNCTION("""COMPUTED_VALUE"""),"Trentadue, Josh")</f>
        <v>Trentadue, Josh</v>
      </c>
      <c r="B8187" s="3">
        <f ca="1">IFERROR(__xludf.DUMMYFUNCTION("""COMPUTED_VALUE"""),1)</f>
        <v>1</v>
      </c>
      <c r="C8187" s="7">
        <f ca="1">IFERROR(__xludf.DUMMYFUNCTION("""COMPUTED_VALUE"""),1)</f>
        <v>1</v>
      </c>
      <c r="D8187" s="8">
        <f ca="1">IFERROR(__xludf.DUMMYFUNCTION("""COMPUTED_VALUE"""),1)</f>
        <v>1</v>
      </c>
      <c r="E8187" s="2">
        <f ca="1">IFERROR(__xludf.DUMMYFUNCTION("""COMPUTED_VALUE"""),1)</f>
        <v>1</v>
      </c>
    </row>
    <row r="8188" spans="1:5" ht="13">
      <c r="A8188" s="8" t="str">
        <f ca="1">IFERROR(__xludf.DUMMYFUNCTION("""COMPUTED_VALUE"""),"Trew, Arthur")</f>
        <v>Trew, Arthur</v>
      </c>
      <c r="B8188" s="3">
        <f ca="1">IFERROR(__xludf.DUMMYFUNCTION("""COMPUTED_VALUE"""),1)</f>
        <v>1</v>
      </c>
      <c r="C8188" s="7">
        <f ca="1">IFERROR(__xludf.DUMMYFUNCTION("""COMPUTED_VALUE"""),1)</f>
        <v>1</v>
      </c>
      <c r="D8188" s="8">
        <f ca="1">IFERROR(__xludf.DUMMYFUNCTION("""COMPUTED_VALUE"""),5)</f>
        <v>5</v>
      </c>
      <c r="E8188" s="2">
        <f ca="1">IFERROR(__xludf.DUMMYFUNCTION("""COMPUTED_VALUE"""),2)</f>
        <v>2</v>
      </c>
    </row>
    <row r="8189" spans="1:5" ht="13">
      <c r="A8189" s="2" t="str">
        <f ca="1">IFERROR(__xludf.DUMMYFUNCTION("""COMPUTED_VALUE"""),"Triebensee, Josef")</f>
        <v>Triebensee, Josef</v>
      </c>
      <c r="B8189" s="3">
        <f ca="1">IFERROR(__xludf.DUMMYFUNCTION("""COMPUTED_VALUE"""),1)</f>
        <v>1</v>
      </c>
      <c r="C8189" s="7">
        <f ca="1">IFERROR(__xludf.DUMMYFUNCTION("""COMPUTED_VALUE"""),1)</f>
        <v>1</v>
      </c>
      <c r="D8189" s="8">
        <f ca="1">IFERROR(__xludf.DUMMYFUNCTION("""COMPUTED_VALUE"""),5)</f>
        <v>5</v>
      </c>
      <c r="E8189" s="2">
        <f ca="1">IFERROR(__xludf.DUMMYFUNCTION("""COMPUTED_VALUE"""),2)</f>
        <v>2</v>
      </c>
    </row>
    <row r="8190" spans="1:5" ht="13">
      <c r="A8190" s="2" t="str">
        <f ca="1">IFERROR(__xludf.DUMMYFUNCTION("""COMPUTED_VALUE"""),"Trifonov, Daniil")</f>
        <v>Trifonov, Daniil</v>
      </c>
      <c r="B8190" s="3">
        <f ca="1">IFERROR(__xludf.DUMMYFUNCTION("""COMPUTED_VALUE"""),1)</f>
        <v>1</v>
      </c>
      <c r="C8190" s="7">
        <f ca="1">IFERROR(__xludf.DUMMYFUNCTION("""COMPUTED_VALUE"""),1)</f>
        <v>1</v>
      </c>
      <c r="D8190" s="8">
        <f ca="1">IFERROR(__xludf.DUMMYFUNCTION("""COMPUTED_VALUE"""),1)</f>
        <v>1</v>
      </c>
      <c r="E8190" s="2">
        <f ca="1">IFERROR(__xludf.DUMMYFUNCTION("""COMPUTED_VALUE"""),1)</f>
        <v>1</v>
      </c>
    </row>
    <row r="8191" spans="1:5" ht="13">
      <c r="A8191" s="2" t="str">
        <f ca="1">IFERROR(__xludf.DUMMYFUNCTION("""COMPUTED_VALUE"""),"Trimmer, Holden")</f>
        <v>Trimmer, Holden</v>
      </c>
      <c r="B8191" s="3">
        <f ca="1">IFERROR(__xludf.DUMMYFUNCTION("""COMPUTED_VALUE"""),1)</f>
        <v>1</v>
      </c>
      <c r="C8191" s="7">
        <f ca="1">IFERROR(__xludf.DUMMYFUNCTION("""COMPUTED_VALUE"""),1)</f>
        <v>1</v>
      </c>
      <c r="D8191" s="8">
        <f ca="1">IFERROR(__xludf.DUMMYFUNCTION("""COMPUTED_VALUE"""),1)</f>
        <v>1</v>
      </c>
      <c r="E8191" s="2">
        <f ca="1">IFERROR(__xludf.DUMMYFUNCTION("""COMPUTED_VALUE"""),1)</f>
        <v>1</v>
      </c>
    </row>
    <row r="8192" spans="1:5" ht="13">
      <c r="A8192" s="2" t="str">
        <f ca="1">IFERROR(__xludf.DUMMYFUNCTION("""COMPUTED_VALUE"""),"Trinkley, Bruce")</f>
        <v>Trinkley, Bruce</v>
      </c>
      <c r="B8192" s="3">
        <f ca="1">IFERROR(__xludf.DUMMYFUNCTION("""COMPUTED_VALUE"""),1)</f>
        <v>1</v>
      </c>
      <c r="C8192" s="7">
        <f ca="1">IFERROR(__xludf.DUMMYFUNCTION("""COMPUTED_VALUE"""),1)</f>
        <v>1</v>
      </c>
      <c r="D8192" s="8">
        <f ca="1">IFERROR(__xludf.DUMMYFUNCTION("""COMPUTED_VALUE"""),1)</f>
        <v>1</v>
      </c>
      <c r="E8192" s="2">
        <f ca="1">IFERROR(__xludf.DUMMYFUNCTION("""COMPUTED_VALUE"""),1)</f>
        <v>1</v>
      </c>
    </row>
    <row r="8193" spans="1:5" ht="13">
      <c r="A8193" s="2" t="str">
        <f ca="1">IFERROR(__xludf.DUMMYFUNCTION("""COMPUTED_VALUE"""),"Trivonov, Daniil")</f>
        <v>Trivonov, Daniil</v>
      </c>
      <c r="B8193" s="2">
        <f ca="1">IFERROR(__xludf.DUMMYFUNCTION("""COMPUTED_VALUE"""),1)</f>
        <v>1</v>
      </c>
      <c r="C8193" s="7">
        <f ca="1">IFERROR(__xludf.DUMMYFUNCTION("""COMPUTED_VALUE"""),1)</f>
        <v>1</v>
      </c>
      <c r="D8193" s="8">
        <f ca="1">IFERROR(__xludf.DUMMYFUNCTION("""COMPUTED_VALUE"""),1)</f>
        <v>1</v>
      </c>
      <c r="E8193" s="2">
        <f ca="1">IFERROR(__xludf.DUMMYFUNCTION("""COMPUTED_VALUE"""),1)</f>
        <v>1</v>
      </c>
    </row>
    <row r="8194" spans="1:5" ht="13">
      <c r="A8194" s="2" t="str">
        <f ca="1">IFERROR(__xludf.DUMMYFUNCTION("""COMPUTED_VALUE"""),"Trobaugh, R. Eben")</f>
        <v>Trobaugh, R. Eben</v>
      </c>
      <c r="B8194" s="3">
        <f ca="1">IFERROR(__xludf.DUMMYFUNCTION("""COMPUTED_VALUE"""),1)</f>
        <v>1</v>
      </c>
      <c r="C8194" s="7">
        <f ca="1">IFERROR(__xludf.DUMMYFUNCTION("""COMPUTED_VALUE"""),1)</f>
        <v>1</v>
      </c>
      <c r="D8194" s="8">
        <f ca="1">IFERROR(__xludf.DUMMYFUNCTION("""COMPUTED_VALUE"""),1)</f>
        <v>1</v>
      </c>
      <c r="E8194" s="2">
        <f ca="1">IFERROR(__xludf.DUMMYFUNCTION("""COMPUTED_VALUE"""),1)</f>
        <v>1</v>
      </c>
    </row>
    <row r="8195" spans="1:5" ht="13">
      <c r="A8195" s="2" t="str">
        <f ca="1">IFERROR(__xludf.DUMMYFUNCTION("""COMPUTED_VALUE"""),"Trotsuk, Bogdan")</f>
        <v>Trotsuk, Bogdan</v>
      </c>
      <c r="B8195" s="3">
        <f ca="1">IFERROR(__xludf.DUMMYFUNCTION("""COMPUTED_VALUE"""),1)</f>
        <v>1</v>
      </c>
      <c r="C8195" s="7">
        <f ca="1">IFERROR(__xludf.DUMMYFUNCTION("""COMPUTED_VALUE"""),1)</f>
        <v>1</v>
      </c>
      <c r="D8195" s="8">
        <f ca="1">IFERROR(__xludf.DUMMYFUNCTION("""COMPUTED_VALUE"""),1)</f>
        <v>1</v>
      </c>
      <c r="E8195" s="3">
        <f ca="1">IFERROR(__xludf.DUMMYFUNCTION("""COMPUTED_VALUE"""),1)</f>
        <v>1</v>
      </c>
    </row>
    <row r="8196" spans="1:5" ht="13">
      <c r="A8196" s="2" t="str">
        <f ca="1">IFERROR(__xludf.DUMMYFUNCTION("""COMPUTED_VALUE"""),"Trotta, Michael John")</f>
        <v>Trotta, Michael John</v>
      </c>
      <c r="B8196" s="2">
        <f ca="1">IFERROR(__xludf.DUMMYFUNCTION("""COMPUTED_VALUE"""),1)</f>
        <v>1</v>
      </c>
      <c r="C8196" s="7">
        <f ca="1">IFERROR(__xludf.DUMMYFUNCTION("""COMPUTED_VALUE"""),1)</f>
        <v>1</v>
      </c>
      <c r="D8196" s="8">
        <f ca="1">IFERROR(__xludf.DUMMYFUNCTION("""COMPUTED_VALUE"""),1)</f>
        <v>1</v>
      </c>
      <c r="E8196" s="2">
        <f ca="1">IFERROR(__xludf.DUMMYFUNCTION("""COMPUTED_VALUE"""),1)</f>
        <v>1</v>
      </c>
    </row>
    <row r="8197" spans="1:5" ht="13">
      <c r="A8197" s="2" t="str">
        <f ca="1">IFERROR(__xludf.DUMMYFUNCTION("""COMPUTED_VALUE"""),"Troup, Bobby")</f>
        <v>Troup, Bobby</v>
      </c>
      <c r="B8197" s="2">
        <f ca="1">IFERROR(__xludf.DUMMYFUNCTION("""COMPUTED_VALUE"""),1)</f>
        <v>1</v>
      </c>
      <c r="C8197" s="7">
        <f ca="1">IFERROR(__xludf.DUMMYFUNCTION("""COMPUTED_VALUE"""),1)</f>
        <v>1</v>
      </c>
      <c r="D8197" s="8">
        <f ca="1">IFERROR(__xludf.DUMMYFUNCTION("""COMPUTED_VALUE"""),5)</f>
        <v>5</v>
      </c>
      <c r="E8197" s="2">
        <f ca="1">IFERROR(__xludf.DUMMYFUNCTION("""COMPUTED_VALUE"""),2)</f>
        <v>2</v>
      </c>
    </row>
    <row r="8198" spans="1:5" ht="13">
      <c r="A8198" s="2" t="str">
        <f ca="1">IFERROR(__xludf.DUMMYFUNCTION("""COMPUTED_VALUE"""),"Troutman, Warren")</f>
        <v>Troutman, Warren</v>
      </c>
      <c r="B8198" s="3">
        <f ca="1">IFERROR(__xludf.DUMMYFUNCTION("""COMPUTED_VALUE"""),1)</f>
        <v>1</v>
      </c>
      <c r="C8198" s="7">
        <f ca="1">IFERROR(__xludf.DUMMYFUNCTION("""COMPUTED_VALUE"""),1)</f>
        <v>1</v>
      </c>
      <c r="D8198" s="8">
        <f ca="1">IFERROR(__xludf.DUMMYFUNCTION("""COMPUTED_VALUE"""),5)</f>
        <v>5</v>
      </c>
      <c r="E8198" s="2">
        <f ca="1">IFERROR(__xludf.DUMMYFUNCTION("""COMPUTED_VALUE"""),2)</f>
        <v>2</v>
      </c>
    </row>
    <row r="8199" spans="1:5" ht="13">
      <c r="A8199" s="2" t="str">
        <f ca="1">IFERROR(__xludf.DUMMYFUNCTION("""COMPUTED_VALUE"""),"Trudel, Alain")</f>
        <v>Trudel, Alain</v>
      </c>
      <c r="B8199" s="3">
        <f ca="1">IFERROR(__xludf.DUMMYFUNCTION("""COMPUTED_VALUE"""),1)</f>
        <v>1</v>
      </c>
      <c r="C8199" s="7">
        <f ca="1">IFERROR(__xludf.DUMMYFUNCTION("""COMPUTED_VALUE"""),1)</f>
        <v>1</v>
      </c>
      <c r="D8199" s="8">
        <f ca="1">IFERROR(__xludf.DUMMYFUNCTION("""COMPUTED_VALUE"""),1)</f>
        <v>1</v>
      </c>
      <c r="E8199" s="2">
        <f ca="1">IFERROR(__xludf.DUMMYFUNCTION("""COMPUTED_VALUE"""),1)</f>
        <v>1</v>
      </c>
    </row>
    <row r="8200" spans="1:5" ht="13">
      <c r="A8200" s="2" t="str">
        <f ca="1">IFERROR(__xludf.DUMMYFUNCTION("""COMPUTED_VALUE"""),"Trusler, Ivan")</f>
        <v>Trusler, Ivan</v>
      </c>
      <c r="B8200" s="2">
        <f ca="1">IFERROR(__xludf.DUMMYFUNCTION("""COMPUTED_VALUE"""),1)</f>
        <v>1</v>
      </c>
      <c r="C8200" s="7">
        <f ca="1">IFERROR(__xludf.DUMMYFUNCTION("""COMPUTED_VALUE"""),1)</f>
        <v>1</v>
      </c>
      <c r="D8200" s="8">
        <f ca="1">IFERROR(__xludf.DUMMYFUNCTION("""COMPUTED_VALUE"""),5)</f>
        <v>5</v>
      </c>
      <c r="E8200" s="2">
        <f ca="1">IFERROR(__xludf.DUMMYFUNCTION("""COMPUTED_VALUE"""),2)</f>
        <v>2</v>
      </c>
    </row>
    <row r="8201" spans="1:5" ht="13">
      <c r="A8201" s="2" t="str">
        <f ca="1">IFERROR(__xludf.DUMMYFUNCTION("""COMPUTED_VALUE"""),"Tschesnokov, Pavel")</f>
        <v>Tschesnokov, Pavel</v>
      </c>
      <c r="B8201" s="3">
        <f ca="1">IFERROR(__xludf.DUMMYFUNCTION("""COMPUTED_VALUE"""),1)</f>
        <v>1</v>
      </c>
      <c r="C8201" s="7">
        <f ca="1">IFERROR(__xludf.DUMMYFUNCTION("""COMPUTED_VALUE"""),1)</f>
        <v>1</v>
      </c>
      <c r="D8201" s="8">
        <f ca="1">IFERROR(__xludf.DUMMYFUNCTION("""COMPUTED_VALUE"""),5)</f>
        <v>5</v>
      </c>
      <c r="E8201" s="2">
        <f ca="1">IFERROR(__xludf.DUMMYFUNCTION("""COMPUTED_VALUE"""),2)</f>
        <v>2</v>
      </c>
    </row>
    <row r="8202" spans="1:5" ht="13">
      <c r="A8202" s="2" t="str">
        <f ca="1">IFERROR(__xludf.DUMMYFUNCTION("""COMPUTED_VALUE"""),"Tsontakis, George")</f>
        <v>Tsontakis, George</v>
      </c>
      <c r="B8202" s="3">
        <f ca="1">IFERROR(__xludf.DUMMYFUNCTION("""COMPUTED_VALUE"""),1)</f>
        <v>1</v>
      </c>
      <c r="C8202" s="7">
        <f ca="1">IFERROR(__xludf.DUMMYFUNCTION("""COMPUTED_VALUE"""),1)</f>
        <v>1</v>
      </c>
      <c r="D8202" s="8">
        <f ca="1">IFERROR(__xludf.DUMMYFUNCTION("""COMPUTED_VALUE"""),1)</f>
        <v>1</v>
      </c>
      <c r="E8202" s="2">
        <f ca="1">IFERROR(__xludf.DUMMYFUNCTION("""COMPUTED_VALUE"""),1)</f>
        <v>1</v>
      </c>
    </row>
    <row r="8203" spans="1:5" ht="13">
      <c r="A8203" s="2" t="str">
        <f ca="1">IFERROR(__xludf.DUMMYFUNCTION("""COMPUTED_VALUE"""),"Tsuji, Hitonari")</f>
        <v>Tsuji, Hitonari</v>
      </c>
      <c r="B8203" s="2">
        <f ca="1">IFERROR(__xludf.DUMMYFUNCTION("""COMPUTED_VALUE"""),1)</f>
        <v>1</v>
      </c>
      <c r="C8203" s="7">
        <f ca="1">IFERROR(__xludf.DUMMYFUNCTION("""COMPUTED_VALUE"""),1)</f>
        <v>1</v>
      </c>
      <c r="D8203" s="8">
        <f ca="1">IFERROR(__xludf.DUMMYFUNCTION("""COMPUTED_VALUE"""),5)</f>
        <v>5</v>
      </c>
      <c r="E8203" s="2">
        <f ca="1">IFERROR(__xludf.DUMMYFUNCTION("""COMPUTED_VALUE"""),2)</f>
        <v>2</v>
      </c>
    </row>
    <row r="8204" spans="1:5" ht="13">
      <c r="A8204" s="2" t="str">
        <f ca="1">IFERROR(__xludf.DUMMYFUNCTION("""COMPUTED_VALUE"""),"Tubb, Monte")</f>
        <v>Tubb, Monte</v>
      </c>
      <c r="B8204" s="3">
        <f ca="1">IFERROR(__xludf.DUMMYFUNCTION("""COMPUTED_VALUE"""),1)</f>
        <v>1</v>
      </c>
      <c r="C8204" s="7">
        <f ca="1">IFERROR(__xludf.DUMMYFUNCTION("""COMPUTED_VALUE"""),1)</f>
        <v>1</v>
      </c>
      <c r="D8204" s="8">
        <f ca="1">IFERROR(__xludf.DUMMYFUNCTION("""COMPUTED_VALUE"""),5)</f>
        <v>5</v>
      </c>
      <c r="E8204" s="2">
        <f ca="1">IFERROR(__xludf.DUMMYFUNCTION("""COMPUTED_VALUE"""),2)</f>
        <v>2</v>
      </c>
    </row>
    <row r="8205" spans="1:5" ht="13">
      <c r="A8205" s="8" t="str">
        <f ca="1">IFERROR(__xludf.DUMMYFUNCTION("""COMPUTED_VALUE"""),"Tubin, Eduard")</f>
        <v>Tubin, Eduard</v>
      </c>
      <c r="B8205" s="3">
        <f ca="1">IFERROR(__xludf.DUMMYFUNCTION("""COMPUTED_VALUE"""),1)</f>
        <v>1</v>
      </c>
      <c r="C8205" s="7">
        <f ca="1">IFERROR(__xludf.DUMMYFUNCTION("""COMPUTED_VALUE"""),1)</f>
        <v>1</v>
      </c>
      <c r="D8205" s="8">
        <f ca="1">IFERROR(__xludf.DUMMYFUNCTION("""COMPUTED_VALUE"""),5)</f>
        <v>5</v>
      </c>
      <c r="E8205" s="2">
        <f ca="1">IFERROR(__xludf.DUMMYFUNCTION("""COMPUTED_VALUE"""),2)</f>
        <v>2</v>
      </c>
    </row>
    <row r="8206" spans="1:5" ht="13">
      <c r="A8206" s="2" t="str">
        <f ca="1">IFERROR(__xludf.DUMMYFUNCTION("""COMPUTED_VALUE"""),"Tucapsky, Antonin")</f>
        <v>Tucapsky, Antonin</v>
      </c>
      <c r="B8206" s="3">
        <f ca="1">IFERROR(__xludf.DUMMYFUNCTION("""COMPUTED_VALUE"""),1)</f>
        <v>1</v>
      </c>
      <c r="C8206" s="7">
        <f ca="1">IFERROR(__xludf.DUMMYFUNCTION("""COMPUTED_VALUE"""),1)</f>
        <v>1</v>
      </c>
      <c r="D8206" s="8">
        <f ca="1">IFERROR(__xludf.DUMMYFUNCTION("""COMPUTED_VALUE"""),5)</f>
        <v>5</v>
      </c>
      <c r="E8206" s="2">
        <f ca="1">IFERROR(__xludf.DUMMYFUNCTION("""COMPUTED_VALUE"""),2)</f>
        <v>2</v>
      </c>
    </row>
    <row r="8207" spans="1:5" ht="13">
      <c r="A8207" s="2" t="str">
        <f ca="1">IFERROR(__xludf.DUMMYFUNCTION("""COMPUTED_VALUE"""),"Tuck, Danny")</f>
        <v>Tuck, Danny</v>
      </c>
      <c r="B8207" s="3">
        <f ca="1">IFERROR(__xludf.DUMMYFUNCTION("""COMPUTED_VALUE"""),1)</f>
        <v>1</v>
      </c>
      <c r="C8207" s="7">
        <f ca="1">IFERROR(__xludf.DUMMYFUNCTION("""COMPUTED_VALUE"""),1)</f>
        <v>1</v>
      </c>
      <c r="D8207" s="8">
        <f ca="1">IFERROR(__xludf.DUMMYFUNCTION("""COMPUTED_VALUE"""),5)</f>
        <v>5</v>
      </c>
      <c r="E8207" s="2">
        <f ca="1">IFERROR(__xludf.DUMMYFUNCTION("""COMPUTED_VALUE"""),2)</f>
        <v>2</v>
      </c>
    </row>
    <row r="8208" spans="1:5" ht="13">
      <c r="A8208" s="2" t="str">
        <f ca="1">IFERROR(__xludf.DUMMYFUNCTION("""COMPUTED_VALUE"""),"Tucker, Benjamin")</f>
        <v>Tucker, Benjamin</v>
      </c>
      <c r="B8208" s="3">
        <f ca="1">IFERROR(__xludf.DUMMYFUNCTION("""COMPUTED_VALUE"""),1)</f>
        <v>1</v>
      </c>
      <c r="C8208" s="7">
        <f ca="1">IFERROR(__xludf.DUMMYFUNCTION("""COMPUTED_VALUE"""),1)</f>
        <v>1</v>
      </c>
      <c r="D8208" s="8">
        <f ca="1">IFERROR(__xludf.DUMMYFUNCTION("""COMPUTED_VALUE"""),1)</f>
        <v>1</v>
      </c>
      <c r="E8208" s="2">
        <f ca="1">IFERROR(__xludf.DUMMYFUNCTION("""COMPUTED_VALUE"""),1)</f>
        <v>1</v>
      </c>
    </row>
    <row r="8209" spans="1:5" ht="13">
      <c r="A8209" s="2" t="str">
        <f ca="1">IFERROR(__xludf.DUMMYFUNCTION("""COMPUTED_VALUE"""),"Tucker, Chris")</f>
        <v>Tucker, Chris</v>
      </c>
      <c r="B8209" s="3">
        <f ca="1">IFERROR(__xludf.DUMMYFUNCTION("""COMPUTED_VALUE"""),1)</f>
        <v>1</v>
      </c>
      <c r="C8209" s="7">
        <f ca="1">IFERROR(__xludf.DUMMYFUNCTION("""COMPUTED_VALUE"""),1)</f>
        <v>1</v>
      </c>
      <c r="D8209" s="8">
        <f ca="1">IFERROR(__xludf.DUMMYFUNCTION("""COMPUTED_VALUE"""),1)</f>
        <v>1</v>
      </c>
      <c r="E8209" s="2">
        <f ca="1">IFERROR(__xludf.DUMMYFUNCTION("""COMPUTED_VALUE"""),1)</f>
        <v>1</v>
      </c>
    </row>
    <row r="8210" spans="1:5" ht="13">
      <c r="A8210" s="2" t="str">
        <f ca="1">IFERROR(__xludf.DUMMYFUNCTION("""COMPUTED_VALUE"""),"Tucker, Christopher")</f>
        <v>Tucker, Christopher</v>
      </c>
      <c r="B8210" s="3">
        <f ca="1">IFERROR(__xludf.DUMMYFUNCTION("""COMPUTED_VALUE"""),1)</f>
        <v>1</v>
      </c>
      <c r="C8210" s="7">
        <f ca="1">IFERROR(__xludf.DUMMYFUNCTION("""COMPUTED_VALUE"""),1)</f>
        <v>1</v>
      </c>
      <c r="D8210" s="8">
        <f ca="1">IFERROR(__xludf.DUMMYFUNCTION("""COMPUTED_VALUE"""),1)</f>
        <v>1</v>
      </c>
      <c r="E8210" s="2">
        <f ca="1">IFERROR(__xludf.DUMMYFUNCTION("""COMPUTED_VALUE"""),1)</f>
        <v>1</v>
      </c>
    </row>
    <row r="8211" spans="1:5" ht="13">
      <c r="A8211" s="2" t="str">
        <f ca="1">IFERROR(__xludf.DUMMYFUNCTION("""COMPUTED_VALUE"""),"Tucker, Jordan")</f>
        <v>Tucker, Jordan</v>
      </c>
      <c r="B8211" s="3">
        <f ca="1">IFERROR(__xludf.DUMMYFUNCTION("""COMPUTED_VALUE"""),1)</f>
        <v>1</v>
      </c>
      <c r="C8211" s="7">
        <f ca="1">IFERROR(__xludf.DUMMYFUNCTION("""COMPUTED_VALUE"""),1)</f>
        <v>1</v>
      </c>
      <c r="D8211" s="8">
        <f ca="1">IFERROR(__xludf.DUMMYFUNCTION("""COMPUTED_VALUE"""),1)</f>
        <v>1</v>
      </c>
      <c r="E8211" s="2">
        <f ca="1">IFERROR(__xludf.DUMMYFUNCTION("""COMPUTED_VALUE"""),1)</f>
        <v>1</v>
      </c>
    </row>
    <row r="8212" spans="1:5" ht="13">
      <c r="A8212" s="2" t="str">
        <f ca="1">IFERROR(__xludf.DUMMYFUNCTION("""COMPUTED_VALUE"""),"Tucker, Paul")</f>
        <v>Tucker, Paul</v>
      </c>
      <c r="B8212" s="3">
        <f ca="1">IFERROR(__xludf.DUMMYFUNCTION("""COMPUTED_VALUE"""),1)</f>
        <v>1</v>
      </c>
      <c r="C8212" s="7">
        <f ca="1">IFERROR(__xludf.DUMMYFUNCTION("""COMPUTED_VALUE"""),1)</f>
        <v>1</v>
      </c>
      <c r="D8212" s="8">
        <f ca="1">IFERROR(__xludf.DUMMYFUNCTION("""COMPUTED_VALUE"""),1)</f>
        <v>1</v>
      </c>
      <c r="E8212" s="2">
        <f ca="1">IFERROR(__xludf.DUMMYFUNCTION("""COMPUTED_VALUE"""),1)</f>
        <v>1</v>
      </c>
    </row>
    <row r="8213" spans="1:5" ht="13">
      <c r="A8213" s="2" t="str">
        <f ca="1">IFERROR(__xludf.DUMMYFUNCTION("""COMPUTED_VALUE"""),"Tucker, Paul / Jing Ling Tam (ed.)")</f>
        <v>Tucker, Paul / Jing Ling Tam (ed.)</v>
      </c>
      <c r="B8213" s="3">
        <f ca="1">IFERROR(__xludf.DUMMYFUNCTION("""COMPUTED_VALUE"""),1)</f>
        <v>1</v>
      </c>
      <c r="C8213" s="7">
        <f ca="1">IFERROR(__xludf.DUMMYFUNCTION("""COMPUTED_VALUE"""),1)</f>
        <v>1</v>
      </c>
      <c r="D8213" s="8">
        <f ca="1">IFERROR(__xludf.DUMMYFUNCTION("""COMPUTED_VALUE"""),1)</f>
        <v>1</v>
      </c>
      <c r="E8213" s="2">
        <f ca="1">IFERROR(__xludf.DUMMYFUNCTION("""COMPUTED_VALUE"""),1)</f>
        <v>1</v>
      </c>
    </row>
    <row r="8214" spans="1:5" ht="13">
      <c r="A8214" s="2" t="str">
        <f ca="1">IFERROR(__xludf.DUMMYFUNCTION("""COMPUTED_VALUE"""),"Tucker, Scott")</f>
        <v>Tucker, Scott</v>
      </c>
      <c r="B8214" s="3">
        <f ca="1">IFERROR(__xludf.DUMMYFUNCTION("""COMPUTED_VALUE"""),1)</f>
        <v>1</v>
      </c>
      <c r="C8214" s="7">
        <f ca="1">IFERROR(__xludf.DUMMYFUNCTION("""COMPUTED_VALUE"""),1)</f>
        <v>1</v>
      </c>
      <c r="D8214" s="8">
        <f ca="1">IFERROR(__xludf.DUMMYFUNCTION("""COMPUTED_VALUE"""),1)</f>
        <v>1</v>
      </c>
      <c r="E8214" s="2">
        <f ca="1">IFERROR(__xludf.DUMMYFUNCTION("""COMPUTED_VALUE"""),1)</f>
        <v>1</v>
      </c>
    </row>
    <row r="8215" spans="1:5" ht="13">
      <c r="A8215" s="2" t="str">
        <f ca="1">IFERROR(__xludf.DUMMYFUNCTION("""COMPUTED_VALUE"""),"Tucker, Tom")</f>
        <v>Tucker, Tom</v>
      </c>
      <c r="B8215" s="3">
        <f ca="1">IFERROR(__xludf.DUMMYFUNCTION("""COMPUTED_VALUE"""),1)</f>
        <v>1</v>
      </c>
      <c r="C8215" s="7">
        <f ca="1">IFERROR(__xludf.DUMMYFUNCTION("""COMPUTED_VALUE"""),1)</f>
        <v>1</v>
      </c>
      <c r="D8215" s="8">
        <f ca="1">IFERROR(__xludf.DUMMYFUNCTION("""COMPUTED_VALUE"""),1)</f>
        <v>1</v>
      </c>
      <c r="E8215" s="2">
        <f ca="1">IFERROR(__xludf.DUMMYFUNCTION("""COMPUTED_VALUE"""),1)</f>
        <v>1</v>
      </c>
    </row>
    <row r="8216" spans="1:5" ht="13">
      <c r="A8216" s="2" t="str">
        <f ca="1">IFERROR(__xludf.DUMMYFUNCTION("""COMPUTED_VALUE"""),"Tudino, Cesare")</f>
        <v>Tudino, Cesare</v>
      </c>
      <c r="B8216" s="3">
        <f ca="1">IFERROR(__xludf.DUMMYFUNCTION("""COMPUTED_VALUE"""),1)</f>
        <v>1</v>
      </c>
      <c r="C8216" s="7">
        <f ca="1">IFERROR(__xludf.DUMMYFUNCTION("""COMPUTED_VALUE"""),1)</f>
        <v>1</v>
      </c>
      <c r="D8216" s="8">
        <f ca="1">IFERROR(__xludf.DUMMYFUNCTION("""COMPUTED_VALUE"""),5)</f>
        <v>5</v>
      </c>
      <c r="E8216" s="2">
        <f ca="1">IFERROR(__xludf.DUMMYFUNCTION("""COMPUTED_VALUE"""),2)</f>
        <v>2</v>
      </c>
    </row>
    <row r="8217" spans="1:5" ht="13">
      <c r="A8217" s="2" t="str">
        <f ca="1">IFERROR(__xludf.DUMMYFUNCTION("""COMPUTED_VALUE"""),"Tull, Fisher")</f>
        <v>Tull, Fisher</v>
      </c>
      <c r="B8217" s="3">
        <f ca="1">IFERROR(__xludf.DUMMYFUNCTION("""COMPUTED_VALUE"""),1)</f>
        <v>1</v>
      </c>
      <c r="C8217" s="7">
        <f ca="1">IFERROR(__xludf.DUMMYFUNCTION("""COMPUTED_VALUE"""),1)</f>
        <v>1</v>
      </c>
      <c r="D8217" s="8">
        <f ca="1">IFERROR(__xludf.DUMMYFUNCTION("""COMPUTED_VALUE"""),5)</f>
        <v>5</v>
      </c>
      <c r="E8217" s="2">
        <f ca="1">IFERROR(__xludf.DUMMYFUNCTION("""COMPUTED_VALUE"""),2)</f>
        <v>2</v>
      </c>
    </row>
    <row r="8218" spans="1:5" ht="13">
      <c r="A8218" s="8" t="str">
        <f ca="1">IFERROR(__xludf.DUMMYFUNCTION("""COMPUTED_VALUE"""),"Tull, Jethro / Bach, Johann Sebastian")</f>
        <v>Tull, Jethro / Bach, Johann Sebastian</v>
      </c>
      <c r="B8218" s="3">
        <f ca="1">IFERROR(__xludf.DUMMYFUNCTION("""COMPUTED_VALUE"""),1)</f>
        <v>1</v>
      </c>
      <c r="C8218" s="7">
        <f ca="1">IFERROR(__xludf.DUMMYFUNCTION("""COMPUTED_VALUE"""),1)</f>
        <v>1</v>
      </c>
      <c r="D8218" s="8">
        <f ca="1">IFERROR(__xludf.DUMMYFUNCTION("""COMPUTED_VALUE"""),5)</f>
        <v>5</v>
      </c>
      <c r="E8218" s="2">
        <f ca="1">IFERROR(__xludf.DUMMYFUNCTION("""COMPUTED_VALUE"""),2)</f>
        <v>2</v>
      </c>
    </row>
    <row r="8219" spans="1:5" ht="13">
      <c r="A8219" s="2" t="str">
        <f ca="1">IFERROR(__xludf.DUMMYFUNCTION("""COMPUTED_VALUE"""),"Turina, Joaquín")</f>
        <v>Turina, Joaquín</v>
      </c>
      <c r="B8219" s="3">
        <f ca="1">IFERROR(__xludf.DUMMYFUNCTION("""COMPUTED_VALUE"""),1)</f>
        <v>1</v>
      </c>
      <c r="C8219" s="7">
        <f ca="1">IFERROR(__xludf.DUMMYFUNCTION("""COMPUTED_VALUE"""),1)</f>
        <v>1</v>
      </c>
      <c r="D8219" s="8">
        <f ca="1">IFERROR(__xludf.DUMMYFUNCTION("""COMPUTED_VALUE"""),5)</f>
        <v>5</v>
      </c>
      <c r="E8219" s="2">
        <f ca="1">IFERROR(__xludf.DUMMYFUNCTION("""COMPUTED_VALUE"""),2)</f>
        <v>2</v>
      </c>
    </row>
    <row r="8220" spans="1:5" ht="13">
      <c r="A8220" s="2" t="str">
        <f ca="1">IFERROR(__xludf.DUMMYFUNCTION("""COMPUTED_VALUE"""),"Turley, Alex")</f>
        <v>Turley, Alex</v>
      </c>
      <c r="B8220" s="2">
        <f ca="1">IFERROR(__xludf.DUMMYFUNCTION("""COMPUTED_VALUE"""),1)</f>
        <v>1</v>
      </c>
      <c r="C8220" s="7">
        <f ca="1">IFERROR(__xludf.DUMMYFUNCTION("""COMPUTED_VALUE"""),1)</f>
        <v>1</v>
      </c>
      <c r="D8220" s="8">
        <f ca="1">IFERROR(__xludf.DUMMYFUNCTION("""COMPUTED_VALUE"""),1)</f>
        <v>1</v>
      </c>
      <c r="E8220" s="2">
        <f ca="1">IFERROR(__xludf.DUMMYFUNCTION("""COMPUTED_VALUE"""),1)</f>
        <v>1</v>
      </c>
    </row>
    <row r="8221" spans="1:5" ht="13">
      <c r="A8221" s="2" t="str">
        <f ca="1">IFERROR(__xludf.DUMMYFUNCTION("""COMPUTED_VALUE"""),"Turnage, Mark Anthony")</f>
        <v>Turnage, Mark Anthony</v>
      </c>
      <c r="B8221" s="3">
        <f ca="1">IFERROR(__xludf.DUMMYFUNCTION("""COMPUTED_VALUE"""),1)</f>
        <v>1</v>
      </c>
      <c r="C8221" s="7">
        <f ca="1">IFERROR(__xludf.DUMMYFUNCTION("""COMPUTED_VALUE"""),1)</f>
        <v>1</v>
      </c>
      <c r="D8221" s="8">
        <f ca="1">IFERROR(__xludf.DUMMYFUNCTION("""COMPUTED_VALUE"""),1)</f>
        <v>1</v>
      </c>
      <c r="E8221" s="2">
        <f ca="1">IFERROR(__xludf.DUMMYFUNCTION("""COMPUTED_VALUE"""),1)</f>
        <v>1</v>
      </c>
    </row>
    <row r="8222" spans="1:5" ht="13">
      <c r="A8222" s="8" t="str">
        <f ca="1">IFERROR(__xludf.DUMMYFUNCTION("""COMPUTED_VALUE"""),"Turnage, Mark-Anthony")</f>
        <v>Turnage, Mark-Anthony</v>
      </c>
      <c r="B8222" s="3">
        <f ca="1">IFERROR(__xludf.DUMMYFUNCTION("""COMPUTED_VALUE"""),1)</f>
        <v>1</v>
      </c>
      <c r="C8222" s="7">
        <f ca="1">IFERROR(__xludf.DUMMYFUNCTION("""COMPUTED_VALUE"""),1)</f>
        <v>1</v>
      </c>
      <c r="D8222" s="8">
        <f ca="1">IFERROR(__xludf.DUMMYFUNCTION("""COMPUTED_VALUE"""),1)</f>
        <v>1</v>
      </c>
      <c r="E8222" s="2">
        <f ca="1">IFERROR(__xludf.DUMMYFUNCTION("""COMPUTED_VALUE"""),1)</f>
        <v>1</v>
      </c>
    </row>
    <row r="8223" spans="1:5" ht="13">
      <c r="A8223" s="2" t="str">
        <f ca="1">IFERROR(__xludf.DUMMYFUNCTION("""COMPUTED_VALUE"""),"Turnbull, Kit")</f>
        <v>Turnbull, Kit</v>
      </c>
      <c r="B8223" s="2">
        <f ca="1">IFERROR(__xludf.DUMMYFUNCTION("""COMPUTED_VALUE"""),1)</f>
        <v>1</v>
      </c>
      <c r="C8223" s="7">
        <f ca="1">IFERROR(__xludf.DUMMYFUNCTION("""COMPUTED_VALUE"""),1)</f>
        <v>1</v>
      </c>
      <c r="D8223" s="8">
        <f ca="1">IFERROR(__xludf.DUMMYFUNCTION("""COMPUTED_VALUE"""),1)</f>
        <v>1</v>
      </c>
      <c r="E8223" s="2">
        <f ca="1">IFERROR(__xludf.DUMMYFUNCTION("""COMPUTED_VALUE"""),1)</f>
        <v>1</v>
      </c>
    </row>
    <row r="8224" spans="1:5" ht="13">
      <c r="A8224" s="2" t="str">
        <f ca="1">IFERROR(__xludf.DUMMYFUNCTION("""COMPUTED_VALUE"""),"Turnbull, Stuart Murray")</f>
        <v>Turnbull, Stuart Murray</v>
      </c>
      <c r="B8224" s="3">
        <f ca="1">IFERROR(__xludf.DUMMYFUNCTION("""COMPUTED_VALUE"""),1)</f>
        <v>1</v>
      </c>
      <c r="C8224" s="7">
        <f ca="1">IFERROR(__xludf.DUMMYFUNCTION("""COMPUTED_VALUE"""),1)</f>
        <v>1</v>
      </c>
      <c r="D8224" s="8">
        <f ca="1">IFERROR(__xludf.DUMMYFUNCTION("""COMPUTED_VALUE"""),1)</f>
        <v>1</v>
      </c>
      <c r="E8224" s="2">
        <f ca="1">IFERROR(__xludf.DUMMYFUNCTION("""COMPUTED_VALUE"""),1)</f>
        <v>1</v>
      </c>
    </row>
    <row r="8225" spans="1:5" ht="13">
      <c r="A8225" s="2" t="str">
        <f ca="1">IFERROR(__xludf.DUMMYFUNCTION("""COMPUTED_VALUE"""),"Turner, Jeffrey")</f>
        <v>Turner, Jeffrey</v>
      </c>
      <c r="B8225" s="3">
        <f ca="1">IFERROR(__xludf.DUMMYFUNCTION("""COMPUTED_VALUE"""),1)</f>
        <v>1</v>
      </c>
      <c r="C8225" s="7">
        <f ca="1">IFERROR(__xludf.DUMMYFUNCTION("""COMPUTED_VALUE"""),1)</f>
        <v>1</v>
      </c>
      <c r="D8225" s="8">
        <f ca="1">IFERROR(__xludf.DUMMYFUNCTION("""COMPUTED_VALUE"""),1)</f>
        <v>1</v>
      </c>
      <c r="E8225" s="2">
        <f ca="1">IFERROR(__xludf.DUMMYFUNCTION("""COMPUTED_VALUE"""),1)</f>
        <v>1</v>
      </c>
    </row>
    <row r="8226" spans="1:5" ht="13">
      <c r="A8226" s="2" t="str">
        <f ca="1">IFERROR(__xludf.DUMMYFUNCTION("""COMPUTED_VALUE"""),"Turner, Jeffrey E.")</f>
        <v>Turner, Jeffrey E.</v>
      </c>
      <c r="B8226" s="2">
        <f ca="1">IFERROR(__xludf.DUMMYFUNCTION("""COMPUTED_VALUE"""),1)</f>
        <v>1</v>
      </c>
      <c r="C8226" s="7">
        <f ca="1">IFERROR(__xludf.DUMMYFUNCTION("""COMPUTED_VALUE"""),1)</f>
        <v>1</v>
      </c>
      <c r="D8226" s="8">
        <f ca="1">IFERROR(__xludf.DUMMYFUNCTION("""COMPUTED_VALUE"""),1)</f>
        <v>1</v>
      </c>
      <c r="E8226" s="2">
        <f ca="1">IFERROR(__xludf.DUMMYFUNCTION("""COMPUTED_VALUE"""),1)</f>
        <v>1</v>
      </c>
    </row>
    <row r="8227" spans="1:5" ht="13">
      <c r="A8227" s="2" t="str">
        <f ca="1">IFERROR(__xludf.DUMMYFUNCTION("""COMPUTED_VALUE"""),"Turner, Jess Langston")</f>
        <v>Turner, Jess Langston</v>
      </c>
      <c r="B8227" s="3">
        <f ca="1">IFERROR(__xludf.DUMMYFUNCTION("""COMPUTED_VALUE"""),1)</f>
        <v>1</v>
      </c>
      <c r="C8227" s="7">
        <f ca="1">IFERROR(__xludf.DUMMYFUNCTION("""COMPUTED_VALUE"""),1)</f>
        <v>1</v>
      </c>
      <c r="D8227" s="8">
        <f ca="1">IFERROR(__xludf.DUMMYFUNCTION("""COMPUTED_VALUE"""),1)</f>
        <v>1</v>
      </c>
      <c r="E8227" s="2">
        <f ca="1">IFERROR(__xludf.DUMMYFUNCTION("""COMPUTED_VALUE"""),1)</f>
        <v>1</v>
      </c>
    </row>
    <row r="8228" spans="1:5" ht="13">
      <c r="A8228" s="2" t="str">
        <f ca="1">IFERROR(__xludf.DUMMYFUNCTION("""COMPUTED_VALUE"""),"Turner, Matt")</f>
        <v>Turner, Matt</v>
      </c>
      <c r="B8228" s="3">
        <f ca="1">IFERROR(__xludf.DUMMYFUNCTION("""COMPUTED_VALUE"""),1)</f>
        <v>1</v>
      </c>
      <c r="C8228" s="7">
        <f ca="1">IFERROR(__xludf.DUMMYFUNCTION("""COMPUTED_VALUE"""),1)</f>
        <v>1</v>
      </c>
      <c r="D8228" s="8">
        <f ca="1">IFERROR(__xludf.DUMMYFUNCTION("""COMPUTED_VALUE"""),1)</f>
        <v>1</v>
      </c>
      <c r="E8228" s="2">
        <f ca="1">IFERROR(__xludf.DUMMYFUNCTION("""COMPUTED_VALUE"""),1)</f>
        <v>1</v>
      </c>
    </row>
    <row r="8229" spans="1:5" ht="13">
      <c r="A8229" s="8" t="str">
        <f ca="1">IFERROR(__xludf.DUMMYFUNCTION("""COMPUTED_VALUE"""),"Turner, Robert")</f>
        <v>Turner, Robert</v>
      </c>
      <c r="B8229" s="3">
        <f ca="1">IFERROR(__xludf.DUMMYFUNCTION("""COMPUTED_VALUE"""),1)</f>
        <v>1</v>
      </c>
      <c r="C8229" s="7">
        <f ca="1">IFERROR(__xludf.DUMMYFUNCTION("""COMPUTED_VALUE"""),1)</f>
        <v>1</v>
      </c>
      <c r="D8229" s="8">
        <f ca="1">IFERROR(__xludf.DUMMYFUNCTION("""COMPUTED_VALUE"""),5)</f>
        <v>5</v>
      </c>
      <c r="E8229" s="2">
        <f ca="1">IFERROR(__xludf.DUMMYFUNCTION("""COMPUTED_VALUE"""),2)</f>
        <v>2</v>
      </c>
    </row>
    <row r="8230" spans="1:5" ht="13">
      <c r="A8230" s="8" t="str">
        <f ca="1">IFERROR(__xludf.DUMMYFUNCTION("""COMPUTED_VALUE"""),"Turok, Paul")</f>
        <v>Turok, Paul</v>
      </c>
      <c r="B8230" s="3">
        <f ca="1">IFERROR(__xludf.DUMMYFUNCTION("""COMPUTED_VALUE"""),1)</f>
        <v>1</v>
      </c>
      <c r="C8230" s="7">
        <f ca="1">IFERROR(__xludf.DUMMYFUNCTION("""COMPUTED_VALUE"""),1)</f>
        <v>1</v>
      </c>
      <c r="D8230" s="8">
        <f ca="1">IFERROR(__xludf.DUMMYFUNCTION("""COMPUTED_VALUE"""),5)</f>
        <v>5</v>
      </c>
      <c r="E8230" s="2">
        <f ca="1">IFERROR(__xludf.DUMMYFUNCTION("""COMPUTED_VALUE"""),2)</f>
        <v>2</v>
      </c>
    </row>
    <row r="8231" spans="1:5" ht="13">
      <c r="A8231" s="2" t="str">
        <f ca="1">IFERROR(__xludf.DUMMYFUNCTION("""COMPUTED_VALUE"""),"Turrin, Joseph")</f>
        <v>Turrin, Joseph</v>
      </c>
      <c r="B8231" s="3">
        <f ca="1">IFERROR(__xludf.DUMMYFUNCTION("""COMPUTED_VALUE"""),1)</f>
        <v>1</v>
      </c>
      <c r="C8231" s="7">
        <f ca="1">IFERROR(__xludf.DUMMYFUNCTION("""COMPUTED_VALUE"""),1)</f>
        <v>1</v>
      </c>
      <c r="D8231" s="8">
        <f ca="1">IFERROR(__xludf.DUMMYFUNCTION("""COMPUTED_VALUE"""),1)</f>
        <v>1</v>
      </c>
      <c r="E8231" s="2">
        <f ca="1">IFERROR(__xludf.DUMMYFUNCTION("""COMPUTED_VALUE"""),1)</f>
        <v>1</v>
      </c>
    </row>
    <row r="8232" spans="1:5" ht="13">
      <c r="A8232" s="2" t="str">
        <f ca="1">IFERROR(__xludf.DUMMYFUNCTION("""COMPUTED_VALUE"""),"Tuthill, Burnet")</f>
        <v>Tuthill, Burnet</v>
      </c>
      <c r="B8232" s="2">
        <f ca="1">IFERROR(__xludf.DUMMYFUNCTION("""COMPUTED_VALUE"""),1)</f>
        <v>1</v>
      </c>
      <c r="C8232" s="7">
        <f ca="1">IFERROR(__xludf.DUMMYFUNCTION("""COMPUTED_VALUE"""),1)</f>
        <v>1</v>
      </c>
      <c r="D8232" s="8">
        <f ca="1">IFERROR(__xludf.DUMMYFUNCTION("""COMPUTED_VALUE"""),5)</f>
        <v>5</v>
      </c>
      <c r="E8232" s="2">
        <f ca="1">IFERROR(__xludf.DUMMYFUNCTION("""COMPUTED_VALUE"""),2)</f>
        <v>2</v>
      </c>
    </row>
    <row r="8233" spans="1:5" ht="13">
      <c r="A8233" s="2" t="str">
        <f ca="1">IFERROR(__xludf.DUMMYFUNCTION("""COMPUTED_VALUE"""),"Tuttle, Larry")</f>
        <v>Tuttle, Larry</v>
      </c>
      <c r="B8233" s="3">
        <f ca="1">IFERROR(__xludf.DUMMYFUNCTION("""COMPUTED_VALUE"""),1)</f>
        <v>1</v>
      </c>
      <c r="C8233" s="7">
        <f ca="1">IFERROR(__xludf.DUMMYFUNCTION("""COMPUTED_VALUE"""),1)</f>
        <v>1</v>
      </c>
      <c r="D8233" s="8">
        <f ca="1">IFERROR(__xludf.DUMMYFUNCTION("""COMPUTED_VALUE"""),1)</f>
        <v>1</v>
      </c>
      <c r="E8233" s="2">
        <f ca="1">IFERROR(__xludf.DUMMYFUNCTION("""COMPUTED_VALUE"""),1)</f>
        <v>1</v>
      </c>
    </row>
    <row r="8234" spans="1:5" ht="13">
      <c r="A8234" s="2" t="str">
        <f ca="1">IFERROR(__xludf.DUMMYFUNCTION("""COMPUTED_VALUE"""),"Tüür, Erkki-Sven")</f>
        <v>Tüür, Erkki-Sven</v>
      </c>
      <c r="B8234" s="3">
        <f ca="1">IFERROR(__xludf.DUMMYFUNCTION("""COMPUTED_VALUE"""),1)</f>
        <v>1</v>
      </c>
      <c r="C8234" s="7">
        <f ca="1">IFERROR(__xludf.DUMMYFUNCTION("""COMPUTED_VALUE"""),1)</f>
        <v>1</v>
      </c>
      <c r="D8234" s="8">
        <f ca="1">IFERROR(__xludf.DUMMYFUNCTION("""COMPUTED_VALUE"""),1)</f>
        <v>1</v>
      </c>
      <c r="E8234" s="2">
        <f ca="1">IFERROR(__xludf.DUMMYFUNCTION("""COMPUTED_VALUE"""),1)</f>
        <v>1</v>
      </c>
    </row>
    <row r="8235" spans="1:5" ht="13">
      <c r="A8235" s="2" t="str">
        <f ca="1">IFERROR(__xludf.DUMMYFUNCTION("""COMPUTED_VALUE"""),"Twardowski, Romuald")</f>
        <v>Twardowski, Romuald</v>
      </c>
      <c r="B8235" s="3">
        <f ca="1">IFERROR(__xludf.DUMMYFUNCTION("""COMPUTED_VALUE"""),1)</f>
        <v>1</v>
      </c>
      <c r="C8235" s="7">
        <f ca="1">IFERROR(__xludf.DUMMYFUNCTION("""COMPUTED_VALUE"""),1)</f>
        <v>1</v>
      </c>
      <c r="D8235" s="8">
        <f ca="1">IFERROR(__xludf.DUMMYFUNCTION("""COMPUTED_VALUE"""),5)</f>
        <v>5</v>
      </c>
      <c r="E8235" s="2">
        <f ca="1">IFERROR(__xludf.DUMMYFUNCTION("""COMPUTED_VALUE"""),2)</f>
        <v>2</v>
      </c>
    </row>
    <row r="8236" spans="1:5" ht="13">
      <c r="A8236" s="8" t="str">
        <f ca="1">IFERROR(__xludf.DUMMYFUNCTION("""COMPUTED_VALUE"""),"Twist, Joseph")</f>
        <v>Twist, Joseph</v>
      </c>
      <c r="B8236" s="3">
        <f ca="1">IFERROR(__xludf.DUMMYFUNCTION("""COMPUTED_VALUE"""),1)</f>
        <v>1</v>
      </c>
      <c r="C8236" s="7">
        <f ca="1">IFERROR(__xludf.DUMMYFUNCTION("""COMPUTED_VALUE"""),1)</f>
        <v>1</v>
      </c>
      <c r="D8236" s="8">
        <f ca="1">IFERROR(__xludf.DUMMYFUNCTION("""COMPUTED_VALUE"""),1)</f>
        <v>1</v>
      </c>
      <c r="E8236" s="2">
        <f ca="1">IFERROR(__xludf.DUMMYFUNCTION("""COMPUTED_VALUE"""),1)</f>
        <v>1</v>
      </c>
    </row>
    <row r="8237" spans="1:5" ht="13">
      <c r="A8237" s="2" t="str">
        <f ca="1">IFERROR(__xludf.DUMMYFUNCTION("""COMPUTED_VALUE"""),"Tyberg, Marcel")</f>
        <v>Tyberg, Marcel</v>
      </c>
      <c r="B8237" s="3">
        <f ca="1">IFERROR(__xludf.DUMMYFUNCTION("""COMPUTED_VALUE"""),1)</f>
        <v>1</v>
      </c>
      <c r="C8237" s="7">
        <f ca="1">IFERROR(__xludf.DUMMYFUNCTION("""COMPUTED_VALUE"""),1)</f>
        <v>1</v>
      </c>
      <c r="D8237" s="8">
        <f ca="1">IFERROR(__xludf.DUMMYFUNCTION("""COMPUTED_VALUE"""),5)</f>
        <v>5</v>
      </c>
      <c r="E8237" s="2">
        <f ca="1">IFERROR(__xludf.DUMMYFUNCTION("""COMPUTED_VALUE"""),2)</f>
        <v>2</v>
      </c>
    </row>
    <row r="8238" spans="1:5" ht="13">
      <c r="A8238" s="2" t="str">
        <f ca="1">IFERROR(__xludf.DUMMYFUNCTION("""COMPUTED_VALUE"""),"Tye, Christopher")</f>
        <v>Tye, Christopher</v>
      </c>
      <c r="B8238" s="3">
        <f ca="1">IFERROR(__xludf.DUMMYFUNCTION("""COMPUTED_VALUE"""),1)</f>
        <v>1</v>
      </c>
      <c r="C8238" s="7">
        <f ca="1">IFERROR(__xludf.DUMMYFUNCTION("""COMPUTED_VALUE"""),1)</f>
        <v>1</v>
      </c>
      <c r="D8238" s="8">
        <f ca="1">IFERROR(__xludf.DUMMYFUNCTION("""COMPUTED_VALUE"""),5)</f>
        <v>5</v>
      </c>
      <c r="E8238" s="2">
        <f ca="1">IFERROR(__xludf.DUMMYFUNCTION("""COMPUTED_VALUE"""),2)</f>
        <v>2</v>
      </c>
    </row>
    <row r="8239" spans="1:5" ht="13">
      <c r="A8239" s="2" t="str">
        <f ca="1">IFERROR(__xludf.DUMMYFUNCTION("""COMPUTED_VALUE"""),"Tyler, Brian")</f>
        <v>Tyler, Brian</v>
      </c>
      <c r="B8239" s="2">
        <f ca="1">IFERROR(__xludf.DUMMYFUNCTION("""COMPUTED_VALUE"""),1)</f>
        <v>1</v>
      </c>
      <c r="C8239" s="2">
        <f ca="1">IFERROR(__xludf.DUMMYFUNCTION("""COMPUTED_VALUE"""),1)</f>
        <v>1</v>
      </c>
      <c r="D8239" s="8">
        <f ca="1">IFERROR(__xludf.DUMMYFUNCTION("""COMPUTED_VALUE"""),1)</f>
        <v>1</v>
      </c>
      <c r="E8239" s="2">
        <f ca="1">IFERROR(__xludf.DUMMYFUNCTION("""COMPUTED_VALUE"""),1)</f>
        <v>1</v>
      </c>
    </row>
    <row r="8240" spans="1:5" ht="13">
      <c r="A8240" s="2" t="str">
        <f ca="1">IFERROR(__xludf.DUMMYFUNCTION("""COMPUTED_VALUE"""),"Tyler, Clark (aka Kinyon, John)")</f>
        <v>Tyler, Clark (aka Kinyon, John)</v>
      </c>
      <c r="B8240" s="2">
        <f ca="1">IFERROR(__xludf.DUMMYFUNCTION("""COMPUTED_VALUE"""),1)</f>
        <v>1</v>
      </c>
      <c r="C8240" s="7">
        <f ca="1">IFERROR(__xludf.DUMMYFUNCTION("""COMPUTED_VALUE"""),1)</f>
        <v>1</v>
      </c>
      <c r="D8240" s="8">
        <f ca="1">IFERROR(__xludf.DUMMYFUNCTION("""COMPUTED_VALUE"""),5)</f>
        <v>5</v>
      </c>
      <c r="E8240" s="2">
        <f ca="1">IFERROR(__xludf.DUMMYFUNCTION("""COMPUTED_VALUE"""),2)</f>
        <v>2</v>
      </c>
    </row>
    <row r="8241" spans="1:5" ht="13">
      <c r="A8241" s="2" t="str">
        <f ca="1">IFERROR(__xludf.DUMMYFUNCTION("""COMPUTED_VALUE"""),"Tyra, Thomas")</f>
        <v>Tyra, Thomas</v>
      </c>
      <c r="B8241" s="3">
        <f ca="1">IFERROR(__xludf.DUMMYFUNCTION("""COMPUTED_VALUE"""),1)</f>
        <v>1</v>
      </c>
      <c r="C8241" s="7">
        <f ca="1">IFERROR(__xludf.DUMMYFUNCTION("""COMPUTED_VALUE"""),1)</f>
        <v>1</v>
      </c>
      <c r="D8241" s="8">
        <f ca="1">IFERROR(__xludf.DUMMYFUNCTION("""COMPUTED_VALUE"""),5)</f>
        <v>5</v>
      </c>
      <c r="E8241" s="3">
        <f ca="1">IFERROR(__xludf.DUMMYFUNCTION("""COMPUTED_VALUE"""),2)</f>
        <v>2</v>
      </c>
    </row>
    <row r="8242" spans="1:5" ht="13">
      <c r="A8242" s="2" t="str">
        <f ca="1">IFERROR(__xludf.DUMMYFUNCTION("""COMPUTED_VALUE"""),"Tyshenko, Oleksander")</f>
        <v>Tyshenko, Oleksander</v>
      </c>
      <c r="B8242" s="3">
        <f ca="1">IFERROR(__xludf.DUMMYFUNCTION("""COMPUTED_VALUE"""),1)</f>
        <v>1</v>
      </c>
      <c r="C8242" s="7">
        <f ca="1">IFERROR(__xludf.DUMMYFUNCTION("""COMPUTED_VALUE"""),1)</f>
        <v>1</v>
      </c>
      <c r="D8242" s="8">
        <f ca="1">IFERROR(__xludf.DUMMYFUNCTION("""COMPUTED_VALUE"""),1)</f>
        <v>1</v>
      </c>
      <c r="E8242" s="2">
        <f ca="1">IFERROR(__xludf.DUMMYFUNCTION("""COMPUTED_VALUE"""),1)</f>
        <v>1</v>
      </c>
    </row>
    <row r="8243" spans="1:5" ht="13">
      <c r="A8243" s="2" t="str">
        <f ca="1">IFERROR(__xludf.DUMMYFUNCTION("""COMPUTED_VALUE"""),"Tyson, Blake")</f>
        <v>Tyson, Blake</v>
      </c>
      <c r="B8243" s="3">
        <f ca="1">IFERROR(__xludf.DUMMYFUNCTION("""COMPUTED_VALUE"""),1)</f>
        <v>1</v>
      </c>
      <c r="C8243" s="7">
        <f ca="1">IFERROR(__xludf.DUMMYFUNCTION("""COMPUTED_VALUE"""),1)</f>
        <v>1</v>
      </c>
      <c r="D8243" s="8">
        <f ca="1">IFERROR(__xludf.DUMMYFUNCTION("""COMPUTED_VALUE"""),1)</f>
        <v>1</v>
      </c>
      <c r="E8243" s="2">
        <f ca="1">IFERROR(__xludf.DUMMYFUNCTION("""COMPUTED_VALUE"""),1)</f>
        <v>1</v>
      </c>
    </row>
    <row r="8244" spans="1:5" ht="13">
      <c r="A8244" s="2" t="str">
        <f ca="1">IFERROR(__xludf.DUMMYFUNCTION("""COMPUTED_VALUE"""),"Tyzik, Jeff")</f>
        <v>Tyzik, Jeff</v>
      </c>
      <c r="B8244" s="3">
        <f ca="1">IFERROR(__xludf.DUMMYFUNCTION("""COMPUTED_VALUE"""),1)</f>
        <v>1</v>
      </c>
      <c r="C8244" s="7">
        <f ca="1">IFERROR(__xludf.DUMMYFUNCTION("""COMPUTED_VALUE"""),1)</f>
        <v>1</v>
      </c>
      <c r="D8244" s="8">
        <f ca="1">IFERROR(__xludf.DUMMYFUNCTION("""COMPUTED_VALUE"""),1)</f>
        <v>1</v>
      </c>
      <c r="E8244" s="2">
        <f ca="1">IFERROR(__xludf.DUMMYFUNCTION("""COMPUTED_VALUE"""),1)</f>
        <v>1</v>
      </c>
    </row>
    <row r="8245" spans="1:5" ht="13">
      <c r="A8245" s="2" t="str">
        <f ca="1">IFERROR(__xludf.DUMMYFUNCTION("""COMPUTED_VALUE"""),"U2")</f>
        <v>U2</v>
      </c>
      <c r="B8245" s="3">
        <f ca="1">IFERROR(__xludf.DUMMYFUNCTION("""COMPUTED_VALUE"""),1)</f>
        <v>1</v>
      </c>
      <c r="C8245" s="7">
        <f ca="1">IFERROR(__xludf.DUMMYFUNCTION("""COMPUTED_VALUE"""),1)</f>
        <v>1</v>
      </c>
      <c r="D8245" s="8">
        <f ca="1">IFERROR(__xludf.DUMMYFUNCTION("""COMPUTED_VALUE"""),1)</f>
        <v>1</v>
      </c>
      <c r="E8245" s="2">
        <f ca="1">IFERROR(__xludf.DUMMYFUNCTION("""COMPUTED_VALUE"""),1)</f>
        <v>1</v>
      </c>
    </row>
    <row r="8246" spans="1:5" ht="13">
      <c r="A8246" s="2" t="str">
        <f ca="1">IFERROR(__xludf.DUMMYFUNCTION("""COMPUTED_VALUE"""),"Uber, David")</f>
        <v>Uber, David</v>
      </c>
      <c r="B8246" s="3">
        <f ca="1">IFERROR(__xludf.DUMMYFUNCTION("""COMPUTED_VALUE"""),1)</f>
        <v>1</v>
      </c>
      <c r="C8246" s="7">
        <f ca="1">IFERROR(__xludf.DUMMYFUNCTION("""COMPUTED_VALUE"""),1)</f>
        <v>1</v>
      </c>
      <c r="D8246" s="8">
        <f ca="1">IFERROR(__xludf.DUMMYFUNCTION("""COMPUTED_VALUE"""),5)</f>
        <v>5</v>
      </c>
      <c r="E8246" s="2">
        <f ca="1">IFERROR(__xludf.DUMMYFUNCTION("""COMPUTED_VALUE"""),2)</f>
        <v>2</v>
      </c>
    </row>
    <row r="8247" spans="1:5" ht="13">
      <c r="A8247" s="2" t="str">
        <f ca="1">IFERROR(__xludf.DUMMYFUNCTION("""COMPUTED_VALUE"""),"Udell, Budd")</f>
        <v>Udell, Budd</v>
      </c>
      <c r="B8247" s="2">
        <f ca="1">IFERROR(__xludf.DUMMYFUNCTION("""COMPUTED_VALUE"""),1)</f>
        <v>1</v>
      </c>
      <c r="C8247" s="7">
        <f ca="1">IFERROR(__xludf.DUMMYFUNCTION("""COMPUTED_VALUE"""),1)</f>
        <v>1</v>
      </c>
      <c r="D8247" s="8">
        <f ca="1">IFERROR(__xludf.DUMMYFUNCTION("""COMPUTED_VALUE"""),5)</f>
        <v>5</v>
      </c>
      <c r="E8247" s="2">
        <f ca="1">IFERROR(__xludf.DUMMYFUNCTION("""COMPUTED_VALUE"""),2)</f>
        <v>2</v>
      </c>
    </row>
    <row r="8248" spans="1:5" ht="13">
      <c r="A8248" s="2" t="str">
        <f ca="1">IFERROR(__xludf.DUMMYFUNCTION("""COMPUTED_VALUE"""),"Udow, Michael")</f>
        <v>Udow, Michael</v>
      </c>
      <c r="B8248" s="3">
        <f ca="1">IFERROR(__xludf.DUMMYFUNCTION("""COMPUTED_VALUE"""),1)</f>
        <v>1</v>
      </c>
      <c r="C8248" s="7">
        <f ca="1">IFERROR(__xludf.DUMMYFUNCTION("""COMPUTED_VALUE"""),1)</f>
        <v>1</v>
      </c>
      <c r="D8248" s="8">
        <f ca="1">IFERROR(__xludf.DUMMYFUNCTION("""COMPUTED_VALUE"""),1)</f>
        <v>1</v>
      </c>
      <c r="E8248" s="2">
        <f ca="1">IFERROR(__xludf.DUMMYFUNCTION("""COMPUTED_VALUE"""),1)</f>
        <v>1</v>
      </c>
    </row>
    <row r="8249" spans="1:5" ht="13">
      <c r="A8249" s="2" t="str">
        <f ca="1">IFERROR(__xludf.DUMMYFUNCTION("""COMPUTED_VALUE"""),"Uebel, Ernst")</f>
        <v>Uebel, Ernst</v>
      </c>
      <c r="B8249" s="3">
        <f ca="1">IFERROR(__xludf.DUMMYFUNCTION("""COMPUTED_VALUE"""),1)</f>
        <v>1</v>
      </c>
      <c r="C8249" s="7">
        <f ca="1">IFERROR(__xludf.DUMMYFUNCTION("""COMPUTED_VALUE"""),1)</f>
        <v>1</v>
      </c>
      <c r="D8249" s="8">
        <f ca="1">IFERROR(__xludf.DUMMYFUNCTION("""COMPUTED_VALUE"""),5)</f>
        <v>5</v>
      </c>
      <c r="E8249" s="2">
        <f ca="1">IFERROR(__xludf.DUMMYFUNCTION("""COMPUTED_VALUE"""),2)</f>
        <v>2</v>
      </c>
    </row>
    <row r="8250" spans="1:5" ht="13">
      <c r="A8250" s="2" t="str">
        <f ca="1">IFERROR(__xludf.DUMMYFUNCTION("""COMPUTED_VALUE"""),"Uherek, Milan")</f>
        <v>Uherek, Milan</v>
      </c>
      <c r="B8250" s="3">
        <f ca="1">IFERROR(__xludf.DUMMYFUNCTION("""COMPUTED_VALUE"""),1)</f>
        <v>1</v>
      </c>
      <c r="C8250" s="7">
        <f ca="1">IFERROR(__xludf.DUMMYFUNCTION("""COMPUTED_VALUE"""),1)</f>
        <v>1</v>
      </c>
      <c r="D8250" s="8">
        <f ca="1">IFERROR(__xludf.DUMMYFUNCTION("""COMPUTED_VALUE"""),5)</f>
        <v>5</v>
      </c>
      <c r="E8250" s="2">
        <f ca="1">IFERROR(__xludf.DUMMYFUNCTION("""COMPUTED_VALUE"""),2)</f>
        <v>2</v>
      </c>
    </row>
    <row r="8251" spans="1:5" ht="13">
      <c r="A8251" s="2" t="str">
        <f ca="1">IFERROR(__xludf.DUMMYFUNCTION("""COMPUTED_VALUE"""),"Uhl, Alfred")</f>
        <v>Uhl, Alfred</v>
      </c>
      <c r="B8251" s="3">
        <f ca="1">IFERROR(__xludf.DUMMYFUNCTION("""COMPUTED_VALUE"""),1)</f>
        <v>1</v>
      </c>
      <c r="C8251" s="7">
        <f ca="1">IFERROR(__xludf.DUMMYFUNCTION("""COMPUTED_VALUE"""),1)</f>
        <v>1</v>
      </c>
      <c r="D8251" s="8">
        <f ca="1">IFERROR(__xludf.DUMMYFUNCTION("""COMPUTED_VALUE"""),5)</f>
        <v>5</v>
      </c>
      <c r="E8251" s="2">
        <f ca="1">IFERROR(__xludf.DUMMYFUNCTION("""COMPUTED_VALUE"""),2)</f>
        <v>2</v>
      </c>
    </row>
    <row r="8252" spans="1:5" ht="13">
      <c r="A8252" s="2" t="str">
        <f ca="1">IFERROR(__xludf.DUMMYFUNCTION("""COMPUTED_VALUE"""),"Ullmann, Viktor")</f>
        <v>Ullmann, Viktor</v>
      </c>
      <c r="B8252" s="3">
        <f ca="1">IFERROR(__xludf.DUMMYFUNCTION("""COMPUTED_VALUE"""),1)</f>
        <v>1</v>
      </c>
      <c r="C8252" s="7">
        <f ca="1">IFERROR(__xludf.DUMMYFUNCTION("""COMPUTED_VALUE"""),1)</f>
        <v>1</v>
      </c>
      <c r="D8252" s="8">
        <f ca="1">IFERROR(__xludf.DUMMYFUNCTION("""COMPUTED_VALUE"""),5)</f>
        <v>5</v>
      </c>
      <c r="E8252" s="2">
        <f ca="1">IFERROR(__xludf.DUMMYFUNCTION("""COMPUTED_VALUE"""),2)</f>
        <v>2</v>
      </c>
    </row>
    <row r="8253" spans="1:5" ht="13">
      <c r="A8253" s="8" t="str">
        <f ca="1">IFERROR(__xludf.DUMMYFUNCTION("""COMPUTED_VALUE"""),"Ulrich, Jerry")</f>
        <v>Ulrich, Jerry</v>
      </c>
      <c r="B8253" s="3">
        <f ca="1">IFERROR(__xludf.DUMMYFUNCTION("""COMPUTED_VALUE"""),1)</f>
        <v>1</v>
      </c>
      <c r="C8253" s="7">
        <f ca="1">IFERROR(__xludf.DUMMYFUNCTION("""COMPUTED_VALUE"""),1)</f>
        <v>1</v>
      </c>
      <c r="D8253" s="8">
        <f ca="1">IFERROR(__xludf.DUMMYFUNCTION("""COMPUTED_VALUE"""),1)</f>
        <v>1</v>
      </c>
      <c r="E8253" s="2">
        <f ca="1">IFERROR(__xludf.DUMMYFUNCTION("""COMPUTED_VALUE"""),1)</f>
        <v>1</v>
      </c>
    </row>
    <row r="8254" spans="1:5" ht="13">
      <c r="A8254" s="2" t="str">
        <f ca="1">IFERROR(__xludf.DUMMYFUNCTION("""COMPUTED_VALUE"""),"Ulrich, Scott")</f>
        <v>Ulrich, Scott</v>
      </c>
      <c r="B8254" s="3">
        <f ca="1">IFERROR(__xludf.DUMMYFUNCTION("""COMPUTED_VALUE"""),1)</f>
        <v>1</v>
      </c>
      <c r="C8254" s="7">
        <f ca="1">IFERROR(__xludf.DUMMYFUNCTION("""COMPUTED_VALUE"""),1)</f>
        <v>1</v>
      </c>
      <c r="D8254" s="8">
        <f ca="1">IFERROR(__xludf.DUMMYFUNCTION("""COMPUTED_VALUE"""),1)</f>
        <v>1</v>
      </c>
      <c r="E8254" s="2">
        <f ca="1">IFERROR(__xludf.DUMMYFUNCTION("""COMPUTED_VALUE"""),1)</f>
        <v>1</v>
      </c>
    </row>
    <row r="8255" spans="1:5" ht="13">
      <c r="A8255" s="2" t="str">
        <f ca="1">IFERROR(__xludf.DUMMYFUNCTION("""COMPUTED_VALUE"""),"Underwood, Charlton")</f>
        <v>Underwood, Charlton</v>
      </c>
      <c r="B8255" s="3">
        <f ca="1">IFERROR(__xludf.DUMMYFUNCTION("""COMPUTED_VALUE"""),1)</f>
        <v>1</v>
      </c>
      <c r="C8255" s="7">
        <f ca="1">IFERROR(__xludf.DUMMYFUNCTION("""COMPUTED_VALUE"""),1)</f>
        <v>1</v>
      </c>
      <c r="D8255" s="8">
        <f ca="1">IFERROR(__xludf.DUMMYFUNCTION("""COMPUTED_VALUE"""),1)</f>
        <v>1</v>
      </c>
      <c r="E8255" s="2">
        <f ca="1">IFERROR(__xludf.DUMMYFUNCTION("""COMPUTED_VALUE"""),1)</f>
        <v>1</v>
      </c>
    </row>
    <row r="8256" spans="1:5" ht="13">
      <c r="A8256" s="8" t="str">
        <f ca="1">IFERROR(__xludf.DUMMYFUNCTION("""COMPUTED_VALUE"""),"Underwood, S.W.")</f>
        <v>Underwood, S.W.</v>
      </c>
      <c r="B8256" s="3">
        <f ca="1">IFERROR(__xludf.DUMMYFUNCTION("""COMPUTED_VALUE"""),1)</f>
        <v>1</v>
      </c>
      <c r="C8256" s="7">
        <f ca="1">IFERROR(__xludf.DUMMYFUNCTION("""COMPUTED_VALUE"""),1)</f>
        <v>1</v>
      </c>
      <c r="D8256" s="8">
        <f ca="1">IFERROR(__xludf.DUMMYFUNCTION("""COMPUTED_VALUE"""),1)</f>
        <v>1</v>
      </c>
      <c r="E8256" s="2">
        <f ca="1">IFERROR(__xludf.DUMMYFUNCTION("""COMPUTED_VALUE"""),1)</f>
        <v>1</v>
      </c>
    </row>
    <row r="8257" spans="1:5" ht="13">
      <c r="A8257" s="2" t="str">
        <f ca="1">IFERROR(__xludf.DUMMYFUNCTION("""COMPUTED_VALUE"""),"Ungar, Jay")</f>
        <v>Ungar, Jay</v>
      </c>
      <c r="B8257" s="3">
        <f ca="1">IFERROR(__xludf.DUMMYFUNCTION("""COMPUTED_VALUE"""),1)</f>
        <v>1</v>
      </c>
      <c r="C8257" s="7">
        <f ca="1">IFERROR(__xludf.DUMMYFUNCTION("""COMPUTED_VALUE"""),1)</f>
        <v>1</v>
      </c>
      <c r="D8257" s="8">
        <f ca="1">IFERROR(__xludf.DUMMYFUNCTION("""COMPUTED_VALUE"""),1)</f>
        <v>1</v>
      </c>
      <c r="E8257" s="2">
        <f ca="1">IFERROR(__xludf.DUMMYFUNCTION("""COMPUTED_VALUE"""),1)</f>
        <v>1</v>
      </c>
    </row>
    <row r="8258" spans="1:5" ht="13">
      <c r="A8258" s="2" t="str">
        <f ca="1">IFERROR(__xludf.DUMMYFUNCTION("""COMPUTED_VALUE"""),"Unruh, Eric")</f>
        <v>Unruh, Eric</v>
      </c>
      <c r="B8258" s="3">
        <f ca="1">IFERROR(__xludf.DUMMYFUNCTION("""COMPUTED_VALUE"""),1)</f>
        <v>1</v>
      </c>
      <c r="C8258" s="7">
        <f ca="1">IFERROR(__xludf.DUMMYFUNCTION("""COMPUTED_VALUE"""),1)</f>
        <v>1</v>
      </c>
      <c r="D8258" s="8">
        <f ca="1">IFERROR(__xludf.DUMMYFUNCTION("""COMPUTED_VALUE"""),1)</f>
        <v>1</v>
      </c>
      <c r="E8258" s="2">
        <f ca="1">IFERROR(__xludf.DUMMYFUNCTION("""COMPUTED_VALUE"""),1)</f>
        <v>1</v>
      </c>
    </row>
    <row r="8259" spans="1:5" ht="13">
      <c r="A8259" s="8" t="str">
        <f ca="1">IFERROR(__xludf.DUMMYFUNCTION("""COMPUTED_VALUE"""),"Unterseher, Reginald")</f>
        <v>Unterseher, Reginald</v>
      </c>
      <c r="B8259" s="3">
        <f ca="1">IFERROR(__xludf.DUMMYFUNCTION("""COMPUTED_VALUE"""),1)</f>
        <v>1</v>
      </c>
      <c r="C8259" s="7">
        <f ca="1">IFERROR(__xludf.DUMMYFUNCTION("""COMPUTED_VALUE"""),1)</f>
        <v>1</v>
      </c>
      <c r="D8259" s="8">
        <f ca="1">IFERROR(__xludf.DUMMYFUNCTION("""COMPUTED_VALUE"""),1)</f>
        <v>1</v>
      </c>
      <c r="E8259" s="2">
        <f ca="1">IFERROR(__xludf.DUMMYFUNCTION("""COMPUTED_VALUE"""),1)</f>
        <v>1</v>
      </c>
    </row>
    <row r="8260" spans="1:5" ht="13">
      <c r="A8260" s="2" t="str">
        <f ca="1">IFERROR(__xludf.DUMMYFUNCTION("""COMPUTED_VALUE"""),"Upmeyer, Walter")</f>
        <v>Upmeyer, Walter</v>
      </c>
      <c r="B8260" s="3">
        <f ca="1">IFERROR(__xludf.DUMMYFUNCTION("""COMPUTED_VALUE"""),1)</f>
        <v>1</v>
      </c>
      <c r="C8260" s="7">
        <f ca="1">IFERROR(__xludf.DUMMYFUNCTION("""COMPUTED_VALUE"""),1)</f>
        <v>1</v>
      </c>
      <c r="D8260" s="8">
        <f ca="1">IFERROR(__xludf.DUMMYFUNCTION("""COMPUTED_VALUE"""),5)</f>
        <v>5</v>
      </c>
      <c r="E8260" s="2">
        <f ca="1">IFERROR(__xludf.DUMMYFUNCTION("""COMPUTED_VALUE"""),2)</f>
        <v>2</v>
      </c>
    </row>
    <row r="8261" spans="1:5" ht="13">
      <c r="A8261" s="2" t="str">
        <f ca="1">IFERROR(__xludf.DUMMYFUNCTION("""COMPUTED_VALUE"""),"Urbaitis, Mindaugas")</f>
        <v>Urbaitis, Mindaugas</v>
      </c>
      <c r="B8261" s="3">
        <f ca="1">IFERROR(__xludf.DUMMYFUNCTION("""COMPUTED_VALUE"""),1)</f>
        <v>1</v>
      </c>
      <c r="C8261" s="7">
        <f ca="1">IFERROR(__xludf.DUMMYFUNCTION("""COMPUTED_VALUE"""),1)</f>
        <v>1</v>
      </c>
      <c r="D8261" s="8">
        <f ca="1">IFERROR(__xludf.DUMMYFUNCTION("""COMPUTED_VALUE"""),1)</f>
        <v>1</v>
      </c>
      <c r="E8261" s="2">
        <f ca="1">IFERROR(__xludf.DUMMYFUNCTION("""COMPUTED_VALUE"""),1)</f>
        <v>1</v>
      </c>
    </row>
    <row r="8262" spans="1:5" ht="13">
      <c r="A8262" s="2" t="str">
        <f ca="1">IFERROR(__xludf.DUMMYFUNCTION("""COMPUTED_VALUE"""),"Urie, Brendan")</f>
        <v>Urie, Brendan</v>
      </c>
      <c r="B8262" s="3">
        <f ca="1">IFERROR(__xludf.DUMMYFUNCTION("""COMPUTED_VALUE"""),1)</f>
        <v>1</v>
      </c>
      <c r="C8262" s="7">
        <f ca="1">IFERROR(__xludf.DUMMYFUNCTION("""COMPUTED_VALUE"""),1)</f>
        <v>1</v>
      </c>
      <c r="D8262" s="8">
        <f ca="1">IFERROR(__xludf.DUMMYFUNCTION("""COMPUTED_VALUE"""),1)</f>
        <v>1</v>
      </c>
      <c r="E8262" s="2">
        <f ca="1">IFERROR(__xludf.DUMMYFUNCTION("""COMPUTED_VALUE"""),1)</f>
        <v>1</v>
      </c>
    </row>
    <row r="8263" spans="1:5" ht="13">
      <c r="A8263" s="2" t="str">
        <f ca="1">IFERROR(__xludf.DUMMYFUNCTION("""COMPUTED_VALUE"""),"Uusberg, Pärt")</f>
        <v>Uusberg, Pärt</v>
      </c>
      <c r="B8263" s="2">
        <f ca="1">IFERROR(__xludf.DUMMYFUNCTION("""COMPUTED_VALUE"""),1)</f>
        <v>1</v>
      </c>
      <c r="C8263" s="7">
        <f ca="1">IFERROR(__xludf.DUMMYFUNCTION("""COMPUTED_VALUE"""),1)</f>
        <v>1</v>
      </c>
      <c r="D8263" s="8">
        <f ca="1">IFERROR(__xludf.DUMMYFUNCTION("""COMPUTED_VALUE"""),1)</f>
        <v>1</v>
      </c>
      <c r="E8263" s="2">
        <f ca="1">IFERROR(__xludf.DUMMYFUNCTION("""COMPUTED_VALUE"""),1)</f>
        <v>1</v>
      </c>
    </row>
    <row r="8264" spans="1:5" ht="13">
      <c r="A8264" s="8" t="str">
        <f ca="1">IFERROR(__xludf.DUMMYFUNCTION("""COMPUTED_VALUE"""),"Václav Pichel")</f>
        <v>Václav Pichel</v>
      </c>
      <c r="B8264" s="3">
        <f ca="1">IFERROR(__xludf.DUMMYFUNCTION("""COMPUTED_VALUE"""),1)</f>
        <v>1</v>
      </c>
      <c r="C8264" s="7">
        <f ca="1">IFERROR(__xludf.DUMMYFUNCTION("""COMPUTED_VALUE"""),1)</f>
        <v>1</v>
      </c>
      <c r="D8264" s="8">
        <f ca="1">IFERROR(__xludf.DUMMYFUNCTION("""COMPUTED_VALUE"""),5)</f>
        <v>5</v>
      </c>
      <c r="E8264" s="2">
        <f ca="1">IFERROR(__xludf.DUMMYFUNCTION("""COMPUTED_VALUE"""),2)</f>
        <v>2</v>
      </c>
    </row>
    <row r="8265" spans="1:5" ht="13">
      <c r="A8265" s="2" t="str">
        <f ca="1">IFERROR(__xludf.DUMMYFUNCTION("""COMPUTED_VALUE"""),"Vaet, Jacobus")</f>
        <v>Vaet, Jacobus</v>
      </c>
      <c r="B8265" s="3">
        <f ca="1">IFERROR(__xludf.DUMMYFUNCTION("""COMPUTED_VALUE"""),1)</f>
        <v>1</v>
      </c>
      <c r="C8265" s="7">
        <f ca="1">IFERROR(__xludf.DUMMYFUNCTION("""COMPUTED_VALUE"""),1)</f>
        <v>1</v>
      </c>
      <c r="D8265" s="8">
        <f ca="1">IFERROR(__xludf.DUMMYFUNCTION("""COMPUTED_VALUE"""),5)</f>
        <v>5</v>
      </c>
      <c r="E8265" s="2">
        <f ca="1">IFERROR(__xludf.DUMMYFUNCTION("""COMPUTED_VALUE"""),2)</f>
        <v>2</v>
      </c>
    </row>
    <row r="8266" spans="1:5" ht="13">
      <c r="A8266" s="2" t="str">
        <f ca="1">IFERROR(__xludf.DUMMYFUNCTION("""COMPUTED_VALUE"""),"Valentini, Giuseppe")</f>
        <v>Valentini, Giuseppe</v>
      </c>
      <c r="B8266" s="2">
        <f ca="1">IFERROR(__xludf.DUMMYFUNCTION("""COMPUTED_VALUE"""),1)</f>
        <v>1</v>
      </c>
      <c r="C8266" s="7">
        <f ca="1">IFERROR(__xludf.DUMMYFUNCTION("""COMPUTED_VALUE"""),1)</f>
        <v>1</v>
      </c>
      <c r="D8266" s="8">
        <f ca="1">IFERROR(__xludf.DUMMYFUNCTION("""COMPUTED_VALUE"""),5)</f>
        <v>5</v>
      </c>
      <c r="E8266" s="2">
        <f ca="1">IFERROR(__xludf.DUMMYFUNCTION("""COMPUTED_VALUE"""),2)</f>
        <v>2</v>
      </c>
    </row>
    <row r="8267" spans="1:5" ht="13">
      <c r="A8267" s="2" t="str">
        <f ca="1">IFERROR(__xludf.DUMMYFUNCTION("""COMPUTED_VALUE"""),"Valerius, Adrianus")</f>
        <v>Valerius, Adrianus</v>
      </c>
      <c r="B8267" s="2">
        <f ca="1">IFERROR(__xludf.DUMMYFUNCTION("""COMPUTED_VALUE"""),1)</f>
        <v>1</v>
      </c>
      <c r="C8267" s="7">
        <f ca="1">IFERROR(__xludf.DUMMYFUNCTION("""COMPUTED_VALUE"""),1)</f>
        <v>1</v>
      </c>
      <c r="D8267" s="8">
        <f ca="1">IFERROR(__xludf.DUMMYFUNCTION("""COMPUTED_VALUE"""),5)</f>
        <v>5</v>
      </c>
      <c r="E8267" s="2">
        <f ca="1">IFERROR(__xludf.DUMMYFUNCTION("""COMPUTED_VALUE"""),2)</f>
        <v>2</v>
      </c>
    </row>
    <row r="8268" spans="1:5" ht="13">
      <c r="A8268" s="2" t="str">
        <f ca="1">IFERROR(__xludf.DUMMYFUNCTION("""COMPUTED_VALUE"""),"Valery, Gavrilin")</f>
        <v>Valery, Gavrilin</v>
      </c>
      <c r="B8268" s="3">
        <f ca="1">IFERROR(__xludf.DUMMYFUNCTION("""COMPUTED_VALUE"""),1)</f>
        <v>1</v>
      </c>
      <c r="C8268" s="7">
        <f ca="1">IFERROR(__xludf.DUMMYFUNCTION("""COMPUTED_VALUE"""),1)</f>
        <v>1</v>
      </c>
      <c r="D8268" s="8">
        <f ca="1">IFERROR(__xludf.DUMMYFUNCTION("""COMPUTED_VALUE"""),5)</f>
        <v>5</v>
      </c>
      <c r="E8268" s="2">
        <f ca="1">IFERROR(__xludf.DUMMYFUNCTION("""COMPUTED_VALUE"""),2)</f>
        <v>2</v>
      </c>
    </row>
    <row r="8269" spans="1:5" ht="13">
      <c r="A8269" s="2" t="str">
        <f ca="1">IFERROR(__xludf.DUMMYFUNCTION("""COMPUTED_VALUE"""),"Van Auken, Zane")</f>
        <v>Van Auken, Zane</v>
      </c>
      <c r="B8269" s="3">
        <f ca="1">IFERROR(__xludf.DUMMYFUNCTION("""COMPUTED_VALUE"""),1)</f>
        <v>1</v>
      </c>
      <c r="C8269" s="7">
        <f ca="1">IFERROR(__xludf.DUMMYFUNCTION("""COMPUTED_VALUE"""),1)</f>
        <v>1</v>
      </c>
      <c r="D8269" s="8">
        <f ca="1">IFERROR(__xludf.DUMMYFUNCTION("""COMPUTED_VALUE"""),1)</f>
        <v>1</v>
      </c>
      <c r="E8269" s="2">
        <f ca="1">IFERROR(__xludf.DUMMYFUNCTION("""COMPUTED_VALUE"""),1)</f>
        <v>1</v>
      </c>
    </row>
    <row r="8270" spans="1:5" ht="13">
      <c r="A8270" s="2" t="str">
        <f ca="1">IFERROR(__xludf.DUMMYFUNCTION("""COMPUTED_VALUE"""),"van Beringen, Roland")</f>
        <v>van Beringen, Roland</v>
      </c>
      <c r="B8270" s="3">
        <f ca="1">IFERROR(__xludf.DUMMYFUNCTION("""COMPUTED_VALUE"""),1)</f>
        <v>1</v>
      </c>
      <c r="C8270" s="7">
        <f ca="1">IFERROR(__xludf.DUMMYFUNCTION("""COMPUTED_VALUE"""),1)</f>
        <v>1</v>
      </c>
      <c r="D8270" s="8">
        <f ca="1">IFERROR(__xludf.DUMMYFUNCTION("""COMPUTED_VALUE"""),5)</f>
        <v>5</v>
      </c>
      <c r="E8270" s="2">
        <f ca="1">IFERROR(__xludf.DUMMYFUNCTION("""COMPUTED_VALUE"""),2)</f>
        <v>2</v>
      </c>
    </row>
    <row r="8271" spans="1:5" ht="13">
      <c r="A8271" s="2" t="str">
        <f ca="1">IFERROR(__xludf.DUMMYFUNCTION("""COMPUTED_VALUE"""),"Van Camp, Leonard")</f>
        <v>Van Camp, Leonard</v>
      </c>
      <c r="B8271" s="3">
        <f ca="1">IFERROR(__xludf.DUMMYFUNCTION("""COMPUTED_VALUE"""),1)</f>
        <v>1</v>
      </c>
      <c r="C8271" s="7">
        <f ca="1">IFERROR(__xludf.DUMMYFUNCTION("""COMPUTED_VALUE"""),1)</f>
        <v>1</v>
      </c>
      <c r="D8271" s="8">
        <f ca="1">IFERROR(__xludf.DUMMYFUNCTION("""COMPUTED_VALUE"""),1)</f>
        <v>1</v>
      </c>
      <c r="E8271" s="2">
        <f ca="1">IFERROR(__xludf.DUMMYFUNCTION("""COMPUTED_VALUE"""),1)</f>
        <v>1</v>
      </c>
    </row>
    <row r="8272" spans="1:5" ht="13">
      <c r="A8272" s="2" t="str">
        <f ca="1">IFERROR(__xludf.DUMMYFUNCTION("""COMPUTED_VALUE"""),"Van den Borre, Jos")</f>
        <v>Van den Borre, Jos</v>
      </c>
      <c r="B8272" s="3">
        <f ca="1">IFERROR(__xludf.DUMMYFUNCTION("""COMPUTED_VALUE"""),1)</f>
        <v>1</v>
      </c>
      <c r="C8272" s="7">
        <f ca="1">IFERROR(__xludf.DUMMYFUNCTION("""COMPUTED_VALUE"""),1)</f>
        <v>1</v>
      </c>
      <c r="D8272" s="8">
        <f ca="1">IFERROR(__xludf.DUMMYFUNCTION("""COMPUTED_VALUE"""),1)</f>
        <v>1</v>
      </c>
      <c r="E8272" s="2">
        <f ca="1">IFERROR(__xludf.DUMMYFUNCTION("""COMPUTED_VALUE"""),1)</f>
        <v>1</v>
      </c>
    </row>
    <row r="8273" spans="1:5" ht="13">
      <c r="A8273" s="2" t="str">
        <f ca="1">IFERROR(__xludf.DUMMYFUNCTION("""COMPUTED_VALUE"""),"van der Aa, Michel")</f>
        <v>van der Aa, Michel</v>
      </c>
      <c r="B8273" s="3">
        <f ca="1">IFERROR(__xludf.DUMMYFUNCTION("""COMPUTED_VALUE"""),1)</f>
        <v>1</v>
      </c>
      <c r="C8273" s="7">
        <f ca="1">IFERROR(__xludf.DUMMYFUNCTION("""COMPUTED_VALUE"""),1)</f>
        <v>1</v>
      </c>
      <c r="D8273" s="8">
        <f ca="1">IFERROR(__xludf.DUMMYFUNCTION("""COMPUTED_VALUE"""),1)</f>
        <v>1</v>
      </c>
      <c r="E8273" s="2">
        <f ca="1">IFERROR(__xludf.DUMMYFUNCTION("""COMPUTED_VALUE"""),1)</f>
        <v>1</v>
      </c>
    </row>
    <row r="8274" spans="1:5" ht="13">
      <c r="A8274" s="2" t="str">
        <f ca="1">IFERROR(__xludf.DUMMYFUNCTION("""COMPUTED_VALUE"""),"van der Beek, Wil")</f>
        <v>van der Beek, Wil</v>
      </c>
      <c r="B8274" s="3">
        <f ca="1">IFERROR(__xludf.DUMMYFUNCTION("""COMPUTED_VALUE"""),1)</f>
        <v>1</v>
      </c>
      <c r="C8274" s="7">
        <f ca="1">IFERROR(__xludf.DUMMYFUNCTION("""COMPUTED_VALUE"""),1)</f>
        <v>1</v>
      </c>
      <c r="D8274" s="8">
        <f ca="1">IFERROR(__xludf.DUMMYFUNCTION("""COMPUTED_VALUE"""),1)</f>
        <v>1</v>
      </c>
      <c r="E8274" s="2">
        <f ca="1">IFERROR(__xludf.DUMMYFUNCTION("""COMPUTED_VALUE"""),1)</f>
        <v>1</v>
      </c>
    </row>
    <row r="8275" spans="1:5" ht="13">
      <c r="A8275" s="2" t="str">
        <f ca="1">IFERROR(__xludf.DUMMYFUNCTION("""COMPUTED_VALUE"""),"van der Linden, Johan")</f>
        <v>van der Linden, Johan</v>
      </c>
      <c r="B8275" s="3">
        <f ca="1">IFERROR(__xludf.DUMMYFUNCTION("""COMPUTED_VALUE"""),1)</f>
        <v>1</v>
      </c>
      <c r="C8275" s="7">
        <f ca="1">IFERROR(__xludf.DUMMYFUNCTION("""COMPUTED_VALUE"""),1)</f>
        <v>1</v>
      </c>
      <c r="D8275" s="8">
        <f ca="1">IFERROR(__xludf.DUMMYFUNCTION("""COMPUTED_VALUE"""),1)</f>
        <v>1</v>
      </c>
      <c r="E8275" s="2">
        <f ca="1">IFERROR(__xludf.DUMMYFUNCTION("""COMPUTED_VALUE"""),1)</f>
        <v>1</v>
      </c>
    </row>
    <row r="8276" spans="1:5" ht="13">
      <c r="A8276" s="8" t="str">
        <f ca="1">IFERROR(__xludf.DUMMYFUNCTION("""COMPUTED_VALUE"""),"van der Merwe, Andre")</f>
        <v>van der Merwe, Andre</v>
      </c>
      <c r="B8276" s="3">
        <f ca="1">IFERROR(__xludf.DUMMYFUNCTION("""COMPUTED_VALUE"""),1)</f>
        <v>1</v>
      </c>
      <c r="C8276" s="7">
        <f ca="1">IFERROR(__xludf.DUMMYFUNCTION("""COMPUTED_VALUE"""),1)</f>
        <v>1</v>
      </c>
      <c r="D8276" s="8">
        <f ca="1">IFERROR(__xludf.DUMMYFUNCTION("""COMPUTED_VALUE"""),1)</f>
        <v>1</v>
      </c>
      <c r="E8276" s="2">
        <f ca="1">IFERROR(__xludf.DUMMYFUNCTION("""COMPUTED_VALUE"""),1)</f>
        <v>1</v>
      </c>
    </row>
    <row r="8277" spans="1:5" ht="13">
      <c r="A8277" s="2" t="str">
        <f ca="1">IFERROR(__xludf.DUMMYFUNCTION("""COMPUTED_VALUE"""),"van der Roost, Jan")</f>
        <v>van der Roost, Jan</v>
      </c>
      <c r="B8277" s="3">
        <f ca="1">IFERROR(__xludf.DUMMYFUNCTION("""COMPUTED_VALUE"""),1)</f>
        <v>1</v>
      </c>
      <c r="C8277" s="7">
        <f ca="1">IFERROR(__xludf.DUMMYFUNCTION("""COMPUTED_VALUE"""),1)</f>
        <v>1</v>
      </c>
      <c r="D8277" s="8">
        <f ca="1">IFERROR(__xludf.DUMMYFUNCTION("""COMPUTED_VALUE"""),1)</f>
        <v>1</v>
      </c>
      <c r="E8277" s="2">
        <f ca="1">IFERROR(__xludf.DUMMYFUNCTION("""COMPUTED_VALUE"""),1)</f>
        <v>1</v>
      </c>
    </row>
    <row r="8278" spans="1:5" ht="13">
      <c r="A8278" s="2" t="str">
        <f ca="1">IFERROR(__xludf.DUMMYFUNCTION("""COMPUTED_VALUE"""),"van der Westhuizen, Pieter")</f>
        <v>van der Westhuizen, Pieter</v>
      </c>
      <c r="B8278" s="2">
        <f ca="1">IFERROR(__xludf.DUMMYFUNCTION("""COMPUTED_VALUE"""),1)</f>
        <v>1</v>
      </c>
      <c r="C8278" s="7">
        <f ca="1">IFERROR(__xludf.DUMMYFUNCTION("""COMPUTED_VALUE"""),1)</f>
        <v>1</v>
      </c>
      <c r="D8278" s="8">
        <f ca="1">IFERROR(__xludf.DUMMYFUNCTION("""COMPUTED_VALUE"""),1)</f>
        <v>1</v>
      </c>
      <c r="E8278" s="2">
        <f ca="1">IFERROR(__xludf.DUMMYFUNCTION("""COMPUTED_VALUE"""),1)</f>
        <v>1</v>
      </c>
    </row>
    <row r="8279" spans="1:5" ht="13">
      <c r="A8279" s="2" t="str">
        <f ca="1">IFERROR(__xludf.DUMMYFUNCTION("""COMPUTED_VALUE"""),"van Dijk, Peter Louis")</f>
        <v>van Dijk, Peter Louis</v>
      </c>
      <c r="B8279" s="2">
        <f ca="1">IFERROR(__xludf.DUMMYFUNCTION("""COMPUTED_VALUE"""),1)</f>
        <v>1</v>
      </c>
      <c r="C8279" s="7">
        <f ca="1">IFERROR(__xludf.DUMMYFUNCTION("""COMPUTED_VALUE"""),1)</f>
        <v>1</v>
      </c>
      <c r="D8279" s="8">
        <f ca="1">IFERROR(__xludf.DUMMYFUNCTION("""COMPUTED_VALUE"""),1)</f>
        <v>1</v>
      </c>
      <c r="E8279" s="2">
        <f ca="1">IFERROR(__xludf.DUMMYFUNCTION("""COMPUTED_VALUE"""),1)</f>
        <v>1</v>
      </c>
    </row>
    <row r="8280" spans="1:5" ht="13">
      <c r="A8280" s="2" t="str">
        <f ca="1">IFERROR(__xludf.DUMMYFUNCTION("""COMPUTED_VALUE"""),"van Eyck, Jacob")</f>
        <v>van Eyck, Jacob</v>
      </c>
      <c r="B8280" s="3">
        <f ca="1">IFERROR(__xludf.DUMMYFUNCTION("""COMPUTED_VALUE"""),1)</f>
        <v>1</v>
      </c>
      <c r="C8280" s="7">
        <f ca="1">IFERROR(__xludf.DUMMYFUNCTION("""COMPUTED_VALUE"""),1)</f>
        <v>1</v>
      </c>
      <c r="D8280" s="8">
        <f ca="1">IFERROR(__xludf.DUMMYFUNCTION("""COMPUTED_VALUE"""),5)</f>
        <v>5</v>
      </c>
      <c r="E8280" s="2">
        <f ca="1">IFERROR(__xludf.DUMMYFUNCTION("""COMPUTED_VALUE"""),2)</f>
        <v>2</v>
      </c>
    </row>
    <row r="8281" spans="1:5" ht="13">
      <c r="A8281" s="2" t="str">
        <f ca="1">IFERROR(__xludf.DUMMYFUNCTION("""COMPUTED_VALUE"""),"Van Gelderen, Daniel")</f>
        <v>Van Gelderen, Daniel</v>
      </c>
      <c r="B8281" s="2">
        <f ca="1">IFERROR(__xludf.DUMMYFUNCTION("""COMPUTED_VALUE"""),1)</f>
        <v>1</v>
      </c>
      <c r="C8281" s="7">
        <f ca="1">IFERROR(__xludf.DUMMYFUNCTION("""COMPUTED_VALUE"""),1)</f>
        <v>1</v>
      </c>
      <c r="D8281" s="8">
        <f ca="1">IFERROR(__xludf.DUMMYFUNCTION("""COMPUTED_VALUE"""),1)</f>
        <v>1</v>
      </c>
      <c r="E8281" s="2">
        <f ca="1">IFERROR(__xludf.DUMMYFUNCTION("""COMPUTED_VALUE"""),1)</f>
        <v>1</v>
      </c>
    </row>
    <row r="8282" spans="1:5" ht="13">
      <c r="A8282" s="2" t="str">
        <f ca="1">IFERROR(__xludf.DUMMYFUNCTION("""COMPUTED_VALUE"""),"van Heusen, Jimmy")</f>
        <v>van Heusen, Jimmy</v>
      </c>
      <c r="B8282" s="2">
        <f ca="1">IFERROR(__xludf.DUMMYFUNCTION("""COMPUTED_VALUE"""),1)</f>
        <v>1</v>
      </c>
      <c r="C8282" s="7">
        <f ca="1">IFERROR(__xludf.DUMMYFUNCTION("""COMPUTED_VALUE"""),1)</f>
        <v>1</v>
      </c>
      <c r="D8282" s="8">
        <f ca="1">IFERROR(__xludf.DUMMYFUNCTION("""COMPUTED_VALUE"""),5)</f>
        <v>5</v>
      </c>
      <c r="E8282" s="2">
        <f ca="1">IFERROR(__xludf.DUMMYFUNCTION("""COMPUTED_VALUE"""),2)</f>
        <v>2</v>
      </c>
    </row>
    <row r="8283" spans="1:5" ht="13">
      <c r="A8283" s="2" t="str">
        <f ca="1">IFERROR(__xludf.DUMMYFUNCTION("""COMPUTED_VALUE"""),"Van Heusen, Jimmy / Burke, Johnny")</f>
        <v>Van Heusen, Jimmy / Burke, Johnny</v>
      </c>
      <c r="B8283" s="2">
        <f ca="1">IFERROR(__xludf.DUMMYFUNCTION("""COMPUTED_VALUE"""),1)</f>
        <v>1</v>
      </c>
      <c r="C8283" s="7">
        <f ca="1">IFERROR(__xludf.DUMMYFUNCTION("""COMPUTED_VALUE"""),1)</f>
        <v>1</v>
      </c>
      <c r="D8283" s="8">
        <f ca="1">IFERROR(__xludf.DUMMYFUNCTION("""COMPUTED_VALUE"""),5)</f>
        <v>5</v>
      </c>
      <c r="E8283" s="2">
        <f ca="1">IFERROR(__xludf.DUMMYFUNCTION("""COMPUTED_VALUE"""),2)</f>
        <v>2</v>
      </c>
    </row>
    <row r="8284" spans="1:5" ht="13">
      <c r="A8284" s="2" t="str">
        <f ca="1">IFERROR(__xludf.DUMMYFUNCTION("""COMPUTED_VALUE"""),"van Heusen, Jimmy / Mercer, Johnny")</f>
        <v>van Heusen, Jimmy / Mercer, Johnny</v>
      </c>
      <c r="B8284" s="2">
        <f ca="1">IFERROR(__xludf.DUMMYFUNCTION("""COMPUTED_VALUE"""),1)</f>
        <v>1</v>
      </c>
      <c r="C8284" s="7">
        <f ca="1">IFERROR(__xludf.DUMMYFUNCTION("""COMPUTED_VALUE"""),1)</f>
        <v>1</v>
      </c>
      <c r="D8284" s="8">
        <f ca="1">IFERROR(__xludf.DUMMYFUNCTION("""COMPUTED_VALUE"""),5)</f>
        <v>5</v>
      </c>
      <c r="E8284" s="2">
        <f ca="1">IFERROR(__xludf.DUMMYFUNCTION("""COMPUTED_VALUE"""),2)</f>
        <v>2</v>
      </c>
    </row>
    <row r="8285" spans="1:5" ht="13">
      <c r="A8285" s="2" t="str">
        <f ca="1">IFERROR(__xludf.DUMMYFUNCTION("""COMPUTED_VALUE"""),"van Hof, Chris")</f>
        <v>van Hof, Chris</v>
      </c>
      <c r="B8285" s="3">
        <f ca="1">IFERROR(__xludf.DUMMYFUNCTION("""COMPUTED_VALUE"""),1)</f>
        <v>1</v>
      </c>
      <c r="C8285" s="7">
        <f ca="1">IFERROR(__xludf.DUMMYFUNCTION("""COMPUTED_VALUE"""),1)</f>
        <v>1</v>
      </c>
      <c r="D8285" s="8">
        <f ca="1">IFERROR(__xludf.DUMMYFUNCTION("""COMPUTED_VALUE"""),1)</f>
        <v>1</v>
      </c>
      <c r="E8285" s="2">
        <f ca="1">IFERROR(__xludf.DUMMYFUNCTION("""COMPUTED_VALUE"""),1)</f>
        <v>1</v>
      </c>
    </row>
    <row r="8286" spans="1:5" ht="13">
      <c r="A8286" s="2" t="str">
        <f ca="1">IFERROR(__xludf.DUMMYFUNCTION("""COMPUTED_VALUE"""),"van Leeuwen, Ary")</f>
        <v>van Leeuwen, Ary</v>
      </c>
      <c r="B8286" s="3">
        <f ca="1">IFERROR(__xludf.DUMMYFUNCTION("""COMPUTED_VALUE"""),1)</f>
        <v>1</v>
      </c>
      <c r="C8286" s="7">
        <f ca="1">IFERROR(__xludf.DUMMYFUNCTION("""COMPUTED_VALUE"""),1)</f>
        <v>1</v>
      </c>
      <c r="D8286" s="8">
        <f ca="1">IFERROR(__xludf.DUMMYFUNCTION("""COMPUTED_VALUE"""),5)</f>
        <v>5</v>
      </c>
      <c r="E8286" s="2">
        <f ca="1">IFERROR(__xludf.DUMMYFUNCTION("""COMPUTED_VALUE"""),2)</f>
        <v>2</v>
      </c>
    </row>
    <row r="8287" spans="1:5" ht="13">
      <c r="A8287" s="2" t="str">
        <f ca="1">IFERROR(__xludf.DUMMYFUNCTION("""COMPUTED_VALUE"""),"van Loan, Paul")</f>
        <v>van Loan, Paul</v>
      </c>
      <c r="B8287" s="3">
        <f ca="1">IFERROR(__xludf.DUMMYFUNCTION("""COMPUTED_VALUE"""),1)</f>
        <v>1</v>
      </c>
      <c r="C8287" s="7">
        <f ca="1">IFERROR(__xludf.DUMMYFUNCTION("""COMPUTED_VALUE"""),1)</f>
        <v>1</v>
      </c>
      <c r="D8287" s="8">
        <f ca="1">IFERROR(__xludf.DUMMYFUNCTION("""COMPUTED_VALUE"""),5)</f>
        <v>5</v>
      </c>
      <c r="E8287" s="2">
        <f ca="1">IFERROR(__xludf.DUMMYFUNCTION("""COMPUTED_VALUE"""),2)</f>
        <v>2</v>
      </c>
    </row>
    <row r="8288" spans="1:5" ht="13">
      <c r="A8288" s="2" t="str">
        <f ca="1">IFERROR(__xludf.DUMMYFUNCTION("""COMPUTED_VALUE"""),"van Otterloo, Willem")</f>
        <v>van Otterloo, Willem</v>
      </c>
      <c r="B8288" s="3">
        <f ca="1">IFERROR(__xludf.DUMMYFUNCTION("""COMPUTED_VALUE"""),1)</f>
        <v>1</v>
      </c>
      <c r="C8288" s="7">
        <f ca="1">IFERROR(__xludf.DUMMYFUNCTION("""COMPUTED_VALUE"""),1)</f>
        <v>1</v>
      </c>
      <c r="D8288" s="8">
        <f ca="1">IFERROR(__xludf.DUMMYFUNCTION("""COMPUTED_VALUE"""),5)</f>
        <v>5</v>
      </c>
      <c r="E8288" s="2">
        <f ca="1">IFERROR(__xludf.DUMMYFUNCTION("""COMPUTED_VALUE"""),2)</f>
        <v>2</v>
      </c>
    </row>
    <row r="8289" spans="1:5" ht="13">
      <c r="A8289" s="2" t="str">
        <f ca="1">IFERROR(__xludf.DUMMYFUNCTION("""COMPUTED_VALUE"""),"Van Vleck, Jacob")</f>
        <v>Van Vleck, Jacob</v>
      </c>
      <c r="B8289" s="3">
        <f ca="1">IFERROR(__xludf.DUMMYFUNCTION("""COMPUTED_VALUE"""),1)</f>
        <v>1</v>
      </c>
      <c r="C8289" s="7">
        <f ca="1">IFERROR(__xludf.DUMMYFUNCTION("""COMPUTED_VALUE"""),1)</f>
        <v>1</v>
      </c>
      <c r="D8289" s="8">
        <f ca="1">IFERROR(__xludf.DUMMYFUNCTION("""COMPUTED_VALUE"""),5)</f>
        <v>5</v>
      </c>
      <c r="E8289" s="2">
        <f ca="1">IFERROR(__xludf.DUMMYFUNCTION("""COMPUTED_VALUE"""),2)</f>
        <v>2</v>
      </c>
    </row>
    <row r="8290" spans="1:5" ht="13">
      <c r="A8290" s="2" t="str">
        <f ca="1">IFERROR(__xludf.DUMMYFUNCTION("""COMPUTED_VALUE"""),"Van Winkle, Ben")</f>
        <v>Van Winkle, Ben</v>
      </c>
      <c r="B8290" s="3">
        <f ca="1">IFERROR(__xludf.DUMMYFUNCTION("""COMPUTED_VALUE"""),1)</f>
        <v>1</v>
      </c>
      <c r="C8290" s="7">
        <f ca="1">IFERROR(__xludf.DUMMYFUNCTION("""COMPUTED_VALUE"""),1)</f>
        <v>1</v>
      </c>
      <c r="D8290" s="8">
        <f ca="1">IFERROR(__xludf.DUMMYFUNCTION("""COMPUTED_VALUE"""),1)</f>
        <v>1</v>
      </c>
      <c r="E8290" s="2">
        <f ca="1">IFERROR(__xludf.DUMMYFUNCTION("""COMPUTED_VALUE"""),1)</f>
        <v>1</v>
      </c>
    </row>
    <row r="8291" spans="1:5" ht="13">
      <c r="A8291" s="2" t="str">
        <f ca="1">IFERROR(__xludf.DUMMYFUNCTION("""COMPUTED_VALUE"""),"van Zandt Lane, Peter")</f>
        <v>van Zandt Lane, Peter</v>
      </c>
      <c r="B8291" s="3">
        <f ca="1">IFERROR(__xludf.DUMMYFUNCTION("""COMPUTED_VALUE"""),1)</f>
        <v>1</v>
      </c>
      <c r="C8291" s="7">
        <f ca="1">IFERROR(__xludf.DUMMYFUNCTION("""COMPUTED_VALUE"""),1)</f>
        <v>1</v>
      </c>
      <c r="D8291" s="8">
        <f ca="1">IFERROR(__xludf.DUMMYFUNCTION("""COMPUTED_VALUE"""),1)</f>
        <v>1</v>
      </c>
      <c r="E8291" s="2">
        <f ca="1">IFERROR(__xludf.DUMMYFUNCTION("""COMPUTED_VALUE"""),1)</f>
        <v>1</v>
      </c>
    </row>
    <row r="8292" spans="1:5" ht="13">
      <c r="A8292" s="2" t="str">
        <f ca="1">IFERROR(__xludf.DUMMYFUNCTION("""COMPUTED_VALUE"""),"Van-Wormer, Gordon")</f>
        <v>Van-Wormer, Gordon</v>
      </c>
      <c r="B8292" s="3">
        <f ca="1">IFERROR(__xludf.DUMMYFUNCTION("""COMPUTED_VALUE"""),1)</f>
        <v>1</v>
      </c>
      <c r="C8292" s="7">
        <f ca="1">IFERROR(__xludf.DUMMYFUNCTION("""COMPUTED_VALUE"""),1)</f>
        <v>1</v>
      </c>
      <c r="D8292" s="8">
        <f ca="1">IFERROR(__xludf.DUMMYFUNCTION("""COMPUTED_VALUE"""),5)</f>
        <v>5</v>
      </c>
      <c r="E8292" s="2">
        <f ca="1">IFERROR(__xludf.DUMMYFUNCTION("""COMPUTED_VALUE"""),2)</f>
        <v>2</v>
      </c>
    </row>
    <row r="8293" spans="1:5" ht="13">
      <c r="A8293" s="2" t="str">
        <f ca="1">IFERROR(__xludf.DUMMYFUNCTION("""COMPUTED_VALUE"""),"Van, Jeffrey")</f>
        <v>Van, Jeffrey</v>
      </c>
      <c r="B8293" s="3">
        <f ca="1">IFERROR(__xludf.DUMMYFUNCTION("""COMPUTED_VALUE"""),1)</f>
        <v>1</v>
      </c>
      <c r="C8293" s="7">
        <f ca="1">IFERROR(__xludf.DUMMYFUNCTION("""COMPUTED_VALUE"""),1)</f>
        <v>1</v>
      </c>
      <c r="D8293" s="8">
        <f ca="1">IFERROR(__xludf.DUMMYFUNCTION("""COMPUTED_VALUE"""),1)</f>
        <v>1</v>
      </c>
      <c r="E8293" s="2">
        <f ca="1">IFERROR(__xludf.DUMMYFUNCTION("""COMPUTED_VALUE"""),1)</f>
        <v>1</v>
      </c>
    </row>
    <row r="8294" spans="1:5" ht="13">
      <c r="A8294" s="2" t="str">
        <f ca="1">IFERROR(__xludf.DUMMYFUNCTION("""COMPUTED_VALUE"""),"Vandercook, H.A.")</f>
        <v>Vandercook, H.A.</v>
      </c>
      <c r="B8294" s="3">
        <f ca="1">IFERROR(__xludf.DUMMYFUNCTION("""COMPUTED_VALUE"""),1)</f>
        <v>1</v>
      </c>
      <c r="C8294" s="7">
        <f ca="1">IFERROR(__xludf.DUMMYFUNCTION("""COMPUTED_VALUE"""),1)</f>
        <v>1</v>
      </c>
      <c r="D8294" s="8">
        <f ca="1">IFERROR(__xludf.DUMMYFUNCTION("""COMPUTED_VALUE"""),5)</f>
        <v>5</v>
      </c>
      <c r="E8294" s="3">
        <f ca="1">IFERROR(__xludf.DUMMYFUNCTION("""COMPUTED_VALUE"""),2)</f>
        <v>2</v>
      </c>
    </row>
    <row r="8295" spans="1:5" ht="13">
      <c r="A8295" s="8" t="str">
        <f ca="1">IFERROR(__xludf.DUMMYFUNCTION("""COMPUTED_VALUE"""),"Vanderheyden, Joel")</f>
        <v>Vanderheyden, Joel</v>
      </c>
      <c r="B8295" s="3">
        <f ca="1">IFERROR(__xludf.DUMMYFUNCTION("""COMPUTED_VALUE"""),1)</f>
        <v>1</v>
      </c>
      <c r="C8295" s="7">
        <f ca="1">IFERROR(__xludf.DUMMYFUNCTION("""COMPUTED_VALUE"""),1)</f>
        <v>1</v>
      </c>
      <c r="D8295" s="8">
        <f ca="1">IFERROR(__xludf.DUMMYFUNCTION("""COMPUTED_VALUE"""),1)</f>
        <v>1</v>
      </c>
      <c r="E8295" s="2">
        <f ca="1">IFERROR(__xludf.DUMMYFUNCTION("""COMPUTED_VALUE"""),1)</f>
        <v>1</v>
      </c>
    </row>
    <row r="8296" spans="1:5" ht="13">
      <c r="A8296" s="2" t="str">
        <f ca="1">IFERROR(__xludf.DUMMYFUNCTION("""COMPUTED_VALUE"""),"Vandervliet, Robert")</f>
        <v>Vandervliet, Robert</v>
      </c>
      <c r="B8296" s="3">
        <f ca="1">IFERROR(__xludf.DUMMYFUNCTION("""COMPUTED_VALUE"""),1)</f>
        <v>1</v>
      </c>
      <c r="C8296" s="7">
        <f ca="1">IFERROR(__xludf.DUMMYFUNCTION("""COMPUTED_VALUE"""),1)</f>
        <v>1</v>
      </c>
      <c r="D8296" s="8">
        <f ca="1">IFERROR(__xludf.DUMMYFUNCTION("""COMPUTED_VALUE"""),1)</f>
        <v>1</v>
      </c>
      <c r="E8296" s="2">
        <f ca="1">IFERROR(__xludf.DUMMYFUNCTION("""COMPUTED_VALUE"""),1)</f>
        <v>1</v>
      </c>
    </row>
    <row r="8297" spans="1:5" ht="13">
      <c r="A8297" s="2" t="str">
        <f ca="1">IFERROR(__xludf.DUMMYFUNCTION("""COMPUTED_VALUE"""),"Vandewalker, David")</f>
        <v>Vandewalker, David</v>
      </c>
      <c r="B8297" s="3">
        <f ca="1">IFERROR(__xludf.DUMMYFUNCTION("""COMPUTED_VALUE"""),1)</f>
        <v>1</v>
      </c>
      <c r="C8297" s="7">
        <f ca="1">IFERROR(__xludf.DUMMYFUNCTION("""COMPUTED_VALUE"""),1)</f>
        <v>1</v>
      </c>
      <c r="D8297" s="8">
        <f ca="1">IFERROR(__xludf.DUMMYFUNCTION("""COMPUTED_VALUE"""),1)</f>
        <v>1</v>
      </c>
      <c r="E8297" s="2">
        <f ca="1">IFERROR(__xludf.DUMMYFUNCTION("""COMPUTED_VALUE"""),1)</f>
        <v>1</v>
      </c>
    </row>
    <row r="8298" spans="1:5" ht="13">
      <c r="A8298" s="2" t="str">
        <f ca="1">IFERROR(__xludf.DUMMYFUNCTION("""COMPUTED_VALUE"""),"VanDoren, Evan")</f>
        <v>VanDoren, Evan</v>
      </c>
      <c r="B8298" s="3">
        <f ca="1">IFERROR(__xludf.DUMMYFUNCTION("""COMPUTED_VALUE"""),1)</f>
        <v>1</v>
      </c>
      <c r="C8298" s="7">
        <f ca="1">IFERROR(__xludf.DUMMYFUNCTION("""COMPUTED_VALUE"""),1)</f>
        <v>1</v>
      </c>
      <c r="D8298" s="8">
        <f ca="1">IFERROR(__xludf.DUMMYFUNCTION("""COMPUTED_VALUE"""),1)</f>
        <v>1</v>
      </c>
      <c r="E8298" s="2">
        <f ca="1">IFERROR(__xludf.DUMMYFUNCTION("""COMPUTED_VALUE"""),1)</f>
        <v>1</v>
      </c>
    </row>
    <row r="8299" spans="1:5" ht="13">
      <c r="A8299" s="2" t="str">
        <f ca="1">IFERROR(__xludf.DUMMYFUNCTION("""COMPUTED_VALUE"""),"Vaňhal, Jan Křtitel")</f>
        <v>Vaňhal, Jan Křtitel</v>
      </c>
      <c r="B8299" s="3">
        <f ca="1">IFERROR(__xludf.DUMMYFUNCTION("""COMPUTED_VALUE"""),1)</f>
        <v>1</v>
      </c>
      <c r="C8299" s="7">
        <f ca="1">IFERROR(__xludf.DUMMYFUNCTION("""COMPUTED_VALUE"""),1)</f>
        <v>1</v>
      </c>
      <c r="D8299" s="8">
        <f ca="1">IFERROR(__xludf.DUMMYFUNCTION("""COMPUTED_VALUE"""),1)</f>
        <v>1</v>
      </c>
      <c r="E8299" s="2">
        <f ca="1">IFERROR(__xludf.DUMMYFUNCTION("""COMPUTED_VALUE"""),1)</f>
        <v>1</v>
      </c>
    </row>
    <row r="8300" spans="1:5" ht="13">
      <c r="A8300" s="2" t="str">
        <f ca="1">IFERROR(__xludf.DUMMYFUNCTION("""COMPUTED_VALUE"""),"Vanhal, Johann Baptist")</f>
        <v>Vanhal, Johann Baptist</v>
      </c>
      <c r="B8300" s="3">
        <f ca="1">IFERROR(__xludf.DUMMYFUNCTION("""COMPUTED_VALUE"""),1)</f>
        <v>1</v>
      </c>
      <c r="C8300" s="7">
        <f ca="1">IFERROR(__xludf.DUMMYFUNCTION("""COMPUTED_VALUE"""),1)</f>
        <v>1</v>
      </c>
      <c r="D8300" s="8">
        <f ca="1">IFERROR(__xludf.DUMMYFUNCTION("""COMPUTED_VALUE"""),5)</f>
        <v>5</v>
      </c>
      <c r="E8300" s="2">
        <f ca="1">IFERROR(__xludf.DUMMYFUNCTION("""COMPUTED_VALUE"""),2)</f>
        <v>2</v>
      </c>
    </row>
    <row r="8301" spans="1:5" ht="13">
      <c r="A8301" s="2" t="str">
        <f ca="1">IFERROR(__xludf.DUMMYFUNCTION("""COMPUTED_VALUE"""),"Vaninetti, Giuseppe / Glover, Andrew")</f>
        <v>Vaninetti, Giuseppe / Glover, Andrew</v>
      </c>
      <c r="B8301" s="3">
        <f ca="1">IFERROR(__xludf.DUMMYFUNCTION("""COMPUTED_VALUE"""),1)</f>
        <v>1</v>
      </c>
      <c r="C8301" s="7">
        <f ca="1">IFERROR(__xludf.DUMMYFUNCTION("""COMPUTED_VALUE"""),1)</f>
        <v>1</v>
      </c>
      <c r="D8301" s="8">
        <f ca="1">IFERROR(__xludf.DUMMYFUNCTION("""COMPUTED_VALUE"""),1)</f>
        <v>1</v>
      </c>
      <c r="E8301" s="2">
        <f ca="1">IFERROR(__xludf.DUMMYFUNCTION("""COMPUTED_VALUE"""),1)</f>
        <v>1</v>
      </c>
    </row>
    <row r="8302" spans="1:5" ht="13">
      <c r="A8302" s="2" t="str">
        <f ca="1">IFERROR(__xludf.DUMMYFUNCTION("""COMPUTED_VALUE"""),"Varese, Edgard")</f>
        <v>Varese, Edgard</v>
      </c>
      <c r="B8302" s="3">
        <f ca="1">IFERROR(__xludf.DUMMYFUNCTION("""COMPUTED_VALUE"""),1)</f>
        <v>1</v>
      </c>
      <c r="C8302" s="7">
        <f ca="1">IFERROR(__xludf.DUMMYFUNCTION("""COMPUTED_VALUE"""),1)</f>
        <v>1</v>
      </c>
      <c r="D8302" s="8">
        <f ca="1">IFERROR(__xludf.DUMMYFUNCTION("""COMPUTED_VALUE"""),5)</f>
        <v>5</v>
      </c>
      <c r="E8302" s="2">
        <f ca="1">IFERROR(__xludf.DUMMYFUNCTION("""COMPUTED_VALUE"""),2)</f>
        <v>2</v>
      </c>
    </row>
    <row r="8303" spans="1:5" ht="13">
      <c r="A8303" s="2" t="str">
        <f ca="1">IFERROR(__xludf.DUMMYFUNCTION("""COMPUTED_VALUE"""),"Varèse, Edgard")</f>
        <v>Varèse, Edgard</v>
      </c>
      <c r="B8303" s="3">
        <f ca="1">IFERROR(__xludf.DUMMYFUNCTION("""COMPUTED_VALUE"""),1)</f>
        <v>1</v>
      </c>
      <c r="C8303" s="7">
        <f ca="1">IFERROR(__xludf.DUMMYFUNCTION("""COMPUTED_VALUE"""),1)</f>
        <v>1</v>
      </c>
      <c r="D8303" s="8">
        <f ca="1">IFERROR(__xludf.DUMMYFUNCTION("""COMPUTED_VALUE"""),5)</f>
        <v>5</v>
      </c>
      <c r="E8303" s="2">
        <f ca="1">IFERROR(__xludf.DUMMYFUNCTION("""COMPUTED_VALUE"""),2)</f>
        <v>2</v>
      </c>
    </row>
    <row r="8304" spans="1:5" ht="13">
      <c r="A8304" s="8" t="str">
        <f ca="1">IFERROR(__xludf.DUMMYFUNCTION("""COMPUTED_VALUE"""),"Vasks, Peteris")</f>
        <v>Vasks, Peteris</v>
      </c>
      <c r="B8304" s="3">
        <f ca="1">IFERROR(__xludf.DUMMYFUNCTION("""COMPUTED_VALUE"""),1)</f>
        <v>1</v>
      </c>
      <c r="C8304" s="7">
        <f ca="1">IFERROR(__xludf.DUMMYFUNCTION("""COMPUTED_VALUE"""),1)</f>
        <v>1</v>
      </c>
      <c r="D8304" s="8">
        <f ca="1">IFERROR(__xludf.DUMMYFUNCTION("""COMPUTED_VALUE"""),1)</f>
        <v>1</v>
      </c>
      <c r="E8304" s="2">
        <f ca="1">IFERROR(__xludf.DUMMYFUNCTION("""COMPUTED_VALUE"""),1)</f>
        <v>1</v>
      </c>
    </row>
    <row r="8305" spans="1:5" ht="13">
      <c r="A8305" s="2" t="str">
        <f ca="1">IFERROR(__xludf.DUMMYFUNCTION("""COMPUTED_VALUE"""),"Vasks, Pēteris")</f>
        <v>Vasks, Pēteris</v>
      </c>
      <c r="B8305" s="3">
        <f ca="1">IFERROR(__xludf.DUMMYFUNCTION("""COMPUTED_VALUE"""),1)</f>
        <v>1</v>
      </c>
      <c r="C8305" s="7">
        <f ca="1">IFERROR(__xludf.DUMMYFUNCTION("""COMPUTED_VALUE"""),1)</f>
        <v>1</v>
      </c>
      <c r="D8305" s="8">
        <f ca="1">IFERROR(__xludf.DUMMYFUNCTION("""COMPUTED_VALUE"""),1)</f>
        <v>1</v>
      </c>
      <c r="E8305" s="2">
        <f ca="1">IFERROR(__xludf.DUMMYFUNCTION("""COMPUTED_VALUE"""),1)</f>
        <v>1</v>
      </c>
    </row>
    <row r="8306" spans="1:5" ht="13">
      <c r="A8306" s="2" t="str">
        <f ca="1">IFERROR(__xludf.DUMMYFUNCTION("""COMPUTED_VALUE"""),"Vásquez, Juan")</f>
        <v>Vásquez, Juan</v>
      </c>
      <c r="B8306" s="3">
        <f ca="1">IFERROR(__xludf.DUMMYFUNCTION("""COMPUTED_VALUE"""),1)</f>
        <v>1</v>
      </c>
      <c r="C8306" s="7">
        <f ca="1">IFERROR(__xludf.DUMMYFUNCTION("""COMPUTED_VALUE"""),1)</f>
        <v>1</v>
      </c>
      <c r="D8306" s="8">
        <f ca="1">IFERROR(__xludf.DUMMYFUNCTION("""COMPUTED_VALUE"""),5)</f>
        <v>5</v>
      </c>
      <c r="E8306" s="2">
        <f ca="1">IFERROR(__xludf.DUMMYFUNCTION("""COMPUTED_VALUE"""),2)</f>
        <v>2</v>
      </c>
    </row>
    <row r="8307" spans="1:5" ht="13">
      <c r="A8307" s="2" t="str">
        <f ca="1">IFERROR(__xludf.DUMMYFUNCTION("""COMPUTED_VALUE"""),"Vassilandonakis, Yiorgos")</f>
        <v>Vassilandonakis, Yiorgos</v>
      </c>
      <c r="B8307" s="3">
        <f ca="1">IFERROR(__xludf.DUMMYFUNCTION("""COMPUTED_VALUE"""),1)</f>
        <v>1</v>
      </c>
      <c r="C8307" s="7">
        <f ca="1">IFERROR(__xludf.DUMMYFUNCTION("""COMPUTED_VALUE"""),1)</f>
        <v>1</v>
      </c>
      <c r="D8307" s="8">
        <f ca="1">IFERROR(__xludf.DUMMYFUNCTION("""COMPUTED_VALUE"""),5)</f>
        <v>5</v>
      </c>
      <c r="E8307" s="2">
        <f ca="1">IFERROR(__xludf.DUMMYFUNCTION("""COMPUTED_VALUE"""),2)</f>
        <v>2</v>
      </c>
    </row>
    <row r="8308" spans="1:5" ht="13">
      <c r="A8308" s="2" t="str">
        <f ca="1">IFERROR(__xludf.DUMMYFUNCTION("""COMPUTED_VALUE"""),"Vaughan Williams, Ralph")</f>
        <v>Vaughan Williams, Ralph</v>
      </c>
      <c r="B8308" s="3">
        <f ca="1">IFERROR(__xludf.DUMMYFUNCTION("""COMPUTED_VALUE"""),1)</f>
        <v>1</v>
      </c>
      <c r="C8308" s="7">
        <f ca="1">IFERROR(__xludf.DUMMYFUNCTION("""COMPUTED_VALUE"""),1)</f>
        <v>1</v>
      </c>
      <c r="D8308" s="8">
        <f ca="1">IFERROR(__xludf.DUMMYFUNCTION("""COMPUTED_VALUE"""),5)</f>
        <v>5</v>
      </c>
      <c r="E8308" s="2">
        <f ca="1">IFERROR(__xludf.DUMMYFUNCTION("""COMPUTED_VALUE"""),2)</f>
        <v>2</v>
      </c>
    </row>
    <row r="8309" spans="1:5" ht="13">
      <c r="A8309" s="2" t="str">
        <f ca="1">IFERROR(__xludf.DUMMYFUNCTION("""COMPUTED_VALUE"""),"Vautor, Thomas")</f>
        <v>Vautor, Thomas</v>
      </c>
      <c r="B8309" s="2">
        <f ca="1">IFERROR(__xludf.DUMMYFUNCTION("""COMPUTED_VALUE"""),1)</f>
        <v>1</v>
      </c>
      <c r="C8309" s="7">
        <f ca="1">IFERROR(__xludf.DUMMYFUNCTION("""COMPUTED_VALUE"""),1)</f>
        <v>1</v>
      </c>
      <c r="D8309" s="8">
        <f ca="1">IFERROR(__xludf.DUMMYFUNCTION("""COMPUTED_VALUE"""),5)</f>
        <v>5</v>
      </c>
      <c r="E8309" s="2">
        <f ca="1">IFERROR(__xludf.DUMMYFUNCTION("""COMPUTED_VALUE"""),2)</f>
        <v>2</v>
      </c>
    </row>
    <row r="8310" spans="1:5" ht="13">
      <c r="A8310" s="2" t="str">
        <f ca="1">IFERROR(__xludf.DUMMYFUNCTION("""COMPUTED_VALUE"""),"Vaux, Joseph de")</f>
        <v>Vaux, Joseph de</v>
      </c>
      <c r="B8310" s="3">
        <f ca="1">IFERROR(__xludf.DUMMYFUNCTION("""COMPUTED_VALUE"""),1)</f>
        <v>1</v>
      </c>
      <c r="C8310" s="7">
        <f ca="1">IFERROR(__xludf.DUMMYFUNCTION("""COMPUTED_VALUE"""),1)</f>
        <v>1</v>
      </c>
      <c r="D8310" s="8">
        <f ca="1">IFERROR(__xludf.DUMMYFUNCTION("""COMPUTED_VALUE"""),5)</f>
        <v>5</v>
      </c>
      <c r="E8310" s="2">
        <f ca="1">IFERROR(__xludf.DUMMYFUNCTION("""COMPUTED_VALUE"""),2)</f>
        <v>2</v>
      </c>
    </row>
    <row r="8311" spans="1:5" ht="13">
      <c r="A8311" s="2" t="str">
        <f ca="1">IFERROR(__xludf.DUMMYFUNCTION("""COMPUTED_VALUE"""),"Vecchi, Orazio")</f>
        <v>Vecchi, Orazio</v>
      </c>
      <c r="B8311" s="3">
        <f ca="1">IFERROR(__xludf.DUMMYFUNCTION("""COMPUTED_VALUE"""),1)</f>
        <v>1</v>
      </c>
      <c r="C8311" s="7">
        <f ca="1">IFERROR(__xludf.DUMMYFUNCTION("""COMPUTED_VALUE"""),1)</f>
        <v>1</v>
      </c>
      <c r="D8311" s="8">
        <f ca="1">IFERROR(__xludf.DUMMYFUNCTION("""COMPUTED_VALUE"""),5)</f>
        <v>5</v>
      </c>
      <c r="E8311" s="2">
        <f ca="1">IFERROR(__xludf.DUMMYFUNCTION("""COMPUTED_VALUE"""),2)</f>
        <v>2</v>
      </c>
    </row>
    <row r="8312" spans="1:5" ht="13">
      <c r="A8312" s="2" t="str">
        <f ca="1">IFERROR(__xludf.DUMMYFUNCTION("""COMPUTED_VALUE"""),"Vedro, Adolf Johannes")</f>
        <v>Vedro, Adolf Johannes</v>
      </c>
      <c r="B8312" s="3">
        <f ca="1">IFERROR(__xludf.DUMMYFUNCTION("""COMPUTED_VALUE"""),1)</f>
        <v>1</v>
      </c>
      <c r="C8312" s="7">
        <f ca="1">IFERROR(__xludf.DUMMYFUNCTION("""COMPUTED_VALUE"""),1)</f>
        <v>1</v>
      </c>
      <c r="D8312" s="8">
        <f ca="1">IFERROR(__xludf.DUMMYFUNCTION("""COMPUTED_VALUE"""),5)</f>
        <v>5</v>
      </c>
      <c r="E8312" s="2">
        <f ca="1">IFERROR(__xludf.DUMMYFUNCTION("""COMPUTED_VALUE"""),2)</f>
        <v>2</v>
      </c>
    </row>
    <row r="8313" spans="1:5" ht="13">
      <c r="A8313" s="2" t="str">
        <f ca="1">IFERROR(__xludf.DUMMYFUNCTION("""COMPUTED_VALUE"""),"Vegter, Kyle")</f>
        <v>Vegter, Kyle</v>
      </c>
      <c r="B8313" s="3">
        <f ca="1">IFERROR(__xludf.DUMMYFUNCTION("""COMPUTED_VALUE"""),1)</f>
        <v>1</v>
      </c>
      <c r="C8313" s="7">
        <f ca="1">IFERROR(__xludf.DUMMYFUNCTION("""COMPUTED_VALUE"""),1)</f>
        <v>1</v>
      </c>
      <c r="D8313" s="8">
        <f ca="1">IFERROR(__xludf.DUMMYFUNCTION("""COMPUTED_VALUE"""),1)</f>
        <v>1</v>
      </c>
      <c r="E8313" s="2">
        <f ca="1">IFERROR(__xludf.DUMMYFUNCTION("""COMPUTED_VALUE"""),1)</f>
        <v>1</v>
      </c>
    </row>
    <row r="8314" spans="1:5" ht="13">
      <c r="A8314" s="2" t="str">
        <f ca="1">IFERROR(__xludf.DUMMYFUNCTION("""COMPUTED_VALUE"""),"Vejvanovsky, Pavel")</f>
        <v>Vejvanovsky, Pavel</v>
      </c>
      <c r="B8314" s="3">
        <f ca="1">IFERROR(__xludf.DUMMYFUNCTION("""COMPUTED_VALUE"""),1)</f>
        <v>1</v>
      </c>
      <c r="C8314" s="7">
        <f ca="1">IFERROR(__xludf.DUMMYFUNCTION("""COMPUTED_VALUE"""),1)</f>
        <v>1</v>
      </c>
      <c r="D8314" s="8">
        <f ca="1">IFERROR(__xludf.DUMMYFUNCTION("""COMPUTED_VALUE"""),5)</f>
        <v>5</v>
      </c>
      <c r="E8314" s="2">
        <f ca="1">IFERROR(__xludf.DUMMYFUNCTION("""COMPUTED_VALUE"""),2)</f>
        <v>2</v>
      </c>
    </row>
    <row r="8315" spans="1:5" ht="13">
      <c r="A8315" s="2" t="str">
        <f ca="1">IFERROR(__xludf.DUMMYFUNCTION("""COMPUTED_VALUE"""),"Vejvanovsky, Pavel Josef")</f>
        <v>Vejvanovsky, Pavel Josef</v>
      </c>
      <c r="B8315" s="3">
        <f ca="1">IFERROR(__xludf.DUMMYFUNCTION("""COMPUTED_VALUE"""),1)</f>
        <v>1</v>
      </c>
      <c r="C8315" s="7">
        <f ca="1">IFERROR(__xludf.DUMMYFUNCTION("""COMPUTED_VALUE"""),1)</f>
        <v>1</v>
      </c>
      <c r="D8315" s="8">
        <f ca="1">IFERROR(__xludf.DUMMYFUNCTION("""COMPUTED_VALUE"""),5)</f>
        <v>5</v>
      </c>
      <c r="E8315" s="2">
        <f ca="1">IFERROR(__xludf.DUMMYFUNCTION("""COMPUTED_VALUE"""),2)</f>
        <v>2</v>
      </c>
    </row>
    <row r="8316" spans="1:5" ht="13">
      <c r="A8316" s="2" t="str">
        <f ca="1">IFERROR(__xludf.DUMMYFUNCTION("""COMPUTED_VALUE"""),"Vejvoda, Jaromir")</f>
        <v>Vejvoda, Jaromir</v>
      </c>
      <c r="B8316" s="3">
        <f ca="1">IFERROR(__xludf.DUMMYFUNCTION("""COMPUTED_VALUE"""),1)</f>
        <v>1</v>
      </c>
      <c r="C8316" s="7">
        <f ca="1">IFERROR(__xludf.DUMMYFUNCTION("""COMPUTED_VALUE"""),1)</f>
        <v>1</v>
      </c>
      <c r="D8316" s="8">
        <f ca="1">IFERROR(__xludf.DUMMYFUNCTION("""COMPUTED_VALUE"""),5)</f>
        <v>5</v>
      </c>
      <c r="E8316" s="2">
        <f ca="1">IFERROR(__xludf.DUMMYFUNCTION("""COMPUTED_VALUE"""),2)</f>
        <v>2</v>
      </c>
    </row>
    <row r="8317" spans="1:5" ht="13">
      <c r="A8317" s="8" t="str">
        <f ca="1">IFERROR(__xludf.DUMMYFUNCTION("""COMPUTED_VALUE"""),"Veldhuis, Jacob ter")</f>
        <v>Veldhuis, Jacob ter</v>
      </c>
      <c r="B8317" s="3">
        <f ca="1">IFERROR(__xludf.DUMMYFUNCTION("""COMPUTED_VALUE"""),1)</f>
        <v>1</v>
      </c>
      <c r="C8317" s="7">
        <f ca="1">IFERROR(__xludf.DUMMYFUNCTION("""COMPUTED_VALUE"""),1)</f>
        <v>1</v>
      </c>
      <c r="D8317" s="8">
        <f ca="1">IFERROR(__xludf.DUMMYFUNCTION("""COMPUTED_VALUE"""),1)</f>
        <v>1</v>
      </c>
      <c r="E8317" s="2">
        <f ca="1">IFERROR(__xludf.DUMMYFUNCTION("""COMPUTED_VALUE"""),1)</f>
        <v>1</v>
      </c>
    </row>
    <row r="8318" spans="1:5" ht="13">
      <c r="A8318" s="2" t="str">
        <f ca="1">IFERROR(__xludf.DUMMYFUNCTION("""COMPUTED_VALUE"""),"Velke, Fritz")</f>
        <v>Velke, Fritz</v>
      </c>
      <c r="B8318" s="2">
        <f ca="1">IFERROR(__xludf.DUMMYFUNCTION("""COMPUTED_VALUE"""),1)</f>
        <v>1</v>
      </c>
      <c r="C8318" s="7">
        <f ca="1">IFERROR(__xludf.DUMMYFUNCTION("""COMPUTED_VALUE"""),1)</f>
        <v>1</v>
      </c>
      <c r="D8318" s="8">
        <f ca="1">IFERROR(__xludf.DUMMYFUNCTION("""COMPUTED_VALUE"""),5)</f>
        <v>5</v>
      </c>
      <c r="E8318" s="2">
        <f ca="1">IFERROR(__xludf.DUMMYFUNCTION("""COMPUTED_VALUE"""),2)</f>
        <v>2</v>
      </c>
    </row>
    <row r="8319" spans="1:5" ht="13">
      <c r="A8319" s="2" t="str">
        <f ca="1">IFERROR(__xludf.DUMMYFUNCTION("""COMPUTED_VALUE"""),"Ventre, Frank")</f>
        <v>Ventre, Frank</v>
      </c>
      <c r="B8319" s="3">
        <f ca="1">IFERROR(__xludf.DUMMYFUNCTION("""COMPUTED_VALUE"""),1)</f>
        <v>1</v>
      </c>
      <c r="C8319" s="7">
        <f ca="1">IFERROR(__xludf.DUMMYFUNCTION("""COMPUTED_VALUE"""),1)</f>
        <v>1</v>
      </c>
      <c r="D8319" s="8">
        <f ca="1">IFERROR(__xludf.DUMMYFUNCTION("""COMPUTED_VALUE"""),5)</f>
        <v>5</v>
      </c>
      <c r="E8319" s="2">
        <f ca="1">IFERROR(__xludf.DUMMYFUNCTION("""COMPUTED_VALUE"""),2)</f>
        <v>2</v>
      </c>
    </row>
    <row r="8320" spans="1:5" ht="13">
      <c r="A8320" s="2" t="str">
        <f ca="1">IFERROR(__xludf.DUMMYFUNCTION("""COMPUTED_VALUE"""),"Veracini, Francesco Maria")</f>
        <v>Veracini, Francesco Maria</v>
      </c>
      <c r="B8320" s="3">
        <f ca="1">IFERROR(__xludf.DUMMYFUNCTION("""COMPUTED_VALUE"""),1)</f>
        <v>1</v>
      </c>
      <c r="C8320" s="7">
        <f ca="1">IFERROR(__xludf.DUMMYFUNCTION("""COMPUTED_VALUE"""),1)</f>
        <v>1</v>
      </c>
      <c r="D8320" s="8">
        <f ca="1">IFERROR(__xludf.DUMMYFUNCTION("""COMPUTED_VALUE"""),5)</f>
        <v>5</v>
      </c>
      <c r="E8320" s="2">
        <f ca="1">IFERROR(__xludf.DUMMYFUNCTION("""COMPUTED_VALUE"""),2)</f>
        <v>2</v>
      </c>
    </row>
    <row r="8321" spans="1:5" ht="13">
      <c r="A8321" s="2" t="str">
        <f ca="1">IFERROR(__xludf.DUMMYFUNCTION("""COMPUTED_VALUE"""),"Verbytsky, Mykhailo")</f>
        <v>Verbytsky, Mykhailo</v>
      </c>
      <c r="B8321" s="3">
        <f ca="1">IFERROR(__xludf.DUMMYFUNCTION("""COMPUTED_VALUE"""),1)</f>
        <v>1</v>
      </c>
      <c r="C8321" s="7">
        <f ca="1">IFERROR(__xludf.DUMMYFUNCTION("""COMPUTED_VALUE"""),1)</f>
        <v>1</v>
      </c>
      <c r="D8321" s="8">
        <f ca="1">IFERROR(__xludf.DUMMYFUNCTION("""COMPUTED_VALUE"""),5)</f>
        <v>5</v>
      </c>
      <c r="E8321" s="2">
        <f ca="1">IFERROR(__xludf.DUMMYFUNCTION("""COMPUTED_VALUE"""),2)</f>
        <v>2</v>
      </c>
    </row>
    <row r="8322" spans="1:5" ht="13">
      <c r="A8322" s="2" t="str">
        <f ca="1">IFERROR(__xludf.DUMMYFUNCTION("""COMPUTED_VALUE"""),"Verdelot, Philippe")</f>
        <v>Verdelot, Philippe</v>
      </c>
      <c r="B8322" s="3">
        <f ca="1">IFERROR(__xludf.DUMMYFUNCTION("""COMPUTED_VALUE"""),1)</f>
        <v>1</v>
      </c>
      <c r="C8322" s="7">
        <f ca="1">IFERROR(__xludf.DUMMYFUNCTION("""COMPUTED_VALUE"""),1)</f>
        <v>1</v>
      </c>
      <c r="D8322" s="8">
        <f ca="1">IFERROR(__xludf.DUMMYFUNCTION("""COMPUTED_VALUE"""),5)</f>
        <v>5</v>
      </c>
      <c r="E8322" s="2">
        <f ca="1">IFERROR(__xludf.DUMMYFUNCTION("""COMPUTED_VALUE"""),2)</f>
        <v>2</v>
      </c>
    </row>
    <row r="8323" spans="1:5" ht="13">
      <c r="A8323" s="2" t="str">
        <f ca="1">IFERROR(__xludf.DUMMYFUNCTION("""COMPUTED_VALUE"""),"Verdelot, Phillipe")</f>
        <v>Verdelot, Phillipe</v>
      </c>
      <c r="B8323" s="3">
        <f ca="1">IFERROR(__xludf.DUMMYFUNCTION("""COMPUTED_VALUE"""),1)</f>
        <v>1</v>
      </c>
      <c r="C8323" s="7">
        <f ca="1">IFERROR(__xludf.DUMMYFUNCTION("""COMPUTED_VALUE"""),1)</f>
        <v>1</v>
      </c>
      <c r="D8323" s="8">
        <f ca="1">IFERROR(__xludf.DUMMYFUNCTION("""COMPUTED_VALUE"""),5)</f>
        <v>5</v>
      </c>
      <c r="E8323" s="2">
        <f ca="1">IFERROR(__xludf.DUMMYFUNCTION("""COMPUTED_VALUE"""),2)</f>
        <v>2</v>
      </c>
    </row>
    <row r="8324" spans="1:5" ht="13">
      <c r="A8324" s="2" t="str">
        <f ca="1">IFERROR(__xludf.DUMMYFUNCTION("""COMPUTED_VALUE"""),"Verdi, Giuseppe")</f>
        <v>Verdi, Giuseppe</v>
      </c>
      <c r="B8324" s="3">
        <f ca="1">IFERROR(__xludf.DUMMYFUNCTION("""COMPUTED_VALUE"""),1)</f>
        <v>1</v>
      </c>
      <c r="C8324" s="7">
        <f ca="1">IFERROR(__xludf.DUMMYFUNCTION("""COMPUTED_VALUE"""),1)</f>
        <v>1</v>
      </c>
      <c r="D8324" s="8">
        <f ca="1">IFERROR(__xludf.DUMMYFUNCTION("""COMPUTED_VALUE"""),5)</f>
        <v>5</v>
      </c>
      <c r="E8324" s="2">
        <f ca="1">IFERROR(__xludf.DUMMYFUNCTION("""COMPUTED_VALUE"""),2)</f>
        <v>2</v>
      </c>
    </row>
    <row r="8325" spans="1:5" ht="13">
      <c r="A8325" s="2" t="str">
        <f ca="1">IFERROR(__xludf.DUMMYFUNCTION("""COMPUTED_VALUE"""),"Verhelst, Steven")</f>
        <v>Verhelst, Steven</v>
      </c>
      <c r="B8325" s="2">
        <f ca="1">IFERROR(__xludf.DUMMYFUNCTION("""COMPUTED_VALUE"""),1)</f>
        <v>1</v>
      </c>
      <c r="C8325" s="7">
        <f ca="1">IFERROR(__xludf.DUMMYFUNCTION("""COMPUTED_VALUE"""),1)</f>
        <v>1</v>
      </c>
      <c r="D8325" s="8">
        <f ca="1">IFERROR(__xludf.DUMMYFUNCTION("""COMPUTED_VALUE"""),1)</f>
        <v>1</v>
      </c>
      <c r="E8325" s="2">
        <f ca="1">IFERROR(__xludf.DUMMYFUNCTION("""COMPUTED_VALUE"""),1)</f>
        <v>1</v>
      </c>
    </row>
    <row r="8326" spans="1:5" ht="13">
      <c r="A8326" s="2" t="str">
        <f ca="1">IFERROR(__xludf.DUMMYFUNCTION("""COMPUTED_VALUE"""),"Vernarducci, Anthony")</f>
        <v>Vernarducci, Anthony</v>
      </c>
      <c r="B8326" s="2">
        <f ca="1">IFERROR(__xludf.DUMMYFUNCTION("""COMPUTED_VALUE"""),1)</f>
        <v>1</v>
      </c>
      <c r="C8326" s="7">
        <f ca="1">IFERROR(__xludf.DUMMYFUNCTION("""COMPUTED_VALUE"""),1)</f>
        <v>1</v>
      </c>
      <c r="D8326" s="8">
        <f ca="1">IFERROR(__xludf.DUMMYFUNCTION("""COMPUTED_VALUE"""),1)</f>
        <v>1</v>
      </c>
      <c r="E8326" s="2">
        <f ca="1">IFERROR(__xludf.DUMMYFUNCTION("""COMPUTED_VALUE"""),1)</f>
        <v>1</v>
      </c>
    </row>
    <row r="8327" spans="1:5" ht="13">
      <c r="A8327" s="2" t="str">
        <f ca="1">IFERROR(__xludf.DUMMYFUNCTION("""COMPUTED_VALUE"""),"Vernor, F. Dudleigh / Stokes, Byron D.")</f>
        <v>Vernor, F. Dudleigh / Stokes, Byron D.</v>
      </c>
      <c r="B8327" s="2">
        <f ca="1">IFERROR(__xludf.DUMMYFUNCTION("""COMPUTED_VALUE"""),1)</f>
        <v>1</v>
      </c>
      <c r="C8327" s="7">
        <f ca="1">IFERROR(__xludf.DUMMYFUNCTION("""COMPUTED_VALUE"""),1)</f>
        <v>1</v>
      </c>
      <c r="D8327" s="8">
        <f ca="1">IFERROR(__xludf.DUMMYFUNCTION("""COMPUTED_VALUE"""),5)</f>
        <v>5</v>
      </c>
      <c r="E8327" s="2">
        <f ca="1">IFERROR(__xludf.DUMMYFUNCTION("""COMPUTED_VALUE"""),2)</f>
        <v>2</v>
      </c>
    </row>
    <row r="8328" spans="1:5" ht="13">
      <c r="A8328" s="8" t="str">
        <f ca="1">IFERROR(__xludf.DUMMYFUNCTION("""COMPUTED_VALUE"""),"Verrall, John")</f>
        <v>Verrall, John</v>
      </c>
      <c r="B8328" s="3">
        <f ca="1">IFERROR(__xludf.DUMMYFUNCTION("""COMPUTED_VALUE"""),1)</f>
        <v>1</v>
      </c>
      <c r="C8328" s="7">
        <f ca="1">IFERROR(__xludf.DUMMYFUNCTION("""COMPUTED_VALUE"""),1)</f>
        <v>1</v>
      </c>
      <c r="D8328" s="8">
        <f ca="1">IFERROR(__xludf.DUMMYFUNCTION("""COMPUTED_VALUE"""),5)</f>
        <v>5</v>
      </c>
      <c r="E8328" s="2">
        <f ca="1">IFERROR(__xludf.DUMMYFUNCTION("""COMPUTED_VALUE"""),2)</f>
        <v>2</v>
      </c>
    </row>
    <row r="8329" spans="1:5" ht="13">
      <c r="A8329" s="2" t="str">
        <f ca="1">IFERROR(__xludf.DUMMYFUNCTION("""COMPUTED_VALUE"""),"Vertoske, Michael")</f>
        <v>Vertoske, Michael</v>
      </c>
      <c r="B8329" s="3">
        <f ca="1">IFERROR(__xludf.DUMMYFUNCTION("""COMPUTED_VALUE"""),1)</f>
        <v>1</v>
      </c>
      <c r="C8329" s="7">
        <f ca="1">IFERROR(__xludf.DUMMYFUNCTION("""COMPUTED_VALUE"""),1)</f>
        <v>1</v>
      </c>
      <c r="D8329" s="8">
        <f ca="1">IFERROR(__xludf.DUMMYFUNCTION("""COMPUTED_VALUE"""),1)</f>
        <v>1</v>
      </c>
      <c r="E8329" s="2">
        <f ca="1">IFERROR(__xludf.DUMMYFUNCTION("""COMPUTED_VALUE"""),1)</f>
        <v>1</v>
      </c>
    </row>
    <row r="8330" spans="1:5" ht="13">
      <c r="A8330" s="2" t="str">
        <f ca="1">IFERROR(__xludf.DUMMYFUNCTION("""COMPUTED_VALUE"""),"Verville, Timothy")</f>
        <v>Verville, Timothy</v>
      </c>
      <c r="B8330" s="2">
        <f ca="1">IFERROR(__xludf.DUMMYFUNCTION("""COMPUTED_VALUE"""),1)</f>
        <v>1</v>
      </c>
      <c r="C8330" s="2">
        <f ca="1">IFERROR(__xludf.DUMMYFUNCTION("""COMPUTED_VALUE"""),1)</f>
        <v>1</v>
      </c>
      <c r="D8330" s="8">
        <f ca="1">IFERROR(__xludf.DUMMYFUNCTION("""COMPUTED_VALUE"""),1)</f>
        <v>1</v>
      </c>
      <c r="E8330" s="2">
        <f ca="1">IFERROR(__xludf.DUMMYFUNCTION("""COMPUTED_VALUE"""),1)</f>
        <v>1</v>
      </c>
    </row>
    <row r="8331" spans="1:5" ht="13">
      <c r="A8331" s="2" t="str">
        <f ca="1">IFERROR(__xludf.DUMMYFUNCTION("""COMPUTED_VALUE"""),"Via, Kelly")</f>
        <v>Via, Kelly</v>
      </c>
      <c r="B8331" s="3">
        <f ca="1">IFERROR(__xludf.DUMMYFUNCTION("""COMPUTED_VALUE"""),1)</f>
        <v>1</v>
      </c>
      <c r="C8331" s="7">
        <f ca="1">IFERROR(__xludf.DUMMYFUNCTION("""COMPUTED_VALUE"""),1)</f>
        <v>1</v>
      </c>
      <c r="D8331" s="8">
        <f ca="1">IFERROR(__xludf.DUMMYFUNCTION("""COMPUTED_VALUE"""),1)</f>
        <v>1</v>
      </c>
      <c r="E8331" s="2">
        <f ca="1">IFERROR(__xludf.DUMMYFUNCTION("""COMPUTED_VALUE"""),1)</f>
        <v>1</v>
      </c>
    </row>
    <row r="8332" spans="1:5" ht="13">
      <c r="A8332" s="8" t="str">
        <f ca="1">IFERROR(__xludf.DUMMYFUNCTION("""COMPUTED_VALUE"""),"Viadana, Lodovico")</f>
        <v>Viadana, Lodovico</v>
      </c>
      <c r="B8332" s="3">
        <f ca="1">IFERROR(__xludf.DUMMYFUNCTION("""COMPUTED_VALUE"""),1)</f>
        <v>1</v>
      </c>
      <c r="C8332" s="7">
        <f ca="1">IFERROR(__xludf.DUMMYFUNCTION("""COMPUTED_VALUE"""),1)</f>
        <v>1</v>
      </c>
      <c r="D8332" s="8">
        <f ca="1">IFERROR(__xludf.DUMMYFUNCTION("""COMPUTED_VALUE"""),5)</f>
        <v>5</v>
      </c>
      <c r="E8332" s="2">
        <f ca="1">IFERROR(__xludf.DUMMYFUNCTION("""COMPUTED_VALUE"""),2)</f>
        <v>2</v>
      </c>
    </row>
    <row r="8333" spans="1:5" ht="13">
      <c r="A8333" s="8" t="str">
        <f ca="1">IFERROR(__xludf.DUMMYFUNCTION("""COMPUTED_VALUE"""),"Viadana, Ludovico da")</f>
        <v>Viadana, Ludovico da</v>
      </c>
      <c r="B8333" s="3">
        <f ca="1">IFERROR(__xludf.DUMMYFUNCTION("""COMPUTED_VALUE"""),1)</f>
        <v>1</v>
      </c>
      <c r="C8333" s="7">
        <f ca="1">IFERROR(__xludf.DUMMYFUNCTION("""COMPUTED_VALUE"""),1)</f>
        <v>1</v>
      </c>
      <c r="D8333" s="8">
        <f ca="1">IFERROR(__xludf.DUMMYFUNCTION("""COMPUTED_VALUE"""),5)</f>
        <v>5</v>
      </c>
      <c r="E8333" s="2">
        <f ca="1">IFERROR(__xludf.DUMMYFUNCTION("""COMPUTED_VALUE"""),2)</f>
        <v>2</v>
      </c>
    </row>
    <row r="8334" spans="1:5" ht="13">
      <c r="A8334" s="2" t="str">
        <f ca="1">IFERROR(__xludf.DUMMYFUNCTION("""COMPUTED_VALUE"""),"Vickerman, David")</f>
        <v>Vickerman, David</v>
      </c>
      <c r="B8334" s="3">
        <f ca="1">IFERROR(__xludf.DUMMYFUNCTION("""COMPUTED_VALUE"""),1)</f>
        <v>1</v>
      </c>
      <c r="C8334" s="7">
        <f ca="1">IFERROR(__xludf.DUMMYFUNCTION("""COMPUTED_VALUE"""),1)</f>
        <v>1</v>
      </c>
      <c r="D8334" s="8">
        <f ca="1">IFERROR(__xludf.DUMMYFUNCTION("""COMPUTED_VALUE"""),1)</f>
        <v>1</v>
      </c>
      <c r="E8334" s="2">
        <f ca="1">IFERROR(__xludf.DUMMYFUNCTION("""COMPUTED_VALUE"""),1)</f>
        <v>1</v>
      </c>
    </row>
    <row r="8335" spans="1:5" ht="13">
      <c r="A8335" s="2" t="str">
        <f ca="1">IFERROR(__xludf.DUMMYFUNCTION("""COMPUTED_VALUE"""),"Victoria, Tomas Luis de")</f>
        <v>Victoria, Tomas Luis de</v>
      </c>
      <c r="B8335" s="3">
        <f ca="1">IFERROR(__xludf.DUMMYFUNCTION("""COMPUTED_VALUE"""),1)</f>
        <v>1</v>
      </c>
      <c r="C8335" s="7">
        <f ca="1">IFERROR(__xludf.DUMMYFUNCTION("""COMPUTED_VALUE"""),1)</f>
        <v>1</v>
      </c>
      <c r="D8335" s="8">
        <f ca="1">IFERROR(__xludf.DUMMYFUNCTION("""COMPUTED_VALUE"""),5)</f>
        <v>5</v>
      </c>
      <c r="E8335" s="2">
        <f ca="1">IFERROR(__xludf.DUMMYFUNCTION("""COMPUTED_VALUE"""),2)</f>
        <v>2</v>
      </c>
    </row>
    <row r="8336" spans="1:5" ht="13">
      <c r="A8336" s="8" t="str">
        <f ca="1">IFERROR(__xludf.DUMMYFUNCTION("""COMPUTED_VALUE"""),"Vierdanck, Johann")</f>
        <v>Vierdanck, Johann</v>
      </c>
      <c r="B8336" s="3">
        <f ca="1">IFERROR(__xludf.DUMMYFUNCTION("""COMPUTED_VALUE"""),1)</f>
        <v>1</v>
      </c>
      <c r="C8336" s="7">
        <f ca="1">IFERROR(__xludf.DUMMYFUNCTION("""COMPUTED_VALUE"""),1)</f>
        <v>1</v>
      </c>
      <c r="D8336" s="8">
        <f ca="1">IFERROR(__xludf.DUMMYFUNCTION("""COMPUTED_VALUE"""),5)</f>
        <v>5</v>
      </c>
      <c r="E8336" s="2">
        <f ca="1">IFERROR(__xludf.DUMMYFUNCTION("""COMPUTED_VALUE"""),2)</f>
        <v>2</v>
      </c>
    </row>
    <row r="8337" spans="1:5" ht="13">
      <c r="A8337" s="2" t="str">
        <f ca="1">IFERROR(__xludf.DUMMYFUNCTION("""COMPUTED_VALUE"""),"Vieuxtemps, Henri")</f>
        <v>Vieuxtemps, Henri</v>
      </c>
      <c r="B8337" s="3">
        <f ca="1">IFERROR(__xludf.DUMMYFUNCTION("""COMPUTED_VALUE"""),1)</f>
        <v>1</v>
      </c>
      <c r="C8337" s="7">
        <f ca="1">IFERROR(__xludf.DUMMYFUNCTION("""COMPUTED_VALUE"""),1)</f>
        <v>1</v>
      </c>
      <c r="D8337" s="8">
        <f ca="1">IFERROR(__xludf.DUMMYFUNCTION("""COMPUTED_VALUE"""),5)</f>
        <v>5</v>
      </c>
      <c r="E8337" s="2">
        <f ca="1">IFERROR(__xludf.DUMMYFUNCTION("""COMPUTED_VALUE"""),2)</f>
        <v>2</v>
      </c>
    </row>
    <row r="8338" spans="1:5" ht="13">
      <c r="A8338" s="2" t="str">
        <f ca="1">IFERROR(__xludf.DUMMYFUNCTION("""COMPUTED_VALUE"""),"Viitasaari, Jukka")</f>
        <v>Viitasaari, Jukka</v>
      </c>
      <c r="B8338" s="3">
        <f ca="1">IFERROR(__xludf.DUMMYFUNCTION("""COMPUTED_VALUE"""),1)</f>
        <v>1</v>
      </c>
      <c r="C8338" s="7">
        <f ca="1">IFERROR(__xludf.DUMMYFUNCTION("""COMPUTED_VALUE"""),1)</f>
        <v>1</v>
      </c>
      <c r="D8338" s="8">
        <f ca="1">IFERROR(__xludf.DUMMYFUNCTION("""COMPUTED_VALUE"""),1)</f>
        <v>1</v>
      </c>
      <c r="E8338" s="2">
        <f ca="1">IFERROR(__xludf.DUMMYFUNCTION("""COMPUTED_VALUE"""),1)</f>
        <v>1</v>
      </c>
    </row>
    <row r="8339" spans="1:5" ht="13">
      <c r="A8339" s="2" t="str">
        <f ca="1">IFERROR(__xludf.DUMMYFUNCTION("""COMPUTED_VALUE"""),"Villani, James")</f>
        <v>Villani, James</v>
      </c>
      <c r="B8339" s="3">
        <f ca="1">IFERROR(__xludf.DUMMYFUNCTION("""COMPUTED_VALUE"""),1)</f>
        <v>1</v>
      </c>
      <c r="C8339" s="7">
        <f ca="1">IFERROR(__xludf.DUMMYFUNCTION("""COMPUTED_VALUE"""),1)</f>
        <v>1</v>
      </c>
      <c r="D8339" s="8">
        <f ca="1">IFERROR(__xludf.DUMMYFUNCTION("""COMPUTED_VALUE"""),1)</f>
        <v>1</v>
      </c>
      <c r="E8339" s="2">
        <f ca="1">IFERROR(__xludf.DUMMYFUNCTION("""COMPUTED_VALUE"""),1)</f>
        <v>1</v>
      </c>
    </row>
    <row r="8340" spans="1:5" ht="13">
      <c r="A8340" s="2" t="str">
        <f ca="1">IFERROR(__xludf.DUMMYFUNCTION("""COMPUTED_VALUE"""),"Villanueva, Jari")</f>
        <v>Villanueva, Jari</v>
      </c>
      <c r="B8340" s="3">
        <f ca="1">IFERROR(__xludf.DUMMYFUNCTION("""COMPUTED_VALUE"""),1)</f>
        <v>1</v>
      </c>
      <c r="C8340" s="7">
        <f ca="1">IFERROR(__xludf.DUMMYFUNCTION("""COMPUTED_VALUE"""),1)</f>
        <v>1</v>
      </c>
      <c r="D8340" s="8">
        <f ca="1">IFERROR(__xludf.DUMMYFUNCTION("""COMPUTED_VALUE"""),1)</f>
        <v>1</v>
      </c>
      <c r="E8340" s="2">
        <f ca="1">IFERROR(__xludf.DUMMYFUNCTION("""COMPUTED_VALUE"""),1)</f>
        <v>1</v>
      </c>
    </row>
    <row r="8341" spans="1:5" ht="13">
      <c r="A8341" s="2" t="str">
        <f ca="1">IFERROR(__xludf.DUMMYFUNCTION("""COMPUTED_VALUE"""),"Vilmarsson, Hlynur Aðils")</f>
        <v>Vilmarsson, Hlynur Aðils</v>
      </c>
      <c r="B8341" s="3">
        <f ca="1">IFERROR(__xludf.DUMMYFUNCTION("""COMPUTED_VALUE"""),1)</f>
        <v>1</v>
      </c>
      <c r="C8341" s="7">
        <f ca="1">IFERROR(__xludf.DUMMYFUNCTION("""COMPUTED_VALUE"""),1)</f>
        <v>1</v>
      </c>
      <c r="D8341" s="8">
        <f ca="1">IFERROR(__xludf.DUMMYFUNCTION("""COMPUTED_VALUE"""),1)</f>
        <v>1</v>
      </c>
      <c r="E8341" s="2">
        <f ca="1">IFERROR(__xludf.DUMMYFUNCTION("""COMPUTED_VALUE"""),1)</f>
        <v>1</v>
      </c>
    </row>
    <row r="8342" spans="1:5" ht="13">
      <c r="A8342" s="2" t="str">
        <f ca="1">IFERROR(__xludf.DUMMYFUNCTION("""COMPUTED_VALUE"""),"Vilseck, James")</f>
        <v>Vilseck, James</v>
      </c>
      <c r="B8342" s="3">
        <f ca="1">IFERROR(__xludf.DUMMYFUNCTION("""COMPUTED_VALUE"""),1)</f>
        <v>1</v>
      </c>
      <c r="C8342" s="7">
        <f ca="1">IFERROR(__xludf.DUMMYFUNCTION("""COMPUTED_VALUE"""),1)</f>
        <v>1</v>
      </c>
      <c r="D8342" s="8">
        <f ca="1">IFERROR(__xludf.DUMMYFUNCTION("""COMPUTED_VALUE"""),1)</f>
        <v>1</v>
      </c>
      <c r="E8342" s="2">
        <f ca="1">IFERROR(__xludf.DUMMYFUNCTION("""COMPUTED_VALUE"""),1)</f>
        <v>1</v>
      </c>
    </row>
    <row r="8343" spans="1:5" ht="13">
      <c r="A8343" s="2" t="str">
        <f ca="1">IFERROR(__xludf.DUMMYFUNCTION("""COMPUTED_VALUE"""),"Vincent, George")</f>
        <v>Vincent, George</v>
      </c>
      <c r="B8343" s="3">
        <f ca="1">IFERROR(__xludf.DUMMYFUNCTION("""COMPUTED_VALUE"""),1)</f>
        <v>1</v>
      </c>
      <c r="C8343" s="7">
        <f ca="1">IFERROR(__xludf.DUMMYFUNCTION("""COMPUTED_VALUE"""),1)</f>
        <v>1</v>
      </c>
      <c r="D8343" s="8">
        <f ca="1">IFERROR(__xludf.DUMMYFUNCTION("""COMPUTED_VALUE"""),1)</f>
        <v>1</v>
      </c>
      <c r="E8343" s="2">
        <f ca="1">IFERROR(__xludf.DUMMYFUNCTION("""COMPUTED_VALUE"""),1)</f>
        <v>1</v>
      </c>
    </row>
    <row r="8344" spans="1:5" ht="13">
      <c r="A8344" s="8" t="str">
        <f ca="1">IFERROR(__xludf.DUMMYFUNCTION("""COMPUTED_VALUE"""),"Vincent, John")</f>
        <v>Vincent, John</v>
      </c>
      <c r="B8344" s="2">
        <f ca="1">IFERROR(__xludf.DUMMYFUNCTION("""COMPUTED_VALUE"""),1)</f>
        <v>1</v>
      </c>
      <c r="C8344" s="2">
        <f ca="1">IFERROR(__xludf.DUMMYFUNCTION("""COMPUTED_VALUE"""),1)</f>
        <v>1</v>
      </c>
      <c r="D8344" s="8">
        <f ca="1">IFERROR(__xludf.DUMMYFUNCTION("""COMPUTED_VALUE"""),1)</f>
        <v>1</v>
      </c>
      <c r="E8344" s="2">
        <f ca="1">IFERROR(__xludf.DUMMYFUNCTION("""COMPUTED_VALUE"""),1)</f>
        <v>1</v>
      </c>
    </row>
    <row r="8345" spans="1:5" ht="13">
      <c r="A8345" s="2" t="str">
        <f ca="1">IFERROR(__xludf.DUMMYFUNCTION("""COMPUTED_VALUE"""),"Vine, Anthony")</f>
        <v>Vine, Anthony</v>
      </c>
      <c r="B8345" s="3">
        <f ca="1">IFERROR(__xludf.DUMMYFUNCTION("""COMPUTED_VALUE"""),1)</f>
        <v>1</v>
      </c>
      <c r="C8345" s="7">
        <f ca="1">IFERROR(__xludf.DUMMYFUNCTION("""COMPUTED_VALUE"""),1)</f>
        <v>1</v>
      </c>
      <c r="D8345" s="8">
        <f ca="1">IFERROR(__xludf.DUMMYFUNCTION("""COMPUTED_VALUE"""),1)</f>
        <v>1</v>
      </c>
      <c r="E8345" s="2">
        <f ca="1">IFERROR(__xludf.DUMMYFUNCTION("""COMPUTED_VALUE"""),1)</f>
        <v>1</v>
      </c>
    </row>
    <row r="8346" spans="1:5" ht="13">
      <c r="A8346" s="2" t="str">
        <f ca="1">IFERROR(__xludf.DUMMYFUNCTION("""COMPUTED_VALUE"""),"Vine, Carl")</f>
        <v>Vine, Carl</v>
      </c>
      <c r="B8346" s="3">
        <f ca="1">IFERROR(__xludf.DUMMYFUNCTION("""COMPUTED_VALUE"""),1)</f>
        <v>1</v>
      </c>
      <c r="C8346" s="7">
        <f ca="1">IFERROR(__xludf.DUMMYFUNCTION("""COMPUTED_VALUE"""),1)</f>
        <v>1</v>
      </c>
      <c r="D8346" s="8">
        <f ca="1">IFERROR(__xludf.DUMMYFUNCTION("""COMPUTED_VALUE"""),1)</f>
        <v>1</v>
      </c>
      <c r="E8346" s="2">
        <f ca="1">IFERROR(__xludf.DUMMYFUNCTION("""COMPUTED_VALUE"""),1)</f>
        <v>1</v>
      </c>
    </row>
    <row r="8347" spans="1:5" ht="13">
      <c r="A8347" s="2" t="str">
        <f ca="1">IFERROR(__xludf.DUMMYFUNCTION("""COMPUTED_VALUE"""),"Vine, John")</f>
        <v>Vine, John</v>
      </c>
      <c r="B8347" s="3">
        <f ca="1">IFERROR(__xludf.DUMMYFUNCTION("""COMPUTED_VALUE"""),1)</f>
        <v>1</v>
      </c>
      <c r="C8347" s="7">
        <f ca="1">IFERROR(__xludf.DUMMYFUNCTION("""COMPUTED_VALUE"""),1)</f>
        <v>1</v>
      </c>
      <c r="D8347" s="8">
        <f ca="1">IFERROR(__xludf.DUMMYFUNCTION("""COMPUTED_VALUE"""),5)</f>
        <v>5</v>
      </c>
      <c r="E8347" s="2">
        <f ca="1">IFERROR(__xludf.DUMMYFUNCTION("""COMPUTED_VALUE"""),2)</f>
        <v>2</v>
      </c>
    </row>
    <row r="8348" spans="1:5" ht="13">
      <c r="A8348" s="2" t="str">
        <f ca="1">IFERROR(__xludf.DUMMYFUNCTION("""COMPUTED_VALUE"""),"Vining, David")</f>
        <v>Vining, David</v>
      </c>
      <c r="B8348" s="3">
        <f ca="1">IFERROR(__xludf.DUMMYFUNCTION("""COMPUTED_VALUE"""),1)</f>
        <v>1</v>
      </c>
      <c r="C8348" s="7">
        <f ca="1">IFERROR(__xludf.DUMMYFUNCTION("""COMPUTED_VALUE"""),1)</f>
        <v>1</v>
      </c>
      <c r="D8348" s="8">
        <f ca="1">IFERROR(__xludf.DUMMYFUNCTION("""COMPUTED_VALUE"""),1)</f>
        <v>1</v>
      </c>
      <c r="E8348" s="2">
        <f ca="1">IFERROR(__xludf.DUMMYFUNCTION("""COMPUTED_VALUE"""),1)</f>
        <v>1</v>
      </c>
    </row>
    <row r="8349" spans="1:5" ht="13">
      <c r="A8349" s="2" t="str">
        <f ca="1">IFERROR(__xludf.DUMMYFUNCTION("""COMPUTED_VALUE"""),"Vinson, Johnnie")</f>
        <v>Vinson, Johnnie</v>
      </c>
      <c r="B8349" s="3">
        <f ca="1">IFERROR(__xludf.DUMMYFUNCTION("""COMPUTED_VALUE"""),1)</f>
        <v>1</v>
      </c>
      <c r="C8349" s="7">
        <f ca="1">IFERROR(__xludf.DUMMYFUNCTION("""COMPUTED_VALUE"""),1)</f>
        <v>1</v>
      </c>
      <c r="D8349" s="8">
        <f ca="1">IFERROR(__xludf.DUMMYFUNCTION("""COMPUTED_VALUE"""),1)</f>
        <v>1</v>
      </c>
      <c r="E8349" s="2">
        <f ca="1">IFERROR(__xludf.DUMMYFUNCTION("""COMPUTED_VALUE"""),1)</f>
        <v>1</v>
      </c>
    </row>
    <row r="8350" spans="1:5" ht="13">
      <c r="A8350" s="2" t="str">
        <f ca="1">IFERROR(__xludf.DUMMYFUNCTION("""COMPUTED_VALUE"""),"Vinter, Gilbert")</f>
        <v>Vinter, Gilbert</v>
      </c>
      <c r="B8350" s="2">
        <f ca="1">IFERROR(__xludf.DUMMYFUNCTION("""COMPUTED_VALUE"""),1)</f>
        <v>1</v>
      </c>
      <c r="C8350" s="7">
        <f ca="1">IFERROR(__xludf.DUMMYFUNCTION("""COMPUTED_VALUE"""),1)</f>
        <v>1</v>
      </c>
      <c r="D8350" s="8">
        <f ca="1">IFERROR(__xludf.DUMMYFUNCTION("""COMPUTED_VALUE"""),5)</f>
        <v>5</v>
      </c>
      <c r="E8350" s="2">
        <f ca="1">IFERROR(__xludf.DUMMYFUNCTION("""COMPUTED_VALUE"""),2)</f>
        <v>2</v>
      </c>
    </row>
    <row r="8351" spans="1:5" ht="13">
      <c r="A8351" s="2" t="str">
        <f ca="1">IFERROR(__xludf.DUMMYFUNCTION("""COMPUTED_VALUE"""),"Viola, Bill")</f>
        <v>Viola, Bill</v>
      </c>
      <c r="B8351" s="3">
        <f ca="1">IFERROR(__xludf.DUMMYFUNCTION("""COMPUTED_VALUE"""),1)</f>
        <v>1</v>
      </c>
      <c r="C8351" s="7">
        <f ca="1">IFERROR(__xludf.DUMMYFUNCTION("""COMPUTED_VALUE"""),1)</f>
        <v>1</v>
      </c>
      <c r="D8351" s="8">
        <f ca="1">IFERROR(__xludf.DUMMYFUNCTION("""COMPUTED_VALUE"""),1)</f>
        <v>1</v>
      </c>
      <c r="E8351" s="2">
        <f ca="1">IFERROR(__xludf.DUMMYFUNCTION("""COMPUTED_VALUE"""),1)</f>
        <v>1</v>
      </c>
    </row>
    <row r="8352" spans="1:5" ht="13">
      <c r="A8352" s="2" t="str">
        <f ca="1">IFERROR(__xludf.DUMMYFUNCTION("""COMPUTED_VALUE"""),"Viotti, Giovanni")</f>
        <v>Viotti, Giovanni</v>
      </c>
      <c r="B8352" s="2">
        <f ca="1">IFERROR(__xludf.DUMMYFUNCTION("""COMPUTED_VALUE"""),1)</f>
        <v>1</v>
      </c>
      <c r="C8352" s="7">
        <f ca="1">IFERROR(__xludf.DUMMYFUNCTION("""COMPUTED_VALUE"""),1)</f>
        <v>1</v>
      </c>
      <c r="D8352" s="8">
        <f ca="1">IFERROR(__xludf.DUMMYFUNCTION("""COMPUTED_VALUE"""),5)</f>
        <v>5</v>
      </c>
      <c r="E8352" s="2">
        <f ca="1">IFERROR(__xludf.DUMMYFUNCTION("""COMPUTED_VALUE"""),2)</f>
        <v>2</v>
      </c>
    </row>
    <row r="8353" spans="1:5" ht="13">
      <c r="A8353" s="2" t="str">
        <f ca="1">IFERROR(__xludf.DUMMYFUNCTION("""COMPUTED_VALUE"""),"Virtanen, Otto")</f>
        <v>Virtanen, Otto</v>
      </c>
      <c r="B8353" s="3">
        <f ca="1">IFERROR(__xludf.DUMMYFUNCTION("""COMPUTED_VALUE"""),1)</f>
        <v>1</v>
      </c>
      <c r="C8353" s="7">
        <f ca="1">IFERROR(__xludf.DUMMYFUNCTION("""COMPUTED_VALUE"""),1)</f>
        <v>1</v>
      </c>
      <c r="D8353" s="8" t="str">
        <f ca="1">IFERROR(__xludf.DUMMYFUNCTION("""COMPUTED_VALUE"""),"")</f>
        <v/>
      </c>
      <c r="E8353" s="2"/>
    </row>
    <row r="8354" spans="1:5" ht="13">
      <c r="A8354" s="2" t="str">
        <f ca="1">IFERROR(__xludf.DUMMYFUNCTION("""COMPUTED_VALUE"""),"Visconti, Dan")</f>
        <v>Visconti, Dan</v>
      </c>
      <c r="B8354" s="3">
        <f ca="1">IFERROR(__xludf.DUMMYFUNCTION("""COMPUTED_VALUE"""),1)</f>
        <v>1</v>
      </c>
      <c r="C8354" s="7">
        <f ca="1">IFERROR(__xludf.DUMMYFUNCTION("""COMPUTED_VALUE"""),1)</f>
        <v>1</v>
      </c>
      <c r="D8354" s="8">
        <f ca="1">IFERROR(__xludf.DUMMYFUNCTION("""COMPUTED_VALUE"""),1)</f>
        <v>1</v>
      </c>
      <c r="E8354" s="2">
        <f ca="1">IFERROR(__xludf.DUMMYFUNCTION("""COMPUTED_VALUE"""),1)</f>
        <v>1</v>
      </c>
    </row>
    <row r="8355" spans="1:5" ht="13">
      <c r="A8355" s="8" t="str">
        <f ca="1">IFERROR(__xludf.DUMMYFUNCTION("""COMPUTED_VALUE"""),"Visser, Dick")</f>
        <v>Visser, Dick</v>
      </c>
      <c r="B8355" s="3">
        <f ca="1">IFERROR(__xludf.DUMMYFUNCTION("""COMPUTED_VALUE"""),1)</f>
        <v>1</v>
      </c>
      <c r="C8355" s="7">
        <f ca="1">IFERROR(__xludf.DUMMYFUNCTION("""COMPUTED_VALUE"""),1)</f>
        <v>1</v>
      </c>
      <c r="D8355" s="8">
        <f ca="1">IFERROR(__xludf.DUMMYFUNCTION("""COMPUTED_VALUE"""),5)</f>
        <v>5</v>
      </c>
      <c r="E8355" s="2">
        <f ca="1">IFERROR(__xludf.DUMMYFUNCTION("""COMPUTED_VALUE"""),2)</f>
        <v>2</v>
      </c>
    </row>
    <row r="8356" spans="1:5" ht="13">
      <c r="A8356" s="2" t="str">
        <f ca="1">IFERROR(__xludf.DUMMYFUNCTION("""COMPUTED_VALUE"""),"Vitali, Giovanni")</f>
        <v>Vitali, Giovanni</v>
      </c>
      <c r="B8356" s="3">
        <f ca="1">IFERROR(__xludf.DUMMYFUNCTION("""COMPUTED_VALUE"""),1)</f>
        <v>1</v>
      </c>
      <c r="C8356" s="7">
        <f ca="1">IFERROR(__xludf.DUMMYFUNCTION("""COMPUTED_VALUE"""),1)</f>
        <v>1</v>
      </c>
      <c r="D8356" s="8">
        <f ca="1">IFERROR(__xludf.DUMMYFUNCTION("""COMPUTED_VALUE"""),5)</f>
        <v>5</v>
      </c>
      <c r="E8356" s="2">
        <f ca="1">IFERROR(__xludf.DUMMYFUNCTION("""COMPUTED_VALUE"""),2)</f>
        <v>2</v>
      </c>
    </row>
    <row r="8357" spans="1:5" ht="13">
      <c r="A8357" s="2" t="str">
        <f ca="1">IFERROR(__xludf.DUMMYFUNCTION("""COMPUTED_VALUE"""),"Vitali, Tomaso")</f>
        <v>Vitali, Tomaso</v>
      </c>
      <c r="B8357" s="3">
        <f ca="1">IFERROR(__xludf.DUMMYFUNCTION("""COMPUTED_VALUE"""),1)</f>
        <v>1</v>
      </c>
      <c r="C8357" s="7">
        <f ca="1">IFERROR(__xludf.DUMMYFUNCTION("""COMPUTED_VALUE"""),1)</f>
        <v>1</v>
      </c>
      <c r="D8357" s="8">
        <f ca="1">IFERROR(__xludf.DUMMYFUNCTION("""COMPUTED_VALUE"""),5)</f>
        <v>5</v>
      </c>
      <c r="E8357" s="2">
        <f ca="1">IFERROR(__xludf.DUMMYFUNCTION("""COMPUTED_VALUE"""),2)</f>
        <v>2</v>
      </c>
    </row>
    <row r="8358" spans="1:5" ht="13">
      <c r="A8358" s="2" t="str">
        <f ca="1">IFERROR(__xludf.DUMMYFUNCTION("""COMPUTED_VALUE"""),"Vitali, Tomaso Antonio")</f>
        <v>Vitali, Tomaso Antonio</v>
      </c>
      <c r="B8358" s="3">
        <f ca="1">IFERROR(__xludf.DUMMYFUNCTION("""COMPUTED_VALUE"""),1)</f>
        <v>1</v>
      </c>
      <c r="C8358" s="7">
        <f ca="1">IFERROR(__xludf.DUMMYFUNCTION("""COMPUTED_VALUE"""),1)</f>
        <v>1</v>
      </c>
      <c r="D8358" s="8">
        <f ca="1">IFERROR(__xludf.DUMMYFUNCTION("""COMPUTED_VALUE"""),5)</f>
        <v>5</v>
      </c>
      <c r="E8358" s="2">
        <f ca="1">IFERROR(__xludf.DUMMYFUNCTION("""COMPUTED_VALUE"""),2)</f>
        <v>2</v>
      </c>
    </row>
    <row r="8359" spans="1:5" ht="13">
      <c r="A8359" s="2" t="str">
        <f ca="1">IFERROR(__xludf.DUMMYFUNCTION("""COMPUTED_VALUE"""),"Vivaldi, Antonio")</f>
        <v>Vivaldi, Antonio</v>
      </c>
      <c r="B8359" s="3">
        <f ca="1">IFERROR(__xludf.DUMMYFUNCTION("""COMPUTED_VALUE"""),1)</f>
        <v>1</v>
      </c>
      <c r="C8359" s="7">
        <f ca="1">IFERROR(__xludf.DUMMYFUNCTION("""COMPUTED_VALUE"""),1)</f>
        <v>1</v>
      </c>
      <c r="D8359" s="8">
        <f ca="1">IFERROR(__xludf.DUMMYFUNCTION("""COMPUTED_VALUE"""),5)</f>
        <v>5</v>
      </c>
      <c r="E8359" s="2">
        <f ca="1">IFERROR(__xludf.DUMMYFUNCTION("""COMPUTED_VALUE"""),2)</f>
        <v>2</v>
      </c>
    </row>
    <row r="8360" spans="1:5" ht="13">
      <c r="A8360" s="8" t="str">
        <f ca="1">IFERROR(__xludf.DUMMYFUNCTION("""COMPUTED_VALUE"""),"Vivaldi, Antonio / Richter, Max")</f>
        <v>Vivaldi, Antonio / Richter, Max</v>
      </c>
      <c r="B8360" s="3">
        <f ca="1">IFERROR(__xludf.DUMMYFUNCTION("""COMPUTED_VALUE"""),1)</f>
        <v>1</v>
      </c>
      <c r="C8360" s="7">
        <f ca="1">IFERROR(__xludf.DUMMYFUNCTION("""COMPUTED_VALUE"""),1)</f>
        <v>1</v>
      </c>
      <c r="D8360" s="8">
        <f ca="1">IFERROR(__xludf.DUMMYFUNCTION("""COMPUTED_VALUE"""),5)</f>
        <v>5</v>
      </c>
      <c r="E8360" s="2">
        <f ca="1">IFERROR(__xludf.DUMMYFUNCTION("""COMPUTED_VALUE"""),2)</f>
        <v>2</v>
      </c>
    </row>
    <row r="8361" spans="1:5" ht="13">
      <c r="A8361" s="2" t="str">
        <f ca="1">IFERROR(__xludf.DUMMYFUNCTION("""COMPUTED_VALUE"""),"Vives, Ted")</f>
        <v>Vives, Ted</v>
      </c>
      <c r="B8361" s="3">
        <f ca="1">IFERROR(__xludf.DUMMYFUNCTION("""COMPUTED_VALUE"""),1)</f>
        <v>1</v>
      </c>
      <c r="C8361" s="7">
        <f ca="1">IFERROR(__xludf.DUMMYFUNCTION("""COMPUTED_VALUE"""),1)</f>
        <v>1</v>
      </c>
      <c r="D8361" s="8">
        <f ca="1">IFERROR(__xludf.DUMMYFUNCTION("""COMPUTED_VALUE"""),1)</f>
        <v>1</v>
      </c>
      <c r="E8361" s="2">
        <f ca="1">IFERROR(__xludf.DUMMYFUNCTION("""COMPUTED_VALUE"""),1)</f>
        <v>1</v>
      </c>
    </row>
    <row r="8362" spans="1:5" ht="13">
      <c r="A8362" s="2" t="str">
        <f ca="1">IFERROR(__xludf.DUMMYFUNCTION("""COMPUTED_VALUE"""),"Vivier, Claude")</f>
        <v>Vivier, Claude</v>
      </c>
      <c r="B8362" s="3">
        <f ca="1">IFERROR(__xludf.DUMMYFUNCTION("""COMPUTED_VALUE"""),1)</f>
        <v>1</v>
      </c>
      <c r="C8362" s="7">
        <f ca="1">IFERROR(__xludf.DUMMYFUNCTION("""COMPUTED_VALUE"""),1)</f>
        <v>1</v>
      </c>
      <c r="D8362" s="8">
        <f ca="1">IFERROR(__xludf.DUMMYFUNCTION("""COMPUTED_VALUE"""),5)</f>
        <v>5</v>
      </c>
      <c r="E8362" s="2">
        <f ca="1">IFERROR(__xludf.DUMMYFUNCTION("""COMPUTED_VALUE"""),2)</f>
        <v>2</v>
      </c>
    </row>
    <row r="8363" spans="1:5" ht="13">
      <c r="A8363" s="2" t="str">
        <f ca="1">IFERROR(__xludf.DUMMYFUNCTION("""COMPUTED_VALUE"""),"Vizzutti, Allen")</f>
        <v>Vizzutti, Allen</v>
      </c>
      <c r="B8363" s="3">
        <f ca="1">IFERROR(__xludf.DUMMYFUNCTION("""COMPUTED_VALUE"""),1)</f>
        <v>1</v>
      </c>
      <c r="C8363" s="7">
        <f ca="1">IFERROR(__xludf.DUMMYFUNCTION("""COMPUTED_VALUE"""),1)</f>
        <v>1</v>
      </c>
      <c r="D8363" s="8">
        <f ca="1">IFERROR(__xludf.DUMMYFUNCTION("""COMPUTED_VALUE"""),1)</f>
        <v>1</v>
      </c>
      <c r="E8363" s="2">
        <f ca="1">IFERROR(__xludf.DUMMYFUNCTION("""COMPUTED_VALUE"""),1)</f>
        <v>1</v>
      </c>
    </row>
    <row r="8364" spans="1:5" ht="13">
      <c r="A8364" s="2" t="str">
        <f ca="1">IFERROR(__xludf.DUMMYFUNCTION("""COMPUTED_VALUE"""),"Vladigerov, Pancho")</f>
        <v>Vladigerov, Pancho</v>
      </c>
      <c r="B8364" s="3">
        <f ca="1">IFERROR(__xludf.DUMMYFUNCTION("""COMPUTED_VALUE"""),1)</f>
        <v>1</v>
      </c>
      <c r="C8364" s="7">
        <f ca="1">IFERROR(__xludf.DUMMYFUNCTION("""COMPUTED_VALUE"""),1)</f>
        <v>1</v>
      </c>
      <c r="D8364" s="8">
        <f ca="1">IFERROR(__xludf.DUMMYFUNCTION("""COMPUTED_VALUE"""),5)</f>
        <v>5</v>
      </c>
      <c r="E8364" s="2">
        <f ca="1">IFERROR(__xludf.DUMMYFUNCTION("""COMPUTED_VALUE"""),2)</f>
        <v>2</v>
      </c>
    </row>
    <row r="8365" spans="1:5" ht="13">
      <c r="A8365" s="2" t="str">
        <f ca="1">IFERROR(__xludf.DUMMYFUNCTION("""COMPUTED_VALUE"""),"Vlak, Kees")</f>
        <v>Vlak, Kees</v>
      </c>
      <c r="B8365" s="3">
        <f ca="1">IFERROR(__xludf.DUMMYFUNCTION("""COMPUTED_VALUE"""),1)</f>
        <v>1</v>
      </c>
      <c r="C8365" s="7">
        <f ca="1">IFERROR(__xludf.DUMMYFUNCTION("""COMPUTED_VALUE"""),1)</f>
        <v>1</v>
      </c>
      <c r="D8365" s="8">
        <f ca="1">IFERROR(__xludf.DUMMYFUNCTION("""COMPUTED_VALUE"""),1)</f>
        <v>1</v>
      </c>
      <c r="E8365" s="2">
        <f ca="1">IFERROR(__xludf.DUMMYFUNCTION("""COMPUTED_VALUE"""),1)</f>
        <v>1</v>
      </c>
    </row>
    <row r="8366" spans="1:5" ht="13">
      <c r="A8366" s="2" t="str">
        <f ca="1">IFERROR(__xludf.DUMMYFUNCTION("""COMPUTED_VALUE"""),"Vogel, Bradley")</f>
        <v>Vogel, Bradley</v>
      </c>
      <c r="B8366" s="3">
        <f ca="1">IFERROR(__xludf.DUMMYFUNCTION("""COMPUTED_VALUE"""),1)</f>
        <v>1</v>
      </c>
      <c r="C8366" s="7">
        <f ca="1">IFERROR(__xludf.DUMMYFUNCTION("""COMPUTED_VALUE"""),1)</f>
        <v>1</v>
      </c>
      <c r="D8366" s="8">
        <f ca="1">IFERROR(__xludf.DUMMYFUNCTION("""COMPUTED_VALUE"""),1)</f>
        <v>1</v>
      </c>
      <c r="E8366" s="2">
        <f ca="1">IFERROR(__xludf.DUMMYFUNCTION("""COMPUTED_VALUE"""),1)</f>
        <v>1</v>
      </c>
    </row>
    <row r="8367" spans="1:5" ht="13">
      <c r="A8367" s="2" t="str">
        <f ca="1">IFERROR(__xludf.DUMMYFUNCTION("""COMPUTED_VALUE"""),"Vogel, Kirk")</f>
        <v>Vogel, Kirk</v>
      </c>
      <c r="B8367" s="3">
        <f ca="1">IFERROR(__xludf.DUMMYFUNCTION("""COMPUTED_VALUE"""),1)</f>
        <v>1</v>
      </c>
      <c r="C8367" s="7">
        <f ca="1">IFERROR(__xludf.DUMMYFUNCTION("""COMPUTED_VALUE"""),1)</f>
        <v>1</v>
      </c>
      <c r="D8367" s="8">
        <f ca="1">IFERROR(__xludf.DUMMYFUNCTION("""COMPUTED_VALUE"""),1)</f>
        <v>1</v>
      </c>
      <c r="E8367" s="2">
        <f ca="1">IFERROR(__xludf.DUMMYFUNCTION("""COMPUTED_VALUE"""),1)</f>
        <v>1</v>
      </c>
    </row>
    <row r="8368" spans="1:5" ht="13">
      <c r="A8368" s="2" t="str">
        <f ca="1">IFERROR(__xludf.DUMMYFUNCTION("""COMPUTED_VALUE"""),"Vogler, Abbe G.")</f>
        <v>Vogler, Abbe G.</v>
      </c>
      <c r="B8368" s="2">
        <f ca="1">IFERROR(__xludf.DUMMYFUNCTION("""COMPUTED_VALUE"""),1)</f>
        <v>1</v>
      </c>
      <c r="C8368" s="7">
        <f ca="1">IFERROR(__xludf.DUMMYFUNCTION("""COMPUTED_VALUE"""),1)</f>
        <v>1</v>
      </c>
      <c r="D8368" s="8">
        <f ca="1">IFERROR(__xludf.DUMMYFUNCTION("""COMPUTED_VALUE"""),5)</f>
        <v>5</v>
      </c>
      <c r="E8368" s="2">
        <f ca="1">IFERROR(__xludf.DUMMYFUNCTION("""COMPUTED_VALUE"""),2)</f>
        <v>2</v>
      </c>
    </row>
    <row r="8369" spans="1:5" ht="13">
      <c r="A8369" s="2" t="str">
        <f ca="1">IFERROR(__xludf.DUMMYFUNCTION("""COMPUTED_VALUE"""),"Volf, Jiri")</f>
        <v>Volf, Jiri</v>
      </c>
      <c r="B8369" s="3">
        <f ca="1">IFERROR(__xludf.DUMMYFUNCTION("""COMPUTED_VALUE"""),1)</f>
        <v>1</v>
      </c>
      <c r="C8369" s="7">
        <f ca="1">IFERROR(__xludf.DUMMYFUNCTION("""COMPUTED_VALUE"""),1)</f>
        <v>1</v>
      </c>
      <c r="D8369" s="8">
        <f ca="1">IFERROR(__xludf.DUMMYFUNCTION("""COMPUTED_VALUE"""),1)</f>
        <v>1</v>
      </c>
      <c r="E8369" s="2">
        <f ca="1">IFERROR(__xludf.DUMMYFUNCTION("""COMPUTED_VALUE"""),1)</f>
        <v>1</v>
      </c>
    </row>
    <row r="8370" spans="1:5" ht="13">
      <c r="A8370" s="2" t="str">
        <f ca="1">IFERROR(__xludf.DUMMYFUNCTION("""COMPUTED_VALUE"""),"Volk, Greg")</f>
        <v>Volk, Greg</v>
      </c>
      <c r="B8370" s="2">
        <f ca="1">IFERROR(__xludf.DUMMYFUNCTION("""COMPUTED_VALUE"""),1)</f>
        <v>1</v>
      </c>
      <c r="C8370" s="7">
        <f ca="1">IFERROR(__xludf.DUMMYFUNCTION("""COMPUTED_VALUE"""),1)</f>
        <v>1</v>
      </c>
      <c r="D8370" s="8">
        <f ca="1">IFERROR(__xludf.DUMMYFUNCTION("""COMPUTED_VALUE"""),1)</f>
        <v>1</v>
      </c>
      <c r="E8370" s="2">
        <f ca="1">IFERROR(__xludf.DUMMYFUNCTION("""COMPUTED_VALUE"""),1)</f>
        <v>1</v>
      </c>
    </row>
    <row r="8371" spans="1:5" ht="13">
      <c r="A8371" s="2" t="str">
        <f ca="1">IFERROR(__xludf.DUMMYFUNCTION("""COMPUTED_VALUE"""),"Volkmann, Robert")</f>
        <v>Volkmann, Robert</v>
      </c>
      <c r="B8371" s="3">
        <f ca="1">IFERROR(__xludf.DUMMYFUNCTION("""COMPUTED_VALUE"""),1)</f>
        <v>1</v>
      </c>
      <c r="C8371" s="7">
        <f ca="1">IFERROR(__xludf.DUMMYFUNCTION("""COMPUTED_VALUE"""),1)</f>
        <v>1</v>
      </c>
      <c r="D8371" s="8">
        <f ca="1">IFERROR(__xludf.DUMMYFUNCTION("""COMPUTED_VALUE"""),5)</f>
        <v>5</v>
      </c>
      <c r="E8371" s="2">
        <f ca="1">IFERROR(__xludf.DUMMYFUNCTION("""COMPUTED_VALUE"""),2)</f>
        <v>2</v>
      </c>
    </row>
    <row r="8372" spans="1:5" ht="13">
      <c r="A8372" s="2" t="str">
        <f ca="1">IFERROR(__xludf.DUMMYFUNCTION("""COMPUTED_VALUE"""),"Vollinger, Bill")</f>
        <v>Vollinger, Bill</v>
      </c>
      <c r="B8372" s="3">
        <f ca="1">IFERROR(__xludf.DUMMYFUNCTION("""COMPUTED_VALUE"""),1)</f>
        <v>1</v>
      </c>
      <c r="C8372" s="7">
        <f ca="1">IFERROR(__xludf.DUMMYFUNCTION("""COMPUTED_VALUE"""),1)</f>
        <v>1</v>
      </c>
      <c r="D8372" s="8">
        <f ca="1">IFERROR(__xludf.DUMMYFUNCTION("""COMPUTED_VALUE"""),1)</f>
        <v>1</v>
      </c>
      <c r="E8372" s="2">
        <f ca="1">IFERROR(__xludf.DUMMYFUNCTION("""COMPUTED_VALUE"""),1)</f>
        <v>1</v>
      </c>
    </row>
    <row r="8373" spans="1:5" ht="13">
      <c r="A8373" s="2" t="str">
        <f ca="1">IFERROR(__xludf.DUMMYFUNCTION("""COMPUTED_VALUE"""),"Vollstedt, Robert")</f>
        <v>Vollstedt, Robert</v>
      </c>
      <c r="B8373" s="2">
        <f ca="1">IFERROR(__xludf.DUMMYFUNCTION("""COMPUTED_VALUE"""),1)</f>
        <v>1</v>
      </c>
      <c r="C8373" s="7">
        <f ca="1">IFERROR(__xludf.DUMMYFUNCTION("""COMPUTED_VALUE"""),1)</f>
        <v>1</v>
      </c>
      <c r="D8373" s="8">
        <f ca="1">IFERROR(__xludf.DUMMYFUNCTION("""COMPUTED_VALUE"""),5)</f>
        <v>5</v>
      </c>
      <c r="E8373" s="2">
        <f ca="1">IFERROR(__xludf.DUMMYFUNCTION("""COMPUTED_VALUE"""),2)</f>
        <v>2</v>
      </c>
    </row>
    <row r="8374" spans="1:5" ht="13">
      <c r="A8374" s="2" t="str">
        <f ca="1">IFERROR(__xludf.DUMMYFUNCTION("""COMPUTED_VALUE"""),"Volz, Henry")</f>
        <v>Volz, Henry</v>
      </c>
      <c r="B8374" s="3">
        <f ca="1">IFERROR(__xludf.DUMMYFUNCTION("""COMPUTED_VALUE"""),1)</f>
        <v>1</v>
      </c>
      <c r="C8374" s="7">
        <f ca="1">IFERROR(__xludf.DUMMYFUNCTION("""COMPUTED_VALUE"""),1)</f>
        <v>1</v>
      </c>
      <c r="D8374" s="8">
        <f ca="1">IFERROR(__xludf.DUMMYFUNCTION("""COMPUTED_VALUE"""),5)</f>
        <v>5</v>
      </c>
      <c r="E8374" s="2">
        <f ca="1">IFERROR(__xludf.DUMMYFUNCTION("""COMPUTED_VALUE"""),2)</f>
        <v>2</v>
      </c>
    </row>
    <row r="8375" spans="1:5" ht="13">
      <c r="A8375" s="2" t="str">
        <f ca="1">IFERROR(__xludf.DUMMYFUNCTION("""COMPUTED_VALUE"""),"von Blon, Franz")</f>
        <v>von Blon, Franz</v>
      </c>
      <c r="B8375" s="3">
        <f ca="1">IFERROR(__xludf.DUMMYFUNCTION("""COMPUTED_VALUE"""),1)</f>
        <v>1</v>
      </c>
      <c r="C8375" s="7">
        <f ca="1">IFERROR(__xludf.DUMMYFUNCTION("""COMPUTED_VALUE"""),1)</f>
        <v>1</v>
      </c>
      <c r="D8375" s="8">
        <f ca="1">IFERROR(__xludf.DUMMYFUNCTION("""COMPUTED_VALUE"""),5)</f>
        <v>5</v>
      </c>
      <c r="E8375" s="2">
        <f ca="1">IFERROR(__xludf.DUMMYFUNCTION("""COMPUTED_VALUE"""),2)</f>
        <v>2</v>
      </c>
    </row>
    <row r="8376" spans="1:5" ht="13">
      <c r="A8376" s="2" t="str">
        <f ca="1">IFERROR(__xludf.DUMMYFUNCTION("""COMPUTED_VALUE"""),"von Flotow, Friedrich")</f>
        <v>von Flotow, Friedrich</v>
      </c>
      <c r="B8376" s="2">
        <f ca="1">IFERROR(__xludf.DUMMYFUNCTION("""COMPUTED_VALUE"""),1)</f>
        <v>1</v>
      </c>
      <c r="C8376" s="7">
        <f ca="1">IFERROR(__xludf.DUMMYFUNCTION("""COMPUTED_VALUE"""),1)</f>
        <v>1</v>
      </c>
      <c r="D8376" s="8">
        <f ca="1">IFERROR(__xludf.DUMMYFUNCTION("""COMPUTED_VALUE"""),5)</f>
        <v>5</v>
      </c>
      <c r="E8376" s="2">
        <f ca="1">IFERROR(__xludf.DUMMYFUNCTION("""COMPUTED_VALUE"""),2)</f>
        <v>2</v>
      </c>
    </row>
    <row r="8377" spans="1:5" ht="13">
      <c r="A8377" s="2" t="str">
        <f ca="1">IFERROR(__xludf.DUMMYFUNCTION("""COMPUTED_VALUE"""),"Von Kreisler, Alexander")</f>
        <v>Von Kreisler, Alexander</v>
      </c>
      <c r="B8377" s="3">
        <f ca="1">IFERROR(__xludf.DUMMYFUNCTION("""COMPUTED_VALUE"""),1)</f>
        <v>1</v>
      </c>
      <c r="C8377" s="7">
        <f ca="1">IFERROR(__xludf.DUMMYFUNCTION("""COMPUTED_VALUE"""),1)</f>
        <v>1</v>
      </c>
      <c r="D8377" s="8">
        <f ca="1">IFERROR(__xludf.DUMMYFUNCTION("""COMPUTED_VALUE"""),5)</f>
        <v>5</v>
      </c>
      <c r="E8377" s="2">
        <f ca="1">IFERROR(__xludf.DUMMYFUNCTION("""COMPUTED_VALUE"""),2)</f>
        <v>2</v>
      </c>
    </row>
    <row r="8378" spans="1:5" ht="13">
      <c r="A8378" s="2" t="str">
        <f ca="1">IFERROR(__xludf.DUMMYFUNCTION("""COMPUTED_VALUE"""),"von Suppé, Franz")</f>
        <v>von Suppé, Franz</v>
      </c>
      <c r="B8378" s="3">
        <f ca="1">IFERROR(__xludf.DUMMYFUNCTION("""COMPUTED_VALUE"""),1)</f>
        <v>1</v>
      </c>
      <c r="C8378" s="7">
        <f ca="1">IFERROR(__xludf.DUMMYFUNCTION("""COMPUTED_VALUE"""),1)</f>
        <v>1</v>
      </c>
      <c r="D8378" s="8">
        <f ca="1">IFERROR(__xludf.DUMMYFUNCTION("""COMPUTED_VALUE"""),5)</f>
        <v>5</v>
      </c>
      <c r="E8378" s="2">
        <f ca="1">IFERROR(__xludf.DUMMYFUNCTION("""COMPUTED_VALUE"""),2)</f>
        <v>2</v>
      </c>
    </row>
    <row r="8379" spans="1:5" ht="13">
      <c r="A8379" s="2" t="str">
        <f ca="1">IFERROR(__xludf.DUMMYFUNCTION("""COMPUTED_VALUE"""),"Von Suppe, Franz / Rossini, Gioachino / Tchaikovsky, Pyotr")</f>
        <v>Von Suppe, Franz / Rossini, Gioachino / Tchaikovsky, Pyotr</v>
      </c>
      <c r="B8379" s="2">
        <f ca="1">IFERROR(__xludf.DUMMYFUNCTION("""COMPUTED_VALUE"""),1)</f>
        <v>1</v>
      </c>
      <c r="C8379" s="7">
        <f ca="1">IFERROR(__xludf.DUMMYFUNCTION("""COMPUTED_VALUE"""),1)</f>
        <v>1</v>
      </c>
      <c r="D8379" s="8">
        <f ca="1">IFERROR(__xludf.DUMMYFUNCTION("""COMPUTED_VALUE"""),5)</f>
        <v>5</v>
      </c>
      <c r="E8379" s="2">
        <f ca="1">IFERROR(__xludf.DUMMYFUNCTION("""COMPUTED_VALUE"""),2)</f>
        <v>2</v>
      </c>
    </row>
    <row r="8380" spans="1:5" ht="13">
      <c r="A8380" s="2" t="str">
        <f ca="1">IFERROR(__xludf.DUMMYFUNCTION("""COMPUTED_VALUE"""),"Von Suppe, Franz; Rossini, Gioachino; Tchaikovsky, Pyotr")</f>
        <v>Von Suppe, Franz; Rossini, Gioachino; Tchaikovsky, Pyotr</v>
      </c>
      <c r="B8380" s="3">
        <f ca="1">IFERROR(__xludf.DUMMYFUNCTION("""COMPUTED_VALUE"""),1)</f>
        <v>1</v>
      </c>
      <c r="C8380" s="7">
        <f ca="1">IFERROR(__xludf.DUMMYFUNCTION("""COMPUTED_VALUE"""),1)</f>
        <v>1</v>
      </c>
      <c r="D8380" s="8">
        <f ca="1">IFERROR(__xludf.DUMMYFUNCTION("""COMPUTED_VALUE"""),5)</f>
        <v>5</v>
      </c>
      <c r="E8380" s="2">
        <f ca="1">IFERROR(__xludf.DUMMYFUNCTION("""COMPUTED_VALUE"""),2)</f>
        <v>2</v>
      </c>
    </row>
    <row r="8381" spans="1:5" ht="13">
      <c r="A8381" s="2" t="str">
        <f ca="1">IFERROR(__xludf.DUMMYFUNCTION("""COMPUTED_VALUE"""),"Von Tilzer, Harry")</f>
        <v>Von Tilzer, Harry</v>
      </c>
      <c r="B8381" s="3">
        <f ca="1">IFERROR(__xludf.DUMMYFUNCTION("""COMPUTED_VALUE"""),1)</f>
        <v>1</v>
      </c>
      <c r="C8381" s="7">
        <f ca="1">IFERROR(__xludf.DUMMYFUNCTION("""COMPUTED_VALUE"""),1)</f>
        <v>1</v>
      </c>
      <c r="D8381" s="8">
        <f ca="1">IFERROR(__xludf.DUMMYFUNCTION("""COMPUTED_VALUE"""),5)</f>
        <v>5</v>
      </c>
      <c r="E8381" s="2">
        <f ca="1">IFERROR(__xludf.DUMMYFUNCTION("""COMPUTED_VALUE"""),2)</f>
        <v>2</v>
      </c>
    </row>
    <row r="8382" spans="1:5" ht="13">
      <c r="A8382" s="2" t="str">
        <f ca="1">IFERROR(__xludf.DUMMYFUNCTION("""COMPUTED_VALUE"""),"von Weber, Carl Maria")</f>
        <v>von Weber, Carl Maria</v>
      </c>
      <c r="B8382" s="3">
        <f ca="1">IFERROR(__xludf.DUMMYFUNCTION("""COMPUTED_VALUE"""),1)</f>
        <v>1</v>
      </c>
      <c r="C8382" s="7">
        <f ca="1">IFERROR(__xludf.DUMMYFUNCTION("""COMPUTED_VALUE"""),1)</f>
        <v>1</v>
      </c>
      <c r="D8382" s="8">
        <f ca="1">IFERROR(__xludf.DUMMYFUNCTION("""COMPUTED_VALUE"""),5)</f>
        <v>5</v>
      </c>
      <c r="E8382" s="2">
        <f ca="1">IFERROR(__xludf.DUMMYFUNCTION("""COMPUTED_VALUE"""),2)</f>
        <v>2</v>
      </c>
    </row>
    <row r="8383" spans="1:5" ht="13">
      <c r="A8383" s="2" t="str">
        <f ca="1">IFERROR(__xludf.DUMMYFUNCTION("""COMPUTED_VALUE"""),"von Zemlinsky, Alexander")</f>
        <v>von Zemlinsky, Alexander</v>
      </c>
      <c r="B8383" s="2">
        <f ca="1">IFERROR(__xludf.DUMMYFUNCTION("""COMPUTED_VALUE"""),1)</f>
        <v>1</v>
      </c>
      <c r="C8383" s="7">
        <f ca="1">IFERROR(__xludf.DUMMYFUNCTION("""COMPUTED_VALUE"""),1)</f>
        <v>1</v>
      </c>
      <c r="D8383" s="8">
        <f ca="1">IFERROR(__xludf.DUMMYFUNCTION("""COMPUTED_VALUE"""),5)</f>
        <v>5</v>
      </c>
      <c r="E8383" s="2">
        <f ca="1">IFERROR(__xludf.DUMMYFUNCTION("""COMPUTED_VALUE"""),2)</f>
        <v>2</v>
      </c>
    </row>
    <row r="8384" spans="1:5" ht="13">
      <c r="A8384" s="2" t="str">
        <f ca="1">IFERROR(__xludf.DUMMYFUNCTION("""COMPUTED_VALUE"""),"Vonley, Lloyd")</f>
        <v>Vonley, Lloyd</v>
      </c>
      <c r="B8384" s="3">
        <f ca="1">IFERROR(__xludf.DUMMYFUNCTION("""COMPUTED_VALUE"""),1)</f>
        <v>1</v>
      </c>
      <c r="C8384" s="7">
        <f ca="1">IFERROR(__xludf.DUMMYFUNCTION("""COMPUTED_VALUE"""),1)</f>
        <v>1</v>
      </c>
      <c r="D8384" s="8">
        <f ca="1">IFERROR(__xludf.DUMMYFUNCTION("""COMPUTED_VALUE"""),5)</f>
        <v>5</v>
      </c>
      <c r="E8384" s="2">
        <f ca="1">IFERROR(__xludf.DUMMYFUNCTION("""COMPUTED_VALUE"""),2)</f>
        <v>2</v>
      </c>
    </row>
    <row r="8385" spans="1:5" ht="13">
      <c r="A8385" s="2" t="str">
        <f ca="1">IFERROR(__xludf.DUMMYFUNCTION("""COMPUTED_VALUE"""),"Vorisek, Jan")</f>
        <v>Vorisek, Jan</v>
      </c>
      <c r="B8385" s="2">
        <f ca="1">IFERROR(__xludf.DUMMYFUNCTION("""COMPUTED_VALUE"""),1)</f>
        <v>1</v>
      </c>
      <c r="C8385" s="7">
        <f ca="1">IFERROR(__xludf.DUMMYFUNCTION("""COMPUTED_VALUE"""),1)</f>
        <v>1</v>
      </c>
      <c r="D8385" s="8">
        <f ca="1">IFERROR(__xludf.DUMMYFUNCTION("""COMPUTED_VALUE"""),5)</f>
        <v>5</v>
      </c>
      <c r="E8385" s="2">
        <f ca="1">IFERROR(__xludf.DUMMYFUNCTION("""COMPUTED_VALUE"""),2)</f>
        <v>2</v>
      </c>
    </row>
    <row r="8386" spans="1:5" ht="13">
      <c r="A8386" s="2" t="str">
        <f ca="1">IFERROR(__xludf.DUMMYFUNCTION("""COMPUTED_VALUE"""),"Vosbein, Terry")</f>
        <v>Vosbein, Terry</v>
      </c>
      <c r="B8386" s="3">
        <f ca="1">IFERROR(__xludf.DUMMYFUNCTION("""COMPUTED_VALUE"""),1)</f>
        <v>1</v>
      </c>
      <c r="C8386" s="7">
        <f ca="1">IFERROR(__xludf.DUMMYFUNCTION("""COMPUTED_VALUE"""),1)</f>
        <v>1</v>
      </c>
      <c r="D8386" s="8">
        <f ca="1">IFERROR(__xludf.DUMMYFUNCTION("""COMPUTED_VALUE"""),1)</f>
        <v>1</v>
      </c>
      <c r="E8386" s="2">
        <f ca="1">IFERROR(__xludf.DUMMYFUNCTION("""COMPUTED_VALUE"""),1)</f>
        <v>1</v>
      </c>
    </row>
    <row r="8387" spans="1:5" ht="13">
      <c r="A8387" s="8" t="str">
        <f ca="1">IFERROR(__xludf.DUMMYFUNCTION("""COMPUTED_VALUE"""),"Voss, Carl")</f>
        <v>Voss, Carl</v>
      </c>
      <c r="B8387" s="3">
        <f ca="1">IFERROR(__xludf.DUMMYFUNCTION("""COMPUTED_VALUE"""),1)</f>
        <v>1</v>
      </c>
      <c r="C8387" s="7">
        <f ca="1">IFERROR(__xludf.DUMMYFUNCTION("""COMPUTED_VALUE"""),1)</f>
        <v>1</v>
      </c>
      <c r="D8387" s="8">
        <f ca="1">IFERROR(__xludf.DUMMYFUNCTION("""COMPUTED_VALUE"""),1)</f>
        <v>1</v>
      </c>
      <c r="E8387" s="2">
        <f ca="1">IFERROR(__xludf.DUMMYFUNCTION("""COMPUTED_VALUE"""),1)</f>
        <v>1</v>
      </c>
    </row>
    <row r="8388" spans="1:5" ht="13">
      <c r="A8388" s="2" t="str">
        <f ca="1">IFERROR(__xludf.DUMMYFUNCTION("""COMPUTED_VALUE"""),"Votta, Michael")</f>
        <v>Votta, Michael</v>
      </c>
      <c r="B8388" s="3">
        <f ca="1">IFERROR(__xludf.DUMMYFUNCTION("""COMPUTED_VALUE"""),1)</f>
        <v>1</v>
      </c>
      <c r="C8388" s="7">
        <f ca="1">IFERROR(__xludf.DUMMYFUNCTION("""COMPUTED_VALUE"""),1)</f>
        <v>1</v>
      </c>
      <c r="D8388" s="8">
        <f ca="1">IFERROR(__xludf.DUMMYFUNCTION("""COMPUTED_VALUE"""),5)</f>
        <v>5</v>
      </c>
      <c r="E8388" s="2">
        <f ca="1">IFERROR(__xludf.DUMMYFUNCTION("""COMPUTED_VALUE"""),2)</f>
        <v>2</v>
      </c>
    </row>
    <row r="8389" spans="1:5" ht="13">
      <c r="A8389" s="2" t="str">
        <f ca="1">IFERROR(__xludf.DUMMYFUNCTION("""COMPUTED_VALUE"""),"Votta, Michael / Boyd, John")</f>
        <v>Votta, Michael / Boyd, John</v>
      </c>
      <c r="B8389" s="3">
        <f ca="1">IFERROR(__xludf.DUMMYFUNCTION("""COMPUTED_VALUE"""),1)</f>
        <v>1</v>
      </c>
      <c r="C8389" s="7">
        <f ca="1">IFERROR(__xludf.DUMMYFUNCTION("""COMPUTED_VALUE"""),1)</f>
        <v>1</v>
      </c>
      <c r="D8389" s="8">
        <f ca="1">IFERROR(__xludf.DUMMYFUNCTION("""COMPUTED_VALUE"""),5)</f>
        <v>5</v>
      </c>
      <c r="E8389" s="2">
        <f ca="1">IFERROR(__xludf.DUMMYFUNCTION("""COMPUTED_VALUE"""),2)</f>
        <v>2</v>
      </c>
    </row>
    <row r="8390" spans="1:5" ht="13">
      <c r="A8390" s="2" t="str">
        <f ca="1">IFERROR(__xludf.DUMMYFUNCTION("""COMPUTED_VALUE"""),"Voullaire, Woldemar")</f>
        <v>Voullaire, Woldemar</v>
      </c>
      <c r="B8390" s="3">
        <f ca="1">IFERROR(__xludf.DUMMYFUNCTION("""COMPUTED_VALUE"""),1)</f>
        <v>1</v>
      </c>
      <c r="C8390" s="7">
        <f ca="1">IFERROR(__xludf.DUMMYFUNCTION("""COMPUTED_VALUE"""),1)</f>
        <v>1</v>
      </c>
      <c r="D8390" s="8">
        <f ca="1">IFERROR(__xludf.DUMMYFUNCTION("""COMPUTED_VALUE"""),5)</f>
        <v>5</v>
      </c>
      <c r="E8390" s="2">
        <f ca="1">IFERROR(__xludf.DUMMYFUNCTION("""COMPUTED_VALUE"""),2)</f>
        <v>2</v>
      </c>
    </row>
    <row r="8391" spans="1:5" ht="13">
      <c r="A8391" s="2" t="str">
        <f ca="1">IFERROR(__xludf.DUMMYFUNCTION("""COMPUTED_VALUE"""),"Vovk, Samo")</f>
        <v>Vovk, Samo</v>
      </c>
      <c r="B8391" s="3">
        <f ca="1">IFERROR(__xludf.DUMMYFUNCTION("""COMPUTED_VALUE"""),1)</f>
        <v>1</v>
      </c>
      <c r="C8391" s="7">
        <f ca="1">IFERROR(__xludf.DUMMYFUNCTION("""COMPUTED_VALUE"""),1)</f>
        <v>1</v>
      </c>
      <c r="D8391" s="8">
        <f ca="1">IFERROR(__xludf.DUMMYFUNCTION("""COMPUTED_VALUE"""),1)</f>
        <v>1</v>
      </c>
      <c r="E8391" s="2">
        <f ca="1">IFERROR(__xludf.DUMMYFUNCTION("""COMPUTED_VALUE"""),1)</f>
        <v>1</v>
      </c>
    </row>
    <row r="8392" spans="1:5" ht="13">
      <c r="A8392" s="8" t="str">
        <f ca="1">IFERROR(__xludf.DUMMYFUNCTION("""COMPUTED_VALUE"""),"Vriezen, Samuel")</f>
        <v>Vriezen, Samuel</v>
      </c>
      <c r="B8392" s="3">
        <f ca="1">IFERROR(__xludf.DUMMYFUNCTION("""COMPUTED_VALUE"""),1)</f>
        <v>1</v>
      </c>
      <c r="C8392" s="7">
        <f ca="1">IFERROR(__xludf.DUMMYFUNCTION("""COMPUTED_VALUE"""),1)</f>
        <v>1</v>
      </c>
      <c r="D8392" s="8">
        <f ca="1">IFERROR(__xludf.DUMMYFUNCTION("""COMPUTED_VALUE"""),1)</f>
        <v>1</v>
      </c>
      <c r="E8392" s="2">
        <f ca="1">IFERROR(__xludf.DUMMYFUNCTION("""COMPUTED_VALUE"""),1)</f>
        <v>1</v>
      </c>
    </row>
    <row r="8393" spans="1:5" ht="13">
      <c r="A8393" s="8" t="str">
        <f ca="1">IFERROR(__xludf.DUMMYFUNCTION("""COMPUTED_VALUE"""),"Vulpius, Melchior")</f>
        <v>Vulpius, Melchior</v>
      </c>
      <c r="B8393" s="2">
        <f ca="1">IFERROR(__xludf.DUMMYFUNCTION("""COMPUTED_VALUE"""),1)</f>
        <v>1</v>
      </c>
      <c r="C8393" s="7">
        <f ca="1">IFERROR(__xludf.DUMMYFUNCTION("""COMPUTED_VALUE"""),1)</f>
        <v>1</v>
      </c>
      <c r="D8393" s="8">
        <f ca="1">IFERROR(__xludf.DUMMYFUNCTION("""COMPUTED_VALUE"""),5)</f>
        <v>5</v>
      </c>
      <c r="E8393" s="2">
        <f ca="1">IFERROR(__xludf.DUMMYFUNCTION("""COMPUTED_VALUE"""),2)</f>
        <v>2</v>
      </c>
    </row>
    <row r="8394" spans="1:5" ht="13">
      <c r="A8394" s="8" t="str">
        <f ca="1">IFERROR(__xludf.DUMMYFUNCTION("""COMPUTED_VALUE"""),"Vuono, Rob")</f>
        <v>Vuono, Rob</v>
      </c>
      <c r="B8394" s="2">
        <f ca="1">IFERROR(__xludf.DUMMYFUNCTION("""COMPUTED_VALUE"""),1)</f>
        <v>1</v>
      </c>
      <c r="C8394" s="7">
        <f ca="1">IFERROR(__xludf.DUMMYFUNCTION("""COMPUTED_VALUE"""),1)</f>
        <v>1</v>
      </c>
      <c r="D8394" s="8">
        <f ca="1">IFERROR(__xludf.DUMMYFUNCTION("""COMPUTED_VALUE"""),1)</f>
        <v>1</v>
      </c>
      <c r="E8394" s="2">
        <f ca="1">IFERROR(__xludf.DUMMYFUNCTION("""COMPUTED_VALUE"""),1)</f>
        <v>1</v>
      </c>
    </row>
    <row r="8395" spans="1:5" ht="13">
      <c r="A8395" s="2" t="str">
        <f ca="1">IFERROR(__xludf.DUMMYFUNCTION("""COMPUTED_VALUE"""),"Wade, John Francis")</f>
        <v>Wade, John Francis</v>
      </c>
      <c r="B8395" s="2">
        <f ca="1">IFERROR(__xludf.DUMMYFUNCTION("""COMPUTED_VALUE"""),1)</f>
        <v>1</v>
      </c>
      <c r="C8395" s="7">
        <f ca="1">IFERROR(__xludf.DUMMYFUNCTION("""COMPUTED_VALUE"""),1)</f>
        <v>1</v>
      </c>
      <c r="D8395" s="8">
        <f ca="1">IFERROR(__xludf.DUMMYFUNCTION("""COMPUTED_VALUE"""),5)</f>
        <v>5</v>
      </c>
      <c r="E8395" s="2">
        <f ca="1">IFERROR(__xludf.DUMMYFUNCTION("""COMPUTED_VALUE"""),2)</f>
        <v>2</v>
      </c>
    </row>
    <row r="8396" spans="1:5" ht="13">
      <c r="A8396" s="2" t="str">
        <f ca="1">IFERROR(__xludf.DUMMYFUNCTION("""COMPUTED_VALUE"""),"Wadleigh, Mark")</f>
        <v>Wadleigh, Mark</v>
      </c>
      <c r="B8396" s="3">
        <f ca="1">IFERROR(__xludf.DUMMYFUNCTION("""COMPUTED_VALUE"""),1)</f>
        <v>1</v>
      </c>
      <c r="C8396" s="7">
        <f ca="1">IFERROR(__xludf.DUMMYFUNCTION("""COMPUTED_VALUE"""),1)</f>
        <v>1</v>
      </c>
      <c r="D8396" s="8">
        <f ca="1">IFERROR(__xludf.DUMMYFUNCTION("""COMPUTED_VALUE"""),1)</f>
        <v>1</v>
      </c>
      <c r="E8396" s="2">
        <f ca="1">IFERROR(__xludf.DUMMYFUNCTION("""COMPUTED_VALUE"""),1)</f>
        <v>1</v>
      </c>
    </row>
    <row r="8397" spans="1:5" ht="13">
      <c r="A8397" s="2" t="str">
        <f ca="1">IFERROR(__xludf.DUMMYFUNCTION("""COMPUTED_VALUE"""),"Wadley, Jay")</f>
        <v>Wadley, Jay</v>
      </c>
      <c r="B8397" s="3">
        <f ca="1">IFERROR(__xludf.DUMMYFUNCTION("""COMPUTED_VALUE"""),1)</f>
        <v>1</v>
      </c>
      <c r="C8397" s="7">
        <f ca="1">IFERROR(__xludf.DUMMYFUNCTION("""COMPUTED_VALUE"""),1)</f>
        <v>1</v>
      </c>
      <c r="D8397" s="8">
        <f ca="1">IFERROR(__xludf.DUMMYFUNCTION("""COMPUTED_VALUE"""),1)</f>
        <v>1</v>
      </c>
      <c r="E8397" s="2">
        <f ca="1">IFERROR(__xludf.DUMMYFUNCTION("""COMPUTED_VALUE"""),1)</f>
        <v>1</v>
      </c>
    </row>
    <row r="8398" spans="1:5" ht="13">
      <c r="A8398" s="2" t="str">
        <f ca="1">IFERROR(__xludf.DUMMYFUNCTION("""COMPUTED_VALUE"""),"Wadsworth, Zachary")</f>
        <v>Wadsworth, Zachary</v>
      </c>
      <c r="B8398" s="3">
        <f ca="1">IFERROR(__xludf.DUMMYFUNCTION("""COMPUTED_VALUE"""),1)</f>
        <v>1</v>
      </c>
      <c r="C8398" s="7">
        <f ca="1">IFERROR(__xludf.DUMMYFUNCTION("""COMPUTED_VALUE"""),1)</f>
        <v>1</v>
      </c>
      <c r="D8398" s="8">
        <f ca="1">IFERROR(__xludf.DUMMYFUNCTION("""COMPUTED_VALUE"""),1)</f>
        <v>1</v>
      </c>
      <c r="E8398" s="2">
        <f ca="1">IFERROR(__xludf.DUMMYFUNCTION("""COMPUTED_VALUE"""),1)</f>
        <v>1</v>
      </c>
    </row>
    <row r="8399" spans="1:5" ht="13">
      <c r="A8399" s="2" t="str">
        <f ca="1">IFERROR(__xludf.DUMMYFUNCTION("""COMPUTED_VALUE"""),"Waelrant, Hubert")</f>
        <v>Waelrant, Hubert</v>
      </c>
      <c r="B8399" s="2">
        <f ca="1">IFERROR(__xludf.DUMMYFUNCTION("""COMPUTED_VALUE"""),1)</f>
        <v>1</v>
      </c>
      <c r="C8399" s="7">
        <f ca="1">IFERROR(__xludf.DUMMYFUNCTION("""COMPUTED_VALUE"""),1)</f>
        <v>1</v>
      </c>
      <c r="D8399" s="8">
        <f ca="1">IFERROR(__xludf.DUMMYFUNCTION("""COMPUTED_VALUE"""),5)</f>
        <v>5</v>
      </c>
      <c r="E8399" s="2">
        <f ca="1">IFERROR(__xludf.DUMMYFUNCTION("""COMPUTED_VALUE"""),2)</f>
        <v>2</v>
      </c>
    </row>
    <row r="8400" spans="1:5" ht="13">
      <c r="A8400" s="8" t="str">
        <f ca="1">IFERROR(__xludf.DUMMYFUNCTION("""COMPUTED_VALUE"""),"Waesche, Ed")</f>
        <v>Waesche, Ed</v>
      </c>
      <c r="B8400" s="3">
        <f ca="1">IFERROR(__xludf.DUMMYFUNCTION("""COMPUTED_VALUE"""),1)</f>
        <v>1</v>
      </c>
      <c r="C8400" s="7">
        <f ca="1">IFERROR(__xludf.DUMMYFUNCTION("""COMPUTED_VALUE"""),1)</f>
        <v>1</v>
      </c>
      <c r="D8400" s="8">
        <f ca="1">IFERROR(__xludf.DUMMYFUNCTION("""COMPUTED_VALUE"""),5)</f>
        <v>5</v>
      </c>
      <c r="E8400" s="2">
        <f ca="1">IFERROR(__xludf.DUMMYFUNCTION("""COMPUTED_VALUE"""),2)</f>
        <v>2</v>
      </c>
    </row>
    <row r="8401" spans="1:5" ht="13">
      <c r="A8401" s="2" t="str">
        <f ca="1">IFERROR(__xludf.DUMMYFUNCTION("""COMPUTED_VALUE"""),"Waespi, Oliver")</f>
        <v>Waespi, Oliver</v>
      </c>
      <c r="B8401" s="3">
        <f ca="1">IFERROR(__xludf.DUMMYFUNCTION("""COMPUTED_VALUE"""),1)</f>
        <v>1</v>
      </c>
      <c r="C8401" s="7">
        <f ca="1">IFERROR(__xludf.DUMMYFUNCTION("""COMPUTED_VALUE"""),1)</f>
        <v>1</v>
      </c>
      <c r="D8401" s="8">
        <f ca="1">IFERROR(__xludf.DUMMYFUNCTION("""COMPUTED_VALUE"""),1)</f>
        <v>1</v>
      </c>
      <c r="E8401" s="2">
        <f ca="1">IFERROR(__xludf.DUMMYFUNCTION("""COMPUTED_VALUE"""),1)</f>
        <v>1</v>
      </c>
    </row>
    <row r="8402" spans="1:5" ht="13">
      <c r="A8402" s="2" t="str">
        <f ca="1">IFERROR(__xludf.DUMMYFUNCTION("""COMPUTED_VALUE"""),"Wagenaar, Diderik")</f>
        <v>Wagenaar, Diderik</v>
      </c>
      <c r="B8402" s="3">
        <f ca="1">IFERROR(__xludf.DUMMYFUNCTION("""COMPUTED_VALUE"""),1)</f>
        <v>1</v>
      </c>
      <c r="C8402" s="7">
        <f ca="1">IFERROR(__xludf.DUMMYFUNCTION("""COMPUTED_VALUE"""),1)</f>
        <v>1</v>
      </c>
      <c r="D8402" s="8">
        <f ca="1">IFERROR(__xludf.DUMMYFUNCTION("""COMPUTED_VALUE"""),1)</f>
        <v>1</v>
      </c>
      <c r="E8402" s="2">
        <f ca="1">IFERROR(__xludf.DUMMYFUNCTION("""COMPUTED_VALUE"""),1)</f>
        <v>1</v>
      </c>
    </row>
    <row r="8403" spans="1:5" ht="13">
      <c r="A8403" s="2" t="str">
        <f ca="1">IFERROR(__xludf.DUMMYFUNCTION("""COMPUTED_VALUE"""),"Wagenaar, Johan")</f>
        <v>Wagenaar, Johan</v>
      </c>
      <c r="B8403" s="3">
        <f ca="1">IFERROR(__xludf.DUMMYFUNCTION("""COMPUTED_VALUE"""),1)</f>
        <v>1</v>
      </c>
      <c r="C8403" s="7">
        <f ca="1">IFERROR(__xludf.DUMMYFUNCTION("""COMPUTED_VALUE"""),1)</f>
        <v>1</v>
      </c>
      <c r="D8403" s="8">
        <f ca="1">IFERROR(__xludf.DUMMYFUNCTION("""COMPUTED_VALUE"""),5)</f>
        <v>5</v>
      </c>
      <c r="E8403" s="2">
        <f ca="1">IFERROR(__xludf.DUMMYFUNCTION("""COMPUTED_VALUE"""),2)</f>
        <v>2</v>
      </c>
    </row>
    <row r="8404" spans="1:5" ht="13">
      <c r="A8404" s="2" t="str">
        <f ca="1">IFERROR(__xludf.DUMMYFUNCTION("""COMPUTED_VALUE"""),"Wagenaar, Johann")</f>
        <v>Wagenaar, Johann</v>
      </c>
      <c r="B8404" s="3">
        <f ca="1">IFERROR(__xludf.DUMMYFUNCTION("""COMPUTED_VALUE"""),1)</f>
        <v>1</v>
      </c>
      <c r="C8404" s="7">
        <f ca="1">IFERROR(__xludf.DUMMYFUNCTION("""COMPUTED_VALUE"""),1)</f>
        <v>1</v>
      </c>
      <c r="D8404" s="8">
        <f ca="1">IFERROR(__xludf.DUMMYFUNCTION("""COMPUTED_VALUE"""),5)</f>
        <v>5</v>
      </c>
      <c r="E8404" s="2">
        <f ca="1">IFERROR(__xludf.DUMMYFUNCTION("""COMPUTED_VALUE"""),2)</f>
        <v>2</v>
      </c>
    </row>
    <row r="8405" spans="1:5" ht="13">
      <c r="A8405" s="2" t="str">
        <f ca="1">IFERROR(__xludf.DUMMYFUNCTION("""COMPUTED_VALUE"""),"Wagenseil, Georg")</f>
        <v>Wagenseil, Georg</v>
      </c>
      <c r="B8405" s="3">
        <f ca="1">IFERROR(__xludf.DUMMYFUNCTION("""COMPUTED_VALUE"""),1)</f>
        <v>1</v>
      </c>
      <c r="C8405" s="7">
        <f ca="1">IFERROR(__xludf.DUMMYFUNCTION("""COMPUTED_VALUE"""),1)</f>
        <v>1</v>
      </c>
      <c r="D8405" s="8">
        <f ca="1">IFERROR(__xludf.DUMMYFUNCTION("""COMPUTED_VALUE"""),5)</f>
        <v>5</v>
      </c>
      <c r="E8405" s="2">
        <f ca="1">IFERROR(__xludf.DUMMYFUNCTION("""COMPUTED_VALUE"""),2)</f>
        <v>2</v>
      </c>
    </row>
    <row r="8406" spans="1:5" ht="13">
      <c r="A8406" s="2" t="str">
        <f ca="1">IFERROR(__xludf.DUMMYFUNCTION("""COMPUTED_VALUE"""),"Wagenseil, Georg Christoph")</f>
        <v>Wagenseil, Georg Christoph</v>
      </c>
      <c r="B8406" s="3">
        <f ca="1">IFERROR(__xludf.DUMMYFUNCTION("""COMPUTED_VALUE"""),1)</f>
        <v>1</v>
      </c>
      <c r="C8406" s="7">
        <f ca="1">IFERROR(__xludf.DUMMYFUNCTION("""COMPUTED_VALUE"""),1)</f>
        <v>1</v>
      </c>
      <c r="D8406" s="8">
        <f ca="1">IFERROR(__xludf.DUMMYFUNCTION("""COMPUTED_VALUE"""),5)</f>
        <v>5</v>
      </c>
      <c r="E8406" s="2">
        <f ca="1">IFERROR(__xludf.DUMMYFUNCTION("""COMPUTED_VALUE"""),2)</f>
        <v>2</v>
      </c>
    </row>
    <row r="8407" spans="1:5" ht="13">
      <c r="A8407" s="2" t="str">
        <f ca="1">IFERROR(__xludf.DUMMYFUNCTION("""COMPUTED_VALUE"""),"Waggoner, David")</f>
        <v>Waggoner, David</v>
      </c>
      <c r="B8407" s="3">
        <f ca="1">IFERROR(__xludf.DUMMYFUNCTION("""COMPUTED_VALUE"""),1)</f>
        <v>1</v>
      </c>
      <c r="C8407" s="7">
        <f ca="1">IFERROR(__xludf.DUMMYFUNCTION("""COMPUTED_VALUE"""),1)</f>
        <v>1</v>
      </c>
      <c r="D8407" s="8">
        <f ca="1">IFERROR(__xludf.DUMMYFUNCTION("""COMPUTED_VALUE"""),1)</f>
        <v>1</v>
      </c>
      <c r="E8407" s="2">
        <f ca="1">IFERROR(__xludf.DUMMYFUNCTION("""COMPUTED_VALUE"""),1)</f>
        <v>1</v>
      </c>
    </row>
    <row r="8408" spans="1:5" ht="13">
      <c r="A8408" s="2" t="str">
        <f ca="1">IFERROR(__xludf.DUMMYFUNCTION("""COMPUTED_VALUE"""),"Wagner, Douglas E.")</f>
        <v>Wagner, Douglas E.</v>
      </c>
      <c r="B8408" s="3">
        <f ca="1">IFERROR(__xludf.DUMMYFUNCTION("""COMPUTED_VALUE"""),1)</f>
        <v>1</v>
      </c>
      <c r="C8408" s="7">
        <f ca="1">IFERROR(__xludf.DUMMYFUNCTION("""COMPUTED_VALUE"""),1)</f>
        <v>1</v>
      </c>
      <c r="D8408" s="8">
        <f ca="1">IFERROR(__xludf.DUMMYFUNCTION("""COMPUTED_VALUE"""),1)</f>
        <v>1</v>
      </c>
      <c r="E8408" s="2">
        <f ca="1">IFERROR(__xludf.DUMMYFUNCTION("""COMPUTED_VALUE"""),1)</f>
        <v>1</v>
      </c>
    </row>
    <row r="8409" spans="1:5" ht="13">
      <c r="A8409" s="2" t="str">
        <f ca="1">IFERROR(__xludf.DUMMYFUNCTION("""COMPUTED_VALUE"""),"Wagner, Josef Franz")</f>
        <v>Wagner, Josef Franz</v>
      </c>
      <c r="B8409" s="3">
        <f ca="1">IFERROR(__xludf.DUMMYFUNCTION("""COMPUTED_VALUE"""),1)</f>
        <v>1</v>
      </c>
      <c r="C8409" s="7">
        <f ca="1">IFERROR(__xludf.DUMMYFUNCTION("""COMPUTED_VALUE"""),1)</f>
        <v>1</v>
      </c>
      <c r="D8409" s="8">
        <f ca="1">IFERROR(__xludf.DUMMYFUNCTION("""COMPUTED_VALUE"""),5)</f>
        <v>5</v>
      </c>
      <c r="E8409" s="2">
        <f ca="1">IFERROR(__xludf.DUMMYFUNCTION("""COMPUTED_VALUE"""),2)</f>
        <v>2</v>
      </c>
    </row>
    <row r="8410" spans="1:5" ht="13">
      <c r="A8410" s="2" t="str">
        <f ca="1">IFERROR(__xludf.DUMMYFUNCTION("""COMPUTED_VALUE"""),"Wagner, Joseph")</f>
        <v>Wagner, Joseph</v>
      </c>
      <c r="B8410" s="2">
        <f ca="1">IFERROR(__xludf.DUMMYFUNCTION("""COMPUTED_VALUE"""),1)</f>
        <v>1</v>
      </c>
      <c r="C8410" s="2">
        <f ca="1">IFERROR(__xludf.DUMMYFUNCTION("""COMPUTED_VALUE"""),1)</f>
        <v>1</v>
      </c>
      <c r="D8410" s="8">
        <f ca="1">IFERROR(__xludf.DUMMYFUNCTION("""COMPUTED_VALUE"""),5)</f>
        <v>5</v>
      </c>
      <c r="E8410" s="2">
        <f ca="1">IFERROR(__xludf.DUMMYFUNCTION("""COMPUTED_VALUE"""),2)</f>
        <v>2</v>
      </c>
    </row>
    <row r="8411" spans="1:5" ht="13">
      <c r="A8411" s="2" t="str">
        <f ca="1">IFERROR(__xludf.DUMMYFUNCTION("""COMPUTED_VALUE"""),"Wagner, Richard")</f>
        <v>Wagner, Richard</v>
      </c>
      <c r="B8411" s="3">
        <f ca="1">IFERROR(__xludf.DUMMYFUNCTION("""COMPUTED_VALUE"""),1)</f>
        <v>1</v>
      </c>
      <c r="C8411" s="7">
        <f ca="1">IFERROR(__xludf.DUMMYFUNCTION("""COMPUTED_VALUE"""),1)</f>
        <v>1</v>
      </c>
      <c r="D8411" s="8">
        <f ca="1">IFERROR(__xludf.DUMMYFUNCTION("""COMPUTED_VALUE"""),5)</f>
        <v>5</v>
      </c>
      <c r="E8411" s="2">
        <f ca="1">IFERROR(__xludf.DUMMYFUNCTION("""COMPUTED_VALUE"""),2)</f>
        <v>2</v>
      </c>
    </row>
    <row r="8412" spans="1:5" ht="13">
      <c r="A8412" s="2" t="str">
        <f ca="1">IFERROR(__xludf.DUMMYFUNCTION("""COMPUTED_VALUE"""),"Wagner, Richard / Cheyette, Irving")</f>
        <v>Wagner, Richard / Cheyette, Irving</v>
      </c>
      <c r="B8412" s="2">
        <f ca="1">IFERROR(__xludf.DUMMYFUNCTION("""COMPUTED_VALUE"""),1)</f>
        <v>1</v>
      </c>
      <c r="C8412" s="2">
        <f ca="1">IFERROR(__xludf.DUMMYFUNCTION("""COMPUTED_VALUE"""),1)</f>
        <v>1</v>
      </c>
      <c r="D8412" s="8">
        <f ca="1">IFERROR(__xludf.DUMMYFUNCTION("""COMPUTED_VALUE"""),5)</f>
        <v>5</v>
      </c>
      <c r="E8412" s="2">
        <f ca="1">IFERROR(__xludf.DUMMYFUNCTION("""COMPUTED_VALUE"""),2)</f>
        <v>2</v>
      </c>
    </row>
    <row r="8413" spans="1:5" ht="13">
      <c r="A8413" s="2" t="str">
        <f ca="1">IFERROR(__xludf.DUMMYFUNCTION("""COMPUTED_VALUE"""),"Wagner, Roger")</f>
        <v>Wagner, Roger</v>
      </c>
      <c r="B8413" s="2">
        <f ca="1">IFERROR(__xludf.DUMMYFUNCTION("""COMPUTED_VALUE"""),1)</f>
        <v>1</v>
      </c>
      <c r="C8413" s="7">
        <f ca="1">IFERROR(__xludf.DUMMYFUNCTION("""COMPUTED_VALUE"""),1)</f>
        <v>1</v>
      </c>
      <c r="D8413" s="8">
        <f ca="1">IFERROR(__xludf.DUMMYFUNCTION("""COMPUTED_VALUE"""),5)</f>
        <v>5</v>
      </c>
      <c r="E8413" s="2">
        <f ca="1">IFERROR(__xludf.DUMMYFUNCTION("""COMPUTED_VALUE"""),2)</f>
        <v>2</v>
      </c>
    </row>
    <row r="8414" spans="1:5" ht="13">
      <c r="A8414" s="2" t="str">
        <f ca="1">IFERROR(__xludf.DUMMYFUNCTION("""COMPUTED_VALUE"""),"Wagner, Roger / Ahrold, Frank")</f>
        <v>Wagner, Roger / Ahrold, Frank</v>
      </c>
      <c r="B8414" s="2">
        <f ca="1">IFERROR(__xludf.DUMMYFUNCTION("""COMPUTED_VALUE"""),1)</f>
        <v>1</v>
      </c>
      <c r="C8414" s="7">
        <f ca="1">IFERROR(__xludf.DUMMYFUNCTION("""COMPUTED_VALUE"""),1)</f>
        <v>1</v>
      </c>
      <c r="D8414" s="8">
        <f ca="1">IFERROR(__xludf.DUMMYFUNCTION("""COMPUTED_VALUE"""),5)</f>
        <v>5</v>
      </c>
      <c r="E8414" s="2">
        <f ca="1">IFERROR(__xludf.DUMMYFUNCTION("""COMPUTED_VALUE"""),2)</f>
        <v>2</v>
      </c>
    </row>
    <row r="8415" spans="1:5" ht="13">
      <c r="A8415" s="2" t="str">
        <f ca="1">IFERROR(__xludf.DUMMYFUNCTION("""COMPUTED_VALUE"""),"Wagner, Siegfried")</f>
        <v>Wagner, Siegfried</v>
      </c>
      <c r="B8415" s="3">
        <f ca="1">IFERROR(__xludf.DUMMYFUNCTION("""COMPUTED_VALUE"""),1)</f>
        <v>1</v>
      </c>
      <c r="C8415" s="7">
        <f ca="1">IFERROR(__xludf.DUMMYFUNCTION("""COMPUTED_VALUE"""),1)</f>
        <v>1</v>
      </c>
      <c r="D8415" s="8">
        <f ca="1">IFERROR(__xludf.DUMMYFUNCTION("""COMPUTED_VALUE"""),5)</f>
        <v>5</v>
      </c>
      <c r="E8415" s="2">
        <f ca="1">IFERROR(__xludf.DUMMYFUNCTION("""COMPUTED_VALUE"""),2)</f>
        <v>2</v>
      </c>
    </row>
    <row r="8416" spans="1:5" ht="13">
      <c r="A8416" s="8" t="str">
        <f ca="1">IFERROR(__xludf.DUMMYFUNCTION("""COMPUTED_VALUE"""),"Wahlund, Ben")</f>
        <v>Wahlund, Ben</v>
      </c>
      <c r="B8416" s="3">
        <f ca="1">IFERROR(__xludf.DUMMYFUNCTION("""COMPUTED_VALUE"""),1)</f>
        <v>1</v>
      </c>
      <c r="C8416" s="7">
        <f ca="1">IFERROR(__xludf.DUMMYFUNCTION("""COMPUTED_VALUE"""),1)</f>
        <v>1</v>
      </c>
      <c r="D8416" s="8">
        <f ca="1">IFERROR(__xludf.DUMMYFUNCTION("""COMPUTED_VALUE"""),1)</f>
        <v>1</v>
      </c>
      <c r="E8416" s="2">
        <f ca="1">IFERROR(__xludf.DUMMYFUNCTION("""COMPUTED_VALUE"""),1)</f>
        <v>1</v>
      </c>
    </row>
    <row r="8417" spans="1:5" ht="13">
      <c r="A8417" s="2" t="str">
        <f ca="1">IFERROR(__xludf.DUMMYFUNCTION("""COMPUTED_VALUE"""),"Waignein, Andre")</f>
        <v>Waignein, Andre</v>
      </c>
      <c r="B8417" s="3">
        <f ca="1">IFERROR(__xludf.DUMMYFUNCTION("""COMPUTED_VALUE"""),1)</f>
        <v>1</v>
      </c>
      <c r="C8417" s="7">
        <f ca="1">IFERROR(__xludf.DUMMYFUNCTION("""COMPUTED_VALUE"""),1)</f>
        <v>1</v>
      </c>
      <c r="D8417" s="8">
        <f ca="1">IFERROR(__xludf.DUMMYFUNCTION("""COMPUTED_VALUE"""),5)</f>
        <v>5</v>
      </c>
      <c r="E8417" s="2">
        <f ca="1">IFERROR(__xludf.DUMMYFUNCTION("""COMPUTED_VALUE"""),2)</f>
        <v>2</v>
      </c>
    </row>
    <row r="8418" spans="1:5" ht="13">
      <c r="A8418" s="8" t="str">
        <f ca="1">IFERROR(__xludf.DUMMYFUNCTION("""COMPUTED_VALUE"""),"Wainwright, Andrew")</f>
        <v>Wainwright, Andrew</v>
      </c>
      <c r="B8418" s="3">
        <f ca="1">IFERROR(__xludf.DUMMYFUNCTION("""COMPUTED_VALUE"""),1)</f>
        <v>1</v>
      </c>
      <c r="C8418" s="7">
        <f ca="1">IFERROR(__xludf.DUMMYFUNCTION("""COMPUTED_VALUE"""),1)</f>
        <v>1</v>
      </c>
      <c r="D8418" s="8">
        <f ca="1">IFERROR(__xludf.DUMMYFUNCTION("""COMPUTED_VALUE"""),1)</f>
        <v>1</v>
      </c>
      <c r="E8418" s="2">
        <f ca="1">IFERROR(__xludf.DUMMYFUNCTION("""COMPUTED_VALUE"""),1)</f>
        <v>1</v>
      </c>
    </row>
    <row r="8419" spans="1:5" ht="13">
      <c r="A8419" s="8" t="str">
        <f ca="1">IFERROR(__xludf.DUMMYFUNCTION("""COMPUTED_VALUE"""),"Wainwright, Rufus")</f>
        <v>Wainwright, Rufus</v>
      </c>
      <c r="B8419" s="3">
        <f ca="1">IFERROR(__xludf.DUMMYFUNCTION("""COMPUTED_VALUE"""),1)</f>
        <v>1</v>
      </c>
      <c r="C8419" s="7">
        <f ca="1">IFERROR(__xludf.DUMMYFUNCTION("""COMPUTED_VALUE"""),1)</f>
        <v>1</v>
      </c>
      <c r="D8419" s="8">
        <f ca="1">IFERROR(__xludf.DUMMYFUNCTION("""COMPUTED_VALUE"""),1)</f>
        <v>1</v>
      </c>
      <c r="E8419" s="2">
        <f ca="1">IFERROR(__xludf.DUMMYFUNCTION("""COMPUTED_VALUE"""),1)</f>
        <v>1</v>
      </c>
    </row>
    <row r="8420" spans="1:5" ht="13">
      <c r="A8420" s="2" t="str">
        <f ca="1">IFERROR(__xludf.DUMMYFUNCTION("""COMPUTED_VALUE"""),"Waksman, Fabien")</f>
        <v>Waksman, Fabien</v>
      </c>
      <c r="B8420" s="2">
        <f ca="1">IFERROR(__xludf.DUMMYFUNCTION("""COMPUTED_VALUE"""),1)</f>
        <v>1</v>
      </c>
      <c r="C8420" s="2">
        <f ca="1">IFERROR(__xludf.DUMMYFUNCTION("""COMPUTED_VALUE"""),1)</f>
        <v>1</v>
      </c>
      <c r="D8420" s="8">
        <f ca="1">IFERROR(__xludf.DUMMYFUNCTION("""COMPUTED_VALUE"""),1)</f>
        <v>1</v>
      </c>
      <c r="E8420" s="2">
        <f ca="1">IFERROR(__xludf.DUMMYFUNCTION("""COMPUTED_VALUE"""),1)</f>
        <v>1</v>
      </c>
    </row>
    <row r="8421" spans="1:5" ht="13">
      <c r="A8421" s="2" t="str">
        <f ca="1">IFERROR(__xludf.DUMMYFUNCTION("""COMPUTED_VALUE"""),"Walczyk, Kevin")</f>
        <v>Walczyk, Kevin</v>
      </c>
      <c r="B8421" s="3">
        <f ca="1">IFERROR(__xludf.DUMMYFUNCTION("""COMPUTED_VALUE"""),1)</f>
        <v>1</v>
      </c>
      <c r="C8421" s="7">
        <f ca="1">IFERROR(__xludf.DUMMYFUNCTION("""COMPUTED_VALUE"""),1)</f>
        <v>1</v>
      </c>
      <c r="D8421" s="8">
        <f ca="1">IFERROR(__xludf.DUMMYFUNCTION("""COMPUTED_VALUE"""),1)</f>
        <v>1</v>
      </c>
      <c r="E8421" s="2">
        <f ca="1">IFERROR(__xludf.DUMMYFUNCTION("""COMPUTED_VALUE"""),1)</f>
        <v>1</v>
      </c>
    </row>
    <row r="8422" spans="1:5" ht="13">
      <c r="A8422" s="2" t="str">
        <f ca="1">IFERROR(__xludf.DUMMYFUNCTION("""COMPUTED_VALUE"""),"Walczyk, Kevin M.")</f>
        <v>Walczyk, Kevin M.</v>
      </c>
      <c r="B8422" s="2">
        <f ca="1">IFERROR(__xludf.DUMMYFUNCTION("""COMPUTED_VALUE"""),1)</f>
        <v>1</v>
      </c>
      <c r="C8422" s="7">
        <f ca="1">IFERROR(__xludf.DUMMYFUNCTION("""COMPUTED_VALUE"""),1)</f>
        <v>1</v>
      </c>
      <c r="D8422" s="8">
        <f ca="1">IFERROR(__xludf.DUMMYFUNCTION("""COMPUTED_VALUE"""),1)</f>
        <v>1</v>
      </c>
      <c r="E8422" s="2">
        <f ca="1">IFERROR(__xludf.DUMMYFUNCTION("""COMPUTED_VALUE"""),1)</f>
        <v>1</v>
      </c>
    </row>
    <row r="8423" spans="1:5" ht="13">
      <c r="A8423" s="2" t="str">
        <f ca="1">IFERROR(__xludf.DUMMYFUNCTION("""COMPUTED_VALUE"""),"Walden, Chris")</f>
        <v>Walden, Chris</v>
      </c>
      <c r="B8423" s="3">
        <f ca="1">IFERROR(__xludf.DUMMYFUNCTION("""COMPUTED_VALUE"""),1)</f>
        <v>1</v>
      </c>
      <c r="C8423" s="7">
        <f ca="1">IFERROR(__xludf.DUMMYFUNCTION("""COMPUTED_VALUE"""),1)</f>
        <v>1</v>
      </c>
      <c r="D8423" s="8">
        <f ca="1">IFERROR(__xludf.DUMMYFUNCTION("""COMPUTED_VALUE"""),1)</f>
        <v>1</v>
      </c>
      <c r="E8423" s="2">
        <f ca="1">IFERROR(__xludf.DUMMYFUNCTION("""COMPUTED_VALUE"""),1)</f>
        <v>1</v>
      </c>
    </row>
    <row r="8424" spans="1:5" ht="13">
      <c r="A8424" s="2" t="str">
        <f ca="1">IFERROR(__xludf.DUMMYFUNCTION("""COMPUTED_VALUE"""),"Waldrop, Michael")</f>
        <v>Waldrop, Michael</v>
      </c>
      <c r="B8424" s="2">
        <f ca="1">IFERROR(__xludf.DUMMYFUNCTION("""COMPUTED_VALUE"""),1)</f>
        <v>1</v>
      </c>
      <c r="C8424" s="7">
        <f ca="1">IFERROR(__xludf.DUMMYFUNCTION("""COMPUTED_VALUE"""),1)</f>
        <v>1</v>
      </c>
      <c r="D8424" s="8">
        <f ca="1">IFERROR(__xludf.DUMMYFUNCTION("""COMPUTED_VALUE"""),1)</f>
        <v>1</v>
      </c>
      <c r="E8424" s="2">
        <f ca="1">IFERROR(__xludf.DUMMYFUNCTION("""COMPUTED_VALUE"""),1)</f>
        <v>1</v>
      </c>
    </row>
    <row r="8425" spans="1:5" ht="13">
      <c r="A8425" s="2" t="str">
        <f ca="1">IFERROR(__xludf.DUMMYFUNCTION("""COMPUTED_VALUE"""),"Waldteufel, Emil")</f>
        <v>Waldteufel, Emil</v>
      </c>
      <c r="B8425" s="3">
        <f ca="1">IFERROR(__xludf.DUMMYFUNCTION("""COMPUTED_VALUE"""),1)</f>
        <v>1</v>
      </c>
      <c r="C8425" s="7">
        <f ca="1">IFERROR(__xludf.DUMMYFUNCTION("""COMPUTED_VALUE"""),1)</f>
        <v>1</v>
      </c>
      <c r="D8425" s="8">
        <f ca="1">IFERROR(__xludf.DUMMYFUNCTION("""COMPUTED_VALUE"""),5)</f>
        <v>5</v>
      </c>
      <c r="E8425" s="2">
        <f ca="1">IFERROR(__xludf.DUMMYFUNCTION("""COMPUTED_VALUE"""),2)</f>
        <v>2</v>
      </c>
    </row>
    <row r="8426" spans="1:5" ht="13">
      <c r="A8426" s="2" t="str">
        <f ca="1">IFERROR(__xludf.DUMMYFUNCTION("""COMPUTED_VALUE"""),"Waldteufel, Emile")</f>
        <v>Waldteufel, Emile</v>
      </c>
      <c r="B8426" s="3">
        <f ca="1">IFERROR(__xludf.DUMMYFUNCTION("""COMPUTED_VALUE"""),1)</f>
        <v>1</v>
      </c>
      <c r="C8426" s="7">
        <f ca="1">IFERROR(__xludf.DUMMYFUNCTION("""COMPUTED_VALUE"""),1)</f>
        <v>1</v>
      </c>
      <c r="D8426" s="8">
        <f ca="1">IFERROR(__xludf.DUMMYFUNCTION("""COMPUTED_VALUE"""),5)</f>
        <v>5</v>
      </c>
      <c r="E8426" s="2">
        <f ca="1">IFERROR(__xludf.DUMMYFUNCTION("""COMPUTED_VALUE"""),2)</f>
        <v>2</v>
      </c>
    </row>
    <row r="8427" spans="1:5" ht="13">
      <c r="A8427" s="2" t="str">
        <f ca="1">IFERROR(__xludf.DUMMYFUNCTION("""COMPUTED_VALUE"""),"Walker, Cliff")</f>
        <v>Walker, Cliff</v>
      </c>
      <c r="B8427" s="3">
        <f ca="1">IFERROR(__xludf.DUMMYFUNCTION("""COMPUTED_VALUE"""),1)</f>
        <v>1</v>
      </c>
      <c r="C8427" s="7">
        <f ca="1">IFERROR(__xludf.DUMMYFUNCTION("""COMPUTED_VALUE"""),1)</f>
        <v>1</v>
      </c>
      <c r="D8427" s="8">
        <f ca="1">IFERROR(__xludf.DUMMYFUNCTION("""COMPUTED_VALUE"""),1)</f>
        <v>1</v>
      </c>
      <c r="E8427" s="2">
        <f ca="1">IFERROR(__xludf.DUMMYFUNCTION("""COMPUTED_VALUE"""),1)</f>
        <v>1</v>
      </c>
    </row>
    <row r="8428" spans="1:5" ht="13">
      <c r="A8428" s="2" t="str">
        <f ca="1">IFERROR(__xludf.DUMMYFUNCTION("""COMPUTED_VALUE"""),"Walker, Gregory T.S.")</f>
        <v>Walker, Gregory T.S.</v>
      </c>
      <c r="B8428" s="3">
        <f ca="1">IFERROR(__xludf.DUMMYFUNCTION("""COMPUTED_VALUE"""),1)</f>
        <v>1</v>
      </c>
      <c r="C8428" s="7">
        <f ca="1">IFERROR(__xludf.DUMMYFUNCTION("""COMPUTED_VALUE"""),1)</f>
        <v>1</v>
      </c>
      <c r="D8428" s="8">
        <f ca="1">IFERROR(__xludf.DUMMYFUNCTION("""COMPUTED_VALUE"""),1)</f>
        <v>1</v>
      </c>
      <c r="E8428" s="2">
        <f ca="1">IFERROR(__xludf.DUMMYFUNCTION("""COMPUTED_VALUE"""),1)</f>
        <v>1</v>
      </c>
    </row>
    <row r="8429" spans="1:5" ht="13">
      <c r="A8429" s="2" t="str">
        <f ca="1">IFERROR(__xludf.DUMMYFUNCTION("""COMPUTED_VALUE"""),"Walker, Josh")</f>
        <v>Walker, Josh</v>
      </c>
      <c r="B8429" s="2">
        <f ca="1">IFERROR(__xludf.DUMMYFUNCTION("""COMPUTED_VALUE"""),1)</f>
        <v>1</v>
      </c>
      <c r="C8429" s="7">
        <f ca="1">IFERROR(__xludf.DUMMYFUNCTION("""COMPUTED_VALUE"""),1)</f>
        <v>1</v>
      </c>
      <c r="D8429" s="8">
        <f ca="1">IFERROR(__xludf.DUMMYFUNCTION("""COMPUTED_VALUE"""),1)</f>
        <v>1</v>
      </c>
      <c r="E8429" s="2">
        <f ca="1">IFERROR(__xludf.DUMMYFUNCTION("""COMPUTED_VALUE"""),1)</f>
        <v>1</v>
      </c>
    </row>
    <row r="8430" spans="1:5" ht="13">
      <c r="A8430" s="2" t="str">
        <f ca="1">IFERROR(__xludf.DUMMYFUNCTION("""COMPUTED_VALUE"""),"Walker, Mark E.")</f>
        <v>Walker, Mark E.</v>
      </c>
      <c r="B8430" s="3">
        <f ca="1">IFERROR(__xludf.DUMMYFUNCTION("""COMPUTED_VALUE"""),1)</f>
        <v>1</v>
      </c>
      <c r="C8430" s="7">
        <f ca="1">IFERROR(__xludf.DUMMYFUNCTION("""COMPUTED_VALUE"""),1)</f>
        <v>1</v>
      </c>
      <c r="D8430" s="8">
        <f ca="1">IFERROR(__xludf.DUMMYFUNCTION("""COMPUTED_VALUE"""),1)</f>
        <v>1</v>
      </c>
      <c r="E8430" s="2">
        <f ca="1">IFERROR(__xludf.DUMMYFUNCTION("""COMPUTED_VALUE"""),1)</f>
        <v>1</v>
      </c>
    </row>
    <row r="8431" spans="1:5" ht="13">
      <c r="A8431" s="2" t="str">
        <f ca="1">IFERROR(__xludf.DUMMYFUNCTION("""COMPUTED_VALUE"""),"Walker, Matt")</f>
        <v>Walker, Matt</v>
      </c>
      <c r="B8431" s="3">
        <f ca="1">IFERROR(__xludf.DUMMYFUNCTION("""COMPUTED_VALUE"""),1)</f>
        <v>1</v>
      </c>
      <c r="C8431" s="7">
        <f ca="1">IFERROR(__xludf.DUMMYFUNCTION("""COMPUTED_VALUE"""),1)</f>
        <v>1</v>
      </c>
      <c r="D8431" s="8">
        <f ca="1">IFERROR(__xludf.DUMMYFUNCTION("""COMPUTED_VALUE"""),1)</f>
        <v>1</v>
      </c>
      <c r="E8431" s="2">
        <f ca="1">IFERROR(__xludf.DUMMYFUNCTION("""COMPUTED_VALUE"""),1)</f>
        <v>1</v>
      </c>
    </row>
    <row r="8432" spans="1:5" ht="13">
      <c r="A8432" s="2" t="str">
        <f ca="1">IFERROR(__xludf.DUMMYFUNCTION("""COMPUTED_VALUE"""),"Walker, Robert")</f>
        <v>Walker, Robert</v>
      </c>
      <c r="B8432" s="3">
        <f ca="1">IFERROR(__xludf.DUMMYFUNCTION("""COMPUTED_VALUE"""),1)</f>
        <v>1</v>
      </c>
      <c r="C8432" s="7">
        <f ca="1">IFERROR(__xludf.DUMMYFUNCTION("""COMPUTED_VALUE"""),1)</f>
        <v>1</v>
      </c>
      <c r="D8432" s="8">
        <f ca="1">IFERROR(__xludf.DUMMYFUNCTION("""COMPUTED_VALUE"""),1)</f>
        <v>1</v>
      </c>
      <c r="E8432" s="2">
        <f ca="1">IFERROR(__xludf.DUMMYFUNCTION("""COMPUTED_VALUE"""),1)</f>
        <v>1</v>
      </c>
    </row>
    <row r="8433" spans="1:5" ht="13">
      <c r="A8433" s="8" t="str">
        <f ca="1">IFERROR(__xludf.DUMMYFUNCTION("""COMPUTED_VALUE"""),"Walker, Rod")</f>
        <v>Walker, Rod</v>
      </c>
      <c r="B8433" s="3">
        <f ca="1">IFERROR(__xludf.DUMMYFUNCTION("""COMPUTED_VALUE"""),1)</f>
        <v>1</v>
      </c>
      <c r="C8433" s="7">
        <f ca="1">IFERROR(__xludf.DUMMYFUNCTION("""COMPUTED_VALUE"""),1)</f>
        <v>1</v>
      </c>
      <c r="D8433" s="8">
        <f ca="1">IFERROR(__xludf.DUMMYFUNCTION("""COMPUTED_VALUE"""),5)</f>
        <v>5</v>
      </c>
      <c r="E8433" s="2">
        <f ca="1">IFERROR(__xludf.DUMMYFUNCTION("""COMPUTED_VALUE"""),2)</f>
        <v>2</v>
      </c>
    </row>
    <row r="8434" spans="1:5" ht="13">
      <c r="A8434" s="2" t="str">
        <f ca="1">IFERROR(__xludf.DUMMYFUNCTION("""COMPUTED_VALUE"""),"Walker, William")</f>
        <v>Walker, William</v>
      </c>
      <c r="B8434" s="3">
        <f ca="1">IFERROR(__xludf.DUMMYFUNCTION("""COMPUTED_VALUE"""),1)</f>
        <v>1</v>
      </c>
      <c r="C8434" s="7">
        <f ca="1">IFERROR(__xludf.DUMMYFUNCTION("""COMPUTED_VALUE"""),1)</f>
        <v>1</v>
      </c>
      <c r="D8434" s="8">
        <f ca="1">IFERROR(__xludf.DUMMYFUNCTION("""COMPUTED_VALUE"""),5)</f>
        <v>5</v>
      </c>
      <c r="E8434" s="2">
        <f ca="1">IFERROR(__xludf.DUMMYFUNCTION("""COMPUTED_VALUE"""),2)</f>
        <v>2</v>
      </c>
    </row>
    <row r="8435" spans="1:5" ht="13">
      <c r="A8435" s="2" t="str">
        <f ca="1">IFERROR(__xludf.DUMMYFUNCTION("""COMPUTED_VALUE"""),"Wall, Robert")</f>
        <v>Wall, Robert</v>
      </c>
      <c r="B8435" s="3">
        <f ca="1">IFERROR(__xludf.DUMMYFUNCTION("""COMPUTED_VALUE"""),1)</f>
        <v>1</v>
      </c>
      <c r="C8435" s="7">
        <f ca="1">IFERROR(__xludf.DUMMYFUNCTION("""COMPUTED_VALUE"""),1)</f>
        <v>1</v>
      </c>
      <c r="D8435" s="8">
        <f ca="1">IFERROR(__xludf.DUMMYFUNCTION("""COMPUTED_VALUE"""),1)</f>
        <v>1</v>
      </c>
      <c r="E8435" s="2">
        <f ca="1">IFERROR(__xludf.DUMMYFUNCTION("""COMPUTED_VALUE"""),1)</f>
        <v>1</v>
      </c>
    </row>
    <row r="8436" spans="1:5" ht="13">
      <c r="A8436" s="2" t="str">
        <f ca="1">IFERROR(__xludf.DUMMYFUNCTION("""COMPUTED_VALUE"""),"Wallace, David")</f>
        <v>Wallace, David</v>
      </c>
      <c r="B8436" s="3">
        <f ca="1">IFERROR(__xludf.DUMMYFUNCTION("""COMPUTED_VALUE"""),1)</f>
        <v>1</v>
      </c>
      <c r="C8436" s="7">
        <f ca="1">IFERROR(__xludf.DUMMYFUNCTION("""COMPUTED_VALUE"""),1)</f>
        <v>1</v>
      </c>
      <c r="D8436" s="8">
        <f ca="1">IFERROR(__xludf.DUMMYFUNCTION("""COMPUTED_VALUE"""),1)</f>
        <v>1</v>
      </c>
      <c r="E8436" s="2">
        <f ca="1">IFERROR(__xludf.DUMMYFUNCTION("""COMPUTED_VALUE"""),1)</f>
        <v>1</v>
      </c>
    </row>
    <row r="8437" spans="1:5" ht="13">
      <c r="A8437" s="8" t="str">
        <f ca="1">IFERROR(__xludf.DUMMYFUNCTION("""COMPUTED_VALUE"""),"Wallace, Stewart")</f>
        <v>Wallace, Stewart</v>
      </c>
      <c r="B8437" s="3">
        <f ca="1">IFERROR(__xludf.DUMMYFUNCTION("""COMPUTED_VALUE"""),1)</f>
        <v>1</v>
      </c>
      <c r="C8437" s="7">
        <f ca="1">IFERROR(__xludf.DUMMYFUNCTION("""COMPUTED_VALUE"""),1)</f>
        <v>1</v>
      </c>
      <c r="D8437" s="8">
        <f ca="1">IFERROR(__xludf.DUMMYFUNCTION("""COMPUTED_VALUE"""),1)</f>
        <v>1</v>
      </c>
      <c r="E8437" s="2">
        <f ca="1">IFERROR(__xludf.DUMMYFUNCTION("""COMPUTED_VALUE"""),1)</f>
        <v>1</v>
      </c>
    </row>
    <row r="8438" spans="1:5" ht="13">
      <c r="A8438" s="2" t="str">
        <f ca="1">IFERROR(__xludf.DUMMYFUNCTION("""COMPUTED_VALUE"""),"Wallace, Tom")</f>
        <v>Wallace, Tom</v>
      </c>
      <c r="B8438" s="3">
        <f ca="1">IFERROR(__xludf.DUMMYFUNCTION("""COMPUTED_VALUE"""),1)</f>
        <v>1</v>
      </c>
      <c r="C8438" s="7">
        <f ca="1">IFERROR(__xludf.DUMMYFUNCTION("""COMPUTED_VALUE"""),1)</f>
        <v>1</v>
      </c>
      <c r="D8438" s="8">
        <f ca="1">IFERROR(__xludf.DUMMYFUNCTION("""COMPUTED_VALUE"""),1)</f>
        <v>1</v>
      </c>
      <c r="E8438" s="2">
        <f ca="1">IFERROR(__xludf.DUMMYFUNCTION("""COMPUTED_VALUE"""),1)</f>
        <v>1</v>
      </c>
    </row>
    <row r="8439" spans="1:5" ht="13">
      <c r="A8439" s="2" t="str">
        <f ca="1">IFERROR(__xludf.DUMMYFUNCTION("""COMPUTED_VALUE"""),"Wallin, Rolf")</f>
        <v>Wallin, Rolf</v>
      </c>
      <c r="B8439" s="3">
        <f ca="1">IFERROR(__xludf.DUMMYFUNCTION("""COMPUTED_VALUE"""),1)</f>
        <v>1</v>
      </c>
      <c r="C8439" s="7">
        <f ca="1">IFERROR(__xludf.DUMMYFUNCTION("""COMPUTED_VALUE"""),1)</f>
        <v>1</v>
      </c>
      <c r="D8439" s="8">
        <f ca="1">IFERROR(__xludf.DUMMYFUNCTION("""COMPUTED_VALUE"""),1)</f>
        <v>1</v>
      </c>
      <c r="E8439" s="2">
        <f ca="1">IFERROR(__xludf.DUMMYFUNCTION("""COMPUTED_VALUE"""),1)</f>
        <v>1</v>
      </c>
    </row>
    <row r="8440" spans="1:5" ht="13">
      <c r="A8440" s="2" t="str">
        <f ca="1">IFERROR(__xludf.DUMMYFUNCTION("""COMPUTED_VALUE"""),"Wallington, George")</f>
        <v>Wallington, George</v>
      </c>
      <c r="B8440" s="3">
        <f ca="1">IFERROR(__xludf.DUMMYFUNCTION("""COMPUTED_VALUE"""),1)</f>
        <v>1</v>
      </c>
      <c r="C8440" s="7">
        <f ca="1">IFERROR(__xludf.DUMMYFUNCTION("""COMPUTED_VALUE"""),1)</f>
        <v>1</v>
      </c>
      <c r="D8440" s="8">
        <f ca="1">IFERROR(__xludf.DUMMYFUNCTION("""COMPUTED_VALUE"""),5)</f>
        <v>5</v>
      </c>
      <c r="E8440" s="2">
        <f ca="1">IFERROR(__xludf.DUMMYFUNCTION("""COMPUTED_VALUE"""),2)</f>
        <v>2</v>
      </c>
    </row>
    <row r="8441" spans="1:5" ht="13">
      <c r="A8441" s="2" t="str">
        <f ca="1">IFERROR(__xludf.DUMMYFUNCTION("""COMPUTED_VALUE"""),"Wallmark, Zach")</f>
        <v>Wallmark, Zach</v>
      </c>
      <c r="B8441" s="3">
        <f ca="1">IFERROR(__xludf.DUMMYFUNCTION("""COMPUTED_VALUE"""),1)</f>
        <v>1</v>
      </c>
      <c r="C8441" s="7">
        <f ca="1">IFERROR(__xludf.DUMMYFUNCTION("""COMPUTED_VALUE"""),1)</f>
        <v>1</v>
      </c>
      <c r="D8441" s="8">
        <f ca="1">IFERROR(__xludf.DUMMYFUNCTION("""COMPUTED_VALUE"""),1)</f>
        <v>1</v>
      </c>
      <c r="E8441" s="2">
        <f ca="1">IFERROR(__xludf.DUMMYFUNCTION("""COMPUTED_VALUE"""),1)</f>
        <v>1</v>
      </c>
    </row>
    <row r="8442" spans="1:5" ht="13">
      <c r="A8442" s="8" t="str">
        <f ca="1">IFERROR(__xludf.DUMMYFUNCTION("""COMPUTED_VALUE"""),"Walter, Daniel")</f>
        <v>Walter, Daniel</v>
      </c>
      <c r="B8442" s="3">
        <f ca="1">IFERROR(__xludf.DUMMYFUNCTION("""COMPUTED_VALUE"""),1)</f>
        <v>1</v>
      </c>
      <c r="C8442" s="7">
        <f ca="1">IFERROR(__xludf.DUMMYFUNCTION("""COMPUTED_VALUE"""),1)</f>
        <v>1</v>
      </c>
      <c r="D8442" s="8">
        <f ca="1">IFERROR(__xludf.DUMMYFUNCTION("""COMPUTED_VALUE"""),1)</f>
        <v>1</v>
      </c>
      <c r="E8442" s="2">
        <f ca="1">IFERROR(__xludf.DUMMYFUNCTION("""COMPUTED_VALUE"""),1)</f>
        <v>1</v>
      </c>
    </row>
    <row r="8443" spans="1:5" ht="13">
      <c r="A8443" s="2" t="str">
        <f ca="1">IFERROR(__xludf.DUMMYFUNCTION("""COMPUTED_VALUE"""),"Walter, Johann")</f>
        <v>Walter, Johann</v>
      </c>
      <c r="B8443" s="3">
        <f ca="1">IFERROR(__xludf.DUMMYFUNCTION("""COMPUTED_VALUE"""),1)</f>
        <v>1</v>
      </c>
      <c r="C8443" s="7">
        <f ca="1">IFERROR(__xludf.DUMMYFUNCTION("""COMPUTED_VALUE"""),1)</f>
        <v>1</v>
      </c>
      <c r="D8443" s="8">
        <f ca="1">IFERROR(__xludf.DUMMYFUNCTION("""COMPUTED_VALUE"""),5)</f>
        <v>5</v>
      </c>
      <c r="E8443" s="2">
        <f ca="1">IFERROR(__xludf.DUMMYFUNCTION("""COMPUTED_VALUE"""),2)</f>
        <v>2</v>
      </c>
    </row>
    <row r="8444" spans="1:5" ht="13">
      <c r="A8444" s="8" t="str">
        <f ca="1">IFERROR(__xludf.DUMMYFUNCTION("""COMPUTED_VALUE"""),"Walter, Leroy")</f>
        <v>Walter, Leroy</v>
      </c>
      <c r="B8444" s="3">
        <f ca="1">IFERROR(__xludf.DUMMYFUNCTION("""COMPUTED_VALUE"""),1)</f>
        <v>1</v>
      </c>
      <c r="C8444" s="7">
        <f ca="1">IFERROR(__xludf.DUMMYFUNCTION("""COMPUTED_VALUE"""),1)</f>
        <v>1</v>
      </c>
      <c r="D8444" s="8">
        <f ca="1">IFERROR(__xludf.DUMMYFUNCTION("""COMPUTED_VALUE"""),5)</f>
        <v>5</v>
      </c>
      <c r="E8444" s="2">
        <f ca="1">IFERROR(__xludf.DUMMYFUNCTION("""COMPUTED_VALUE"""),2)</f>
        <v>2</v>
      </c>
    </row>
    <row r="8445" spans="1:5" ht="13">
      <c r="A8445" s="2" t="str">
        <f ca="1">IFERROR(__xludf.DUMMYFUNCTION("""COMPUTED_VALUE"""),"Walter, William Henry")</f>
        <v>Walter, William Henry</v>
      </c>
      <c r="B8445" s="3">
        <f ca="1">IFERROR(__xludf.DUMMYFUNCTION("""COMPUTED_VALUE"""),1)</f>
        <v>1</v>
      </c>
      <c r="C8445" s="7">
        <f ca="1">IFERROR(__xludf.DUMMYFUNCTION("""COMPUTED_VALUE"""),1)</f>
        <v>1</v>
      </c>
      <c r="D8445" s="8">
        <f ca="1">IFERROR(__xludf.DUMMYFUNCTION("""COMPUTED_VALUE"""),5)</f>
        <v>5</v>
      </c>
      <c r="E8445" s="2">
        <f ca="1">IFERROR(__xludf.DUMMYFUNCTION("""COMPUTED_VALUE"""),2)</f>
        <v>2</v>
      </c>
    </row>
    <row r="8446" spans="1:5" ht="13">
      <c r="A8446" s="2" t="str">
        <f ca="1">IFERROR(__xludf.DUMMYFUNCTION("""COMPUTED_VALUE"""),"Walters, Adam")</f>
        <v>Walters, Adam</v>
      </c>
      <c r="B8446" s="2">
        <f ca="1">IFERROR(__xludf.DUMMYFUNCTION("""COMPUTED_VALUE"""),1)</f>
        <v>1</v>
      </c>
      <c r="C8446" s="2">
        <f ca="1">IFERROR(__xludf.DUMMYFUNCTION("""COMPUTED_VALUE"""),1)</f>
        <v>1</v>
      </c>
      <c r="D8446" s="8">
        <f ca="1">IFERROR(__xludf.DUMMYFUNCTION("""COMPUTED_VALUE"""),1)</f>
        <v>1</v>
      </c>
      <c r="E8446" s="2">
        <f ca="1">IFERROR(__xludf.DUMMYFUNCTION("""COMPUTED_VALUE"""),1)</f>
        <v>1</v>
      </c>
    </row>
    <row r="8447" spans="1:5" ht="13">
      <c r="A8447" s="8" t="str">
        <f ca="1">IFERROR(__xludf.DUMMYFUNCTION("""COMPUTED_VALUE"""),"Walters, Edmund")</f>
        <v>Walters, Edmund</v>
      </c>
      <c r="B8447" s="3">
        <f ca="1">IFERROR(__xludf.DUMMYFUNCTION("""COMPUTED_VALUE"""),1)</f>
        <v>1</v>
      </c>
      <c r="C8447" s="7">
        <f ca="1">IFERROR(__xludf.DUMMYFUNCTION("""COMPUTED_VALUE"""),1)</f>
        <v>1</v>
      </c>
      <c r="D8447" s="8">
        <f ca="1">IFERROR(__xludf.DUMMYFUNCTION("""COMPUTED_VALUE"""),5)</f>
        <v>5</v>
      </c>
      <c r="E8447" s="2">
        <f ca="1">IFERROR(__xludf.DUMMYFUNCTION("""COMPUTED_VALUE"""),2)</f>
        <v>2</v>
      </c>
    </row>
    <row r="8448" spans="1:5" ht="13">
      <c r="A8448" s="2" t="str">
        <f ca="1">IFERROR(__xludf.DUMMYFUNCTION("""COMPUTED_VALUE"""),"Walters, Harold")</f>
        <v>Walters, Harold</v>
      </c>
      <c r="B8448" s="3">
        <f ca="1">IFERROR(__xludf.DUMMYFUNCTION("""COMPUTED_VALUE"""),1)</f>
        <v>1</v>
      </c>
      <c r="C8448" s="7">
        <f ca="1">IFERROR(__xludf.DUMMYFUNCTION("""COMPUTED_VALUE"""),1)</f>
        <v>1</v>
      </c>
      <c r="D8448" s="8">
        <f ca="1">IFERROR(__xludf.DUMMYFUNCTION("""COMPUTED_VALUE"""),5)</f>
        <v>5</v>
      </c>
      <c r="E8448" s="2">
        <f ca="1">IFERROR(__xludf.DUMMYFUNCTION("""COMPUTED_VALUE"""),2)</f>
        <v>2</v>
      </c>
    </row>
    <row r="8449" spans="1:5" ht="13">
      <c r="A8449" s="8" t="str">
        <f ca="1">IFERROR(__xludf.DUMMYFUNCTION("""COMPUTED_VALUE"""),"Walters, Harold L.")</f>
        <v>Walters, Harold L.</v>
      </c>
      <c r="B8449" s="3">
        <f ca="1">IFERROR(__xludf.DUMMYFUNCTION("""COMPUTED_VALUE"""),1)</f>
        <v>1</v>
      </c>
      <c r="C8449" s="7">
        <f ca="1">IFERROR(__xludf.DUMMYFUNCTION("""COMPUTED_VALUE"""),1)</f>
        <v>1</v>
      </c>
      <c r="D8449" s="8">
        <f ca="1">IFERROR(__xludf.DUMMYFUNCTION("""COMPUTED_VALUE"""),5)</f>
        <v>5</v>
      </c>
      <c r="E8449" s="2">
        <f ca="1">IFERROR(__xludf.DUMMYFUNCTION("""COMPUTED_VALUE"""),2)</f>
        <v>2</v>
      </c>
    </row>
    <row r="8450" spans="1:5" ht="13">
      <c r="A8450" s="2" t="str">
        <f ca="1">IFERROR(__xludf.DUMMYFUNCTION("""COMPUTED_VALUE"""),"Walters, John")</f>
        <v>Walters, John</v>
      </c>
      <c r="B8450" s="3">
        <f ca="1">IFERROR(__xludf.DUMMYFUNCTION("""COMPUTED_VALUE"""),1)</f>
        <v>1</v>
      </c>
      <c r="C8450" s="7">
        <f ca="1">IFERROR(__xludf.DUMMYFUNCTION("""COMPUTED_VALUE"""),1)</f>
        <v>1</v>
      </c>
      <c r="D8450" s="8">
        <f ca="1">IFERROR(__xludf.DUMMYFUNCTION("""COMPUTED_VALUE"""),1)</f>
        <v>1</v>
      </c>
      <c r="E8450" s="2">
        <f ca="1">IFERROR(__xludf.DUMMYFUNCTION("""COMPUTED_VALUE"""),1)</f>
        <v>1</v>
      </c>
    </row>
    <row r="8451" spans="1:5" ht="13">
      <c r="A8451" s="2" t="str">
        <f ca="1">IFERROR(__xludf.DUMMYFUNCTION("""COMPUTED_VALUE"""),"Walth, Gary Kent")</f>
        <v>Walth, Gary Kent</v>
      </c>
      <c r="B8451" s="3">
        <f ca="1">IFERROR(__xludf.DUMMYFUNCTION("""COMPUTED_VALUE"""),1)</f>
        <v>1</v>
      </c>
      <c r="C8451" s="7">
        <f ca="1">IFERROR(__xludf.DUMMYFUNCTION("""COMPUTED_VALUE"""),1)</f>
        <v>1</v>
      </c>
      <c r="D8451" s="8">
        <f ca="1">IFERROR(__xludf.DUMMYFUNCTION("""COMPUTED_VALUE"""),1)</f>
        <v>1</v>
      </c>
      <c r="E8451" s="2">
        <f ca="1">IFERROR(__xludf.DUMMYFUNCTION("""COMPUTED_VALUE"""),1)</f>
        <v>1</v>
      </c>
    </row>
    <row r="8452" spans="1:5" ht="13">
      <c r="A8452" s="2" t="str">
        <f ca="1">IFERROR(__xludf.DUMMYFUNCTION("""COMPUTED_VALUE"""),"Walton, William")</f>
        <v>Walton, William</v>
      </c>
      <c r="B8452" s="3">
        <f ca="1">IFERROR(__xludf.DUMMYFUNCTION("""COMPUTED_VALUE"""),1)</f>
        <v>1</v>
      </c>
      <c r="C8452" s="7">
        <f ca="1">IFERROR(__xludf.DUMMYFUNCTION("""COMPUTED_VALUE"""),1)</f>
        <v>1</v>
      </c>
      <c r="D8452" s="8">
        <f ca="1">IFERROR(__xludf.DUMMYFUNCTION("""COMPUTED_VALUE"""),5)</f>
        <v>5</v>
      </c>
      <c r="E8452" s="2">
        <f ca="1">IFERROR(__xludf.DUMMYFUNCTION("""COMPUTED_VALUE"""),2)</f>
        <v>2</v>
      </c>
    </row>
    <row r="8453" spans="1:5" ht="13">
      <c r="A8453" s="2" t="str">
        <f ca="1">IFERROR(__xludf.DUMMYFUNCTION("""COMPUTED_VALUE"""),"Waltzer, B.A. (aka John Kinyon)")</f>
        <v>Waltzer, B.A. (aka John Kinyon)</v>
      </c>
      <c r="B8453" s="2">
        <f ca="1">IFERROR(__xludf.DUMMYFUNCTION("""COMPUTED_VALUE"""),1)</f>
        <v>1</v>
      </c>
      <c r="C8453" s="7">
        <f ca="1">IFERROR(__xludf.DUMMYFUNCTION("""COMPUTED_VALUE"""),1)</f>
        <v>1</v>
      </c>
      <c r="D8453" s="8">
        <f ca="1">IFERROR(__xludf.DUMMYFUNCTION("""COMPUTED_VALUE"""),5)</f>
        <v>5</v>
      </c>
      <c r="E8453" s="2">
        <f ca="1">IFERROR(__xludf.DUMMYFUNCTION("""COMPUTED_VALUE"""),2)</f>
        <v>2</v>
      </c>
    </row>
    <row r="8454" spans="1:5" ht="13">
      <c r="A8454" s="8" t="str">
        <f ca="1">IFERROR(__xludf.DUMMYFUNCTION("""COMPUTED_VALUE"""),"Wampler, Steven")</f>
        <v>Wampler, Steven</v>
      </c>
      <c r="B8454" s="3">
        <f ca="1">IFERROR(__xludf.DUMMYFUNCTION("""COMPUTED_VALUE"""),1)</f>
        <v>1</v>
      </c>
      <c r="C8454" s="7">
        <f ca="1">IFERROR(__xludf.DUMMYFUNCTION("""COMPUTED_VALUE"""),1)</f>
        <v>1</v>
      </c>
      <c r="D8454" s="8">
        <f ca="1">IFERROR(__xludf.DUMMYFUNCTION("""COMPUTED_VALUE"""),1)</f>
        <v>1</v>
      </c>
      <c r="E8454" s="2">
        <f ca="1">IFERROR(__xludf.DUMMYFUNCTION("""COMPUTED_VALUE"""),1)</f>
        <v>1</v>
      </c>
    </row>
    <row r="8455" spans="1:5" ht="13">
      <c r="A8455" s="2" t="str">
        <f ca="1">IFERROR(__xludf.DUMMYFUNCTION("""COMPUTED_VALUE"""),"Wanamaker, Gregory")</f>
        <v>Wanamaker, Gregory</v>
      </c>
      <c r="B8455" s="3">
        <f ca="1">IFERROR(__xludf.DUMMYFUNCTION("""COMPUTED_VALUE"""),1)</f>
        <v>1</v>
      </c>
      <c r="C8455" s="7">
        <f ca="1">IFERROR(__xludf.DUMMYFUNCTION("""COMPUTED_VALUE"""),1)</f>
        <v>1</v>
      </c>
      <c r="D8455" s="8">
        <f ca="1">IFERROR(__xludf.DUMMYFUNCTION("""COMPUTED_VALUE"""),1)</f>
        <v>1</v>
      </c>
      <c r="E8455" s="2">
        <f ca="1">IFERROR(__xludf.DUMMYFUNCTION("""COMPUTED_VALUE"""),1)</f>
        <v>1</v>
      </c>
    </row>
    <row r="8456" spans="1:5" ht="13">
      <c r="A8456" s="2" t="str">
        <f ca="1">IFERROR(__xludf.DUMMYFUNCTION("""COMPUTED_VALUE"""),"Wanek, Freidrich")</f>
        <v>Wanek, Freidrich</v>
      </c>
      <c r="B8456" s="3">
        <f ca="1">IFERROR(__xludf.DUMMYFUNCTION("""COMPUTED_VALUE"""),1)</f>
        <v>1</v>
      </c>
      <c r="C8456" s="7">
        <f ca="1">IFERROR(__xludf.DUMMYFUNCTION("""COMPUTED_VALUE"""),1)</f>
        <v>1</v>
      </c>
      <c r="D8456" s="8">
        <f ca="1">IFERROR(__xludf.DUMMYFUNCTION("""COMPUTED_VALUE"""),5)</f>
        <v>5</v>
      </c>
      <c r="E8456" s="2">
        <f ca="1">IFERROR(__xludf.DUMMYFUNCTION("""COMPUTED_VALUE"""),2)</f>
        <v>2</v>
      </c>
    </row>
    <row r="8457" spans="1:5" ht="13">
      <c r="A8457" s="2" t="str">
        <f ca="1">IFERROR(__xludf.DUMMYFUNCTION("""COMPUTED_VALUE"""),"Wanenchak, Leo")</f>
        <v>Wanenchak, Leo</v>
      </c>
      <c r="B8457" s="3">
        <f ca="1">IFERROR(__xludf.DUMMYFUNCTION("""COMPUTED_VALUE"""),1)</f>
        <v>1</v>
      </c>
      <c r="C8457" s="7">
        <f ca="1">IFERROR(__xludf.DUMMYFUNCTION("""COMPUTED_VALUE"""),1)</f>
        <v>1</v>
      </c>
      <c r="D8457" s="8">
        <f ca="1">IFERROR(__xludf.DUMMYFUNCTION("""COMPUTED_VALUE"""),1)</f>
        <v>1</v>
      </c>
      <c r="E8457" s="2">
        <f ca="1">IFERROR(__xludf.DUMMYFUNCTION("""COMPUTED_VALUE"""),1)</f>
        <v>1</v>
      </c>
    </row>
    <row r="8458" spans="1:5" ht="13">
      <c r="A8458" s="2" t="str">
        <f ca="1">IFERROR(__xludf.DUMMYFUNCTION("""COMPUTED_VALUE"""),"Wanner, David")</f>
        <v>Wanner, David</v>
      </c>
      <c r="B8458" s="3">
        <f ca="1">IFERROR(__xludf.DUMMYFUNCTION("""COMPUTED_VALUE"""),1)</f>
        <v>1</v>
      </c>
      <c r="C8458" s="7">
        <f ca="1">IFERROR(__xludf.DUMMYFUNCTION("""COMPUTED_VALUE"""),1)</f>
        <v>1</v>
      </c>
      <c r="D8458" s="8">
        <f ca="1">IFERROR(__xludf.DUMMYFUNCTION("""COMPUTED_VALUE"""),1)</f>
        <v>1</v>
      </c>
      <c r="E8458" s="2">
        <f ca="1">IFERROR(__xludf.DUMMYFUNCTION("""COMPUTED_VALUE"""),1)</f>
        <v>1</v>
      </c>
    </row>
    <row r="8459" spans="1:5" ht="13">
      <c r="A8459" s="2" t="str">
        <f ca="1">IFERROR(__xludf.DUMMYFUNCTION("""COMPUTED_VALUE"""),"Ward / Dragon")</f>
        <v>Ward / Dragon</v>
      </c>
      <c r="B8459" s="3">
        <f ca="1">IFERROR(__xludf.DUMMYFUNCTION("""COMPUTED_VALUE"""),1)</f>
        <v>1</v>
      </c>
      <c r="C8459" s="7">
        <f ca="1">IFERROR(__xludf.DUMMYFUNCTION("""COMPUTED_VALUE"""),1)</f>
        <v>1</v>
      </c>
      <c r="D8459" s="8">
        <f ca="1">IFERROR(__xludf.DUMMYFUNCTION("""COMPUTED_VALUE"""),5)</f>
        <v>5</v>
      </c>
      <c r="E8459" s="2">
        <f ca="1">IFERROR(__xludf.DUMMYFUNCTION("""COMPUTED_VALUE"""),2)</f>
        <v>2</v>
      </c>
    </row>
    <row r="8460" spans="1:5" ht="13">
      <c r="A8460" s="2" t="str">
        <f ca="1">IFERROR(__xludf.DUMMYFUNCTION("""COMPUTED_VALUE"""),"Ward-Steinman, David")</f>
        <v>Ward-Steinman, David</v>
      </c>
      <c r="B8460" s="3">
        <f ca="1">IFERROR(__xludf.DUMMYFUNCTION("""COMPUTED_VALUE"""),1)</f>
        <v>1</v>
      </c>
      <c r="C8460" s="7">
        <f ca="1">IFERROR(__xludf.DUMMYFUNCTION("""COMPUTED_VALUE"""),1)</f>
        <v>1</v>
      </c>
      <c r="D8460" s="8">
        <f ca="1">IFERROR(__xludf.DUMMYFUNCTION("""COMPUTED_VALUE"""),5)</f>
        <v>5</v>
      </c>
      <c r="E8460" s="2">
        <f ca="1">IFERROR(__xludf.DUMMYFUNCTION("""COMPUTED_VALUE"""),2)</f>
        <v>2</v>
      </c>
    </row>
    <row r="8461" spans="1:5" ht="13">
      <c r="A8461" s="2" t="str">
        <f ca="1">IFERROR(__xludf.DUMMYFUNCTION("""COMPUTED_VALUE"""),"Ward, Barry")</f>
        <v>Ward, Barry</v>
      </c>
      <c r="B8461" s="3">
        <f ca="1">IFERROR(__xludf.DUMMYFUNCTION("""COMPUTED_VALUE"""),1)</f>
        <v>1</v>
      </c>
      <c r="C8461" s="7">
        <f ca="1">IFERROR(__xludf.DUMMYFUNCTION("""COMPUTED_VALUE"""),1)</f>
        <v>1</v>
      </c>
      <c r="D8461" s="8">
        <f ca="1">IFERROR(__xludf.DUMMYFUNCTION("""COMPUTED_VALUE"""),1)</f>
        <v>1</v>
      </c>
      <c r="E8461" s="2">
        <f ca="1">IFERROR(__xludf.DUMMYFUNCTION("""COMPUTED_VALUE"""),1)</f>
        <v>1</v>
      </c>
    </row>
    <row r="8462" spans="1:5" ht="13">
      <c r="A8462" s="2" t="str">
        <f ca="1">IFERROR(__xludf.DUMMYFUNCTION("""COMPUTED_VALUE"""),"Ward, Charles")</f>
        <v>Ward, Charles</v>
      </c>
      <c r="B8462" s="3">
        <f ca="1">IFERROR(__xludf.DUMMYFUNCTION("""COMPUTED_VALUE"""),1)</f>
        <v>1</v>
      </c>
      <c r="C8462" s="7">
        <f ca="1">IFERROR(__xludf.DUMMYFUNCTION("""COMPUTED_VALUE"""),1)</f>
        <v>1</v>
      </c>
      <c r="D8462" s="8">
        <f ca="1">IFERROR(__xludf.DUMMYFUNCTION("""COMPUTED_VALUE"""),5)</f>
        <v>5</v>
      </c>
      <c r="E8462" s="2">
        <f ca="1">IFERROR(__xludf.DUMMYFUNCTION("""COMPUTED_VALUE"""),2)</f>
        <v>2</v>
      </c>
    </row>
    <row r="8463" spans="1:5" ht="13">
      <c r="A8463" s="2" t="str">
        <f ca="1">IFERROR(__xludf.DUMMYFUNCTION("""COMPUTED_VALUE"""),"Ward, John")</f>
        <v>Ward, John</v>
      </c>
      <c r="B8463" s="3">
        <f ca="1">IFERROR(__xludf.DUMMYFUNCTION("""COMPUTED_VALUE"""),1)</f>
        <v>1</v>
      </c>
      <c r="C8463" s="7">
        <f ca="1">IFERROR(__xludf.DUMMYFUNCTION("""COMPUTED_VALUE"""),1)</f>
        <v>1</v>
      </c>
      <c r="D8463" s="8">
        <f ca="1">IFERROR(__xludf.DUMMYFUNCTION("""COMPUTED_VALUE"""),5)</f>
        <v>5</v>
      </c>
      <c r="E8463" s="2">
        <f ca="1">IFERROR(__xludf.DUMMYFUNCTION("""COMPUTED_VALUE"""),2)</f>
        <v>2</v>
      </c>
    </row>
    <row r="8464" spans="1:5" ht="13">
      <c r="A8464" s="2" t="str">
        <f ca="1">IFERROR(__xludf.DUMMYFUNCTION("""COMPUTED_VALUE"""),"Ward, Norman")</f>
        <v>Ward, Norman</v>
      </c>
      <c r="B8464" s="3">
        <f ca="1">IFERROR(__xludf.DUMMYFUNCTION("""COMPUTED_VALUE"""),1)</f>
        <v>1</v>
      </c>
      <c r="C8464" s="7">
        <f ca="1">IFERROR(__xludf.DUMMYFUNCTION("""COMPUTED_VALUE"""),1)</f>
        <v>1</v>
      </c>
      <c r="D8464" s="8">
        <f ca="1">IFERROR(__xludf.DUMMYFUNCTION("""COMPUTED_VALUE"""),5)</f>
        <v>5</v>
      </c>
      <c r="E8464" s="3">
        <f ca="1">IFERROR(__xludf.DUMMYFUNCTION("""COMPUTED_VALUE"""),2)</f>
        <v>2</v>
      </c>
    </row>
    <row r="8465" spans="1:5" ht="13">
      <c r="A8465" s="2" t="str">
        <f ca="1">IFERROR(__xludf.DUMMYFUNCTION("""COMPUTED_VALUE"""),"Ward, Robert")</f>
        <v>Ward, Robert</v>
      </c>
      <c r="B8465" s="3">
        <f ca="1">IFERROR(__xludf.DUMMYFUNCTION("""COMPUTED_VALUE"""),1)</f>
        <v>1</v>
      </c>
      <c r="C8465" s="7">
        <f ca="1">IFERROR(__xludf.DUMMYFUNCTION("""COMPUTED_VALUE"""),1)</f>
        <v>1</v>
      </c>
      <c r="D8465" s="8">
        <f ca="1">IFERROR(__xludf.DUMMYFUNCTION("""COMPUTED_VALUE"""),5)</f>
        <v>5</v>
      </c>
      <c r="E8465" s="2">
        <f ca="1">IFERROR(__xludf.DUMMYFUNCTION("""COMPUTED_VALUE"""),2)</f>
        <v>2</v>
      </c>
    </row>
    <row r="8466" spans="1:5" ht="13">
      <c r="A8466" s="2" t="str">
        <f ca="1">IFERROR(__xludf.DUMMYFUNCTION("""COMPUTED_VALUE"""),"Ward, Samuel A.")</f>
        <v>Ward, Samuel A.</v>
      </c>
      <c r="B8466" s="3">
        <f ca="1">IFERROR(__xludf.DUMMYFUNCTION("""COMPUTED_VALUE"""),1)</f>
        <v>1</v>
      </c>
      <c r="C8466" s="7">
        <f ca="1">IFERROR(__xludf.DUMMYFUNCTION("""COMPUTED_VALUE"""),1)</f>
        <v>1</v>
      </c>
      <c r="D8466" s="8">
        <f ca="1">IFERROR(__xludf.DUMMYFUNCTION("""COMPUTED_VALUE"""),5)</f>
        <v>5</v>
      </c>
      <c r="E8466" s="2">
        <f ca="1">IFERROR(__xludf.DUMMYFUNCTION("""COMPUTED_VALUE"""),2)</f>
        <v>2</v>
      </c>
    </row>
    <row r="8467" spans="1:5" ht="13">
      <c r="A8467" s="2" t="str">
        <f ca="1">IFERROR(__xludf.DUMMYFUNCTION("""COMPUTED_VALUE"""),"Ward, Samuel A. / Bates, Katharine Lee")</f>
        <v>Ward, Samuel A. / Bates, Katharine Lee</v>
      </c>
      <c r="B8467" s="3">
        <f ca="1">IFERROR(__xludf.DUMMYFUNCTION("""COMPUTED_VALUE"""),1)</f>
        <v>1</v>
      </c>
      <c r="C8467" s="7">
        <f ca="1">IFERROR(__xludf.DUMMYFUNCTION("""COMPUTED_VALUE"""),1)</f>
        <v>1</v>
      </c>
      <c r="D8467" s="8">
        <f ca="1">IFERROR(__xludf.DUMMYFUNCTION("""COMPUTED_VALUE"""),5)</f>
        <v>5</v>
      </c>
      <c r="E8467" s="2">
        <f ca="1">IFERROR(__xludf.DUMMYFUNCTION("""COMPUTED_VALUE"""),2)</f>
        <v>2</v>
      </c>
    </row>
    <row r="8468" spans="1:5" ht="13">
      <c r="A8468" s="2" t="str">
        <f ca="1">IFERROR(__xludf.DUMMYFUNCTION("""COMPUTED_VALUE"""),"Ward, Samuel Augustus / Bates, Katharine Lee")</f>
        <v>Ward, Samuel Augustus / Bates, Katharine Lee</v>
      </c>
      <c r="B8468" s="2">
        <f ca="1">IFERROR(__xludf.DUMMYFUNCTION("""COMPUTED_VALUE"""),1)</f>
        <v>1</v>
      </c>
      <c r="C8468" s="7">
        <f ca="1">IFERROR(__xludf.DUMMYFUNCTION("""COMPUTED_VALUE"""),1)</f>
        <v>1</v>
      </c>
      <c r="D8468" s="8">
        <f ca="1">IFERROR(__xludf.DUMMYFUNCTION("""COMPUTED_VALUE"""),5)</f>
        <v>5</v>
      </c>
      <c r="E8468" s="2">
        <f ca="1">IFERROR(__xludf.DUMMYFUNCTION("""COMPUTED_VALUE"""),2)</f>
        <v>2</v>
      </c>
    </row>
    <row r="8469" spans="1:5" ht="13">
      <c r="A8469" s="2" t="str">
        <f ca="1">IFERROR(__xludf.DUMMYFUNCTION("""COMPUTED_VALUE"""),"Ware, Evan")</f>
        <v>Ware, Evan</v>
      </c>
      <c r="B8469" s="2">
        <f ca="1">IFERROR(__xludf.DUMMYFUNCTION("""COMPUTED_VALUE"""),1)</f>
        <v>1</v>
      </c>
      <c r="C8469" s="7">
        <f ca="1">IFERROR(__xludf.DUMMYFUNCTION("""COMPUTED_VALUE"""),1)</f>
        <v>1</v>
      </c>
      <c r="D8469" s="8">
        <f ca="1">IFERROR(__xludf.DUMMYFUNCTION("""COMPUTED_VALUE"""),1)</f>
        <v>1</v>
      </c>
      <c r="E8469" s="2">
        <f ca="1">IFERROR(__xludf.DUMMYFUNCTION("""COMPUTED_VALUE"""),1)</f>
        <v>1</v>
      </c>
    </row>
    <row r="8470" spans="1:5" ht="13">
      <c r="A8470" s="8" t="str">
        <f ca="1">IFERROR(__xludf.DUMMYFUNCTION("""COMPUTED_VALUE"""),"Ware, Mike")</f>
        <v>Ware, Mike</v>
      </c>
      <c r="B8470" s="3">
        <f ca="1">IFERROR(__xludf.DUMMYFUNCTION("""COMPUTED_VALUE"""),1)</f>
        <v>1</v>
      </c>
      <c r="C8470" s="7">
        <f ca="1">IFERROR(__xludf.DUMMYFUNCTION("""COMPUTED_VALUE"""),1)</f>
        <v>1</v>
      </c>
      <c r="D8470" s="8">
        <f ca="1">IFERROR(__xludf.DUMMYFUNCTION("""COMPUTED_VALUE"""),1)</f>
        <v>1</v>
      </c>
      <c r="E8470" s="2">
        <f ca="1">IFERROR(__xludf.DUMMYFUNCTION("""COMPUTED_VALUE"""),1)</f>
        <v>1</v>
      </c>
    </row>
    <row r="8471" spans="1:5" ht="13">
      <c r="A8471" s="2" t="str">
        <f ca="1">IFERROR(__xludf.DUMMYFUNCTION("""COMPUTED_VALUE"""),"Waring, Fred")</f>
        <v>Waring, Fred</v>
      </c>
      <c r="B8471" s="3">
        <f ca="1">IFERROR(__xludf.DUMMYFUNCTION("""COMPUTED_VALUE"""),1)</f>
        <v>1</v>
      </c>
      <c r="C8471" s="7">
        <f ca="1">IFERROR(__xludf.DUMMYFUNCTION("""COMPUTED_VALUE"""),1)</f>
        <v>1</v>
      </c>
      <c r="D8471" s="8">
        <f ca="1">IFERROR(__xludf.DUMMYFUNCTION("""COMPUTED_VALUE"""),5)</f>
        <v>5</v>
      </c>
      <c r="E8471" s="2">
        <f ca="1">IFERROR(__xludf.DUMMYFUNCTION("""COMPUTED_VALUE"""),2)</f>
        <v>2</v>
      </c>
    </row>
    <row r="8472" spans="1:5" ht="13">
      <c r="A8472" s="2" t="str">
        <f ca="1">IFERROR(__xludf.DUMMYFUNCTION("""COMPUTED_VALUE"""),"Waring, Thomas")</f>
        <v>Waring, Thomas</v>
      </c>
      <c r="B8472" s="3">
        <f ca="1">IFERROR(__xludf.DUMMYFUNCTION("""COMPUTED_VALUE"""),1)</f>
        <v>1</v>
      </c>
      <c r="C8472" s="7">
        <f ca="1">IFERROR(__xludf.DUMMYFUNCTION("""COMPUTED_VALUE"""),1)</f>
        <v>1</v>
      </c>
      <c r="D8472" s="8">
        <f ca="1">IFERROR(__xludf.DUMMYFUNCTION("""COMPUTED_VALUE"""),5)</f>
        <v>5</v>
      </c>
      <c r="E8472" s="2">
        <f ca="1">IFERROR(__xludf.DUMMYFUNCTION("""COMPUTED_VALUE"""),2)</f>
        <v>2</v>
      </c>
    </row>
    <row r="8473" spans="1:5" ht="13">
      <c r="A8473" s="2" t="str">
        <f ca="1">IFERROR(__xludf.DUMMYFUNCTION("""COMPUTED_VALUE"""),"Warlock, Peter")</f>
        <v>Warlock, Peter</v>
      </c>
      <c r="B8473" s="3">
        <f ca="1">IFERROR(__xludf.DUMMYFUNCTION("""COMPUTED_VALUE"""),1)</f>
        <v>1</v>
      </c>
      <c r="C8473" s="7">
        <f ca="1">IFERROR(__xludf.DUMMYFUNCTION("""COMPUTED_VALUE"""),1)</f>
        <v>1</v>
      </c>
      <c r="D8473" s="8">
        <f ca="1">IFERROR(__xludf.DUMMYFUNCTION("""COMPUTED_VALUE"""),5)</f>
        <v>5</v>
      </c>
      <c r="E8473" s="2">
        <f ca="1">IFERROR(__xludf.DUMMYFUNCTION("""COMPUTED_VALUE"""),2)</f>
        <v>2</v>
      </c>
    </row>
    <row r="8474" spans="1:5" ht="13">
      <c r="A8474" s="2" t="str">
        <f ca="1">IFERROR(__xludf.DUMMYFUNCTION("""COMPUTED_VALUE"""),"Warnaar, Brad")</f>
        <v>Warnaar, Brad</v>
      </c>
      <c r="B8474" s="3">
        <f ca="1">IFERROR(__xludf.DUMMYFUNCTION("""COMPUTED_VALUE"""),1)</f>
        <v>1</v>
      </c>
      <c r="C8474" s="7">
        <f ca="1">IFERROR(__xludf.DUMMYFUNCTION("""COMPUTED_VALUE"""),1)</f>
        <v>1</v>
      </c>
      <c r="D8474" s="8">
        <f ca="1">IFERROR(__xludf.DUMMYFUNCTION("""COMPUTED_VALUE"""),1)</f>
        <v>1</v>
      </c>
      <c r="E8474" s="2">
        <f ca="1">IFERROR(__xludf.DUMMYFUNCTION("""COMPUTED_VALUE"""),1)</f>
        <v>1</v>
      </c>
    </row>
    <row r="8475" spans="1:5" ht="13">
      <c r="A8475" s="2" t="str">
        <f ca="1">IFERROR(__xludf.DUMMYFUNCTION("""COMPUTED_VALUE"""),"Warner, Dwight")</f>
        <v>Warner, Dwight</v>
      </c>
      <c r="B8475" s="3">
        <f ca="1">IFERROR(__xludf.DUMMYFUNCTION("""COMPUTED_VALUE"""),1)</f>
        <v>1</v>
      </c>
      <c r="C8475" s="7">
        <f ca="1">IFERROR(__xludf.DUMMYFUNCTION("""COMPUTED_VALUE"""),1)</f>
        <v>1</v>
      </c>
      <c r="D8475" s="8">
        <f ca="1">IFERROR(__xludf.DUMMYFUNCTION("""COMPUTED_VALUE"""),1)</f>
        <v>1</v>
      </c>
      <c r="E8475" s="2">
        <f ca="1">IFERROR(__xludf.DUMMYFUNCTION("""COMPUTED_VALUE"""),1)</f>
        <v>1</v>
      </c>
    </row>
    <row r="8476" spans="1:5" ht="13">
      <c r="A8476" s="2" t="str">
        <f ca="1">IFERROR(__xludf.DUMMYFUNCTION("""COMPUTED_VALUE"""),"Warrell, Arthur")</f>
        <v>Warrell, Arthur</v>
      </c>
      <c r="B8476" s="3">
        <f ca="1">IFERROR(__xludf.DUMMYFUNCTION("""COMPUTED_VALUE"""),1)</f>
        <v>1</v>
      </c>
      <c r="C8476" s="7">
        <f ca="1">IFERROR(__xludf.DUMMYFUNCTION("""COMPUTED_VALUE"""),1)</f>
        <v>1</v>
      </c>
      <c r="D8476" s="8">
        <f ca="1">IFERROR(__xludf.DUMMYFUNCTION("""COMPUTED_VALUE"""),5)</f>
        <v>5</v>
      </c>
      <c r="E8476" s="2">
        <f ca="1">IFERROR(__xludf.DUMMYFUNCTION("""COMPUTED_VALUE"""),2)</f>
        <v>2</v>
      </c>
    </row>
    <row r="8477" spans="1:5" ht="13">
      <c r="A8477" s="2" t="str">
        <f ca="1">IFERROR(__xludf.DUMMYFUNCTION("""COMPUTED_VALUE"""),"Warren, George W.")</f>
        <v>Warren, George W.</v>
      </c>
      <c r="B8477" s="3">
        <f ca="1">IFERROR(__xludf.DUMMYFUNCTION("""COMPUTED_VALUE"""),1)</f>
        <v>1</v>
      </c>
      <c r="C8477" s="7">
        <f ca="1">IFERROR(__xludf.DUMMYFUNCTION("""COMPUTED_VALUE"""),1)</f>
        <v>1</v>
      </c>
      <c r="D8477" s="8">
        <f ca="1">IFERROR(__xludf.DUMMYFUNCTION("""COMPUTED_VALUE"""),5)</f>
        <v>5</v>
      </c>
      <c r="E8477" s="2">
        <f ca="1">IFERROR(__xludf.DUMMYFUNCTION("""COMPUTED_VALUE"""),2)</f>
        <v>2</v>
      </c>
    </row>
    <row r="8478" spans="1:5" ht="13">
      <c r="A8478" s="2" t="str">
        <f ca="1">IFERROR(__xludf.DUMMYFUNCTION("""COMPUTED_VALUE"""),"Warren, Geroge W. / Roberts, Daniel J.")</f>
        <v>Warren, Geroge W. / Roberts, Daniel J.</v>
      </c>
      <c r="B8478" s="3">
        <f ca="1">IFERROR(__xludf.DUMMYFUNCTION("""COMPUTED_VALUE"""),1)</f>
        <v>1</v>
      </c>
      <c r="C8478" s="7">
        <f ca="1">IFERROR(__xludf.DUMMYFUNCTION("""COMPUTED_VALUE"""),1)</f>
        <v>1</v>
      </c>
      <c r="D8478" s="8">
        <f ca="1">IFERROR(__xludf.DUMMYFUNCTION("""COMPUTED_VALUE"""),5)</f>
        <v>5</v>
      </c>
      <c r="E8478" s="2">
        <f ca="1">IFERROR(__xludf.DUMMYFUNCTION("""COMPUTED_VALUE"""),2)</f>
        <v>2</v>
      </c>
    </row>
    <row r="8479" spans="1:5" ht="13">
      <c r="A8479" s="2" t="str">
        <f ca="1">IFERROR(__xludf.DUMMYFUNCTION("""COMPUTED_VALUE"""),"Warren, Harry")</f>
        <v>Warren, Harry</v>
      </c>
      <c r="B8479" s="3">
        <f ca="1">IFERROR(__xludf.DUMMYFUNCTION("""COMPUTED_VALUE"""),1)</f>
        <v>1</v>
      </c>
      <c r="C8479" s="7">
        <f ca="1">IFERROR(__xludf.DUMMYFUNCTION("""COMPUTED_VALUE"""),1)</f>
        <v>1</v>
      </c>
      <c r="D8479" s="8">
        <f ca="1">IFERROR(__xludf.DUMMYFUNCTION("""COMPUTED_VALUE"""),5)</f>
        <v>5</v>
      </c>
      <c r="E8479" s="2">
        <f ca="1">IFERROR(__xludf.DUMMYFUNCTION("""COMPUTED_VALUE"""),2)</f>
        <v>2</v>
      </c>
    </row>
    <row r="8480" spans="1:5" ht="13">
      <c r="A8480" s="2" t="str">
        <f ca="1">IFERROR(__xludf.DUMMYFUNCTION("""COMPUTED_VALUE"""),"Warren, Harry / Dublin, Al")</f>
        <v>Warren, Harry / Dublin, Al</v>
      </c>
      <c r="B8480" s="2">
        <f ca="1">IFERROR(__xludf.DUMMYFUNCTION("""COMPUTED_VALUE"""),1)</f>
        <v>1</v>
      </c>
      <c r="C8480" s="7">
        <f ca="1">IFERROR(__xludf.DUMMYFUNCTION("""COMPUTED_VALUE"""),1)</f>
        <v>1</v>
      </c>
      <c r="D8480" s="8">
        <f ca="1">IFERROR(__xludf.DUMMYFUNCTION("""COMPUTED_VALUE"""),5)</f>
        <v>5</v>
      </c>
      <c r="E8480" s="2">
        <f ca="1">IFERROR(__xludf.DUMMYFUNCTION("""COMPUTED_VALUE"""),2)</f>
        <v>2</v>
      </c>
    </row>
    <row r="8481" spans="1:5" ht="13">
      <c r="A8481" s="2" t="str">
        <f ca="1">IFERROR(__xludf.DUMMYFUNCTION("""COMPUTED_VALUE"""),"Warren, Harry / Gordon, Mack")</f>
        <v>Warren, Harry / Gordon, Mack</v>
      </c>
      <c r="B8481" s="3">
        <f ca="1">IFERROR(__xludf.DUMMYFUNCTION("""COMPUTED_VALUE"""),1)</f>
        <v>1</v>
      </c>
      <c r="C8481" s="7">
        <f ca="1">IFERROR(__xludf.DUMMYFUNCTION("""COMPUTED_VALUE"""),1)</f>
        <v>1</v>
      </c>
      <c r="D8481" s="8">
        <f ca="1">IFERROR(__xludf.DUMMYFUNCTION("""COMPUTED_VALUE"""),5)</f>
        <v>5</v>
      </c>
      <c r="E8481" s="2">
        <f ca="1">IFERROR(__xludf.DUMMYFUNCTION("""COMPUTED_VALUE"""),2)</f>
        <v>2</v>
      </c>
    </row>
    <row r="8482" spans="1:5" ht="13">
      <c r="A8482" s="2" t="str">
        <f ca="1">IFERROR(__xludf.DUMMYFUNCTION("""COMPUTED_VALUE"""),"Warren, Riley")</f>
        <v>Warren, Riley</v>
      </c>
      <c r="B8482" s="3">
        <f ca="1">IFERROR(__xludf.DUMMYFUNCTION("""COMPUTED_VALUE"""),1)</f>
        <v>1</v>
      </c>
      <c r="C8482" s="7">
        <f ca="1">IFERROR(__xludf.DUMMYFUNCTION("""COMPUTED_VALUE"""),1)</f>
        <v>1</v>
      </c>
      <c r="D8482" s="8">
        <f ca="1">IFERROR(__xludf.DUMMYFUNCTION("""COMPUTED_VALUE"""),1)</f>
        <v>1</v>
      </c>
      <c r="E8482" s="2">
        <f ca="1">IFERROR(__xludf.DUMMYFUNCTION("""COMPUTED_VALUE"""),1)</f>
        <v>1</v>
      </c>
    </row>
    <row r="8483" spans="1:5" ht="13">
      <c r="A8483" s="2" t="str">
        <f ca="1">IFERROR(__xludf.DUMMYFUNCTION("""COMPUTED_VALUE"""),"Warrington, John")</f>
        <v>Warrington, John</v>
      </c>
      <c r="B8483" s="3">
        <f ca="1">IFERROR(__xludf.DUMMYFUNCTION("""COMPUTED_VALUE"""),1)</f>
        <v>1</v>
      </c>
      <c r="C8483" s="7">
        <f ca="1">IFERROR(__xludf.DUMMYFUNCTION("""COMPUTED_VALUE"""),1)</f>
        <v>1</v>
      </c>
      <c r="D8483" s="8">
        <f ca="1">IFERROR(__xludf.DUMMYFUNCTION("""COMPUTED_VALUE"""),5)</f>
        <v>5</v>
      </c>
      <c r="E8483" s="2">
        <f ca="1">IFERROR(__xludf.DUMMYFUNCTION("""COMPUTED_VALUE"""),2)</f>
        <v>2</v>
      </c>
    </row>
    <row r="8484" spans="1:5" ht="13">
      <c r="A8484" s="8" t="str">
        <f ca="1">IFERROR(__xludf.DUMMYFUNCTION("""COMPUTED_VALUE"""),"Wars, Henryk")</f>
        <v>Wars, Henryk</v>
      </c>
      <c r="B8484" s="3">
        <f ca="1">IFERROR(__xludf.DUMMYFUNCTION("""COMPUTED_VALUE"""),1)</f>
        <v>1</v>
      </c>
      <c r="C8484" s="7">
        <f ca="1">IFERROR(__xludf.DUMMYFUNCTION("""COMPUTED_VALUE"""),1)</f>
        <v>1</v>
      </c>
      <c r="D8484" s="8">
        <f ca="1">IFERROR(__xludf.DUMMYFUNCTION("""COMPUTED_VALUE"""),5)</f>
        <v>5</v>
      </c>
      <c r="E8484" s="2">
        <f ca="1">IFERROR(__xludf.DUMMYFUNCTION("""COMPUTED_VALUE"""),2)</f>
        <v>2</v>
      </c>
    </row>
    <row r="8485" spans="1:5" ht="13">
      <c r="A8485" s="2" t="str">
        <f ca="1">IFERROR(__xludf.DUMMYFUNCTION("""COMPUTED_VALUE"""),"Warshaw, Peter")</f>
        <v>Warshaw, Peter</v>
      </c>
      <c r="B8485" s="3">
        <f ca="1">IFERROR(__xludf.DUMMYFUNCTION("""COMPUTED_VALUE"""),1)</f>
        <v>1</v>
      </c>
      <c r="C8485" s="7">
        <f ca="1">IFERROR(__xludf.DUMMYFUNCTION("""COMPUTED_VALUE"""),1)</f>
        <v>1</v>
      </c>
      <c r="D8485" s="8">
        <f ca="1">IFERROR(__xludf.DUMMYFUNCTION("""COMPUTED_VALUE"""),1)</f>
        <v>1</v>
      </c>
      <c r="E8485" s="2">
        <f ca="1">IFERROR(__xludf.DUMMYFUNCTION("""COMPUTED_VALUE"""),1)</f>
        <v>1</v>
      </c>
    </row>
    <row r="8486" spans="1:5" ht="13">
      <c r="A8486" s="2" t="str">
        <f ca="1">IFERROR(__xludf.DUMMYFUNCTION("""COMPUTED_VALUE"""),"Washburn, Jon")</f>
        <v>Washburn, Jon</v>
      </c>
      <c r="B8486" s="3">
        <f ca="1">IFERROR(__xludf.DUMMYFUNCTION("""COMPUTED_VALUE"""),1)</f>
        <v>1</v>
      </c>
      <c r="C8486" s="7">
        <f ca="1">IFERROR(__xludf.DUMMYFUNCTION("""COMPUTED_VALUE"""),1)</f>
        <v>1</v>
      </c>
      <c r="D8486" s="8">
        <f ca="1">IFERROR(__xludf.DUMMYFUNCTION("""COMPUTED_VALUE"""),1)</f>
        <v>1</v>
      </c>
      <c r="E8486" s="2">
        <f ca="1">IFERROR(__xludf.DUMMYFUNCTION("""COMPUTED_VALUE"""),1)</f>
        <v>1</v>
      </c>
    </row>
    <row r="8487" spans="1:5" ht="13">
      <c r="A8487" s="2" t="str">
        <f ca="1">IFERROR(__xludf.DUMMYFUNCTION("""COMPUTED_VALUE"""),"Washburn, Robert")</f>
        <v>Washburn, Robert</v>
      </c>
      <c r="B8487" s="3">
        <f ca="1">IFERROR(__xludf.DUMMYFUNCTION("""COMPUTED_VALUE"""),1)</f>
        <v>1</v>
      </c>
      <c r="C8487" s="7">
        <f ca="1">IFERROR(__xludf.DUMMYFUNCTION("""COMPUTED_VALUE"""),1)</f>
        <v>1</v>
      </c>
      <c r="D8487" s="8">
        <f ca="1">IFERROR(__xludf.DUMMYFUNCTION("""COMPUTED_VALUE"""),5)</f>
        <v>5</v>
      </c>
      <c r="E8487" s="2">
        <f ca="1">IFERROR(__xludf.DUMMYFUNCTION("""COMPUTED_VALUE"""),2)</f>
        <v>2</v>
      </c>
    </row>
    <row r="8488" spans="1:5" ht="13">
      <c r="A8488" s="2" t="str">
        <f ca="1">IFERROR(__xludf.DUMMYFUNCTION("""COMPUTED_VALUE"""),"Washington, Ned")</f>
        <v>Washington, Ned</v>
      </c>
      <c r="B8488" s="3">
        <f ca="1">IFERROR(__xludf.DUMMYFUNCTION("""COMPUTED_VALUE"""),1)</f>
        <v>1</v>
      </c>
      <c r="C8488" s="7">
        <f ca="1">IFERROR(__xludf.DUMMYFUNCTION("""COMPUTED_VALUE"""),1)</f>
        <v>1</v>
      </c>
      <c r="D8488" s="8">
        <f ca="1">IFERROR(__xludf.DUMMYFUNCTION("""COMPUTED_VALUE"""),5)</f>
        <v>5</v>
      </c>
      <c r="E8488" s="2">
        <f ca="1">IFERROR(__xludf.DUMMYFUNCTION("""COMPUTED_VALUE"""),2)</f>
        <v>2</v>
      </c>
    </row>
    <row r="8489" spans="1:5" ht="13">
      <c r="A8489" s="2" t="str">
        <f ca="1">IFERROR(__xludf.DUMMYFUNCTION("""COMPUTED_VALUE"""),"Washut, Bob")</f>
        <v>Washut, Bob</v>
      </c>
      <c r="B8489" s="3">
        <f ca="1">IFERROR(__xludf.DUMMYFUNCTION("""COMPUTED_VALUE"""),1)</f>
        <v>1</v>
      </c>
      <c r="C8489" s="7">
        <f ca="1">IFERROR(__xludf.DUMMYFUNCTION("""COMPUTED_VALUE"""),1)</f>
        <v>1</v>
      </c>
      <c r="D8489" s="8">
        <f ca="1">IFERROR(__xludf.DUMMYFUNCTION("""COMPUTED_VALUE"""),1)</f>
        <v>1</v>
      </c>
      <c r="E8489" s="2">
        <f ca="1">IFERROR(__xludf.DUMMYFUNCTION("""COMPUTED_VALUE"""),1)</f>
        <v>1</v>
      </c>
    </row>
    <row r="8490" spans="1:5" ht="13">
      <c r="A8490" s="8" t="str">
        <f ca="1">IFERROR(__xludf.DUMMYFUNCTION("""COMPUTED_VALUE"""),"Wasner, Franz")</f>
        <v>Wasner, Franz</v>
      </c>
      <c r="B8490" s="3">
        <f ca="1">IFERROR(__xludf.DUMMYFUNCTION("""COMPUTED_VALUE"""),1)</f>
        <v>1</v>
      </c>
      <c r="C8490" s="7">
        <f ca="1">IFERROR(__xludf.DUMMYFUNCTION("""COMPUTED_VALUE"""),1)</f>
        <v>1</v>
      </c>
      <c r="D8490" s="8">
        <f ca="1">IFERROR(__xludf.DUMMYFUNCTION("""COMPUTED_VALUE"""),5)</f>
        <v>5</v>
      </c>
      <c r="E8490" s="2">
        <f ca="1">IFERROR(__xludf.DUMMYFUNCTION("""COMPUTED_VALUE"""),2)</f>
        <v>2</v>
      </c>
    </row>
    <row r="8491" spans="1:5" ht="13">
      <c r="A8491" s="2" t="str">
        <f ca="1">IFERROR(__xludf.DUMMYFUNCTION("""COMPUTED_VALUE"""),"Wasnut, Bob")</f>
        <v>Wasnut, Bob</v>
      </c>
      <c r="B8491" s="3">
        <f ca="1">IFERROR(__xludf.DUMMYFUNCTION("""COMPUTED_VALUE"""),1)</f>
        <v>1</v>
      </c>
      <c r="C8491" s="7">
        <f ca="1">IFERROR(__xludf.DUMMYFUNCTION("""COMPUTED_VALUE"""),1)</f>
        <v>1</v>
      </c>
      <c r="D8491" s="8">
        <f ca="1">IFERROR(__xludf.DUMMYFUNCTION("""COMPUTED_VALUE"""),1)</f>
        <v>1</v>
      </c>
      <c r="E8491" s="2">
        <f ca="1">IFERROR(__xludf.DUMMYFUNCTION("""COMPUTED_VALUE"""),1)</f>
        <v>1</v>
      </c>
    </row>
    <row r="8492" spans="1:5" ht="13">
      <c r="A8492" s="2" t="str">
        <f ca="1">IFERROR(__xludf.DUMMYFUNCTION("""COMPUTED_VALUE"""),"Wasson, John")</f>
        <v>Wasson, John</v>
      </c>
      <c r="B8492" s="3">
        <f ca="1">IFERROR(__xludf.DUMMYFUNCTION("""COMPUTED_VALUE"""),1)</f>
        <v>1</v>
      </c>
      <c r="C8492" s="7">
        <f ca="1">IFERROR(__xludf.DUMMYFUNCTION("""COMPUTED_VALUE"""),1)</f>
        <v>1</v>
      </c>
      <c r="D8492" s="8">
        <f ca="1">IFERROR(__xludf.DUMMYFUNCTION("""COMPUTED_VALUE"""),1)</f>
        <v>1</v>
      </c>
      <c r="E8492" s="2">
        <f ca="1">IFERROR(__xludf.DUMMYFUNCTION("""COMPUTED_VALUE"""),1)</f>
        <v>1</v>
      </c>
    </row>
    <row r="8493" spans="1:5" ht="13">
      <c r="A8493" s="2" t="str">
        <f ca="1">IFERROR(__xludf.DUMMYFUNCTION("""COMPUTED_VALUE"""),"Waters, Richard")</f>
        <v>Waters, Richard</v>
      </c>
      <c r="B8493" s="2">
        <f ca="1">IFERROR(__xludf.DUMMYFUNCTION("""COMPUTED_VALUE"""),1)</f>
        <v>1</v>
      </c>
      <c r="C8493" s="7">
        <f ca="1">IFERROR(__xludf.DUMMYFUNCTION("""COMPUTED_VALUE"""),1)</f>
        <v>1</v>
      </c>
      <c r="D8493" s="8">
        <f ca="1">IFERROR(__xludf.DUMMYFUNCTION("""COMPUTED_VALUE"""),1)</f>
        <v>1</v>
      </c>
      <c r="E8493" s="2">
        <f ca="1">IFERROR(__xludf.DUMMYFUNCTION("""COMPUTED_VALUE"""),1)</f>
        <v>1</v>
      </c>
    </row>
    <row r="8494" spans="1:5" ht="13">
      <c r="A8494" s="2" t="str">
        <f ca="1">IFERROR(__xludf.DUMMYFUNCTION("""COMPUTED_VALUE"""),"Waters, Tim")</f>
        <v>Waters, Tim</v>
      </c>
      <c r="B8494" s="3">
        <f ca="1">IFERROR(__xludf.DUMMYFUNCTION("""COMPUTED_VALUE"""),1)</f>
        <v>1</v>
      </c>
      <c r="C8494" s="7">
        <f ca="1">IFERROR(__xludf.DUMMYFUNCTION("""COMPUTED_VALUE"""),1)</f>
        <v>1</v>
      </c>
      <c r="D8494" s="8">
        <f ca="1">IFERROR(__xludf.DUMMYFUNCTION("""COMPUTED_VALUE"""),1)</f>
        <v>1</v>
      </c>
      <c r="E8494" s="2">
        <f ca="1">IFERROR(__xludf.DUMMYFUNCTION("""COMPUTED_VALUE"""),1)</f>
        <v>1</v>
      </c>
    </row>
    <row r="8495" spans="1:5" ht="13">
      <c r="A8495" s="2" t="str">
        <f ca="1">IFERROR(__xludf.DUMMYFUNCTION("""COMPUTED_VALUE"""),"Watkin, Andrew")</f>
        <v>Watkin, Andrew</v>
      </c>
      <c r="B8495" s="3">
        <f ca="1">IFERROR(__xludf.DUMMYFUNCTION("""COMPUTED_VALUE"""),1)</f>
        <v>1</v>
      </c>
      <c r="C8495" s="7">
        <f ca="1">IFERROR(__xludf.DUMMYFUNCTION("""COMPUTED_VALUE"""),1)</f>
        <v>1</v>
      </c>
      <c r="D8495" s="8">
        <f ca="1">IFERROR(__xludf.DUMMYFUNCTION("""COMPUTED_VALUE"""),1)</f>
        <v>1</v>
      </c>
      <c r="E8495" s="2">
        <f ca="1">IFERROR(__xludf.DUMMYFUNCTION("""COMPUTED_VALUE"""),1)</f>
        <v>1</v>
      </c>
    </row>
    <row r="8496" spans="1:5" ht="13">
      <c r="A8496" s="2" t="str">
        <f ca="1">IFERROR(__xludf.DUMMYFUNCTION("""COMPUTED_VALUE"""),"Watkins, Huw")</f>
        <v>Watkins, Huw</v>
      </c>
      <c r="B8496" s="3">
        <f ca="1">IFERROR(__xludf.DUMMYFUNCTION("""COMPUTED_VALUE"""),1)</f>
        <v>1</v>
      </c>
      <c r="C8496" s="7">
        <f ca="1">IFERROR(__xludf.DUMMYFUNCTION("""COMPUTED_VALUE"""),1)</f>
        <v>1</v>
      </c>
      <c r="D8496" s="8">
        <f ca="1">IFERROR(__xludf.DUMMYFUNCTION("""COMPUTED_VALUE"""),1)</f>
        <v>1</v>
      </c>
      <c r="E8496" s="2">
        <f ca="1">IFERROR(__xludf.DUMMYFUNCTION("""COMPUTED_VALUE"""),1)</f>
        <v>1</v>
      </c>
    </row>
    <row r="8497" spans="1:5" ht="13">
      <c r="A8497" s="2" t="str">
        <f ca="1">IFERROR(__xludf.DUMMYFUNCTION("""COMPUTED_VALUE"""),"Watson, Kenneth")</f>
        <v>Watson, Kenneth</v>
      </c>
      <c r="B8497" s="3">
        <f ca="1">IFERROR(__xludf.DUMMYFUNCTION("""COMPUTED_VALUE"""),1)</f>
        <v>1</v>
      </c>
      <c r="C8497" s="7">
        <f ca="1">IFERROR(__xludf.DUMMYFUNCTION("""COMPUTED_VALUE"""),1)</f>
        <v>1</v>
      </c>
      <c r="D8497" s="8">
        <f ca="1">IFERROR(__xludf.DUMMYFUNCTION("""COMPUTED_VALUE"""),1)</f>
        <v>1</v>
      </c>
      <c r="E8497" s="2">
        <f ca="1">IFERROR(__xludf.DUMMYFUNCTION("""COMPUTED_VALUE"""),1)</f>
        <v>1</v>
      </c>
    </row>
    <row r="8498" spans="1:5" ht="13">
      <c r="A8498" s="2" t="str">
        <f ca="1">IFERROR(__xludf.DUMMYFUNCTION("""COMPUTED_VALUE"""),"Watson, Scott")</f>
        <v>Watson, Scott</v>
      </c>
      <c r="B8498" s="3">
        <f ca="1">IFERROR(__xludf.DUMMYFUNCTION("""COMPUTED_VALUE"""),1)</f>
        <v>1</v>
      </c>
      <c r="C8498" s="7">
        <f ca="1">IFERROR(__xludf.DUMMYFUNCTION("""COMPUTED_VALUE"""),1)</f>
        <v>1</v>
      </c>
      <c r="D8498" s="8">
        <f ca="1">IFERROR(__xludf.DUMMYFUNCTION("""COMPUTED_VALUE"""),1)</f>
        <v>1</v>
      </c>
      <c r="E8498" s="2">
        <f ca="1">IFERROR(__xludf.DUMMYFUNCTION("""COMPUTED_VALUE"""),1)</f>
        <v>1</v>
      </c>
    </row>
    <row r="8499" spans="1:5" ht="13">
      <c r="A8499" s="2" t="str">
        <f ca="1">IFERROR(__xludf.DUMMYFUNCTION("""COMPUTED_VALUE"""),"Watson, Walter")</f>
        <v>Watson, Walter</v>
      </c>
      <c r="B8499" s="3">
        <f ca="1">IFERROR(__xludf.DUMMYFUNCTION("""COMPUTED_VALUE"""),1)</f>
        <v>1</v>
      </c>
      <c r="C8499" s="7">
        <f ca="1">IFERROR(__xludf.DUMMYFUNCTION("""COMPUTED_VALUE"""),1)</f>
        <v>1</v>
      </c>
      <c r="D8499" s="8">
        <f ca="1">IFERROR(__xludf.DUMMYFUNCTION("""COMPUTED_VALUE"""),5)</f>
        <v>5</v>
      </c>
      <c r="E8499" s="2">
        <f ca="1">IFERROR(__xludf.DUMMYFUNCTION("""COMPUTED_VALUE"""),2)</f>
        <v>2</v>
      </c>
    </row>
    <row r="8500" spans="1:5" ht="13">
      <c r="A8500" s="2" t="str">
        <f ca="1">IFERROR(__xludf.DUMMYFUNCTION("""COMPUTED_VALUE"""),"Watt, Isaac")</f>
        <v>Watt, Isaac</v>
      </c>
      <c r="B8500" s="3">
        <f ca="1">IFERROR(__xludf.DUMMYFUNCTION("""COMPUTED_VALUE"""),1)</f>
        <v>1</v>
      </c>
      <c r="C8500" s="7">
        <f ca="1">IFERROR(__xludf.DUMMYFUNCTION("""COMPUTED_VALUE"""),1)</f>
        <v>1</v>
      </c>
      <c r="D8500" s="8">
        <f ca="1">IFERROR(__xludf.DUMMYFUNCTION("""COMPUTED_VALUE"""),5)</f>
        <v>5</v>
      </c>
      <c r="E8500" s="2">
        <f ca="1">IFERROR(__xludf.DUMMYFUNCTION("""COMPUTED_VALUE"""),2)</f>
        <v>2</v>
      </c>
    </row>
    <row r="8501" spans="1:5" ht="13">
      <c r="A8501" s="2" t="str">
        <f ca="1">IFERROR(__xludf.DUMMYFUNCTION("""COMPUTED_VALUE"""),"Watters, Mark")</f>
        <v>Watters, Mark</v>
      </c>
      <c r="B8501" s="3">
        <f ca="1">IFERROR(__xludf.DUMMYFUNCTION("""COMPUTED_VALUE"""),1)</f>
        <v>1</v>
      </c>
      <c r="C8501" s="7">
        <f ca="1">IFERROR(__xludf.DUMMYFUNCTION("""COMPUTED_VALUE"""),1)</f>
        <v>1</v>
      </c>
      <c r="D8501" s="8">
        <f ca="1">IFERROR(__xludf.DUMMYFUNCTION("""COMPUTED_VALUE"""),1)</f>
        <v>1</v>
      </c>
      <c r="E8501" s="2">
        <f ca="1">IFERROR(__xludf.DUMMYFUNCTION("""COMPUTED_VALUE"""),1)</f>
        <v>1</v>
      </c>
    </row>
    <row r="8502" spans="1:5" ht="13">
      <c r="A8502" s="2" t="str">
        <f ca="1">IFERROR(__xludf.DUMMYFUNCTION("""COMPUTED_VALUE"""),"Watts, Isaac")</f>
        <v>Watts, Isaac</v>
      </c>
      <c r="B8502" s="2">
        <f ca="1">IFERROR(__xludf.DUMMYFUNCTION("""COMPUTED_VALUE"""),1)</f>
        <v>1</v>
      </c>
      <c r="C8502" s="2">
        <f ca="1">IFERROR(__xludf.DUMMYFUNCTION("""COMPUTED_VALUE"""),1)</f>
        <v>1</v>
      </c>
      <c r="D8502" s="8">
        <f ca="1">IFERROR(__xludf.DUMMYFUNCTION("""COMPUTED_VALUE"""),5)</f>
        <v>5</v>
      </c>
      <c r="E8502" s="2">
        <f ca="1">IFERROR(__xludf.DUMMYFUNCTION("""COMPUTED_VALUE"""),2)</f>
        <v>2</v>
      </c>
    </row>
    <row r="8503" spans="1:5" ht="13">
      <c r="A8503" s="2" t="str">
        <f ca="1">IFERROR(__xludf.DUMMYFUNCTION("""COMPUTED_VALUE"""),"Wawruk, Marcin")</f>
        <v>Wawruk, Marcin</v>
      </c>
      <c r="B8503" s="2">
        <f ca="1">IFERROR(__xludf.DUMMYFUNCTION("""COMPUTED_VALUE"""),1)</f>
        <v>1</v>
      </c>
      <c r="C8503" s="7">
        <f ca="1">IFERROR(__xludf.DUMMYFUNCTION("""COMPUTED_VALUE"""),1)</f>
        <v>1</v>
      </c>
      <c r="D8503" s="8">
        <f ca="1">IFERROR(__xludf.DUMMYFUNCTION("""COMPUTED_VALUE"""),1)</f>
        <v>1</v>
      </c>
      <c r="E8503" s="2">
        <f ca="1">IFERROR(__xludf.DUMMYFUNCTION("""COMPUTED_VALUE"""),1)</f>
        <v>1</v>
      </c>
    </row>
    <row r="8504" spans="1:5" ht="13">
      <c r="A8504" s="2" t="str">
        <f ca="1">IFERROR(__xludf.DUMMYFUNCTION("""COMPUTED_VALUE"""),"Waxman, Franz")</f>
        <v>Waxman, Franz</v>
      </c>
      <c r="B8504" s="3">
        <f ca="1">IFERROR(__xludf.DUMMYFUNCTION("""COMPUTED_VALUE"""),1)</f>
        <v>1</v>
      </c>
      <c r="C8504" s="7">
        <f ca="1">IFERROR(__xludf.DUMMYFUNCTION("""COMPUTED_VALUE"""),1)</f>
        <v>1</v>
      </c>
      <c r="D8504" s="8">
        <f ca="1">IFERROR(__xludf.DUMMYFUNCTION("""COMPUTED_VALUE"""),5)</f>
        <v>5</v>
      </c>
      <c r="E8504" s="2">
        <f ca="1">IFERROR(__xludf.DUMMYFUNCTION("""COMPUTED_VALUE"""),2)</f>
        <v>2</v>
      </c>
    </row>
    <row r="8505" spans="1:5" ht="13">
      <c r="A8505" s="2" t="str">
        <f ca="1">IFERROR(__xludf.DUMMYFUNCTION("""COMPUTED_VALUE"""),"Weagle, Derek")</f>
        <v>Weagle, Derek</v>
      </c>
      <c r="B8505" s="3">
        <f ca="1">IFERROR(__xludf.DUMMYFUNCTION("""COMPUTED_VALUE"""),1)</f>
        <v>1</v>
      </c>
      <c r="C8505" s="7">
        <f ca="1">IFERROR(__xludf.DUMMYFUNCTION("""COMPUTED_VALUE"""),1)</f>
        <v>1</v>
      </c>
      <c r="D8505" s="8">
        <f ca="1">IFERROR(__xludf.DUMMYFUNCTION("""COMPUTED_VALUE"""),1)</f>
        <v>1</v>
      </c>
      <c r="E8505" s="2">
        <f ca="1">IFERROR(__xludf.DUMMYFUNCTION("""COMPUTED_VALUE"""),1)</f>
        <v>1</v>
      </c>
    </row>
    <row r="8506" spans="1:5" ht="13">
      <c r="A8506" s="2" t="str">
        <f ca="1">IFERROR(__xludf.DUMMYFUNCTION("""COMPUTED_VALUE"""),"Weait, Christopher")</f>
        <v>Weait, Christopher</v>
      </c>
      <c r="B8506" s="3">
        <f ca="1">IFERROR(__xludf.DUMMYFUNCTION("""COMPUTED_VALUE"""),1)</f>
        <v>1</v>
      </c>
      <c r="C8506" s="7">
        <f ca="1">IFERROR(__xludf.DUMMYFUNCTION("""COMPUTED_VALUE"""),1)</f>
        <v>1</v>
      </c>
      <c r="D8506" s="8">
        <f ca="1">IFERROR(__xludf.DUMMYFUNCTION("""COMPUTED_VALUE"""),5)</f>
        <v>5</v>
      </c>
      <c r="E8506" s="2">
        <f ca="1">IFERROR(__xludf.DUMMYFUNCTION("""COMPUTED_VALUE"""),2)</f>
        <v>2</v>
      </c>
    </row>
    <row r="8507" spans="1:5" ht="13">
      <c r="A8507" s="2" t="str">
        <f ca="1">IFERROR(__xludf.DUMMYFUNCTION("""COMPUTED_VALUE"""),"Weatherley,")</f>
        <v>Weatherley,</v>
      </c>
      <c r="B8507" s="3">
        <f ca="1">IFERROR(__xludf.DUMMYFUNCTION("""COMPUTED_VALUE"""),1)</f>
        <v>1</v>
      </c>
      <c r="C8507" s="7">
        <f ca="1">IFERROR(__xludf.DUMMYFUNCTION("""COMPUTED_VALUE"""),1)</f>
        <v>1</v>
      </c>
      <c r="D8507" s="8">
        <f ca="1">IFERROR(__xludf.DUMMYFUNCTION("""COMPUTED_VALUE"""),5)</f>
        <v>5</v>
      </c>
      <c r="E8507" s="2">
        <f ca="1">IFERROR(__xludf.DUMMYFUNCTION("""COMPUTED_VALUE"""),2)</f>
        <v>2</v>
      </c>
    </row>
    <row r="8508" spans="1:5" ht="13">
      <c r="A8508" s="2" t="str">
        <f ca="1">IFERROR(__xludf.DUMMYFUNCTION("""COMPUTED_VALUE"""),"Weatherly, Frederick")</f>
        <v>Weatherly, Frederick</v>
      </c>
      <c r="B8508" s="3">
        <f ca="1">IFERROR(__xludf.DUMMYFUNCTION("""COMPUTED_VALUE"""),1)</f>
        <v>1</v>
      </c>
      <c r="C8508" s="7">
        <f ca="1">IFERROR(__xludf.DUMMYFUNCTION("""COMPUTED_VALUE"""),1)</f>
        <v>1</v>
      </c>
      <c r="D8508" s="8">
        <f ca="1">IFERROR(__xludf.DUMMYFUNCTION("""COMPUTED_VALUE"""),5)</f>
        <v>5</v>
      </c>
      <c r="E8508" s="2">
        <f ca="1">IFERROR(__xludf.DUMMYFUNCTION("""COMPUTED_VALUE"""),2)</f>
        <v>2</v>
      </c>
    </row>
    <row r="8509" spans="1:5" ht="13">
      <c r="A8509" s="2" t="str">
        <f ca="1">IFERROR(__xludf.DUMMYFUNCTION("""COMPUTED_VALUE"""),"Weatherly, Jim")</f>
        <v>Weatherly, Jim</v>
      </c>
      <c r="B8509" s="3">
        <f ca="1">IFERROR(__xludf.DUMMYFUNCTION("""COMPUTED_VALUE"""),1)</f>
        <v>1</v>
      </c>
      <c r="C8509" s="7">
        <f ca="1">IFERROR(__xludf.DUMMYFUNCTION("""COMPUTED_VALUE"""),1)</f>
        <v>1</v>
      </c>
      <c r="D8509" s="8">
        <f ca="1">IFERROR(__xludf.DUMMYFUNCTION("""COMPUTED_VALUE"""),5)</f>
        <v>5</v>
      </c>
      <c r="E8509" s="2">
        <f ca="1">IFERROR(__xludf.DUMMYFUNCTION("""COMPUTED_VALUE"""),2)</f>
        <v>2</v>
      </c>
    </row>
    <row r="8510" spans="1:5" ht="13">
      <c r="A8510" s="2" t="str">
        <f ca="1">IFERROR(__xludf.DUMMYFUNCTION("""COMPUTED_VALUE"""),"Weaver, John")</f>
        <v>Weaver, John</v>
      </c>
      <c r="B8510" s="3">
        <f ca="1">IFERROR(__xludf.DUMMYFUNCTION("""COMPUTED_VALUE"""),1)</f>
        <v>1</v>
      </c>
      <c r="C8510" s="7">
        <f ca="1">IFERROR(__xludf.DUMMYFUNCTION("""COMPUTED_VALUE"""),1)</f>
        <v>1</v>
      </c>
      <c r="D8510" s="8">
        <f ca="1">IFERROR(__xludf.DUMMYFUNCTION("""COMPUTED_VALUE"""),5)</f>
        <v>5</v>
      </c>
      <c r="E8510" s="2">
        <f ca="1">IFERROR(__xludf.DUMMYFUNCTION("""COMPUTED_VALUE"""),2)</f>
        <v>2</v>
      </c>
    </row>
    <row r="8511" spans="1:5" ht="13">
      <c r="A8511" s="8" t="str">
        <f ca="1">IFERROR(__xludf.DUMMYFUNCTION("""COMPUTED_VALUE"""),"Weaver, R.")</f>
        <v>Weaver, R.</v>
      </c>
      <c r="B8511" s="3">
        <f ca="1">IFERROR(__xludf.DUMMYFUNCTION("""COMPUTED_VALUE"""),1)</f>
        <v>1</v>
      </c>
      <c r="C8511" s="7">
        <f ca="1">IFERROR(__xludf.DUMMYFUNCTION("""COMPUTED_VALUE"""),1)</f>
        <v>1</v>
      </c>
      <c r="D8511" s="8">
        <f ca="1">IFERROR(__xludf.DUMMYFUNCTION("""COMPUTED_VALUE"""),5)</f>
        <v>5</v>
      </c>
      <c r="E8511" s="2">
        <f ca="1">IFERROR(__xludf.DUMMYFUNCTION("""COMPUTED_VALUE"""),2)</f>
        <v>2</v>
      </c>
    </row>
    <row r="8512" spans="1:5" ht="13">
      <c r="A8512" s="2" t="str">
        <f ca="1">IFERROR(__xludf.DUMMYFUNCTION("""COMPUTED_VALUE"""),"Webb, Jason")</f>
        <v>Webb, Jason</v>
      </c>
      <c r="B8512" s="2">
        <f ca="1">IFERROR(__xludf.DUMMYFUNCTION("""COMPUTED_VALUE"""),1)</f>
        <v>1</v>
      </c>
      <c r="C8512" s="7">
        <f ca="1">IFERROR(__xludf.DUMMYFUNCTION("""COMPUTED_VALUE"""),1)</f>
        <v>1</v>
      </c>
      <c r="D8512" s="8">
        <f ca="1">IFERROR(__xludf.DUMMYFUNCTION("""COMPUTED_VALUE"""),1)</f>
        <v>1</v>
      </c>
      <c r="E8512" s="2">
        <f ca="1">IFERROR(__xludf.DUMMYFUNCTION("""COMPUTED_VALUE"""),1)</f>
        <v>1</v>
      </c>
    </row>
    <row r="8513" spans="1:5" ht="13">
      <c r="A8513" s="2" t="str">
        <f ca="1">IFERROR(__xludf.DUMMYFUNCTION("""COMPUTED_VALUE"""),"Webb, Jimmy")</f>
        <v>Webb, Jimmy</v>
      </c>
      <c r="B8513" s="3">
        <f ca="1">IFERROR(__xludf.DUMMYFUNCTION("""COMPUTED_VALUE"""),1)</f>
        <v>1</v>
      </c>
      <c r="C8513" s="7">
        <f ca="1">IFERROR(__xludf.DUMMYFUNCTION("""COMPUTED_VALUE"""),1)</f>
        <v>1</v>
      </c>
      <c r="D8513" s="8">
        <f ca="1">IFERROR(__xludf.DUMMYFUNCTION("""COMPUTED_VALUE"""),1)</f>
        <v>1</v>
      </c>
      <c r="E8513" s="2">
        <f ca="1">IFERROR(__xludf.DUMMYFUNCTION("""COMPUTED_VALUE"""),1)</f>
        <v>1</v>
      </c>
    </row>
    <row r="8514" spans="1:5" ht="13">
      <c r="A8514" s="2" t="str">
        <f ca="1">IFERROR(__xludf.DUMMYFUNCTION("""COMPUTED_VALUE"""),"Webb, Marshall")</f>
        <v>Webb, Marshall</v>
      </c>
      <c r="B8514" s="3">
        <f ca="1">IFERROR(__xludf.DUMMYFUNCTION("""COMPUTED_VALUE"""),1)</f>
        <v>1</v>
      </c>
      <c r="C8514" s="7">
        <f ca="1">IFERROR(__xludf.DUMMYFUNCTION("""COMPUTED_VALUE"""),1)</f>
        <v>1</v>
      </c>
      <c r="D8514" s="8">
        <f ca="1">IFERROR(__xludf.DUMMYFUNCTION("""COMPUTED_VALUE"""),1)</f>
        <v>1</v>
      </c>
      <c r="E8514" s="2">
        <f ca="1">IFERROR(__xludf.DUMMYFUNCTION("""COMPUTED_VALUE"""),1)</f>
        <v>1</v>
      </c>
    </row>
    <row r="8515" spans="1:5" ht="13">
      <c r="A8515" s="2" t="str">
        <f ca="1">IFERROR(__xludf.DUMMYFUNCTION("""COMPUTED_VALUE"""),"Webbe, Samuel")</f>
        <v>Webbe, Samuel</v>
      </c>
      <c r="B8515" s="3">
        <f ca="1">IFERROR(__xludf.DUMMYFUNCTION("""COMPUTED_VALUE"""),1)</f>
        <v>1</v>
      </c>
      <c r="C8515" s="7">
        <f ca="1">IFERROR(__xludf.DUMMYFUNCTION("""COMPUTED_VALUE"""),1)</f>
        <v>1</v>
      </c>
      <c r="D8515" s="8">
        <f ca="1">IFERROR(__xludf.DUMMYFUNCTION("""COMPUTED_VALUE"""),5)</f>
        <v>5</v>
      </c>
      <c r="E8515" s="2">
        <f ca="1">IFERROR(__xludf.DUMMYFUNCTION("""COMPUTED_VALUE"""),2)</f>
        <v>2</v>
      </c>
    </row>
    <row r="8516" spans="1:5" ht="13">
      <c r="A8516" s="2" t="str">
        <f ca="1">IFERROR(__xludf.DUMMYFUNCTION("""COMPUTED_VALUE"""),"Webber, Andrew Lloyd")</f>
        <v>Webber, Andrew Lloyd</v>
      </c>
      <c r="B8516" s="3">
        <f ca="1">IFERROR(__xludf.DUMMYFUNCTION("""COMPUTED_VALUE"""),1)</f>
        <v>1</v>
      </c>
      <c r="C8516" s="7">
        <f ca="1">IFERROR(__xludf.DUMMYFUNCTION("""COMPUTED_VALUE"""),1)</f>
        <v>1</v>
      </c>
      <c r="D8516" s="8">
        <f ca="1">IFERROR(__xludf.DUMMYFUNCTION("""COMPUTED_VALUE"""),1)</f>
        <v>1</v>
      </c>
      <c r="E8516" s="2">
        <f ca="1">IFERROR(__xludf.DUMMYFUNCTION("""COMPUTED_VALUE"""),1)</f>
        <v>1</v>
      </c>
    </row>
    <row r="8517" spans="1:5" ht="13">
      <c r="A8517" s="8" t="str">
        <f ca="1">IFERROR(__xludf.DUMMYFUNCTION("""COMPUTED_VALUE"""),"Webber, William Lloyd")</f>
        <v>Webber, William Lloyd</v>
      </c>
      <c r="B8517" s="3">
        <f ca="1">IFERROR(__xludf.DUMMYFUNCTION("""COMPUTED_VALUE"""),1)</f>
        <v>1</v>
      </c>
      <c r="C8517" s="7">
        <f ca="1">IFERROR(__xludf.DUMMYFUNCTION("""COMPUTED_VALUE"""),1)</f>
        <v>1</v>
      </c>
      <c r="D8517" s="8">
        <f ca="1">IFERROR(__xludf.DUMMYFUNCTION("""COMPUTED_VALUE"""),5)</f>
        <v>5</v>
      </c>
      <c r="E8517" s="2">
        <f ca="1">IFERROR(__xludf.DUMMYFUNCTION("""COMPUTED_VALUE"""),2)</f>
        <v>2</v>
      </c>
    </row>
    <row r="8518" spans="1:5" ht="13">
      <c r="A8518" s="8" t="str">
        <f ca="1">IFERROR(__xludf.DUMMYFUNCTION("""COMPUTED_VALUE"""),"Weber Cook, Betsy")</f>
        <v>Weber Cook, Betsy</v>
      </c>
      <c r="B8518" s="3">
        <f ca="1">IFERROR(__xludf.DUMMYFUNCTION("""COMPUTED_VALUE"""),1)</f>
        <v>1</v>
      </c>
      <c r="C8518" s="7">
        <f ca="1">IFERROR(__xludf.DUMMYFUNCTION("""COMPUTED_VALUE"""),1)</f>
        <v>1</v>
      </c>
      <c r="D8518" s="8">
        <f ca="1">IFERROR(__xludf.DUMMYFUNCTION("""COMPUTED_VALUE"""),1)</f>
        <v>1</v>
      </c>
      <c r="E8518" s="2">
        <f ca="1">IFERROR(__xludf.DUMMYFUNCTION("""COMPUTED_VALUE"""),1)</f>
        <v>1</v>
      </c>
    </row>
    <row r="8519" spans="1:5" ht="13">
      <c r="A8519" s="2" t="str">
        <f ca="1">IFERROR(__xludf.DUMMYFUNCTION("""COMPUTED_VALUE"""),"Weber, Carl Maria von")</f>
        <v>Weber, Carl Maria von</v>
      </c>
      <c r="B8519" s="3">
        <f ca="1">IFERROR(__xludf.DUMMYFUNCTION("""COMPUTED_VALUE"""),1)</f>
        <v>1</v>
      </c>
      <c r="C8519" s="7">
        <f ca="1">IFERROR(__xludf.DUMMYFUNCTION("""COMPUTED_VALUE"""),1)</f>
        <v>1</v>
      </c>
      <c r="D8519" s="8">
        <f ca="1">IFERROR(__xludf.DUMMYFUNCTION("""COMPUTED_VALUE"""),5)</f>
        <v>5</v>
      </c>
      <c r="E8519" s="2">
        <f ca="1">IFERROR(__xludf.DUMMYFUNCTION("""COMPUTED_VALUE"""),2)</f>
        <v>2</v>
      </c>
    </row>
    <row r="8520" spans="1:5" ht="13">
      <c r="A8520" s="2" t="str">
        <f ca="1">IFERROR(__xludf.DUMMYFUNCTION("""COMPUTED_VALUE"""),"Webern, Anton")</f>
        <v>Webern, Anton</v>
      </c>
      <c r="B8520" s="3">
        <f ca="1">IFERROR(__xludf.DUMMYFUNCTION("""COMPUTED_VALUE"""),1)</f>
        <v>1</v>
      </c>
      <c r="C8520" s="7">
        <f ca="1">IFERROR(__xludf.DUMMYFUNCTION("""COMPUTED_VALUE"""),1)</f>
        <v>1</v>
      </c>
      <c r="D8520" s="8">
        <f ca="1">IFERROR(__xludf.DUMMYFUNCTION("""COMPUTED_VALUE"""),5)</f>
        <v>5</v>
      </c>
      <c r="E8520" s="2">
        <f ca="1">IFERROR(__xludf.DUMMYFUNCTION("""COMPUTED_VALUE"""),2)</f>
        <v>2</v>
      </c>
    </row>
    <row r="8521" spans="1:5" ht="13">
      <c r="A8521" s="2" t="str">
        <f ca="1">IFERROR(__xludf.DUMMYFUNCTION("""COMPUTED_VALUE"""),"Weberpal, Henry")</f>
        <v>Weberpal, Henry</v>
      </c>
      <c r="B8521" s="2">
        <f ca="1">IFERROR(__xludf.DUMMYFUNCTION("""COMPUTED_VALUE"""),1)</f>
        <v>1</v>
      </c>
      <c r="C8521" s="7">
        <f ca="1">IFERROR(__xludf.DUMMYFUNCTION("""COMPUTED_VALUE"""),1)</f>
        <v>1</v>
      </c>
      <c r="D8521" s="8">
        <f ca="1">IFERROR(__xludf.DUMMYFUNCTION("""COMPUTED_VALUE"""),1)</f>
        <v>1</v>
      </c>
      <c r="E8521" s="2">
        <f ca="1">IFERROR(__xludf.DUMMYFUNCTION("""COMPUTED_VALUE"""),1)</f>
        <v>1</v>
      </c>
    </row>
    <row r="8522" spans="1:5" ht="13">
      <c r="A8522" s="2" t="str">
        <f ca="1">IFERROR(__xludf.DUMMYFUNCTION("""COMPUTED_VALUE"""),"Webster, Joseph")</f>
        <v>Webster, Joseph</v>
      </c>
      <c r="B8522" s="3">
        <f ca="1">IFERROR(__xludf.DUMMYFUNCTION("""COMPUTED_VALUE"""),1)</f>
        <v>1</v>
      </c>
      <c r="C8522" s="7">
        <f ca="1">IFERROR(__xludf.DUMMYFUNCTION("""COMPUTED_VALUE"""),1)</f>
        <v>1</v>
      </c>
      <c r="D8522" s="8">
        <f ca="1">IFERROR(__xludf.DUMMYFUNCTION("""COMPUTED_VALUE"""),5)</f>
        <v>5</v>
      </c>
      <c r="E8522" s="2">
        <f ca="1">IFERROR(__xludf.DUMMYFUNCTION("""COMPUTED_VALUE"""),2)</f>
        <v>2</v>
      </c>
    </row>
    <row r="8523" spans="1:5" ht="13">
      <c r="A8523" s="8" t="str">
        <f ca="1">IFERROR(__xludf.DUMMYFUNCTION("""COMPUTED_VALUE"""),"Weck, David")</f>
        <v>Weck, David</v>
      </c>
      <c r="B8523" s="3">
        <f ca="1">IFERROR(__xludf.DUMMYFUNCTION("""COMPUTED_VALUE"""),1)</f>
        <v>1</v>
      </c>
      <c r="C8523" s="7">
        <f ca="1">IFERROR(__xludf.DUMMYFUNCTION("""COMPUTED_VALUE"""),1)</f>
        <v>1</v>
      </c>
      <c r="D8523" s="8">
        <f ca="1">IFERROR(__xludf.DUMMYFUNCTION("""COMPUTED_VALUE"""),1)</f>
        <v>1</v>
      </c>
      <c r="E8523" s="2">
        <f ca="1">IFERROR(__xludf.DUMMYFUNCTION("""COMPUTED_VALUE"""),1)</f>
        <v>1</v>
      </c>
    </row>
    <row r="8524" spans="1:5" ht="13">
      <c r="A8524" s="2" t="str">
        <f ca="1">IFERROR(__xludf.DUMMYFUNCTION("""COMPUTED_VALUE"""),"Weelkes, Thomas")</f>
        <v>Weelkes, Thomas</v>
      </c>
      <c r="B8524" s="3">
        <f ca="1">IFERROR(__xludf.DUMMYFUNCTION("""COMPUTED_VALUE"""),1)</f>
        <v>1</v>
      </c>
      <c r="C8524" s="7">
        <f ca="1">IFERROR(__xludf.DUMMYFUNCTION("""COMPUTED_VALUE"""),1)</f>
        <v>1</v>
      </c>
      <c r="D8524" s="8">
        <f ca="1">IFERROR(__xludf.DUMMYFUNCTION("""COMPUTED_VALUE"""),5)</f>
        <v>5</v>
      </c>
      <c r="E8524" s="2">
        <f ca="1">IFERROR(__xludf.DUMMYFUNCTION("""COMPUTED_VALUE"""),2)</f>
        <v>2</v>
      </c>
    </row>
    <row r="8525" spans="1:5" ht="13">
      <c r="A8525" s="2" t="str">
        <f ca="1">IFERROR(__xludf.DUMMYFUNCTION("""COMPUTED_VALUE"""),"Weger, Roy")</f>
        <v>Weger, Roy</v>
      </c>
      <c r="B8525" s="3">
        <f ca="1">IFERROR(__xludf.DUMMYFUNCTION("""COMPUTED_VALUE"""),1)</f>
        <v>1</v>
      </c>
      <c r="C8525" s="7">
        <f ca="1">IFERROR(__xludf.DUMMYFUNCTION("""COMPUTED_VALUE"""),1)</f>
        <v>1</v>
      </c>
      <c r="D8525" s="8">
        <f ca="1">IFERROR(__xludf.DUMMYFUNCTION("""COMPUTED_VALUE"""),1)</f>
        <v>1</v>
      </c>
      <c r="E8525" s="2">
        <f ca="1">IFERROR(__xludf.DUMMYFUNCTION("""COMPUTED_VALUE"""),1)</f>
        <v>1</v>
      </c>
    </row>
    <row r="8526" spans="1:5" ht="13">
      <c r="A8526" s="2" t="str">
        <f ca="1">IFERROR(__xludf.DUMMYFUNCTION("""COMPUTED_VALUE"""),"Wegner, Kyle")</f>
        <v>Wegner, Kyle</v>
      </c>
      <c r="B8526" s="3">
        <f ca="1">IFERROR(__xludf.DUMMYFUNCTION("""COMPUTED_VALUE"""),1)</f>
        <v>1</v>
      </c>
      <c r="C8526" s="7">
        <f ca="1">IFERROR(__xludf.DUMMYFUNCTION("""COMPUTED_VALUE"""),1)</f>
        <v>1</v>
      </c>
      <c r="D8526" s="8">
        <f ca="1">IFERROR(__xludf.DUMMYFUNCTION("""COMPUTED_VALUE"""),1)</f>
        <v>1</v>
      </c>
      <c r="E8526" s="2">
        <f ca="1">IFERROR(__xludf.DUMMYFUNCTION("""COMPUTED_VALUE"""),1)</f>
        <v>1</v>
      </c>
    </row>
    <row r="8527" spans="1:5" ht="13">
      <c r="A8527" s="8" t="str">
        <f ca="1">IFERROR(__xludf.DUMMYFUNCTION("""COMPUTED_VALUE"""),"Weidt, A.J.")</f>
        <v>Weidt, A.J.</v>
      </c>
      <c r="B8527" s="3">
        <f ca="1">IFERROR(__xludf.DUMMYFUNCTION("""COMPUTED_VALUE"""),1)</f>
        <v>1</v>
      </c>
      <c r="C8527" s="7">
        <f ca="1">IFERROR(__xludf.DUMMYFUNCTION("""COMPUTED_VALUE"""),1)</f>
        <v>1</v>
      </c>
      <c r="D8527" s="8">
        <f ca="1">IFERROR(__xludf.DUMMYFUNCTION("""COMPUTED_VALUE"""),5)</f>
        <v>5</v>
      </c>
      <c r="E8527" s="2">
        <f ca="1">IFERROR(__xludf.DUMMYFUNCTION("""COMPUTED_VALUE"""),2)</f>
        <v>2</v>
      </c>
    </row>
    <row r="8528" spans="1:5" ht="13">
      <c r="A8528" s="2" t="str">
        <f ca="1">IFERROR(__xludf.DUMMYFUNCTION("""COMPUTED_VALUE"""),"Weigel, Jay")</f>
        <v>Weigel, Jay</v>
      </c>
      <c r="B8528" s="3">
        <f ca="1">IFERROR(__xludf.DUMMYFUNCTION("""COMPUTED_VALUE"""),1)</f>
        <v>1</v>
      </c>
      <c r="C8528" s="7">
        <f ca="1">IFERROR(__xludf.DUMMYFUNCTION("""COMPUTED_VALUE"""),1)</f>
        <v>1</v>
      </c>
      <c r="D8528" s="8">
        <f ca="1">IFERROR(__xludf.DUMMYFUNCTION("""COMPUTED_VALUE"""),1)</f>
        <v>1</v>
      </c>
      <c r="E8528" s="2">
        <f ca="1">IFERROR(__xludf.DUMMYFUNCTION("""COMPUTED_VALUE"""),1)</f>
        <v>1</v>
      </c>
    </row>
    <row r="8529" spans="1:5" ht="13">
      <c r="A8529" s="2" t="str">
        <f ca="1">IFERROR(__xludf.DUMMYFUNCTION("""COMPUTED_VALUE"""),"Weiler, Ronald R. II")</f>
        <v>Weiler, Ronald R. II</v>
      </c>
      <c r="B8529" s="2">
        <f ca="1">IFERROR(__xludf.DUMMYFUNCTION("""COMPUTED_VALUE"""),1)</f>
        <v>1</v>
      </c>
      <c r="C8529" s="7">
        <f ca="1">IFERROR(__xludf.DUMMYFUNCTION("""COMPUTED_VALUE"""),1)</f>
        <v>1</v>
      </c>
      <c r="D8529" s="8">
        <f ca="1">IFERROR(__xludf.DUMMYFUNCTION("""COMPUTED_VALUE"""),5)</f>
        <v>5</v>
      </c>
      <c r="E8529" s="2">
        <f ca="1">IFERROR(__xludf.DUMMYFUNCTION("""COMPUTED_VALUE"""),2)</f>
        <v>2</v>
      </c>
    </row>
    <row r="8530" spans="1:5" ht="13">
      <c r="A8530" s="2" t="str">
        <f ca="1">IFERROR(__xludf.DUMMYFUNCTION("""COMPUTED_VALUE"""),"Weill, Kurt")</f>
        <v>Weill, Kurt</v>
      </c>
      <c r="B8530" s="3">
        <f ca="1">IFERROR(__xludf.DUMMYFUNCTION("""COMPUTED_VALUE"""),1)</f>
        <v>1</v>
      </c>
      <c r="C8530" s="7">
        <f ca="1">IFERROR(__xludf.DUMMYFUNCTION("""COMPUTED_VALUE"""),1)</f>
        <v>1</v>
      </c>
      <c r="D8530" s="8">
        <f ca="1">IFERROR(__xludf.DUMMYFUNCTION("""COMPUTED_VALUE"""),5)</f>
        <v>5</v>
      </c>
      <c r="E8530" s="2">
        <f ca="1">IFERROR(__xludf.DUMMYFUNCTION("""COMPUTED_VALUE"""),2)</f>
        <v>2</v>
      </c>
    </row>
    <row r="8531" spans="1:5" ht="13">
      <c r="A8531" s="2" t="str">
        <f ca="1">IFERROR(__xludf.DUMMYFUNCTION("""COMPUTED_VALUE"""),"Weinberg, Mieczyslaw")</f>
        <v>Weinberg, Mieczyslaw</v>
      </c>
      <c r="B8531" s="3">
        <f ca="1">IFERROR(__xludf.DUMMYFUNCTION("""COMPUTED_VALUE"""),1)</f>
        <v>1</v>
      </c>
      <c r="C8531" s="7">
        <f ca="1">IFERROR(__xludf.DUMMYFUNCTION("""COMPUTED_VALUE"""),1)</f>
        <v>1</v>
      </c>
      <c r="D8531" s="8">
        <f ca="1">IFERROR(__xludf.DUMMYFUNCTION("""COMPUTED_VALUE"""),5)</f>
        <v>5</v>
      </c>
      <c r="E8531" s="2">
        <f ca="1">IFERROR(__xludf.DUMMYFUNCTION("""COMPUTED_VALUE"""),2)</f>
        <v>2</v>
      </c>
    </row>
    <row r="8532" spans="1:5" ht="13">
      <c r="A8532" s="2" t="str">
        <f ca="1">IFERROR(__xludf.DUMMYFUNCTION("""COMPUTED_VALUE"""),"Weinberg, Mieczysław")</f>
        <v>Weinberg, Mieczysław</v>
      </c>
      <c r="B8532" s="3">
        <f ca="1">IFERROR(__xludf.DUMMYFUNCTION("""COMPUTED_VALUE"""),1)</f>
        <v>1</v>
      </c>
      <c r="C8532" s="7">
        <f ca="1">IFERROR(__xludf.DUMMYFUNCTION("""COMPUTED_VALUE"""),1)</f>
        <v>1</v>
      </c>
      <c r="D8532" s="8">
        <f ca="1">IFERROR(__xludf.DUMMYFUNCTION("""COMPUTED_VALUE"""),5)</f>
        <v>5</v>
      </c>
      <c r="E8532" s="2">
        <f ca="1">IFERROR(__xludf.DUMMYFUNCTION("""COMPUTED_VALUE"""),2)</f>
        <v>2</v>
      </c>
    </row>
    <row r="8533" spans="1:5" ht="13">
      <c r="A8533" s="2" t="str">
        <f ca="1">IFERROR(__xludf.DUMMYFUNCTION("""COMPUTED_VALUE"""),"Weinberger, Jaromír")</f>
        <v>Weinberger, Jaromír</v>
      </c>
      <c r="B8533" s="3">
        <f ca="1">IFERROR(__xludf.DUMMYFUNCTION("""COMPUTED_VALUE"""),1)</f>
        <v>1</v>
      </c>
      <c r="C8533" s="7">
        <f ca="1">IFERROR(__xludf.DUMMYFUNCTION("""COMPUTED_VALUE"""),1)</f>
        <v>1</v>
      </c>
      <c r="D8533" s="8">
        <f ca="1">IFERROR(__xludf.DUMMYFUNCTION("""COMPUTED_VALUE"""),5)</f>
        <v>5</v>
      </c>
      <c r="E8533" s="2">
        <f ca="1">IFERROR(__xludf.DUMMYFUNCTION("""COMPUTED_VALUE"""),2)</f>
        <v>2</v>
      </c>
    </row>
    <row r="8534" spans="1:5" ht="13">
      <c r="A8534" s="2" t="str">
        <f ca="1">IFERROR(__xludf.DUMMYFUNCTION("""COMPUTED_VALUE"""),"Weiner, Andy")</f>
        <v>Weiner, Andy</v>
      </c>
      <c r="B8534" s="3">
        <f ca="1">IFERROR(__xludf.DUMMYFUNCTION("""COMPUTED_VALUE"""),1)</f>
        <v>1</v>
      </c>
      <c r="C8534" s="7">
        <f ca="1">IFERROR(__xludf.DUMMYFUNCTION("""COMPUTED_VALUE"""),1)</f>
        <v>1</v>
      </c>
      <c r="D8534" s="8">
        <f ca="1">IFERROR(__xludf.DUMMYFUNCTION("""COMPUTED_VALUE"""),1)</f>
        <v>1</v>
      </c>
      <c r="E8534" s="2">
        <f ca="1">IFERROR(__xludf.DUMMYFUNCTION("""COMPUTED_VALUE"""),1)</f>
        <v>1</v>
      </c>
    </row>
    <row r="8535" spans="1:5" ht="13">
      <c r="A8535" s="2" t="str">
        <f ca="1">IFERROR(__xludf.DUMMYFUNCTION("""COMPUTED_VALUE"""),"Weiner, Lawrence")</f>
        <v>Weiner, Lawrence</v>
      </c>
      <c r="B8535" s="3">
        <f ca="1">IFERROR(__xludf.DUMMYFUNCTION("""COMPUTED_VALUE"""),1)</f>
        <v>1</v>
      </c>
      <c r="C8535" s="7">
        <f ca="1">IFERROR(__xludf.DUMMYFUNCTION("""COMPUTED_VALUE"""),1)</f>
        <v>1</v>
      </c>
      <c r="D8535" s="8">
        <f ca="1">IFERROR(__xludf.DUMMYFUNCTION("""COMPUTED_VALUE"""),5)</f>
        <v>5</v>
      </c>
      <c r="E8535" s="2">
        <f ca="1">IFERROR(__xludf.DUMMYFUNCTION("""COMPUTED_VALUE"""),2)</f>
        <v>2</v>
      </c>
    </row>
    <row r="8536" spans="1:5" ht="13">
      <c r="A8536" s="2" t="str">
        <f ca="1">IFERROR(__xludf.DUMMYFUNCTION("""COMPUTED_VALUE"""),"Weiner, Leó")</f>
        <v>Weiner, Leó</v>
      </c>
      <c r="B8536" s="3">
        <f ca="1">IFERROR(__xludf.DUMMYFUNCTION("""COMPUTED_VALUE"""),1)</f>
        <v>1</v>
      </c>
      <c r="C8536" s="7">
        <f ca="1">IFERROR(__xludf.DUMMYFUNCTION("""COMPUTED_VALUE"""),1)</f>
        <v>1</v>
      </c>
      <c r="D8536" s="8">
        <f ca="1">IFERROR(__xludf.DUMMYFUNCTION("""COMPUTED_VALUE"""),5)</f>
        <v>5</v>
      </c>
      <c r="E8536" s="2">
        <f ca="1">IFERROR(__xludf.DUMMYFUNCTION("""COMPUTED_VALUE"""),2)</f>
        <v>2</v>
      </c>
    </row>
    <row r="8537" spans="1:5" ht="13">
      <c r="A8537" s="2" t="str">
        <f ca="1">IFERROR(__xludf.DUMMYFUNCTION("""COMPUTED_VALUE"""),"Weingartner, Felix von")</f>
        <v>Weingartner, Felix von</v>
      </c>
      <c r="B8537" s="3">
        <f ca="1">IFERROR(__xludf.DUMMYFUNCTION("""COMPUTED_VALUE"""),1)</f>
        <v>1</v>
      </c>
      <c r="C8537" s="7">
        <f ca="1">IFERROR(__xludf.DUMMYFUNCTION("""COMPUTED_VALUE"""),1)</f>
        <v>1</v>
      </c>
      <c r="D8537" s="8">
        <f ca="1">IFERROR(__xludf.DUMMYFUNCTION("""COMPUTED_VALUE"""),5)</f>
        <v>5</v>
      </c>
      <c r="E8537" s="2">
        <f ca="1">IFERROR(__xludf.DUMMYFUNCTION("""COMPUTED_VALUE"""),2)</f>
        <v>2</v>
      </c>
    </row>
    <row r="8538" spans="1:5" ht="13">
      <c r="A8538" s="2" t="str">
        <f ca="1">IFERROR(__xludf.DUMMYFUNCTION("""COMPUTED_VALUE"""),"Weinstein, Michael")</f>
        <v>Weinstein, Michael</v>
      </c>
      <c r="B8538" s="3">
        <f ca="1">IFERROR(__xludf.DUMMYFUNCTION("""COMPUTED_VALUE"""),1)</f>
        <v>1</v>
      </c>
      <c r="C8538" s="7">
        <f ca="1">IFERROR(__xludf.DUMMYFUNCTION("""COMPUTED_VALUE"""),1)</f>
        <v>1</v>
      </c>
      <c r="D8538" s="8">
        <f ca="1">IFERROR(__xludf.DUMMYFUNCTION("""COMPUTED_VALUE"""),1)</f>
        <v>1</v>
      </c>
      <c r="E8538" s="2">
        <f ca="1">IFERROR(__xludf.DUMMYFUNCTION("""COMPUTED_VALUE"""),1)</f>
        <v>1</v>
      </c>
    </row>
    <row r="8539" spans="1:5" ht="13">
      <c r="A8539" s="2" t="str">
        <f ca="1">IFERROR(__xludf.DUMMYFUNCTION("""COMPUTED_VALUE"""),"Weirich, David")</f>
        <v>Weirich, David</v>
      </c>
      <c r="B8539" s="3">
        <f ca="1">IFERROR(__xludf.DUMMYFUNCTION("""COMPUTED_VALUE"""),1)</f>
        <v>1</v>
      </c>
      <c r="C8539" s="7">
        <f ca="1">IFERROR(__xludf.DUMMYFUNCTION("""COMPUTED_VALUE"""),1)</f>
        <v>1</v>
      </c>
      <c r="D8539" s="8">
        <f ca="1">IFERROR(__xludf.DUMMYFUNCTION("""COMPUTED_VALUE"""),1)</f>
        <v>1</v>
      </c>
      <c r="E8539" s="2">
        <f ca="1">IFERROR(__xludf.DUMMYFUNCTION("""COMPUTED_VALUE"""),1)</f>
        <v>1</v>
      </c>
    </row>
    <row r="8540" spans="1:5" ht="13">
      <c r="A8540" s="8" t="str">
        <f ca="1">IFERROR(__xludf.DUMMYFUNCTION("""COMPUTED_VALUE"""),"Weisher, Matthew")</f>
        <v>Weisher, Matthew</v>
      </c>
      <c r="B8540" s="3">
        <f ca="1">IFERROR(__xludf.DUMMYFUNCTION("""COMPUTED_VALUE"""),1)</f>
        <v>1</v>
      </c>
      <c r="C8540" s="7">
        <f ca="1">IFERROR(__xludf.DUMMYFUNCTION("""COMPUTED_VALUE"""),1)</f>
        <v>1</v>
      </c>
      <c r="D8540" s="8">
        <f ca="1">IFERROR(__xludf.DUMMYFUNCTION("""COMPUTED_VALUE"""),1)</f>
        <v>1</v>
      </c>
      <c r="E8540" s="2">
        <f ca="1">IFERROR(__xludf.DUMMYFUNCTION("""COMPUTED_VALUE"""),1)</f>
        <v>1</v>
      </c>
    </row>
    <row r="8541" spans="1:5" ht="13">
      <c r="A8541" s="2" t="str">
        <f ca="1">IFERROR(__xludf.DUMMYFUNCTION("""COMPUTED_VALUE"""),"Weiss, Donn")</f>
        <v>Weiss, Donn</v>
      </c>
      <c r="B8541" s="3">
        <f ca="1">IFERROR(__xludf.DUMMYFUNCTION("""COMPUTED_VALUE"""),1)</f>
        <v>1</v>
      </c>
      <c r="C8541" s="7">
        <f ca="1">IFERROR(__xludf.DUMMYFUNCTION("""COMPUTED_VALUE"""),1)</f>
        <v>1</v>
      </c>
      <c r="D8541" s="8">
        <f ca="1">IFERROR(__xludf.DUMMYFUNCTION("""COMPUTED_VALUE"""),5)</f>
        <v>5</v>
      </c>
      <c r="E8541" s="2">
        <f ca="1">IFERROR(__xludf.DUMMYFUNCTION("""COMPUTED_VALUE"""),2)</f>
        <v>2</v>
      </c>
    </row>
    <row r="8542" spans="1:5" ht="13">
      <c r="A8542" s="2" t="str">
        <f ca="1">IFERROR(__xludf.DUMMYFUNCTION("""COMPUTED_VALUE"""),"Weiss, George David")</f>
        <v>Weiss, George David</v>
      </c>
      <c r="B8542" s="3">
        <f ca="1">IFERROR(__xludf.DUMMYFUNCTION("""COMPUTED_VALUE"""),1)</f>
        <v>1</v>
      </c>
      <c r="C8542" s="7">
        <f ca="1">IFERROR(__xludf.DUMMYFUNCTION("""COMPUTED_VALUE"""),1)</f>
        <v>1</v>
      </c>
      <c r="D8542" s="8">
        <f ca="1">IFERROR(__xludf.DUMMYFUNCTION("""COMPUTED_VALUE"""),5)</f>
        <v>5</v>
      </c>
      <c r="E8542" s="2">
        <f ca="1">IFERROR(__xludf.DUMMYFUNCTION("""COMPUTED_VALUE"""),2)</f>
        <v>2</v>
      </c>
    </row>
    <row r="8543" spans="1:5" ht="13">
      <c r="A8543" s="2" t="str">
        <f ca="1">IFERROR(__xludf.DUMMYFUNCTION("""COMPUTED_VALUE"""),"Weiss, George David / Thiele, Bob")</f>
        <v>Weiss, George David / Thiele, Bob</v>
      </c>
      <c r="B8543" s="2">
        <f ca="1">IFERROR(__xludf.DUMMYFUNCTION("""COMPUTED_VALUE"""),1)</f>
        <v>1</v>
      </c>
      <c r="C8543" s="7">
        <f ca="1">IFERROR(__xludf.DUMMYFUNCTION("""COMPUTED_VALUE"""),1)</f>
        <v>1</v>
      </c>
      <c r="D8543" s="8">
        <f ca="1">IFERROR(__xludf.DUMMYFUNCTION("""COMPUTED_VALUE"""),5)</f>
        <v>5</v>
      </c>
      <c r="E8543" s="2">
        <f ca="1">IFERROR(__xludf.DUMMYFUNCTION("""COMPUTED_VALUE"""),2)</f>
        <v>2</v>
      </c>
    </row>
    <row r="8544" spans="1:5" ht="13">
      <c r="A8544" s="2" t="str">
        <f ca="1">IFERROR(__xludf.DUMMYFUNCTION("""COMPUTED_VALUE"""),"Weiss, George David / Thiele, Bob / Baumgartner")</f>
        <v>Weiss, George David / Thiele, Bob / Baumgartner</v>
      </c>
      <c r="B8544" s="3">
        <f ca="1">IFERROR(__xludf.DUMMYFUNCTION("""COMPUTED_VALUE"""),1)</f>
        <v>1</v>
      </c>
      <c r="C8544" s="7">
        <f ca="1">IFERROR(__xludf.DUMMYFUNCTION("""COMPUTED_VALUE"""),1)</f>
        <v>1</v>
      </c>
      <c r="D8544" s="8">
        <f ca="1">IFERROR(__xludf.DUMMYFUNCTION("""COMPUTED_VALUE"""),5)</f>
        <v>5</v>
      </c>
      <c r="E8544" s="2">
        <f ca="1">IFERROR(__xludf.DUMMYFUNCTION("""COMPUTED_VALUE"""),2)</f>
        <v>2</v>
      </c>
    </row>
    <row r="8545" spans="1:5" ht="13">
      <c r="A8545" s="2" t="str">
        <f ca="1">IFERROR(__xludf.DUMMYFUNCTION("""COMPUTED_VALUE"""),"Weiss, Steve")</f>
        <v>Weiss, Steve</v>
      </c>
      <c r="B8545" s="2">
        <f ca="1">IFERROR(__xludf.DUMMYFUNCTION("""COMPUTED_VALUE"""),1)</f>
        <v>1</v>
      </c>
      <c r="C8545" s="7">
        <f ca="1">IFERROR(__xludf.DUMMYFUNCTION("""COMPUTED_VALUE"""),1)</f>
        <v>1</v>
      </c>
      <c r="D8545" s="8">
        <f ca="1">IFERROR(__xludf.DUMMYFUNCTION("""COMPUTED_VALUE"""),5)</f>
        <v>5</v>
      </c>
      <c r="E8545" s="2">
        <f ca="1">IFERROR(__xludf.DUMMYFUNCTION("""COMPUTED_VALUE"""),2)</f>
        <v>2</v>
      </c>
    </row>
    <row r="8546" spans="1:5" ht="13">
      <c r="A8546" s="2" t="str">
        <f ca="1">IFERROR(__xludf.DUMMYFUNCTION("""COMPUTED_VALUE"""),"Weisse, Michael")</f>
        <v>Weisse, Michael</v>
      </c>
      <c r="B8546" s="3">
        <f ca="1">IFERROR(__xludf.DUMMYFUNCTION("""COMPUTED_VALUE"""),1)</f>
        <v>1</v>
      </c>
      <c r="C8546" s="7">
        <f ca="1">IFERROR(__xludf.DUMMYFUNCTION("""COMPUTED_VALUE"""),1)</f>
        <v>1</v>
      </c>
      <c r="D8546" s="8">
        <f ca="1">IFERROR(__xludf.DUMMYFUNCTION("""COMPUTED_VALUE"""),5)</f>
        <v>5</v>
      </c>
      <c r="E8546" s="2">
        <f ca="1">IFERROR(__xludf.DUMMYFUNCTION("""COMPUTED_VALUE"""),2)</f>
        <v>2</v>
      </c>
    </row>
    <row r="8547" spans="1:5" ht="13">
      <c r="A8547" s="8" t="str">
        <f ca="1">IFERROR(__xludf.DUMMYFUNCTION("""COMPUTED_VALUE"""),"Weissenborn, Julius")</f>
        <v>Weissenborn, Julius</v>
      </c>
      <c r="B8547" s="3">
        <f ca="1">IFERROR(__xludf.DUMMYFUNCTION("""COMPUTED_VALUE"""),1)</f>
        <v>1</v>
      </c>
      <c r="C8547" s="7">
        <f ca="1">IFERROR(__xludf.DUMMYFUNCTION("""COMPUTED_VALUE"""),1)</f>
        <v>1</v>
      </c>
      <c r="D8547" s="8">
        <f ca="1">IFERROR(__xludf.DUMMYFUNCTION("""COMPUTED_VALUE"""),5)</f>
        <v>5</v>
      </c>
      <c r="E8547" s="2">
        <f ca="1">IFERROR(__xludf.DUMMYFUNCTION("""COMPUTED_VALUE"""),2)</f>
        <v>2</v>
      </c>
    </row>
    <row r="8548" spans="1:5" ht="13">
      <c r="A8548" s="8" t="str">
        <f ca="1">IFERROR(__xludf.DUMMYFUNCTION("""COMPUTED_VALUE"""),"Weissfish, Shlomo")</f>
        <v>Weissfish, Shlomo</v>
      </c>
      <c r="B8548" s="3">
        <f ca="1">IFERROR(__xludf.DUMMYFUNCTION("""COMPUTED_VALUE"""),1)</f>
        <v>1</v>
      </c>
      <c r="C8548" s="7">
        <f ca="1">IFERROR(__xludf.DUMMYFUNCTION("""COMPUTED_VALUE"""),1)</f>
        <v>1</v>
      </c>
      <c r="D8548" s="8">
        <f ca="1">IFERROR(__xludf.DUMMYFUNCTION("""COMPUTED_VALUE"""),1)</f>
        <v>1</v>
      </c>
      <c r="E8548" s="2">
        <f ca="1">IFERROR(__xludf.DUMMYFUNCTION("""COMPUTED_VALUE"""),1)</f>
        <v>1</v>
      </c>
    </row>
    <row r="8549" spans="1:5" ht="13">
      <c r="A8549" s="2" t="str">
        <f ca="1">IFERROR(__xludf.DUMMYFUNCTION("""COMPUTED_VALUE"""),"Welcher, Dan")</f>
        <v>Welcher, Dan</v>
      </c>
      <c r="B8549" s="3">
        <f ca="1">IFERROR(__xludf.DUMMYFUNCTION("""COMPUTED_VALUE"""),1)</f>
        <v>1</v>
      </c>
      <c r="C8549" s="7">
        <f ca="1">IFERROR(__xludf.DUMMYFUNCTION("""COMPUTED_VALUE"""),1)</f>
        <v>1</v>
      </c>
      <c r="D8549" s="8">
        <f ca="1">IFERROR(__xludf.DUMMYFUNCTION("""COMPUTED_VALUE"""),1)</f>
        <v>1</v>
      </c>
      <c r="E8549" s="2">
        <f ca="1">IFERROR(__xludf.DUMMYFUNCTION("""COMPUTED_VALUE"""),1)</f>
        <v>1</v>
      </c>
    </row>
    <row r="8550" spans="1:5" ht="13">
      <c r="A8550" s="2" t="str">
        <f ca="1">IFERROR(__xludf.DUMMYFUNCTION("""COMPUTED_VALUE"""),"Weller, Travis J.")</f>
        <v>Weller, Travis J.</v>
      </c>
      <c r="B8550" s="3">
        <f ca="1">IFERROR(__xludf.DUMMYFUNCTION("""COMPUTED_VALUE"""),1)</f>
        <v>1</v>
      </c>
      <c r="C8550" s="7">
        <f ca="1">IFERROR(__xludf.DUMMYFUNCTION("""COMPUTED_VALUE"""),1)</f>
        <v>1</v>
      </c>
      <c r="D8550" s="8">
        <f ca="1">IFERROR(__xludf.DUMMYFUNCTION("""COMPUTED_VALUE"""),1)</f>
        <v>1</v>
      </c>
      <c r="E8550" s="2">
        <f ca="1">IFERROR(__xludf.DUMMYFUNCTION("""COMPUTED_VALUE"""),1)</f>
        <v>1</v>
      </c>
    </row>
    <row r="8551" spans="1:5" ht="13">
      <c r="A8551" s="2" t="str">
        <f ca="1">IFERROR(__xludf.DUMMYFUNCTION("""COMPUTED_VALUE"""),"Wells, Bob / Tormé, Mel")</f>
        <v>Wells, Bob / Tormé, Mel</v>
      </c>
      <c r="B8551" s="2">
        <f ca="1">IFERROR(__xludf.DUMMYFUNCTION("""COMPUTED_VALUE"""),1)</f>
        <v>1</v>
      </c>
      <c r="C8551" s="7">
        <f ca="1">IFERROR(__xludf.DUMMYFUNCTION("""COMPUTED_VALUE"""),1)</f>
        <v>1</v>
      </c>
      <c r="D8551" s="8">
        <f ca="1">IFERROR(__xludf.DUMMYFUNCTION("""COMPUTED_VALUE"""),5)</f>
        <v>5</v>
      </c>
      <c r="E8551" s="2">
        <f ca="1">IFERROR(__xludf.DUMMYFUNCTION("""COMPUTED_VALUE"""),2)</f>
        <v>2</v>
      </c>
    </row>
    <row r="8552" spans="1:5" ht="13">
      <c r="A8552" s="2" t="str">
        <f ca="1">IFERROR(__xludf.DUMMYFUNCTION("""COMPUTED_VALUE"""),"Wells, Brent")</f>
        <v>Wells, Brent</v>
      </c>
      <c r="B8552" s="3">
        <f ca="1">IFERROR(__xludf.DUMMYFUNCTION("""COMPUTED_VALUE"""),1)</f>
        <v>1</v>
      </c>
      <c r="C8552" s="7">
        <f ca="1">IFERROR(__xludf.DUMMYFUNCTION("""COMPUTED_VALUE"""),1)</f>
        <v>1</v>
      </c>
      <c r="D8552" s="8">
        <f ca="1">IFERROR(__xludf.DUMMYFUNCTION("""COMPUTED_VALUE"""),1)</f>
        <v>1</v>
      </c>
      <c r="E8552" s="2">
        <f ca="1">IFERROR(__xludf.DUMMYFUNCTION("""COMPUTED_VALUE"""),1)</f>
        <v>1</v>
      </c>
    </row>
    <row r="8553" spans="1:5" ht="13">
      <c r="A8553" s="2" t="str">
        <f ca="1">IFERROR(__xludf.DUMMYFUNCTION("""COMPUTED_VALUE"""),"Wells, David")</f>
        <v>Wells, David</v>
      </c>
      <c r="B8553" s="3">
        <f ca="1">IFERROR(__xludf.DUMMYFUNCTION("""COMPUTED_VALUE"""),1)</f>
        <v>1</v>
      </c>
      <c r="C8553" s="7">
        <f ca="1">IFERROR(__xludf.DUMMYFUNCTION("""COMPUTED_VALUE"""),1)</f>
        <v>1</v>
      </c>
      <c r="D8553" s="8">
        <f ca="1">IFERROR(__xludf.DUMMYFUNCTION("""COMPUTED_VALUE"""),1)</f>
        <v>1</v>
      </c>
      <c r="E8553" s="2">
        <f ca="1">IFERROR(__xludf.DUMMYFUNCTION("""COMPUTED_VALUE"""),1)</f>
        <v>1</v>
      </c>
    </row>
    <row r="8554" spans="1:5" ht="13">
      <c r="A8554" s="2" t="str">
        <f ca="1">IFERROR(__xludf.DUMMYFUNCTION("""COMPUTED_VALUE"""),"Wells, David L.")</f>
        <v>Wells, David L.</v>
      </c>
      <c r="B8554" s="3">
        <f ca="1">IFERROR(__xludf.DUMMYFUNCTION("""COMPUTED_VALUE"""),1)</f>
        <v>1</v>
      </c>
      <c r="C8554" s="7">
        <f ca="1">IFERROR(__xludf.DUMMYFUNCTION("""COMPUTED_VALUE"""),1)</f>
        <v>1</v>
      </c>
      <c r="D8554" s="8">
        <f ca="1">IFERROR(__xludf.DUMMYFUNCTION("""COMPUTED_VALUE"""),1)</f>
        <v>1</v>
      </c>
      <c r="E8554" s="2">
        <f ca="1">IFERROR(__xludf.DUMMYFUNCTION("""COMPUTED_VALUE"""),1)</f>
        <v>1</v>
      </c>
    </row>
    <row r="8555" spans="1:5" ht="13">
      <c r="A8555" s="2" t="str">
        <f ca="1">IFERROR(__xludf.DUMMYFUNCTION("""COMPUTED_VALUE"""),"Wells, Robert and Torme, Mel and Guaraldi, Vince")</f>
        <v>Wells, Robert and Torme, Mel and Guaraldi, Vince</v>
      </c>
      <c r="B8555" s="3">
        <f ca="1">IFERROR(__xludf.DUMMYFUNCTION("""COMPUTED_VALUE"""),1)</f>
        <v>1</v>
      </c>
      <c r="C8555" s="7">
        <f ca="1">IFERROR(__xludf.DUMMYFUNCTION("""COMPUTED_VALUE"""),1)</f>
        <v>1</v>
      </c>
      <c r="D8555" s="8">
        <f ca="1">IFERROR(__xludf.DUMMYFUNCTION("""COMPUTED_VALUE"""),5)</f>
        <v>5</v>
      </c>
      <c r="E8555" s="2">
        <f ca="1">IFERROR(__xludf.DUMMYFUNCTION("""COMPUTED_VALUE"""),2)</f>
        <v>2</v>
      </c>
    </row>
    <row r="8556" spans="1:5" ht="13">
      <c r="A8556" s="2" t="str">
        <f ca="1">IFERROR(__xludf.DUMMYFUNCTION("""COMPUTED_VALUE"""),"Welsch, James")</f>
        <v>Welsch, James</v>
      </c>
      <c r="B8556" s="3">
        <f ca="1">IFERROR(__xludf.DUMMYFUNCTION("""COMPUTED_VALUE"""),1)</f>
        <v>1</v>
      </c>
      <c r="C8556" s="7">
        <f ca="1">IFERROR(__xludf.DUMMYFUNCTION("""COMPUTED_VALUE"""),1)</f>
        <v>1</v>
      </c>
      <c r="D8556" s="8">
        <f ca="1">IFERROR(__xludf.DUMMYFUNCTION("""COMPUTED_VALUE"""),1)</f>
        <v>1</v>
      </c>
      <c r="E8556" s="2">
        <f ca="1">IFERROR(__xludf.DUMMYFUNCTION("""COMPUTED_VALUE"""),1)</f>
        <v>1</v>
      </c>
    </row>
    <row r="8557" spans="1:5" ht="13">
      <c r="A8557" s="2" t="str">
        <f ca="1">IFERROR(__xludf.DUMMYFUNCTION("""COMPUTED_VALUE"""),"Wendel, Robert")</f>
        <v>Wendel, Robert</v>
      </c>
      <c r="B8557" s="3">
        <f ca="1">IFERROR(__xludf.DUMMYFUNCTION("""COMPUTED_VALUE"""),1)</f>
        <v>1</v>
      </c>
      <c r="C8557" s="7">
        <f ca="1">IFERROR(__xludf.DUMMYFUNCTION("""COMPUTED_VALUE"""),1)</f>
        <v>1</v>
      </c>
      <c r="D8557" s="8">
        <f ca="1">IFERROR(__xludf.DUMMYFUNCTION("""COMPUTED_VALUE"""),1)</f>
        <v>1</v>
      </c>
      <c r="E8557" s="2">
        <f ca="1">IFERROR(__xludf.DUMMYFUNCTION("""COMPUTED_VALUE"""),1)</f>
        <v>1</v>
      </c>
    </row>
    <row r="8558" spans="1:5" ht="13">
      <c r="A8558" s="2" t="str">
        <f ca="1">IFERROR(__xludf.DUMMYFUNCTION("""COMPUTED_VALUE"""),"Wendt, Johann Nepomuk")</f>
        <v>Wendt, Johann Nepomuk</v>
      </c>
      <c r="B8558" s="3">
        <f ca="1">IFERROR(__xludf.DUMMYFUNCTION("""COMPUTED_VALUE"""),1)</f>
        <v>1</v>
      </c>
      <c r="C8558" s="7">
        <f ca="1">IFERROR(__xludf.DUMMYFUNCTION("""COMPUTED_VALUE"""),1)</f>
        <v>1</v>
      </c>
      <c r="D8558" s="8">
        <f ca="1">IFERROR(__xludf.DUMMYFUNCTION("""COMPUTED_VALUE"""),5)</f>
        <v>5</v>
      </c>
      <c r="E8558" s="2">
        <f ca="1">IFERROR(__xludf.DUMMYFUNCTION("""COMPUTED_VALUE"""),2)</f>
        <v>2</v>
      </c>
    </row>
    <row r="8559" spans="1:5" ht="13">
      <c r="A8559" s="2" t="str">
        <f ca="1">IFERROR(__xludf.DUMMYFUNCTION("""COMPUTED_VALUE"""),"Wengert, Dustin")</f>
        <v>Wengert, Dustin</v>
      </c>
      <c r="B8559" s="3">
        <f ca="1">IFERROR(__xludf.DUMMYFUNCTION("""COMPUTED_VALUE"""),1)</f>
        <v>1</v>
      </c>
      <c r="C8559" s="7">
        <f ca="1">IFERROR(__xludf.DUMMYFUNCTION("""COMPUTED_VALUE"""),1)</f>
        <v>1</v>
      </c>
      <c r="D8559" s="8">
        <f ca="1">IFERROR(__xludf.DUMMYFUNCTION("""COMPUTED_VALUE"""),1)</f>
        <v>1</v>
      </c>
      <c r="E8559" s="2">
        <f ca="1">IFERROR(__xludf.DUMMYFUNCTION("""COMPUTED_VALUE"""),1)</f>
        <v>1</v>
      </c>
    </row>
    <row r="8560" spans="1:5" ht="13">
      <c r="A8560" s="2" t="str">
        <f ca="1">IFERROR(__xludf.DUMMYFUNCTION("""COMPUTED_VALUE"""),"Werfelman, David")</f>
        <v>Werfelman, David</v>
      </c>
      <c r="B8560" s="3">
        <f ca="1">IFERROR(__xludf.DUMMYFUNCTION("""COMPUTED_VALUE"""),1)</f>
        <v>1</v>
      </c>
      <c r="C8560" s="7">
        <f ca="1">IFERROR(__xludf.DUMMYFUNCTION("""COMPUTED_VALUE"""),1)</f>
        <v>1</v>
      </c>
      <c r="D8560" s="8">
        <f ca="1">IFERROR(__xludf.DUMMYFUNCTION("""COMPUTED_VALUE"""),1)</f>
        <v>1</v>
      </c>
      <c r="E8560" s="2">
        <f ca="1">IFERROR(__xludf.DUMMYFUNCTION("""COMPUTED_VALUE"""),1)</f>
        <v>1</v>
      </c>
    </row>
    <row r="8561" spans="1:5" ht="13">
      <c r="A8561" s="2" t="str">
        <f ca="1">IFERROR(__xludf.DUMMYFUNCTION("""COMPUTED_VALUE"""),"Werle, Floyd")</f>
        <v>Werle, Floyd</v>
      </c>
      <c r="B8561" s="3">
        <f ca="1">IFERROR(__xludf.DUMMYFUNCTION("""COMPUTED_VALUE"""),1)</f>
        <v>1</v>
      </c>
      <c r="C8561" s="7">
        <f ca="1">IFERROR(__xludf.DUMMYFUNCTION("""COMPUTED_VALUE"""),1)</f>
        <v>1</v>
      </c>
      <c r="D8561" s="8">
        <f ca="1">IFERROR(__xludf.DUMMYFUNCTION("""COMPUTED_VALUE"""),5)</f>
        <v>5</v>
      </c>
      <c r="E8561" s="2">
        <f ca="1">IFERROR(__xludf.DUMMYFUNCTION("""COMPUTED_VALUE"""),2)</f>
        <v>2</v>
      </c>
    </row>
    <row r="8562" spans="1:5" ht="13">
      <c r="A8562" s="2" t="str">
        <f ca="1">IFERROR(__xludf.DUMMYFUNCTION("""COMPUTED_VALUE"""),"Werling, Reinhold")</f>
        <v>Werling, Reinhold</v>
      </c>
      <c r="B8562" s="3">
        <f ca="1">IFERROR(__xludf.DUMMYFUNCTION("""COMPUTED_VALUE"""),1)</f>
        <v>1</v>
      </c>
      <c r="C8562" s="7">
        <f ca="1">IFERROR(__xludf.DUMMYFUNCTION("""COMPUTED_VALUE"""),1)</f>
        <v>1</v>
      </c>
      <c r="D8562" s="8">
        <f ca="1">IFERROR(__xludf.DUMMYFUNCTION("""COMPUTED_VALUE"""),5)</f>
        <v>5</v>
      </c>
      <c r="E8562" s="2">
        <f ca="1">IFERROR(__xludf.DUMMYFUNCTION("""COMPUTED_VALUE"""),2)</f>
        <v>2</v>
      </c>
    </row>
    <row r="8563" spans="1:5" ht="13">
      <c r="A8563" s="2" t="str">
        <f ca="1">IFERROR(__xludf.DUMMYFUNCTION("""COMPUTED_VALUE"""),"Werner, Gregor J.")</f>
        <v>Werner, Gregor J.</v>
      </c>
      <c r="B8563" s="2">
        <f ca="1">IFERROR(__xludf.DUMMYFUNCTION("""COMPUTED_VALUE"""),1)</f>
        <v>1</v>
      </c>
      <c r="C8563" s="7">
        <f ca="1">IFERROR(__xludf.DUMMYFUNCTION("""COMPUTED_VALUE"""),1)</f>
        <v>1</v>
      </c>
      <c r="D8563" s="8">
        <f ca="1">IFERROR(__xludf.DUMMYFUNCTION("""COMPUTED_VALUE"""),5)</f>
        <v>5</v>
      </c>
      <c r="E8563" s="2">
        <f ca="1">IFERROR(__xludf.DUMMYFUNCTION("""COMPUTED_VALUE"""),2)</f>
        <v>2</v>
      </c>
    </row>
    <row r="8564" spans="1:5" ht="13">
      <c r="A8564" s="2" t="str">
        <f ca="1">IFERROR(__xludf.DUMMYFUNCTION("""COMPUTED_VALUE"""),"Werner, Josef")</f>
        <v>Werner, Josef</v>
      </c>
      <c r="B8564" s="2">
        <f ca="1">IFERROR(__xludf.DUMMYFUNCTION("""COMPUTED_VALUE"""),1)</f>
        <v>1</v>
      </c>
      <c r="C8564" s="2">
        <f ca="1">IFERROR(__xludf.DUMMYFUNCTION("""COMPUTED_VALUE"""),1)</f>
        <v>1</v>
      </c>
      <c r="D8564" s="8">
        <f ca="1">IFERROR(__xludf.DUMMYFUNCTION("""COMPUTED_VALUE"""),5)</f>
        <v>5</v>
      </c>
      <c r="E8564" s="2">
        <f ca="1">IFERROR(__xludf.DUMMYFUNCTION("""COMPUTED_VALUE"""),2)</f>
        <v>2</v>
      </c>
    </row>
    <row r="8565" spans="1:5" ht="13">
      <c r="A8565" s="2" t="str">
        <f ca="1">IFERROR(__xludf.DUMMYFUNCTION("""COMPUTED_VALUE"""),"Wernke, Kyle")</f>
        <v>Wernke, Kyle</v>
      </c>
      <c r="B8565" s="3">
        <f ca="1">IFERROR(__xludf.DUMMYFUNCTION("""COMPUTED_VALUE"""),1)</f>
        <v>1</v>
      </c>
      <c r="C8565" s="7">
        <f ca="1">IFERROR(__xludf.DUMMYFUNCTION("""COMPUTED_VALUE"""),1)</f>
        <v>1</v>
      </c>
      <c r="D8565" s="8">
        <f ca="1">IFERROR(__xludf.DUMMYFUNCTION("""COMPUTED_VALUE"""),1)</f>
        <v>1</v>
      </c>
      <c r="E8565" s="2">
        <f ca="1">IFERROR(__xludf.DUMMYFUNCTION("""COMPUTED_VALUE"""),1)</f>
        <v>1</v>
      </c>
    </row>
    <row r="8566" spans="1:5" ht="13">
      <c r="A8566" s="2" t="str">
        <f ca="1">IFERROR(__xludf.DUMMYFUNCTION("""COMPUTED_VALUE"""),"Werrenrath, Reinald")</f>
        <v>Werrenrath, Reinald</v>
      </c>
      <c r="B8566" s="3">
        <f ca="1">IFERROR(__xludf.DUMMYFUNCTION("""COMPUTED_VALUE"""),1)</f>
        <v>1</v>
      </c>
      <c r="C8566" s="7">
        <f ca="1">IFERROR(__xludf.DUMMYFUNCTION("""COMPUTED_VALUE"""),1)</f>
        <v>1</v>
      </c>
      <c r="D8566" s="8">
        <f ca="1">IFERROR(__xludf.DUMMYFUNCTION("""COMPUTED_VALUE"""),5)</f>
        <v>5</v>
      </c>
      <c r="E8566" s="2">
        <f ca="1">IFERROR(__xludf.DUMMYFUNCTION("""COMPUTED_VALUE"""),2)</f>
        <v>2</v>
      </c>
    </row>
    <row r="8567" spans="1:5" ht="13">
      <c r="A8567" s="8" t="str">
        <f ca="1">IFERROR(__xludf.DUMMYFUNCTION("""COMPUTED_VALUE"""),"Wersen, Louis G.")</f>
        <v>Wersen, Louis G.</v>
      </c>
      <c r="B8567" s="3">
        <f ca="1">IFERROR(__xludf.DUMMYFUNCTION("""COMPUTED_VALUE"""),1)</f>
        <v>1</v>
      </c>
      <c r="C8567" s="7">
        <f ca="1">IFERROR(__xludf.DUMMYFUNCTION("""COMPUTED_VALUE"""),1)</f>
        <v>1</v>
      </c>
      <c r="D8567" s="8">
        <f ca="1">IFERROR(__xludf.DUMMYFUNCTION("""COMPUTED_VALUE"""),5)</f>
        <v>5</v>
      </c>
      <c r="E8567" s="2">
        <f ca="1">IFERROR(__xludf.DUMMYFUNCTION("""COMPUTED_VALUE"""),2)</f>
        <v>2</v>
      </c>
    </row>
    <row r="8568" spans="1:5" ht="13">
      <c r="A8568" s="2" t="str">
        <f ca="1">IFERROR(__xludf.DUMMYFUNCTION("""COMPUTED_VALUE"""),"Wert, Giaches de")</f>
        <v>Wert, Giaches de</v>
      </c>
      <c r="B8568" s="3">
        <f ca="1">IFERROR(__xludf.DUMMYFUNCTION("""COMPUTED_VALUE"""),1)</f>
        <v>1</v>
      </c>
      <c r="C8568" s="7">
        <f ca="1">IFERROR(__xludf.DUMMYFUNCTION("""COMPUTED_VALUE"""),1)</f>
        <v>1</v>
      </c>
      <c r="D8568" s="8">
        <f ca="1">IFERROR(__xludf.DUMMYFUNCTION("""COMPUTED_VALUE"""),5)</f>
        <v>5</v>
      </c>
      <c r="E8568" s="2">
        <f ca="1">IFERROR(__xludf.DUMMYFUNCTION("""COMPUTED_VALUE"""),2)</f>
        <v>2</v>
      </c>
    </row>
    <row r="8569" spans="1:5" ht="13">
      <c r="A8569" s="2" t="str">
        <f ca="1">IFERROR(__xludf.DUMMYFUNCTION("""COMPUTED_VALUE"""),"Wesley, Samuel")</f>
        <v>Wesley, Samuel</v>
      </c>
      <c r="B8569" s="3">
        <f ca="1">IFERROR(__xludf.DUMMYFUNCTION("""COMPUTED_VALUE"""),1)</f>
        <v>1</v>
      </c>
      <c r="C8569" s="7">
        <f ca="1">IFERROR(__xludf.DUMMYFUNCTION("""COMPUTED_VALUE"""),1)</f>
        <v>1</v>
      </c>
      <c r="D8569" s="8">
        <f ca="1">IFERROR(__xludf.DUMMYFUNCTION("""COMPUTED_VALUE"""),5)</f>
        <v>5</v>
      </c>
      <c r="E8569" s="2">
        <f ca="1">IFERROR(__xludf.DUMMYFUNCTION("""COMPUTED_VALUE"""),2)</f>
        <v>2</v>
      </c>
    </row>
    <row r="8570" spans="1:5" ht="13">
      <c r="A8570" s="2" t="str">
        <f ca="1">IFERROR(__xludf.DUMMYFUNCTION("""COMPUTED_VALUE"""),"Wessler, Dan")</f>
        <v>Wessler, Dan</v>
      </c>
      <c r="B8570" s="3">
        <f ca="1">IFERROR(__xludf.DUMMYFUNCTION("""COMPUTED_VALUE"""),1)</f>
        <v>1</v>
      </c>
      <c r="C8570" s="7">
        <f ca="1">IFERROR(__xludf.DUMMYFUNCTION("""COMPUTED_VALUE"""),1)</f>
        <v>1</v>
      </c>
      <c r="D8570" s="8">
        <f ca="1">IFERROR(__xludf.DUMMYFUNCTION("""COMPUTED_VALUE"""),1)</f>
        <v>1</v>
      </c>
      <c r="E8570" s="2">
        <f ca="1">IFERROR(__xludf.DUMMYFUNCTION("""COMPUTED_VALUE"""),1)</f>
        <v>1</v>
      </c>
    </row>
    <row r="8571" spans="1:5" ht="13">
      <c r="A8571" s="2" t="str">
        <f ca="1">IFERROR(__xludf.DUMMYFUNCTION("""COMPUTED_VALUE"""),"Wessman, Harri")</f>
        <v>Wessman, Harri</v>
      </c>
      <c r="B8571" s="3">
        <f ca="1">IFERROR(__xludf.DUMMYFUNCTION("""COMPUTED_VALUE"""),1)</f>
        <v>1</v>
      </c>
      <c r="C8571" s="7">
        <f ca="1">IFERROR(__xludf.DUMMYFUNCTION("""COMPUTED_VALUE"""),1)</f>
        <v>1</v>
      </c>
      <c r="D8571" s="8">
        <f ca="1">IFERROR(__xludf.DUMMYFUNCTION("""COMPUTED_VALUE"""),1)</f>
        <v>1</v>
      </c>
      <c r="E8571" s="2">
        <f ca="1">IFERROR(__xludf.DUMMYFUNCTION("""COMPUTED_VALUE"""),1)</f>
        <v>1</v>
      </c>
    </row>
    <row r="8572" spans="1:5" ht="13">
      <c r="A8572" s="2" t="str">
        <f ca="1">IFERROR(__xludf.DUMMYFUNCTION("""COMPUTED_VALUE"""),"West, Brian")</f>
        <v>West, Brian</v>
      </c>
      <c r="B8572" s="2">
        <f ca="1">IFERROR(__xludf.DUMMYFUNCTION("""COMPUTED_VALUE"""),1)</f>
        <v>1</v>
      </c>
      <c r="C8572" s="7">
        <f ca="1">IFERROR(__xludf.DUMMYFUNCTION("""COMPUTED_VALUE"""),1)</f>
        <v>1</v>
      </c>
      <c r="D8572" s="8">
        <f ca="1">IFERROR(__xludf.DUMMYFUNCTION("""COMPUTED_VALUE"""),1)</f>
        <v>1</v>
      </c>
      <c r="E8572" s="2">
        <f ca="1">IFERROR(__xludf.DUMMYFUNCTION("""COMPUTED_VALUE"""),1)</f>
        <v>1</v>
      </c>
    </row>
    <row r="8573" spans="1:5" ht="13">
      <c r="A8573" s="8" t="str">
        <f ca="1">IFERROR(__xludf.DUMMYFUNCTION("""COMPUTED_VALUE"""),"Westerberg, Kurt")</f>
        <v>Westerberg, Kurt</v>
      </c>
      <c r="B8573" s="3">
        <f ca="1">IFERROR(__xludf.DUMMYFUNCTION("""COMPUTED_VALUE"""),1)</f>
        <v>1</v>
      </c>
      <c r="C8573" s="7">
        <f ca="1">IFERROR(__xludf.DUMMYFUNCTION("""COMPUTED_VALUE"""),1)</f>
        <v>1</v>
      </c>
      <c r="D8573" s="8">
        <f ca="1">IFERROR(__xludf.DUMMYFUNCTION("""COMPUTED_VALUE"""),1)</f>
        <v>1</v>
      </c>
      <c r="E8573" s="2">
        <f ca="1">IFERROR(__xludf.DUMMYFUNCTION("""COMPUTED_VALUE"""),1)</f>
        <v>1</v>
      </c>
    </row>
    <row r="8574" spans="1:5" ht="13">
      <c r="A8574" s="2" t="str">
        <f ca="1">IFERROR(__xludf.DUMMYFUNCTION("""COMPUTED_VALUE"""),"Westheimer, Cody")</f>
        <v>Westheimer, Cody</v>
      </c>
      <c r="B8574" s="3">
        <f ca="1">IFERROR(__xludf.DUMMYFUNCTION("""COMPUTED_VALUE"""),1)</f>
        <v>1</v>
      </c>
      <c r="C8574" s="7">
        <f ca="1">IFERROR(__xludf.DUMMYFUNCTION("""COMPUTED_VALUE"""),1)</f>
        <v>1</v>
      </c>
      <c r="D8574" s="8">
        <f ca="1">IFERROR(__xludf.DUMMYFUNCTION("""COMPUTED_VALUE"""),1)</f>
        <v>1</v>
      </c>
      <c r="E8574" s="2">
        <f ca="1">IFERROR(__xludf.DUMMYFUNCTION("""COMPUTED_VALUE"""),1)</f>
        <v>1</v>
      </c>
    </row>
    <row r="8575" spans="1:5" ht="13">
      <c r="A8575" s="2" t="str">
        <f ca="1">IFERROR(__xludf.DUMMYFUNCTION("""COMPUTED_VALUE"""),"Westlake, Nigel")</f>
        <v>Westlake, Nigel</v>
      </c>
      <c r="B8575" s="3">
        <f ca="1">IFERROR(__xludf.DUMMYFUNCTION("""COMPUTED_VALUE"""),1)</f>
        <v>1</v>
      </c>
      <c r="C8575" s="7">
        <f ca="1">IFERROR(__xludf.DUMMYFUNCTION("""COMPUTED_VALUE"""),1)</f>
        <v>1</v>
      </c>
      <c r="D8575" s="8">
        <f ca="1">IFERROR(__xludf.DUMMYFUNCTION("""COMPUTED_VALUE"""),1)</f>
        <v>1</v>
      </c>
      <c r="E8575" s="2">
        <f ca="1">IFERROR(__xludf.DUMMYFUNCTION("""COMPUTED_VALUE"""),1)</f>
        <v>1</v>
      </c>
    </row>
    <row r="8576" spans="1:5" ht="13">
      <c r="A8576" s="8" t="str">
        <f ca="1">IFERROR(__xludf.DUMMYFUNCTION("""COMPUTED_VALUE"""),"Westlake, Nigel / Attar, Lior")</f>
        <v>Westlake, Nigel / Attar, Lior</v>
      </c>
      <c r="B8576" s="3">
        <f ca="1">IFERROR(__xludf.DUMMYFUNCTION("""COMPUTED_VALUE"""),1)</f>
        <v>1</v>
      </c>
      <c r="C8576" s="7">
        <f ca="1">IFERROR(__xludf.DUMMYFUNCTION("""COMPUTED_VALUE"""),1)</f>
        <v>1</v>
      </c>
      <c r="D8576" s="8">
        <f ca="1">IFERROR(__xludf.DUMMYFUNCTION("""COMPUTED_VALUE"""),1)</f>
        <v>1</v>
      </c>
      <c r="E8576" s="2">
        <f ca="1">IFERROR(__xludf.DUMMYFUNCTION("""COMPUTED_VALUE"""),1)</f>
        <v>1</v>
      </c>
    </row>
    <row r="8577" spans="1:5" ht="13">
      <c r="A8577" s="8" t="str">
        <f ca="1">IFERROR(__xludf.DUMMYFUNCTION("""COMPUTED_VALUE"""),"Westlake, Nigel &amp; Attar, Lior")</f>
        <v>Westlake, Nigel &amp; Attar, Lior</v>
      </c>
      <c r="B8577" s="3">
        <f ca="1">IFERROR(__xludf.DUMMYFUNCTION("""COMPUTED_VALUE"""),1)</f>
        <v>1</v>
      </c>
      <c r="C8577" s="7">
        <f ca="1">IFERROR(__xludf.DUMMYFUNCTION("""COMPUTED_VALUE"""),1)</f>
        <v>1</v>
      </c>
      <c r="D8577" s="8">
        <f ca="1">IFERROR(__xludf.DUMMYFUNCTION("""COMPUTED_VALUE"""),1)</f>
        <v>1</v>
      </c>
      <c r="E8577" s="2">
        <f ca="1">IFERROR(__xludf.DUMMYFUNCTION("""COMPUTED_VALUE"""),1)</f>
        <v>1</v>
      </c>
    </row>
    <row r="8578" spans="1:5" ht="13">
      <c r="A8578" s="2" t="str">
        <f ca="1">IFERROR(__xludf.DUMMYFUNCTION("""COMPUTED_VALUE"""),"Westley, Ozzie")</f>
        <v>Westley, Ozzie</v>
      </c>
      <c r="B8578" s="2">
        <f ca="1">IFERROR(__xludf.DUMMYFUNCTION("""COMPUTED_VALUE"""),1)</f>
        <v>1</v>
      </c>
      <c r="C8578" s="7">
        <f ca="1">IFERROR(__xludf.DUMMYFUNCTION("""COMPUTED_VALUE"""),1)</f>
        <v>1</v>
      </c>
      <c r="D8578" s="8">
        <f ca="1">IFERROR(__xludf.DUMMYFUNCTION("""COMPUTED_VALUE"""),5)</f>
        <v>5</v>
      </c>
      <c r="E8578" s="2">
        <f ca="1">IFERROR(__xludf.DUMMYFUNCTION("""COMPUTED_VALUE"""),2)</f>
        <v>2</v>
      </c>
    </row>
    <row r="8579" spans="1:5" ht="13">
      <c r="A8579" s="2" t="str">
        <f ca="1">IFERROR(__xludf.DUMMYFUNCTION("""COMPUTED_VALUE"""),"Weston, Mark")</f>
        <v>Weston, Mark</v>
      </c>
      <c r="B8579" s="3">
        <f ca="1">IFERROR(__xludf.DUMMYFUNCTION("""COMPUTED_VALUE"""),1)</f>
        <v>1</v>
      </c>
      <c r="C8579" s="7">
        <f ca="1">IFERROR(__xludf.DUMMYFUNCTION("""COMPUTED_VALUE"""),1)</f>
        <v>1</v>
      </c>
      <c r="D8579" s="8">
        <f ca="1">IFERROR(__xludf.DUMMYFUNCTION("""COMPUTED_VALUE"""),1)</f>
        <v>1</v>
      </c>
      <c r="E8579" s="2">
        <f ca="1">IFERROR(__xludf.DUMMYFUNCTION("""COMPUTED_VALUE"""),1)</f>
        <v>1</v>
      </c>
    </row>
    <row r="8580" spans="1:5" ht="13">
      <c r="A8580" s="8" t="str">
        <f ca="1">IFERROR(__xludf.DUMMYFUNCTION("""COMPUTED_VALUE"""),"Weston, Matthew")</f>
        <v>Weston, Matthew</v>
      </c>
      <c r="B8580" s="3">
        <f ca="1">IFERROR(__xludf.DUMMYFUNCTION("""COMPUTED_VALUE"""),1)</f>
        <v>1</v>
      </c>
      <c r="C8580" s="7">
        <f ca="1">IFERROR(__xludf.DUMMYFUNCTION("""COMPUTED_VALUE"""),1)</f>
        <v>1</v>
      </c>
      <c r="D8580" s="8">
        <f ca="1">IFERROR(__xludf.DUMMYFUNCTION("""COMPUTED_VALUE"""),1)</f>
        <v>1</v>
      </c>
      <c r="E8580" s="2">
        <f ca="1">IFERROR(__xludf.DUMMYFUNCTION("""COMPUTED_VALUE"""),1)</f>
        <v>1</v>
      </c>
    </row>
    <row r="8581" spans="1:5" ht="13">
      <c r="A8581" s="2" t="str">
        <f ca="1">IFERROR(__xludf.DUMMYFUNCTION("""COMPUTED_VALUE"""),"Westover, Chris")</f>
        <v>Westover, Chris</v>
      </c>
      <c r="B8581" s="3">
        <f ca="1">IFERROR(__xludf.DUMMYFUNCTION("""COMPUTED_VALUE"""),1)</f>
        <v>1</v>
      </c>
      <c r="C8581" s="7">
        <f ca="1">IFERROR(__xludf.DUMMYFUNCTION("""COMPUTED_VALUE"""),1)</f>
        <v>1</v>
      </c>
      <c r="D8581" s="8">
        <f ca="1">IFERROR(__xludf.DUMMYFUNCTION("""COMPUTED_VALUE"""),5)</f>
        <v>5</v>
      </c>
      <c r="E8581" s="2">
        <f ca="1">IFERROR(__xludf.DUMMYFUNCTION("""COMPUTED_VALUE"""),2)</f>
        <v>2</v>
      </c>
    </row>
    <row r="8582" spans="1:5" ht="13">
      <c r="A8582" s="2" t="str">
        <f ca="1">IFERROR(__xludf.DUMMYFUNCTION("""COMPUTED_VALUE"""),"Wetherell, Eric")</f>
        <v>Wetherell, Eric</v>
      </c>
      <c r="B8582" s="3">
        <f ca="1">IFERROR(__xludf.DUMMYFUNCTION("""COMPUTED_VALUE"""),1)</f>
        <v>1</v>
      </c>
      <c r="C8582" s="7">
        <f ca="1">IFERROR(__xludf.DUMMYFUNCTION("""COMPUTED_VALUE"""),1)</f>
        <v>1</v>
      </c>
      <c r="D8582" s="8">
        <f ca="1">IFERROR(__xludf.DUMMYFUNCTION("""COMPUTED_VALUE"""),5)</f>
        <v>5</v>
      </c>
      <c r="E8582" s="2">
        <f ca="1">IFERROR(__xludf.DUMMYFUNCTION("""COMPUTED_VALUE"""),2)</f>
        <v>2</v>
      </c>
    </row>
    <row r="8583" spans="1:5" ht="13">
      <c r="A8583" s="2" t="str">
        <f ca="1">IFERROR(__xludf.DUMMYFUNCTION("""COMPUTED_VALUE"""),"Wetzler, Robert")</f>
        <v>Wetzler, Robert</v>
      </c>
      <c r="B8583" s="3">
        <f ca="1">IFERROR(__xludf.DUMMYFUNCTION("""COMPUTED_VALUE"""),1)</f>
        <v>1</v>
      </c>
      <c r="C8583" s="7">
        <f ca="1">IFERROR(__xludf.DUMMYFUNCTION("""COMPUTED_VALUE"""),1)</f>
        <v>1</v>
      </c>
      <c r="D8583" s="8">
        <f ca="1">IFERROR(__xludf.DUMMYFUNCTION("""COMPUTED_VALUE"""),1)</f>
        <v>1</v>
      </c>
      <c r="E8583" s="2">
        <f ca="1">IFERROR(__xludf.DUMMYFUNCTION("""COMPUTED_VALUE"""),1)</f>
        <v>1</v>
      </c>
    </row>
    <row r="8584" spans="1:5" ht="13">
      <c r="A8584" s="2" t="str">
        <f ca="1">IFERROR(__xludf.DUMMYFUNCTION("""COMPUTED_VALUE"""),"Weymuth, Richard")</f>
        <v>Weymuth, Richard</v>
      </c>
      <c r="B8584" s="3">
        <f ca="1">IFERROR(__xludf.DUMMYFUNCTION("""COMPUTED_VALUE"""),1)</f>
        <v>1</v>
      </c>
      <c r="C8584" s="7">
        <f ca="1">IFERROR(__xludf.DUMMYFUNCTION("""COMPUTED_VALUE"""),1)</f>
        <v>1</v>
      </c>
      <c r="D8584" s="8">
        <f ca="1">IFERROR(__xludf.DUMMYFUNCTION("""COMPUTED_VALUE"""),1)</f>
        <v>1</v>
      </c>
      <c r="E8584" s="2">
        <f ca="1">IFERROR(__xludf.DUMMYFUNCTION("""COMPUTED_VALUE"""),1)</f>
        <v>1</v>
      </c>
    </row>
    <row r="8585" spans="1:5" ht="13">
      <c r="A8585" s="2" t="str">
        <f ca="1">IFERROR(__xludf.DUMMYFUNCTION("""COMPUTED_VALUE"""),"Weyse, Christopher")</f>
        <v>Weyse, Christopher</v>
      </c>
      <c r="B8585" s="3">
        <f ca="1">IFERROR(__xludf.DUMMYFUNCTION("""COMPUTED_VALUE"""),1)</f>
        <v>1</v>
      </c>
      <c r="C8585" s="7">
        <f ca="1">IFERROR(__xludf.DUMMYFUNCTION("""COMPUTED_VALUE"""),1)</f>
        <v>1</v>
      </c>
      <c r="D8585" s="8">
        <f ca="1">IFERROR(__xludf.DUMMYFUNCTION("""COMPUTED_VALUE"""),5)</f>
        <v>5</v>
      </c>
      <c r="E8585" s="2">
        <f ca="1">IFERROR(__xludf.DUMMYFUNCTION("""COMPUTED_VALUE"""),2)</f>
        <v>2</v>
      </c>
    </row>
    <row r="8586" spans="1:5" ht="13">
      <c r="A8586" s="2" t="str">
        <f ca="1">IFERROR(__xludf.DUMMYFUNCTION("""COMPUTED_VALUE"""),"Whaley, Garwood")</f>
        <v>Whaley, Garwood</v>
      </c>
      <c r="B8586" s="3">
        <f ca="1">IFERROR(__xludf.DUMMYFUNCTION("""COMPUTED_VALUE"""),1)</f>
        <v>1</v>
      </c>
      <c r="C8586" s="7">
        <f ca="1">IFERROR(__xludf.DUMMYFUNCTION("""COMPUTED_VALUE"""),1)</f>
        <v>1</v>
      </c>
      <c r="D8586" s="8">
        <f ca="1">IFERROR(__xludf.DUMMYFUNCTION("""COMPUTED_VALUE"""),1)</f>
        <v>1</v>
      </c>
      <c r="E8586" s="2">
        <f ca="1">IFERROR(__xludf.DUMMYFUNCTION("""COMPUTED_VALUE"""),1)</f>
        <v>1</v>
      </c>
    </row>
    <row r="8587" spans="1:5" ht="13">
      <c r="A8587" s="2" t="str">
        <f ca="1">IFERROR(__xludf.DUMMYFUNCTION("""COMPUTED_VALUE"""),"Whaley, Hugh")</f>
        <v>Whaley, Hugh</v>
      </c>
      <c r="B8587" s="3">
        <f ca="1">IFERROR(__xludf.DUMMYFUNCTION("""COMPUTED_VALUE"""),1)</f>
        <v>1</v>
      </c>
      <c r="C8587" s="7">
        <f ca="1">IFERROR(__xludf.DUMMYFUNCTION("""COMPUTED_VALUE"""),1)</f>
        <v>1</v>
      </c>
      <c r="D8587" s="8">
        <f ca="1">IFERROR(__xludf.DUMMYFUNCTION("""COMPUTED_VALUE"""),1)</f>
        <v>1</v>
      </c>
      <c r="E8587" s="2">
        <f ca="1">IFERROR(__xludf.DUMMYFUNCTION("""COMPUTED_VALUE"""),1)</f>
        <v>1</v>
      </c>
    </row>
    <row r="8588" spans="1:5" ht="13">
      <c r="A8588" s="2" t="str">
        <f ca="1">IFERROR(__xludf.DUMMYFUNCTION("""COMPUTED_VALUE"""),"Whatley, Wesley")</f>
        <v>Whatley, Wesley</v>
      </c>
      <c r="B8588" s="2">
        <f ca="1">IFERROR(__xludf.DUMMYFUNCTION("""COMPUTED_VALUE"""),1)</f>
        <v>1</v>
      </c>
      <c r="C8588" s="2">
        <f ca="1">IFERROR(__xludf.DUMMYFUNCTION("""COMPUTED_VALUE"""),1)</f>
        <v>1</v>
      </c>
      <c r="D8588" s="8">
        <f ca="1">IFERROR(__xludf.DUMMYFUNCTION("""COMPUTED_VALUE"""),1)</f>
        <v>1</v>
      </c>
      <c r="E8588" s="2">
        <f ca="1">IFERROR(__xludf.DUMMYFUNCTION("""COMPUTED_VALUE"""),1)</f>
        <v>1</v>
      </c>
    </row>
    <row r="8589" spans="1:5" ht="13">
      <c r="A8589" s="2" t="str">
        <f ca="1">IFERROR(__xludf.DUMMYFUNCTION("""COMPUTED_VALUE"""),"Whear, Paul")</f>
        <v>Whear, Paul</v>
      </c>
      <c r="B8589" s="3">
        <f ca="1">IFERROR(__xludf.DUMMYFUNCTION("""COMPUTED_VALUE"""),1)</f>
        <v>1</v>
      </c>
      <c r="C8589" s="7">
        <f ca="1">IFERROR(__xludf.DUMMYFUNCTION("""COMPUTED_VALUE"""),1)</f>
        <v>1</v>
      </c>
      <c r="D8589" s="8">
        <f ca="1">IFERROR(__xludf.DUMMYFUNCTION("""COMPUTED_VALUE"""),5)</f>
        <v>5</v>
      </c>
      <c r="E8589" s="2">
        <f ca="1">IFERROR(__xludf.DUMMYFUNCTION("""COMPUTED_VALUE"""),2)</f>
        <v>2</v>
      </c>
    </row>
    <row r="8590" spans="1:5" ht="13">
      <c r="A8590" s="2" t="str">
        <f ca="1">IFERROR(__xludf.DUMMYFUNCTION("""COMPUTED_VALUE"""),"Wheeler, Alfred")</f>
        <v>Wheeler, Alfred</v>
      </c>
      <c r="B8590" s="3">
        <f ca="1">IFERROR(__xludf.DUMMYFUNCTION("""COMPUTED_VALUE"""),1)</f>
        <v>1</v>
      </c>
      <c r="C8590" s="7">
        <f ca="1">IFERROR(__xludf.DUMMYFUNCTION("""COMPUTED_VALUE"""),1)</f>
        <v>1</v>
      </c>
      <c r="D8590" s="8">
        <f ca="1">IFERROR(__xludf.DUMMYFUNCTION("""COMPUTED_VALUE"""),5)</f>
        <v>5</v>
      </c>
      <c r="E8590" s="2">
        <f ca="1">IFERROR(__xludf.DUMMYFUNCTION("""COMPUTED_VALUE"""),2)</f>
        <v>2</v>
      </c>
    </row>
    <row r="8591" spans="1:5" ht="13">
      <c r="A8591" s="2" t="str">
        <f ca="1">IFERROR(__xludf.DUMMYFUNCTION("""COMPUTED_VALUE"""),"Wheeler, Drake A.")</f>
        <v>Wheeler, Drake A.</v>
      </c>
      <c r="B8591" s="3">
        <f ca="1">IFERROR(__xludf.DUMMYFUNCTION("""COMPUTED_VALUE"""),1)</f>
        <v>1</v>
      </c>
      <c r="C8591" s="7">
        <f ca="1">IFERROR(__xludf.DUMMYFUNCTION("""COMPUTED_VALUE"""),1)</f>
        <v>1</v>
      </c>
      <c r="D8591" s="8">
        <f ca="1">IFERROR(__xludf.DUMMYFUNCTION("""COMPUTED_VALUE"""),1)</f>
        <v>1</v>
      </c>
      <c r="E8591" s="2">
        <f ca="1">IFERROR(__xludf.DUMMYFUNCTION("""COMPUTED_VALUE"""),1)</f>
        <v>1</v>
      </c>
    </row>
    <row r="8592" spans="1:5" ht="13">
      <c r="A8592" s="2" t="str">
        <f ca="1">IFERROR(__xludf.DUMMYFUNCTION("""COMPUTED_VALUE"""),"Wheeler, Kenneth")</f>
        <v>Wheeler, Kenneth</v>
      </c>
      <c r="B8592" s="3">
        <f ca="1">IFERROR(__xludf.DUMMYFUNCTION("""COMPUTED_VALUE"""),1)</f>
        <v>1</v>
      </c>
      <c r="C8592" s="7">
        <f ca="1">IFERROR(__xludf.DUMMYFUNCTION("""COMPUTED_VALUE"""),1)</f>
        <v>1</v>
      </c>
      <c r="D8592" s="8">
        <f ca="1">IFERROR(__xludf.DUMMYFUNCTION("""COMPUTED_VALUE"""),5)</f>
        <v>5</v>
      </c>
      <c r="E8592" s="2">
        <f ca="1">IFERROR(__xludf.DUMMYFUNCTION("""COMPUTED_VALUE"""),2)</f>
        <v>2</v>
      </c>
    </row>
    <row r="8593" spans="1:5" ht="13">
      <c r="A8593" s="8" t="str">
        <f ca="1">IFERROR(__xludf.DUMMYFUNCTION("""COMPUTED_VALUE"""),"Wheeler, Kenny")</f>
        <v>Wheeler, Kenny</v>
      </c>
      <c r="B8593" s="3">
        <f ca="1">IFERROR(__xludf.DUMMYFUNCTION("""COMPUTED_VALUE"""),1)</f>
        <v>1</v>
      </c>
      <c r="C8593" s="7">
        <f ca="1">IFERROR(__xludf.DUMMYFUNCTION("""COMPUTED_VALUE"""),1)</f>
        <v>1</v>
      </c>
      <c r="D8593" s="8">
        <f ca="1">IFERROR(__xludf.DUMMYFUNCTION("""COMPUTED_VALUE"""),5)</f>
        <v>5</v>
      </c>
      <c r="E8593" s="2">
        <f ca="1">IFERROR(__xludf.DUMMYFUNCTION("""COMPUTED_VALUE"""),2)</f>
        <v>2</v>
      </c>
    </row>
    <row r="8594" spans="1:5" ht="13">
      <c r="A8594" s="2" t="str">
        <f ca="1">IFERROR(__xludf.DUMMYFUNCTION("""COMPUTED_VALUE"""),"Whelan, Bill")</f>
        <v>Whelan, Bill</v>
      </c>
      <c r="B8594" s="3">
        <f ca="1">IFERROR(__xludf.DUMMYFUNCTION("""COMPUTED_VALUE"""),1)</f>
        <v>1</v>
      </c>
      <c r="C8594" s="7">
        <f ca="1">IFERROR(__xludf.DUMMYFUNCTION("""COMPUTED_VALUE"""),1)</f>
        <v>1</v>
      </c>
      <c r="D8594" s="8">
        <f ca="1">IFERROR(__xludf.DUMMYFUNCTION("""COMPUTED_VALUE"""),1)</f>
        <v>1</v>
      </c>
      <c r="E8594" s="2">
        <f ca="1">IFERROR(__xludf.DUMMYFUNCTION("""COMPUTED_VALUE"""),1)</f>
        <v>1</v>
      </c>
    </row>
    <row r="8595" spans="1:5" ht="13">
      <c r="A8595" s="2" t="str">
        <f ca="1">IFERROR(__xludf.DUMMYFUNCTION("""COMPUTED_VALUE"""),"Whibley, Stephen")</f>
        <v>Whibley, Stephen</v>
      </c>
      <c r="B8595" s="3">
        <f ca="1">IFERROR(__xludf.DUMMYFUNCTION("""COMPUTED_VALUE"""),1)</f>
        <v>1</v>
      </c>
      <c r="C8595" s="7">
        <f ca="1">IFERROR(__xludf.DUMMYFUNCTION("""COMPUTED_VALUE"""),1)</f>
        <v>1</v>
      </c>
      <c r="D8595" s="8">
        <f ca="1">IFERROR(__xludf.DUMMYFUNCTION("""COMPUTED_VALUE"""),1)</f>
        <v>1</v>
      </c>
      <c r="E8595" s="2">
        <f ca="1">IFERROR(__xludf.DUMMYFUNCTION("""COMPUTED_VALUE"""),1)</f>
        <v>1</v>
      </c>
    </row>
    <row r="8596" spans="1:5" ht="13">
      <c r="A8596" s="2" t="str">
        <f ca="1">IFERROR(__xludf.DUMMYFUNCTION("""COMPUTED_VALUE"""),"Whisenant, Elliott")</f>
        <v>Whisenant, Elliott</v>
      </c>
      <c r="B8596" s="3">
        <f ca="1">IFERROR(__xludf.DUMMYFUNCTION("""COMPUTED_VALUE"""),1)</f>
        <v>1</v>
      </c>
      <c r="C8596" s="7">
        <f ca="1">IFERROR(__xludf.DUMMYFUNCTION("""COMPUTED_VALUE"""),1)</f>
        <v>1</v>
      </c>
      <c r="D8596" s="8">
        <f ca="1">IFERROR(__xludf.DUMMYFUNCTION("""COMPUTED_VALUE"""),1)</f>
        <v>1</v>
      </c>
      <c r="E8596" s="2">
        <f ca="1">IFERROR(__xludf.DUMMYFUNCTION("""COMPUTED_VALUE"""),1)</f>
        <v>1</v>
      </c>
    </row>
    <row r="8597" spans="1:5" ht="13">
      <c r="A8597" s="2" t="str">
        <f ca="1">IFERROR(__xludf.DUMMYFUNCTION("""COMPUTED_VALUE"""),"Whistler, Harvey")</f>
        <v>Whistler, Harvey</v>
      </c>
      <c r="B8597" s="3">
        <f ca="1">IFERROR(__xludf.DUMMYFUNCTION("""COMPUTED_VALUE"""),1)</f>
        <v>1</v>
      </c>
      <c r="C8597" s="7">
        <f ca="1">IFERROR(__xludf.DUMMYFUNCTION("""COMPUTED_VALUE"""),1)</f>
        <v>1</v>
      </c>
      <c r="D8597" s="8">
        <f ca="1">IFERROR(__xludf.DUMMYFUNCTION("""COMPUTED_VALUE"""),5)</f>
        <v>5</v>
      </c>
      <c r="E8597" s="2">
        <f ca="1">IFERROR(__xludf.DUMMYFUNCTION("""COMPUTED_VALUE"""),2)</f>
        <v>2</v>
      </c>
    </row>
    <row r="8598" spans="1:5" ht="13">
      <c r="A8598" s="2" t="str">
        <f ca="1">IFERROR(__xludf.DUMMYFUNCTION("""COMPUTED_VALUE"""),"Whitacre, Eric")</f>
        <v>Whitacre, Eric</v>
      </c>
      <c r="B8598" s="3">
        <f ca="1">IFERROR(__xludf.DUMMYFUNCTION("""COMPUTED_VALUE"""),1)</f>
        <v>1</v>
      </c>
      <c r="C8598" s="7">
        <f ca="1">IFERROR(__xludf.DUMMYFUNCTION("""COMPUTED_VALUE"""),1)</f>
        <v>1</v>
      </c>
      <c r="D8598" s="8">
        <f ca="1">IFERROR(__xludf.DUMMYFUNCTION("""COMPUTED_VALUE"""),1)</f>
        <v>1</v>
      </c>
      <c r="E8598" s="2">
        <f ca="1">IFERROR(__xludf.DUMMYFUNCTION("""COMPUTED_VALUE"""),1)</f>
        <v>1</v>
      </c>
    </row>
    <row r="8599" spans="1:5" ht="13">
      <c r="A8599" s="2" t="str">
        <f ca="1">IFERROR(__xludf.DUMMYFUNCTION("""COMPUTED_VALUE"""),"Whitbourn, James")</f>
        <v>Whitbourn, James</v>
      </c>
      <c r="B8599" s="2">
        <f ca="1">IFERROR(__xludf.DUMMYFUNCTION("""COMPUTED_VALUE"""),1)</f>
        <v>1</v>
      </c>
      <c r="C8599" s="7">
        <f ca="1">IFERROR(__xludf.DUMMYFUNCTION("""COMPUTED_VALUE"""),1)</f>
        <v>1</v>
      </c>
      <c r="D8599" s="8">
        <f ca="1">IFERROR(__xludf.DUMMYFUNCTION("""COMPUTED_VALUE"""),1)</f>
        <v>1</v>
      </c>
      <c r="E8599" s="2">
        <f ca="1">IFERROR(__xludf.DUMMYFUNCTION("""COMPUTED_VALUE"""),1)</f>
        <v>1</v>
      </c>
    </row>
    <row r="8600" spans="1:5" ht="13">
      <c r="A8600" s="2" t="str">
        <f ca="1">IFERROR(__xludf.DUMMYFUNCTION("""COMPUTED_VALUE"""),"Whitcomb, Ken")</f>
        <v>Whitcomb, Ken</v>
      </c>
      <c r="B8600" s="3">
        <f ca="1">IFERROR(__xludf.DUMMYFUNCTION("""COMPUTED_VALUE"""),1)</f>
        <v>1</v>
      </c>
      <c r="C8600" s="7">
        <f ca="1">IFERROR(__xludf.DUMMYFUNCTION("""COMPUTED_VALUE"""),1)</f>
        <v>1</v>
      </c>
      <c r="D8600" s="8">
        <f ca="1">IFERROR(__xludf.DUMMYFUNCTION("""COMPUTED_VALUE"""),5)</f>
        <v>5</v>
      </c>
      <c r="E8600" s="2">
        <f ca="1">IFERROR(__xludf.DUMMYFUNCTION("""COMPUTED_VALUE"""),2)</f>
        <v>2</v>
      </c>
    </row>
    <row r="8601" spans="1:5" ht="13">
      <c r="A8601" s="8" t="str">
        <f ca="1">IFERROR(__xludf.DUMMYFUNCTION("""COMPUTED_VALUE"""),"White, B.F. (Benjamin Franklin)")</f>
        <v>White, B.F. (Benjamin Franklin)</v>
      </c>
      <c r="B8601" s="3">
        <f ca="1">IFERROR(__xludf.DUMMYFUNCTION("""COMPUTED_VALUE"""),1)</f>
        <v>1</v>
      </c>
      <c r="C8601" s="7">
        <f ca="1">IFERROR(__xludf.DUMMYFUNCTION("""COMPUTED_VALUE"""),1)</f>
        <v>1</v>
      </c>
      <c r="D8601" s="8">
        <f ca="1">IFERROR(__xludf.DUMMYFUNCTION("""COMPUTED_VALUE"""),5)</f>
        <v>5</v>
      </c>
      <c r="E8601" s="2">
        <f ca="1">IFERROR(__xludf.DUMMYFUNCTION("""COMPUTED_VALUE"""),2)</f>
        <v>2</v>
      </c>
    </row>
    <row r="8602" spans="1:5" ht="13">
      <c r="A8602" s="2" t="str">
        <f ca="1">IFERROR(__xludf.DUMMYFUNCTION("""COMPUTED_VALUE"""),"White, Benjamin Franklin")</f>
        <v>White, Benjamin Franklin</v>
      </c>
      <c r="B8602" s="3">
        <f ca="1">IFERROR(__xludf.DUMMYFUNCTION("""COMPUTED_VALUE"""),1)</f>
        <v>1</v>
      </c>
      <c r="C8602" s="7">
        <f ca="1">IFERROR(__xludf.DUMMYFUNCTION("""COMPUTED_VALUE"""),1)</f>
        <v>1</v>
      </c>
      <c r="D8602" s="8">
        <f ca="1">IFERROR(__xludf.DUMMYFUNCTION("""COMPUTED_VALUE"""),5)</f>
        <v>5</v>
      </c>
      <c r="E8602" s="2">
        <f ca="1">IFERROR(__xludf.DUMMYFUNCTION("""COMPUTED_VALUE"""),2)</f>
        <v>2</v>
      </c>
    </row>
    <row r="8603" spans="1:5" ht="13">
      <c r="A8603" s="2" t="str">
        <f ca="1">IFERROR(__xludf.DUMMYFUNCTION("""COMPUTED_VALUE"""),"White, David Ashley")</f>
        <v>White, David Ashley</v>
      </c>
      <c r="B8603" s="3">
        <f ca="1">IFERROR(__xludf.DUMMYFUNCTION("""COMPUTED_VALUE"""),1)</f>
        <v>1</v>
      </c>
      <c r="C8603" s="7">
        <f ca="1">IFERROR(__xludf.DUMMYFUNCTION("""COMPUTED_VALUE"""),1)</f>
        <v>1</v>
      </c>
      <c r="D8603" s="8">
        <f ca="1">IFERROR(__xludf.DUMMYFUNCTION("""COMPUTED_VALUE"""),1)</f>
        <v>1</v>
      </c>
      <c r="E8603" s="2">
        <f ca="1">IFERROR(__xludf.DUMMYFUNCTION("""COMPUTED_VALUE"""),1)</f>
        <v>1</v>
      </c>
    </row>
    <row r="8604" spans="1:5" ht="13">
      <c r="A8604" s="2" t="str">
        <f ca="1">IFERROR(__xludf.DUMMYFUNCTION("""COMPUTED_VALUE"""),"White, Donald H.")</f>
        <v>White, Donald H.</v>
      </c>
      <c r="B8604" s="2">
        <f ca="1">IFERROR(__xludf.DUMMYFUNCTION("""COMPUTED_VALUE"""),1)</f>
        <v>1</v>
      </c>
      <c r="C8604" s="7">
        <f ca="1">IFERROR(__xludf.DUMMYFUNCTION("""COMPUTED_VALUE"""),1)</f>
        <v>1</v>
      </c>
      <c r="D8604" s="8">
        <f ca="1">IFERROR(__xludf.DUMMYFUNCTION("""COMPUTED_VALUE"""),5)</f>
        <v>5</v>
      </c>
      <c r="E8604" s="2">
        <f ca="1">IFERROR(__xludf.DUMMYFUNCTION("""COMPUTED_VALUE"""),2)</f>
        <v>2</v>
      </c>
    </row>
    <row r="8605" spans="1:5" ht="13">
      <c r="A8605" s="2" t="str">
        <f ca="1">IFERROR(__xludf.DUMMYFUNCTION("""COMPUTED_VALUE"""),"White, Gary")</f>
        <v>White, Gary</v>
      </c>
      <c r="B8605" s="3">
        <f ca="1">IFERROR(__xludf.DUMMYFUNCTION("""COMPUTED_VALUE"""),1)</f>
        <v>1</v>
      </c>
      <c r="C8605" s="7">
        <f ca="1">IFERROR(__xludf.DUMMYFUNCTION("""COMPUTED_VALUE"""),1)</f>
        <v>1</v>
      </c>
      <c r="D8605" s="8">
        <f ca="1">IFERROR(__xludf.DUMMYFUNCTION("""COMPUTED_VALUE"""),1)</f>
        <v>1</v>
      </c>
      <c r="E8605" s="2">
        <f ca="1">IFERROR(__xludf.DUMMYFUNCTION("""COMPUTED_VALUE"""),1)</f>
        <v>1</v>
      </c>
    </row>
    <row r="8606" spans="1:5" ht="13">
      <c r="A8606" s="2" t="str">
        <f ca="1">IFERROR(__xludf.DUMMYFUNCTION("""COMPUTED_VALUE"""),"White, Gary C.")</f>
        <v>White, Gary C.</v>
      </c>
      <c r="B8606" s="3">
        <f ca="1">IFERROR(__xludf.DUMMYFUNCTION("""COMPUTED_VALUE"""),1)</f>
        <v>1</v>
      </c>
      <c r="C8606" s="7">
        <f ca="1">IFERROR(__xludf.DUMMYFUNCTION("""COMPUTED_VALUE"""),1)</f>
        <v>1</v>
      </c>
      <c r="D8606" s="8">
        <f ca="1">IFERROR(__xludf.DUMMYFUNCTION("""COMPUTED_VALUE"""),1)</f>
        <v>1</v>
      </c>
      <c r="E8606" s="2">
        <f ca="1">IFERROR(__xludf.DUMMYFUNCTION("""COMPUTED_VALUE"""),1)</f>
        <v>1</v>
      </c>
    </row>
    <row r="8607" spans="1:5" ht="13">
      <c r="A8607" s="2" t="str">
        <f ca="1">IFERROR(__xludf.DUMMYFUNCTION("""COMPUTED_VALUE"""),"White, Jack Noble")</f>
        <v>White, Jack Noble</v>
      </c>
      <c r="B8607" s="3">
        <f ca="1">IFERROR(__xludf.DUMMYFUNCTION("""COMPUTED_VALUE"""),1)</f>
        <v>1</v>
      </c>
      <c r="C8607" s="7">
        <f ca="1">IFERROR(__xludf.DUMMYFUNCTION("""COMPUTED_VALUE"""),1)</f>
        <v>1</v>
      </c>
      <c r="D8607" s="8">
        <f ca="1">IFERROR(__xludf.DUMMYFUNCTION("""COMPUTED_VALUE"""),1)</f>
        <v>1</v>
      </c>
      <c r="E8607" s="2">
        <f ca="1">IFERROR(__xludf.DUMMYFUNCTION("""COMPUTED_VALUE"""),1)</f>
        <v>1</v>
      </c>
    </row>
    <row r="8608" spans="1:5" ht="13">
      <c r="A8608" s="2" t="str">
        <f ca="1">IFERROR(__xludf.DUMMYFUNCTION("""COMPUTED_VALUE"""),"White, L J")</f>
        <v>White, L J</v>
      </c>
      <c r="B8608" s="3">
        <f ca="1">IFERROR(__xludf.DUMMYFUNCTION("""COMPUTED_VALUE"""),1)</f>
        <v>1</v>
      </c>
      <c r="C8608" s="7">
        <f ca="1">IFERROR(__xludf.DUMMYFUNCTION("""COMPUTED_VALUE"""),1)</f>
        <v>1</v>
      </c>
      <c r="D8608" s="8">
        <f ca="1">IFERROR(__xludf.DUMMYFUNCTION("""COMPUTED_VALUE"""),1)</f>
        <v>1</v>
      </c>
      <c r="E8608" s="2">
        <f ca="1">IFERROR(__xludf.DUMMYFUNCTION("""COMPUTED_VALUE"""),1)</f>
        <v>1</v>
      </c>
    </row>
    <row r="8609" spans="1:5" ht="13">
      <c r="A8609" s="2" t="str">
        <f ca="1">IFERROR(__xludf.DUMMYFUNCTION("""COMPUTED_VALUE"""),"White, N. Jennings")</f>
        <v>White, N. Jennings</v>
      </c>
      <c r="B8609" s="3">
        <f ca="1">IFERROR(__xludf.DUMMYFUNCTION("""COMPUTED_VALUE"""),1)</f>
        <v>1</v>
      </c>
      <c r="C8609" s="7">
        <f ca="1">IFERROR(__xludf.DUMMYFUNCTION("""COMPUTED_VALUE"""),1)</f>
        <v>1</v>
      </c>
      <c r="D8609" s="8">
        <f ca="1">IFERROR(__xludf.DUMMYFUNCTION("""COMPUTED_VALUE"""),1)</f>
        <v>1</v>
      </c>
      <c r="E8609" s="2">
        <f ca="1">IFERROR(__xludf.DUMMYFUNCTION("""COMPUTED_VALUE"""),1)</f>
        <v>1</v>
      </c>
    </row>
    <row r="8610" spans="1:5" ht="13">
      <c r="A8610" s="2" t="str">
        <f ca="1">IFERROR(__xludf.DUMMYFUNCTION("""COMPUTED_VALUE"""),"White, Nicholas")</f>
        <v>White, Nicholas</v>
      </c>
      <c r="B8610" s="3">
        <f ca="1">IFERROR(__xludf.DUMMYFUNCTION("""COMPUTED_VALUE"""),1)</f>
        <v>1</v>
      </c>
      <c r="C8610" s="7">
        <f ca="1">IFERROR(__xludf.DUMMYFUNCTION("""COMPUTED_VALUE"""),1)</f>
        <v>1</v>
      </c>
      <c r="D8610" s="8">
        <f ca="1">IFERROR(__xludf.DUMMYFUNCTION("""COMPUTED_VALUE"""),1)</f>
        <v>1</v>
      </c>
      <c r="E8610" s="2">
        <f ca="1">IFERROR(__xludf.DUMMYFUNCTION("""COMPUTED_VALUE"""),1)</f>
        <v>1</v>
      </c>
    </row>
    <row r="8611" spans="1:5" ht="13">
      <c r="A8611" s="2" t="str">
        <f ca="1">IFERROR(__xludf.DUMMYFUNCTION("""COMPUTED_VALUE"""),"White, Paul")</f>
        <v>White, Paul</v>
      </c>
      <c r="B8611" s="3">
        <f ca="1">IFERROR(__xludf.DUMMYFUNCTION("""COMPUTED_VALUE"""),1)</f>
        <v>1</v>
      </c>
      <c r="C8611" s="7">
        <f ca="1">IFERROR(__xludf.DUMMYFUNCTION("""COMPUTED_VALUE"""),1)</f>
        <v>1</v>
      </c>
      <c r="D8611" s="8">
        <f ca="1">IFERROR(__xludf.DUMMYFUNCTION("""COMPUTED_VALUE"""),5)</f>
        <v>5</v>
      </c>
      <c r="E8611" s="2">
        <f ca="1">IFERROR(__xludf.DUMMYFUNCTION("""COMPUTED_VALUE"""),2)</f>
        <v>2</v>
      </c>
    </row>
    <row r="8612" spans="1:5" ht="13">
      <c r="A8612" s="2" t="str">
        <f ca="1">IFERROR(__xludf.DUMMYFUNCTION("""COMPUTED_VALUE"""),"White, Robert")</f>
        <v>White, Robert</v>
      </c>
      <c r="B8612" s="3">
        <f ca="1">IFERROR(__xludf.DUMMYFUNCTION("""COMPUTED_VALUE"""),1)</f>
        <v>1</v>
      </c>
      <c r="C8612" s="7">
        <f ca="1">IFERROR(__xludf.DUMMYFUNCTION("""COMPUTED_VALUE"""),1)</f>
        <v>1</v>
      </c>
      <c r="D8612" s="8">
        <f ca="1">IFERROR(__xludf.DUMMYFUNCTION("""COMPUTED_VALUE"""),5)</f>
        <v>5</v>
      </c>
      <c r="E8612" s="2">
        <f ca="1">IFERROR(__xludf.DUMMYFUNCTION("""COMPUTED_VALUE"""),2)</f>
        <v>2</v>
      </c>
    </row>
    <row r="8613" spans="1:5" ht="13">
      <c r="A8613" s="2" t="str">
        <f ca="1">IFERROR(__xludf.DUMMYFUNCTION("""COMPUTED_VALUE"""),"White, Terry")</f>
        <v>White, Terry</v>
      </c>
      <c r="B8613" s="3">
        <f ca="1">IFERROR(__xludf.DUMMYFUNCTION("""COMPUTED_VALUE"""),1)</f>
        <v>1</v>
      </c>
      <c r="C8613" s="7">
        <f ca="1">IFERROR(__xludf.DUMMYFUNCTION("""COMPUTED_VALUE"""),1)</f>
        <v>1</v>
      </c>
      <c r="D8613" s="8">
        <f ca="1">IFERROR(__xludf.DUMMYFUNCTION("""COMPUTED_VALUE"""),1)</f>
        <v>1</v>
      </c>
      <c r="E8613" s="2">
        <f ca="1">IFERROR(__xludf.DUMMYFUNCTION("""COMPUTED_VALUE"""),1)</f>
        <v>1</v>
      </c>
    </row>
    <row r="8614" spans="1:5" ht="13">
      <c r="A8614" s="2" t="str">
        <f ca="1">IFERROR(__xludf.DUMMYFUNCTION("""COMPUTED_VALUE"""),"White, William")</f>
        <v>White, William</v>
      </c>
      <c r="B8614" s="3">
        <f ca="1">IFERROR(__xludf.DUMMYFUNCTION("""COMPUTED_VALUE"""),1)</f>
        <v>1</v>
      </c>
      <c r="C8614" s="7">
        <f ca="1">IFERROR(__xludf.DUMMYFUNCTION("""COMPUTED_VALUE"""),1)</f>
        <v>1</v>
      </c>
      <c r="D8614" s="8">
        <f ca="1">IFERROR(__xludf.DUMMYFUNCTION("""COMPUTED_VALUE"""),5)</f>
        <v>5</v>
      </c>
      <c r="E8614" s="2">
        <f ca="1">IFERROR(__xludf.DUMMYFUNCTION("""COMPUTED_VALUE"""),2)</f>
        <v>2</v>
      </c>
    </row>
    <row r="8615" spans="1:5" ht="13">
      <c r="A8615" s="8" t="str">
        <f ca="1">IFERROR(__xludf.DUMMYFUNCTION("""COMPUTED_VALUE"""),"Whitehead, Alfred")</f>
        <v>Whitehead, Alfred</v>
      </c>
      <c r="B8615" s="3">
        <f ca="1">IFERROR(__xludf.DUMMYFUNCTION("""COMPUTED_VALUE"""),1)</f>
        <v>1</v>
      </c>
      <c r="C8615" s="7">
        <f ca="1">IFERROR(__xludf.DUMMYFUNCTION("""COMPUTED_VALUE"""),1)</f>
        <v>1</v>
      </c>
      <c r="D8615" s="8">
        <f ca="1">IFERROR(__xludf.DUMMYFUNCTION("""COMPUTED_VALUE"""),5)</f>
        <v>5</v>
      </c>
      <c r="E8615" s="2">
        <f ca="1">IFERROR(__xludf.DUMMYFUNCTION("""COMPUTED_VALUE"""),2)</f>
        <v>2</v>
      </c>
    </row>
    <row r="8616" spans="1:5" ht="13">
      <c r="A8616" s="2" t="str">
        <f ca="1">IFERROR(__xludf.DUMMYFUNCTION("""COMPUTED_VALUE"""),"Whitehill, Erik")</f>
        <v>Whitehill, Erik</v>
      </c>
      <c r="B8616" s="3">
        <f ca="1">IFERROR(__xludf.DUMMYFUNCTION("""COMPUTED_VALUE"""),1)</f>
        <v>1</v>
      </c>
      <c r="C8616" s="7">
        <f ca="1">IFERROR(__xludf.DUMMYFUNCTION("""COMPUTED_VALUE"""),1)</f>
        <v>1</v>
      </c>
      <c r="D8616" s="8">
        <f ca="1">IFERROR(__xludf.DUMMYFUNCTION("""COMPUTED_VALUE"""),1)</f>
        <v>1</v>
      </c>
      <c r="E8616" s="2">
        <f ca="1">IFERROR(__xludf.DUMMYFUNCTION("""COMPUTED_VALUE"""),1)</f>
        <v>1</v>
      </c>
    </row>
    <row r="8617" spans="1:5" ht="13">
      <c r="A8617" s="2" t="str">
        <f ca="1">IFERROR(__xludf.DUMMYFUNCTION("""COMPUTED_VALUE"""),"Whitfield, Scott")</f>
        <v>Whitfield, Scott</v>
      </c>
      <c r="B8617" s="3">
        <f ca="1">IFERROR(__xludf.DUMMYFUNCTION("""COMPUTED_VALUE"""),1)</f>
        <v>1</v>
      </c>
      <c r="C8617" s="7">
        <f ca="1">IFERROR(__xludf.DUMMYFUNCTION("""COMPUTED_VALUE"""),1)</f>
        <v>1</v>
      </c>
      <c r="D8617" s="8">
        <f ca="1">IFERROR(__xludf.DUMMYFUNCTION("""COMPUTED_VALUE"""),1)</f>
        <v>1</v>
      </c>
      <c r="E8617" s="2">
        <f ca="1">IFERROR(__xludf.DUMMYFUNCTION("""COMPUTED_VALUE"""),1)</f>
        <v>1</v>
      </c>
    </row>
    <row r="8618" spans="1:5" ht="13">
      <c r="A8618" s="2" t="str">
        <f ca="1">IFERROR(__xludf.DUMMYFUNCTION("""COMPUTED_VALUE"""),"Whiting, Richard")</f>
        <v>Whiting, Richard</v>
      </c>
      <c r="B8618" s="3">
        <f ca="1">IFERROR(__xludf.DUMMYFUNCTION("""COMPUTED_VALUE"""),1)</f>
        <v>1</v>
      </c>
      <c r="C8618" s="7">
        <f ca="1">IFERROR(__xludf.DUMMYFUNCTION("""COMPUTED_VALUE"""),1)</f>
        <v>1</v>
      </c>
      <c r="D8618" s="8">
        <f ca="1">IFERROR(__xludf.DUMMYFUNCTION("""COMPUTED_VALUE"""),5)</f>
        <v>5</v>
      </c>
      <c r="E8618" s="2">
        <f ca="1">IFERROR(__xludf.DUMMYFUNCTION("""COMPUTED_VALUE"""),2)</f>
        <v>2</v>
      </c>
    </row>
    <row r="8619" spans="1:5" ht="13">
      <c r="A8619" s="2" t="str">
        <f ca="1">IFERROR(__xludf.DUMMYFUNCTION("""COMPUTED_VALUE"""),"Whiting, Richard / Chase, J. Newell")</f>
        <v>Whiting, Richard / Chase, J. Newell</v>
      </c>
      <c r="B8619" s="3">
        <f ca="1">IFERROR(__xludf.DUMMYFUNCTION("""COMPUTED_VALUE"""),1)</f>
        <v>1</v>
      </c>
      <c r="C8619" s="7">
        <f ca="1">IFERROR(__xludf.DUMMYFUNCTION("""COMPUTED_VALUE"""),1)</f>
        <v>1</v>
      </c>
      <c r="D8619" s="8">
        <f ca="1">IFERROR(__xludf.DUMMYFUNCTION("""COMPUTED_VALUE"""),5)</f>
        <v>5</v>
      </c>
      <c r="E8619" s="2">
        <f ca="1">IFERROR(__xludf.DUMMYFUNCTION("""COMPUTED_VALUE"""),2)</f>
        <v>2</v>
      </c>
    </row>
    <row r="8620" spans="1:5" ht="13">
      <c r="A8620" s="2" t="str">
        <f ca="1">IFERROR(__xludf.DUMMYFUNCTION("""COMPUTED_VALUE"""),"Whitlock, Percy")</f>
        <v>Whitlock, Percy</v>
      </c>
      <c r="B8620" s="2">
        <f ca="1">IFERROR(__xludf.DUMMYFUNCTION("""COMPUTED_VALUE"""),1)</f>
        <v>1</v>
      </c>
      <c r="C8620" s="7">
        <f ca="1">IFERROR(__xludf.DUMMYFUNCTION("""COMPUTED_VALUE"""),1)</f>
        <v>1</v>
      </c>
      <c r="D8620" s="8">
        <f ca="1">IFERROR(__xludf.DUMMYFUNCTION("""COMPUTED_VALUE"""),5)</f>
        <v>5</v>
      </c>
      <c r="E8620" s="2">
        <f ca="1">IFERROR(__xludf.DUMMYFUNCTION("""COMPUTED_VALUE"""),2)</f>
        <v>2</v>
      </c>
    </row>
    <row r="8621" spans="1:5" ht="13">
      <c r="A8621" s="8" t="str">
        <f ca="1">IFERROR(__xludf.DUMMYFUNCTION("""COMPUTED_VALUE"""),"Whitney, John")</f>
        <v>Whitney, John</v>
      </c>
      <c r="B8621" s="3">
        <f ca="1">IFERROR(__xludf.DUMMYFUNCTION("""COMPUTED_VALUE"""),1)</f>
        <v>1</v>
      </c>
      <c r="C8621" s="7">
        <f ca="1">IFERROR(__xludf.DUMMYFUNCTION("""COMPUTED_VALUE"""),1)</f>
        <v>1</v>
      </c>
      <c r="D8621" s="8">
        <f ca="1">IFERROR(__xludf.DUMMYFUNCTION("""COMPUTED_VALUE"""),1)</f>
        <v>1</v>
      </c>
      <c r="E8621" s="2">
        <f ca="1">IFERROR(__xludf.DUMMYFUNCTION("""COMPUTED_VALUE"""),1)</f>
        <v>1</v>
      </c>
    </row>
    <row r="8622" spans="1:5" ht="13">
      <c r="A8622" s="2" t="str">
        <f ca="1">IFERROR(__xludf.DUMMYFUNCTION("""COMPUTED_VALUE"""),"Whitney, Maurice")</f>
        <v>Whitney, Maurice</v>
      </c>
      <c r="B8622" s="2">
        <f ca="1">IFERROR(__xludf.DUMMYFUNCTION("""COMPUTED_VALUE"""),1)</f>
        <v>1</v>
      </c>
      <c r="C8622" s="7">
        <f ca="1">IFERROR(__xludf.DUMMYFUNCTION("""COMPUTED_VALUE"""),1)</f>
        <v>1</v>
      </c>
      <c r="D8622" s="8">
        <f ca="1">IFERROR(__xludf.DUMMYFUNCTION("""COMPUTED_VALUE"""),5)</f>
        <v>5</v>
      </c>
      <c r="E8622" s="2">
        <f ca="1">IFERROR(__xludf.DUMMYFUNCTION("""COMPUTED_VALUE"""),2)</f>
        <v>2</v>
      </c>
    </row>
    <row r="8623" spans="1:5" ht="13">
      <c r="A8623" s="2" t="str">
        <f ca="1">IFERROR(__xludf.DUMMYFUNCTION("""COMPUTED_VALUE"""),"Whitney, Ross")</f>
        <v>Whitney, Ross</v>
      </c>
      <c r="B8623" s="3">
        <f ca="1">IFERROR(__xludf.DUMMYFUNCTION("""COMPUTED_VALUE"""),1)</f>
        <v>1</v>
      </c>
      <c r="C8623" s="7">
        <f ca="1">IFERROR(__xludf.DUMMYFUNCTION("""COMPUTED_VALUE"""),1)</f>
        <v>1</v>
      </c>
      <c r="D8623" s="8">
        <f ca="1">IFERROR(__xludf.DUMMYFUNCTION("""COMPUTED_VALUE"""),1)</f>
        <v>1</v>
      </c>
      <c r="E8623" s="2">
        <f ca="1">IFERROR(__xludf.DUMMYFUNCTION("""COMPUTED_VALUE"""),1)</f>
        <v>1</v>
      </c>
    </row>
    <row r="8624" spans="1:5" ht="13">
      <c r="A8624" s="2" t="str">
        <f ca="1">IFERROR(__xludf.DUMMYFUNCTION("""COMPUTED_VALUE"""),"Whittaker, Roger")</f>
        <v>Whittaker, Roger</v>
      </c>
      <c r="B8624" s="3">
        <f ca="1">IFERROR(__xludf.DUMMYFUNCTION("""COMPUTED_VALUE"""),1)</f>
        <v>1</v>
      </c>
      <c r="C8624" s="7">
        <f ca="1">IFERROR(__xludf.DUMMYFUNCTION("""COMPUTED_VALUE"""),1)</f>
        <v>1</v>
      </c>
      <c r="D8624" s="8">
        <f ca="1">IFERROR(__xludf.DUMMYFUNCTION("""COMPUTED_VALUE"""),1)</f>
        <v>1</v>
      </c>
      <c r="E8624" s="2">
        <f ca="1">IFERROR(__xludf.DUMMYFUNCTION("""COMPUTED_VALUE"""),1)</f>
        <v>1</v>
      </c>
    </row>
    <row r="8625" spans="1:5" ht="13">
      <c r="A8625" s="2" t="str">
        <f ca="1">IFERROR(__xludf.DUMMYFUNCTION("""COMPUTED_VALUE"""),"Whitten, Lynn")</f>
        <v>Whitten, Lynn</v>
      </c>
      <c r="B8625" s="2">
        <f ca="1">IFERROR(__xludf.DUMMYFUNCTION("""COMPUTED_VALUE"""),1)</f>
        <v>1</v>
      </c>
      <c r="C8625" s="2">
        <f ca="1">IFERROR(__xludf.DUMMYFUNCTION("""COMPUTED_VALUE"""),1)</f>
        <v>1</v>
      </c>
      <c r="D8625" s="8">
        <f ca="1">IFERROR(__xludf.DUMMYFUNCTION("""COMPUTED_VALUE"""),5)</f>
        <v>5</v>
      </c>
      <c r="E8625" s="2">
        <f ca="1">IFERROR(__xludf.DUMMYFUNCTION("""COMPUTED_VALUE"""),2)</f>
        <v>2</v>
      </c>
    </row>
    <row r="8626" spans="1:5" ht="13">
      <c r="A8626" s="2" t="str">
        <f ca="1">IFERROR(__xludf.DUMMYFUNCTION("""COMPUTED_VALUE"""),"Whittington, R. Scott")</f>
        <v>Whittington, R. Scott</v>
      </c>
      <c r="B8626" s="3">
        <f ca="1">IFERROR(__xludf.DUMMYFUNCTION("""COMPUTED_VALUE"""),1)</f>
        <v>1</v>
      </c>
      <c r="C8626" s="7">
        <f ca="1">IFERROR(__xludf.DUMMYFUNCTION("""COMPUTED_VALUE"""),1)</f>
        <v>1</v>
      </c>
      <c r="D8626" s="8">
        <f ca="1">IFERROR(__xludf.DUMMYFUNCTION("""COMPUTED_VALUE"""),1)</f>
        <v>1</v>
      </c>
      <c r="E8626" s="2">
        <f ca="1">IFERROR(__xludf.DUMMYFUNCTION("""COMPUTED_VALUE"""),1)</f>
        <v>1</v>
      </c>
    </row>
    <row r="8627" spans="1:5" ht="13">
      <c r="A8627" s="2" t="str">
        <f ca="1">IFERROR(__xludf.DUMMYFUNCTION("""COMPUTED_VALUE"""),"Whittington, Scott")</f>
        <v>Whittington, Scott</v>
      </c>
      <c r="B8627" s="3">
        <f ca="1">IFERROR(__xludf.DUMMYFUNCTION("""COMPUTED_VALUE"""),1)</f>
        <v>1</v>
      </c>
      <c r="C8627" s="7">
        <f ca="1">IFERROR(__xludf.DUMMYFUNCTION("""COMPUTED_VALUE"""),1)</f>
        <v>1</v>
      </c>
      <c r="D8627" s="8">
        <f ca="1">IFERROR(__xludf.DUMMYFUNCTION("""COMPUTED_VALUE"""),1)</f>
        <v>1</v>
      </c>
      <c r="E8627" s="2">
        <f ca="1">IFERROR(__xludf.DUMMYFUNCTION("""COMPUTED_VALUE"""),1)</f>
        <v>1</v>
      </c>
    </row>
    <row r="8628" spans="1:5" ht="13">
      <c r="A8628" s="2" t="str">
        <f ca="1">IFERROR(__xludf.DUMMYFUNCTION("""COMPUTED_VALUE"""),"Whitwell, David")</f>
        <v>Whitwell, David</v>
      </c>
      <c r="B8628" s="2">
        <f ca="1">IFERROR(__xludf.DUMMYFUNCTION("""COMPUTED_VALUE"""),1)</f>
        <v>1</v>
      </c>
      <c r="C8628" s="7">
        <f ca="1">IFERROR(__xludf.DUMMYFUNCTION("""COMPUTED_VALUE"""),1)</f>
        <v>1</v>
      </c>
      <c r="D8628" s="8">
        <f ca="1">IFERROR(__xludf.DUMMYFUNCTION("""COMPUTED_VALUE"""),1)</f>
        <v>1</v>
      </c>
      <c r="E8628" s="2">
        <f ca="1">IFERROR(__xludf.DUMMYFUNCTION("""COMPUTED_VALUE"""),1)</f>
        <v>1</v>
      </c>
    </row>
    <row r="8629" spans="1:5" ht="13">
      <c r="A8629" s="2" t="str">
        <f ca="1">IFERROR(__xludf.DUMMYFUNCTION("""COMPUTED_VALUE"""),"Whitworth, John")</f>
        <v>Whitworth, John</v>
      </c>
      <c r="B8629" s="3">
        <f ca="1">IFERROR(__xludf.DUMMYFUNCTION("""COMPUTED_VALUE"""),1)</f>
        <v>1</v>
      </c>
      <c r="C8629" s="7">
        <f ca="1">IFERROR(__xludf.DUMMYFUNCTION("""COMPUTED_VALUE"""),1)</f>
        <v>1</v>
      </c>
      <c r="D8629" s="8">
        <f ca="1">IFERROR(__xludf.DUMMYFUNCTION("""COMPUTED_VALUE"""),5)</f>
        <v>5</v>
      </c>
      <c r="E8629" s="2">
        <f ca="1">IFERROR(__xludf.DUMMYFUNCTION("""COMPUTED_VALUE"""),2)</f>
        <v>2</v>
      </c>
    </row>
    <row r="8630" spans="1:5" ht="13">
      <c r="A8630" s="2" t="str">
        <f ca="1">IFERROR(__xludf.DUMMYFUNCTION("""COMPUTED_VALUE"""),"Whythorne, Thomas")</f>
        <v>Whythorne, Thomas</v>
      </c>
      <c r="B8630" s="2">
        <f ca="1">IFERROR(__xludf.DUMMYFUNCTION("""COMPUTED_VALUE"""),1)</f>
        <v>1</v>
      </c>
      <c r="C8630" s="7">
        <f ca="1">IFERROR(__xludf.DUMMYFUNCTION("""COMPUTED_VALUE"""),1)</f>
        <v>1</v>
      </c>
      <c r="D8630" s="8">
        <f ca="1">IFERROR(__xludf.DUMMYFUNCTION("""COMPUTED_VALUE"""),5)</f>
        <v>5</v>
      </c>
      <c r="E8630" s="2">
        <f ca="1">IFERROR(__xludf.DUMMYFUNCTION("""COMPUTED_VALUE"""),2)</f>
        <v>2</v>
      </c>
    </row>
    <row r="8631" spans="1:5" ht="13">
      <c r="A8631" s="2" t="str">
        <f ca="1">IFERROR(__xludf.DUMMYFUNCTION("""COMPUTED_VALUE"""),"Wichers, Johan")</f>
        <v>Wichers, Johan</v>
      </c>
      <c r="B8631" s="3">
        <f ca="1">IFERROR(__xludf.DUMMYFUNCTION("""COMPUTED_VALUE"""),1)</f>
        <v>1</v>
      </c>
      <c r="C8631" s="7">
        <f ca="1">IFERROR(__xludf.DUMMYFUNCTION("""COMPUTED_VALUE"""),1)</f>
        <v>1</v>
      </c>
      <c r="D8631" s="8">
        <f ca="1">IFERROR(__xludf.DUMMYFUNCTION("""COMPUTED_VALUE"""),5)</f>
        <v>5</v>
      </c>
      <c r="E8631" s="2">
        <f ca="1">IFERROR(__xludf.DUMMYFUNCTION("""COMPUTED_VALUE"""),2)</f>
        <v>2</v>
      </c>
    </row>
    <row r="8632" spans="1:5" ht="13">
      <c r="A8632" s="2" t="str">
        <f ca="1">IFERROR(__xludf.DUMMYFUNCTION("""COMPUTED_VALUE"""),"Wickman, Ethan")</f>
        <v>Wickman, Ethan</v>
      </c>
      <c r="B8632" s="3">
        <f ca="1">IFERROR(__xludf.DUMMYFUNCTION("""COMPUTED_VALUE"""),1)</f>
        <v>1</v>
      </c>
      <c r="C8632" s="7">
        <f ca="1">IFERROR(__xludf.DUMMYFUNCTION("""COMPUTED_VALUE"""),1)</f>
        <v>1</v>
      </c>
      <c r="D8632" s="8">
        <f ca="1">IFERROR(__xludf.DUMMYFUNCTION("""COMPUTED_VALUE"""),1)</f>
        <v>1</v>
      </c>
      <c r="E8632" s="2">
        <f ca="1">IFERROR(__xludf.DUMMYFUNCTION("""COMPUTED_VALUE"""),1)</f>
        <v>1</v>
      </c>
    </row>
    <row r="8633" spans="1:5" ht="13">
      <c r="A8633" s="2" t="str">
        <f ca="1">IFERROR(__xludf.DUMMYFUNCTION("""COMPUTED_VALUE"""),"Widdcombe, Trevor")</f>
        <v>Widdcombe, Trevor</v>
      </c>
      <c r="B8633" s="2">
        <f ca="1">IFERROR(__xludf.DUMMYFUNCTION("""COMPUTED_VALUE"""),1)</f>
        <v>1</v>
      </c>
      <c r="C8633" s="2">
        <f ca="1">IFERROR(__xludf.DUMMYFUNCTION("""COMPUTED_VALUE"""),1)</f>
        <v>1</v>
      </c>
      <c r="D8633" s="8">
        <f ca="1">IFERROR(__xludf.DUMMYFUNCTION("""COMPUTED_VALUE"""),1)</f>
        <v>1</v>
      </c>
      <c r="E8633" s="2">
        <f ca="1">IFERROR(__xludf.DUMMYFUNCTION("""COMPUTED_VALUE"""),1)</f>
        <v>1</v>
      </c>
    </row>
    <row r="8634" spans="1:5" ht="13">
      <c r="A8634" s="2" t="str">
        <f ca="1">IFERROR(__xludf.DUMMYFUNCTION("""COMPUTED_VALUE"""),"Widmann, Erasmus")</f>
        <v>Widmann, Erasmus</v>
      </c>
      <c r="B8634" s="3">
        <f ca="1">IFERROR(__xludf.DUMMYFUNCTION("""COMPUTED_VALUE"""),1)</f>
        <v>1</v>
      </c>
      <c r="C8634" s="7">
        <f ca="1">IFERROR(__xludf.DUMMYFUNCTION("""COMPUTED_VALUE"""),1)</f>
        <v>1</v>
      </c>
      <c r="D8634" s="8">
        <f ca="1">IFERROR(__xludf.DUMMYFUNCTION("""COMPUTED_VALUE"""),5)</f>
        <v>5</v>
      </c>
      <c r="E8634" s="2">
        <f ca="1">IFERROR(__xludf.DUMMYFUNCTION("""COMPUTED_VALUE"""),2)</f>
        <v>2</v>
      </c>
    </row>
    <row r="8635" spans="1:5" ht="13">
      <c r="A8635" s="2" t="str">
        <f ca="1">IFERROR(__xludf.DUMMYFUNCTION("""COMPUTED_VALUE"""),"Widmann, Jorg")</f>
        <v>Widmann, Jorg</v>
      </c>
      <c r="B8635" s="3">
        <f ca="1">IFERROR(__xludf.DUMMYFUNCTION("""COMPUTED_VALUE"""),1)</f>
        <v>1</v>
      </c>
      <c r="C8635" s="7">
        <f ca="1">IFERROR(__xludf.DUMMYFUNCTION("""COMPUTED_VALUE"""),1)</f>
        <v>1</v>
      </c>
      <c r="D8635" s="8">
        <f ca="1">IFERROR(__xludf.DUMMYFUNCTION("""COMPUTED_VALUE"""),1)</f>
        <v>1</v>
      </c>
      <c r="E8635" s="2">
        <f ca="1">IFERROR(__xludf.DUMMYFUNCTION("""COMPUTED_VALUE"""),1)</f>
        <v>1</v>
      </c>
    </row>
    <row r="8636" spans="1:5" ht="13">
      <c r="A8636" s="2" t="str">
        <f ca="1">IFERROR(__xludf.DUMMYFUNCTION("""COMPUTED_VALUE"""),"Widmann, Jörg")</f>
        <v>Widmann, Jörg</v>
      </c>
      <c r="B8636" s="3">
        <f ca="1">IFERROR(__xludf.DUMMYFUNCTION("""COMPUTED_VALUE"""),1)</f>
        <v>1</v>
      </c>
      <c r="C8636" s="7">
        <f ca="1">IFERROR(__xludf.DUMMYFUNCTION("""COMPUTED_VALUE"""),1)</f>
        <v>1</v>
      </c>
      <c r="D8636" s="8">
        <f ca="1">IFERROR(__xludf.DUMMYFUNCTION("""COMPUTED_VALUE"""),1)</f>
        <v>1</v>
      </c>
      <c r="E8636" s="2">
        <f ca="1">IFERROR(__xludf.DUMMYFUNCTION("""COMPUTED_VALUE"""),1)</f>
        <v>1</v>
      </c>
    </row>
    <row r="8637" spans="1:5" ht="13">
      <c r="A8637" s="2" t="str">
        <f ca="1">IFERROR(__xludf.DUMMYFUNCTION("""COMPUTED_VALUE"""),"Widor / Zimmermann")</f>
        <v>Widor / Zimmermann</v>
      </c>
      <c r="B8637" s="3">
        <f ca="1">IFERROR(__xludf.DUMMYFUNCTION("""COMPUTED_VALUE"""),1)</f>
        <v>1</v>
      </c>
      <c r="C8637" s="7">
        <f ca="1">IFERROR(__xludf.DUMMYFUNCTION("""COMPUTED_VALUE"""),1)</f>
        <v>1</v>
      </c>
      <c r="D8637" s="8">
        <f ca="1">IFERROR(__xludf.DUMMYFUNCTION("""COMPUTED_VALUE"""),1)</f>
        <v>1</v>
      </c>
      <c r="E8637" s="2">
        <f ca="1">IFERROR(__xludf.DUMMYFUNCTION("""COMPUTED_VALUE"""),1)</f>
        <v>1</v>
      </c>
    </row>
    <row r="8638" spans="1:5" ht="13">
      <c r="A8638" s="2" t="str">
        <f ca="1">IFERROR(__xludf.DUMMYFUNCTION("""COMPUTED_VALUE"""),"Widor, Charles M.")</f>
        <v>Widor, Charles M.</v>
      </c>
      <c r="B8638" s="3">
        <f ca="1">IFERROR(__xludf.DUMMYFUNCTION("""COMPUTED_VALUE"""),1)</f>
        <v>1</v>
      </c>
      <c r="C8638" s="7">
        <f ca="1">IFERROR(__xludf.DUMMYFUNCTION("""COMPUTED_VALUE"""),1)</f>
        <v>1</v>
      </c>
      <c r="D8638" s="8">
        <f ca="1">IFERROR(__xludf.DUMMYFUNCTION("""COMPUTED_VALUE"""),5)</f>
        <v>5</v>
      </c>
      <c r="E8638" s="2">
        <f ca="1">IFERROR(__xludf.DUMMYFUNCTION("""COMPUTED_VALUE"""),2)</f>
        <v>2</v>
      </c>
    </row>
    <row r="8639" spans="1:5" ht="13">
      <c r="A8639" s="2" t="str">
        <f ca="1">IFERROR(__xludf.DUMMYFUNCTION("""COMPUTED_VALUE"""),"Widor, Charles Marie")</f>
        <v>Widor, Charles Marie</v>
      </c>
      <c r="B8639" s="3">
        <f ca="1">IFERROR(__xludf.DUMMYFUNCTION("""COMPUTED_VALUE"""),1)</f>
        <v>1</v>
      </c>
      <c r="C8639" s="7">
        <f ca="1">IFERROR(__xludf.DUMMYFUNCTION("""COMPUTED_VALUE"""),1)</f>
        <v>1</v>
      </c>
      <c r="D8639" s="8">
        <f ca="1">IFERROR(__xludf.DUMMYFUNCTION("""COMPUTED_VALUE"""),5)</f>
        <v>5</v>
      </c>
      <c r="E8639" s="2">
        <f ca="1">IFERROR(__xludf.DUMMYFUNCTION("""COMPUTED_VALUE"""),2)</f>
        <v>2</v>
      </c>
    </row>
    <row r="8640" spans="1:5" ht="13">
      <c r="A8640" s="2" t="str">
        <f ca="1">IFERROR(__xludf.DUMMYFUNCTION("""COMPUTED_VALUE"""),"Widor, Charles-Marie")</f>
        <v>Widor, Charles-Marie</v>
      </c>
      <c r="B8640" s="3">
        <f ca="1">IFERROR(__xludf.DUMMYFUNCTION("""COMPUTED_VALUE"""),1)</f>
        <v>1</v>
      </c>
      <c r="C8640" s="7">
        <f ca="1">IFERROR(__xludf.DUMMYFUNCTION("""COMPUTED_VALUE"""),1)</f>
        <v>1</v>
      </c>
      <c r="D8640" s="8">
        <f ca="1">IFERROR(__xludf.DUMMYFUNCTION("""COMPUTED_VALUE"""),5)</f>
        <v>5</v>
      </c>
      <c r="E8640" s="3">
        <f ca="1">IFERROR(__xludf.DUMMYFUNCTION("""COMPUTED_VALUE"""),2)</f>
        <v>2</v>
      </c>
    </row>
    <row r="8641" spans="1:5" ht="13">
      <c r="A8641" s="2" t="str">
        <f ca="1">IFERROR(__xludf.DUMMYFUNCTION("""COMPUTED_VALUE"""),"Widqvist, Viktor")</f>
        <v>Widqvist, Viktor</v>
      </c>
      <c r="B8641" s="3">
        <f ca="1">IFERROR(__xludf.DUMMYFUNCTION("""COMPUTED_VALUE"""),1)</f>
        <v>1</v>
      </c>
      <c r="C8641" s="7">
        <f ca="1">IFERROR(__xludf.DUMMYFUNCTION("""COMPUTED_VALUE"""),1)</f>
        <v>1</v>
      </c>
      <c r="D8641" s="8">
        <f ca="1">IFERROR(__xludf.DUMMYFUNCTION("""COMPUTED_VALUE"""),5)</f>
        <v>5</v>
      </c>
      <c r="E8641" s="2">
        <f ca="1">IFERROR(__xludf.DUMMYFUNCTION("""COMPUTED_VALUE"""),2)</f>
        <v>2</v>
      </c>
    </row>
    <row r="8642" spans="1:5" ht="13">
      <c r="A8642" s="2" t="str">
        <f ca="1">IFERROR(__xludf.DUMMYFUNCTION("""COMPUTED_VALUE"""),"Wieloszynski, Steve")</f>
        <v>Wieloszynski, Steve</v>
      </c>
      <c r="B8642" s="3">
        <f ca="1">IFERROR(__xludf.DUMMYFUNCTION("""COMPUTED_VALUE"""),1)</f>
        <v>1</v>
      </c>
      <c r="C8642" s="7">
        <f ca="1">IFERROR(__xludf.DUMMYFUNCTION("""COMPUTED_VALUE"""),1)</f>
        <v>1</v>
      </c>
      <c r="D8642" s="8">
        <f ca="1">IFERROR(__xludf.DUMMYFUNCTION("""COMPUTED_VALUE"""),1)</f>
        <v>1</v>
      </c>
      <c r="E8642" s="2">
        <f ca="1">IFERROR(__xludf.DUMMYFUNCTION("""COMPUTED_VALUE"""),1)</f>
        <v>1</v>
      </c>
    </row>
    <row r="8643" spans="1:5" ht="13">
      <c r="A8643" s="8" t="str">
        <f ca="1">IFERROR(__xludf.DUMMYFUNCTION("""COMPUTED_VALUE"""),"Wienandt, Elwyn")</f>
        <v>Wienandt, Elwyn</v>
      </c>
      <c r="B8643" s="3">
        <f ca="1">IFERROR(__xludf.DUMMYFUNCTION("""COMPUTED_VALUE"""),1)</f>
        <v>1</v>
      </c>
      <c r="C8643" s="7">
        <f ca="1">IFERROR(__xludf.DUMMYFUNCTION("""COMPUTED_VALUE"""),1)</f>
        <v>1</v>
      </c>
      <c r="D8643" s="8">
        <f ca="1">IFERROR(__xludf.DUMMYFUNCTION("""COMPUTED_VALUE"""),1)</f>
        <v>1</v>
      </c>
      <c r="E8643" s="2">
        <f ca="1">IFERROR(__xludf.DUMMYFUNCTION("""COMPUTED_VALUE"""),1)</f>
        <v>1</v>
      </c>
    </row>
    <row r="8644" spans="1:5" ht="13">
      <c r="A8644" s="2" t="str">
        <f ca="1">IFERROR(__xludf.DUMMYFUNCTION("""COMPUTED_VALUE"""),"Wienhorst, Richard")</f>
        <v>Wienhorst, Richard</v>
      </c>
      <c r="B8644" s="3">
        <f ca="1">IFERROR(__xludf.DUMMYFUNCTION("""COMPUTED_VALUE"""),1)</f>
        <v>1</v>
      </c>
      <c r="C8644" s="7">
        <f ca="1">IFERROR(__xludf.DUMMYFUNCTION("""COMPUTED_VALUE"""),1)</f>
        <v>1</v>
      </c>
      <c r="D8644" s="8">
        <f ca="1">IFERROR(__xludf.DUMMYFUNCTION("""COMPUTED_VALUE"""),5)</f>
        <v>5</v>
      </c>
      <c r="E8644" s="2">
        <f ca="1">IFERROR(__xludf.DUMMYFUNCTION("""COMPUTED_VALUE"""),2)</f>
        <v>2</v>
      </c>
    </row>
    <row r="8645" spans="1:5" ht="13">
      <c r="A8645" s="2" t="str">
        <f ca="1">IFERROR(__xludf.DUMMYFUNCTION("""COMPUTED_VALUE"""),"Wieniawski, Henri")</f>
        <v>Wieniawski, Henri</v>
      </c>
      <c r="B8645" s="3">
        <f ca="1">IFERROR(__xludf.DUMMYFUNCTION("""COMPUTED_VALUE"""),1)</f>
        <v>1</v>
      </c>
      <c r="C8645" s="7">
        <f ca="1">IFERROR(__xludf.DUMMYFUNCTION("""COMPUTED_VALUE"""),1)</f>
        <v>1</v>
      </c>
      <c r="D8645" s="8">
        <f ca="1">IFERROR(__xludf.DUMMYFUNCTION("""COMPUTED_VALUE"""),5)</f>
        <v>5</v>
      </c>
      <c r="E8645" s="2">
        <f ca="1">IFERROR(__xludf.DUMMYFUNCTION("""COMPUTED_VALUE"""),2)</f>
        <v>2</v>
      </c>
    </row>
    <row r="8646" spans="1:5" ht="13">
      <c r="A8646" s="2" t="str">
        <f ca="1">IFERROR(__xludf.DUMMYFUNCTION("""COMPUTED_VALUE"""),"Wieniawski, Henryk")</f>
        <v>Wieniawski, Henryk</v>
      </c>
      <c r="B8646" s="3">
        <f ca="1">IFERROR(__xludf.DUMMYFUNCTION("""COMPUTED_VALUE"""),1)</f>
        <v>1</v>
      </c>
      <c r="C8646" s="7">
        <f ca="1">IFERROR(__xludf.DUMMYFUNCTION("""COMPUTED_VALUE"""),1)</f>
        <v>1</v>
      </c>
      <c r="D8646" s="8">
        <f ca="1">IFERROR(__xludf.DUMMYFUNCTION("""COMPUTED_VALUE"""),5)</f>
        <v>5</v>
      </c>
      <c r="E8646" s="2">
        <f ca="1">IFERROR(__xludf.DUMMYFUNCTION("""COMPUTED_VALUE"""),2)</f>
        <v>2</v>
      </c>
    </row>
    <row r="8647" spans="1:5" ht="13">
      <c r="A8647" s="2" t="str">
        <f ca="1">IFERROR(__xludf.DUMMYFUNCTION("""COMPUTED_VALUE"""),"Wieprecht, Wilhelm")</f>
        <v>Wieprecht, Wilhelm</v>
      </c>
      <c r="B8647" s="3">
        <f ca="1">IFERROR(__xludf.DUMMYFUNCTION("""COMPUTED_VALUE"""),1)</f>
        <v>1</v>
      </c>
      <c r="C8647" s="7">
        <f ca="1">IFERROR(__xludf.DUMMYFUNCTION("""COMPUTED_VALUE"""),1)</f>
        <v>1</v>
      </c>
      <c r="D8647" s="8">
        <f ca="1">IFERROR(__xludf.DUMMYFUNCTION("""COMPUTED_VALUE"""),5)</f>
        <v>5</v>
      </c>
      <c r="E8647" s="2">
        <f ca="1">IFERROR(__xludf.DUMMYFUNCTION("""COMPUTED_VALUE"""),2)</f>
        <v>2</v>
      </c>
    </row>
    <row r="8648" spans="1:5" ht="13">
      <c r="A8648" s="2" t="str">
        <f ca="1">IFERROR(__xludf.DUMMYFUNCTION("""COMPUTED_VALUE"""),"Wiest, Steve")</f>
        <v>Wiest, Steve</v>
      </c>
      <c r="B8648" s="3">
        <f ca="1">IFERROR(__xludf.DUMMYFUNCTION("""COMPUTED_VALUE"""),1)</f>
        <v>1</v>
      </c>
      <c r="C8648" s="7">
        <f ca="1">IFERROR(__xludf.DUMMYFUNCTION("""COMPUTED_VALUE"""),1)</f>
        <v>1</v>
      </c>
      <c r="D8648" s="8">
        <f ca="1">IFERROR(__xludf.DUMMYFUNCTION("""COMPUTED_VALUE"""),1)</f>
        <v>1</v>
      </c>
      <c r="E8648" s="2">
        <f ca="1">IFERROR(__xludf.DUMMYFUNCTION("""COMPUTED_VALUE"""),1)</f>
        <v>1</v>
      </c>
    </row>
    <row r="8649" spans="1:5" ht="13">
      <c r="A8649" s="2" t="str">
        <f ca="1">IFERROR(__xludf.DUMMYFUNCTION("""COMPUTED_VALUE"""),"Wiffin, Rob")</f>
        <v>Wiffin, Rob</v>
      </c>
      <c r="B8649" s="3">
        <f ca="1">IFERROR(__xludf.DUMMYFUNCTION("""COMPUTED_VALUE"""),1)</f>
        <v>1</v>
      </c>
      <c r="C8649" s="7">
        <f ca="1">IFERROR(__xludf.DUMMYFUNCTION("""COMPUTED_VALUE"""),1)</f>
        <v>1</v>
      </c>
      <c r="D8649" s="8">
        <f ca="1">IFERROR(__xludf.DUMMYFUNCTION("""COMPUTED_VALUE"""),1)</f>
        <v>1</v>
      </c>
      <c r="E8649" s="2">
        <f ca="1">IFERROR(__xludf.DUMMYFUNCTION("""COMPUTED_VALUE"""),1)</f>
        <v>1</v>
      </c>
    </row>
    <row r="8650" spans="1:5" ht="13">
      <c r="A8650" s="2" t="str">
        <f ca="1">IFERROR(__xludf.DUMMYFUNCTION("""COMPUTED_VALUE"""),"Wiggins, Arthur")</f>
        <v>Wiggins, Arthur</v>
      </c>
      <c r="B8650" s="3">
        <f ca="1">IFERROR(__xludf.DUMMYFUNCTION("""COMPUTED_VALUE"""),1)</f>
        <v>1</v>
      </c>
      <c r="C8650" s="7">
        <f ca="1">IFERROR(__xludf.DUMMYFUNCTION("""COMPUTED_VALUE"""),1)</f>
        <v>1</v>
      </c>
      <c r="D8650" s="8">
        <f ca="1">IFERROR(__xludf.DUMMYFUNCTION("""COMPUTED_VALUE"""),5)</f>
        <v>5</v>
      </c>
      <c r="E8650" s="2">
        <f ca="1">IFERROR(__xludf.DUMMYFUNCTION("""COMPUTED_VALUE"""),2)</f>
        <v>2</v>
      </c>
    </row>
    <row r="8651" spans="1:5" ht="13">
      <c r="A8651" s="2" t="str">
        <f ca="1">IFERROR(__xludf.DUMMYFUNCTION("""COMPUTED_VALUE"""),"Wiggins, Bram")</f>
        <v>Wiggins, Bram</v>
      </c>
      <c r="B8651" s="3">
        <f ca="1">IFERROR(__xludf.DUMMYFUNCTION("""COMPUTED_VALUE"""),1)</f>
        <v>1</v>
      </c>
      <c r="C8651" s="7">
        <f ca="1">IFERROR(__xludf.DUMMYFUNCTION("""COMPUTED_VALUE"""),1)</f>
        <v>1</v>
      </c>
      <c r="D8651" s="8">
        <f ca="1">IFERROR(__xludf.DUMMYFUNCTION("""COMPUTED_VALUE"""),5)</f>
        <v>5</v>
      </c>
      <c r="E8651" s="2">
        <f ca="1">IFERROR(__xludf.DUMMYFUNCTION("""COMPUTED_VALUE"""),2)</f>
        <v>2</v>
      </c>
    </row>
    <row r="8652" spans="1:5" ht="13">
      <c r="A8652" s="8" t="str">
        <f ca="1">IFERROR(__xludf.DUMMYFUNCTION("""COMPUTED_VALUE"""),"Wiggins, Christopher")</f>
        <v>Wiggins, Christopher</v>
      </c>
      <c r="B8652" s="3">
        <f ca="1">IFERROR(__xludf.DUMMYFUNCTION("""COMPUTED_VALUE"""),1)</f>
        <v>1</v>
      </c>
      <c r="C8652" s="7">
        <f ca="1">IFERROR(__xludf.DUMMYFUNCTION("""COMPUTED_VALUE"""),1)</f>
        <v>1</v>
      </c>
      <c r="D8652" s="8">
        <f ca="1">IFERROR(__xludf.DUMMYFUNCTION("""COMPUTED_VALUE"""),1)</f>
        <v>1</v>
      </c>
      <c r="E8652" s="2">
        <f ca="1">IFERROR(__xludf.DUMMYFUNCTION("""COMPUTED_VALUE"""),1)</f>
        <v>1</v>
      </c>
    </row>
    <row r="8653" spans="1:5" ht="13">
      <c r="A8653" s="2" t="str">
        <f ca="1">IFERROR(__xludf.DUMMYFUNCTION("""COMPUTED_VALUE"""),"Wigglesworth, Ryan")</f>
        <v>Wigglesworth, Ryan</v>
      </c>
      <c r="B8653" s="3">
        <f ca="1">IFERROR(__xludf.DUMMYFUNCTION("""COMPUTED_VALUE"""),1)</f>
        <v>1</v>
      </c>
      <c r="C8653" s="7">
        <f ca="1">IFERROR(__xludf.DUMMYFUNCTION("""COMPUTED_VALUE"""),1)</f>
        <v>1</v>
      </c>
      <c r="D8653" s="8">
        <f ca="1">IFERROR(__xludf.DUMMYFUNCTION("""COMPUTED_VALUE"""),1)</f>
        <v>1</v>
      </c>
      <c r="E8653" s="2">
        <f ca="1">IFERROR(__xludf.DUMMYFUNCTION("""COMPUTED_VALUE"""),1)</f>
        <v>1</v>
      </c>
    </row>
    <row r="8654" spans="1:5" ht="13">
      <c r="A8654" s="2" t="str">
        <f ca="1">IFERROR(__xludf.DUMMYFUNCTION("""COMPUTED_VALUE"""),"Wikander, David")</f>
        <v>Wikander, David</v>
      </c>
      <c r="B8654" s="3">
        <f ca="1">IFERROR(__xludf.DUMMYFUNCTION("""COMPUTED_VALUE"""),1)</f>
        <v>1</v>
      </c>
      <c r="C8654" s="7">
        <f ca="1">IFERROR(__xludf.DUMMYFUNCTION("""COMPUTED_VALUE"""),1)</f>
        <v>1</v>
      </c>
      <c r="D8654" s="8">
        <f ca="1">IFERROR(__xludf.DUMMYFUNCTION("""COMPUTED_VALUE"""),5)</f>
        <v>5</v>
      </c>
      <c r="E8654" s="2">
        <f ca="1">IFERROR(__xludf.DUMMYFUNCTION("""COMPUTED_VALUE"""),2)</f>
        <v>2</v>
      </c>
    </row>
    <row r="8655" spans="1:5" ht="13">
      <c r="A8655" s="2" t="str">
        <f ca="1">IFERROR(__xludf.DUMMYFUNCTION("""COMPUTED_VALUE"""),"Wilberg, Mack")</f>
        <v>Wilberg, Mack</v>
      </c>
      <c r="B8655" s="2">
        <f ca="1">IFERROR(__xludf.DUMMYFUNCTION("""COMPUTED_VALUE"""),1)</f>
        <v>1</v>
      </c>
      <c r="C8655" s="7">
        <f ca="1">IFERROR(__xludf.DUMMYFUNCTION("""COMPUTED_VALUE"""),1)</f>
        <v>1</v>
      </c>
      <c r="D8655" s="8">
        <f ca="1">IFERROR(__xludf.DUMMYFUNCTION("""COMPUTED_VALUE"""),1)</f>
        <v>1</v>
      </c>
      <c r="E8655" s="2">
        <f ca="1">IFERROR(__xludf.DUMMYFUNCTION("""COMPUTED_VALUE"""),1)</f>
        <v>1</v>
      </c>
    </row>
    <row r="8656" spans="1:5" ht="13">
      <c r="A8656" s="8" t="str">
        <f ca="1">IFERROR(__xludf.DUMMYFUNCTION("""COMPUTED_VALUE"""),"Wilberg, Mack / Rodde, James")</f>
        <v>Wilberg, Mack / Rodde, James</v>
      </c>
      <c r="B8656" s="3">
        <f ca="1">IFERROR(__xludf.DUMMYFUNCTION("""COMPUTED_VALUE"""),1)</f>
        <v>1</v>
      </c>
      <c r="C8656" s="7">
        <f ca="1">IFERROR(__xludf.DUMMYFUNCTION("""COMPUTED_VALUE"""),1)</f>
        <v>1</v>
      </c>
      <c r="D8656" s="8">
        <f ca="1">IFERROR(__xludf.DUMMYFUNCTION("""COMPUTED_VALUE"""),1)</f>
        <v>1</v>
      </c>
      <c r="E8656" s="2">
        <f ca="1">IFERROR(__xludf.DUMMYFUNCTION("""COMPUTED_VALUE"""),1)</f>
        <v>1</v>
      </c>
    </row>
    <row r="8657" spans="1:5" ht="13">
      <c r="A8657" s="2" t="str">
        <f ca="1">IFERROR(__xludf.DUMMYFUNCTION("""COMPUTED_VALUE"""),"Wilby, Philip")</f>
        <v>Wilby, Philip</v>
      </c>
      <c r="B8657" s="3">
        <f ca="1">IFERROR(__xludf.DUMMYFUNCTION("""COMPUTED_VALUE"""),1)</f>
        <v>1</v>
      </c>
      <c r="C8657" s="7">
        <f ca="1">IFERROR(__xludf.DUMMYFUNCTION("""COMPUTED_VALUE"""),1)</f>
        <v>1</v>
      </c>
      <c r="D8657" s="8">
        <f ca="1">IFERROR(__xludf.DUMMYFUNCTION("""COMPUTED_VALUE"""),1)</f>
        <v>1</v>
      </c>
      <c r="E8657" s="2">
        <f ca="1">IFERROR(__xludf.DUMMYFUNCTION("""COMPUTED_VALUE"""),1)</f>
        <v>1</v>
      </c>
    </row>
    <row r="8658" spans="1:5" ht="13">
      <c r="A8658" s="8" t="str">
        <f ca="1">IFERROR(__xludf.DUMMYFUNCTION("""COMPUTED_VALUE"""),"Wilbye, John")</f>
        <v>Wilbye, John</v>
      </c>
      <c r="B8658" s="3">
        <f ca="1">IFERROR(__xludf.DUMMYFUNCTION("""COMPUTED_VALUE"""),1)</f>
        <v>1</v>
      </c>
      <c r="C8658" s="7">
        <f ca="1">IFERROR(__xludf.DUMMYFUNCTION("""COMPUTED_VALUE"""),1)</f>
        <v>1</v>
      </c>
      <c r="D8658" s="8">
        <f ca="1">IFERROR(__xludf.DUMMYFUNCTION("""COMPUTED_VALUE"""),5)</f>
        <v>5</v>
      </c>
      <c r="E8658" s="2">
        <f ca="1">IFERROR(__xludf.DUMMYFUNCTION("""COMPUTED_VALUE"""),2)</f>
        <v>2</v>
      </c>
    </row>
    <row r="8659" spans="1:5" ht="13">
      <c r="A8659" s="2" t="str">
        <f ca="1">IFERROR(__xludf.DUMMYFUNCTION("""COMPUTED_VALUE"""),"Wilcken, Geoff")</f>
        <v>Wilcken, Geoff</v>
      </c>
      <c r="B8659" s="3">
        <f ca="1">IFERROR(__xludf.DUMMYFUNCTION("""COMPUTED_VALUE"""),1)</f>
        <v>1</v>
      </c>
      <c r="C8659" s="7">
        <f ca="1">IFERROR(__xludf.DUMMYFUNCTION("""COMPUTED_VALUE"""),1)</f>
        <v>1</v>
      </c>
      <c r="D8659" s="8">
        <f ca="1">IFERROR(__xludf.DUMMYFUNCTION("""COMPUTED_VALUE"""),1)</f>
        <v>1</v>
      </c>
      <c r="E8659" s="2">
        <f ca="1">IFERROR(__xludf.DUMMYFUNCTION("""COMPUTED_VALUE"""),1)</f>
        <v>1</v>
      </c>
    </row>
    <row r="8660" spans="1:5" ht="13">
      <c r="A8660" s="2" t="str">
        <f ca="1">IFERROR(__xludf.DUMMYFUNCTION("""COMPUTED_VALUE"""),"Wilcocks, Jonathan")</f>
        <v>Wilcocks, Jonathan</v>
      </c>
      <c r="B8660" s="2">
        <f ca="1">IFERROR(__xludf.DUMMYFUNCTION("""COMPUTED_VALUE"""),1)</f>
        <v>1</v>
      </c>
      <c r="C8660" s="7">
        <f ca="1">IFERROR(__xludf.DUMMYFUNCTION("""COMPUTED_VALUE"""),1)</f>
        <v>1</v>
      </c>
      <c r="D8660" s="8">
        <f ca="1">IFERROR(__xludf.DUMMYFUNCTION("""COMPUTED_VALUE"""),1)</f>
        <v>1</v>
      </c>
      <c r="E8660" s="2">
        <f ca="1">IFERROR(__xludf.DUMMYFUNCTION("""COMPUTED_VALUE"""),1)</f>
        <v>1</v>
      </c>
    </row>
    <row r="8661" spans="1:5" ht="13">
      <c r="A8661" s="2" t="str">
        <f ca="1">IFERROR(__xludf.DUMMYFUNCTION("""COMPUTED_VALUE"""),"Wilcott, Ronald")</f>
        <v>Wilcott, Ronald</v>
      </c>
      <c r="B8661" s="3">
        <f ca="1">IFERROR(__xludf.DUMMYFUNCTION("""COMPUTED_VALUE"""),1)</f>
        <v>1</v>
      </c>
      <c r="C8661" s="7">
        <f ca="1">IFERROR(__xludf.DUMMYFUNCTION("""COMPUTED_VALUE"""),1)</f>
        <v>1</v>
      </c>
      <c r="D8661" s="8">
        <f ca="1">IFERROR(__xludf.DUMMYFUNCTION("""COMPUTED_VALUE"""),1)</f>
        <v>1</v>
      </c>
      <c r="E8661" s="2">
        <f ca="1">IFERROR(__xludf.DUMMYFUNCTION("""COMPUTED_VALUE"""),1)</f>
        <v>1</v>
      </c>
    </row>
    <row r="8662" spans="1:5" ht="13">
      <c r="A8662" s="2" t="str">
        <f ca="1">IFERROR(__xludf.DUMMYFUNCTION("""COMPUTED_VALUE"""),"Wilcox, Don")</f>
        <v>Wilcox, Don</v>
      </c>
      <c r="B8662" s="3">
        <f ca="1">IFERROR(__xludf.DUMMYFUNCTION("""COMPUTED_VALUE"""),1)</f>
        <v>1</v>
      </c>
      <c r="C8662" s="7">
        <f ca="1">IFERROR(__xludf.DUMMYFUNCTION("""COMPUTED_VALUE"""),1)</f>
        <v>1</v>
      </c>
      <c r="D8662" s="8">
        <f ca="1">IFERROR(__xludf.DUMMYFUNCTION("""COMPUTED_VALUE"""),1)</f>
        <v>1</v>
      </c>
      <c r="E8662" s="2">
        <f ca="1">IFERROR(__xludf.DUMMYFUNCTION("""COMPUTED_VALUE"""),1)</f>
        <v>1</v>
      </c>
    </row>
    <row r="8663" spans="1:5" ht="13">
      <c r="A8663" s="2" t="str">
        <f ca="1">IFERROR(__xludf.DUMMYFUNCTION("""COMPUTED_VALUE"""),"Wilcox, Joshua")</f>
        <v>Wilcox, Joshua</v>
      </c>
      <c r="B8663" s="3">
        <f ca="1">IFERROR(__xludf.DUMMYFUNCTION("""COMPUTED_VALUE"""),1)</f>
        <v>1</v>
      </c>
      <c r="C8663" s="7">
        <f ca="1">IFERROR(__xludf.DUMMYFUNCTION("""COMPUTED_VALUE"""),1)</f>
        <v>1</v>
      </c>
      <c r="D8663" s="8">
        <f ca="1">IFERROR(__xludf.DUMMYFUNCTION("""COMPUTED_VALUE"""),1)</f>
        <v>1</v>
      </c>
      <c r="E8663" s="2">
        <f ca="1">IFERROR(__xludf.DUMMYFUNCTION("""COMPUTED_VALUE"""),1)</f>
        <v>1</v>
      </c>
    </row>
    <row r="8664" spans="1:5" ht="13">
      <c r="A8664" s="2" t="str">
        <f ca="1">IFERROR(__xludf.DUMMYFUNCTION("""COMPUTED_VALUE"""),"Wilder, Alec")</f>
        <v>Wilder, Alec</v>
      </c>
      <c r="B8664" s="3">
        <f ca="1">IFERROR(__xludf.DUMMYFUNCTION("""COMPUTED_VALUE"""),1)</f>
        <v>1</v>
      </c>
      <c r="C8664" s="7">
        <f ca="1">IFERROR(__xludf.DUMMYFUNCTION("""COMPUTED_VALUE"""),1)</f>
        <v>1</v>
      </c>
      <c r="D8664" s="8">
        <f ca="1">IFERROR(__xludf.DUMMYFUNCTION("""COMPUTED_VALUE"""),5)</f>
        <v>5</v>
      </c>
      <c r="E8664" s="2">
        <f ca="1">IFERROR(__xludf.DUMMYFUNCTION("""COMPUTED_VALUE"""),2)</f>
        <v>2</v>
      </c>
    </row>
    <row r="8665" spans="1:5" ht="13">
      <c r="A8665" s="2" t="str">
        <f ca="1">IFERROR(__xludf.DUMMYFUNCTION("""COMPUTED_VALUE"""),"Wilder, Matthew")</f>
        <v>Wilder, Matthew</v>
      </c>
      <c r="B8665" s="3">
        <f ca="1">IFERROR(__xludf.DUMMYFUNCTION("""COMPUTED_VALUE"""),1)</f>
        <v>1</v>
      </c>
      <c r="C8665" s="7">
        <f ca="1">IFERROR(__xludf.DUMMYFUNCTION("""COMPUTED_VALUE"""),1)</f>
        <v>1</v>
      </c>
      <c r="D8665" s="8">
        <f ca="1">IFERROR(__xludf.DUMMYFUNCTION("""COMPUTED_VALUE"""),1)</f>
        <v>1</v>
      </c>
      <c r="E8665" s="2">
        <f ca="1">IFERROR(__xludf.DUMMYFUNCTION("""COMPUTED_VALUE"""),1)</f>
        <v>1</v>
      </c>
    </row>
    <row r="8666" spans="1:5" ht="13">
      <c r="A8666" s="2" t="str">
        <f ca="1">IFERROR(__xludf.DUMMYFUNCTION("""COMPUTED_VALUE"""),"Wilder, Philip van")</f>
        <v>Wilder, Philip van</v>
      </c>
      <c r="B8666" s="2">
        <f ca="1">IFERROR(__xludf.DUMMYFUNCTION("""COMPUTED_VALUE"""),1)</f>
        <v>1</v>
      </c>
      <c r="C8666" s="7">
        <f ca="1">IFERROR(__xludf.DUMMYFUNCTION("""COMPUTED_VALUE"""),1)</f>
        <v>1</v>
      </c>
      <c r="D8666" s="8">
        <f ca="1">IFERROR(__xludf.DUMMYFUNCTION("""COMPUTED_VALUE"""),5)</f>
        <v>5</v>
      </c>
      <c r="E8666" s="2">
        <f ca="1">IFERROR(__xludf.DUMMYFUNCTION("""COMPUTED_VALUE"""),2)</f>
        <v>2</v>
      </c>
    </row>
    <row r="8667" spans="1:5" ht="13">
      <c r="A8667" s="2" t="str">
        <f ca="1">IFERROR(__xludf.DUMMYFUNCTION("""COMPUTED_VALUE"""),"Wildhorn, Frank")</f>
        <v>Wildhorn, Frank</v>
      </c>
      <c r="B8667" s="3">
        <f ca="1">IFERROR(__xludf.DUMMYFUNCTION("""COMPUTED_VALUE"""),1)</f>
        <v>1</v>
      </c>
      <c r="C8667" s="7">
        <f ca="1">IFERROR(__xludf.DUMMYFUNCTION("""COMPUTED_VALUE"""),1)</f>
        <v>1</v>
      </c>
      <c r="D8667" s="8">
        <f ca="1">IFERROR(__xludf.DUMMYFUNCTION("""COMPUTED_VALUE"""),1)</f>
        <v>1</v>
      </c>
      <c r="E8667" s="2">
        <f ca="1">IFERROR(__xludf.DUMMYFUNCTION("""COMPUTED_VALUE"""),1)</f>
        <v>1</v>
      </c>
    </row>
    <row r="8668" spans="1:5" ht="13">
      <c r="A8668" s="8" t="str">
        <f ca="1">IFERROR(__xludf.DUMMYFUNCTION("""COMPUTED_VALUE"""),"Wilding-White, Raymond")</f>
        <v>Wilding-White, Raymond</v>
      </c>
      <c r="B8668" s="3">
        <f ca="1">IFERROR(__xludf.DUMMYFUNCTION("""COMPUTED_VALUE"""),1)</f>
        <v>1</v>
      </c>
      <c r="C8668" s="7">
        <f ca="1">IFERROR(__xludf.DUMMYFUNCTION("""COMPUTED_VALUE"""),1)</f>
        <v>1</v>
      </c>
      <c r="D8668" s="8">
        <f ca="1">IFERROR(__xludf.DUMMYFUNCTION("""COMPUTED_VALUE"""),5)</f>
        <v>5</v>
      </c>
      <c r="E8668" s="2">
        <f ca="1">IFERROR(__xludf.DUMMYFUNCTION("""COMPUTED_VALUE"""),2)</f>
        <v>2</v>
      </c>
    </row>
    <row r="8669" spans="1:5" ht="13">
      <c r="A8669" s="2" t="str">
        <f ca="1">IFERROR(__xludf.DUMMYFUNCTION("""COMPUTED_VALUE"""),"Wilds, Jack")</f>
        <v>Wilds, Jack</v>
      </c>
      <c r="B8669" s="3">
        <f ca="1">IFERROR(__xludf.DUMMYFUNCTION("""COMPUTED_VALUE"""),1)</f>
        <v>1</v>
      </c>
      <c r="C8669" s="7">
        <f ca="1">IFERROR(__xludf.DUMMYFUNCTION("""COMPUTED_VALUE"""),1)</f>
        <v>1</v>
      </c>
      <c r="D8669" s="8">
        <f ca="1">IFERROR(__xludf.DUMMYFUNCTION("""COMPUTED_VALUE"""),1)</f>
        <v>1</v>
      </c>
      <c r="E8669" s="2">
        <f ca="1">IFERROR(__xludf.DUMMYFUNCTION("""COMPUTED_VALUE"""),1)</f>
        <v>1</v>
      </c>
    </row>
    <row r="8670" spans="1:5" ht="13">
      <c r="A8670" s="2" t="str">
        <f ca="1">IFERROR(__xludf.DUMMYFUNCTION("""COMPUTED_VALUE"""),"Wiley, Charles A.")</f>
        <v>Wiley, Charles A.</v>
      </c>
      <c r="B8670" s="3">
        <f ca="1">IFERROR(__xludf.DUMMYFUNCTION("""COMPUTED_VALUE"""),1)</f>
        <v>1</v>
      </c>
      <c r="C8670" s="7">
        <f ca="1">IFERROR(__xludf.DUMMYFUNCTION("""COMPUTED_VALUE"""),1)</f>
        <v>1</v>
      </c>
      <c r="D8670" s="8">
        <f ca="1">IFERROR(__xludf.DUMMYFUNCTION("""COMPUTED_VALUE"""),5)</f>
        <v>5</v>
      </c>
      <c r="E8670" s="2">
        <f ca="1">IFERROR(__xludf.DUMMYFUNCTION("""COMPUTED_VALUE"""),2)</f>
        <v>2</v>
      </c>
    </row>
    <row r="8671" spans="1:5" ht="13">
      <c r="A8671" s="2" t="str">
        <f ca="1">IFERROR(__xludf.DUMMYFUNCTION("""COMPUTED_VALUE"""),"Wiley, Pete")</f>
        <v>Wiley, Pete</v>
      </c>
      <c r="B8671" s="3">
        <f ca="1">IFERROR(__xludf.DUMMYFUNCTION("""COMPUTED_VALUE"""),1)</f>
        <v>1</v>
      </c>
      <c r="C8671" s="7">
        <f ca="1">IFERROR(__xludf.DUMMYFUNCTION("""COMPUTED_VALUE"""),1)</f>
        <v>1</v>
      </c>
      <c r="D8671" s="8">
        <f ca="1">IFERROR(__xludf.DUMMYFUNCTION("""COMPUTED_VALUE"""),1)</f>
        <v>1</v>
      </c>
      <c r="E8671" s="2">
        <f ca="1">IFERROR(__xludf.DUMMYFUNCTION("""COMPUTED_VALUE"""),1)</f>
        <v>1</v>
      </c>
    </row>
    <row r="8672" spans="1:5" ht="13">
      <c r="A8672" s="2" t="str">
        <f ca="1">IFERROR(__xludf.DUMMYFUNCTION("""COMPUTED_VALUE"""),"Wilford, Lance")</f>
        <v>Wilford, Lance</v>
      </c>
      <c r="B8672" s="3">
        <f ca="1">IFERROR(__xludf.DUMMYFUNCTION("""COMPUTED_VALUE"""),1)</f>
        <v>1</v>
      </c>
      <c r="C8672" s="7">
        <f ca="1">IFERROR(__xludf.DUMMYFUNCTION("""COMPUTED_VALUE"""),1)</f>
        <v>1</v>
      </c>
      <c r="D8672" s="8">
        <f ca="1">IFERROR(__xludf.DUMMYFUNCTION("""COMPUTED_VALUE"""),1)</f>
        <v>1</v>
      </c>
      <c r="E8672" s="2">
        <f ca="1">IFERROR(__xludf.DUMMYFUNCTION("""COMPUTED_VALUE"""),1)</f>
        <v>1</v>
      </c>
    </row>
    <row r="8673" spans="1:5" ht="13">
      <c r="A8673" s="2" t="str">
        <f ca="1">IFERROR(__xludf.DUMMYFUNCTION("""COMPUTED_VALUE"""),"Wilhelm, Rolf")</f>
        <v>Wilhelm, Rolf</v>
      </c>
      <c r="B8673" s="3">
        <f ca="1">IFERROR(__xludf.DUMMYFUNCTION("""COMPUTED_VALUE"""),1)</f>
        <v>1</v>
      </c>
      <c r="C8673" s="7">
        <f ca="1">IFERROR(__xludf.DUMMYFUNCTION("""COMPUTED_VALUE"""),1)</f>
        <v>1</v>
      </c>
      <c r="D8673" s="8">
        <f ca="1">IFERROR(__xludf.DUMMYFUNCTION("""COMPUTED_VALUE"""),5)</f>
        <v>5</v>
      </c>
      <c r="E8673" s="2">
        <f ca="1">IFERROR(__xludf.DUMMYFUNCTION("""COMPUTED_VALUE"""),2)</f>
        <v>2</v>
      </c>
    </row>
    <row r="8674" spans="1:5" ht="13">
      <c r="A8674" s="8" t="str">
        <f ca="1">IFERROR(__xludf.DUMMYFUNCTION("""COMPUTED_VALUE"""),"Wilhelmj, August")</f>
        <v>Wilhelmj, August</v>
      </c>
      <c r="B8674" s="3">
        <f ca="1">IFERROR(__xludf.DUMMYFUNCTION("""COMPUTED_VALUE"""),1)</f>
        <v>1</v>
      </c>
      <c r="C8674" s="7">
        <f ca="1">IFERROR(__xludf.DUMMYFUNCTION("""COMPUTED_VALUE"""),1)</f>
        <v>1</v>
      </c>
      <c r="D8674" s="8">
        <f ca="1">IFERROR(__xludf.DUMMYFUNCTION("""COMPUTED_VALUE"""),5)</f>
        <v>5</v>
      </c>
      <c r="E8674" s="2">
        <f ca="1">IFERROR(__xludf.DUMMYFUNCTION("""COMPUTED_VALUE"""),2)</f>
        <v>2</v>
      </c>
    </row>
    <row r="8675" spans="1:5" ht="13">
      <c r="A8675" s="8" t="str">
        <f ca="1">IFERROR(__xludf.DUMMYFUNCTION("""COMPUTED_VALUE"""),"Wilhousky, Peter")</f>
        <v>Wilhousky, Peter</v>
      </c>
      <c r="B8675" s="3">
        <f ca="1">IFERROR(__xludf.DUMMYFUNCTION("""COMPUTED_VALUE"""),1)</f>
        <v>1</v>
      </c>
      <c r="C8675" s="7">
        <f ca="1">IFERROR(__xludf.DUMMYFUNCTION("""COMPUTED_VALUE"""),1)</f>
        <v>1</v>
      </c>
      <c r="D8675" s="8">
        <f ca="1">IFERROR(__xludf.DUMMYFUNCTION("""COMPUTED_VALUE"""),5)</f>
        <v>5</v>
      </c>
      <c r="E8675" s="2">
        <f ca="1">IFERROR(__xludf.DUMMYFUNCTION("""COMPUTED_VALUE"""),2)</f>
        <v>2</v>
      </c>
    </row>
    <row r="8676" spans="1:5" ht="13">
      <c r="A8676" s="2" t="str">
        <f ca="1">IFERROR(__xludf.DUMMYFUNCTION("""COMPUTED_VALUE"""),"Wilhousky, Peter J.")</f>
        <v>Wilhousky, Peter J.</v>
      </c>
      <c r="B8676" s="2">
        <f ca="1">IFERROR(__xludf.DUMMYFUNCTION("""COMPUTED_VALUE"""),1)</f>
        <v>1</v>
      </c>
      <c r="C8676" s="7">
        <f ca="1">IFERROR(__xludf.DUMMYFUNCTION("""COMPUTED_VALUE"""),1)</f>
        <v>1</v>
      </c>
      <c r="D8676" s="8">
        <f ca="1">IFERROR(__xludf.DUMMYFUNCTION("""COMPUTED_VALUE"""),1)</f>
        <v>1</v>
      </c>
      <c r="E8676" s="2">
        <f ca="1">IFERROR(__xludf.DUMMYFUNCTION("""COMPUTED_VALUE"""),1)</f>
        <v>1</v>
      </c>
    </row>
    <row r="8677" spans="1:5" ht="13">
      <c r="A8677" s="8" t="str">
        <f ca="1">IFERROR(__xludf.DUMMYFUNCTION("""COMPUTED_VALUE"""),"Wilkinson, Philip")</f>
        <v>Wilkinson, Philip</v>
      </c>
      <c r="B8677" s="3">
        <f ca="1">IFERROR(__xludf.DUMMYFUNCTION("""COMPUTED_VALUE"""),1)</f>
        <v>1</v>
      </c>
      <c r="C8677" s="7">
        <f ca="1">IFERROR(__xludf.DUMMYFUNCTION("""COMPUTED_VALUE"""),1)</f>
        <v>1</v>
      </c>
      <c r="D8677" s="8">
        <f ca="1">IFERROR(__xludf.DUMMYFUNCTION("""COMPUTED_VALUE"""),1)</f>
        <v>1</v>
      </c>
      <c r="E8677" s="2">
        <f ca="1">IFERROR(__xludf.DUMMYFUNCTION("""COMPUTED_VALUE"""),1)</f>
        <v>1</v>
      </c>
    </row>
    <row r="8678" spans="1:5" ht="13">
      <c r="A8678" s="2" t="str">
        <f ca="1">IFERROR(__xludf.DUMMYFUNCTION("""COMPUTED_VALUE"""),"Willaert, Adrian")</f>
        <v>Willaert, Adrian</v>
      </c>
      <c r="B8678" s="2">
        <f ca="1">IFERROR(__xludf.DUMMYFUNCTION("""COMPUTED_VALUE"""),1)</f>
        <v>1</v>
      </c>
      <c r="C8678" s="7">
        <f ca="1">IFERROR(__xludf.DUMMYFUNCTION("""COMPUTED_VALUE"""),1)</f>
        <v>1</v>
      </c>
      <c r="D8678" s="8">
        <f ca="1">IFERROR(__xludf.DUMMYFUNCTION("""COMPUTED_VALUE"""),5)</f>
        <v>5</v>
      </c>
      <c r="E8678" s="2">
        <f ca="1">IFERROR(__xludf.DUMMYFUNCTION("""COMPUTED_VALUE"""),2)</f>
        <v>2</v>
      </c>
    </row>
    <row r="8679" spans="1:5" ht="13">
      <c r="A8679" s="8" t="str">
        <f ca="1">IFERROR(__xludf.DUMMYFUNCTION("""COMPUTED_VALUE"""),"Willan, Healey")</f>
        <v>Willan, Healey</v>
      </c>
      <c r="B8679" s="3">
        <f ca="1">IFERROR(__xludf.DUMMYFUNCTION("""COMPUTED_VALUE"""),1)</f>
        <v>1</v>
      </c>
      <c r="C8679" s="7">
        <f ca="1">IFERROR(__xludf.DUMMYFUNCTION("""COMPUTED_VALUE"""),1)</f>
        <v>1</v>
      </c>
      <c r="D8679" s="8">
        <f ca="1">IFERROR(__xludf.DUMMYFUNCTION("""COMPUTED_VALUE"""),5)</f>
        <v>5</v>
      </c>
      <c r="E8679" s="2">
        <f ca="1">IFERROR(__xludf.DUMMYFUNCTION("""COMPUTED_VALUE"""),2)</f>
        <v>2</v>
      </c>
    </row>
    <row r="8680" spans="1:5" ht="13">
      <c r="A8680" s="2" t="str">
        <f ca="1">IFERROR(__xludf.DUMMYFUNCTION("""COMPUTED_VALUE"""),"Willard, Brock")</f>
        <v>Willard, Brock</v>
      </c>
      <c r="B8680" s="3">
        <f ca="1">IFERROR(__xludf.DUMMYFUNCTION("""COMPUTED_VALUE"""),1)</f>
        <v>1</v>
      </c>
      <c r="C8680" s="7">
        <f ca="1">IFERROR(__xludf.DUMMYFUNCTION("""COMPUTED_VALUE"""),1)</f>
        <v>1</v>
      </c>
      <c r="D8680" s="8">
        <f ca="1">IFERROR(__xludf.DUMMYFUNCTION("""COMPUTED_VALUE"""),1)</f>
        <v>1</v>
      </c>
      <c r="E8680" s="2">
        <f ca="1">IFERROR(__xludf.DUMMYFUNCTION("""COMPUTED_VALUE"""),1)</f>
        <v>1</v>
      </c>
    </row>
    <row r="8681" spans="1:5" ht="13">
      <c r="A8681" s="2" t="str">
        <f ca="1">IFERROR(__xludf.DUMMYFUNCTION("""COMPUTED_VALUE"""),"Willberg, Mack")</f>
        <v>Willberg, Mack</v>
      </c>
      <c r="B8681" s="3">
        <f ca="1">IFERROR(__xludf.DUMMYFUNCTION("""COMPUTED_VALUE"""),1)</f>
        <v>1</v>
      </c>
      <c r="C8681" s="7">
        <f ca="1">IFERROR(__xludf.DUMMYFUNCTION("""COMPUTED_VALUE"""),1)</f>
        <v>1</v>
      </c>
      <c r="D8681" s="8">
        <f ca="1">IFERROR(__xludf.DUMMYFUNCTION("""COMPUTED_VALUE"""),1)</f>
        <v>1</v>
      </c>
      <c r="E8681" s="2">
        <f ca="1">IFERROR(__xludf.DUMMYFUNCTION("""COMPUTED_VALUE"""),1)</f>
        <v>1</v>
      </c>
    </row>
    <row r="8682" spans="1:5" ht="13">
      <c r="A8682" s="2" t="str">
        <f ca="1">IFERROR(__xludf.DUMMYFUNCTION("""COMPUTED_VALUE"""),"Willcocks, David")</f>
        <v>Willcocks, David</v>
      </c>
      <c r="B8682" s="3">
        <f ca="1">IFERROR(__xludf.DUMMYFUNCTION("""COMPUTED_VALUE"""),1)</f>
        <v>1</v>
      </c>
      <c r="C8682" s="7">
        <f ca="1">IFERROR(__xludf.DUMMYFUNCTION("""COMPUTED_VALUE"""),1)</f>
        <v>1</v>
      </c>
      <c r="D8682" s="8">
        <f ca="1">IFERROR(__xludf.DUMMYFUNCTION("""COMPUTED_VALUE"""),5)</f>
        <v>5</v>
      </c>
      <c r="E8682" s="2">
        <f ca="1">IFERROR(__xludf.DUMMYFUNCTION("""COMPUTED_VALUE"""),2)</f>
        <v>2</v>
      </c>
    </row>
    <row r="8683" spans="1:5" ht="13">
      <c r="A8683" s="2" t="str">
        <f ca="1">IFERROR(__xludf.DUMMYFUNCTION("""COMPUTED_VALUE"""),"Willcocks, David / Carter,Andrew")</f>
        <v>Willcocks, David / Carter,Andrew</v>
      </c>
      <c r="B8683" s="2">
        <f ca="1">IFERROR(__xludf.DUMMYFUNCTION("""COMPUTED_VALUE"""),1)</f>
        <v>1</v>
      </c>
      <c r="C8683" s="2">
        <f ca="1">IFERROR(__xludf.DUMMYFUNCTION("""COMPUTED_VALUE"""),1)</f>
        <v>1</v>
      </c>
      <c r="D8683" s="8">
        <f ca="1">IFERROR(__xludf.DUMMYFUNCTION("""COMPUTED_VALUE"""),5)</f>
        <v>5</v>
      </c>
      <c r="E8683" s="2">
        <f ca="1">IFERROR(__xludf.DUMMYFUNCTION("""COMPUTED_VALUE"""),2)</f>
        <v>2</v>
      </c>
    </row>
    <row r="8684" spans="1:5" ht="13">
      <c r="A8684" s="2" t="str">
        <f ca="1">IFERROR(__xludf.DUMMYFUNCTION("""COMPUTED_VALUE"""),"Willcocks, Jonathan")</f>
        <v>Willcocks, Jonathan</v>
      </c>
      <c r="B8684" s="2">
        <f ca="1">IFERROR(__xludf.DUMMYFUNCTION("""COMPUTED_VALUE"""),1)</f>
        <v>1</v>
      </c>
      <c r="C8684" s="7">
        <f ca="1">IFERROR(__xludf.DUMMYFUNCTION("""COMPUTED_VALUE"""),1)</f>
        <v>1</v>
      </c>
      <c r="D8684" s="8">
        <f ca="1">IFERROR(__xludf.DUMMYFUNCTION("""COMPUTED_VALUE"""),1)</f>
        <v>1</v>
      </c>
      <c r="E8684" s="2">
        <f ca="1">IFERROR(__xludf.DUMMYFUNCTION("""COMPUTED_VALUE"""),1)</f>
        <v>1</v>
      </c>
    </row>
    <row r="8685" spans="1:5" ht="13">
      <c r="A8685" s="2" t="str">
        <f ca="1">IFERROR(__xludf.DUMMYFUNCTION("""COMPUTED_VALUE"""),"Willet, Pat")</f>
        <v>Willet, Pat</v>
      </c>
      <c r="B8685" s="3">
        <f ca="1">IFERROR(__xludf.DUMMYFUNCTION("""COMPUTED_VALUE"""),1)</f>
        <v>1</v>
      </c>
      <c r="C8685" s="7">
        <f ca="1">IFERROR(__xludf.DUMMYFUNCTION("""COMPUTED_VALUE"""),1)</f>
        <v>1</v>
      </c>
      <c r="D8685" s="8">
        <f ca="1">IFERROR(__xludf.DUMMYFUNCTION("""COMPUTED_VALUE"""),1)</f>
        <v>1</v>
      </c>
      <c r="E8685" s="2">
        <f ca="1">IFERROR(__xludf.DUMMYFUNCTION("""COMPUTED_VALUE"""),1)</f>
        <v>1</v>
      </c>
    </row>
    <row r="8686" spans="1:5" ht="13">
      <c r="A8686" s="2" t="str">
        <f ca="1">IFERROR(__xludf.DUMMYFUNCTION("""COMPUTED_VALUE"""),"Willette, M. Joseph")</f>
        <v>Willette, M. Joseph</v>
      </c>
      <c r="B8686" s="2">
        <f ca="1">IFERROR(__xludf.DUMMYFUNCTION("""COMPUTED_VALUE"""),1)</f>
        <v>1</v>
      </c>
      <c r="C8686" s="7">
        <f ca="1">IFERROR(__xludf.DUMMYFUNCTION("""COMPUTED_VALUE"""),1)</f>
        <v>1</v>
      </c>
      <c r="D8686" s="8">
        <f ca="1">IFERROR(__xludf.DUMMYFUNCTION("""COMPUTED_VALUE"""),1)</f>
        <v>1</v>
      </c>
      <c r="E8686" s="2">
        <f ca="1">IFERROR(__xludf.DUMMYFUNCTION("""COMPUTED_VALUE"""),1)</f>
        <v>1</v>
      </c>
    </row>
    <row r="8687" spans="1:5" ht="13">
      <c r="A8687" s="8" t="str">
        <f ca="1">IFERROR(__xludf.DUMMYFUNCTION("""COMPUTED_VALUE"""),"Williams, Bennett")</f>
        <v>Williams, Bennett</v>
      </c>
      <c r="B8687" s="3">
        <f ca="1">IFERROR(__xludf.DUMMYFUNCTION("""COMPUTED_VALUE"""),1)</f>
        <v>1</v>
      </c>
      <c r="C8687" s="7">
        <f ca="1">IFERROR(__xludf.DUMMYFUNCTION("""COMPUTED_VALUE"""),1)</f>
        <v>1</v>
      </c>
      <c r="D8687" s="8">
        <f ca="1">IFERROR(__xludf.DUMMYFUNCTION("""COMPUTED_VALUE"""),5)</f>
        <v>5</v>
      </c>
      <c r="E8687" s="2">
        <f ca="1">IFERROR(__xludf.DUMMYFUNCTION("""COMPUTED_VALUE"""),2)</f>
        <v>2</v>
      </c>
    </row>
    <row r="8688" spans="1:5" ht="13">
      <c r="A8688" s="2" t="str">
        <f ca="1">IFERROR(__xludf.DUMMYFUNCTION("""COMPUTED_VALUE"""),"Williams, Christian A.")</f>
        <v>Williams, Christian A.</v>
      </c>
      <c r="B8688" s="2">
        <f ca="1">IFERROR(__xludf.DUMMYFUNCTION("""COMPUTED_VALUE"""),1)</f>
        <v>1</v>
      </c>
      <c r="C8688" s="7">
        <f ca="1">IFERROR(__xludf.DUMMYFUNCTION("""COMPUTED_VALUE"""),1)</f>
        <v>1</v>
      </c>
      <c r="D8688" s="8">
        <f ca="1">IFERROR(__xludf.DUMMYFUNCTION("""COMPUTED_VALUE"""),1)</f>
        <v>1</v>
      </c>
      <c r="E8688" s="2">
        <f ca="1">IFERROR(__xludf.DUMMYFUNCTION("""COMPUTED_VALUE"""),1)</f>
        <v>1</v>
      </c>
    </row>
    <row r="8689" spans="1:5" ht="13">
      <c r="A8689" s="2" t="str">
        <f ca="1">IFERROR(__xludf.DUMMYFUNCTION("""COMPUTED_VALUE"""),"Williams, Clifton")</f>
        <v>Williams, Clifton</v>
      </c>
      <c r="B8689" s="3">
        <f ca="1">IFERROR(__xludf.DUMMYFUNCTION("""COMPUTED_VALUE"""),1)</f>
        <v>1</v>
      </c>
      <c r="C8689" s="7">
        <f ca="1">IFERROR(__xludf.DUMMYFUNCTION("""COMPUTED_VALUE"""),1)</f>
        <v>1</v>
      </c>
      <c r="D8689" s="8">
        <f ca="1">IFERROR(__xludf.DUMMYFUNCTION("""COMPUTED_VALUE"""),5)</f>
        <v>5</v>
      </c>
      <c r="E8689" s="2">
        <f ca="1">IFERROR(__xludf.DUMMYFUNCTION("""COMPUTED_VALUE"""),2)</f>
        <v>2</v>
      </c>
    </row>
    <row r="8690" spans="1:5" ht="13">
      <c r="A8690" s="2" t="str">
        <f ca="1">IFERROR(__xludf.DUMMYFUNCTION("""COMPUTED_VALUE"""),"Williams, Cole")</f>
        <v>Williams, Cole</v>
      </c>
      <c r="B8690" s="3">
        <f ca="1">IFERROR(__xludf.DUMMYFUNCTION("""COMPUTED_VALUE"""),1)</f>
        <v>1</v>
      </c>
      <c r="C8690" s="7">
        <f ca="1">IFERROR(__xludf.DUMMYFUNCTION("""COMPUTED_VALUE"""),1)</f>
        <v>1</v>
      </c>
      <c r="D8690" s="8">
        <f ca="1">IFERROR(__xludf.DUMMYFUNCTION("""COMPUTED_VALUE"""),1)</f>
        <v>1</v>
      </c>
      <c r="E8690" s="2">
        <f ca="1">IFERROR(__xludf.DUMMYFUNCTION("""COMPUTED_VALUE"""),1)</f>
        <v>1</v>
      </c>
    </row>
    <row r="8691" spans="1:5" ht="13">
      <c r="A8691" s="2" t="str">
        <f ca="1">IFERROR(__xludf.DUMMYFUNCTION("""COMPUTED_VALUE"""),"Williams, David")</f>
        <v>Williams, David</v>
      </c>
      <c r="B8691" s="2">
        <f ca="1">IFERROR(__xludf.DUMMYFUNCTION("""COMPUTED_VALUE"""),1)</f>
        <v>1</v>
      </c>
      <c r="C8691" s="7">
        <f ca="1">IFERROR(__xludf.DUMMYFUNCTION("""COMPUTED_VALUE"""),1)</f>
        <v>1</v>
      </c>
      <c r="D8691" s="8">
        <f ca="1">IFERROR(__xludf.DUMMYFUNCTION("""COMPUTED_VALUE"""),1)</f>
        <v>1</v>
      </c>
      <c r="E8691" s="2">
        <f ca="1">IFERROR(__xludf.DUMMYFUNCTION("""COMPUTED_VALUE"""),1)</f>
        <v>1</v>
      </c>
    </row>
    <row r="8692" spans="1:5" ht="13">
      <c r="A8692" s="2" t="str">
        <f ca="1">IFERROR(__xludf.DUMMYFUNCTION("""COMPUTED_VALUE"""),"Williams, Edgar Warren")</f>
        <v>Williams, Edgar Warren</v>
      </c>
      <c r="B8692" s="2">
        <f ca="1">IFERROR(__xludf.DUMMYFUNCTION("""COMPUTED_VALUE"""),1)</f>
        <v>1</v>
      </c>
      <c r="C8692" s="7">
        <f ca="1">IFERROR(__xludf.DUMMYFUNCTION("""COMPUTED_VALUE"""),1)</f>
        <v>1</v>
      </c>
      <c r="D8692" s="8" t="str">
        <f ca="1">IFERROR(__xludf.DUMMYFUNCTION("""COMPUTED_VALUE"""),"")</f>
        <v/>
      </c>
      <c r="E8692" s="2"/>
    </row>
    <row r="8693" spans="1:5" ht="13">
      <c r="A8693" s="2" t="str">
        <f ca="1">IFERROR(__xludf.DUMMYFUNCTION("""COMPUTED_VALUE"""),"Williams, Ernest")</f>
        <v>Williams, Ernest</v>
      </c>
      <c r="B8693" s="2">
        <f ca="1">IFERROR(__xludf.DUMMYFUNCTION("""COMPUTED_VALUE"""),1)</f>
        <v>1</v>
      </c>
      <c r="C8693" s="7">
        <f ca="1">IFERROR(__xludf.DUMMYFUNCTION("""COMPUTED_VALUE"""),1)</f>
        <v>1</v>
      </c>
      <c r="D8693" s="8">
        <f ca="1">IFERROR(__xludf.DUMMYFUNCTION("""COMPUTED_VALUE"""),5)</f>
        <v>5</v>
      </c>
      <c r="E8693" s="2">
        <f ca="1">IFERROR(__xludf.DUMMYFUNCTION("""COMPUTED_VALUE"""),2)</f>
        <v>2</v>
      </c>
    </row>
    <row r="8694" spans="1:5" ht="13">
      <c r="A8694" s="2" t="str">
        <f ca="1">IFERROR(__xludf.DUMMYFUNCTION("""COMPUTED_VALUE"""),"Williams, Gerrard")</f>
        <v>Williams, Gerrard</v>
      </c>
      <c r="B8694" s="2">
        <f ca="1">IFERROR(__xludf.DUMMYFUNCTION("""COMPUTED_VALUE"""),1)</f>
        <v>1</v>
      </c>
      <c r="C8694" s="7">
        <f ca="1">IFERROR(__xludf.DUMMYFUNCTION("""COMPUTED_VALUE"""),1)</f>
        <v>1</v>
      </c>
      <c r="D8694" s="8">
        <f ca="1">IFERROR(__xludf.DUMMYFUNCTION("""COMPUTED_VALUE"""),5)</f>
        <v>5</v>
      </c>
      <c r="E8694" s="2">
        <f ca="1">IFERROR(__xludf.DUMMYFUNCTION("""COMPUTED_VALUE"""),2)</f>
        <v>2</v>
      </c>
    </row>
    <row r="8695" spans="1:5" ht="13">
      <c r="A8695" s="2" t="str">
        <f ca="1">IFERROR(__xludf.DUMMYFUNCTION("""COMPUTED_VALUE"""),"Williams, J. Jerome")</f>
        <v>Williams, J. Jerome</v>
      </c>
      <c r="B8695" s="3">
        <f ca="1">IFERROR(__xludf.DUMMYFUNCTION("""COMPUTED_VALUE"""),1)</f>
        <v>1</v>
      </c>
      <c r="C8695" s="7">
        <f ca="1">IFERROR(__xludf.DUMMYFUNCTION("""COMPUTED_VALUE"""),1)</f>
        <v>1</v>
      </c>
      <c r="D8695" s="8">
        <f ca="1">IFERROR(__xludf.DUMMYFUNCTION("""COMPUTED_VALUE"""),1)</f>
        <v>1</v>
      </c>
      <c r="E8695" s="2">
        <f ca="1">IFERROR(__xludf.DUMMYFUNCTION("""COMPUTED_VALUE"""),1)</f>
        <v>1</v>
      </c>
    </row>
    <row r="8696" spans="1:5" ht="13">
      <c r="A8696" s="2" t="str">
        <f ca="1">IFERROR(__xludf.DUMMYFUNCTION("""COMPUTED_VALUE"""),"Williams, J. Paul")</f>
        <v>Williams, J. Paul</v>
      </c>
      <c r="B8696" s="3">
        <f ca="1">IFERROR(__xludf.DUMMYFUNCTION("""COMPUTED_VALUE"""),1)</f>
        <v>1</v>
      </c>
      <c r="C8696" s="7">
        <f ca="1">IFERROR(__xludf.DUMMYFUNCTION("""COMPUTED_VALUE"""),1)</f>
        <v>1</v>
      </c>
      <c r="D8696" s="8">
        <f ca="1">IFERROR(__xludf.DUMMYFUNCTION("""COMPUTED_VALUE"""),5)</f>
        <v>5</v>
      </c>
      <c r="E8696" s="2">
        <f ca="1">IFERROR(__xludf.DUMMYFUNCTION("""COMPUTED_VALUE"""),2)</f>
        <v>2</v>
      </c>
    </row>
    <row r="8697" spans="1:5" ht="13">
      <c r="A8697" s="2" t="str">
        <f ca="1">IFERROR(__xludf.DUMMYFUNCTION("""COMPUTED_VALUE"""),"Williams, Jerry")</f>
        <v>Williams, Jerry</v>
      </c>
      <c r="B8697" s="2">
        <f ca="1">IFERROR(__xludf.DUMMYFUNCTION("""COMPUTED_VALUE"""),1)</f>
        <v>1</v>
      </c>
      <c r="C8697" s="7">
        <f ca="1">IFERROR(__xludf.DUMMYFUNCTION("""COMPUTED_VALUE"""),1)</f>
        <v>1</v>
      </c>
      <c r="D8697" s="8">
        <f ca="1">IFERROR(__xludf.DUMMYFUNCTION("""COMPUTED_VALUE"""),5)</f>
        <v>5</v>
      </c>
      <c r="E8697" s="2">
        <f ca="1">IFERROR(__xludf.DUMMYFUNCTION("""COMPUTED_VALUE"""),2)</f>
        <v>2</v>
      </c>
    </row>
    <row r="8698" spans="1:5" ht="13">
      <c r="A8698" s="2" t="str">
        <f ca="1">IFERROR(__xludf.DUMMYFUNCTION("""COMPUTED_VALUE"""),"Williams, John")</f>
        <v>Williams, John</v>
      </c>
      <c r="B8698" s="3">
        <f ca="1">IFERROR(__xludf.DUMMYFUNCTION("""COMPUTED_VALUE"""),1)</f>
        <v>1</v>
      </c>
      <c r="C8698" s="7">
        <f ca="1">IFERROR(__xludf.DUMMYFUNCTION("""COMPUTED_VALUE"""),1)</f>
        <v>1</v>
      </c>
      <c r="D8698" s="8">
        <f ca="1">IFERROR(__xludf.DUMMYFUNCTION("""COMPUTED_VALUE"""),1)</f>
        <v>1</v>
      </c>
      <c r="E8698" s="2">
        <f ca="1">IFERROR(__xludf.DUMMYFUNCTION("""COMPUTED_VALUE"""),1)</f>
        <v>1</v>
      </c>
    </row>
    <row r="8699" spans="1:5" ht="13">
      <c r="A8699" s="8" t="str">
        <f ca="1">IFERROR(__xludf.DUMMYFUNCTION("""COMPUTED_VALUE"""),"Williams, John / Custer")</f>
        <v>Williams, John / Custer</v>
      </c>
      <c r="B8699" s="3">
        <f ca="1">IFERROR(__xludf.DUMMYFUNCTION("""COMPUTED_VALUE"""),1)</f>
        <v>1</v>
      </c>
      <c r="C8699" s="7">
        <f ca="1">IFERROR(__xludf.DUMMYFUNCTION("""COMPUTED_VALUE"""),1)</f>
        <v>1</v>
      </c>
      <c r="D8699" s="8">
        <f ca="1">IFERROR(__xludf.DUMMYFUNCTION("""COMPUTED_VALUE"""),1)</f>
        <v>1</v>
      </c>
      <c r="E8699" s="2">
        <f ca="1">IFERROR(__xludf.DUMMYFUNCTION("""COMPUTED_VALUE"""),1)</f>
        <v>1</v>
      </c>
    </row>
    <row r="8700" spans="1:5" ht="13">
      <c r="A8700" s="2" t="str">
        <f ca="1">IFERROR(__xludf.DUMMYFUNCTION("""COMPUTED_VALUE"""),"Williams, John / Snyder")</f>
        <v>Williams, John / Snyder</v>
      </c>
      <c r="B8700" s="3">
        <f ca="1">IFERROR(__xludf.DUMMYFUNCTION("""COMPUTED_VALUE"""),1)</f>
        <v>1</v>
      </c>
      <c r="C8700" s="7">
        <f ca="1">IFERROR(__xludf.DUMMYFUNCTION("""COMPUTED_VALUE"""),1)</f>
        <v>1</v>
      </c>
      <c r="D8700" s="8">
        <f ca="1">IFERROR(__xludf.DUMMYFUNCTION("""COMPUTED_VALUE"""),1)</f>
        <v>1</v>
      </c>
      <c r="E8700" s="2">
        <f ca="1">IFERROR(__xludf.DUMMYFUNCTION("""COMPUTED_VALUE"""),1)</f>
        <v>1</v>
      </c>
    </row>
    <row r="8701" spans="1:5" ht="13">
      <c r="A8701" s="2" t="str">
        <f ca="1">IFERROR(__xludf.DUMMYFUNCTION("""COMPUTED_VALUE"""),"Williams, John and others")</f>
        <v>Williams, John and others</v>
      </c>
      <c r="B8701" s="3">
        <f ca="1">IFERROR(__xludf.DUMMYFUNCTION("""COMPUTED_VALUE"""),1)</f>
        <v>1</v>
      </c>
      <c r="C8701" s="7">
        <f ca="1">IFERROR(__xludf.DUMMYFUNCTION("""COMPUTED_VALUE"""),1)</f>
        <v>1</v>
      </c>
      <c r="D8701" s="8">
        <f ca="1">IFERROR(__xludf.DUMMYFUNCTION("""COMPUTED_VALUE"""),1)</f>
        <v>1</v>
      </c>
      <c r="E8701" s="2">
        <f ca="1">IFERROR(__xludf.DUMMYFUNCTION("""COMPUTED_VALUE"""),1)</f>
        <v>1</v>
      </c>
    </row>
    <row r="8702" spans="1:5" ht="13">
      <c r="A8702" s="2" t="str">
        <f ca="1">IFERROR(__xludf.DUMMYFUNCTION("""COMPUTED_VALUE"""),"Williams, Justin")</f>
        <v>Williams, Justin</v>
      </c>
      <c r="B8702" s="3">
        <f ca="1">IFERROR(__xludf.DUMMYFUNCTION("""COMPUTED_VALUE"""),1)</f>
        <v>1</v>
      </c>
      <c r="C8702" s="7">
        <f ca="1">IFERROR(__xludf.DUMMYFUNCTION("""COMPUTED_VALUE"""),1)</f>
        <v>1</v>
      </c>
      <c r="D8702" s="8">
        <f ca="1">IFERROR(__xludf.DUMMYFUNCTION("""COMPUTED_VALUE"""),1)</f>
        <v>1</v>
      </c>
      <c r="E8702" s="2">
        <f ca="1">IFERROR(__xludf.DUMMYFUNCTION("""COMPUTED_VALUE"""),1)</f>
        <v>1</v>
      </c>
    </row>
    <row r="8703" spans="1:5" ht="13">
      <c r="A8703" s="2" t="str">
        <f ca="1">IFERROR(__xludf.DUMMYFUNCTION("""COMPUTED_VALUE"""),"Williams, Kenneth")</f>
        <v>Williams, Kenneth</v>
      </c>
      <c r="B8703" s="2">
        <f ca="1">IFERROR(__xludf.DUMMYFUNCTION("""COMPUTED_VALUE"""),1)</f>
        <v>1</v>
      </c>
      <c r="C8703" s="7">
        <f ca="1">IFERROR(__xludf.DUMMYFUNCTION("""COMPUTED_VALUE"""),1)</f>
        <v>1</v>
      </c>
      <c r="D8703" s="8">
        <f ca="1">IFERROR(__xludf.DUMMYFUNCTION("""COMPUTED_VALUE"""),5)</f>
        <v>5</v>
      </c>
      <c r="E8703" s="2">
        <f ca="1">IFERROR(__xludf.DUMMYFUNCTION("""COMPUTED_VALUE"""),2)</f>
        <v>2</v>
      </c>
    </row>
    <row r="8704" spans="1:5" ht="13">
      <c r="A8704" s="2" t="str">
        <f ca="1">IFERROR(__xludf.DUMMYFUNCTION("""COMPUTED_VALUE"""),"Williams, Kenneth S.")</f>
        <v>Williams, Kenneth S.</v>
      </c>
      <c r="B8704" s="3">
        <f ca="1">IFERROR(__xludf.DUMMYFUNCTION("""COMPUTED_VALUE"""),1)</f>
        <v>1</v>
      </c>
      <c r="C8704" s="7">
        <f ca="1">IFERROR(__xludf.DUMMYFUNCTION("""COMPUTED_VALUE"""),1)</f>
        <v>1</v>
      </c>
      <c r="D8704" s="8">
        <f ca="1">IFERROR(__xludf.DUMMYFUNCTION("""COMPUTED_VALUE"""),5)</f>
        <v>5</v>
      </c>
      <c r="E8704" s="2">
        <f ca="1">IFERROR(__xludf.DUMMYFUNCTION("""COMPUTED_VALUE"""),2)</f>
        <v>2</v>
      </c>
    </row>
    <row r="8705" spans="1:5" ht="13">
      <c r="A8705" s="2" t="str">
        <f ca="1">IFERROR(__xludf.DUMMYFUNCTION("""COMPUTED_VALUE"""),"Williams, Mark")</f>
        <v>Williams, Mark</v>
      </c>
      <c r="B8705" s="3">
        <f ca="1">IFERROR(__xludf.DUMMYFUNCTION("""COMPUTED_VALUE"""),1)</f>
        <v>1</v>
      </c>
      <c r="C8705" s="7">
        <f ca="1">IFERROR(__xludf.DUMMYFUNCTION("""COMPUTED_VALUE"""),1)</f>
        <v>1</v>
      </c>
      <c r="D8705" s="8">
        <f ca="1">IFERROR(__xludf.DUMMYFUNCTION("""COMPUTED_VALUE"""),5)</f>
        <v>5</v>
      </c>
      <c r="E8705" s="2">
        <f ca="1">IFERROR(__xludf.DUMMYFUNCTION("""COMPUTED_VALUE"""),2)</f>
        <v>2</v>
      </c>
    </row>
    <row r="8706" spans="1:5" ht="13">
      <c r="A8706" s="2" t="str">
        <f ca="1">IFERROR(__xludf.DUMMYFUNCTION("""COMPUTED_VALUE"""),"Williams, Meirion")</f>
        <v>Williams, Meirion</v>
      </c>
      <c r="B8706" s="3">
        <f ca="1">IFERROR(__xludf.DUMMYFUNCTION("""COMPUTED_VALUE"""),1)</f>
        <v>1</v>
      </c>
      <c r="C8706" s="7">
        <f ca="1">IFERROR(__xludf.DUMMYFUNCTION("""COMPUTED_VALUE"""),1)</f>
        <v>1</v>
      </c>
      <c r="D8706" s="8">
        <f ca="1">IFERROR(__xludf.DUMMYFUNCTION("""COMPUTED_VALUE"""),5)</f>
        <v>5</v>
      </c>
      <c r="E8706" s="2">
        <f ca="1">IFERROR(__xludf.DUMMYFUNCTION("""COMPUTED_VALUE"""),2)</f>
        <v>2</v>
      </c>
    </row>
    <row r="8707" spans="1:5" ht="13">
      <c r="A8707" s="2" t="str">
        <f ca="1">IFERROR(__xludf.DUMMYFUNCTION("""COMPUTED_VALUE"""),"Williams, Patrick")</f>
        <v>Williams, Patrick</v>
      </c>
      <c r="B8707" s="3">
        <f ca="1">IFERROR(__xludf.DUMMYFUNCTION("""COMPUTED_VALUE"""),1)</f>
        <v>1</v>
      </c>
      <c r="C8707" s="7">
        <f ca="1">IFERROR(__xludf.DUMMYFUNCTION("""COMPUTED_VALUE"""),1)</f>
        <v>1</v>
      </c>
      <c r="D8707" s="8">
        <f ca="1">IFERROR(__xludf.DUMMYFUNCTION("""COMPUTED_VALUE"""),5)</f>
        <v>5</v>
      </c>
      <c r="E8707" s="2">
        <f ca="1">IFERROR(__xludf.DUMMYFUNCTION("""COMPUTED_VALUE"""),2)</f>
        <v>2</v>
      </c>
    </row>
    <row r="8708" spans="1:5" ht="13">
      <c r="A8708" s="8" t="str">
        <f ca="1">IFERROR(__xludf.DUMMYFUNCTION("""COMPUTED_VALUE"""),"Williams, Paul")</f>
        <v>Williams, Paul</v>
      </c>
      <c r="B8708" s="3">
        <f ca="1">IFERROR(__xludf.DUMMYFUNCTION("""COMPUTED_VALUE"""),1)</f>
        <v>1</v>
      </c>
      <c r="C8708" s="7">
        <f ca="1">IFERROR(__xludf.DUMMYFUNCTION("""COMPUTED_VALUE"""),1)</f>
        <v>1</v>
      </c>
      <c r="D8708" s="8">
        <f ca="1">IFERROR(__xludf.DUMMYFUNCTION("""COMPUTED_VALUE"""),1)</f>
        <v>1</v>
      </c>
      <c r="E8708" s="2">
        <f ca="1">IFERROR(__xludf.DUMMYFUNCTION("""COMPUTED_VALUE"""),1)</f>
        <v>1</v>
      </c>
    </row>
    <row r="8709" spans="1:5" ht="13">
      <c r="A8709" s="2" t="str">
        <f ca="1">IFERROR(__xludf.DUMMYFUNCTION("""COMPUTED_VALUE"""),"Williams, Paul / Ascher, Kenneth")</f>
        <v>Williams, Paul / Ascher, Kenneth</v>
      </c>
      <c r="B8709" s="3">
        <f ca="1">IFERROR(__xludf.DUMMYFUNCTION("""COMPUTED_VALUE"""),1)</f>
        <v>1</v>
      </c>
      <c r="C8709" s="7">
        <f ca="1">IFERROR(__xludf.DUMMYFUNCTION("""COMPUTED_VALUE"""),1)</f>
        <v>1</v>
      </c>
      <c r="D8709" s="8">
        <f ca="1">IFERROR(__xludf.DUMMYFUNCTION("""COMPUTED_VALUE"""),1)</f>
        <v>1</v>
      </c>
      <c r="E8709" s="2">
        <f ca="1">IFERROR(__xludf.DUMMYFUNCTION("""COMPUTED_VALUE"""),1)</f>
        <v>1</v>
      </c>
    </row>
    <row r="8710" spans="1:5" ht="13">
      <c r="A8710" s="2" t="str">
        <f ca="1">IFERROR(__xludf.DUMMYFUNCTION("""COMPUTED_VALUE"""),"Williams, Peter")</f>
        <v>Williams, Peter</v>
      </c>
      <c r="B8710" s="3">
        <f ca="1">IFERROR(__xludf.DUMMYFUNCTION("""COMPUTED_VALUE"""),1)</f>
        <v>1</v>
      </c>
      <c r="C8710" s="7">
        <f ca="1">IFERROR(__xludf.DUMMYFUNCTION("""COMPUTED_VALUE"""),1)</f>
        <v>1</v>
      </c>
      <c r="D8710" s="8">
        <f ca="1">IFERROR(__xludf.DUMMYFUNCTION("""COMPUTED_VALUE"""),5)</f>
        <v>5</v>
      </c>
      <c r="E8710" s="2">
        <f ca="1">IFERROR(__xludf.DUMMYFUNCTION("""COMPUTED_VALUE"""),2)</f>
        <v>2</v>
      </c>
    </row>
    <row r="8711" spans="1:5" ht="13">
      <c r="A8711" s="2" t="str">
        <f ca="1">IFERROR(__xludf.DUMMYFUNCTION("""COMPUTED_VALUE"""),"Williams, Robert")</f>
        <v>Williams, Robert</v>
      </c>
      <c r="B8711" s="3">
        <f ca="1">IFERROR(__xludf.DUMMYFUNCTION("""COMPUTED_VALUE"""),1)</f>
        <v>1</v>
      </c>
      <c r="C8711" s="7">
        <f ca="1">IFERROR(__xludf.DUMMYFUNCTION("""COMPUTED_VALUE"""),1)</f>
        <v>1</v>
      </c>
      <c r="D8711" s="8">
        <f ca="1">IFERROR(__xludf.DUMMYFUNCTION("""COMPUTED_VALUE"""),5)</f>
        <v>5</v>
      </c>
      <c r="E8711" s="2">
        <f ca="1">IFERROR(__xludf.DUMMYFUNCTION("""COMPUTED_VALUE"""),2)</f>
        <v>2</v>
      </c>
    </row>
    <row r="8712" spans="1:5" ht="13">
      <c r="A8712" s="2" t="str">
        <f ca="1">IFERROR(__xludf.DUMMYFUNCTION("""COMPUTED_VALUE"""),"Williams, Ryan")</f>
        <v>Williams, Ryan</v>
      </c>
      <c r="B8712" s="2">
        <f ca="1">IFERROR(__xludf.DUMMYFUNCTION("""COMPUTED_VALUE"""),1)</f>
        <v>1</v>
      </c>
      <c r="C8712" s="7">
        <f ca="1">IFERROR(__xludf.DUMMYFUNCTION("""COMPUTED_VALUE"""),1)</f>
        <v>1</v>
      </c>
      <c r="D8712" s="8">
        <f ca="1">IFERROR(__xludf.DUMMYFUNCTION("""COMPUTED_VALUE"""),1)</f>
        <v>1</v>
      </c>
      <c r="E8712" s="2">
        <f ca="1">IFERROR(__xludf.DUMMYFUNCTION("""COMPUTED_VALUE"""),1)</f>
        <v>1</v>
      </c>
    </row>
    <row r="8713" spans="1:5" ht="13">
      <c r="A8713" s="2" t="str">
        <f ca="1">IFERROR(__xludf.DUMMYFUNCTION("""COMPUTED_VALUE"""),"Williams, Thomas J.")</f>
        <v>Williams, Thomas J.</v>
      </c>
      <c r="B8713" s="3">
        <f ca="1">IFERROR(__xludf.DUMMYFUNCTION("""COMPUTED_VALUE"""),1)</f>
        <v>1</v>
      </c>
      <c r="C8713" s="7">
        <f ca="1">IFERROR(__xludf.DUMMYFUNCTION("""COMPUTED_VALUE"""),1)</f>
        <v>1</v>
      </c>
      <c r="D8713" s="8">
        <f ca="1">IFERROR(__xludf.DUMMYFUNCTION("""COMPUTED_VALUE"""),5)</f>
        <v>5</v>
      </c>
      <c r="E8713" s="2">
        <f ca="1">IFERROR(__xludf.DUMMYFUNCTION("""COMPUTED_VALUE"""),2)</f>
        <v>2</v>
      </c>
    </row>
    <row r="8714" spans="1:5" ht="13">
      <c r="A8714" s="2" t="str">
        <f ca="1">IFERROR(__xludf.DUMMYFUNCTION("""COMPUTED_VALUE"""),"Williams, William")</f>
        <v>Williams, William</v>
      </c>
      <c r="B8714" s="3">
        <f ca="1">IFERROR(__xludf.DUMMYFUNCTION("""COMPUTED_VALUE"""),1)</f>
        <v>1</v>
      </c>
      <c r="C8714" s="7">
        <f ca="1">IFERROR(__xludf.DUMMYFUNCTION("""COMPUTED_VALUE"""),1)</f>
        <v>1</v>
      </c>
      <c r="D8714" s="8">
        <f ca="1">IFERROR(__xludf.DUMMYFUNCTION("""COMPUTED_VALUE"""),5)</f>
        <v>5</v>
      </c>
      <c r="E8714" s="2">
        <f ca="1">IFERROR(__xludf.DUMMYFUNCTION("""COMPUTED_VALUE"""),2)</f>
        <v>2</v>
      </c>
    </row>
    <row r="8715" spans="1:5" ht="13">
      <c r="A8715" s="8" t="str">
        <f ca="1">IFERROR(__xludf.DUMMYFUNCTION("""COMPUTED_VALUE"""),"Williamson, John Finley")</f>
        <v>Williamson, John Finley</v>
      </c>
      <c r="B8715" s="3">
        <f ca="1">IFERROR(__xludf.DUMMYFUNCTION("""COMPUTED_VALUE"""),1)</f>
        <v>1</v>
      </c>
      <c r="C8715" s="7">
        <f ca="1">IFERROR(__xludf.DUMMYFUNCTION("""COMPUTED_VALUE"""),1)</f>
        <v>1</v>
      </c>
      <c r="D8715" s="8">
        <f ca="1">IFERROR(__xludf.DUMMYFUNCTION("""COMPUTED_VALUE"""),5)</f>
        <v>5</v>
      </c>
      <c r="E8715" s="2">
        <f ca="1">IFERROR(__xludf.DUMMYFUNCTION("""COMPUTED_VALUE"""),2)</f>
        <v>2</v>
      </c>
    </row>
    <row r="8716" spans="1:5" ht="13">
      <c r="A8716" s="2" t="str">
        <f ca="1">IFERROR(__xludf.DUMMYFUNCTION("""COMPUTED_VALUE"""),"Williamson, Malcolm")</f>
        <v>Williamson, Malcolm</v>
      </c>
      <c r="B8716" s="2">
        <f ca="1">IFERROR(__xludf.DUMMYFUNCTION("""COMPUTED_VALUE"""),1)</f>
        <v>1</v>
      </c>
      <c r="C8716" s="7">
        <f ca="1">IFERROR(__xludf.DUMMYFUNCTION("""COMPUTED_VALUE"""),1)</f>
        <v>1</v>
      </c>
      <c r="D8716" s="8">
        <f ca="1">IFERROR(__xludf.DUMMYFUNCTION("""COMPUTED_VALUE"""),5)</f>
        <v>5</v>
      </c>
      <c r="E8716" s="2">
        <f ca="1">IFERROR(__xludf.DUMMYFUNCTION("""COMPUTED_VALUE"""),2)</f>
        <v>2</v>
      </c>
    </row>
    <row r="8717" spans="1:5" ht="13">
      <c r="A8717" s="2" t="str">
        <f ca="1">IFERROR(__xludf.DUMMYFUNCTION("""COMPUTED_VALUE"""),"Williamson, Richard A.")</f>
        <v>Williamson, Richard A.</v>
      </c>
      <c r="B8717" s="3">
        <f ca="1">IFERROR(__xludf.DUMMYFUNCTION("""COMPUTED_VALUE"""),1)</f>
        <v>1</v>
      </c>
      <c r="C8717" s="7">
        <f ca="1">IFERROR(__xludf.DUMMYFUNCTION("""COMPUTED_VALUE"""),1)</f>
        <v>1</v>
      </c>
      <c r="D8717" s="8">
        <f ca="1">IFERROR(__xludf.DUMMYFUNCTION("""COMPUTED_VALUE"""),1)</f>
        <v>1</v>
      </c>
      <c r="E8717" s="2">
        <f ca="1">IFERROR(__xludf.DUMMYFUNCTION("""COMPUTED_VALUE"""),1)</f>
        <v>1</v>
      </c>
    </row>
    <row r="8718" spans="1:5" ht="13">
      <c r="A8718" s="2" t="str">
        <f ca="1">IFERROR(__xludf.DUMMYFUNCTION("""COMPUTED_VALUE"""),"Williamson, Warren")</f>
        <v>Williamson, Warren</v>
      </c>
      <c r="B8718" s="3">
        <f ca="1">IFERROR(__xludf.DUMMYFUNCTION("""COMPUTED_VALUE"""),1)</f>
        <v>1</v>
      </c>
      <c r="C8718" s="7">
        <f ca="1">IFERROR(__xludf.DUMMYFUNCTION("""COMPUTED_VALUE"""),1)</f>
        <v>1</v>
      </c>
      <c r="D8718" s="8">
        <f ca="1">IFERROR(__xludf.DUMMYFUNCTION("""COMPUTED_VALUE"""),1)</f>
        <v>1</v>
      </c>
      <c r="E8718" s="2">
        <f ca="1">IFERROR(__xludf.DUMMYFUNCTION("""COMPUTED_VALUE"""),1)</f>
        <v>1</v>
      </c>
    </row>
    <row r="8719" spans="1:5" ht="13">
      <c r="A8719" s="8" t="str">
        <f ca="1">IFERROR(__xludf.DUMMYFUNCTION("""COMPUTED_VALUE"""),"Williamson, Warren (Ehret, Walter")</f>
        <v>Williamson, Warren (Ehret, Walter</v>
      </c>
      <c r="B8719" s="3">
        <f ca="1">IFERROR(__xludf.DUMMYFUNCTION("""COMPUTED_VALUE"""),1)</f>
        <v>1</v>
      </c>
      <c r="C8719" s="7">
        <f ca="1">IFERROR(__xludf.DUMMYFUNCTION("""COMPUTED_VALUE"""),1)</f>
        <v>1</v>
      </c>
      <c r="D8719" s="8">
        <f ca="1">IFERROR(__xludf.DUMMYFUNCTION("""COMPUTED_VALUE"""),5)</f>
        <v>5</v>
      </c>
      <c r="E8719" s="2">
        <f ca="1">IFERROR(__xludf.DUMMYFUNCTION("""COMPUTED_VALUE"""),2)</f>
        <v>2</v>
      </c>
    </row>
    <row r="8720" spans="1:5" ht="13">
      <c r="A8720" s="2" t="str">
        <f ca="1">IFERROR(__xludf.DUMMYFUNCTION("""COMPUTED_VALUE"""),"Willis, Douglas")</f>
        <v>Willis, Douglas</v>
      </c>
      <c r="B8720" s="3">
        <f ca="1">IFERROR(__xludf.DUMMYFUNCTION("""COMPUTED_VALUE"""),1)</f>
        <v>1</v>
      </c>
      <c r="C8720" s="7">
        <f ca="1">IFERROR(__xludf.DUMMYFUNCTION("""COMPUTED_VALUE"""),1)</f>
        <v>1</v>
      </c>
      <c r="D8720" s="8">
        <f ca="1">IFERROR(__xludf.DUMMYFUNCTION("""COMPUTED_VALUE"""),1)</f>
        <v>1</v>
      </c>
      <c r="E8720" s="2">
        <f ca="1">IFERROR(__xludf.DUMMYFUNCTION("""COMPUTED_VALUE"""),1)</f>
        <v>1</v>
      </c>
    </row>
    <row r="8721" spans="1:5" ht="13">
      <c r="A8721" s="2" t="str">
        <f ca="1">IFERROR(__xludf.DUMMYFUNCTION("""COMPUTED_VALUE"""),"Willis, Richard S.")</f>
        <v>Willis, Richard S.</v>
      </c>
      <c r="B8721" s="3">
        <f ca="1">IFERROR(__xludf.DUMMYFUNCTION("""COMPUTED_VALUE"""),1)</f>
        <v>1</v>
      </c>
      <c r="C8721" s="7">
        <f ca="1">IFERROR(__xludf.DUMMYFUNCTION("""COMPUTED_VALUE"""),1)</f>
        <v>1</v>
      </c>
      <c r="D8721" s="8">
        <f ca="1">IFERROR(__xludf.DUMMYFUNCTION("""COMPUTED_VALUE"""),5)</f>
        <v>5</v>
      </c>
      <c r="E8721" s="2">
        <f ca="1">IFERROR(__xludf.DUMMYFUNCTION("""COMPUTED_VALUE"""),2)</f>
        <v>2</v>
      </c>
    </row>
    <row r="8722" spans="1:5" ht="13">
      <c r="A8722" s="2" t="str">
        <f ca="1">IFERROR(__xludf.DUMMYFUNCTION("""COMPUTED_VALUE"""),"Willliams, Alberto")</f>
        <v>Willliams, Alberto</v>
      </c>
      <c r="B8722" s="3">
        <f ca="1">IFERROR(__xludf.DUMMYFUNCTION("""COMPUTED_VALUE"""),1)</f>
        <v>1</v>
      </c>
      <c r="C8722" s="7">
        <f ca="1">IFERROR(__xludf.DUMMYFUNCTION("""COMPUTED_VALUE"""),1)</f>
        <v>1</v>
      </c>
      <c r="D8722" s="8">
        <f ca="1">IFERROR(__xludf.DUMMYFUNCTION("""COMPUTED_VALUE"""),5)</f>
        <v>5</v>
      </c>
      <c r="E8722" s="2">
        <f ca="1">IFERROR(__xludf.DUMMYFUNCTION("""COMPUTED_VALUE"""),2)</f>
        <v>2</v>
      </c>
    </row>
    <row r="8723" spans="1:5" ht="13">
      <c r="A8723" s="2" t="str">
        <f ca="1">IFERROR(__xludf.DUMMYFUNCTION("""COMPUTED_VALUE"""),"Willmarth, John")</f>
        <v>Willmarth, John</v>
      </c>
      <c r="B8723" s="3">
        <f ca="1">IFERROR(__xludf.DUMMYFUNCTION("""COMPUTED_VALUE"""),1)</f>
        <v>1</v>
      </c>
      <c r="C8723" s="7">
        <f ca="1">IFERROR(__xludf.DUMMYFUNCTION("""COMPUTED_VALUE"""),1)</f>
        <v>1</v>
      </c>
      <c r="D8723" s="8">
        <f ca="1">IFERROR(__xludf.DUMMYFUNCTION("""COMPUTED_VALUE"""),1)</f>
        <v>1</v>
      </c>
      <c r="E8723" s="2">
        <f ca="1">IFERROR(__xludf.DUMMYFUNCTION("""COMPUTED_VALUE"""),1)</f>
        <v>1</v>
      </c>
    </row>
    <row r="8724" spans="1:5" ht="13">
      <c r="A8724" s="2" t="str">
        <f ca="1">IFERROR(__xludf.DUMMYFUNCTION("""COMPUTED_VALUE"""),"Willner, Arthur")</f>
        <v>Willner, Arthur</v>
      </c>
      <c r="B8724" s="2">
        <f ca="1">IFERROR(__xludf.DUMMYFUNCTION("""COMPUTED_VALUE"""),1)</f>
        <v>1</v>
      </c>
      <c r="C8724" s="7">
        <f ca="1">IFERROR(__xludf.DUMMYFUNCTION("""COMPUTED_VALUE"""),1)</f>
        <v>1</v>
      </c>
      <c r="D8724" s="8">
        <f ca="1">IFERROR(__xludf.DUMMYFUNCTION("""COMPUTED_VALUE"""),5)</f>
        <v>5</v>
      </c>
      <c r="E8724" s="2">
        <f ca="1">IFERROR(__xludf.DUMMYFUNCTION("""COMPUTED_VALUE"""),2)</f>
        <v>2</v>
      </c>
    </row>
    <row r="8725" spans="1:5" ht="13">
      <c r="A8725" s="8" t="str">
        <f ca="1">IFERROR(__xludf.DUMMYFUNCTION("""COMPUTED_VALUE"""),"Willsher, Peter")</f>
        <v>Willsher, Peter</v>
      </c>
      <c r="B8725" s="3">
        <f ca="1">IFERROR(__xludf.DUMMYFUNCTION("""COMPUTED_VALUE"""),1)</f>
        <v>1</v>
      </c>
      <c r="C8725" s="7">
        <f ca="1">IFERROR(__xludf.DUMMYFUNCTION("""COMPUTED_VALUE"""),1)</f>
        <v>1</v>
      </c>
      <c r="D8725" s="8">
        <f ca="1">IFERROR(__xludf.DUMMYFUNCTION("""COMPUTED_VALUE"""),1)</f>
        <v>1</v>
      </c>
      <c r="E8725" s="2">
        <f ca="1">IFERROR(__xludf.DUMMYFUNCTION("""COMPUTED_VALUE"""),1)</f>
        <v>1</v>
      </c>
    </row>
    <row r="8726" spans="1:5" ht="13">
      <c r="A8726" s="8" t="str">
        <f ca="1">IFERROR(__xludf.DUMMYFUNCTION("""COMPUTED_VALUE"""),"Willson, Meredith")</f>
        <v>Willson, Meredith</v>
      </c>
      <c r="B8726" s="3">
        <f ca="1">IFERROR(__xludf.DUMMYFUNCTION("""COMPUTED_VALUE"""),1)</f>
        <v>1</v>
      </c>
      <c r="C8726" s="7">
        <f ca="1">IFERROR(__xludf.DUMMYFUNCTION("""COMPUTED_VALUE"""),1)</f>
        <v>1</v>
      </c>
      <c r="D8726" s="8">
        <f ca="1">IFERROR(__xludf.DUMMYFUNCTION("""COMPUTED_VALUE"""),5)</f>
        <v>5</v>
      </c>
      <c r="E8726" s="2">
        <f ca="1">IFERROR(__xludf.DUMMYFUNCTION("""COMPUTED_VALUE"""),2)</f>
        <v>2</v>
      </c>
    </row>
    <row r="8727" spans="1:5" ht="13">
      <c r="A8727" s="2" t="str">
        <f ca="1">IFERROR(__xludf.DUMMYFUNCTION("""COMPUTED_VALUE"""),"Wilson, Brian")</f>
        <v>Wilson, Brian</v>
      </c>
      <c r="B8727" s="3">
        <f ca="1">IFERROR(__xludf.DUMMYFUNCTION("""COMPUTED_VALUE"""),1)</f>
        <v>1</v>
      </c>
      <c r="C8727" s="7">
        <f ca="1">IFERROR(__xludf.DUMMYFUNCTION("""COMPUTED_VALUE"""),1)</f>
        <v>1</v>
      </c>
      <c r="D8727" s="8">
        <f ca="1">IFERROR(__xludf.DUMMYFUNCTION("""COMPUTED_VALUE"""),1)</f>
        <v>1</v>
      </c>
      <c r="E8727" s="2">
        <f ca="1">IFERROR(__xludf.DUMMYFUNCTION("""COMPUTED_VALUE"""),1)</f>
        <v>1</v>
      </c>
    </row>
    <row r="8728" spans="1:5" ht="13">
      <c r="A8728" s="2" t="str">
        <f ca="1">IFERROR(__xludf.DUMMYFUNCTION("""COMPUTED_VALUE"""),"Wilson, Christopher")</f>
        <v>Wilson, Christopher</v>
      </c>
      <c r="B8728" s="3">
        <f ca="1">IFERROR(__xludf.DUMMYFUNCTION("""COMPUTED_VALUE"""),1)</f>
        <v>1</v>
      </c>
      <c r="C8728" s="7">
        <f ca="1">IFERROR(__xludf.DUMMYFUNCTION("""COMPUTED_VALUE"""),1)</f>
        <v>1</v>
      </c>
      <c r="D8728" s="8">
        <f ca="1">IFERROR(__xludf.DUMMYFUNCTION("""COMPUTED_VALUE"""),5)</f>
        <v>5</v>
      </c>
      <c r="E8728" s="2">
        <f ca="1">IFERROR(__xludf.DUMMYFUNCTION("""COMPUTED_VALUE"""),2)</f>
        <v>2</v>
      </c>
    </row>
    <row r="8729" spans="1:5" ht="13">
      <c r="A8729" s="2" t="str">
        <f ca="1">IFERROR(__xludf.DUMMYFUNCTION("""COMPUTED_VALUE"""),"Wilson, Curtis")</f>
        <v>Wilson, Curtis</v>
      </c>
      <c r="B8729" s="3">
        <f ca="1">IFERROR(__xludf.DUMMYFUNCTION("""COMPUTED_VALUE"""),1)</f>
        <v>1</v>
      </c>
      <c r="C8729" s="7">
        <f ca="1">IFERROR(__xludf.DUMMYFUNCTION("""COMPUTED_VALUE"""),1)</f>
        <v>1</v>
      </c>
      <c r="D8729" s="8">
        <f ca="1">IFERROR(__xludf.DUMMYFUNCTION("""COMPUTED_VALUE"""),1)</f>
        <v>1</v>
      </c>
      <c r="E8729" s="2">
        <f ca="1">IFERROR(__xludf.DUMMYFUNCTION("""COMPUTED_VALUE"""),1)</f>
        <v>1</v>
      </c>
    </row>
    <row r="8730" spans="1:5" ht="13">
      <c r="A8730" s="2" t="str">
        <f ca="1">IFERROR(__xludf.DUMMYFUNCTION("""COMPUTED_VALUE"""),"Wilson, Dana")</f>
        <v>Wilson, Dana</v>
      </c>
      <c r="B8730" s="3">
        <f ca="1">IFERROR(__xludf.DUMMYFUNCTION("""COMPUTED_VALUE"""),1)</f>
        <v>1</v>
      </c>
      <c r="C8730" s="7">
        <f ca="1">IFERROR(__xludf.DUMMYFUNCTION("""COMPUTED_VALUE"""),1)</f>
        <v>1</v>
      </c>
      <c r="D8730" s="8">
        <f ca="1">IFERROR(__xludf.DUMMYFUNCTION("""COMPUTED_VALUE"""),1)</f>
        <v>1</v>
      </c>
      <c r="E8730" s="2">
        <f ca="1">IFERROR(__xludf.DUMMYFUNCTION("""COMPUTED_VALUE"""),1)</f>
        <v>1</v>
      </c>
    </row>
    <row r="8731" spans="1:5" ht="13">
      <c r="A8731" s="2" t="str">
        <f ca="1">IFERROR(__xludf.DUMMYFUNCTION("""COMPUTED_VALUE"""),"Wilson, Donald")</f>
        <v>Wilson, Donald</v>
      </c>
      <c r="B8731" s="3">
        <f ca="1">IFERROR(__xludf.DUMMYFUNCTION("""COMPUTED_VALUE"""),1)</f>
        <v>1</v>
      </c>
      <c r="C8731" s="7">
        <f ca="1">IFERROR(__xludf.DUMMYFUNCTION("""COMPUTED_VALUE"""),1)</f>
        <v>1</v>
      </c>
      <c r="D8731" s="8">
        <f ca="1">IFERROR(__xludf.DUMMYFUNCTION("""COMPUTED_VALUE"""),1)</f>
        <v>1</v>
      </c>
      <c r="E8731" s="2">
        <f ca="1">IFERROR(__xludf.DUMMYFUNCTION("""COMPUTED_VALUE"""),1)</f>
        <v>1</v>
      </c>
    </row>
    <row r="8732" spans="1:5" ht="13">
      <c r="A8732" s="2" t="str">
        <f ca="1">IFERROR(__xludf.DUMMYFUNCTION("""COMPUTED_VALUE"""),"Wilson, Harry R. / Ehret, Walter")</f>
        <v>Wilson, Harry R. / Ehret, Walter</v>
      </c>
      <c r="B8732" s="2">
        <f ca="1">IFERROR(__xludf.DUMMYFUNCTION("""COMPUTED_VALUE"""),1)</f>
        <v>1</v>
      </c>
      <c r="C8732" s="2">
        <f ca="1">IFERROR(__xludf.DUMMYFUNCTION("""COMPUTED_VALUE"""),1)</f>
        <v>1</v>
      </c>
      <c r="D8732" s="8">
        <f ca="1">IFERROR(__xludf.DUMMYFUNCTION("""COMPUTED_VALUE"""),5)</f>
        <v>5</v>
      </c>
      <c r="E8732" s="2">
        <f ca="1">IFERROR(__xludf.DUMMYFUNCTION("""COMPUTED_VALUE"""),2)</f>
        <v>2</v>
      </c>
    </row>
    <row r="8733" spans="1:5" ht="13">
      <c r="A8733" s="8" t="str">
        <f ca="1">IFERROR(__xludf.DUMMYFUNCTION("""COMPUTED_VALUE"""),"Wilson, Harry Robert")</f>
        <v>Wilson, Harry Robert</v>
      </c>
      <c r="B8733" s="3">
        <f ca="1">IFERROR(__xludf.DUMMYFUNCTION("""COMPUTED_VALUE"""),1)</f>
        <v>1</v>
      </c>
      <c r="C8733" s="7">
        <f ca="1">IFERROR(__xludf.DUMMYFUNCTION("""COMPUTED_VALUE"""),1)</f>
        <v>1</v>
      </c>
      <c r="D8733" s="8">
        <f ca="1">IFERROR(__xludf.DUMMYFUNCTION("""COMPUTED_VALUE"""),5)</f>
        <v>5</v>
      </c>
      <c r="E8733" s="2">
        <f ca="1">IFERROR(__xludf.DUMMYFUNCTION("""COMPUTED_VALUE"""),2)</f>
        <v>2</v>
      </c>
    </row>
    <row r="8734" spans="1:5" ht="13">
      <c r="A8734" s="2" t="str">
        <f ca="1">IFERROR(__xludf.DUMMYFUNCTION("""COMPUTED_VALUE"""),"Wilson, J. Eric")</f>
        <v>Wilson, J. Eric</v>
      </c>
      <c r="B8734" s="3">
        <f ca="1">IFERROR(__xludf.DUMMYFUNCTION("""COMPUTED_VALUE"""),1)</f>
        <v>1</v>
      </c>
      <c r="C8734" s="7">
        <f ca="1">IFERROR(__xludf.DUMMYFUNCTION("""COMPUTED_VALUE"""),1)</f>
        <v>1</v>
      </c>
      <c r="D8734" s="8">
        <f ca="1">IFERROR(__xludf.DUMMYFUNCTION("""COMPUTED_VALUE"""),1)</f>
        <v>1</v>
      </c>
      <c r="E8734" s="2">
        <f ca="1">IFERROR(__xludf.DUMMYFUNCTION("""COMPUTED_VALUE"""),1)</f>
        <v>1</v>
      </c>
    </row>
    <row r="8735" spans="1:5" ht="13">
      <c r="A8735" s="2" t="str">
        <f ca="1">IFERROR(__xludf.DUMMYFUNCTION("""COMPUTED_VALUE"""),"Wilson, James")</f>
        <v>Wilson, James</v>
      </c>
      <c r="B8735" s="3">
        <f ca="1">IFERROR(__xludf.DUMMYFUNCTION("""COMPUTED_VALUE"""),1)</f>
        <v>1</v>
      </c>
      <c r="C8735" s="7">
        <f ca="1">IFERROR(__xludf.DUMMYFUNCTION("""COMPUTED_VALUE"""),1)</f>
        <v>1</v>
      </c>
      <c r="D8735" s="8">
        <f ca="1">IFERROR(__xludf.DUMMYFUNCTION("""COMPUTED_VALUE"""),1)</f>
        <v>1</v>
      </c>
      <c r="E8735" s="2">
        <f ca="1">IFERROR(__xludf.DUMMYFUNCTION("""COMPUTED_VALUE"""),1)</f>
        <v>1</v>
      </c>
    </row>
    <row r="8736" spans="1:5" ht="13">
      <c r="A8736" s="8" t="str">
        <f ca="1">IFERROR(__xludf.DUMMYFUNCTION("""COMPUTED_VALUE"""),"Wilson, John")</f>
        <v>Wilson, John</v>
      </c>
      <c r="B8736" s="2">
        <f ca="1">IFERROR(__xludf.DUMMYFUNCTION("""COMPUTED_VALUE"""),1)</f>
        <v>1</v>
      </c>
      <c r="C8736" s="7">
        <f ca="1">IFERROR(__xludf.DUMMYFUNCTION("""COMPUTED_VALUE"""),1)</f>
        <v>1</v>
      </c>
      <c r="D8736" s="8">
        <f ca="1">IFERROR(__xludf.DUMMYFUNCTION("""COMPUTED_VALUE"""),5)</f>
        <v>5</v>
      </c>
      <c r="E8736" s="2">
        <f ca="1">IFERROR(__xludf.DUMMYFUNCTION("""COMPUTED_VALUE"""),2)</f>
        <v>2</v>
      </c>
    </row>
    <row r="8737" spans="1:5" ht="13">
      <c r="A8737" s="2" t="str">
        <f ca="1">IFERROR(__xludf.DUMMYFUNCTION("""COMPUTED_VALUE"""),"Wilson, John F.")</f>
        <v>Wilson, John F.</v>
      </c>
      <c r="B8737" s="3">
        <f ca="1">IFERROR(__xludf.DUMMYFUNCTION("""COMPUTED_VALUE"""),1)</f>
        <v>1</v>
      </c>
      <c r="C8737" s="7">
        <f ca="1">IFERROR(__xludf.DUMMYFUNCTION("""COMPUTED_VALUE"""),1)</f>
        <v>1</v>
      </c>
      <c r="D8737" s="8">
        <f ca="1">IFERROR(__xludf.DUMMYFUNCTION("""COMPUTED_VALUE"""),5)</f>
        <v>5</v>
      </c>
      <c r="E8737" s="2">
        <f ca="1">IFERROR(__xludf.DUMMYFUNCTION("""COMPUTED_VALUE"""),2)</f>
        <v>2</v>
      </c>
    </row>
    <row r="8738" spans="1:5" ht="13">
      <c r="A8738" s="2" t="str">
        <f ca="1">IFERROR(__xludf.DUMMYFUNCTION("""COMPUTED_VALUE"""),"Wilson, Jonathan")</f>
        <v>Wilson, Jonathan</v>
      </c>
      <c r="B8738" s="3">
        <f ca="1">IFERROR(__xludf.DUMMYFUNCTION("""COMPUTED_VALUE"""),1)</f>
        <v>1</v>
      </c>
      <c r="C8738" s="7">
        <f ca="1">IFERROR(__xludf.DUMMYFUNCTION("""COMPUTED_VALUE"""),1)</f>
        <v>1</v>
      </c>
      <c r="D8738" s="8">
        <f ca="1">IFERROR(__xludf.DUMMYFUNCTION("""COMPUTED_VALUE"""),1)</f>
        <v>1</v>
      </c>
      <c r="E8738" s="2">
        <f ca="1">IFERROR(__xludf.DUMMYFUNCTION("""COMPUTED_VALUE"""),1)</f>
        <v>1</v>
      </c>
    </row>
    <row r="8739" spans="1:5" ht="13">
      <c r="A8739" s="2" t="str">
        <f ca="1">IFERROR(__xludf.DUMMYFUNCTION("""COMPUTED_VALUE"""),"Wilson, Keith")</f>
        <v>Wilson, Keith</v>
      </c>
      <c r="B8739" s="3">
        <f ca="1">IFERROR(__xludf.DUMMYFUNCTION("""COMPUTED_VALUE"""),1)</f>
        <v>1</v>
      </c>
      <c r="C8739" s="7">
        <f ca="1">IFERROR(__xludf.DUMMYFUNCTION("""COMPUTED_VALUE"""),1)</f>
        <v>1</v>
      </c>
      <c r="D8739" s="8">
        <f ca="1">IFERROR(__xludf.DUMMYFUNCTION("""COMPUTED_VALUE"""),1)</f>
        <v>1</v>
      </c>
      <c r="E8739" s="2">
        <f ca="1">IFERROR(__xludf.DUMMYFUNCTION("""COMPUTED_VALUE"""),1)</f>
        <v>1</v>
      </c>
    </row>
    <row r="8740" spans="1:5" ht="13">
      <c r="A8740" s="2" t="str">
        <f ca="1">IFERROR(__xludf.DUMMYFUNCTION("""COMPUTED_VALUE"""),"Wilson, Kenyon")</f>
        <v>Wilson, Kenyon</v>
      </c>
      <c r="B8740" s="3">
        <f ca="1">IFERROR(__xludf.DUMMYFUNCTION("""COMPUTED_VALUE"""),1)</f>
        <v>1</v>
      </c>
      <c r="C8740" s="7">
        <f ca="1">IFERROR(__xludf.DUMMYFUNCTION("""COMPUTED_VALUE"""),1)</f>
        <v>1</v>
      </c>
      <c r="D8740" s="8">
        <f ca="1">IFERROR(__xludf.DUMMYFUNCTION("""COMPUTED_VALUE"""),1)</f>
        <v>1</v>
      </c>
      <c r="E8740" s="2">
        <f ca="1">IFERROR(__xludf.DUMMYFUNCTION("""COMPUTED_VALUE"""),1)</f>
        <v>1</v>
      </c>
    </row>
    <row r="8741" spans="1:5" ht="13">
      <c r="A8741" s="2" t="str">
        <f ca="1">IFERROR(__xludf.DUMMYFUNCTION("""COMPUTED_VALUE"""),"Wilson, Mark")</f>
        <v>Wilson, Mark</v>
      </c>
      <c r="B8741" s="3">
        <f ca="1">IFERROR(__xludf.DUMMYFUNCTION("""COMPUTED_VALUE"""),1)</f>
        <v>1</v>
      </c>
      <c r="C8741" s="7">
        <f ca="1">IFERROR(__xludf.DUMMYFUNCTION("""COMPUTED_VALUE"""),1)</f>
        <v>1</v>
      </c>
      <c r="D8741" s="8">
        <f ca="1">IFERROR(__xludf.DUMMYFUNCTION("""COMPUTED_VALUE"""),1)</f>
        <v>1</v>
      </c>
      <c r="E8741" s="2">
        <f ca="1">IFERROR(__xludf.DUMMYFUNCTION("""COMPUTED_VALUE"""),1)</f>
        <v>1</v>
      </c>
    </row>
    <row r="8742" spans="1:5" ht="13">
      <c r="A8742" s="2" t="str">
        <f ca="1">IFERROR(__xludf.DUMMYFUNCTION("""COMPUTED_VALUE"""),"Wilson, Meredith")</f>
        <v>Wilson, Meredith</v>
      </c>
      <c r="B8742" s="3">
        <f ca="1">IFERROR(__xludf.DUMMYFUNCTION("""COMPUTED_VALUE"""),1)</f>
        <v>1</v>
      </c>
      <c r="C8742" s="7">
        <f ca="1">IFERROR(__xludf.DUMMYFUNCTION("""COMPUTED_VALUE"""),1)</f>
        <v>1</v>
      </c>
      <c r="D8742" s="8">
        <f ca="1">IFERROR(__xludf.DUMMYFUNCTION("""COMPUTED_VALUE"""),5)</f>
        <v>5</v>
      </c>
      <c r="E8742" s="2">
        <f ca="1">IFERROR(__xludf.DUMMYFUNCTION("""COMPUTED_VALUE"""),2)</f>
        <v>2</v>
      </c>
    </row>
    <row r="8743" spans="1:5" ht="13">
      <c r="A8743" s="8" t="str">
        <f ca="1">IFERROR(__xludf.DUMMYFUNCTION("""COMPUTED_VALUE"""),"Wilson, P. (unknown)")</f>
        <v>Wilson, P. (unknown)</v>
      </c>
      <c r="B8743" s="2">
        <f ca="1">IFERROR(__xludf.DUMMYFUNCTION("""COMPUTED_VALUE"""),1)</f>
        <v>1</v>
      </c>
      <c r="C8743" s="7">
        <f ca="1">IFERROR(__xludf.DUMMYFUNCTION("""COMPUTED_VALUE"""),1)</f>
        <v>1</v>
      </c>
      <c r="D8743" s="8">
        <f ca="1">IFERROR(__xludf.DUMMYFUNCTION("""COMPUTED_VALUE"""),5)</f>
        <v>5</v>
      </c>
      <c r="E8743" s="2">
        <f ca="1">IFERROR(__xludf.DUMMYFUNCTION("""COMPUTED_VALUE"""),2)</f>
        <v>2</v>
      </c>
    </row>
    <row r="8744" spans="1:5" ht="13">
      <c r="A8744" s="2" t="str">
        <f ca="1">IFERROR(__xludf.DUMMYFUNCTION("""COMPUTED_VALUE"""),"Wilson, Patrick")</f>
        <v>Wilson, Patrick</v>
      </c>
      <c r="B8744" s="3">
        <f ca="1">IFERROR(__xludf.DUMMYFUNCTION("""COMPUTED_VALUE"""),1)</f>
        <v>1</v>
      </c>
      <c r="C8744" s="7">
        <f ca="1">IFERROR(__xludf.DUMMYFUNCTION("""COMPUTED_VALUE"""),1)</f>
        <v>1</v>
      </c>
      <c r="D8744" s="8">
        <f ca="1">IFERROR(__xludf.DUMMYFUNCTION("""COMPUTED_VALUE"""),1)</f>
        <v>1</v>
      </c>
      <c r="E8744" s="2">
        <f ca="1">IFERROR(__xludf.DUMMYFUNCTION("""COMPUTED_VALUE"""),1)</f>
        <v>1</v>
      </c>
    </row>
    <row r="8745" spans="1:5" ht="13">
      <c r="A8745" s="2" t="str">
        <f ca="1">IFERROR(__xludf.DUMMYFUNCTION("""COMPUTED_VALUE"""),"Wilson, Peter")</f>
        <v>Wilson, Peter</v>
      </c>
      <c r="B8745" s="3">
        <f ca="1">IFERROR(__xludf.DUMMYFUNCTION("""COMPUTED_VALUE"""),1)</f>
        <v>1</v>
      </c>
      <c r="C8745" s="7">
        <f ca="1">IFERROR(__xludf.DUMMYFUNCTION("""COMPUTED_VALUE"""),1)</f>
        <v>1</v>
      </c>
      <c r="D8745" s="8">
        <f ca="1">IFERROR(__xludf.DUMMYFUNCTION("""COMPUTED_VALUE"""),1)</f>
        <v>1</v>
      </c>
      <c r="E8745" s="2">
        <f ca="1">IFERROR(__xludf.DUMMYFUNCTION("""COMPUTED_VALUE"""),1)</f>
        <v>1</v>
      </c>
    </row>
    <row r="8746" spans="1:5" ht="13">
      <c r="A8746" s="2" t="str">
        <f ca="1">IFERROR(__xludf.DUMMYFUNCTION("""COMPUTED_VALUE"""),"Wilson, Stanley")</f>
        <v>Wilson, Stanley</v>
      </c>
      <c r="B8746" s="3">
        <f ca="1">IFERROR(__xludf.DUMMYFUNCTION("""COMPUTED_VALUE"""),1)</f>
        <v>1</v>
      </c>
      <c r="C8746" s="7">
        <f ca="1">IFERROR(__xludf.DUMMYFUNCTION("""COMPUTED_VALUE"""),1)</f>
        <v>1</v>
      </c>
      <c r="D8746" s="8">
        <f ca="1">IFERROR(__xludf.DUMMYFUNCTION("""COMPUTED_VALUE"""),5)</f>
        <v>5</v>
      </c>
      <c r="E8746" s="2">
        <f ca="1">IFERROR(__xludf.DUMMYFUNCTION("""COMPUTED_VALUE"""),2)</f>
        <v>2</v>
      </c>
    </row>
    <row r="8747" spans="1:5" ht="13">
      <c r="A8747" s="2" t="str">
        <f ca="1">IFERROR(__xludf.DUMMYFUNCTION("""COMPUTED_VALUE"""),"Wilt, Kevin")</f>
        <v>Wilt, Kevin</v>
      </c>
      <c r="B8747" s="3">
        <f ca="1">IFERROR(__xludf.DUMMYFUNCTION("""COMPUTED_VALUE"""),1)</f>
        <v>1</v>
      </c>
      <c r="C8747" s="7">
        <f ca="1">IFERROR(__xludf.DUMMYFUNCTION("""COMPUTED_VALUE"""),1)</f>
        <v>1</v>
      </c>
      <c r="D8747" s="8">
        <f ca="1">IFERROR(__xludf.DUMMYFUNCTION("""COMPUTED_VALUE"""),1)</f>
        <v>1</v>
      </c>
      <c r="E8747" s="2">
        <f ca="1">IFERROR(__xludf.DUMMYFUNCTION("""COMPUTED_VALUE"""),1)</f>
        <v>1</v>
      </c>
    </row>
    <row r="8748" spans="1:5" ht="13">
      <c r="A8748" s="2" t="str">
        <f ca="1">IFERROR(__xludf.DUMMYFUNCTION("""COMPUTED_VALUE"""),"Wimmer, Martin")</f>
        <v>Wimmer, Martin</v>
      </c>
      <c r="B8748" s="3">
        <f ca="1">IFERROR(__xludf.DUMMYFUNCTION("""COMPUTED_VALUE"""),1)</f>
        <v>1</v>
      </c>
      <c r="C8748" s="7">
        <f ca="1">IFERROR(__xludf.DUMMYFUNCTION("""COMPUTED_VALUE"""),1)</f>
        <v>1</v>
      </c>
      <c r="D8748" s="8">
        <f ca="1">IFERROR(__xludf.DUMMYFUNCTION("""COMPUTED_VALUE"""),1)</f>
        <v>1</v>
      </c>
      <c r="E8748" s="2">
        <f ca="1">IFERROR(__xludf.DUMMYFUNCTION("""COMPUTED_VALUE"""),1)</f>
        <v>1</v>
      </c>
    </row>
    <row r="8749" spans="1:5" ht="13">
      <c r="A8749" s="2" t="str">
        <f ca="1">IFERROR(__xludf.DUMMYFUNCTION("""COMPUTED_VALUE"""),"Windham, William")</f>
        <v>Windham, William</v>
      </c>
      <c r="B8749" s="3">
        <f ca="1">IFERROR(__xludf.DUMMYFUNCTION("""COMPUTED_VALUE"""),1)</f>
        <v>1</v>
      </c>
      <c r="C8749" s="7">
        <f ca="1">IFERROR(__xludf.DUMMYFUNCTION("""COMPUTED_VALUE"""),1)</f>
        <v>1</v>
      </c>
      <c r="D8749" s="8">
        <f ca="1">IFERROR(__xludf.DUMMYFUNCTION("""COMPUTED_VALUE"""),1)</f>
        <v>1</v>
      </c>
      <c r="E8749" s="2">
        <f ca="1">IFERROR(__xludf.DUMMYFUNCTION("""COMPUTED_VALUE"""),1)</f>
        <v>1</v>
      </c>
    </row>
    <row r="8750" spans="1:5" ht="13">
      <c r="A8750" s="8" t="str">
        <f ca="1">IFERROR(__xludf.DUMMYFUNCTION("""COMPUTED_VALUE"""),"Winding, Kai")</f>
        <v>Winding, Kai</v>
      </c>
      <c r="B8750" s="3">
        <f ca="1">IFERROR(__xludf.DUMMYFUNCTION("""COMPUTED_VALUE"""),1)</f>
        <v>1</v>
      </c>
      <c r="C8750" s="7">
        <f ca="1">IFERROR(__xludf.DUMMYFUNCTION("""COMPUTED_VALUE"""),1)</f>
        <v>1</v>
      </c>
      <c r="D8750" s="8">
        <f ca="1">IFERROR(__xludf.DUMMYFUNCTION("""COMPUTED_VALUE"""),5)</f>
        <v>5</v>
      </c>
      <c r="E8750" s="2">
        <f ca="1">IFERROR(__xludf.DUMMYFUNCTION("""COMPUTED_VALUE"""),2)</f>
        <v>2</v>
      </c>
    </row>
    <row r="8751" spans="1:5" ht="13">
      <c r="A8751" s="2" t="str">
        <f ca="1">IFERROR(__xludf.DUMMYFUNCTION("""COMPUTED_VALUE"""),"Winebrenner, Tim")</f>
        <v>Winebrenner, Tim</v>
      </c>
      <c r="B8751" s="3">
        <f ca="1">IFERROR(__xludf.DUMMYFUNCTION("""COMPUTED_VALUE"""),1)</f>
        <v>1</v>
      </c>
      <c r="C8751" s="7">
        <f ca="1">IFERROR(__xludf.DUMMYFUNCTION("""COMPUTED_VALUE"""),1)</f>
        <v>1</v>
      </c>
      <c r="D8751" s="8">
        <f ca="1">IFERROR(__xludf.DUMMYFUNCTION("""COMPUTED_VALUE"""),1)</f>
        <v>1</v>
      </c>
      <c r="E8751" s="2">
        <f ca="1">IFERROR(__xludf.DUMMYFUNCTION("""COMPUTED_VALUE"""),1)</f>
        <v>1</v>
      </c>
    </row>
    <row r="8752" spans="1:5" ht="13">
      <c r="A8752" s="2" t="str">
        <f ca="1">IFERROR(__xludf.DUMMYFUNCTION("""COMPUTED_VALUE"""),"Winger, C.F. Kip")</f>
        <v>Winger, C.F. Kip</v>
      </c>
      <c r="B8752" s="3">
        <f ca="1">IFERROR(__xludf.DUMMYFUNCTION("""COMPUTED_VALUE"""),1)</f>
        <v>1</v>
      </c>
      <c r="C8752" s="7">
        <f ca="1">IFERROR(__xludf.DUMMYFUNCTION("""COMPUTED_VALUE"""),1)</f>
        <v>1</v>
      </c>
      <c r="D8752" s="8">
        <f ca="1">IFERROR(__xludf.DUMMYFUNCTION("""COMPUTED_VALUE"""),1)</f>
        <v>1</v>
      </c>
      <c r="E8752" s="2">
        <f ca="1">IFERROR(__xludf.DUMMYFUNCTION("""COMPUTED_VALUE"""),1)</f>
        <v>1</v>
      </c>
    </row>
    <row r="8753" spans="1:5" ht="13">
      <c r="A8753" s="2" t="str">
        <f ca="1">IFERROR(__xludf.DUMMYFUNCTION("""COMPUTED_VALUE"""),"Winger, Kip")</f>
        <v>Winger, Kip</v>
      </c>
      <c r="B8753" s="3">
        <f ca="1">IFERROR(__xludf.DUMMYFUNCTION("""COMPUTED_VALUE"""),1)</f>
        <v>1</v>
      </c>
      <c r="C8753" s="7">
        <f ca="1">IFERROR(__xludf.DUMMYFUNCTION("""COMPUTED_VALUE"""),1)</f>
        <v>1</v>
      </c>
      <c r="D8753" s="8">
        <f ca="1">IFERROR(__xludf.DUMMYFUNCTION("""COMPUTED_VALUE"""),1)</f>
        <v>1</v>
      </c>
      <c r="E8753" s="2">
        <f ca="1">IFERROR(__xludf.DUMMYFUNCTION("""COMPUTED_VALUE"""),1)</f>
        <v>1</v>
      </c>
    </row>
    <row r="8754" spans="1:5" ht="13">
      <c r="A8754" s="2" t="str">
        <f ca="1">IFERROR(__xludf.DUMMYFUNCTION("""COMPUTED_VALUE"""),"Winges, Mark")</f>
        <v>Winges, Mark</v>
      </c>
      <c r="B8754" s="3">
        <f ca="1">IFERROR(__xludf.DUMMYFUNCTION("""COMPUTED_VALUE"""),1)</f>
        <v>1</v>
      </c>
      <c r="C8754" s="7">
        <f ca="1">IFERROR(__xludf.DUMMYFUNCTION("""COMPUTED_VALUE"""),1)</f>
        <v>1</v>
      </c>
      <c r="D8754" s="8">
        <f ca="1">IFERROR(__xludf.DUMMYFUNCTION("""COMPUTED_VALUE"""),1)</f>
        <v>1</v>
      </c>
      <c r="E8754" s="2">
        <f ca="1">IFERROR(__xludf.DUMMYFUNCTION("""COMPUTED_VALUE"""),1)</f>
        <v>1</v>
      </c>
    </row>
    <row r="8755" spans="1:5" ht="13">
      <c r="A8755" s="2" t="str">
        <f ca="1">IFERROR(__xludf.DUMMYFUNCTION("""COMPUTED_VALUE"""),"Winkler, David")</f>
        <v>Winkler, David</v>
      </c>
      <c r="B8755" s="3">
        <f ca="1">IFERROR(__xludf.DUMMYFUNCTION("""COMPUTED_VALUE"""),1)</f>
        <v>1</v>
      </c>
      <c r="C8755" s="7">
        <f ca="1">IFERROR(__xludf.DUMMYFUNCTION("""COMPUTED_VALUE"""),1)</f>
        <v>1</v>
      </c>
      <c r="D8755" s="8">
        <f ca="1">IFERROR(__xludf.DUMMYFUNCTION("""COMPUTED_VALUE"""),1)</f>
        <v>1</v>
      </c>
      <c r="E8755" s="2">
        <f ca="1">IFERROR(__xludf.DUMMYFUNCTION("""COMPUTED_VALUE"""),1)</f>
        <v>1</v>
      </c>
    </row>
    <row r="8756" spans="1:5" ht="13">
      <c r="A8756" s="2" t="str">
        <f ca="1">IFERROR(__xludf.DUMMYFUNCTION("""COMPUTED_VALUE"""),"Winner, Joseph")</f>
        <v>Winner, Joseph</v>
      </c>
      <c r="B8756" s="3">
        <f ca="1">IFERROR(__xludf.DUMMYFUNCTION("""COMPUTED_VALUE"""),1)</f>
        <v>1</v>
      </c>
      <c r="C8756" s="7">
        <f ca="1">IFERROR(__xludf.DUMMYFUNCTION("""COMPUTED_VALUE"""),1)</f>
        <v>1</v>
      </c>
      <c r="D8756" s="8">
        <f ca="1">IFERROR(__xludf.DUMMYFUNCTION("""COMPUTED_VALUE"""),5)</f>
        <v>5</v>
      </c>
      <c r="E8756" s="2">
        <f ca="1">IFERROR(__xludf.DUMMYFUNCTION("""COMPUTED_VALUE"""),2)</f>
        <v>2</v>
      </c>
    </row>
    <row r="8757" spans="1:5" ht="13">
      <c r="A8757" s="2" t="str">
        <f ca="1">IFERROR(__xludf.DUMMYFUNCTION("""COMPUTED_VALUE"""),"Winslow, Conrad")</f>
        <v>Winslow, Conrad</v>
      </c>
      <c r="B8757" s="3">
        <f ca="1">IFERROR(__xludf.DUMMYFUNCTION("""COMPUTED_VALUE"""),1)</f>
        <v>1</v>
      </c>
      <c r="C8757" s="7">
        <f ca="1">IFERROR(__xludf.DUMMYFUNCTION("""COMPUTED_VALUE"""),1)</f>
        <v>1</v>
      </c>
      <c r="D8757" s="8">
        <f ca="1">IFERROR(__xludf.DUMMYFUNCTION("""COMPUTED_VALUE"""),1)</f>
        <v>1</v>
      </c>
      <c r="E8757" s="2">
        <f ca="1">IFERROR(__xludf.DUMMYFUNCTION("""COMPUTED_VALUE"""),1)</f>
        <v>1</v>
      </c>
    </row>
    <row r="8758" spans="1:5" ht="13">
      <c r="A8758" s="2" t="str">
        <f ca="1">IFERROR(__xludf.DUMMYFUNCTION("""COMPUTED_VALUE"""),"Winstead, Steve")</f>
        <v>Winstead, Steve</v>
      </c>
      <c r="B8758" s="3">
        <f ca="1">IFERROR(__xludf.DUMMYFUNCTION("""COMPUTED_VALUE"""),1)</f>
        <v>1</v>
      </c>
      <c r="C8758" s="7">
        <f ca="1">IFERROR(__xludf.DUMMYFUNCTION("""COMPUTED_VALUE"""),1)</f>
        <v>1</v>
      </c>
      <c r="D8758" s="8">
        <f ca="1">IFERROR(__xludf.DUMMYFUNCTION("""COMPUTED_VALUE"""),1)</f>
        <v>1</v>
      </c>
      <c r="E8758" s="2">
        <f ca="1">IFERROR(__xludf.DUMMYFUNCTION("""COMPUTED_VALUE"""),1)</f>
        <v>1</v>
      </c>
    </row>
    <row r="8759" spans="1:5" ht="13">
      <c r="A8759" s="2" t="str">
        <f ca="1">IFERROR(__xludf.DUMMYFUNCTION("""COMPUTED_VALUE"""),"Winstead, William")</f>
        <v>Winstead, William</v>
      </c>
      <c r="B8759" s="3">
        <f ca="1">IFERROR(__xludf.DUMMYFUNCTION("""COMPUTED_VALUE"""),1)</f>
        <v>1</v>
      </c>
      <c r="C8759" s="7">
        <f ca="1">IFERROR(__xludf.DUMMYFUNCTION("""COMPUTED_VALUE"""),1)</f>
        <v>1</v>
      </c>
      <c r="D8759" s="8">
        <f ca="1">IFERROR(__xludf.DUMMYFUNCTION("""COMPUTED_VALUE"""),5)</f>
        <v>5</v>
      </c>
      <c r="E8759" s="2">
        <f ca="1">IFERROR(__xludf.DUMMYFUNCTION("""COMPUTED_VALUE"""),2)</f>
        <v>2</v>
      </c>
    </row>
    <row r="8760" spans="1:5" ht="13">
      <c r="A8760" s="2" t="str">
        <f ca="1">IFERROR(__xludf.DUMMYFUNCTION("""COMPUTED_VALUE"""),"Winter, Aubrey")</f>
        <v>Winter, Aubrey</v>
      </c>
      <c r="B8760" s="3">
        <f ca="1">IFERROR(__xludf.DUMMYFUNCTION("""COMPUTED_VALUE"""),1)</f>
        <v>1</v>
      </c>
      <c r="C8760" s="7">
        <f ca="1">IFERROR(__xludf.DUMMYFUNCTION("""COMPUTED_VALUE"""),1)</f>
        <v>1</v>
      </c>
      <c r="D8760" s="8">
        <f ca="1">IFERROR(__xludf.DUMMYFUNCTION("""COMPUTED_VALUE"""),5)</f>
        <v>5</v>
      </c>
      <c r="E8760" s="2">
        <f ca="1">IFERROR(__xludf.DUMMYFUNCTION("""COMPUTED_VALUE"""),2)</f>
        <v>2</v>
      </c>
    </row>
    <row r="8761" spans="1:5" ht="13">
      <c r="A8761" s="8" t="str">
        <f ca="1">IFERROR(__xludf.DUMMYFUNCTION("""COMPUTED_VALUE"""),"Winter, Denis")</f>
        <v>Winter, Denis</v>
      </c>
      <c r="B8761" s="3">
        <f ca="1">IFERROR(__xludf.DUMMYFUNCTION("""COMPUTED_VALUE"""),1)</f>
        <v>1</v>
      </c>
      <c r="C8761" s="7">
        <f ca="1">IFERROR(__xludf.DUMMYFUNCTION("""COMPUTED_VALUE"""),1)</f>
        <v>1</v>
      </c>
      <c r="D8761" s="8">
        <f ca="1">IFERROR(__xludf.DUMMYFUNCTION("""COMPUTED_VALUE"""),1)</f>
        <v>1</v>
      </c>
      <c r="E8761" s="2">
        <f ca="1">IFERROR(__xludf.DUMMYFUNCTION("""COMPUTED_VALUE"""),1)</f>
        <v>1</v>
      </c>
    </row>
    <row r="8762" spans="1:5" ht="13">
      <c r="A8762" s="2" t="str">
        <f ca="1">IFERROR(__xludf.DUMMYFUNCTION("""COMPUTED_VALUE"""),"Winter, Peter von")</f>
        <v>Winter, Peter von</v>
      </c>
      <c r="B8762" s="2">
        <f ca="1">IFERROR(__xludf.DUMMYFUNCTION("""COMPUTED_VALUE"""),1)</f>
        <v>1</v>
      </c>
      <c r="C8762" s="7">
        <f ca="1">IFERROR(__xludf.DUMMYFUNCTION("""COMPUTED_VALUE"""),1)</f>
        <v>1</v>
      </c>
      <c r="D8762" s="8">
        <f ca="1">IFERROR(__xludf.DUMMYFUNCTION("""COMPUTED_VALUE"""),5)</f>
        <v>5</v>
      </c>
      <c r="E8762" s="2">
        <f ca="1">IFERROR(__xludf.DUMMYFUNCTION("""COMPUTED_VALUE"""),2)</f>
        <v>2</v>
      </c>
    </row>
    <row r="8763" spans="1:5" ht="13">
      <c r="A8763" s="2" t="str">
        <f ca="1">IFERROR(__xludf.DUMMYFUNCTION("""COMPUTED_VALUE"""),"Winterbottom, Frank")</f>
        <v>Winterbottom, Frank</v>
      </c>
      <c r="B8763" s="3">
        <f ca="1">IFERROR(__xludf.DUMMYFUNCTION("""COMPUTED_VALUE"""),1)</f>
        <v>1</v>
      </c>
      <c r="C8763" s="7">
        <f ca="1">IFERROR(__xludf.DUMMYFUNCTION("""COMPUTED_VALUE"""),1)</f>
        <v>1</v>
      </c>
      <c r="D8763" s="8">
        <f ca="1">IFERROR(__xludf.DUMMYFUNCTION("""COMPUTED_VALUE"""),5)</f>
        <v>5</v>
      </c>
      <c r="E8763" s="2">
        <f ca="1">IFERROR(__xludf.DUMMYFUNCTION("""COMPUTED_VALUE"""),2)</f>
        <v>2</v>
      </c>
    </row>
    <row r="8764" spans="1:5" ht="13">
      <c r="A8764" s="2" t="str">
        <f ca="1">IFERROR(__xludf.DUMMYFUNCTION("""COMPUTED_VALUE"""),"Winteregg, Steve")</f>
        <v>Winteregg, Steve</v>
      </c>
      <c r="B8764" s="3">
        <f ca="1">IFERROR(__xludf.DUMMYFUNCTION("""COMPUTED_VALUE"""),1)</f>
        <v>1</v>
      </c>
      <c r="C8764" s="7">
        <f ca="1">IFERROR(__xludf.DUMMYFUNCTION("""COMPUTED_VALUE"""),1)</f>
        <v>1</v>
      </c>
      <c r="D8764" s="8">
        <f ca="1">IFERROR(__xludf.DUMMYFUNCTION("""COMPUTED_VALUE"""),1)</f>
        <v>1</v>
      </c>
      <c r="E8764" s="2">
        <f ca="1">IFERROR(__xludf.DUMMYFUNCTION("""COMPUTED_VALUE"""),1)</f>
        <v>1</v>
      </c>
    </row>
    <row r="8765" spans="1:5" ht="13">
      <c r="A8765" s="8" t="str">
        <f ca="1">IFERROR(__xludf.DUMMYFUNCTION("""COMPUTED_VALUE"""),"Winther, Rodney")</f>
        <v>Winther, Rodney</v>
      </c>
      <c r="B8765" s="3">
        <f ca="1">IFERROR(__xludf.DUMMYFUNCTION("""COMPUTED_VALUE"""),1)</f>
        <v>1</v>
      </c>
      <c r="C8765" s="7">
        <f ca="1">IFERROR(__xludf.DUMMYFUNCTION("""COMPUTED_VALUE"""),1)</f>
        <v>1</v>
      </c>
      <c r="D8765" s="8">
        <f ca="1">IFERROR(__xludf.DUMMYFUNCTION("""COMPUTED_VALUE"""),1)</f>
        <v>1</v>
      </c>
      <c r="E8765" s="2">
        <f ca="1">IFERROR(__xludf.DUMMYFUNCTION("""COMPUTED_VALUE"""),1)</f>
        <v>1</v>
      </c>
    </row>
    <row r="8766" spans="1:5" ht="13">
      <c r="A8766" s="2" t="str">
        <f ca="1">IFERROR(__xludf.DUMMYFUNCTION("""COMPUTED_VALUE"""),"Wintory, Austin")</f>
        <v>Wintory, Austin</v>
      </c>
      <c r="B8766" s="3">
        <f ca="1">IFERROR(__xludf.DUMMYFUNCTION("""COMPUTED_VALUE"""),1)</f>
        <v>1</v>
      </c>
      <c r="C8766" s="7">
        <f ca="1">IFERROR(__xludf.DUMMYFUNCTION("""COMPUTED_VALUE"""),1)</f>
        <v>1</v>
      </c>
      <c r="D8766" s="8">
        <f ca="1">IFERROR(__xludf.DUMMYFUNCTION("""COMPUTED_VALUE"""),1)</f>
        <v>1</v>
      </c>
      <c r="E8766" s="2">
        <f ca="1">IFERROR(__xludf.DUMMYFUNCTION("""COMPUTED_VALUE"""),1)</f>
        <v>1</v>
      </c>
    </row>
    <row r="8767" spans="1:5" ht="13">
      <c r="A8767" s="2" t="str">
        <f ca="1">IFERROR(__xludf.DUMMYFUNCTION("""COMPUTED_VALUE"""),"Wintringham, Jonathan")</f>
        <v>Wintringham, Jonathan</v>
      </c>
      <c r="B8767" s="3">
        <f ca="1">IFERROR(__xludf.DUMMYFUNCTION("""COMPUTED_VALUE"""),1)</f>
        <v>1</v>
      </c>
      <c r="C8767" s="7">
        <f ca="1">IFERROR(__xludf.DUMMYFUNCTION("""COMPUTED_VALUE"""),1)</f>
        <v>1</v>
      </c>
      <c r="D8767" s="8">
        <f ca="1">IFERROR(__xludf.DUMMYFUNCTION("""COMPUTED_VALUE"""),1)</f>
        <v>1</v>
      </c>
      <c r="E8767" s="2">
        <f ca="1">IFERROR(__xludf.DUMMYFUNCTION("""COMPUTED_VALUE"""),1)</f>
        <v>1</v>
      </c>
    </row>
    <row r="8768" spans="1:5" ht="13">
      <c r="A8768" s="2" t="str">
        <f ca="1">IFERROR(__xludf.DUMMYFUNCTION("""COMPUTED_VALUE"""),"Wippler, Harold")</f>
        <v>Wippler, Harold</v>
      </c>
      <c r="B8768" s="3">
        <f ca="1">IFERROR(__xludf.DUMMYFUNCTION("""COMPUTED_VALUE"""),1)</f>
        <v>1</v>
      </c>
      <c r="C8768" s="7">
        <f ca="1">IFERROR(__xludf.DUMMYFUNCTION("""COMPUTED_VALUE"""),1)</f>
        <v>1</v>
      </c>
      <c r="D8768" s="8">
        <f ca="1">IFERROR(__xludf.DUMMYFUNCTION("""COMPUTED_VALUE"""),5)</f>
        <v>5</v>
      </c>
      <c r="E8768" s="2">
        <f ca="1">IFERROR(__xludf.DUMMYFUNCTION("""COMPUTED_VALUE"""),2)</f>
        <v>2</v>
      </c>
    </row>
    <row r="8769" spans="1:5" ht="13">
      <c r="A8769" s="2" t="str">
        <f ca="1">IFERROR(__xludf.DUMMYFUNCTION("""COMPUTED_VALUE"""),"Wiprud, Theodore")</f>
        <v>Wiprud, Theodore</v>
      </c>
      <c r="B8769" s="3">
        <f ca="1">IFERROR(__xludf.DUMMYFUNCTION("""COMPUTED_VALUE"""),1)</f>
        <v>1</v>
      </c>
      <c r="C8769" s="7">
        <f ca="1">IFERROR(__xludf.DUMMYFUNCTION("""COMPUTED_VALUE"""),1)</f>
        <v>1</v>
      </c>
      <c r="D8769" s="8">
        <f ca="1">IFERROR(__xludf.DUMMYFUNCTION("""COMPUTED_VALUE"""),1)</f>
        <v>1</v>
      </c>
      <c r="E8769" s="2">
        <f ca="1">IFERROR(__xludf.DUMMYFUNCTION("""COMPUTED_VALUE"""),1)</f>
        <v>1</v>
      </c>
    </row>
    <row r="8770" spans="1:5" ht="13">
      <c r="A8770" s="2" t="str">
        <f ca="1">IFERROR(__xludf.DUMMYFUNCTION("""COMPUTED_VALUE"""),"Wiren, Dag")</f>
        <v>Wiren, Dag</v>
      </c>
      <c r="B8770" s="3">
        <f ca="1">IFERROR(__xludf.DUMMYFUNCTION("""COMPUTED_VALUE"""),1)</f>
        <v>1</v>
      </c>
      <c r="C8770" s="7">
        <f ca="1">IFERROR(__xludf.DUMMYFUNCTION("""COMPUTED_VALUE"""),1)</f>
        <v>1</v>
      </c>
      <c r="D8770" s="8">
        <f ca="1">IFERROR(__xludf.DUMMYFUNCTION("""COMPUTED_VALUE"""),5)</f>
        <v>5</v>
      </c>
      <c r="E8770" s="2">
        <f ca="1">IFERROR(__xludf.DUMMYFUNCTION("""COMPUTED_VALUE"""),2)</f>
        <v>2</v>
      </c>
    </row>
    <row r="8771" spans="1:5" ht="13">
      <c r="A8771" s="2" t="str">
        <f ca="1">IFERROR(__xludf.DUMMYFUNCTION("""COMPUTED_VALUE"""),"Wirén, Dag")</f>
        <v>Wirén, Dag</v>
      </c>
      <c r="B8771" s="3">
        <f ca="1">IFERROR(__xludf.DUMMYFUNCTION("""COMPUTED_VALUE"""),1)</f>
        <v>1</v>
      </c>
      <c r="C8771" s="7">
        <f ca="1">IFERROR(__xludf.DUMMYFUNCTION("""COMPUTED_VALUE"""),1)</f>
        <v>1</v>
      </c>
      <c r="D8771" s="8">
        <f ca="1">IFERROR(__xludf.DUMMYFUNCTION("""COMPUTED_VALUE"""),5)</f>
        <v>5</v>
      </c>
      <c r="E8771" s="2">
        <f ca="1">IFERROR(__xludf.DUMMYFUNCTION("""COMPUTED_VALUE"""),2)</f>
        <v>2</v>
      </c>
    </row>
    <row r="8772" spans="1:5" ht="13">
      <c r="A8772" s="2" t="str">
        <f ca="1">IFERROR(__xludf.DUMMYFUNCTION("""COMPUTED_VALUE"""),"Wiren, Dag Ivar")</f>
        <v>Wiren, Dag Ivar</v>
      </c>
      <c r="B8772" s="3">
        <f ca="1">IFERROR(__xludf.DUMMYFUNCTION("""COMPUTED_VALUE"""),1)</f>
        <v>1</v>
      </c>
      <c r="C8772" s="7">
        <f ca="1">IFERROR(__xludf.DUMMYFUNCTION("""COMPUTED_VALUE"""),1)</f>
        <v>1</v>
      </c>
      <c r="D8772" s="8">
        <f ca="1">IFERROR(__xludf.DUMMYFUNCTION("""COMPUTED_VALUE"""),5)</f>
        <v>5</v>
      </c>
      <c r="E8772" s="2">
        <f ca="1">IFERROR(__xludf.DUMMYFUNCTION("""COMPUTED_VALUE"""),2)</f>
        <v>2</v>
      </c>
    </row>
    <row r="8773" spans="1:5" ht="13">
      <c r="A8773" s="8" t="str">
        <f ca="1">IFERROR(__xludf.DUMMYFUNCTION("""COMPUTED_VALUE"""),"Wissmer, Pierre")</f>
        <v>Wissmer, Pierre</v>
      </c>
      <c r="B8773" s="3">
        <f ca="1">IFERROR(__xludf.DUMMYFUNCTION("""COMPUTED_VALUE"""),1)</f>
        <v>1</v>
      </c>
      <c r="C8773" s="7">
        <f ca="1">IFERROR(__xludf.DUMMYFUNCTION("""COMPUTED_VALUE"""),1)</f>
        <v>1</v>
      </c>
      <c r="D8773" s="8">
        <f ca="1">IFERROR(__xludf.DUMMYFUNCTION("""COMPUTED_VALUE"""),1)</f>
        <v>1</v>
      </c>
      <c r="E8773" s="2">
        <f ca="1">IFERROR(__xludf.DUMMYFUNCTION("""COMPUTED_VALUE"""),1)</f>
        <v>1</v>
      </c>
    </row>
    <row r="8774" spans="1:5" ht="13">
      <c r="A8774" s="2" t="str">
        <f ca="1">IFERROR(__xludf.DUMMYFUNCTION("""COMPUTED_VALUE"""),"Witt, Friedrich")</f>
        <v>Witt, Friedrich</v>
      </c>
      <c r="B8774" s="2">
        <f ca="1">IFERROR(__xludf.DUMMYFUNCTION("""COMPUTED_VALUE"""),1)</f>
        <v>1</v>
      </c>
      <c r="C8774" s="7">
        <f ca="1">IFERROR(__xludf.DUMMYFUNCTION("""COMPUTED_VALUE"""),1)</f>
        <v>1</v>
      </c>
      <c r="D8774" s="8">
        <f ca="1">IFERROR(__xludf.DUMMYFUNCTION("""COMPUTED_VALUE"""),5)</f>
        <v>5</v>
      </c>
      <c r="E8774" s="2">
        <f ca="1">IFERROR(__xludf.DUMMYFUNCTION("""COMPUTED_VALUE"""),2)</f>
        <v>2</v>
      </c>
    </row>
    <row r="8775" spans="1:5" ht="13">
      <c r="A8775" s="8" t="str">
        <f ca="1">IFERROR(__xludf.DUMMYFUNCTION("""COMPUTED_VALUE"""),"Wittig, Jace")</f>
        <v>Wittig, Jace</v>
      </c>
      <c r="B8775" s="3">
        <f ca="1">IFERROR(__xludf.DUMMYFUNCTION("""COMPUTED_VALUE"""),1)</f>
        <v>1</v>
      </c>
      <c r="C8775" s="7">
        <f ca="1">IFERROR(__xludf.DUMMYFUNCTION("""COMPUTED_VALUE"""),1)</f>
        <v>1</v>
      </c>
      <c r="D8775" s="8">
        <f ca="1">IFERROR(__xludf.DUMMYFUNCTION("""COMPUTED_VALUE"""),1)</f>
        <v>1</v>
      </c>
      <c r="E8775" s="2">
        <f ca="1">IFERROR(__xludf.DUMMYFUNCTION("""COMPUTED_VALUE"""),1)</f>
        <v>1</v>
      </c>
    </row>
    <row r="8776" spans="1:5" ht="13">
      <c r="A8776" s="2" t="str">
        <f ca="1">IFERROR(__xludf.DUMMYFUNCTION("""COMPUTED_VALUE"""),"Wittig, Lawrence")</f>
        <v>Wittig, Lawrence</v>
      </c>
      <c r="B8776" s="3">
        <f ca="1">IFERROR(__xludf.DUMMYFUNCTION("""COMPUTED_VALUE"""),1)</f>
        <v>1</v>
      </c>
      <c r="C8776" s="7">
        <f ca="1">IFERROR(__xludf.DUMMYFUNCTION("""COMPUTED_VALUE"""),1)</f>
        <v>1</v>
      </c>
      <c r="D8776" s="8">
        <f ca="1">IFERROR(__xludf.DUMMYFUNCTION("""COMPUTED_VALUE"""),1)</f>
        <v>1</v>
      </c>
      <c r="E8776" s="2">
        <f ca="1">IFERROR(__xludf.DUMMYFUNCTION("""COMPUTED_VALUE"""),1)</f>
        <v>1</v>
      </c>
    </row>
    <row r="8777" spans="1:5" ht="13">
      <c r="A8777" s="2" t="str">
        <f ca="1">IFERROR(__xludf.DUMMYFUNCTION("""COMPUTED_VALUE"""),"Wittrock, Carl")</f>
        <v>Wittrock, Carl</v>
      </c>
      <c r="B8777" s="3">
        <f ca="1">IFERROR(__xludf.DUMMYFUNCTION("""COMPUTED_VALUE"""),1)</f>
        <v>1</v>
      </c>
      <c r="C8777" s="7">
        <f ca="1">IFERROR(__xludf.DUMMYFUNCTION("""COMPUTED_VALUE"""),1)</f>
        <v>1</v>
      </c>
      <c r="D8777" s="8">
        <f ca="1">IFERROR(__xludf.DUMMYFUNCTION("""COMPUTED_VALUE"""),1)</f>
        <v>1</v>
      </c>
      <c r="E8777" s="2">
        <f ca="1">IFERROR(__xludf.DUMMYFUNCTION("""COMPUTED_VALUE"""),1)</f>
        <v>1</v>
      </c>
    </row>
    <row r="8778" spans="1:5" ht="13">
      <c r="A8778" s="2" t="str">
        <f ca="1">IFERROR(__xludf.DUMMYFUNCTION("""COMPUTED_VALUE"""),"Wixon, Ross")</f>
        <v>Wixon, Ross</v>
      </c>
      <c r="B8778" s="3">
        <f ca="1">IFERROR(__xludf.DUMMYFUNCTION("""COMPUTED_VALUE"""),1)</f>
        <v>1</v>
      </c>
      <c r="C8778" s="7">
        <f ca="1">IFERROR(__xludf.DUMMYFUNCTION("""COMPUTED_VALUE"""),1)</f>
        <v>1</v>
      </c>
      <c r="D8778" s="8">
        <f ca="1">IFERROR(__xludf.DUMMYFUNCTION("""COMPUTED_VALUE"""),1)</f>
        <v>1</v>
      </c>
      <c r="E8778" s="2">
        <f ca="1">IFERROR(__xludf.DUMMYFUNCTION("""COMPUTED_VALUE"""),1)</f>
        <v>1</v>
      </c>
    </row>
    <row r="8779" spans="1:5" ht="13">
      <c r="A8779" s="2" t="str">
        <f ca="1">IFERROR(__xludf.DUMMYFUNCTION("""COMPUTED_VALUE"""),"Woehl, Waldemar")</f>
        <v>Woehl, Waldemar</v>
      </c>
      <c r="B8779" s="3">
        <f ca="1">IFERROR(__xludf.DUMMYFUNCTION("""COMPUTED_VALUE"""),1)</f>
        <v>1</v>
      </c>
      <c r="C8779" s="7">
        <f ca="1">IFERROR(__xludf.DUMMYFUNCTION("""COMPUTED_VALUE"""),1)</f>
        <v>1</v>
      </c>
      <c r="D8779" s="8">
        <f ca="1">IFERROR(__xludf.DUMMYFUNCTION("""COMPUTED_VALUE"""),5)</f>
        <v>5</v>
      </c>
      <c r="E8779" s="2">
        <f ca="1">IFERROR(__xludf.DUMMYFUNCTION("""COMPUTED_VALUE"""),2)</f>
        <v>2</v>
      </c>
    </row>
    <row r="8780" spans="1:5" ht="13">
      <c r="A8780" s="8" t="str">
        <f ca="1">IFERROR(__xludf.DUMMYFUNCTION("""COMPUTED_VALUE"""),"Woess, Kurt")</f>
        <v>Woess, Kurt</v>
      </c>
      <c r="B8780" s="3">
        <f ca="1">IFERROR(__xludf.DUMMYFUNCTION("""COMPUTED_VALUE"""),1)</f>
        <v>1</v>
      </c>
      <c r="C8780" s="7">
        <f ca="1">IFERROR(__xludf.DUMMYFUNCTION("""COMPUTED_VALUE"""),1)</f>
        <v>1</v>
      </c>
      <c r="D8780" s="8">
        <f ca="1">IFERROR(__xludf.DUMMYFUNCTION("""COMPUTED_VALUE"""),5)</f>
        <v>5</v>
      </c>
      <c r="E8780" s="2">
        <f ca="1">IFERROR(__xludf.DUMMYFUNCTION("""COMPUTED_VALUE"""),2)</f>
        <v>2</v>
      </c>
    </row>
    <row r="8781" spans="1:5" ht="13">
      <c r="A8781" s="2" t="str">
        <f ca="1">IFERROR(__xludf.DUMMYFUNCTION("""COMPUTED_VALUE"""),"Wohlgemuth, Paul")</f>
        <v>Wohlgemuth, Paul</v>
      </c>
      <c r="B8781" s="3">
        <f ca="1">IFERROR(__xludf.DUMMYFUNCTION("""COMPUTED_VALUE"""),1)</f>
        <v>1</v>
      </c>
      <c r="C8781" s="7">
        <f ca="1">IFERROR(__xludf.DUMMYFUNCTION("""COMPUTED_VALUE"""),1)</f>
        <v>1</v>
      </c>
      <c r="D8781" s="8">
        <f ca="1">IFERROR(__xludf.DUMMYFUNCTION("""COMPUTED_VALUE"""),5)</f>
        <v>5</v>
      </c>
      <c r="E8781" s="2">
        <f ca="1">IFERROR(__xludf.DUMMYFUNCTION("""COMPUTED_VALUE"""),2)</f>
        <v>2</v>
      </c>
    </row>
    <row r="8782" spans="1:5" ht="13">
      <c r="A8782" s="2" t="str">
        <f ca="1">IFERROR(__xludf.DUMMYFUNCTION("""COMPUTED_VALUE"""),"Wolbers, Mark")</f>
        <v>Wolbers, Mark</v>
      </c>
      <c r="B8782" s="3">
        <f ca="1">IFERROR(__xludf.DUMMYFUNCTION("""COMPUTED_VALUE"""),1)</f>
        <v>1</v>
      </c>
      <c r="C8782" s="7">
        <f ca="1">IFERROR(__xludf.DUMMYFUNCTION("""COMPUTED_VALUE"""),1)</f>
        <v>1</v>
      </c>
      <c r="D8782" s="8">
        <f ca="1">IFERROR(__xludf.DUMMYFUNCTION("""COMPUTED_VALUE"""),1)</f>
        <v>1</v>
      </c>
      <c r="E8782" s="2">
        <f ca="1">IFERROR(__xludf.DUMMYFUNCTION("""COMPUTED_VALUE"""),1)</f>
        <v>1</v>
      </c>
    </row>
    <row r="8783" spans="1:5" ht="13">
      <c r="A8783" s="2" t="str">
        <f ca="1">IFERROR(__xludf.DUMMYFUNCTION("""COMPUTED_VALUE"""),"Wolf-Ferrari, Ermanno")</f>
        <v>Wolf-Ferrari, Ermanno</v>
      </c>
      <c r="B8783" s="2">
        <f ca="1">IFERROR(__xludf.DUMMYFUNCTION("""COMPUTED_VALUE"""),1)</f>
        <v>1</v>
      </c>
      <c r="C8783" s="7">
        <f ca="1">IFERROR(__xludf.DUMMYFUNCTION("""COMPUTED_VALUE"""),1)</f>
        <v>1</v>
      </c>
      <c r="D8783" s="8">
        <f ca="1">IFERROR(__xludf.DUMMYFUNCTION("""COMPUTED_VALUE"""),5)</f>
        <v>5</v>
      </c>
      <c r="E8783" s="2">
        <f ca="1">IFERROR(__xludf.DUMMYFUNCTION("""COMPUTED_VALUE"""),2)</f>
        <v>2</v>
      </c>
    </row>
    <row r="8784" spans="1:5" ht="13">
      <c r="A8784" s="8" t="str">
        <f ca="1">IFERROR(__xludf.DUMMYFUNCTION("""COMPUTED_VALUE"""),"Wolf, Adam")</f>
        <v>Wolf, Adam</v>
      </c>
      <c r="B8784" s="3">
        <f ca="1">IFERROR(__xludf.DUMMYFUNCTION("""COMPUTED_VALUE"""),1)</f>
        <v>1</v>
      </c>
      <c r="C8784" s="7">
        <f ca="1">IFERROR(__xludf.DUMMYFUNCTION("""COMPUTED_VALUE"""),1)</f>
        <v>1</v>
      </c>
      <c r="D8784" s="8">
        <f ca="1">IFERROR(__xludf.DUMMYFUNCTION("""COMPUTED_VALUE"""),1)</f>
        <v>1</v>
      </c>
      <c r="E8784" s="2">
        <f ca="1">IFERROR(__xludf.DUMMYFUNCTION("""COMPUTED_VALUE"""),1)</f>
        <v>1</v>
      </c>
    </row>
    <row r="8785" spans="1:5" ht="13">
      <c r="A8785" s="8" t="str">
        <f ca="1">IFERROR(__xludf.DUMMYFUNCTION("""COMPUTED_VALUE"""),"Wolf, Arthur")</f>
        <v>Wolf, Arthur</v>
      </c>
      <c r="B8785" s="3">
        <f ca="1">IFERROR(__xludf.DUMMYFUNCTION("""COMPUTED_VALUE"""),1)</f>
        <v>1</v>
      </c>
      <c r="C8785" s="7">
        <f ca="1">IFERROR(__xludf.DUMMYFUNCTION("""COMPUTED_VALUE"""),1)</f>
        <v>1</v>
      </c>
      <c r="D8785" s="8">
        <f ca="1">IFERROR(__xludf.DUMMYFUNCTION("""COMPUTED_VALUE"""),5)</f>
        <v>5</v>
      </c>
      <c r="E8785" s="2">
        <f ca="1">IFERROR(__xludf.DUMMYFUNCTION("""COMPUTED_VALUE"""),2)</f>
        <v>2</v>
      </c>
    </row>
    <row r="8786" spans="1:5" ht="13">
      <c r="A8786" s="2" t="str">
        <f ca="1">IFERROR(__xludf.DUMMYFUNCTION("""COMPUTED_VALUE"""),"Wolf, Hugo")</f>
        <v>Wolf, Hugo</v>
      </c>
      <c r="B8786" s="2">
        <f ca="1">IFERROR(__xludf.DUMMYFUNCTION("""COMPUTED_VALUE"""),1)</f>
        <v>1</v>
      </c>
      <c r="C8786" s="7">
        <f ca="1">IFERROR(__xludf.DUMMYFUNCTION("""COMPUTED_VALUE"""),1)</f>
        <v>1</v>
      </c>
      <c r="D8786" s="8">
        <f ca="1">IFERROR(__xludf.DUMMYFUNCTION("""COMPUTED_VALUE"""),5)</f>
        <v>5</v>
      </c>
      <c r="E8786" s="2">
        <f ca="1">IFERROR(__xludf.DUMMYFUNCTION("""COMPUTED_VALUE"""),2)</f>
        <v>2</v>
      </c>
    </row>
    <row r="8787" spans="1:5" ht="13">
      <c r="A8787" s="2" t="str">
        <f ca="1">IFERROR(__xludf.DUMMYFUNCTION("""COMPUTED_VALUE"""),"Wolf, Tommy")</f>
        <v>Wolf, Tommy</v>
      </c>
      <c r="B8787" s="2">
        <f ca="1">IFERROR(__xludf.DUMMYFUNCTION("""COMPUTED_VALUE"""),1)</f>
        <v>1</v>
      </c>
      <c r="C8787" s="7">
        <f ca="1">IFERROR(__xludf.DUMMYFUNCTION("""COMPUTED_VALUE"""),1)</f>
        <v>1</v>
      </c>
      <c r="D8787" s="8">
        <f ca="1">IFERROR(__xludf.DUMMYFUNCTION("""COMPUTED_VALUE"""),5)</f>
        <v>5</v>
      </c>
      <c r="E8787" s="2">
        <f ca="1">IFERROR(__xludf.DUMMYFUNCTION("""COMPUTED_VALUE"""),2)</f>
        <v>2</v>
      </c>
    </row>
    <row r="8788" spans="1:5" ht="13">
      <c r="A8788" s="8" t="str">
        <f ca="1">IFERROR(__xludf.DUMMYFUNCTION("""COMPUTED_VALUE"""),"Wolfe, Lanny")</f>
        <v>Wolfe, Lanny</v>
      </c>
      <c r="B8788" s="3">
        <f ca="1">IFERROR(__xludf.DUMMYFUNCTION("""COMPUTED_VALUE"""),1)</f>
        <v>1</v>
      </c>
      <c r="C8788" s="7">
        <f ca="1">IFERROR(__xludf.DUMMYFUNCTION("""COMPUTED_VALUE"""),1)</f>
        <v>1</v>
      </c>
      <c r="D8788" s="8">
        <f ca="1">IFERROR(__xludf.DUMMYFUNCTION("""COMPUTED_VALUE"""),1)</f>
        <v>1</v>
      </c>
      <c r="E8788" s="2">
        <f ca="1">IFERROR(__xludf.DUMMYFUNCTION("""COMPUTED_VALUE"""),1)</f>
        <v>1</v>
      </c>
    </row>
    <row r="8789" spans="1:5" ht="13">
      <c r="A8789" s="2" t="str">
        <f ca="1">IFERROR(__xludf.DUMMYFUNCTION("""COMPUTED_VALUE"""),"Wolff, Christopher T.")</f>
        <v>Wolff, Christopher T.</v>
      </c>
      <c r="B8789" s="3">
        <f ca="1">IFERROR(__xludf.DUMMYFUNCTION("""COMPUTED_VALUE"""),1)</f>
        <v>1</v>
      </c>
      <c r="C8789" s="7">
        <f ca="1">IFERROR(__xludf.DUMMYFUNCTION("""COMPUTED_VALUE"""),1)</f>
        <v>1</v>
      </c>
      <c r="D8789" s="8">
        <f ca="1">IFERROR(__xludf.DUMMYFUNCTION("""COMPUTED_VALUE"""),1)</f>
        <v>1</v>
      </c>
      <c r="E8789" s="2">
        <f ca="1">IFERROR(__xludf.DUMMYFUNCTION("""COMPUTED_VALUE"""),1)</f>
        <v>1</v>
      </c>
    </row>
    <row r="8790" spans="1:5" ht="13">
      <c r="A8790" s="2" t="str">
        <f ca="1">IFERROR(__xludf.DUMMYFUNCTION("""COMPUTED_VALUE"""),"Wolff, Drummond S.")</f>
        <v>Wolff, Drummond S.</v>
      </c>
      <c r="B8790" s="3">
        <f ca="1">IFERROR(__xludf.DUMMYFUNCTION("""COMPUTED_VALUE"""),1)</f>
        <v>1</v>
      </c>
      <c r="C8790" s="7">
        <f ca="1">IFERROR(__xludf.DUMMYFUNCTION("""COMPUTED_VALUE"""),1)</f>
        <v>1</v>
      </c>
      <c r="D8790" s="8">
        <f ca="1">IFERROR(__xludf.DUMMYFUNCTION("""COMPUTED_VALUE"""),1)</f>
        <v>1</v>
      </c>
      <c r="E8790" s="2">
        <f ca="1">IFERROR(__xludf.DUMMYFUNCTION("""COMPUTED_VALUE"""),1)</f>
        <v>1</v>
      </c>
    </row>
    <row r="8791" spans="1:5" ht="13">
      <c r="A8791" s="2" t="str">
        <f ca="1">IFERROR(__xludf.DUMMYFUNCTION("""COMPUTED_VALUE"""),"Wolff, Hellmuth Christian")</f>
        <v>Wolff, Hellmuth Christian</v>
      </c>
      <c r="B8791" s="3">
        <f ca="1">IFERROR(__xludf.DUMMYFUNCTION("""COMPUTED_VALUE"""),1)</f>
        <v>1</v>
      </c>
      <c r="C8791" s="7">
        <f ca="1">IFERROR(__xludf.DUMMYFUNCTION("""COMPUTED_VALUE"""),1)</f>
        <v>1</v>
      </c>
      <c r="D8791" s="8">
        <f ca="1">IFERROR(__xludf.DUMMYFUNCTION("""COMPUTED_VALUE"""),5)</f>
        <v>5</v>
      </c>
      <c r="E8791" s="2">
        <f ca="1">IFERROR(__xludf.DUMMYFUNCTION("""COMPUTED_VALUE"""),2)</f>
        <v>2</v>
      </c>
    </row>
    <row r="8792" spans="1:5" ht="13">
      <c r="A8792" s="2" t="str">
        <f ca="1">IFERROR(__xludf.DUMMYFUNCTION("""COMPUTED_VALUE"""),"Wolfgang, Gernot")</f>
        <v>Wolfgang, Gernot</v>
      </c>
      <c r="B8792" s="3">
        <f ca="1">IFERROR(__xludf.DUMMYFUNCTION("""COMPUTED_VALUE"""),1)</f>
        <v>1</v>
      </c>
      <c r="C8792" s="7">
        <f ca="1">IFERROR(__xludf.DUMMYFUNCTION("""COMPUTED_VALUE"""),1)</f>
        <v>1</v>
      </c>
      <c r="D8792" s="8">
        <f ca="1">IFERROR(__xludf.DUMMYFUNCTION("""COMPUTED_VALUE"""),1)</f>
        <v>1</v>
      </c>
      <c r="E8792" s="2">
        <f ca="1">IFERROR(__xludf.DUMMYFUNCTION("""COMPUTED_VALUE"""),1)</f>
        <v>1</v>
      </c>
    </row>
    <row r="8793" spans="1:5" ht="13">
      <c r="A8793" s="2" t="str">
        <f ca="1">IFERROR(__xludf.DUMMYFUNCTION("""COMPUTED_VALUE"""),"Wolfram, Mark")</f>
        <v>Wolfram, Mark</v>
      </c>
      <c r="B8793" s="3">
        <f ca="1">IFERROR(__xludf.DUMMYFUNCTION("""COMPUTED_VALUE"""),1)</f>
        <v>1</v>
      </c>
      <c r="C8793" s="7">
        <f ca="1">IFERROR(__xludf.DUMMYFUNCTION("""COMPUTED_VALUE"""),1)</f>
        <v>1</v>
      </c>
      <c r="D8793" s="8">
        <f ca="1">IFERROR(__xludf.DUMMYFUNCTION("""COMPUTED_VALUE"""),1)</f>
        <v>1</v>
      </c>
      <c r="E8793" s="2">
        <f ca="1">IFERROR(__xludf.DUMMYFUNCTION("""COMPUTED_VALUE"""),1)</f>
        <v>1</v>
      </c>
    </row>
    <row r="8794" spans="1:5" ht="13">
      <c r="A8794" s="2" t="str">
        <f ca="1">IFERROR(__xludf.DUMMYFUNCTION("""COMPUTED_VALUE"""),"Wolfram, Mark E.")</f>
        <v>Wolfram, Mark E.</v>
      </c>
      <c r="B8794" s="3">
        <f ca="1">IFERROR(__xludf.DUMMYFUNCTION("""COMPUTED_VALUE"""),1)</f>
        <v>1</v>
      </c>
      <c r="C8794" s="7">
        <f ca="1">IFERROR(__xludf.DUMMYFUNCTION("""COMPUTED_VALUE"""),1)</f>
        <v>1</v>
      </c>
      <c r="D8794" s="8">
        <f ca="1">IFERROR(__xludf.DUMMYFUNCTION("""COMPUTED_VALUE"""),1)</f>
        <v>1</v>
      </c>
      <c r="E8794" s="2">
        <f ca="1">IFERROR(__xludf.DUMMYFUNCTION("""COMPUTED_VALUE"""),1)</f>
        <v>1</v>
      </c>
    </row>
    <row r="8795" spans="1:5" ht="13">
      <c r="A8795" s="2" t="str">
        <f ca="1">IFERROR(__xludf.DUMMYFUNCTION("""COMPUTED_VALUE"""),"Wolfson, Richard")</f>
        <v>Wolfson, Richard</v>
      </c>
      <c r="B8795" s="2">
        <f ca="1">IFERROR(__xludf.DUMMYFUNCTION("""COMPUTED_VALUE"""),1)</f>
        <v>1</v>
      </c>
      <c r="C8795" s="7">
        <f ca="1">IFERROR(__xludf.DUMMYFUNCTION("""COMPUTED_VALUE"""),1)</f>
        <v>1</v>
      </c>
      <c r="D8795" s="8">
        <f ca="1">IFERROR(__xludf.DUMMYFUNCTION("""COMPUTED_VALUE"""),5)</f>
        <v>5</v>
      </c>
      <c r="E8795" s="2">
        <f ca="1">IFERROR(__xludf.DUMMYFUNCTION("""COMPUTED_VALUE"""),2)</f>
        <v>2</v>
      </c>
    </row>
    <row r="8796" spans="1:5" ht="13">
      <c r="A8796" s="2" t="str">
        <f ca="1">IFERROR(__xludf.DUMMYFUNCTION("""COMPUTED_VALUE"""),"Wolniakowski, Michael")</f>
        <v>Wolniakowski, Michael</v>
      </c>
      <c r="B8796" s="3">
        <f ca="1">IFERROR(__xludf.DUMMYFUNCTION("""COMPUTED_VALUE"""),1)</f>
        <v>1</v>
      </c>
      <c r="C8796" s="7">
        <f ca="1">IFERROR(__xludf.DUMMYFUNCTION("""COMPUTED_VALUE"""),1)</f>
        <v>1</v>
      </c>
      <c r="D8796" s="8">
        <f ca="1">IFERROR(__xludf.DUMMYFUNCTION("""COMPUTED_VALUE"""),1)</f>
        <v>1</v>
      </c>
      <c r="E8796" s="2">
        <f ca="1">IFERROR(__xludf.DUMMYFUNCTION("""COMPUTED_VALUE"""),1)</f>
        <v>1</v>
      </c>
    </row>
    <row r="8797" spans="1:5" ht="13">
      <c r="A8797" s="2" t="str">
        <f ca="1">IFERROR(__xludf.DUMMYFUNCTION("""COMPUTED_VALUE"""),"Wolpe, Dave")</f>
        <v>Wolpe, Dave</v>
      </c>
      <c r="B8797" s="3">
        <f ca="1">IFERROR(__xludf.DUMMYFUNCTION("""COMPUTED_VALUE"""),1)</f>
        <v>1</v>
      </c>
      <c r="C8797" s="7">
        <f ca="1">IFERROR(__xludf.DUMMYFUNCTION("""COMPUTED_VALUE"""),1)</f>
        <v>1</v>
      </c>
      <c r="D8797" s="8">
        <f ca="1">IFERROR(__xludf.DUMMYFUNCTION("""COMPUTED_VALUE"""),1)</f>
        <v>1</v>
      </c>
      <c r="E8797" s="2">
        <f ca="1">IFERROR(__xludf.DUMMYFUNCTION("""COMPUTED_VALUE"""),1)</f>
        <v>1</v>
      </c>
    </row>
    <row r="8798" spans="1:5" ht="13">
      <c r="A8798" s="2" t="str">
        <f ca="1">IFERROR(__xludf.DUMMYFUNCTION("""COMPUTED_VALUE"""),"Wolpe, Stefan")</f>
        <v>Wolpe, Stefan</v>
      </c>
      <c r="B8798" s="2">
        <f ca="1">IFERROR(__xludf.DUMMYFUNCTION("""COMPUTED_VALUE"""),1)</f>
        <v>1</v>
      </c>
      <c r="C8798" s="7">
        <f ca="1">IFERROR(__xludf.DUMMYFUNCTION("""COMPUTED_VALUE"""),1)</f>
        <v>1</v>
      </c>
      <c r="D8798" s="8">
        <f ca="1">IFERROR(__xludf.DUMMYFUNCTION("""COMPUTED_VALUE"""),5)</f>
        <v>5</v>
      </c>
      <c r="E8798" s="2">
        <f ca="1">IFERROR(__xludf.DUMMYFUNCTION("""COMPUTED_VALUE"""),2)</f>
        <v>2</v>
      </c>
    </row>
    <row r="8799" spans="1:5" ht="13">
      <c r="A8799" s="8" t="str">
        <f ca="1">IFERROR(__xludf.DUMMYFUNCTION("""COMPUTED_VALUE"""),"Wolpert, Max")</f>
        <v>Wolpert, Max</v>
      </c>
      <c r="B8799" s="3">
        <f ca="1">IFERROR(__xludf.DUMMYFUNCTION("""COMPUTED_VALUE"""),1)</f>
        <v>1</v>
      </c>
      <c r="C8799" s="7">
        <f ca="1">IFERROR(__xludf.DUMMYFUNCTION("""COMPUTED_VALUE"""),1)</f>
        <v>1</v>
      </c>
      <c r="D8799" s="8">
        <f ca="1">IFERROR(__xludf.DUMMYFUNCTION("""COMPUTED_VALUE"""),1)</f>
        <v>1</v>
      </c>
      <c r="E8799" s="2">
        <f ca="1">IFERROR(__xludf.DUMMYFUNCTION("""COMPUTED_VALUE"""),1)</f>
        <v>1</v>
      </c>
    </row>
    <row r="8800" spans="1:5" ht="13">
      <c r="A8800" s="8" t="str">
        <f ca="1">IFERROR(__xludf.DUMMYFUNCTION("""COMPUTED_VALUE"""),"Wommack, Chris")</f>
        <v>Wommack, Chris</v>
      </c>
      <c r="B8800" s="9">
        <f ca="1">IFERROR(__xludf.DUMMYFUNCTION("""COMPUTED_VALUE"""),1)</f>
        <v>1</v>
      </c>
      <c r="C8800" s="7">
        <f ca="1">IFERROR(__xludf.DUMMYFUNCTION("""COMPUTED_VALUE"""),1)</f>
        <v>1</v>
      </c>
      <c r="D8800" s="8">
        <f ca="1">IFERROR(__xludf.DUMMYFUNCTION("""COMPUTED_VALUE"""),1)</f>
        <v>1</v>
      </c>
      <c r="E8800" s="9">
        <f ca="1">IFERROR(__xludf.DUMMYFUNCTION("""COMPUTED_VALUE"""),1)</f>
        <v>1</v>
      </c>
    </row>
    <row r="8801" spans="1:5" ht="13">
      <c r="A8801" s="2" t="str">
        <f ca="1">IFERROR(__xludf.DUMMYFUNCTION("""COMPUTED_VALUE"""),"Wood, Charles")</f>
        <v>Wood, Charles</v>
      </c>
      <c r="B8801" s="3">
        <f ca="1">IFERROR(__xludf.DUMMYFUNCTION("""COMPUTED_VALUE"""),1)</f>
        <v>1</v>
      </c>
      <c r="C8801" s="7">
        <f ca="1">IFERROR(__xludf.DUMMYFUNCTION("""COMPUTED_VALUE"""),1)</f>
        <v>1</v>
      </c>
      <c r="D8801" s="8">
        <f ca="1">IFERROR(__xludf.DUMMYFUNCTION("""COMPUTED_VALUE"""),5)</f>
        <v>5</v>
      </c>
      <c r="E8801" s="2">
        <f ca="1">IFERROR(__xludf.DUMMYFUNCTION("""COMPUTED_VALUE"""),2)</f>
        <v>2</v>
      </c>
    </row>
    <row r="8802" spans="1:5" ht="13">
      <c r="A8802" s="2" t="str">
        <f ca="1">IFERROR(__xludf.DUMMYFUNCTION("""COMPUTED_VALUE"""),"Wood, Dale")</f>
        <v>Wood, Dale</v>
      </c>
      <c r="B8802" s="3">
        <f ca="1">IFERROR(__xludf.DUMMYFUNCTION("""COMPUTED_VALUE"""),1)</f>
        <v>1</v>
      </c>
      <c r="C8802" s="7">
        <f ca="1">IFERROR(__xludf.DUMMYFUNCTION("""COMPUTED_VALUE"""),1)</f>
        <v>1</v>
      </c>
      <c r="D8802" s="8">
        <f ca="1">IFERROR(__xludf.DUMMYFUNCTION("""COMPUTED_VALUE"""),5)</f>
        <v>5</v>
      </c>
      <c r="E8802" s="2">
        <f ca="1">IFERROR(__xludf.DUMMYFUNCTION("""COMPUTED_VALUE"""),2)</f>
        <v>2</v>
      </c>
    </row>
    <row r="8803" spans="1:5" ht="13">
      <c r="A8803" s="8" t="str">
        <f ca="1">IFERROR(__xludf.DUMMYFUNCTION("""COMPUTED_VALUE"""),"Wood, Eric")</f>
        <v>Wood, Eric</v>
      </c>
      <c r="B8803" s="3">
        <f ca="1">IFERROR(__xludf.DUMMYFUNCTION("""COMPUTED_VALUE"""),1)</f>
        <v>1</v>
      </c>
      <c r="C8803" s="7">
        <f ca="1">IFERROR(__xludf.DUMMYFUNCTION("""COMPUTED_VALUE"""),1)</f>
        <v>1</v>
      </c>
      <c r="D8803" s="8">
        <f ca="1">IFERROR(__xludf.DUMMYFUNCTION("""COMPUTED_VALUE"""),1)</f>
        <v>1</v>
      </c>
      <c r="E8803" s="2">
        <f ca="1">IFERROR(__xludf.DUMMYFUNCTION("""COMPUTED_VALUE"""),1)</f>
        <v>1</v>
      </c>
    </row>
    <row r="8804" spans="1:5" ht="13">
      <c r="A8804" s="2" t="str">
        <f ca="1">IFERROR(__xludf.DUMMYFUNCTION("""COMPUTED_VALUE"""),"Wood, Gareth")</f>
        <v>Wood, Gareth</v>
      </c>
      <c r="B8804" s="3">
        <f ca="1">IFERROR(__xludf.DUMMYFUNCTION("""COMPUTED_VALUE"""),1)</f>
        <v>1</v>
      </c>
      <c r="C8804" s="7">
        <f ca="1">IFERROR(__xludf.DUMMYFUNCTION("""COMPUTED_VALUE"""),1)</f>
        <v>1</v>
      </c>
      <c r="D8804" s="8">
        <f ca="1">IFERROR(__xludf.DUMMYFUNCTION("""COMPUTED_VALUE"""),1)</f>
        <v>1</v>
      </c>
      <c r="E8804" s="2">
        <f ca="1">IFERROR(__xludf.DUMMYFUNCTION("""COMPUTED_VALUE"""),1)</f>
        <v>1</v>
      </c>
    </row>
    <row r="8805" spans="1:5" ht="13">
      <c r="A8805" s="2" t="str">
        <f ca="1">IFERROR(__xludf.DUMMYFUNCTION("""COMPUTED_VALUE"""),"Wood, Guy")</f>
        <v>Wood, Guy</v>
      </c>
      <c r="B8805" s="3">
        <f ca="1">IFERROR(__xludf.DUMMYFUNCTION("""COMPUTED_VALUE"""),1)</f>
        <v>1</v>
      </c>
      <c r="C8805" s="7">
        <f ca="1">IFERROR(__xludf.DUMMYFUNCTION("""COMPUTED_VALUE"""),1)</f>
        <v>1</v>
      </c>
      <c r="D8805" s="8">
        <f ca="1">IFERROR(__xludf.DUMMYFUNCTION("""COMPUTED_VALUE"""),5)</f>
        <v>5</v>
      </c>
      <c r="E8805" s="2">
        <f ca="1">IFERROR(__xludf.DUMMYFUNCTION("""COMPUTED_VALUE"""),2)</f>
        <v>2</v>
      </c>
    </row>
    <row r="8806" spans="1:5" ht="13">
      <c r="A8806" s="2" t="str">
        <f ca="1">IFERROR(__xludf.DUMMYFUNCTION("""COMPUTED_VALUE"""),"Wood, Haydn")</f>
        <v>Wood, Haydn</v>
      </c>
      <c r="B8806" s="3">
        <f ca="1">IFERROR(__xludf.DUMMYFUNCTION("""COMPUTED_VALUE"""),1)</f>
        <v>1</v>
      </c>
      <c r="C8806" s="7">
        <f ca="1">IFERROR(__xludf.DUMMYFUNCTION("""COMPUTED_VALUE"""),1)</f>
        <v>1</v>
      </c>
      <c r="D8806" s="8">
        <f ca="1">IFERROR(__xludf.DUMMYFUNCTION("""COMPUTED_VALUE"""),5)</f>
        <v>5</v>
      </c>
      <c r="E8806" s="2">
        <f ca="1">IFERROR(__xludf.DUMMYFUNCTION("""COMPUTED_VALUE"""),2)</f>
        <v>2</v>
      </c>
    </row>
    <row r="8807" spans="1:5" ht="13">
      <c r="A8807" s="8" t="str">
        <f ca="1">IFERROR(__xludf.DUMMYFUNCTION("""COMPUTED_VALUE"""),"Wood, Henry")</f>
        <v>Wood, Henry</v>
      </c>
      <c r="B8807" s="2">
        <f ca="1">IFERROR(__xludf.DUMMYFUNCTION("""COMPUTED_VALUE"""),1)</f>
        <v>1</v>
      </c>
      <c r="C8807" s="7">
        <f ca="1">IFERROR(__xludf.DUMMYFUNCTION("""COMPUTED_VALUE"""),1)</f>
        <v>1</v>
      </c>
      <c r="D8807" s="8">
        <f ca="1">IFERROR(__xludf.DUMMYFUNCTION("""COMPUTED_VALUE"""),5)</f>
        <v>5</v>
      </c>
      <c r="E8807" s="2">
        <f ca="1">IFERROR(__xludf.DUMMYFUNCTION("""COMPUTED_VALUE"""),2)</f>
        <v>2</v>
      </c>
    </row>
    <row r="8808" spans="1:5" ht="13">
      <c r="A8808" s="2" t="str">
        <f ca="1">IFERROR(__xludf.DUMMYFUNCTION("""COMPUTED_VALUE"""),"Wood, Joe")</f>
        <v>Wood, Joe</v>
      </c>
      <c r="B8808" s="2">
        <f ca="1">IFERROR(__xludf.DUMMYFUNCTION("""COMPUTED_VALUE"""),1)</f>
        <v>1</v>
      </c>
      <c r="C8808" s="7">
        <f ca="1">IFERROR(__xludf.DUMMYFUNCTION("""COMPUTED_VALUE"""),1)</f>
        <v>1</v>
      </c>
      <c r="D8808" s="8">
        <f ca="1">IFERROR(__xludf.DUMMYFUNCTION("""COMPUTED_VALUE"""),5)</f>
        <v>5</v>
      </c>
      <c r="E8808" s="2">
        <f ca="1">IFERROR(__xludf.DUMMYFUNCTION("""COMPUTED_VALUE"""),2)</f>
        <v>2</v>
      </c>
    </row>
    <row r="8809" spans="1:5" ht="13">
      <c r="A8809" s="2" t="str">
        <f ca="1">IFERROR(__xludf.DUMMYFUNCTION("""COMPUTED_VALUE"""),"Wood, Joseph")</f>
        <v>Wood, Joseph</v>
      </c>
      <c r="B8809" s="2">
        <f ca="1">IFERROR(__xludf.DUMMYFUNCTION("""COMPUTED_VALUE"""),1)</f>
        <v>1</v>
      </c>
      <c r="C8809" s="2">
        <f ca="1">IFERROR(__xludf.DUMMYFUNCTION("""COMPUTED_VALUE"""),1)</f>
        <v>1</v>
      </c>
      <c r="D8809" s="8">
        <f ca="1">IFERROR(__xludf.DUMMYFUNCTION("""COMPUTED_VALUE"""),5)</f>
        <v>5</v>
      </c>
      <c r="E8809" s="2">
        <f ca="1">IFERROR(__xludf.DUMMYFUNCTION("""COMPUTED_VALUE"""),2)</f>
        <v>2</v>
      </c>
    </row>
    <row r="8810" spans="1:5" ht="13">
      <c r="A8810" s="8" t="str">
        <f ca="1">IFERROR(__xludf.DUMMYFUNCTION("""COMPUTED_VALUE"""),"Wood, Ken C.")</f>
        <v>Wood, Ken C.</v>
      </c>
      <c r="B8810" s="3">
        <f ca="1">IFERROR(__xludf.DUMMYFUNCTION("""COMPUTED_VALUE"""),1)</f>
        <v>1</v>
      </c>
      <c r="C8810" s="7">
        <f ca="1">IFERROR(__xludf.DUMMYFUNCTION("""COMPUTED_VALUE"""),1)</f>
        <v>1</v>
      </c>
      <c r="D8810" s="8">
        <f ca="1">IFERROR(__xludf.DUMMYFUNCTION("""COMPUTED_VALUE"""),1)</f>
        <v>1</v>
      </c>
      <c r="E8810" s="2">
        <f ca="1">IFERROR(__xludf.DUMMYFUNCTION("""COMPUTED_VALUE"""),1)</f>
        <v>1</v>
      </c>
    </row>
    <row r="8811" spans="1:5" ht="13">
      <c r="A8811" s="2" t="str">
        <f ca="1">IFERROR(__xludf.DUMMYFUNCTION("""COMPUTED_VALUE"""),"Wood, Mark")</f>
        <v>Wood, Mark</v>
      </c>
      <c r="B8811" s="3">
        <f ca="1">IFERROR(__xludf.DUMMYFUNCTION("""COMPUTED_VALUE"""),1)</f>
        <v>1</v>
      </c>
      <c r="C8811" s="7">
        <f ca="1">IFERROR(__xludf.DUMMYFUNCTION("""COMPUTED_VALUE"""),1)</f>
        <v>1</v>
      </c>
      <c r="D8811" s="8">
        <f ca="1">IFERROR(__xludf.DUMMYFUNCTION("""COMPUTED_VALUE"""),1)</f>
        <v>1</v>
      </c>
      <c r="E8811" s="2">
        <f ca="1">IFERROR(__xludf.DUMMYFUNCTION("""COMPUTED_VALUE"""),1)</f>
        <v>1</v>
      </c>
    </row>
    <row r="8812" spans="1:5" ht="13">
      <c r="A8812" s="2" t="str">
        <f ca="1">IFERROR(__xludf.DUMMYFUNCTION("""COMPUTED_VALUE"""),"Wood, Nigel")</f>
        <v>Wood, Nigel</v>
      </c>
      <c r="B8812" s="2">
        <f ca="1">IFERROR(__xludf.DUMMYFUNCTION("""COMPUTED_VALUE"""),1)</f>
        <v>1</v>
      </c>
      <c r="C8812" s="7">
        <f ca="1">IFERROR(__xludf.DUMMYFUNCTION("""COMPUTED_VALUE"""),1)</f>
        <v>1</v>
      </c>
      <c r="D8812" s="8">
        <f ca="1">IFERROR(__xludf.DUMMYFUNCTION("""COMPUTED_VALUE"""),1)</f>
        <v>1</v>
      </c>
      <c r="E8812" s="2">
        <f ca="1">IFERROR(__xludf.DUMMYFUNCTION("""COMPUTED_VALUE"""),1)</f>
        <v>1</v>
      </c>
    </row>
    <row r="8813" spans="1:5" ht="13">
      <c r="A8813" s="2" t="str">
        <f ca="1">IFERROR(__xludf.DUMMYFUNCTION("""COMPUTED_VALUE"""),"Wood, Phil")</f>
        <v>Wood, Phil</v>
      </c>
      <c r="B8813" s="3">
        <f ca="1">IFERROR(__xludf.DUMMYFUNCTION("""COMPUTED_VALUE"""),1)</f>
        <v>1</v>
      </c>
      <c r="C8813" s="7">
        <f ca="1">IFERROR(__xludf.DUMMYFUNCTION("""COMPUTED_VALUE"""),1)</f>
        <v>1</v>
      </c>
      <c r="D8813" s="8">
        <f ca="1">IFERROR(__xludf.DUMMYFUNCTION("""COMPUTED_VALUE"""),1)</f>
        <v>1</v>
      </c>
      <c r="E8813" s="2">
        <f ca="1">IFERROR(__xludf.DUMMYFUNCTION("""COMPUTED_VALUE"""),1)</f>
        <v>1</v>
      </c>
    </row>
    <row r="8814" spans="1:5" ht="13">
      <c r="A8814" s="8" t="str">
        <f ca="1">IFERROR(__xludf.DUMMYFUNCTION("""COMPUTED_VALUE"""),"Wood, Shannon")</f>
        <v>Wood, Shannon</v>
      </c>
      <c r="B8814" s="3">
        <f ca="1">IFERROR(__xludf.DUMMYFUNCTION("""COMPUTED_VALUE"""),1)</f>
        <v>1</v>
      </c>
      <c r="C8814" s="7">
        <f ca="1">IFERROR(__xludf.DUMMYFUNCTION("""COMPUTED_VALUE"""),1)</f>
        <v>1</v>
      </c>
      <c r="D8814" s="8">
        <f ca="1">IFERROR(__xludf.DUMMYFUNCTION("""COMPUTED_VALUE"""),1)</f>
        <v>1</v>
      </c>
      <c r="E8814" s="2">
        <f ca="1">IFERROR(__xludf.DUMMYFUNCTION("""COMPUTED_VALUE"""),1)</f>
        <v>1</v>
      </c>
    </row>
    <row r="8815" spans="1:5" ht="13">
      <c r="A8815" s="8" t="str">
        <f ca="1">IFERROR(__xludf.DUMMYFUNCTION("""COMPUTED_VALUE"""),"Wood, Thomas")</f>
        <v>Wood, Thomas</v>
      </c>
      <c r="B8815" s="3">
        <f ca="1">IFERROR(__xludf.DUMMYFUNCTION("""COMPUTED_VALUE"""),1)</f>
        <v>1</v>
      </c>
      <c r="C8815" s="7">
        <f ca="1">IFERROR(__xludf.DUMMYFUNCTION("""COMPUTED_VALUE"""),1)</f>
        <v>1</v>
      </c>
      <c r="D8815" s="8">
        <f ca="1">IFERROR(__xludf.DUMMYFUNCTION("""COMPUTED_VALUE"""),5)</f>
        <v>5</v>
      </c>
      <c r="E8815" s="2">
        <f ca="1">IFERROR(__xludf.DUMMYFUNCTION("""COMPUTED_VALUE"""),2)</f>
        <v>2</v>
      </c>
    </row>
    <row r="8816" spans="1:5" ht="13">
      <c r="A8816" s="8" t="str">
        <f ca="1">IFERROR(__xludf.DUMMYFUNCTION("""COMPUTED_VALUE"""),"Woodard, James")</f>
        <v>Woodard, James</v>
      </c>
      <c r="B8816" s="3">
        <f ca="1">IFERROR(__xludf.DUMMYFUNCTION("""COMPUTED_VALUE"""),1)</f>
        <v>1</v>
      </c>
      <c r="C8816" s="7">
        <f ca="1">IFERROR(__xludf.DUMMYFUNCTION("""COMPUTED_VALUE"""),1)</f>
        <v>1</v>
      </c>
      <c r="D8816" s="8">
        <f ca="1">IFERROR(__xludf.DUMMYFUNCTION("""COMPUTED_VALUE"""),1)</f>
        <v>1</v>
      </c>
      <c r="E8816" s="2">
        <f ca="1">IFERROR(__xludf.DUMMYFUNCTION("""COMPUTED_VALUE"""),1)</f>
        <v>1</v>
      </c>
    </row>
    <row r="8817" spans="1:5" ht="13">
      <c r="A8817" s="2" t="str">
        <f ca="1">IFERROR(__xludf.DUMMYFUNCTION("""COMPUTED_VALUE"""),"Woodbury, Isaac")</f>
        <v>Woodbury, Isaac</v>
      </c>
      <c r="B8817" s="3">
        <f ca="1">IFERROR(__xludf.DUMMYFUNCTION("""COMPUTED_VALUE"""),1)</f>
        <v>1</v>
      </c>
      <c r="C8817" s="7">
        <f ca="1">IFERROR(__xludf.DUMMYFUNCTION("""COMPUTED_VALUE"""),1)</f>
        <v>1</v>
      </c>
      <c r="D8817" s="8">
        <f ca="1">IFERROR(__xludf.DUMMYFUNCTION("""COMPUTED_VALUE"""),5)</f>
        <v>5</v>
      </c>
      <c r="E8817" s="2">
        <f ca="1">IFERROR(__xludf.DUMMYFUNCTION("""COMPUTED_VALUE"""),2)</f>
        <v>2</v>
      </c>
    </row>
    <row r="8818" spans="1:5" ht="13">
      <c r="A8818" s="2" t="str">
        <f ca="1">IFERROR(__xludf.DUMMYFUNCTION("""COMPUTED_VALUE"""),"Woodfield, Ray")</f>
        <v>Woodfield, Ray</v>
      </c>
      <c r="B8818" s="3">
        <f ca="1">IFERROR(__xludf.DUMMYFUNCTION("""COMPUTED_VALUE"""),1)</f>
        <v>1</v>
      </c>
      <c r="C8818" s="7">
        <f ca="1">IFERROR(__xludf.DUMMYFUNCTION("""COMPUTED_VALUE"""),1)</f>
        <v>1</v>
      </c>
      <c r="D8818" s="8">
        <f ca="1">IFERROR(__xludf.DUMMYFUNCTION("""COMPUTED_VALUE"""),1)</f>
        <v>1</v>
      </c>
      <c r="E8818" s="2">
        <f ca="1">IFERROR(__xludf.DUMMYFUNCTION("""COMPUTED_VALUE"""),1)</f>
        <v>1</v>
      </c>
    </row>
    <row r="8819" spans="1:5" ht="13">
      <c r="A8819" s="2" t="str">
        <f ca="1">IFERROR(__xludf.DUMMYFUNCTION("""COMPUTED_VALUE"""),"Woodhouse, Charles")</f>
        <v>Woodhouse, Charles</v>
      </c>
      <c r="B8819" s="2">
        <f ca="1">IFERROR(__xludf.DUMMYFUNCTION("""COMPUTED_VALUE"""),1)</f>
        <v>1</v>
      </c>
      <c r="C8819" s="7">
        <f ca="1">IFERROR(__xludf.DUMMYFUNCTION("""COMPUTED_VALUE"""),1)</f>
        <v>1</v>
      </c>
      <c r="D8819" s="8">
        <f ca="1">IFERROR(__xludf.DUMMYFUNCTION("""COMPUTED_VALUE"""),5)</f>
        <v>5</v>
      </c>
      <c r="E8819" s="2">
        <f ca="1">IFERROR(__xludf.DUMMYFUNCTION("""COMPUTED_VALUE"""),2)</f>
        <v>2</v>
      </c>
    </row>
    <row r="8820" spans="1:5" ht="13">
      <c r="A8820" s="2" t="str">
        <f ca="1">IFERROR(__xludf.DUMMYFUNCTION("""COMPUTED_VALUE"""),"Woodley, David")</f>
        <v>Woodley, David</v>
      </c>
      <c r="B8820" s="3">
        <f ca="1">IFERROR(__xludf.DUMMYFUNCTION("""COMPUTED_VALUE"""),1)</f>
        <v>1</v>
      </c>
      <c r="C8820" s="7">
        <f ca="1">IFERROR(__xludf.DUMMYFUNCTION("""COMPUTED_VALUE"""),1)</f>
        <v>1</v>
      </c>
      <c r="D8820" s="8">
        <f ca="1">IFERROR(__xludf.DUMMYFUNCTION("""COMPUTED_VALUE"""),5)</f>
        <v>5</v>
      </c>
      <c r="E8820" s="2">
        <f ca="1">IFERROR(__xludf.DUMMYFUNCTION("""COMPUTED_VALUE"""),2)</f>
        <v>2</v>
      </c>
    </row>
    <row r="8821" spans="1:5" ht="13">
      <c r="A8821" s="2" t="str">
        <f ca="1">IFERROR(__xludf.DUMMYFUNCTION("""COMPUTED_VALUE"""),"Woodruff, Bud")</f>
        <v>Woodruff, Bud</v>
      </c>
      <c r="B8821" s="3">
        <f ca="1">IFERROR(__xludf.DUMMYFUNCTION("""COMPUTED_VALUE"""),1)</f>
        <v>1</v>
      </c>
      <c r="C8821" s="7">
        <f ca="1">IFERROR(__xludf.DUMMYFUNCTION("""COMPUTED_VALUE"""),1)</f>
        <v>1</v>
      </c>
      <c r="D8821" s="8">
        <f ca="1">IFERROR(__xludf.DUMMYFUNCTION("""COMPUTED_VALUE"""),1)</f>
        <v>1</v>
      </c>
      <c r="E8821" s="2">
        <f ca="1">IFERROR(__xludf.DUMMYFUNCTION("""COMPUTED_VALUE"""),1)</f>
        <v>1</v>
      </c>
    </row>
    <row r="8822" spans="1:5" ht="13">
      <c r="A8822" s="2" t="str">
        <f ca="1">IFERROR(__xludf.DUMMYFUNCTION("""COMPUTED_VALUE"""),"Woods, Clarence")</f>
        <v>Woods, Clarence</v>
      </c>
      <c r="B8822" s="3">
        <f ca="1">IFERROR(__xludf.DUMMYFUNCTION("""COMPUTED_VALUE"""),1)</f>
        <v>1</v>
      </c>
      <c r="C8822" s="7">
        <f ca="1">IFERROR(__xludf.DUMMYFUNCTION("""COMPUTED_VALUE"""),1)</f>
        <v>1</v>
      </c>
      <c r="D8822" s="8">
        <f ca="1">IFERROR(__xludf.DUMMYFUNCTION("""COMPUTED_VALUE"""),5)</f>
        <v>5</v>
      </c>
      <c r="E8822" s="2">
        <f ca="1">IFERROR(__xludf.DUMMYFUNCTION("""COMPUTED_VALUE"""),2)</f>
        <v>2</v>
      </c>
    </row>
    <row r="8823" spans="1:5" ht="13">
      <c r="A8823" s="2" t="str">
        <f ca="1">IFERROR(__xludf.DUMMYFUNCTION("""COMPUTED_VALUE"""),"Woods, Harry")</f>
        <v>Woods, Harry</v>
      </c>
      <c r="B8823" s="2">
        <f ca="1">IFERROR(__xludf.DUMMYFUNCTION("""COMPUTED_VALUE"""),1)</f>
        <v>1</v>
      </c>
      <c r="C8823" s="7">
        <f ca="1">IFERROR(__xludf.DUMMYFUNCTION("""COMPUTED_VALUE"""),1)</f>
        <v>1</v>
      </c>
      <c r="D8823" s="8">
        <f ca="1">IFERROR(__xludf.DUMMYFUNCTION("""COMPUTED_VALUE"""),5)</f>
        <v>5</v>
      </c>
      <c r="E8823" s="2">
        <f ca="1">IFERROR(__xludf.DUMMYFUNCTION("""COMPUTED_VALUE"""),2)</f>
        <v>2</v>
      </c>
    </row>
    <row r="8824" spans="1:5" ht="13">
      <c r="A8824" s="2" t="str">
        <f ca="1">IFERROR(__xludf.DUMMYFUNCTION("""COMPUTED_VALUE"""),"Woods, Harry / Kahn, Gus")</f>
        <v>Woods, Harry / Kahn, Gus</v>
      </c>
      <c r="B8824" s="2">
        <f ca="1">IFERROR(__xludf.DUMMYFUNCTION("""COMPUTED_VALUE"""),1)</f>
        <v>1</v>
      </c>
      <c r="C8824" s="7">
        <f ca="1">IFERROR(__xludf.DUMMYFUNCTION("""COMPUTED_VALUE"""),1)</f>
        <v>1</v>
      </c>
      <c r="D8824" s="8">
        <f ca="1">IFERROR(__xludf.DUMMYFUNCTION("""COMPUTED_VALUE"""),5)</f>
        <v>5</v>
      </c>
      <c r="E8824" s="2">
        <f ca="1">IFERROR(__xludf.DUMMYFUNCTION("""COMPUTED_VALUE"""),2)</f>
        <v>2</v>
      </c>
    </row>
    <row r="8825" spans="1:5" ht="13">
      <c r="A8825" s="2" t="str">
        <f ca="1">IFERROR(__xludf.DUMMYFUNCTION("""COMPUTED_VALUE"""),"Woods, Phil")</f>
        <v>Woods, Phil</v>
      </c>
      <c r="B8825" s="2">
        <f ca="1">IFERROR(__xludf.DUMMYFUNCTION("""COMPUTED_VALUE"""),1)</f>
        <v>1</v>
      </c>
      <c r="C8825" s="7">
        <f ca="1">IFERROR(__xludf.DUMMYFUNCTION("""COMPUTED_VALUE"""),1)</f>
        <v>1</v>
      </c>
      <c r="D8825" s="8">
        <f ca="1">IFERROR(__xludf.DUMMYFUNCTION("""COMPUTED_VALUE"""),5)</f>
        <v>5</v>
      </c>
      <c r="E8825" s="2">
        <f ca="1">IFERROR(__xludf.DUMMYFUNCTION("""COMPUTED_VALUE"""),2)</f>
        <v>2</v>
      </c>
    </row>
    <row r="8826" spans="1:5" ht="13">
      <c r="A8826" s="2" t="str">
        <f ca="1">IFERROR(__xludf.DUMMYFUNCTION("""COMPUTED_VALUE"""),"Woods, Robert")</f>
        <v>Woods, Robert</v>
      </c>
      <c r="B8826" s="3">
        <f ca="1">IFERROR(__xludf.DUMMYFUNCTION("""COMPUTED_VALUE"""),1)</f>
        <v>1</v>
      </c>
      <c r="C8826" s="7">
        <f ca="1">IFERROR(__xludf.DUMMYFUNCTION("""COMPUTED_VALUE"""),1)</f>
        <v>1</v>
      </c>
      <c r="D8826" s="8">
        <f ca="1">IFERROR(__xludf.DUMMYFUNCTION("""COMPUTED_VALUE"""),1)</f>
        <v>1</v>
      </c>
      <c r="E8826" s="2">
        <f ca="1">IFERROR(__xludf.DUMMYFUNCTION("""COMPUTED_VALUE"""),1)</f>
        <v>1</v>
      </c>
    </row>
    <row r="8827" spans="1:5" ht="13">
      <c r="A8827" s="2" t="str">
        <f ca="1">IFERROR(__xludf.DUMMYFUNCTION("""COMPUTED_VALUE"""),"Woodward, Gregory")</f>
        <v>Woodward, Gregory</v>
      </c>
      <c r="B8827" s="3">
        <f ca="1">IFERROR(__xludf.DUMMYFUNCTION("""COMPUTED_VALUE"""),1)</f>
        <v>1</v>
      </c>
      <c r="C8827" s="7">
        <f ca="1">IFERROR(__xludf.DUMMYFUNCTION("""COMPUTED_VALUE"""),1)</f>
        <v>1</v>
      </c>
      <c r="D8827" s="8">
        <f ca="1">IFERROR(__xludf.DUMMYFUNCTION("""COMPUTED_VALUE"""),1)</f>
        <v>1</v>
      </c>
      <c r="E8827" s="2">
        <f ca="1">IFERROR(__xludf.DUMMYFUNCTION("""COMPUTED_VALUE"""),1)</f>
        <v>1</v>
      </c>
    </row>
    <row r="8828" spans="1:5" ht="13">
      <c r="A8828" s="2" t="str">
        <f ca="1">IFERROR(__xludf.DUMMYFUNCTION("""COMPUTED_VALUE"""),"Woodward, James")</f>
        <v>Woodward, James</v>
      </c>
      <c r="B8828" s="2">
        <f ca="1">IFERROR(__xludf.DUMMYFUNCTION("""COMPUTED_VALUE"""),1)</f>
        <v>1</v>
      </c>
      <c r="C8828" s="7">
        <f ca="1">IFERROR(__xludf.DUMMYFUNCTION("""COMPUTED_VALUE"""),1)</f>
        <v>1</v>
      </c>
      <c r="D8828" s="8">
        <f ca="1">IFERROR(__xludf.DUMMYFUNCTION("""COMPUTED_VALUE"""),1)</f>
        <v>1</v>
      </c>
      <c r="E8828" s="2">
        <f ca="1">IFERROR(__xludf.DUMMYFUNCTION("""COMPUTED_VALUE"""),1)</f>
        <v>1</v>
      </c>
    </row>
    <row r="8829" spans="1:5" ht="13">
      <c r="A8829" s="8" t="str">
        <f ca="1">IFERROR(__xludf.DUMMYFUNCTION("""COMPUTED_VALUE"""),"Woodworth, G. Wallace")</f>
        <v>Woodworth, G. Wallace</v>
      </c>
      <c r="B8829" s="3">
        <f ca="1">IFERROR(__xludf.DUMMYFUNCTION("""COMPUTED_VALUE"""),1)</f>
        <v>1</v>
      </c>
      <c r="C8829" s="7">
        <f ca="1">IFERROR(__xludf.DUMMYFUNCTION("""COMPUTED_VALUE"""),1)</f>
        <v>1</v>
      </c>
      <c r="D8829" s="8">
        <f ca="1">IFERROR(__xludf.DUMMYFUNCTION("""COMPUTED_VALUE"""),5)</f>
        <v>5</v>
      </c>
      <c r="E8829" s="2">
        <f ca="1">IFERROR(__xludf.DUMMYFUNCTION("""COMPUTED_VALUE"""),2)</f>
        <v>2</v>
      </c>
    </row>
    <row r="8830" spans="1:5" ht="13">
      <c r="A8830" s="2" t="str">
        <f ca="1">IFERROR(__xludf.DUMMYFUNCTION("""COMPUTED_VALUE"""),"Woolfenden, Guy")</f>
        <v>Woolfenden, Guy</v>
      </c>
      <c r="B8830" s="3">
        <f ca="1">IFERROR(__xludf.DUMMYFUNCTION("""COMPUTED_VALUE"""),1)</f>
        <v>1</v>
      </c>
      <c r="C8830" s="7">
        <f ca="1">IFERROR(__xludf.DUMMYFUNCTION("""COMPUTED_VALUE"""),1)</f>
        <v>1</v>
      </c>
      <c r="D8830" s="8">
        <f ca="1">IFERROR(__xludf.DUMMYFUNCTION("""COMPUTED_VALUE"""),5)</f>
        <v>5</v>
      </c>
      <c r="E8830" s="2">
        <f ca="1">IFERROR(__xludf.DUMMYFUNCTION("""COMPUTED_VALUE"""),2)</f>
        <v>2</v>
      </c>
    </row>
    <row r="8831" spans="1:5" ht="13">
      <c r="A8831" s="2" t="str">
        <f ca="1">IFERROR(__xludf.DUMMYFUNCTION("""COMPUTED_VALUE"""),"Woolstenhulme, Jeremy")</f>
        <v>Woolstenhulme, Jeremy</v>
      </c>
      <c r="B8831" s="3">
        <f ca="1">IFERROR(__xludf.DUMMYFUNCTION("""COMPUTED_VALUE"""),1)</f>
        <v>1</v>
      </c>
      <c r="C8831" s="7">
        <f ca="1">IFERROR(__xludf.DUMMYFUNCTION("""COMPUTED_VALUE"""),1)</f>
        <v>1</v>
      </c>
      <c r="D8831" s="8">
        <f ca="1">IFERROR(__xludf.DUMMYFUNCTION("""COMPUTED_VALUE"""),1)</f>
        <v>1</v>
      </c>
      <c r="E8831" s="2">
        <f ca="1">IFERROR(__xludf.DUMMYFUNCTION("""COMPUTED_VALUE"""),1)</f>
        <v>1</v>
      </c>
    </row>
    <row r="8832" spans="1:5" ht="13">
      <c r="A8832" s="2" t="str">
        <f ca="1">IFERROR(__xludf.DUMMYFUNCTION("""COMPUTED_VALUE"""),"Worden, Andrew")</f>
        <v>Worden, Andrew</v>
      </c>
      <c r="B8832" s="3">
        <f ca="1">IFERROR(__xludf.DUMMYFUNCTION("""COMPUTED_VALUE"""),1)</f>
        <v>1</v>
      </c>
      <c r="C8832" s="7">
        <f ca="1">IFERROR(__xludf.DUMMYFUNCTION("""COMPUTED_VALUE"""),1)</f>
        <v>1</v>
      </c>
      <c r="D8832" s="8">
        <f ca="1">IFERROR(__xludf.DUMMYFUNCTION("""COMPUTED_VALUE"""),1)</f>
        <v>1</v>
      </c>
      <c r="E8832" s="2">
        <f ca="1">IFERROR(__xludf.DUMMYFUNCTION("""COMPUTED_VALUE"""),1)</f>
        <v>1</v>
      </c>
    </row>
    <row r="8833" spans="1:5" ht="13">
      <c r="A8833" s="2" t="str">
        <f ca="1">IFERROR(__xludf.DUMMYFUNCTION("""COMPUTED_VALUE"""),"Worden, Drew")</f>
        <v>Worden, Drew</v>
      </c>
      <c r="B8833" s="3">
        <f ca="1">IFERROR(__xludf.DUMMYFUNCTION("""COMPUTED_VALUE"""),1)</f>
        <v>1</v>
      </c>
      <c r="C8833" s="7">
        <f ca="1">IFERROR(__xludf.DUMMYFUNCTION("""COMPUTED_VALUE"""),1)</f>
        <v>1</v>
      </c>
      <c r="D8833" s="8">
        <f ca="1">IFERROR(__xludf.DUMMYFUNCTION("""COMPUTED_VALUE"""),1)</f>
        <v>1</v>
      </c>
      <c r="E8833" s="2">
        <f ca="1">IFERROR(__xludf.DUMMYFUNCTION("""COMPUTED_VALUE"""),1)</f>
        <v>1</v>
      </c>
    </row>
    <row r="8834" spans="1:5" ht="13">
      <c r="A8834" s="8" t="str">
        <f ca="1">IFERROR(__xludf.DUMMYFUNCTION("""COMPUTED_VALUE"""),"Work, Henry Clay")</f>
        <v>Work, Henry Clay</v>
      </c>
      <c r="B8834" s="3">
        <f ca="1">IFERROR(__xludf.DUMMYFUNCTION("""COMPUTED_VALUE"""),1)</f>
        <v>1</v>
      </c>
      <c r="C8834" s="7">
        <f ca="1">IFERROR(__xludf.DUMMYFUNCTION("""COMPUTED_VALUE"""),1)</f>
        <v>1</v>
      </c>
      <c r="D8834" s="8">
        <f ca="1">IFERROR(__xludf.DUMMYFUNCTION("""COMPUTED_VALUE"""),5)</f>
        <v>5</v>
      </c>
      <c r="E8834" s="2">
        <f ca="1">IFERROR(__xludf.DUMMYFUNCTION("""COMPUTED_VALUE"""),2)</f>
        <v>2</v>
      </c>
    </row>
    <row r="8835" spans="1:5" ht="13">
      <c r="A8835" s="2" t="str">
        <f ca="1">IFERROR(__xludf.DUMMYFUNCTION("""COMPUTED_VALUE"""),"Work, Julian")</f>
        <v>Work, Julian</v>
      </c>
      <c r="B8835" s="3">
        <f ca="1">IFERROR(__xludf.DUMMYFUNCTION("""COMPUTED_VALUE"""),1)</f>
        <v>1</v>
      </c>
      <c r="C8835" s="7">
        <f ca="1">IFERROR(__xludf.DUMMYFUNCTION("""COMPUTED_VALUE"""),1)</f>
        <v>1</v>
      </c>
      <c r="D8835" s="8">
        <f ca="1">IFERROR(__xludf.DUMMYFUNCTION("""COMPUTED_VALUE"""),5)</f>
        <v>5</v>
      </c>
      <c r="E8835" s="2">
        <f ca="1">IFERROR(__xludf.DUMMYFUNCTION("""COMPUTED_VALUE"""),2)</f>
        <v>2</v>
      </c>
    </row>
    <row r="8836" spans="1:5" ht="13">
      <c r="A8836" s="2" t="str">
        <f ca="1">IFERROR(__xludf.DUMMYFUNCTION("""COMPUTED_VALUE"""),"Worrell, Bill")</f>
        <v>Worrell, Bill</v>
      </c>
      <c r="B8836" s="3">
        <f ca="1">IFERROR(__xludf.DUMMYFUNCTION("""COMPUTED_VALUE"""),1)</f>
        <v>1</v>
      </c>
      <c r="C8836" s="7">
        <f ca="1">IFERROR(__xludf.DUMMYFUNCTION("""COMPUTED_VALUE"""),1)</f>
        <v>1</v>
      </c>
      <c r="D8836" s="8">
        <f ca="1">IFERROR(__xludf.DUMMYFUNCTION("""COMPUTED_VALUE"""),1)</f>
        <v>1</v>
      </c>
      <c r="E8836" s="2">
        <f ca="1">IFERROR(__xludf.DUMMYFUNCTION("""COMPUTED_VALUE"""),1)</f>
        <v>1</v>
      </c>
    </row>
    <row r="8837" spans="1:5" ht="13">
      <c r="A8837" s="8" t="str">
        <f ca="1">IFERROR(__xludf.DUMMYFUNCTION("""COMPUTED_VALUE"""),"Worsham, Lud")</f>
        <v>Worsham, Lud</v>
      </c>
      <c r="B8837" s="3">
        <f ca="1">IFERROR(__xludf.DUMMYFUNCTION("""COMPUTED_VALUE"""),1)</f>
        <v>1</v>
      </c>
      <c r="C8837" s="7">
        <f ca="1">IFERROR(__xludf.DUMMYFUNCTION("""COMPUTED_VALUE"""),1)</f>
        <v>1</v>
      </c>
      <c r="D8837" s="8">
        <f ca="1">IFERROR(__xludf.DUMMYFUNCTION("""COMPUTED_VALUE"""),5)</f>
        <v>5</v>
      </c>
      <c r="E8837" s="2">
        <f ca="1">IFERROR(__xludf.DUMMYFUNCTION("""COMPUTED_VALUE"""),2)</f>
        <v>2</v>
      </c>
    </row>
    <row r="8838" spans="1:5" ht="13">
      <c r="A8838" s="2" t="str">
        <f ca="1">IFERROR(__xludf.DUMMYFUNCTION("""COMPUTED_VALUE"""),"Wranitzky, Paul")</f>
        <v>Wranitzky, Paul</v>
      </c>
      <c r="B8838" s="3">
        <f ca="1">IFERROR(__xludf.DUMMYFUNCTION("""COMPUTED_VALUE"""),1)</f>
        <v>1</v>
      </c>
      <c r="C8838" s="7">
        <f ca="1">IFERROR(__xludf.DUMMYFUNCTION("""COMPUTED_VALUE"""),1)</f>
        <v>1</v>
      </c>
      <c r="D8838" s="8">
        <f ca="1">IFERROR(__xludf.DUMMYFUNCTION("""COMPUTED_VALUE"""),5)</f>
        <v>5</v>
      </c>
      <c r="E8838" s="2">
        <f ca="1">IFERROR(__xludf.DUMMYFUNCTION("""COMPUTED_VALUE"""),2)</f>
        <v>2</v>
      </c>
    </row>
    <row r="8839" spans="1:5" ht="13">
      <c r="A8839" s="2" t="str">
        <f ca="1">IFERROR(__xludf.DUMMYFUNCTION("""COMPUTED_VALUE"""),"Wright, David")</f>
        <v>Wright, David</v>
      </c>
      <c r="B8839" s="3">
        <f ca="1">IFERROR(__xludf.DUMMYFUNCTION("""COMPUTED_VALUE"""),1)</f>
        <v>1</v>
      </c>
      <c r="C8839" s="7">
        <f ca="1">IFERROR(__xludf.DUMMYFUNCTION("""COMPUTED_VALUE"""),1)</f>
        <v>1</v>
      </c>
      <c r="D8839" s="8">
        <f ca="1">IFERROR(__xludf.DUMMYFUNCTION("""COMPUTED_VALUE"""),1)</f>
        <v>1</v>
      </c>
      <c r="E8839" s="2">
        <f ca="1">IFERROR(__xludf.DUMMYFUNCTION("""COMPUTED_VALUE"""),1)</f>
        <v>1</v>
      </c>
    </row>
    <row r="8840" spans="1:5" ht="13">
      <c r="A8840" s="2" t="str">
        <f ca="1">IFERROR(__xludf.DUMMYFUNCTION("""COMPUTED_VALUE"""),"Wright, David / Drown, Darin")</f>
        <v>Wright, David / Drown, Darin</v>
      </c>
      <c r="B8840" s="3">
        <f ca="1">IFERROR(__xludf.DUMMYFUNCTION("""COMPUTED_VALUE"""),1)</f>
        <v>1</v>
      </c>
      <c r="C8840" s="7">
        <f ca="1">IFERROR(__xludf.DUMMYFUNCTION("""COMPUTED_VALUE"""),1)</f>
        <v>1</v>
      </c>
      <c r="D8840" s="8">
        <f ca="1">IFERROR(__xludf.DUMMYFUNCTION("""COMPUTED_VALUE"""),1)</f>
        <v>1</v>
      </c>
      <c r="E8840" s="2">
        <f ca="1">IFERROR(__xludf.DUMMYFUNCTION("""COMPUTED_VALUE"""),1)</f>
        <v>1</v>
      </c>
    </row>
    <row r="8841" spans="1:5" ht="13">
      <c r="A8841" s="2" t="str">
        <f ca="1">IFERROR(__xludf.DUMMYFUNCTION("""COMPUTED_VALUE"""),"Wright, Denis")</f>
        <v>Wright, Denis</v>
      </c>
      <c r="B8841" s="3">
        <f ca="1">IFERROR(__xludf.DUMMYFUNCTION("""COMPUTED_VALUE"""),1)</f>
        <v>1</v>
      </c>
      <c r="C8841" s="7">
        <f ca="1">IFERROR(__xludf.DUMMYFUNCTION("""COMPUTED_VALUE"""),1)</f>
        <v>1</v>
      </c>
      <c r="D8841" s="8">
        <f ca="1">IFERROR(__xludf.DUMMYFUNCTION("""COMPUTED_VALUE"""),5)</f>
        <v>5</v>
      </c>
      <c r="E8841" s="2">
        <f ca="1">IFERROR(__xludf.DUMMYFUNCTION("""COMPUTED_VALUE"""),2)</f>
        <v>2</v>
      </c>
    </row>
    <row r="8842" spans="1:5" ht="13">
      <c r="A8842" s="2" t="str">
        <f ca="1">IFERROR(__xludf.DUMMYFUNCTION("""COMPUTED_VALUE"""),"Wright, M. Searle")</f>
        <v>Wright, M. Searle</v>
      </c>
      <c r="B8842" s="3">
        <f ca="1">IFERROR(__xludf.DUMMYFUNCTION("""COMPUTED_VALUE"""),1)</f>
        <v>1</v>
      </c>
      <c r="C8842" s="7">
        <f ca="1">IFERROR(__xludf.DUMMYFUNCTION("""COMPUTED_VALUE"""),1)</f>
        <v>1</v>
      </c>
      <c r="D8842" s="8">
        <f ca="1">IFERROR(__xludf.DUMMYFUNCTION("""COMPUTED_VALUE"""),5)</f>
        <v>5</v>
      </c>
      <c r="E8842" s="2">
        <f ca="1">IFERROR(__xludf.DUMMYFUNCTION("""COMPUTED_VALUE"""),2)</f>
        <v>2</v>
      </c>
    </row>
    <row r="8843" spans="1:5" ht="13">
      <c r="A8843" s="2" t="str">
        <f ca="1">IFERROR(__xludf.DUMMYFUNCTION("""COMPUTED_VALUE"""),"Wright, Maurice")</f>
        <v>Wright, Maurice</v>
      </c>
      <c r="B8843" s="3">
        <f ca="1">IFERROR(__xludf.DUMMYFUNCTION("""COMPUTED_VALUE"""),1)</f>
        <v>1</v>
      </c>
      <c r="C8843" s="7">
        <f ca="1">IFERROR(__xludf.DUMMYFUNCTION("""COMPUTED_VALUE"""),1)</f>
        <v>1</v>
      </c>
      <c r="D8843" s="8">
        <f ca="1">IFERROR(__xludf.DUMMYFUNCTION("""COMPUTED_VALUE"""),5)</f>
        <v>5</v>
      </c>
      <c r="E8843" s="2">
        <f ca="1">IFERROR(__xludf.DUMMYFUNCTION("""COMPUTED_VALUE"""),2)</f>
        <v>2</v>
      </c>
    </row>
    <row r="8844" spans="1:5" ht="13">
      <c r="A8844" s="2" t="str">
        <f ca="1">IFERROR(__xludf.DUMMYFUNCTION("""COMPUTED_VALUE"""),"Wright, Robert / Forrest, George")</f>
        <v>Wright, Robert / Forrest, George</v>
      </c>
      <c r="B8844" s="2">
        <f ca="1">IFERROR(__xludf.DUMMYFUNCTION("""COMPUTED_VALUE"""),1)</f>
        <v>1</v>
      </c>
      <c r="C8844" s="7">
        <f ca="1">IFERROR(__xludf.DUMMYFUNCTION("""COMPUTED_VALUE"""),1)</f>
        <v>1</v>
      </c>
      <c r="D8844" s="8">
        <f ca="1">IFERROR(__xludf.DUMMYFUNCTION("""COMPUTED_VALUE"""),5)</f>
        <v>5</v>
      </c>
      <c r="E8844" s="2">
        <f ca="1">IFERROR(__xludf.DUMMYFUNCTION("""COMPUTED_VALUE"""),2)</f>
        <v>2</v>
      </c>
    </row>
    <row r="8845" spans="1:5" ht="13">
      <c r="A8845" s="2" t="str">
        <f ca="1">IFERROR(__xludf.DUMMYFUNCTION("""COMPUTED_VALUE"""),"Wright, Steve")</f>
        <v>Wright, Steve</v>
      </c>
      <c r="B8845" s="3">
        <f ca="1">IFERROR(__xludf.DUMMYFUNCTION("""COMPUTED_VALUE"""),1)</f>
        <v>1</v>
      </c>
      <c r="C8845" s="7">
        <f ca="1">IFERROR(__xludf.DUMMYFUNCTION("""COMPUTED_VALUE"""),1)</f>
        <v>1</v>
      </c>
      <c r="D8845" s="8">
        <f ca="1">IFERROR(__xludf.DUMMYFUNCTION("""COMPUTED_VALUE"""),1)</f>
        <v>1</v>
      </c>
      <c r="E8845" s="2">
        <f ca="1">IFERROR(__xludf.DUMMYFUNCTION("""COMPUTED_VALUE"""),1)</f>
        <v>1</v>
      </c>
    </row>
    <row r="8846" spans="1:5" ht="13">
      <c r="A8846" s="2" t="str">
        <f ca="1">IFERROR(__xludf.DUMMYFUNCTION("""COMPUTED_VALUE"""),"Wrubel, Allie / Gilbert, Ray")</f>
        <v>Wrubel, Allie / Gilbert, Ray</v>
      </c>
      <c r="B8846" s="2">
        <f ca="1">IFERROR(__xludf.DUMMYFUNCTION("""COMPUTED_VALUE"""),1)</f>
        <v>1</v>
      </c>
      <c r="C8846" s="7">
        <f ca="1">IFERROR(__xludf.DUMMYFUNCTION("""COMPUTED_VALUE"""),1)</f>
        <v>1</v>
      </c>
      <c r="D8846" s="8">
        <f ca="1">IFERROR(__xludf.DUMMYFUNCTION("""COMPUTED_VALUE"""),5)</f>
        <v>5</v>
      </c>
      <c r="E8846" s="2">
        <f ca="1">IFERROR(__xludf.DUMMYFUNCTION("""COMPUTED_VALUE"""),2)</f>
        <v>2</v>
      </c>
    </row>
    <row r="8847" spans="1:5" ht="13">
      <c r="A8847" s="2" t="str">
        <f ca="1">IFERROR(__xludf.DUMMYFUNCTION("""COMPUTED_VALUE"""),"Wuorinen, Charles")</f>
        <v>Wuorinen, Charles</v>
      </c>
      <c r="B8847" s="3">
        <f ca="1">IFERROR(__xludf.DUMMYFUNCTION("""COMPUTED_VALUE"""),1)</f>
        <v>1</v>
      </c>
      <c r="C8847" s="7">
        <f ca="1">IFERROR(__xludf.DUMMYFUNCTION("""COMPUTED_VALUE"""),1)</f>
        <v>1</v>
      </c>
      <c r="D8847" s="8">
        <f ca="1">IFERROR(__xludf.DUMMYFUNCTION("""COMPUTED_VALUE"""),5)</f>
        <v>5</v>
      </c>
      <c r="E8847" s="2">
        <f ca="1">IFERROR(__xludf.DUMMYFUNCTION("""COMPUTED_VALUE"""),2)</f>
        <v>2</v>
      </c>
    </row>
    <row r="8848" spans="1:5" ht="13">
      <c r="A8848" s="8" t="str">
        <f ca="1">IFERROR(__xludf.DUMMYFUNCTION("""COMPUTED_VALUE"""),"Wyatt, Lorre")</f>
        <v>Wyatt, Lorre</v>
      </c>
      <c r="B8848" s="3">
        <f ca="1">IFERROR(__xludf.DUMMYFUNCTION("""COMPUTED_VALUE"""),1)</f>
        <v>1</v>
      </c>
      <c r="C8848" s="7">
        <f ca="1">IFERROR(__xludf.DUMMYFUNCTION("""COMPUTED_VALUE"""),1)</f>
        <v>1</v>
      </c>
      <c r="D8848" s="8">
        <f ca="1">IFERROR(__xludf.DUMMYFUNCTION("""COMPUTED_VALUE"""),1)</f>
        <v>1</v>
      </c>
      <c r="E8848" s="2">
        <f ca="1">IFERROR(__xludf.DUMMYFUNCTION("""COMPUTED_VALUE"""),1)</f>
        <v>1</v>
      </c>
    </row>
    <row r="8849" spans="1:5" ht="13">
      <c r="A8849" s="2" t="str">
        <f ca="1">IFERROR(__xludf.DUMMYFUNCTION("""COMPUTED_VALUE"""),"Wyche, C. Thomas")</f>
        <v>Wyche, C. Thomas</v>
      </c>
      <c r="B8849" s="3">
        <f ca="1">IFERROR(__xludf.DUMMYFUNCTION("""COMPUTED_VALUE"""),1)</f>
        <v>1</v>
      </c>
      <c r="C8849" s="7">
        <f ca="1">IFERROR(__xludf.DUMMYFUNCTION("""COMPUTED_VALUE"""),1)</f>
        <v>1</v>
      </c>
      <c r="D8849" s="8">
        <f ca="1">IFERROR(__xludf.DUMMYFUNCTION("""COMPUTED_VALUE"""),5)</f>
        <v>5</v>
      </c>
      <c r="E8849" s="2">
        <f ca="1">IFERROR(__xludf.DUMMYFUNCTION("""COMPUTED_VALUE"""),2)</f>
        <v>2</v>
      </c>
    </row>
    <row r="8850" spans="1:5" ht="13">
      <c r="A8850" s="2" t="str">
        <f ca="1">IFERROR(__xludf.DUMMYFUNCTION("""COMPUTED_VALUE"""),"Wycisk, Kurt")</f>
        <v>Wycisk, Kurt</v>
      </c>
      <c r="B8850" s="3">
        <f ca="1">IFERROR(__xludf.DUMMYFUNCTION("""COMPUTED_VALUE"""),1)</f>
        <v>1</v>
      </c>
      <c r="C8850" s="7">
        <f ca="1">IFERROR(__xludf.DUMMYFUNCTION("""COMPUTED_VALUE"""),1)</f>
        <v>1</v>
      </c>
      <c r="D8850" s="8">
        <f ca="1">IFERROR(__xludf.DUMMYFUNCTION("""COMPUTED_VALUE"""),5)</f>
        <v>5</v>
      </c>
      <c r="E8850" s="2">
        <f ca="1">IFERROR(__xludf.DUMMYFUNCTION("""COMPUTED_VALUE"""),2)</f>
        <v>2</v>
      </c>
    </row>
    <row r="8851" spans="1:5" ht="13">
      <c r="A8851" s="2" t="str">
        <f ca="1">IFERROR(__xludf.DUMMYFUNCTION("""COMPUTED_VALUE"""),"Wyeth, John")</f>
        <v>Wyeth, John</v>
      </c>
      <c r="B8851" s="2">
        <f ca="1">IFERROR(__xludf.DUMMYFUNCTION("""COMPUTED_VALUE"""),1)</f>
        <v>1</v>
      </c>
      <c r="C8851" s="7">
        <f ca="1">IFERROR(__xludf.DUMMYFUNCTION("""COMPUTED_VALUE"""),1)</f>
        <v>1</v>
      </c>
      <c r="D8851" s="8">
        <f ca="1">IFERROR(__xludf.DUMMYFUNCTION("""COMPUTED_VALUE"""),5)</f>
        <v>5</v>
      </c>
      <c r="E8851" s="2">
        <f ca="1">IFERROR(__xludf.DUMMYFUNCTION("""COMPUTED_VALUE"""),2)</f>
        <v>2</v>
      </c>
    </row>
    <row r="8852" spans="1:5" ht="13">
      <c r="A8852" s="2" t="str">
        <f ca="1">IFERROR(__xludf.DUMMYFUNCTION("""COMPUTED_VALUE"""),"Wykoff, John")</f>
        <v>Wykoff, John</v>
      </c>
      <c r="B8852" s="2">
        <f ca="1">IFERROR(__xludf.DUMMYFUNCTION("""COMPUTED_VALUE"""),1)</f>
        <v>1</v>
      </c>
      <c r="C8852" s="7">
        <f ca="1">IFERROR(__xludf.DUMMYFUNCTION("""COMPUTED_VALUE"""),1)</f>
        <v>1</v>
      </c>
      <c r="D8852" s="8">
        <f ca="1">IFERROR(__xludf.DUMMYFUNCTION("""COMPUTED_VALUE"""),1)</f>
        <v>1</v>
      </c>
      <c r="E8852" s="2">
        <f ca="1">IFERROR(__xludf.DUMMYFUNCTION("""COMPUTED_VALUE"""),1)</f>
        <v>1</v>
      </c>
    </row>
    <row r="8853" spans="1:5" ht="13">
      <c r="A8853" s="2" t="str">
        <f ca="1">IFERROR(__xludf.DUMMYFUNCTION("""COMPUTED_VALUE"""),"Wylie, Kennan")</f>
        <v>Wylie, Kennan</v>
      </c>
      <c r="B8853" s="3">
        <f ca="1">IFERROR(__xludf.DUMMYFUNCTION("""COMPUTED_VALUE"""),1)</f>
        <v>1</v>
      </c>
      <c r="C8853" s="7">
        <f ca="1">IFERROR(__xludf.DUMMYFUNCTION("""COMPUTED_VALUE"""),1)</f>
        <v>1</v>
      </c>
      <c r="D8853" s="8">
        <f ca="1">IFERROR(__xludf.DUMMYFUNCTION("""COMPUTED_VALUE"""),1)</f>
        <v>1</v>
      </c>
      <c r="E8853" s="2">
        <f ca="1">IFERROR(__xludf.DUMMYFUNCTION("""COMPUTED_VALUE"""),1)</f>
        <v>1</v>
      </c>
    </row>
    <row r="8854" spans="1:5" ht="13">
      <c r="A8854" s="2" t="str">
        <f ca="1">IFERROR(__xludf.DUMMYFUNCTION("""COMPUTED_VALUE"""),"Wyner, Yehudi")</f>
        <v>Wyner, Yehudi</v>
      </c>
      <c r="B8854" s="3">
        <f ca="1">IFERROR(__xludf.DUMMYFUNCTION("""COMPUTED_VALUE"""),1)</f>
        <v>1</v>
      </c>
      <c r="C8854" s="7">
        <f ca="1">IFERROR(__xludf.DUMMYFUNCTION("""COMPUTED_VALUE"""),1)</f>
        <v>1</v>
      </c>
      <c r="D8854" s="8">
        <f ca="1">IFERROR(__xludf.DUMMYFUNCTION("""COMPUTED_VALUE"""),1)</f>
        <v>1</v>
      </c>
      <c r="E8854" s="2">
        <f ca="1">IFERROR(__xludf.DUMMYFUNCTION("""COMPUTED_VALUE"""),1)</f>
        <v>1</v>
      </c>
    </row>
    <row r="8855" spans="1:5" ht="13">
      <c r="A8855" s="2" t="str">
        <f ca="1">IFERROR(__xludf.DUMMYFUNCTION("""COMPUTED_VALUE"""),"Xenakis, Iannis")</f>
        <v>Xenakis, Iannis</v>
      </c>
      <c r="B8855" s="3">
        <f ca="1">IFERROR(__xludf.DUMMYFUNCTION("""COMPUTED_VALUE"""),1)</f>
        <v>1</v>
      </c>
      <c r="C8855" s="7">
        <f ca="1">IFERROR(__xludf.DUMMYFUNCTION("""COMPUTED_VALUE"""),1)</f>
        <v>1</v>
      </c>
      <c r="D8855" s="8">
        <f ca="1">IFERROR(__xludf.DUMMYFUNCTION("""COMPUTED_VALUE"""),5)</f>
        <v>5</v>
      </c>
      <c r="E8855" s="2">
        <f ca="1">IFERROR(__xludf.DUMMYFUNCTION("""COMPUTED_VALUE"""),2)</f>
        <v>2</v>
      </c>
    </row>
    <row r="8856" spans="1:5" ht="13">
      <c r="A8856" s="8" t="str">
        <f ca="1">IFERROR(__xludf.DUMMYFUNCTION("""COMPUTED_VALUE"""),"Yagerline, Jack")</f>
        <v>Yagerline, Jack</v>
      </c>
      <c r="B8856" s="3">
        <f ca="1">IFERROR(__xludf.DUMMYFUNCTION("""COMPUTED_VALUE"""),1)</f>
        <v>1</v>
      </c>
      <c r="C8856" s="7">
        <f ca="1">IFERROR(__xludf.DUMMYFUNCTION("""COMPUTED_VALUE"""),1)</f>
        <v>1</v>
      </c>
      <c r="D8856" s="8">
        <f ca="1">IFERROR(__xludf.DUMMYFUNCTION("""COMPUTED_VALUE"""),1)</f>
        <v>1</v>
      </c>
      <c r="E8856" s="2">
        <f ca="1">IFERROR(__xludf.DUMMYFUNCTION("""COMPUTED_VALUE"""),1)</f>
        <v>1</v>
      </c>
    </row>
    <row r="8857" spans="1:5" ht="13">
      <c r="A8857" s="2" t="str">
        <f ca="1">IFERROR(__xludf.DUMMYFUNCTION("""COMPUTED_VALUE"""),"Yakub, Roman")</f>
        <v>Yakub, Roman</v>
      </c>
      <c r="B8857" s="3">
        <f ca="1">IFERROR(__xludf.DUMMYFUNCTION("""COMPUTED_VALUE"""),1)</f>
        <v>1</v>
      </c>
      <c r="C8857" s="7">
        <f ca="1">IFERROR(__xludf.DUMMYFUNCTION("""COMPUTED_VALUE"""),1)</f>
        <v>1</v>
      </c>
      <c r="D8857" s="8">
        <f ca="1">IFERROR(__xludf.DUMMYFUNCTION("""COMPUTED_VALUE"""),1)</f>
        <v>1</v>
      </c>
      <c r="E8857" s="2">
        <f ca="1">IFERROR(__xludf.DUMMYFUNCTION("""COMPUTED_VALUE"""),1)</f>
        <v>1</v>
      </c>
    </row>
    <row r="8858" spans="1:5" ht="13">
      <c r="A8858" s="2" t="str">
        <f ca="1">IFERROR(__xludf.DUMMYFUNCTION("""COMPUTED_VALUE"""),"Yale, Danny")</f>
        <v>Yale, Danny</v>
      </c>
      <c r="B8858" s="3">
        <f ca="1">IFERROR(__xludf.DUMMYFUNCTION("""COMPUTED_VALUE"""),1)</f>
        <v>1</v>
      </c>
      <c r="C8858" s="7">
        <f ca="1">IFERROR(__xludf.DUMMYFUNCTION("""COMPUTED_VALUE"""),1)</f>
        <v>1</v>
      </c>
      <c r="D8858" s="8">
        <f ca="1">IFERROR(__xludf.DUMMYFUNCTION("""COMPUTED_VALUE"""),5)</f>
        <v>5</v>
      </c>
      <c r="E8858" s="2">
        <f ca="1">IFERROR(__xludf.DUMMYFUNCTION("""COMPUTED_VALUE"""),2)</f>
        <v>2</v>
      </c>
    </row>
    <row r="8859" spans="1:5" ht="13">
      <c r="A8859" s="2" t="str">
        <f ca="1">IFERROR(__xludf.DUMMYFUNCTION("""COMPUTED_VALUE"""),"Yan, Pietro")</f>
        <v>Yan, Pietro</v>
      </c>
      <c r="B8859" s="3">
        <f ca="1">IFERROR(__xludf.DUMMYFUNCTION("""COMPUTED_VALUE"""),1)</f>
        <v>1</v>
      </c>
      <c r="C8859" s="7">
        <f ca="1">IFERROR(__xludf.DUMMYFUNCTION("""COMPUTED_VALUE"""),1)</f>
        <v>1</v>
      </c>
      <c r="D8859" s="8">
        <f ca="1">IFERROR(__xludf.DUMMYFUNCTION("""COMPUTED_VALUE"""),5)</f>
        <v>5</v>
      </c>
      <c r="E8859" s="2">
        <f ca="1">IFERROR(__xludf.DUMMYFUNCTION("""COMPUTED_VALUE"""),2)</f>
        <v>2</v>
      </c>
    </row>
    <row r="8860" spans="1:5" ht="13">
      <c r="A8860" s="8" t="str">
        <f ca="1">IFERROR(__xludf.DUMMYFUNCTION("""COMPUTED_VALUE"""),"Yannerella, Charles")</f>
        <v>Yannerella, Charles</v>
      </c>
      <c r="B8860" s="3">
        <f ca="1">IFERROR(__xludf.DUMMYFUNCTION("""COMPUTED_VALUE"""),1)</f>
        <v>1</v>
      </c>
      <c r="C8860" s="7">
        <f ca="1">IFERROR(__xludf.DUMMYFUNCTION("""COMPUTED_VALUE"""),1)</f>
        <v>1</v>
      </c>
      <c r="D8860" s="8">
        <f ca="1">IFERROR(__xludf.DUMMYFUNCTION("""COMPUTED_VALUE"""),1)</f>
        <v>1</v>
      </c>
      <c r="E8860" s="2">
        <f ca="1">IFERROR(__xludf.DUMMYFUNCTION("""COMPUTED_VALUE"""),1)</f>
        <v>1</v>
      </c>
    </row>
    <row r="8861" spans="1:5" ht="13">
      <c r="A8861" s="2" t="str">
        <f ca="1">IFERROR(__xludf.DUMMYFUNCTION("""COMPUTED_VALUE"""),"Yarbrough, Stephen")</f>
        <v>Yarbrough, Stephen</v>
      </c>
      <c r="B8861" s="3">
        <f ca="1">IFERROR(__xludf.DUMMYFUNCTION("""COMPUTED_VALUE"""),1)</f>
        <v>1</v>
      </c>
      <c r="C8861" s="7">
        <f ca="1">IFERROR(__xludf.DUMMYFUNCTION("""COMPUTED_VALUE"""),1)</f>
        <v>1</v>
      </c>
      <c r="D8861" s="8">
        <f ca="1">IFERROR(__xludf.DUMMYFUNCTION("""COMPUTED_VALUE"""),1)</f>
        <v>1</v>
      </c>
      <c r="E8861" s="2">
        <f ca="1">IFERROR(__xludf.DUMMYFUNCTION("""COMPUTED_VALUE"""),1)</f>
        <v>1</v>
      </c>
    </row>
    <row r="8862" spans="1:5" ht="13">
      <c r="A8862" s="8" t="str">
        <f ca="1">IFERROR(__xludf.DUMMYFUNCTION("""COMPUTED_VALUE"""),"Yardumian, Richard")</f>
        <v>Yardumian, Richard</v>
      </c>
      <c r="B8862" s="3">
        <f ca="1">IFERROR(__xludf.DUMMYFUNCTION("""COMPUTED_VALUE"""),1)</f>
        <v>1</v>
      </c>
      <c r="C8862" s="7">
        <f ca="1">IFERROR(__xludf.DUMMYFUNCTION("""COMPUTED_VALUE"""),1)</f>
        <v>1</v>
      </c>
      <c r="D8862" s="8">
        <f ca="1">IFERROR(__xludf.DUMMYFUNCTION("""COMPUTED_VALUE"""),5)</f>
        <v>5</v>
      </c>
      <c r="E8862" s="2">
        <f ca="1">IFERROR(__xludf.DUMMYFUNCTION("""COMPUTED_VALUE"""),2)</f>
        <v>2</v>
      </c>
    </row>
    <row r="8863" spans="1:5" ht="13">
      <c r="A8863" s="2" t="str">
        <f ca="1">IFERROR(__xludf.DUMMYFUNCTION("""COMPUTED_VALUE"""),"Yasinitsky, Greg")</f>
        <v>Yasinitsky, Greg</v>
      </c>
      <c r="B8863" s="2">
        <f ca="1">IFERROR(__xludf.DUMMYFUNCTION("""COMPUTED_VALUE"""),1)</f>
        <v>1</v>
      </c>
      <c r="C8863" s="7">
        <f ca="1">IFERROR(__xludf.DUMMYFUNCTION("""COMPUTED_VALUE"""),1)</f>
        <v>1</v>
      </c>
      <c r="D8863" s="8">
        <f ca="1">IFERROR(__xludf.DUMMYFUNCTION("""COMPUTED_VALUE"""),1)</f>
        <v>1</v>
      </c>
      <c r="E8863" s="2">
        <f ca="1">IFERROR(__xludf.DUMMYFUNCTION("""COMPUTED_VALUE"""),1)</f>
        <v>1</v>
      </c>
    </row>
    <row r="8864" spans="1:5" ht="13">
      <c r="A8864" s="2" t="str">
        <f ca="1">IFERROR(__xludf.DUMMYFUNCTION("""COMPUTED_VALUE"""),"Yasinitsky, Gregory")</f>
        <v>Yasinitsky, Gregory</v>
      </c>
      <c r="B8864" s="3">
        <f ca="1">IFERROR(__xludf.DUMMYFUNCTION("""COMPUTED_VALUE"""),1)</f>
        <v>1</v>
      </c>
      <c r="C8864" s="7">
        <f ca="1">IFERROR(__xludf.DUMMYFUNCTION("""COMPUTED_VALUE"""),1)</f>
        <v>1</v>
      </c>
      <c r="D8864" s="8">
        <f ca="1">IFERROR(__xludf.DUMMYFUNCTION("""COMPUTED_VALUE"""),5)</f>
        <v>5</v>
      </c>
      <c r="E8864" s="2">
        <f ca="1">IFERROR(__xludf.DUMMYFUNCTION("""COMPUTED_VALUE"""),2)</f>
        <v>2</v>
      </c>
    </row>
    <row r="8865" spans="1:5" ht="13">
      <c r="A8865" s="2" t="str">
        <f ca="1">IFERROR(__xludf.DUMMYFUNCTION("""COMPUTED_VALUE"""),"Yates, Martin")</f>
        <v>Yates, Martin</v>
      </c>
      <c r="B8865" s="3">
        <f ca="1">IFERROR(__xludf.DUMMYFUNCTION("""COMPUTED_VALUE"""),1)</f>
        <v>1</v>
      </c>
      <c r="C8865" s="7">
        <f ca="1">IFERROR(__xludf.DUMMYFUNCTION("""COMPUTED_VALUE"""),1)</f>
        <v>1</v>
      </c>
      <c r="D8865" s="8">
        <f ca="1">IFERROR(__xludf.DUMMYFUNCTION("""COMPUTED_VALUE"""),1)</f>
        <v>1</v>
      </c>
      <c r="E8865" s="2">
        <f ca="1">IFERROR(__xludf.DUMMYFUNCTION("""COMPUTED_VALUE"""),1)</f>
        <v>1</v>
      </c>
    </row>
    <row r="8866" spans="1:5" ht="13">
      <c r="A8866" s="2" t="str">
        <f ca="1">IFERROR(__xludf.DUMMYFUNCTION("""COMPUTED_VALUE"""),"Yeago, Charles T.")</f>
        <v>Yeago, Charles T.</v>
      </c>
      <c r="B8866" s="3">
        <f ca="1">IFERROR(__xludf.DUMMYFUNCTION("""COMPUTED_VALUE"""),1)</f>
        <v>1</v>
      </c>
      <c r="C8866" s="7">
        <f ca="1">IFERROR(__xludf.DUMMYFUNCTION("""COMPUTED_VALUE"""),1)</f>
        <v>1</v>
      </c>
      <c r="D8866" s="8">
        <f ca="1">IFERROR(__xludf.DUMMYFUNCTION("""COMPUTED_VALUE"""),1)</f>
        <v>1</v>
      </c>
      <c r="E8866" s="2">
        <f ca="1">IFERROR(__xludf.DUMMYFUNCTION("""COMPUTED_VALUE"""),1)</f>
        <v>1</v>
      </c>
    </row>
    <row r="8867" spans="1:5" ht="13">
      <c r="A8867" s="2" t="str">
        <f ca="1">IFERROR(__xludf.DUMMYFUNCTION("""COMPUTED_VALUE"""),"Yeats, William Butler")</f>
        <v>Yeats, William Butler</v>
      </c>
      <c r="B8867" s="2">
        <f ca="1">IFERROR(__xludf.DUMMYFUNCTION("""COMPUTED_VALUE"""),1)</f>
        <v>1</v>
      </c>
      <c r="C8867" s="7">
        <f ca="1">IFERROR(__xludf.DUMMYFUNCTION("""COMPUTED_VALUE"""),1)</f>
        <v>1</v>
      </c>
      <c r="D8867" s="8">
        <f ca="1">IFERROR(__xludf.DUMMYFUNCTION("""COMPUTED_VALUE"""),5)</f>
        <v>5</v>
      </c>
      <c r="E8867" s="2">
        <f ca="1">IFERROR(__xludf.DUMMYFUNCTION("""COMPUTED_VALUE"""),2)</f>
        <v>2</v>
      </c>
    </row>
    <row r="8868" spans="1:5" ht="13">
      <c r="A8868" s="2" t="str">
        <f ca="1">IFERROR(__xludf.DUMMYFUNCTION("""COMPUTED_VALUE"""),"Yellen, Jack; Ager, Milton; Bigelow, Bob; Bates, Charles")</f>
        <v>Yellen, Jack; Ager, Milton; Bigelow, Bob; Bates, Charles</v>
      </c>
      <c r="B8868" s="3">
        <f ca="1">IFERROR(__xludf.DUMMYFUNCTION("""COMPUTED_VALUE"""),1)</f>
        <v>1</v>
      </c>
      <c r="C8868" s="7">
        <f ca="1">IFERROR(__xludf.DUMMYFUNCTION("""COMPUTED_VALUE"""),1)</f>
        <v>1</v>
      </c>
      <c r="D8868" s="8">
        <f ca="1">IFERROR(__xludf.DUMMYFUNCTION("""COMPUTED_VALUE"""),5)</f>
        <v>5</v>
      </c>
      <c r="E8868" s="2">
        <f ca="1">IFERROR(__xludf.DUMMYFUNCTION("""COMPUTED_VALUE"""),2)</f>
        <v>2</v>
      </c>
    </row>
    <row r="8869" spans="1:5" ht="13">
      <c r="A8869" s="2" t="str">
        <f ca="1">IFERROR(__xludf.DUMMYFUNCTION("""COMPUTED_VALUE"""),"Yellen,Jack, Milton Ager, Bob Bigelow, and Charles Bates")</f>
        <v>Yellen,Jack, Milton Ager, Bob Bigelow, and Charles Bates</v>
      </c>
      <c r="B8869" s="3">
        <f ca="1">IFERROR(__xludf.DUMMYFUNCTION("""COMPUTED_VALUE"""),1)</f>
        <v>1</v>
      </c>
      <c r="C8869" s="7">
        <f ca="1">IFERROR(__xludf.DUMMYFUNCTION("""COMPUTED_VALUE"""),1)</f>
        <v>1</v>
      </c>
      <c r="D8869" s="8">
        <f ca="1">IFERROR(__xludf.DUMMYFUNCTION("""COMPUTED_VALUE"""),5)</f>
        <v>5</v>
      </c>
      <c r="E8869" s="2">
        <f ca="1">IFERROR(__xludf.DUMMYFUNCTION("""COMPUTED_VALUE"""),2)</f>
        <v>2</v>
      </c>
    </row>
    <row r="8870" spans="1:5" ht="13">
      <c r="A8870" s="2" t="str">
        <f ca="1">IFERROR(__xludf.DUMMYFUNCTION("""COMPUTED_VALUE"""),"Yermish, Howard")</f>
        <v>Yermish, Howard</v>
      </c>
      <c r="B8870" s="3">
        <f ca="1">IFERROR(__xludf.DUMMYFUNCTION("""COMPUTED_VALUE"""),1)</f>
        <v>1</v>
      </c>
      <c r="C8870" s="7">
        <f ca="1">IFERROR(__xludf.DUMMYFUNCTION("""COMPUTED_VALUE"""),1)</f>
        <v>1</v>
      </c>
      <c r="D8870" s="8">
        <f ca="1">IFERROR(__xludf.DUMMYFUNCTION("""COMPUTED_VALUE"""),1)</f>
        <v>1</v>
      </c>
      <c r="E8870" s="2">
        <f ca="1">IFERROR(__xludf.DUMMYFUNCTION("""COMPUTED_VALUE"""),1)</f>
        <v>1</v>
      </c>
    </row>
    <row r="8871" spans="1:5" ht="13">
      <c r="A8871" s="2" t="str">
        <f ca="1">IFERROR(__xludf.DUMMYFUNCTION("""COMPUTED_VALUE"""),"Yeston, Maury")</f>
        <v>Yeston, Maury</v>
      </c>
      <c r="B8871" s="2">
        <f ca="1">IFERROR(__xludf.DUMMYFUNCTION("""COMPUTED_VALUE"""),1)</f>
        <v>1</v>
      </c>
      <c r="C8871" s="2">
        <f ca="1">IFERROR(__xludf.DUMMYFUNCTION("""COMPUTED_VALUE"""),1)</f>
        <v>1</v>
      </c>
      <c r="D8871" s="8">
        <f ca="1">IFERROR(__xludf.DUMMYFUNCTION("""COMPUTED_VALUE"""),1)</f>
        <v>1</v>
      </c>
      <c r="E8871" s="2">
        <f ca="1">IFERROR(__xludf.DUMMYFUNCTION("""COMPUTED_VALUE"""),1)</f>
        <v>1</v>
      </c>
    </row>
    <row r="8872" spans="1:5" ht="13">
      <c r="A8872" s="2" t="str">
        <f ca="1">IFERROR(__xludf.DUMMYFUNCTION("""COMPUTED_VALUE"""),"Yevdokimov, Alexander")</f>
        <v>Yevdokimov, Alexander</v>
      </c>
      <c r="B8872" s="3">
        <f ca="1">IFERROR(__xludf.DUMMYFUNCTION("""COMPUTED_VALUE"""),1)</f>
        <v>1</v>
      </c>
      <c r="C8872" s="7">
        <f ca="1">IFERROR(__xludf.DUMMYFUNCTION("""COMPUTED_VALUE"""),1)</f>
        <v>1</v>
      </c>
      <c r="D8872" s="8">
        <f ca="1">IFERROR(__xludf.DUMMYFUNCTION("""COMPUTED_VALUE"""),1)</f>
        <v>1</v>
      </c>
      <c r="E8872" s="2">
        <f ca="1">IFERROR(__xludf.DUMMYFUNCTION("""COMPUTED_VALUE"""),1)</f>
        <v>1</v>
      </c>
    </row>
    <row r="8873" spans="1:5" ht="13">
      <c r="A8873" s="2" t="str">
        <f ca="1">IFERROR(__xludf.DUMMYFUNCTION("""COMPUTED_VALUE"""),"Yoder, Paul")</f>
        <v>Yoder, Paul</v>
      </c>
      <c r="B8873" s="3">
        <f ca="1">IFERROR(__xludf.DUMMYFUNCTION("""COMPUTED_VALUE"""),1)</f>
        <v>1</v>
      </c>
      <c r="C8873" s="7">
        <f ca="1">IFERROR(__xludf.DUMMYFUNCTION("""COMPUTED_VALUE"""),1)</f>
        <v>1</v>
      </c>
      <c r="D8873" s="8">
        <f ca="1">IFERROR(__xludf.DUMMYFUNCTION("""COMPUTED_VALUE"""),5)</f>
        <v>5</v>
      </c>
      <c r="E8873" s="3">
        <f ca="1">IFERROR(__xludf.DUMMYFUNCTION("""COMPUTED_VALUE"""),2)</f>
        <v>2</v>
      </c>
    </row>
    <row r="8874" spans="1:5" ht="13">
      <c r="A8874" s="8" t="str">
        <f ca="1">IFERROR(__xludf.DUMMYFUNCTION("""COMPUTED_VALUE"""),"Yolland, John S.")</f>
        <v>Yolland, John S.</v>
      </c>
      <c r="B8874" s="2">
        <f ca="1">IFERROR(__xludf.DUMMYFUNCTION("""COMPUTED_VALUE"""),1)</f>
        <v>1</v>
      </c>
      <c r="C8874" s="7">
        <f ca="1">IFERROR(__xludf.DUMMYFUNCTION("""COMPUTED_VALUE"""),1)</f>
        <v>1</v>
      </c>
      <c r="D8874" s="8">
        <f ca="1">IFERROR(__xludf.DUMMYFUNCTION("""COMPUTED_VALUE"""),5)</f>
        <v>5</v>
      </c>
      <c r="E8874" s="2">
        <f ca="1">IFERROR(__xludf.DUMMYFUNCTION("""COMPUTED_VALUE"""),2)</f>
        <v>2</v>
      </c>
    </row>
    <row r="8875" spans="1:5" ht="13">
      <c r="A8875" s="2" t="str">
        <f ca="1">IFERROR(__xludf.DUMMYFUNCTION("""COMPUTED_VALUE"""),"Yomen, Ben")</f>
        <v>Yomen, Ben</v>
      </c>
      <c r="B8875" s="3">
        <f ca="1">IFERROR(__xludf.DUMMYFUNCTION("""COMPUTED_VALUE"""),1)</f>
        <v>1</v>
      </c>
      <c r="C8875" s="7">
        <f ca="1">IFERROR(__xludf.DUMMYFUNCTION("""COMPUTED_VALUE"""),1)</f>
        <v>1</v>
      </c>
      <c r="D8875" s="8">
        <f ca="1">IFERROR(__xludf.DUMMYFUNCTION("""COMPUTED_VALUE"""),5)</f>
        <v>5</v>
      </c>
      <c r="E8875" s="2">
        <f ca="1">IFERROR(__xludf.DUMMYFUNCTION("""COMPUTED_VALUE"""),2)</f>
        <v>2</v>
      </c>
    </row>
    <row r="8876" spans="1:5" ht="13">
      <c r="A8876" s="2" t="str">
        <f ca="1">IFERROR(__xludf.DUMMYFUNCTION("""COMPUTED_VALUE"""),"Yon, Pietro")</f>
        <v>Yon, Pietro</v>
      </c>
      <c r="B8876" s="3">
        <f ca="1">IFERROR(__xludf.DUMMYFUNCTION("""COMPUTED_VALUE"""),1)</f>
        <v>1</v>
      </c>
      <c r="C8876" s="7">
        <f ca="1">IFERROR(__xludf.DUMMYFUNCTION("""COMPUTED_VALUE"""),1)</f>
        <v>1</v>
      </c>
      <c r="D8876" s="8">
        <f ca="1">IFERROR(__xludf.DUMMYFUNCTION("""COMPUTED_VALUE"""),5)</f>
        <v>5</v>
      </c>
      <c r="E8876" s="2">
        <f ca="1">IFERROR(__xludf.DUMMYFUNCTION("""COMPUTED_VALUE"""),2)</f>
        <v>2</v>
      </c>
    </row>
    <row r="8877" spans="1:5" ht="13">
      <c r="A8877" s="2" t="str">
        <f ca="1">IFERROR(__xludf.DUMMYFUNCTION("""COMPUTED_VALUE"""),"Yon, Pietro A.")</f>
        <v>Yon, Pietro A.</v>
      </c>
      <c r="B8877" s="3">
        <f ca="1">IFERROR(__xludf.DUMMYFUNCTION("""COMPUTED_VALUE"""),1)</f>
        <v>1</v>
      </c>
      <c r="C8877" s="7">
        <f ca="1">IFERROR(__xludf.DUMMYFUNCTION("""COMPUTED_VALUE"""),1)</f>
        <v>1</v>
      </c>
      <c r="D8877" s="8">
        <f ca="1">IFERROR(__xludf.DUMMYFUNCTION("""COMPUTED_VALUE"""),5)</f>
        <v>5</v>
      </c>
      <c r="E8877" s="2">
        <f ca="1">IFERROR(__xludf.DUMMYFUNCTION("""COMPUTED_VALUE"""),2)</f>
        <v>2</v>
      </c>
    </row>
    <row r="8878" spans="1:5" ht="13">
      <c r="A8878" s="2" t="str">
        <f ca="1">IFERROR(__xludf.DUMMYFUNCTION("""COMPUTED_VALUE"""),"York, Don")</f>
        <v>York, Don</v>
      </c>
      <c r="B8878" s="2">
        <f ca="1">IFERROR(__xludf.DUMMYFUNCTION("""COMPUTED_VALUE"""),1)</f>
        <v>1</v>
      </c>
      <c r="C8878" s="7">
        <f ca="1">IFERROR(__xludf.DUMMYFUNCTION("""COMPUTED_VALUE"""),1)</f>
        <v>1</v>
      </c>
      <c r="D8878" s="8">
        <f ca="1">IFERROR(__xludf.DUMMYFUNCTION("""COMPUTED_VALUE"""),5)</f>
        <v>5</v>
      </c>
      <c r="E8878" s="2">
        <f ca="1">IFERROR(__xludf.DUMMYFUNCTION("""COMPUTED_VALUE"""),2)</f>
        <v>2</v>
      </c>
    </row>
    <row r="8879" spans="1:5" ht="13">
      <c r="A8879" s="2" t="str">
        <f ca="1">IFERROR(__xludf.DUMMYFUNCTION("""COMPUTED_VALUE"""),"Yorke, Thom")</f>
        <v>Yorke, Thom</v>
      </c>
      <c r="B8879" s="3">
        <f ca="1">IFERROR(__xludf.DUMMYFUNCTION("""COMPUTED_VALUE"""),1)</f>
        <v>1</v>
      </c>
      <c r="C8879" s="7">
        <f ca="1">IFERROR(__xludf.DUMMYFUNCTION("""COMPUTED_VALUE"""),1)</f>
        <v>1</v>
      </c>
      <c r="D8879" s="8">
        <f ca="1">IFERROR(__xludf.DUMMYFUNCTION("""COMPUTED_VALUE"""),1)</f>
        <v>1</v>
      </c>
      <c r="E8879" s="2">
        <f ca="1">IFERROR(__xludf.DUMMYFUNCTION("""COMPUTED_VALUE"""),1)</f>
        <v>1</v>
      </c>
    </row>
    <row r="8880" spans="1:5" ht="13">
      <c r="A8880" s="8" t="str">
        <f ca="1">IFERROR(__xludf.DUMMYFUNCTION("""COMPUTED_VALUE"""),"Yotsov, Hristo")</f>
        <v>Yotsov, Hristo</v>
      </c>
      <c r="B8880" s="3">
        <f ca="1">IFERROR(__xludf.DUMMYFUNCTION("""COMPUTED_VALUE"""),1)</f>
        <v>1</v>
      </c>
      <c r="C8880" s="7">
        <f ca="1">IFERROR(__xludf.DUMMYFUNCTION("""COMPUTED_VALUE"""),1)</f>
        <v>1</v>
      </c>
      <c r="D8880" s="8">
        <f ca="1">IFERROR(__xludf.DUMMYFUNCTION("""COMPUTED_VALUE"""),1)</f>
        <v>1</v>
      </c>
      <c r="E8880" s="2">
        <f ca="1">IFERROR(__xludf.DUMMYFUNCTION("""COMPUTED_VALUE"""),1)</f>
        <v>1</v>
      </c>
    </row>
    <row r="8881" spans="1:5" ht="13">
      <c r="A8881" s="2" t="str">
        <f ca="1">IFERROR(__xludf.DUMMYFUNCTION("""COMPUTED_VALUE"""),"Youll, Henry")</f>
        <v>Youll, Henry</v>
      </c>
      <c r="B8881" s="2">
        <f ca="1">IFERROR(__xludf.DUMMYFUNCTION("""COMPUTED_VALUE"""),1)</f>
        <v>1</v>
      </c>
      <c r="C8881" s="7">
        <f ca="1">IFERROR(__xludf.DUMMYFUNCTION("""COMPUTED_VALUE"""),1)</f>
        <v>1</v>
      </c>
      <c r="D8881" s="8">
        <f ca="1">IFERROR(__xludf.DUMMYFUNCTION("""COMPUTED_VALUE"""),5)</f>
        <v>5</v>
      </c>
      <c r="E8881" s="2">
        <f ca="1">IFERROR(__xludf.DUMMYFUNCTION("""COMPUTED_VALUE"""),2)</f>
        <v>2</v>
      </c>
    </row>
    <row r="8882" spans="1:5" ht="13">
      <c r="A8882" s="2" t="str">
        <f ca="1">IFERROR(__xludf.DUMMYFUNCTION("""COMPUTED_VALUE"""),"Youmans, Vincent")</f>
        <v>Youmans, Vincent</v>
      </c>
      <c r="B8882" s="3">
        <f ca="1">IFERROR(__xludf.DUMMYFUNCTION("""COMPUTED_VALUE"""),1)</f>
        <v>1</v>
      </c>
      <c r="C8882" s="7">
        <f ca="1">IFERROR(__xludf.DUMMYFUNCTION("""COMPUTED_VALUE"""),1)</f>
        <v>1</v>
      </c>
      <c r="D8882" s="8">
        <f ca="1">IFERROR(__xludf.DUMMYFUNCTION("""COMPUTED_VALUE"""),5)</f>
        <v>5</v>
      </c>
      <c r="E8882" s="2">
        <f ca="1">IFERROR(__xludf.DUMMYFUNCTION("""COMPUTED_VALUE"""),2)</f>
        <v>2</v>
      </c>
    </row>
    <row r="8883" spans="1:5" ht="13">
      <c r="A8883" s="8" t="str">
        <f ca="1">IFERROR(__xludf.DUMMYFUNCTION("""COMPUTED_VALUE"""),"Young, Adib")</f>
        <v>Young, Adib</v>
      </c>
      <c r="B8883" s="3">
        <f ca="1">IFERROR(__xludf.DUMMYFUNCTION("""COMPUTED_VALUE"""),1)</f>
        <v>1</v>
      </c>
      <c r="C8883" s="7">
        <f ca="1">IFERROR(__xludf.DUMMYFUNCTION("""COMPUTED_VALUE"""),1)</f>
        <v>1</v>
      </c>
      <c r="D8883" s="8">
        <f ca="1">IFERROR(__xludf.DUMMYFUNCTION("""COMPUTED_VALUE"""),1)</f>
        <v>1</v>
      </c>
      <c r="E8883" s="2">
        <f ca="1">IFERROR(__xludf.DUMMYFUNCTION("""COMPUTED_VALUE"""),1)</f>
        <v>1</v>
      </c>
    </row>
    <row r="8884" spans="1:5" ht="13">
      <c r="A8884" s="2" t="str">
        <f ca="1">IFERROR(__xludf.DUMMYFUNCTION("""COMPUTED_VALUE"""),"Young, Carlton")</f>
        <v>Young, Carlton</v>
      </c>
      <c r="B8884" s="3">
        <f ca="1">IFERROR(__xludf.DUMMYFUNCTION("""COMPUTED_VALUE"""),1)</f>
        <v>1</v>
      </c>
      <c r="C8884" s="7">
        <f ca="1">IFERROR(__xludf.DUMMYFUNCTION("""COMPUTED_VALUE"""),1)</f>
        <v>1</v>
      </c>
      <c r="D8884" s="8">
        <f ca="1">IFERROR(__xludf.DUMMYFUNCTION("""COMPUTED_VALUE"""),1)</f>
        <v>1</v>
      </c>
      <c r="E8884" s="2">
        <f ca="1">IFERROR(__xludf.DUMMYFUNCTION("""COMPUTED_VALUE"""),1)</f>
        <v>1</v>
      </c>
    </row>
    <row r="8885" spans="1:5" ht="13">
      <c r="A8885" s="2" t="str">
        <f ca="1">IFERROR(__xludf.DUMMYFUNCTION("""COMPUTED_VALUE"""),"Young, Charles Rochester")</f>
        <v>Young, Charles Rochester</v>
      </c>
      <c r="B8885" s="3">
        <f ca="1">IFERROR(__xludf.DUMMYFUNCTION("""COMPUTED_VALUE"""),1)</f>
        <v>1</v>
      </c>
      <c r="C8885" s="7">
        <f ca="1">IFERROR(__xludf.DUMMYFUNCTION("""COMPUTED_VALUE"""),1)</f>
        <v>1</v>
      </c>
      <c r="D8885" s="8">
        <f ca="1">IFERROR(__xludf.DUMMYFUNCTION("""COMPUTED_VALUE"""),1)</f>
        <v>1</v>
      </c>
      <c r="E8885" s="2">
        <f ca="1">IFERROR(__xludf.DUMMYFUNCTION("""COMPUTED_VALUE"""),1)</f>
        <v>1</v>
      </c>
    </row>
    <row r="8886" spans="1:5" ht="13">
      <c r="A8886" s="2" t="str">
        <f ca="1">IFERROR(__xludf.DUMMYFUNCTION("""COMPUTED_VALUE"""),"Young, Donald J.")</f>
        <v>Young, Donald J.</v>
      </c>
      <c r="B8886" s="2">
        <f ca="1">IFERROR(__xludf.DUMMYFUNCTION("""COMPUTED_VALUE"""),1)</f>
        <v>1</v>
      </c>
      <c r="C8886" s="7">
        <f ca="1">IFERROR(__xludf.DUMMYFUNCTION("""COMPUTED_VALUE"""),1)</f>
        <v>1</v>
      </c>
      <c r="D8886" s="8">
        <f ca="1">IFERROR(__xludf.DUMMYFUNCTION("""COMPUTED_VALUE"""),1)</f>
        <v>1</v>
      </c>
      <c r="E8886" s="2">
        <f ca="1">IFERROR(__xludf.DUMMYFUNCTION("""COMPUTED_VALUE"""),1)</f>
        <v>1</v>
      </c>
    </row>
    <row r="8887" spans="1:5" ht="13">
      <c r="A8887" s="8" t="str">
        <f ca="1">IFERROR(__xludf.DUMMYFUNCTION("""COMPUTED_VALUE"""),"Young, Gordon")</f>
        <v>Young, Gordon</v>
      </c>
      <c r="B8887" s="3">
        <f ca="1">IFERROR(__xludf.DUMMYFUNCTION("""COMPUTED_VALUE"""),1)</f>
        <v>1</v>
      </c>
      <c r="C8887" s="7">
        <f ca="1">IFERROR(__xludf.DUMMYFUNCTION("""COMPUTED_VALUE"""),1)</f>
        <v>1</v>
      </c>
      <c r="D8887" s="8">
        <f ca="1">IFERROR(__xludf.DUMMYFUNCTION("""COMPUTED_VALUE"""),5)</f>
        <v>5</v>
      </c>
      <c r="E8887" s="2">
        <f ca="1">IFERROR(__xludf.DUMMYFUNCTION("""COMPUTED_VALUE"""),2)</f>
        <v>2</v>
      </c>
    </row>
    <row r="8888" spans="1:5" ht="13">
      <c r="A8888" s="8" t="str">
        <f ca="1">IFERROR(__xludf.DUMMYFUNCTION("""COMPUTED_VALUE"""),"Young, Gregory")</f>
        <v>Young, Gregory</v>
      </c>
      <c r="B8888" s="3">
        <f ca="1">IFERROR(__xludf.DUMMYFUNCTION("""COMPUTED_VALUE"""),1)</f>
        <v>1</v>
      </c>
      <c r="C8888" s="7">
        <f ca="1">IFERROR(__xludf.DUMMYFUNCTION("""COMPUTED_VALUE"""),1)</f>
        <v>1</v>
      </c>
      <c r="D8888" s="8">
        <f ca="1">IFERROR(__xludf.DUMMYFUNCTION("""COMPUTED_VALUE"""),1)</f>
        <v>1</v>
      </c>
      <c r="E8888" s="2">
        <f ca="1">IFERROR(__xludf.DUMMYFUNCTION("""COMPUTED_VALUE"""),1)</f>
        <v>1</v>
      </c>
    </row>
    <row r="8889" spans="1:5" ht="13">
      <c r="A8889" s="2" t="str">
        <f ca="1">IFERROR(__xludf.DUMMYFUNCTION("""COMPUTED_VALUE"""),"Young, Kenny / Resnick, Arthur")</f>
        <v>Young, Kenny / Resnick, Arthur</v>
      </c>
      <c r="B8889" s="2">
        <f ca="1">IFERROR(__xludf.DUMMYFUNCTION("""COMPUTED_VALUE"""),1)</f>
        <v>1</v>
      </c>
      <c r="C8889" s="7">
        <f ca="1">IFERROR(__xludf.DUMMYFUNCTION("""COMPUTED_VALUE"""),1)</f>
        <v>1</v>
      </c>
      <c r="D8889" s="8">
        <f ca="1">IFERROR(__xludf.DUMMYFUNCTION("""COMPUTED_VALUE"""),5)</f>
        <v>5</v>
      </c>
      <c r="E8889" s="2">
        <f ca="1">IFERROR(__xludf.DUMMYFUNCTION("""COMPUTED_VALUE"""),2)</f>
        <v>2</v>
      </c>
    </row>
    <row r="8890" spans="1:5" ht="13">
      <c r="A8890" s="2" t="str">
        <f ca="1">IFERROR(__xludf.DUMMYFUNCTION("""COMPUTED_VALUE"""),"Young, Kirk")</f>
        <v>Young, Kirk</v>
      </c>
      <c r="B8890" s="3">
        <f ca="1">IFERROR(__xludf.DUMMYFUNCTION("""COMPUTED_VALUE"""),1)</f>
        <v>1</v>
      </c>
      <c r="C8890" s="7">
        <f ca="1">IFERROR(__xludf.DUMMYFUNCTION("""COMPUTED_VALUE"""),1)</f>
        <v>1</v>
      </c>
      <c r="D8890" s="8">
        <f ca="1">IFERROR(__xludf.DUMMYFUNCTION("""COMPUTED_VALUE"""),1)</f>
        <v>1</v>
      </c>
      <c r="E8890" s="2">
        <f ca="1">IFERROR(__xludf.DUMMYFUNCTION("""COMPUTED_VALUE"""),1)</f>
        <v>1</v>
      </c>
    </row>
    <row r="8891" spans="1:5" ht="13">
      <c r="A8891" s="2" t="str">
        <f ca="1">IFERROR(__xludf.DUMMYFUNCTION("""COMPUTED_VALUE"""),"Young, Ovid")</f>
        <v>Young, Ovid</v>
      </c>
      <c r="B8891" s="3">
        <f ca="1">IFERROR(__xludf.DUMMYFUNCTION("""COMPUTED_VALUE"""),1)</f>
        <v>1</v>
      </c>
      <c r="C8891" s="7">
        <f ca="1">IFERROR(__xludf.DUMMYFUNCTION("""COMPUTED_VALUE"""),1)</f>
        <v>1</v>
      </c>
      <c r="D8891" s="8">
        <f ca="1">IFERROR(__xludf.DUMMYFUNCTION("""COMPUTED_VALUE"""),5)</f>
        <v>5</v>
      </c>
      <c r="E8891" s="2">
        <f ca="1">IFERROR(__xludf.DUMMYFUNCTION("""COMPUTED_VALUE"""),2)</f>
        <v>2</v>
      </c>
    </row>
    <row r="8892" spans="1:5" ht="13">
      <c r="A8892" s="8" t="str">
        <f ca="1">IFERROR(__xludf.DUMMYFUNCTION("""COMPUTED_VALUE"""),"Young, Percy")</f>
        <v>Young, Percy</v>
      </c>
      <c r="B8892" s="3">
        <f ca="1">IFERROR(__xludf.DUMMYFUNCTION("""COMPUTED_VALUE"""),1)</f>
        <v>1</v>
      </c>
      <c r="C8892" s="7">
        <f ca="1">IFERROR(__xludf.DUMMYFUNCTION("""COMPUTED_VALUE"""),1)</f>
        <v>1</v>
      </c>
      <c r="D8892" s="8">
        <f ca="1">IFERROR(__xludf.DUMMYFUNCTION("""COMPUTED_VALUE"""),5)</f>
        <v>5</v>
      </c>
      <c r="E8892" s="2">
        <f ca="1">IFERROR(__xludf.DUMMYFUNCTION("""COMPUTED_VALUE"""),2)</f>
        <v>2</v>
      </c>
    </row>
    <row r="8893" spans="1:5" ht="13">
      <c r="A8893" s="8" t="str">
        <f ca="1">IFERROR(__xludf.DUMMYFUNCTION("""COMPUTED_VALUE"""),"Young, Philip")</f>
        <v>Young, Philip</v>
      </c>
      <c r="B8893" s="3">
        <f ca="1">IFERROR(__xludf.DUMMYFUNCTION("""COMPUTED_VALUE"""),1)</f>
        <v>1</v>
      </c>
      <c r="C8893" s="7">
        <f ca="1">IFERROR(__xludf.DUMMYFUNCTION("""COMPUTED_VALUE"""),1)</f>
        <v>1</v>
      </c>
      <c r="D8893" s="8">
        <f ca="1">IFERROR(__xludf.DUMMYFUNCTION("""COMPUTED_VALUE"""),1)</f>
        <v>1</v>
      </c>
      <c r="E8893" s="2">
        <f ca="1">IFERROR(__xludf.DUMMYFUNCTION("""COMPUTED_VALUE"""),1)</f>
        <v>1</v>
      </c>
    </row>
    <row r="8894" spans="1:5" ht="13">
      <c r="A8894" s="2" t="str">
        <f ca="1">IFERROR(__xludf.DUMMYFUNCTION("""COMPUTED_VALUE"""),"Young, Robert")</f>
        <v>Young, Robert</v>
      </c>
      <c r="B8894" s="2">
        <f ca="1">IFERROR(__xludf.DUMMYFUNCTION("""COMPUTED_VALUE"""),1)</f>
        <v>1</v>
      </c>
      <c r="C8894" s="7">
        <f ca="1">IFERROR(__xludf.DUMMYFUNCTION("""COMPUTED_VALUE"""),1)</f>
        <v>1</v>
      </c>
      <c r="D8894" s="8">
        <f ca="1">IFERROR(__xludf.DUMMYFUNCTION("""COMPUTED_VALUE"""),5)</f>
        <v>5</v>
      </c>
      <c r="E8894" s="2">
        <f ca="1">IFERROR(__xludf.DUMMYFUNCTION("""COMPUTED_VALUE"""),2)</f>
        <v>2</v>
      </c>
    </row>
    <row r="8895" spans="1:5" ht="13">
      <c r="A8895" s="2" t="str">
        <f ca="1">IFERROR(__xludf.DUMMYFUNCTION("""COMPUTED_VALUE"""),"Young, Toby")</f>
        <v>Young, Toby</v>
      </c>
      <c r="B8895" s="3">
        <f ca="1">IFERROR(__xludf.DUMMYFUNCTION("""COMPUTED_VALUE"""),1)</f>
        <v>1</v>
      </c>
      <c r="C8895" s="7">
        <f ca="1">IFERROR(__xludf.DUMMYFUNCTION("""COMPUTED_VALUE"""),1)</f>
        <v>1</v>
      </c>
      <c r="D8895" s="8">
        <f ca="1">IFERROR(__xludf.DUMMYFUNCTION("""COMPUTED_VALUE"""),1)</f>
        <v>1</v>
      </c>
      <c r="E8895" s="2">
        <f ca="1">IFERROR(__xludf.DUMMYFUNCTION("""COMPUTED_VALUE"""),1)</f>
        <v>1</v>
      </c>
    </row>
    <row r="8896" spans="1:5" ht="13">
      <c r="A8896" s="2" t="str">
        <f ca="1">IFERROR(__xludf.DUMMYFUNCTION("""COMPUTED_VALUE"""),"Young, Victor")</f>
        <v>Young, Victor</v>
      </c>
      <c r="B8896" s="3">
        <f ca="1">IFERROR(__xludf.DUMMYFUNCTION("""COMPUTED_VALUE"""),1)</f>
        <v>1</v>
      </c>
      <c r="C8896" s="7">
        <f ca="1">IFERROR(__xludf.DUMMYFUNCTION("""COMPUTED_VALUE"""),1)</f>
        <v>1</v>
      </c>
      <c r="D8896" s="8">
        <f ca="1">IFERROR(__xludf.DUMMYFUNCTION("""COMPUTED_VALUE"""),5)</f>
        <v>5</v>
      </c>
      <c r="E8896" s="2">
        <f ca="1">IFERROR(__xludf.DUMMYFUNCTION("""COMPUTED_VALUE"""),2)</f>
        <v>2</v>
      </c>
    </row>
    <row r="8897" spans="1:5" ht="13">
      <c r="A8897" s="2" t="str">
        <f ca="1">IFERROR(__xludf.DUMMYFUNCTION("""COMPUTED_VALUE"""),"Younse, Stuart")</f>
        <v>Younse, Stuart</v>
      </c>
      <c r="B8897" s="3">
        <f ca="1">IFERROR(__xludf.DUMMYFUNCTION("""COMPUTED_VALUE"""),1)</f>
        <v>1</v>
      </c>
      <c r="C8897" s="7">
        <f ca="1">IFERROR(__xludf.DUMMYFUNCTION("""COMPUTED_VALUE"""),1)</f>
        <v>1</v>
      </c>
      <c r="D8897" s="8">
        <f ca="1">IFERROR(__xludf.DUMMYFUNCTION("""COMPUTED_VALUE"""),1)</f>
        <v>1</v>
      </c>
      <c r="E8897" s="2">
        <f ca="1">IFERROR(__xludf.DUMMYFUNCTION("""COMPUTED_VALUE"""),1)</f>
        <v>1</v>
      </c>
    </row>
    <row r="8898" spans="1:5" ht="13">
      <c r="A8898" s="2" t="str">
        <f ca="1">IFERROR(__xludf.DUMMYFUNCTION("""COMPUTED_VALUE"""),"Youtz, Gregory")</f>
        <v>Youtz, Gregory</v>
      </c>
      <c r="B8898" s="3">
        <f ca="1">IFERROR(__xludf.DUMMYFUNCTION("""COMPUTED_VALUE"""),1)</f>
        <v>1</v>
      </c>
      <c r="C8898" s="7">
        <f ca="1">IFERROR(__xludf.DUMMYFUNCTION("""COMPUTED_VALUE"""),1)</f>
        <v>1</v>
      </c>
      <c r="D8898" s="8">
        <f ca="1">IFERROR(__xludf.DUMMYFUNCTION("""COMPUTED_VALUE"""),1)</f>
        <v>1</v>
      </c>
      <c r="E8898" s="2">
        <f ca="1">IFERROR(__xludf.DUMMYFUNCTION("""COMPUTED_VALUE"""),1)</f>
        <v>1</v>
      </c>
    </row>
    <row r="8899" spans="1:5" ht="13">
      <c r="A8899" s="2" t="str">
        <f ca="1">IFERROR(__xludf.DUMMYFUNCTION("""COMPUTED_VALUE"""),"Yovel, Hanan")</f>
        <v>Yovel, Hanan</v>
      </c>
      <c r="B8899" s="3">
        <f ca="1">IFERROR(__xludf.DUMMYFUNCTION("""COMPUTED_VALUE"""),1)</f>
        <v>1</v>
      </c>
      <c r="C8899" s="7">
        <f ca="1">IFERROR(__xludf.DUMMYFUNCTION("""COMPUTED_VALUE"""),1)</f>
        <v>1</v>
      </c>
      <c r="D8899" s="8">
        <f ca="1">IFERROR(__xludf.DUMMYFUNCTION("""COMPUTED_VALUE"""),1)</f>
        <v>1</v>
      </c>
      <c r="E8899" s="2">
        <f ca="1">IFERROR(__xludf.DUMMYFUNCTION("""COMPUTED_VALUE"""),1)</f>
        <v>1</v>
      </c>
    </row>
    <row r="8900" spans="1:5" ht="13">
      <c r="A8900" s="2" t="str">
        <f ca="1">IFERROR(__xludf.DUMMYFUNCTION("""COMPUTED_VALUE"""),"Yozviak, Andrew")</f>
        <v>Yozviak, Andrew</v>
      </c>
      <c r="B8900" s="3">
        <f ca="1">IFERROR(__xludf.DUMMYFUNCTION("""COMPUTED_VALUE"""),1)</f>
        <v>1</v>
      </c>
      <c r="C8900" s="7">
        <f ca="1">IFERROR(__xludf.DUMMYFUNCTION("""COMPUTED_VALUE"""),1)</f>
        <v>1</v>
      </c>
      <c r="D8900" s="8">
        <f ca="1">IFERROR(__xludf.DUMMYFUNCTION("""COMPUTED_VALUE"""),1)</f>
        <v>1</v>
      </c>
      <c r="E8900" s="2">
        <f ca="1">IFERROR(__xludf.DUMMYFUNCTION("""COMPUTED_VALUE"""),1)</f>
        <v>1</v>
      </c>
    </row>
    <row r="8901" spans="1:5" ht="13">
      <c r="A8901" s="2" t="str">
        <f ca="1">IFERROR(__xludf.DUMMYFUNCTION("""COMPUTED_VALUE"""),"Yradier, Sebastian")</f>
        <v>Yradier, Sebastian</v>
      </c>
      <c r="B8901" s="3">
        <f ca="1">IFERROR(__xludf.DUMMYFUNCTION("""COMPUTED_VALUE"""),1)</f>
        <v>1</v>
      </c>
      <c r="C8901" s="7">
        <f ca="1">IFERROR(__xludf.DUMMYFUNCTION("""COMPUTED_VALUE"""),1)</f>
        <v>1</v>
      </c>
      <c r="D8901" s="8">
        <f ca="1">IFERROR(__xludf.DUMMYFUNCTION("""COMPUTED_VALUE"""),5)</f>
        <v>5</v>
      </c>
      <c r="E8901" s="2">
        <f ca="1">IFERROR(__xludf.DUMMYFUNCTION("""COMPUTED_VALUE"""),2)</f>
        <v>2</v>
      </c>
    </row>
    <row r="8902" spans="1:5" ht="13">
      <c r="A8902" s="2" t="str">
        <f ca="1">IFERROR(__xludf.DUMMYFUNCTION("""COMPUTED_VALUE"""),"Ysaye, Eugene")</f>
        <v>Ysaye, Eugene</v>
      </c>
      <c r="B8902" s="2">
        <f ca="1">IFERROR(__xludf.DUMMYFUNCTION("""COMPUTED_VALUE"""),1)</f>
        <v>1</v>
      </c>
      <c r="C8902" s="7">
        <f ca="1">IFERROR(__xludf.DUMMYFUNCTION("""COMPUTED_VALUE"""),1)</f>
        <v>1</v>
      </c>
      <c r="D8902" s="8">
        <f ca="1">IFERROR(__xludf.DUMMYFUNCTION("""COMPUTED_VALUE"""),5)</f>
        <v>5</v>
      </c>
      <c r="E8902" s="2">
        <f ca="1">IFERROR(__xludf.DUMMYFUNCTION("""COMPUTED_VALUE"""),2)</f>
        <v>2</v>
      </c>
    </row>
    <row r="8903" spans="1:5" ht="13">
      <c r="A8903" s="2" t="str">
        <f ca="1">IFERROR(__xludf.DUMMYFUNCTION("""COMPUTED_VALUE"""),"Ysaÿe, Eugène")</f>
        <v>Ysaÿe, Eugène</v>
      </c>
      <c r="B8903" s="2">
        <f ca="1">IFERROR(__xludf.DUMMYFUNCTION("""COMPUTED_VALUE"""),1)</f>
        <v>1</v>
      </c>
      <c r="C8903" s="7">
        <f ca="1">IFERROR(__xludf.DUMMYFUNCTION("""COMPUTED_VALUE"""),1)</f>
        <v>1</v>
      </c>
      <c r="D8903" s="8">
        <f ca="1">IFERROR(__xludf.DUMMYFUNCTION("""COMPUTED_VALUE"""),5)</f>
        <v>5</v>
      </c>
      <c r="E8903" s="2">
        <f ca="1">IFERROR(__xludf.DUMMYFUNCTION("""COMPUTED_VALUE"""),2)</f>
        <v>2</v>
      </c>
    </row>
    <row r="8904" spans="1:5" ht="13">
      <c r="A8904" s="2" t="str">
        <f ca="1">IFERROR(__xludf.DUMMYFUNCTION("""COMPUTED_VALUE"""),"Ysaÿe, Eugène-Auguste")</f>
        <v>Ysaÿe, Eugène-Auguste</v>
      </c>
      <c r="B8904" s="3">
        <f ca="1">IFERROR(__xludf.DUMMYFUNCTION("""COMPUTED_VALUE"""),1)</f>
        <v>1</v>
      </c>
      <c r="C8904" s="7">
        <f ca="1">IFERROR(__xludf.DUMMYFUNCTION("""COMPUTED_VALUE"""),1)</f>
        <v>1</v>
      </c>
      <c r="D8904" s="8">
        <f ca="1">IFERROR(__xludf.DUMMYFUNCTION("""COMPUTED_VALUE"""),5)</f>
        <v>5</v>
      </c>
      <c r="E8904" s="2">
        <f ca="1">IFERROR(__xludf.DUMMYFUNCTION("""COMPUTED_VALUE"""),2)</f>
        <v>2</v>
      </c>
    </row>
    <row r="8905" spans="1:5" ht="13">
      <c r="A8905" s="2" t="str">
        <f ca="1">IFERROR(__xludf.DUMMYFUNCTION("""COMPUTED_VALUE"""),"Yurko, Bruce")</f>
        <v>Yurko, Bruce</v>
      </c>
      <c r="B8905" s="3">
        <f ca="1">IFERROR(__xludf.DUMMYFUNCTION("""COMPUTED_VALUE"""),1)</f>
        <v>1</v>
      </c>
      <c r="C8905" s="7">
        <f ca="1">IFERROR(__xludf.DUMMYFUNCTION("""COMPUTED_VALUE"""),1)</f>
        <v>1</v>
      </c>
      <c r="D8905" s="8">
        <f ca="1">IFERROR(__xludf.DUMMYFUNCTION("""COMPUTED_VALUE"""),1)</f>
        <v>1</v>
      </c>
      <c r="E8905" s="2">
        <f ca="1">IFERROR(__xludf.DUMMYFUNCTION("""COMPUTED_VALUE"""),1)</f>
        <v>1</v>
      </c>
    </row>
    <row r="8906" spans="1:5" ht="13">
      <c r="A8906" s="2" t="str">
        <f ca="1">IFERROR(__xludf.DUMMYFUNCTION("""COMPUTED_VALUE"""),"Zachow, Friedrich")</f>
        <v>Zachow, Friedrich</v>
      </c>
      <c r="B8906" s="2">
        <f ca="1">IFERROR(__xludf.DUMMYFUNCTION("""COMPUTED_VALUE"""),1)</f>
        <v>1</v>
      </c>
      <c r="C8906" s="7">
        <f ca="1">IFERROR(__xludf.DUMMYFUNCTION("""COMPUTED_VALUE"""),1)</f>
        <v>1</v>
      </c>
      <c r="D8906" s="8">
        <f ca="1">IFERROR(__xludf.DUMMYFUNCTION("""COMPUTED_VALUE"""),5)</f>
        <v>5</v>
      </c>
      <c r="E8906" s="2">
        <f ca="1">IFERROR(__xludf.DUMMYFUNCTION("""COMPUTED_VALUE"""),2)</f>
        <v>2</v>
      </c>
    </row>
    <row r="8907" spans="1:5" ht="13">
      <c r="A8907" s="2" t="str">
        <f ca="1">IFERROR(__xludf.DUMMYFUNCTION("""COMPUTED_VALUE"""),"Zamecnik, John Stepan")</f>
        <v>Zamecnik, John Stepan</v>
      </c>
      <c r="B8907" s="3">
        <f ca="1">IFERROR(__xludf.DUMMYFUNCTION("""COMPUTED_VALUE"""),1)</f>
        <v>1</v>
      </c>
      <c r="C8907" s="7">
        <f ca="1">IFERROR(__xludf.DUMMYFUNCTION("""COMPUTED_VALUE"""),1)</f>
        <v>1</v>
      </c>
      <c r="D8907" s="8">
        <f ca="1">IFERROR(__xludf.DUMMYFUNCTION("""COMPUTED_VALUE"""),5)</f>
        <v>5</v>
      </c>
      <c r="E8907" s="2">
        <f ca="1">IFERROR(__xludf.DUMMYFUNCTION("""COMPUTED_VALUE"""),2)</f>
        <v>2</v>
      </c>
    </row>
    <row r="8908" spans="1:5" ht="13">
      <c r="A8908" s="2" t="str">
        <f ca="1">IFERROR(__xludf.DUMMYFUNCTION("""COMPUTED_VALUE"""),"Zamer, Craig")</f>
        <v>Zamer, Craig</v>
      </c>
      <c r="B8908" s="3">
        <f ca="1">IFERROR(__xludf.DUMMYFUNCTION("""COMPUTED_VALUE"""),1)</f>
        <v>1</v>
      </c>
      <c r="C8908" s="7">
        <f ca="1">IFERROR(__xludf.DUMMYFUNCTION("""COMPUTED_VALUE"""),1)</f>
        <v>1</v>
      </c>
      <c r="D8908" s="8">
        <f ca="1">IFERROR(__xludf.DUMMYFUNCTION("""COMPUTED_VALUE"""),1)</f>
        <v>1</v>
      </c>
      <c r="E8908" s="2">
        <f ca="1">IFERROR(__xludf.DUMMYFUNCTION("""COMPUTED_VALUE"""),1)</f>
        <v>1</v>
      </c>
    </row>
    <row r="8909" spans="1:5" ht="13">
      <c r="A8909" s="2" t="str">
        <f ca="1">IFERROR(__xludf.DUMMYFUNCTION("""COMPUTED_VALUE"""),"Zandonai, Riccardo")</f>
        <v>Zandonai, Riccardo</v>
      </c>
      <c r="B8909" s="2">
        <f ca="1">IFERROR(__xludf.DUMMYFUNCTION("""COMPUTED_VALUE"""),1)</f>
        <v>1</v>
      </c>
      <c r="C8909" s="7">
        <f ca="1">IFERROR(__xludf.DUMMYFUNCTION("""COMPUTED_VALUE"""),1)</f>
        <v>1</v>
      </c>
      <c r="D8909" s="8">
        <f ca="1">IFERROR(__xludf.DUMMYFUNCTION("""COMPUTED_VALUE"""),5)</f>
        <v>5</v>
      </c>
      <c r="E8909" s="2">
        <f ca="1">IFERROR(__xludf.DUMMYFUNCTION("""COMPUTED_VALUE"""),2)</f>
        <v>2</v>
      </c>
    </row>
    <row r="8910" spans="1:5" ht="13">
      <c r="A8910" s="8" t="str">
        <f ca="1">IFERROR(__xludf.DUMMYFUNCTION("""COMPUTED_VALUE"""),"Zanelli, Geoff")</f>
        <v>Zanelli, Geoff</v>
      </c>
      <c r="B8910" s="3">
        <f ca="1">IFERROR(__xludf.DUMMYFUNCTION("""COMPUTED_VALUE"""),1)</f>
        <v>1</v>
      </c>
      <c r="C8910" s="7">
        <f ca="1">IFERROR(__xludf.DUMMYFUNCTION("""COMPUTED_VALUE"""),1)</f>
        <v>1</v>
      </c>
      <c r="D8910" s="8">
        <f ca="1">IFERROR(__xludf.DUMMYFUNCTION("""COMPUTED_VALUE"""),1)</f>
        <v>1</v>
      </c>
      <c r="E8910" s="2">
        <f ca="1">IFERROR(__xludf.DUMMYFUNCTION("""COMPUTED_VALUE"""),1)</f>
        <v>1</v>
      </c>
    </row>
    <row r="8911" spans="1:5" ht="13">
      <c r="A8911" s="8" t="str">
        <f ca="1">IFERROR(__xludf.DUMMYFUNCTION("""COMPUTED_VALUE"""),"Zaninelli, Luigi")</f>
        <v>Zaninelli, Luigi</v>
      </c>
      <c r="B8911" s="3">
        <f ca="1">IFERROR(__xludf.DUMMYFUNCTION("""COMPUTED_VALUE"""),1)</f>
        <v>1</v>
      </c>
      <c r="C8911" s="7">
        <f ca="1">IFERROR(__xludf.DUMMYFUNCTION("""COMPUTED_VALUE"""),1)</f>
        <v>1</v>
      </c>
      <c r="D8911" s="8">
        <f ca="1">IFERROR(__xludf.DUMMYFUNCTION("""COMPUTED_VALUE"""),1)</f>
        <v>1</v>
      </c>
      <c r="E8911" s="2">
        <f ca="1">IFERROR(__xludf.DUMMYFUNCTION("""COMPUTED_VALUE"""),1)</f>
        <v>1</v>
      </c>
    </row>
    <row r="8912" spans="1:5" ht="13">
      <c r="A8912" s="2" t="str">
        <f ca="1">IFERROR(__xludf.DUMMYFUNCTION("""COMPUTED_VALUE"""),"Zappa, Frank")</f>
        <v>Zappa, Frank</v>
      </c>
      <c r="B8912" s="3">
        <f ca="1">IFERROR(__xludf.DUMMYFUNCTION("""COMPUTED_VALUE"""),1)</f>
        <v>1</v>
      </c>
      <c r="C8912" s="7">
        <f ca="1">IFERROR(__xludf.DUMMYFUNCTION("""COMPUTED_VALUE"""),1)</f>
        <v>1</v>
      </c>
      <c r="D8912" s="8">
        <f ca="1">IFERROR(__xludf.DUMMYFUNCTION("""COMPUTED_VALUE"""),5)</f>
        <v>5</v>
      </c>
      <c r="E8912" s="2">
        <f ca="1">IFERROR(__xludf.DUMMYFUNCTION("""COMPUTED_VALUE"""),2)</f>
        <v>2</v>
      </c>
    </row>
    <row r="8913" spans="1:5" ht="13">
      <c r="A8913" s="2" t="str">
        <f ca="1">IFERROR(__xludf.DUMMYFUNCTION("""COMPUTED_VALUE"""),"Zaremba, Drew")</f>
        <v>Zaremba, Drew</v>
      </c>
      <c r="B8913" s="3">
        <f ca="1">IFERROR(__xludf.DUMMYFUNCTION("""COMPUTED_VALUE"""),1)</f>
        <v>1</v>
      </c>
      <c r="C8913" s="7">
        <f ca="1">IFERROR(__xludf.DUMMYFUNCTION("""COMPUTED_VALUE"""),1)</f>
        <v>1</v>
      </c>
      <c r="D8913" s="8">
        <f ca="1">IFERROR(__xludf.DUMMYFUNCTION("""COMPUTED_VALUE"""),1)</f>
        <v>1</v>
      </c>
      <c r="E8913" s="2">
        <f ca="1">IFERROR(__xludf.DUMMYFUNCTION("""COMPUTED_VALUE"""),1)</f>
        <v>1</v>
      </c>
    </row>
    <row r="8914" spans="1:5" ht="13">
      <c r="A8914" s="2" t="str">
        <f ca="1">IFERROR(__xludf.DUMMYFUNCTION("""COMPUTED_VALUE"""),"Zator, Brian")</f>
        <v>Zator, Brian</v>
      </c>
      <c r="B8914" s="2">
        <f ca="1">IFERROR(__xludf.DUMMYFUNCTION("""COMPUTED_VALUE"""),1)</f>
        <v>1</v>
      </c>
      <c r="C8914" s="7">
        <f ca="1">IFERROR(__xludf.DUMMYFUNCTION("""COMPUTED_VALUE"""),1)</f>
        <v>1</v>
      </c>
      <c r="D8914" s="8">
        <f ca="1">IFERROR(__xludf.DUMMYFUNCTION("""COMPUTED_VALUE"""),1)</f>
        <v>1</v>
      </c>
      <c r="E8914" s="2">
        <f ca="1">IFERROR(__xludf.DUMMYFUNCTION("""COMPUTED_VALUE"""),1)</f>
        <v>1</v>
      </c>
    </row>
    <row r="8915" spans="1:5" ht="13">
      <c r="A8915" s="2" t="str">
        <f ca="1">IFERROR(__xludf.DUMMYFUNCTION("""COMPUTED_VALUE"""),"Zaumeyer, John")</f>
        <v>Zaumeyer, John</v>
      </c>
      <c r="B8915" s="2">
        <f ca="1">IFERROR(__xludf.DUMMYFUNCTION("""COMPUTED_VALUE"""),1)</f>
        <v>1</v>
      </c>
      <c r="C8915" s="7">
        <f ca="1">IFERROR(__xludf.DUMMYFUNCTION("""COMPUTED_VALUE"""),1)</f>
        <v>1</v>
      </c>
      <c r="D8915" s="8">
        <f ca="1">IFERROR(__xludf.DUMMYFUNCTION("""COMPUTED_VALUE"""),5)</f>
        <v>5</v>
      </c>
      <c r="E8915" s="2">
        <f ca="1">IFERROR(__xludf.DUMMYFUNCTION("""COMPUTED_VALUE"""),2)</f>
        <v>2</v>
      </c>
    </row>
    <row r="8916" spans="1:5" ht="13">
      <c r="A8916" s="2" t="str">
        <f ca="1">IFERROR(__xludf.DUMMYFUNCTION("""COMPUTED_VALUE"""),"Zawinul, Joe")</f>
        <v>Zawinul, Joe</v>
      </c>
      <c r="B8916" s="3">
        <f ca="1">IFERROR(__xludf.DUMMYFUNCTION("""COMPUTED_VALUE"""),1)</f>
        <v>1</v>
      </c>
      <c r="C8916" s="7">
        <f ca="1">IFERROR(__xludf.DUMMYFUNCTION("""COMPUTED_VALUE"""),1)</f>
        <v>1</v>
      </c>
      <c r="D8916" s="8">
        <f ca="1">IFERROR(__xludf.DUMMYFUNCTION("""COMPUTED_VALUE"""),5)</f>
        <v>5</v>
      </c>
      <c r="E8916" s="2">
        <f ca="1">IFERROR(__xludf.DUMMYFUNCTION("""COMPUTED_VALUE"""),2)</f>
        <v>2</v>
      </c>
    </row>
    <row r="8917" spans="1:5" ht="13">
      <c r="A8917" s="2" t="str">
        <f ca="1">IFERROR(__xludf.DUMMYFUNCTION("""COMPUTED_VALUE"""),"Zdechlik, John")</f>
        <v>Zdechlik, John</v>
      </c>
      <c r="B8917" s="3">
        <f ca="1">IFERROR(__xludf.DUMMYFUNCTION("""COMPUTED_VALUE"""),1)</f>
        <v>1</v>
      </c>
      <c r="C8917" s="7">
        <f ca="1">IFERROR(__xludf.DUMMYFUNCTION("""COMPUTED_VALUE"""),1)</f>
        <v>1</v>
      </c>
      <c r="D8917" s="8">
        <f ca="1">IFERROR(__xludf.DUMMYFUNCTION("""COMPUTED_VALUE"""),5)</f>
        <v>5</v>
      </c>
      <c r="E8917" s="2">
        <f ca="1">IFERROR(__xludf.DUMMYFUNCTION("""COMPUTED_VALUE"""),2)</f>
        <v>2</v>
      </c>
    </row>
    <row r="8918" spans="1:5" ht="13">
      <c r="A8918" s="2" t="str">
        <f ca="1">IFERROR(__xludf.DUMMYFUNCTION("""COMPUTED_VALUE"""),"Zearott, Michael")</f>
        <v>Zearott, Michael</v>
      </c>
      <c r="B8918" s="3">
        <f ca="1">IFERROR(__xludf.DUMMYFUNCTION("""COMPUTED_VALUE"""),1)</f>
        <v>1</v>
      </c>
      <c r="C8918" s="7">
        <f ca="1">IFERROR(__xludf.DUMMYFUNCTION("""COMPUTED_VALUE"""),1)</f>
        <v>1</v>
      </c>
      <c r="D8918" s="8">
        <f ca="1">IFERROR(__xludf.DUMMYFUNCTION("""COMPUTED_VALUE"""),5)</f>
        <v>5</v>
      </c>
      <c r="E8918" s="2">
        <f ca="1">IFERROR(__xludf.DUMMYFUNCTION("""COMPUTED_VALUE"""),2)</f>
        <v>2</v>
      </c>
    </row>
    <row r="8919" spans="1:5" ht="13">
      <c r="A8919" s="8" t="str">
        <f ca="1">IFERROR(__xludf.DUMMYFUNCTION("""COMPUTED_VALUE"""),"Zegree, Steve")</f>
        <v>Zegree, Steve</v>
      </c>
      <c r="B8919" s="3">
        <f ca="1">IFERROR(__xludf.DUMMYFUNCTION("""COMPUTED_VALUE"""),1)</f>
        <v>1</v>
      </c>
      <c r="C8919" s="7">
        <f ca="1">IFERROR(__xludf.DUMMYFUNCTION("""COMPUTED_VALUE"""),1)</f>
        <v>1</v>
      </c>
      <c r="D8919" s="8">
        <f ca="1">IFERROR(__xludf.DUMMYFUNCTION("""COMPUTED_VALUE"""),5)</f>
        <v>5</v>
      </c>
      <c r="E8919" s="2">
        <f ca="1">IFERROR(__xludf.DUMMYFUNCTION("""COMPUTED_VALUE"""),2)</f>
        <v>2</v>
      </c>
    </row>
    <row r="8920" spans="1:5" ht="13">
      <c r="A8920" s="2" t="str">
        <f ca="1">IFERROR(__xludf.DUMMYFUNCTION("""COMPUTED_VALUE"""),"Zehle, Wilhelm")</f>
        <v>Zehle, Wilhelm</v>
      </c>
      <c r="B8920" s="3">
        <f ca="1">IFERROR(__xludf.DUMMYFUNCTION("""COMPUTED_VALUE"""),1)</f>
        <v>1</v>
      </c>
      <c r="C8920" s="7">
        <f ca="1">IFERROR(__xludf.DUMMYFUNCTION("""COMPUTED_VALUE"""),1)</f>
        <v>1</v>
      </c>
      <c r="D8920" s="8">
        <f ca="1">IFERROR(__xludf.DUMMYFUNCTION("""COMPUTED_VALUE"""),5)</f>
        <v>5</v>
      </c>
      <c r="E8920" s="2">
        <f ca="1">IFERROR(__xludf.DUMMYFUNCTION("""COMPUTED_VALUE"""),2)</f>
        <v>2</v>
      </c>
    </row>
    <row r="8921" spans="1:5" ht="13">
      <c r="A8921" s="2" t="str">
        <f ca="1">IFERROR(__xludf.DUMMYFUNCTION("""COMPUTED_VALUE"""),"Zelenka, Jan Dismas")</f>
        <v>Zelenka, Jan Dismas</v>
      </c>
      <c r="B8921" s="3">
        <f ca="1">IFERROR(__xludf.DUMMYFUNCTION("""COMPUTED_VALUE"""),1)</f>
        <v>1</v>
      </c>
      <c r="C8921" s="7">
        <f ca="1">IFERROR(__xludf.DUMMYFUNCTION("""COMPUTED_VALUE"""),1)</f>
        <v>1</v>
      </c>
      <c r="D8921" s="8">
        <f ca="1">IFERROR(__xludf.DUMMYFUNCTION("""COMPUTED_VALUE"""),5)</f>
        <v>5</v>
      </c>
      <c r="E8921" s="2">
        <f ca="1">IFERROR(__xludf.DUMMYFUNCTION("""COMPUTED_VALUE"""),2)</f>
        <v>2</v>
      </c>
    </row>
    <row r="8922" spans="1:5" ht="13">
      <c r="A8922" s="2" t="str">
        <f ca="1">IFERROR(__xludf.DUMMYFUNCTION("""COMPUTED_VALUE"""),"Zeller, Carl")</f>
        <v>Zeller, Carl</v>
      </c>
      <c r="B8922" s="3">
        <f ca="1">IFERROR(__xludf.DUMMYFUNCTION("""COMPUTED_VALUE"""),1)</f>
        <v>1</v>
      </c>
      <c r="C8922" s="7">
        <f ca="1">IFERROR(__xludf.DUMMYFUNCTION("""COMPUTED_VALUE"""),1)</f>
        <v>1</v>
      </c>
      <c r="D8922" s="8">
        <f ca="1">IFERROR(__xludf.DUMMYFUNCTION("""COMPUTED_VALUE"""),5)</f>
        <v>5</v>
      </c>
      <c r="E8922" s="2">
        <f ca="1">IFERROR(__xludf.DUMMYFUNCTION("""COMPUTED_VALUE"""),2)</f>
        <v>2</v>
      </c>
    </row>
    <row r="8923" spans="1:5" ht="13">
      <c r="A8923" s="2" t="str">
        <f ca="1">IFERROR(__xludf.DUMMYFUNCTION("""COMPUTED_VALUE"""),"Zelter, Carl Friedrich")</f>
        <v>Zelter, Carl Friedrich</v>
      </c>
      <c r="B8923" s="3">
        <f ca="1">IFERROR(__xludf.DUMMYFUNCTION("""COMPUTED_VALUE"""),1)</f>
        <v>1</v>
      </c>
      <c r="C8923" s="7">
        <f ca="1">IFERROR(__xludf.DUMMYFUNCTION("""COMPUTED_VALUE"""),1)</f>
        <v>1</v>
      </c>
      <c r="D8923" s="8">
        <f ca="1">IFERROR(__xludf.DUMMYFUNCTION("""COMPUTED_VALUE"""),5)</f>
        <v>5</v>
      </c>
      <c r="E8923" s="2">
        <f ca="1">IFERROR(__xludf.DUMMYFUNCTION("""COMPUTED_VALUE"""),2)</f>
        <v>2</v>
      </c>
    </row>
    <row r="8924" spans="1:5" ht="13">
      <c r="A8924" s="2" t="str">
        <f ca="1">IFERROR(__xludf.DUMMYFUNCTION("""COMPUTED_VALUE"""),"Zemlinsky, Alexander")</f>
        <v>Zemlinsky, Alexander</v>
      </c>
      <c r="B8924" s="3">
        <f ca="1">IFERROR(__xludf.DUMMYFUNCTION("""COMPUTED_VALUE"""),1)</f>
        <v>1</v>
      </c>
      <c r="C8924" s="7">
        <f ca="1">IFERROR(__xludf.DUMMYFUNCTION("""COMPUTED_VALUE"""),1)</f>
        <v>1</v>
      </c>
      <c r="D8924" s="8">
        <f ca="1">IFERROR(__xludf.DUMMYFUNCTION("""COMPUTED_VALUE"""),5)</f>
        <v>5</v>
      </c>
      <c r="E8924" s="2">
        <f ca="1">IFERROR(__xludf.DUMMYFUNCTION("""COMPUTED_VALUE"""),2)</f>
        <v>2</v>
      </c>
    </row>
    <row r="8925" spans="1:5" ht="13">
      <c r="A8925" s="2" t="str">
        <f ca="1">IFERROR(__xludf.DUMMYFUNCTION("""COMPUTED_VALUE"""),"Zerafa, Benigno")</f>
        <v>Zerafa, Benigno</v>
      </c>
      <c r="B8925" s="3">
        <f ca="1">IFERROR(__xludf.DUMMYFUNCTION("""COMPUTED_VALUE"""),1)</f>
        <v>1</v>
      </c>
      <c r="C8925" s="7">
        <f ca="1">IFERROR(__xludf.DUMMYFUNCTION("""COMPUTED_VALUE"""),1)</f>
        <v>1</v>
      </c>
      <c r="D8925" s="8">
        <f ca="1">IFERROR(__xludf.DUMMYFUNCTION("""COMPUTED_VALUE"""),5)</f>
        <v>5</v>
      </c>
      <c r="E8925" s="2">
        <f ca="1">IFERROR(__xludf.DUMMYFUNCTION("""COMPUTED_VALUE"""),2)</f>
        <v>2</v>
      </c>
    </row>
    <row r="8926" spans="1:5" ht="13">
      <c r="A8926" s="2" t="str">
        <f ca="1">IFERROR(__xludf.DUMMYFUNCTION("""COMPUTED_VALUE"""),"Zgodava, Richard")</f>
        <v>Zgodava, Richard</v>
      </c>
      <c r="B8926" s="3">
        <f ca="1">IFERROR(__xludf.DUMMYFUNCTION("""COMPUTED_VALUE"""),1)</f>
        <v>1</v>
      </c>
      <c r="C8926" s="7">
        <f ca="1">IFERROR(__xludf.DUMMYFUNCTION("""COMPUTED_VALUE"""),1)</f>
        <v>1</v>
      </c>
      <c r="D8926" s="8">
        <f ca="1">IFERROR(__xludf.DUMMYFUNCTION("""COMPUTED_VALUE"""),5)</f>
        <v>5</v>
      </c>
      <c r="E8926" s="2">
        <f ca="1">IFERROR(__xludf.DUMMYFUNCTION("""COMPUTED_VALUE"""),2)</f>
        <v>2</v>
      </c>
    </row>
    <row r="8927" spans="1:5" ht="13">
      <c r="A8927" s="8" t="str">
        <f ca="1">IFERROR(__xludf.DUMMYFUNCTION("""COMPUTED_VALUE"""),"Zgonc, Lorely")</f>
        <v>Zgonc, Lorely</v>
      </c>
      <c r="B8927" s="3">
        <f ca="1">IFERROR(__xludf.DUMMYFUNCTION("""COMPUTED_VALUE"""),1)</f>
        <v>1</v>
      </c>
      <c r="C8927" s="7">
        <f ca="1">IFERROR(__xludf.DUMMYFUNCTION("""COMPUTED_VALUE"""),1)</f>
        <v>1</v>
      </c>
      <c r="D8927" s="8">
        <f ca="1">IFERROR(__xludf.DUMMYFUNCTION("""COMPUTED_VALUE"""),5)</f>
        <v>5</v>
      </c>
      <c r="E8927" s="2">
        <f ca="1">IFERROR(__xludf.DUMMYFUNCTION("""COMPUTED_VALUE"""),2)</f>
        <v>2</v>
      </c>
    </row>
    <row r="8928" spans="1:5" ht="13">
      <c r="A8928" s="2" t="str">
        <f ca="1">IFERROR(__xludf.DUMMYFUNCTION("""COMPUTED_VALUE"""),"Zhrebker, Itzhak")</f>
        <v>Zhrebker, Itzhak</v>
      </c>
      <c r="B8928" s="3">
        <f ca="1">IFERROR(__xludf.DUMMYFUNCTION("""COMPUTED_VALUE"""),1)</f>
        <v>1</v>
      </c>
      <c r="C8928" s="7">
        <f ca="1">IFERROR(__xludf.DUMMYFUNCTION("""COMPUTED_VALUE"""),1)</f>
        <v>1</v>
      </c>
      <c r="D8928" s="8">
        <f ca="1">IFERROR(__xludf.DUMMYFUNCTION("""COMPUTED_VALUE"""),1)</f>
        <v>1</v>
      </c>
      <c r="E8928" s="2">
        <f ca="1">IFERROR(__xludf.DUMMYFUNCTION("""COMPUTED_VALUE"""),1)</f>
        <v>1</v>
      </c>
    </row>
    <row r="8929" spans="1:5" ht="13">
      <c r="A8929" s="2" t="str">
        <f ca="1">IFERROR(__xludf.DUMMYFUNCTION("""COMPUTED_VALUE"""),"Zhurbin, Lev")</f>
        <v>Zhurbin, Lev</v>
      </c>
      <c r="B8929" s="3">
        <f ca="1">IFERROR(__xludf.DUMMYFUNCTION("""COMPUTED_VALUE"""),1)</f>
        <v>1</v>
      </c>
      <c r="C8929" s="7">
        <f ca="1">IFERROR(__xludf.DUMMYFUNCTION("""COMPUTED_VALUE"""),1)</f>
        <v>1</v>
      </c>
      <c r="D8929" s="8">
        <f ca="1">IFERROR(__xludf.DUMMYFUNCTION("""COMPUTED_VALUE"""),1)</f>
        <v>1</v>
      </c>
      <c r="E8929" s="2">
        <f ca="1">IFERROR(__xludf.DUMMYFUNCTION("""COMPUTED_VALUE"""),1)</f>
        <v>1</v>
      </c>
    </row>
    <row r="8930" spans="1:5" ht="13">
      <c r="A8930" s="2" t="str">
        <f ca="1">IFERROR(__xludf.DUMMYFUNCTION("""COMPUTED_VALUE"""),"Ziehrer, Carl Michael")</f>
        <v>Ziehrer, Carl Michael</v>
      </c>
      <c r="B8930" s="3">
        <f ca="1">IFERROR(__xludf.DUMMYFUNCTION("""COMPUTED_VALUE"""),1)</f>
        <v>1</v>
      </c>
      <c r="C8930" s="7">
        <f ca="1">IFERROR(__xludf.DUMMYFUNCTION("""COMPUTED_VALUE"""),1)</f>
        <v>1</v>
      </c>
      <c r="D8930" s="8">
        <f ca="1">IFERROR(__xludf.DUMMYFUNCTION("""COMPUTED_VALUE"""),5)</f>
        <v>5</v>
      </c>
      <c r="E8930" s="2">
        <f ca="1">IFERROR(__xludf.DUMMYFUNCTION("""COMPUTED_VALUE"""),2)</f>
        <v>2</v>
      </c>
    </row>
    <row r="8931" spans="1:5" ht="13">
      <c r="A8931" s="2" t="str">
        <f ca="1">IFERROR(__xludf.DUMMYFUNCTION("""COMPUTED_VALUE"""),"Ziek, Gary")</f>
        <v>Ziek, Gary</v>
      </c>
      <c r="B8931" s="3">
        <f ca="1">IFERROR(__xludf.DUMMYFUNCTION("""COMPUTED_VALUE"""),1)</f>
        <v>1</v>
      </c>
      <c r="C8931" s="7">
        <f ca="1">IFERROR(__xludf.DUMMYFUNCTION("""COMPUTED_VALUE"""),1)</f>
        <v>1</v>
      </c>
      <c r="D8931" s="8">
        <f ca="1">IFERROR(__xludf.DUMMYFUNCTION("""COMPUTED_VALUE"""),1)</f>
        <v>1</v>
      </c>
      <c r="E8931" s="2">
        <f ca="1">IFERROR(__xludf.DUMMYFUNCTION("""COMPUTED_VALUE"""),1)</f>
        <v>1</v>
      </c>
    </row>
    <row r="8932" spans="1:5" ht="13">
      <c r="A8932" s="2" t="str">
        <f ca="1">IFERROR(__xludf.DUMMYFUNCTION("""COMPUTED_VALUE"""),"Zielenski, Mikolaj")</f>
        <v>Zielenski, Mikolaj</v>
      </c>
      <c r="B8932" s="3">
        <f ca="1">IFERROR(__xludf.DUMMYFUNCTION("""COMPUTED_VALUE"""),1)</f>
        <v>1</v>
      </c>
      <c r="C8932" s="7">
        <f ca="1">IFERROR(__xludf.DUMMYFUNCTION("""COMPUTED_VALUE"""),1)</f>
        <v>1</v>
      </c>
      <c r="D8932" s="8">
        <f ca="1">IFERROR(__xludf.DUMMYFUNCTION("""COMPUTED_VALUE"""),5)</f>
        <v>5</v>
      </c>
      <c r="E8932" s="2">
        <f ca="1">IFERROR(__xludf.DUMMYFUNCTION("""COMPUTED_VALUE"""),2)</f>
        <v>2</v>
      </c>
    </row>
    <row r="8933" spans="1:5" ht="13">
      <c r="A8933" s="8" t="str">
        <f ca="1">IFERROR(__xludf.DUMMYFUNCTION("""COMPUTED_VALUE"""),"Zielinski, Richard")</f>
        <v>Zielinski, Richard</v>
      </c>
      <c r="B8933" s="9">
        <f ca="1">IFERROR(__xludf.DUMMYFUNCTION("""COMPUTED_VALUE"""),1)</f>
        <v>1</v>
      </c>
      <c r="C8933" s="7">
        <f ca="1">IFERROR(__xludf.DUMMYFUNCTION("""COMPUTED_VALUE"""),1)</f>
        <v>1</v>
      </c>
      <c r="D8933" s="8">
        <f ca="1">IFERROR(__xludf.DUMMYFUNCTION("""COMPUTED_VALUE"""),1)</f>
        <v>1</v>
      </c>
      <c r="E8933" s="9">
        <f ca="1">IFERROR(__xludf.DUMMYFUNCTION("""COMPUTED_VALUE"""),1)</f>
        <v>1</v>
      </c>
    </row>
    <row r="8934" spans="1:5" ht="13">
      <c r="A8934" s="2" t="str">
        <f ca="1">IFERROR(__xludf.DUMMYFUNCTION("""COMPUTED_VALUE"""),"Ziemba, Chris")</f>
        <v>Ziemba, Chris</v>
      </c>
      <c r="B8934" s="3">
        <f ca="1">IFERROR(__xludf.DUMMYFUNCTION("""COMPUTED_VALUE"""),1)</f>
        <v>1</v>
      </c>
      <c r="C8934" s="7">
        <f ca="1">IFERROR(__xludf.DUMMYFUNCTION("""COMPUTED_VALUE"""),1)</f>
        <v>1</v>
      </c>
      <c r="D8934" s="8">
        <f ca="1">IFERROR(__xludf.DUMMYFUNCTION("""COMPUTED_VALUE"""),1)</f>
        <v>1</v>
      </c>
      <c r="E8934" s="2">
        <f ca="1">IFERROR(__xludf.DUMMYFUNCTION("""COMPUTED_VALUE"""),1)</f>
        <v>1</v>
      </c>
    </row>
    <row r="8935" spans="1:5" ht="13">
      <c r="A8935" s="2" t="str">
        <f ca="1">IFERROR(__xludf.DUMMYFUNCTION("""COMPUTED_VALUE"""),"Zigman, Aaron")</f>
        <v>Zigman, Aaron</v>
      </c>
      <c r="B8935" s="3">
        <f ca="1">IFERROR(__xludf.DUMMYFUNCTION("""COMPUTED_VALUE"""),1)</f>
        <v>1</v>
      </c>
      <c r="C8935" s="7">
        <f ca="1">IFERROR(__xludf.DUMMYFUNCTION("""COMPUTED_VALUE"""),1)</f>
        <v>1</v>
      </c>
      <c r="D8935" s="8">
        <f ca="1">IFERROR(__xludf.DUMMYFUNCTION("""COMPUTED_VALUE"""),1)</f>
        <v>1</v>
      </c>
      <c r="E8935" s="2">
        <f ca="1">IFERROR(__xludf.DUMMYFUNCTION("""COMPUTED_VALUE"""),1)</f>
        <v>1</v>
      </c>
    </row>
    <row r="8936" spans="1:5" ht="13">
      <c r="A8936" s="2" t="str">
        <f ca="1">IFERROR(__xludf.DUMMYFUNCTION("""COMPUTED_VALUE"""),"Zikovic, Nebojsa")</f>
        <v>Zikovic, Nebojsa</v>
      </c>
      <c r="B8936" s="2">
        <f ca="1">IFERROR(__xludf.DUMMYFUNCTION("""COMPUTED_VALUE"""),1)</f>
        <v>1</v>
      </c>
      <c r="C8936" s="7">
        <f ca="1">IFERROR(__xludf.DUMMYFUNCTION("""COMPUTED_VALUE"""),1)</f>
        <v>1</v>
      </c>
      <c r="D8936" s="8">
        <f ca="1">IFERROR(__xludf.DUMMYFUNCTION("""COMPUTED_VALUE"""),1)</f>
        <v>1</v>
      </c>
      <c r="E8936" s="2">
        <f ca="1">IFERROR(__xludf.DUMMYFUNCTION("""COMPUTED_VALUE"""),1)</f>
        <v>1</v>
      </c>
    </row>
    <row r="8937" spans="1:5" ht="13">
      <c r="A8937" s="2" t="str">
        <f ca="1">IFERROR(__xludf.DUMMYFUNCTION("""COMPUTED_VALUE"""),"Zimmer, Hans")</f>
        <v>Zimmer, Hans</v>
      </c>
      <c r="B8937" s="3">
        <f ca="1">IFERROR(__xludf.DUMMYFUNCTION("""COMPUTED_VALUE"""),1)</f>
        <v>1</v>
      </c>
      <c r="C8937" s="7">
        <f ca="1">IFERROR(__xludf.DUMMYFUNCTION("""COMPUTED_VALUE"""),1)</f>
        <v>1</v>
      </c>
      <c r="D8937" s="8">
        <f ca="1">IFERROR(__xludf.DUMMYFUNCTION("""COMPUTED_VALUE"""),1)</f>
        <v>1</v>
      </c>
      <c r="E8937" s="2">
        <f ca="1">IFERROR(__xludf.DUMMYFUNCTION("""COMPUTED_VALUE"""),1)</f>
        <v>1</v>
      </c>
    </row>
    <row r="8938" spans="1:5" ht="13">
      <c r="A8938" s="2" t="str">
        <f ca="1">IFERROR(__xludf.DUMMYFUNCTION("""COMPUTED_VALUE"""),"Zimmermann, Bernd Alois")</f>
        <v>Zimmermann, Bernd Alois</v>
      </c>
      <c r="B8938" s="3">
        <f ca="1">IFERROR(__xludf.DUMMYFUNCTION("""COMPUTED_VALUE"""),1)</f>
        <v>1</v>
      </c>
      <c r="C8938" s="7">
        <f ca="1">IFERROR(__xludf.DUMMYFUNCTION("""COMPUTED_VALUE"""),1)</f>
        <v>1</v>
      </c>
      <c r="D8938" s="8">
        <f ca="1">IFERROR(__xludf.DUMMYFUNCTION("""COMPUTED_VALUE"""),5)</f>
        <v>5</v>
      </c>
      <c r="E8938" s="2">
        <f ca="1">IFERROR(__xludf.DUMMYFUNCTION("""COMPUTED_VALUE"""),2)</f>
        <v>2</v>
      </c>
    </row>
    <row r="8939" spans="1:5" ht="13">
      <c r="A8939" s="2" t="str">
        <f ca="1">IFERROR(__xludf.DUMMYFUNCTION("""COMPUTED_VALUE"""),"Zimmermann, Charles A.")</f>
        <v>Zimmermann, Charles A.</v>
      </c>
      <c r="B8939" s="2">
        <f ca="1">IFERROR(__xludf.DUMMYFUNCTION("""COMPUTED_VALUE"""),1)</f>
        <v>1</v>
      </c>
      <c r="C8939" s="7">
        <f ca="1">IFERROR(__xludf.DUMMYFUNCTION("""COMPUTED_VALUE"""),1)</f>
        <v>1</v>
      </c>
      <c r="D8939" s="8">
        <f ca="1">IFERROR(__xludf.DUMMYFUNCTION("""COMPUTED_VALUE"""),5)</f>
        <v>5</v>
      </c>
      <c r="E8939" s="2">
        <f ca="1">IFERROR(__xludf.DUMMYFUNCTION("""COMPUTED_VALUE"""),2)</f>
        <v>2</v>
      </c>
    </row>
    <row r="8940" spans="1:5" ht="13">
      <c r="A8940" s="2" t="str">
        <f ca="1">IFERROR(__xludf.DUMMYFUNCTION("""COMPUTED_VALUE"""),"Zimmermann, Heinz Werner")</f>
        <v>Zimmermann, Heinz Werner</v>
      </c>
      <c r="B8940" s="3">
        <f ca="1">IFERROR(__xludf.DUMMYFUNCTION("""COMPUTED_VALUE"""),1)</f>
        <v>1</v>
      </c>
      <c r="C8940" s="7">
        <f ca="1">IFERROR(__xludf.DUMMYFUNCTION("""COMPUTED_VALUE"""),1)</f>
        <v>1</v>
      </c>
      <c r="D8940" s="8">
        <f ca="1">IFERROR(__xludf.DUMMYFUNCTION("""COMPUTED_VALUE"""),5)</f>
        <v>5</v>
      </c>
      <c r="E8940" s="2">
        <f ca="1">IFERROR(__xludf.DUMMYFUNCTION("""COMPUTED_VALUE"""),2)</f>
        <v>2</v>
      </c>
    </row>
    <row r="8941" spans="1:5" ht="13">
      <c r="A8941" s="2" t="str">
        <f ca="1">IFERROR(__xludf.DUMMYFUNCTION("""COMPUTED_VALUE"""),"Zindars, Earl")</f>
        <v>Zindars, Earl</v>
      </c>
      <c r="B8941" s="3">
        <f ca="1">IFERROR(__xludf.DUMMYFUNCTION("""COMPUTED_VALUE"""),1)</f>
        <v>1</v>
      </c>
      <c r="C8941" s="7">
        <f ca="1">IFERROR(__xludf.DUMMYFUNCTION("""COMPUTED_VALUE"""),1)</f>
        <v>1</v>
      </c>
      <c r="D8941" s="8">
        <f ca="1">IFERROR(__xludf.DUMMYFUNCTION("""COMPUTED_VALUE"""),5)</f>
        <v>5</v>
      </c>
      <c r="E8941" s="2">
        <f ca="1">IFERROR(__xludf.DUMMYFUNCTION("""COMPUTED_VALUE"""),2)</f>
        <v>2</v>
      </c>
    </row>
    <row r="8942" spans="1:5" ht="13">
      <c r="A8942" s="2" t="str">
        <f ca="1">IFERROR(__xludf.DUMMYFUNCTION("""COMPUTED_VALUE"""),"Zingarelli, Niccolò Antonio")</f>
        <v>Zingarelli, Niccolò Antonio</v>
      </c>
      <c r="B8942" s="2">
        <f ca="1">IFERROR(__xludf.DUMMYFUNCTION("""COMPUTED_VALUE"""),1)</f>
        <v>1</v>
      </c>
      <c r="C8942" s="7">
        <f ca="1">IFERROR(__xludf.DUMMYFUNCTION("""COMPUTED_VALUE"""),1)</f>
        <v>1</v>
      </c>
      <c r="D8942" s="8">
        <f ca="1">IFERROR(__xludf.DUMMYFUNCTION("""COMPUTED_VALUE"""),5)</f>
        <v>5</v>
      </c>
      <c r="E8942" s="2">
        <f ca="1">IFERROR(__xludf.DUMMYFUNCTION("""COMPUTED_VALUE"""),2)</f>
        <v>2</v>
      </c>
    </row>
    <row r="8943" spans="1:5" ht="13">
      <c r="A8943" s="8" t="str">
        <f ca="1">IFERROR(__xludf.DUMMYFUNCTION("""COMPUTED_VALUE"""),"Zinovjev, Sauli")</f>
        <v>Zinovjev, Sauli</v>
      </c>
      <c r="B8943" s="3">
        <f ca="1">IFERROR(__xludf.DUMMYFUNCTION("""COMPUTED_VALUE"""),1)</f>
        <v>1</v>
      </c>
      <c r="C8943" s="7">
        <f ca="1">IFERROR(__xludf.DUMMYFUNCTION("""COMPUTED_VALUE"""),1)</f>
        <v>1</v>
      </c>
      <c r="D8943" s="8">
        <f ca="1">IFERROR(__xludf.DUMMYFUNCTION("""COMPUTED_VALUE"""),1)</f>
        <v>1</v>
      </c>
      <c r="E8943" s="2">
        <f ca="1">IFERROR(__xludf.DUMMYFUNCTION("""COMPUTED_VALUE"""),1)</f>
        <v>1</v>
      </c>
    </row>
    <row r="8944" spans="1:5" ht="13">
      <c r="A8944" s="2" t="str">
        <f ca="1">IFERROR(__xludf.DUMMYFUNCTION("""COMPUTED_VALUE"""),"Zipoli, Domenico")</f>
        <v>Zipoli, Domenico</v>
      </c>
      <c r="B8944" s="3">
        <f ca="1">IFERROR(__xludf.DUMMYFUNCTION("""COMPUTED_VALUE"""),1)</f>
        <v>1</v>
      </c>
      <c r="C8944" s="7">
        <f ca="1">IFERROR(__xludf.DUMMYFUNCTION("""COMPUTED_VALUE"""),1)</f>
        <v>1</v>
      </c>
      <c r="D8944" s="8">
        <f ca="1">IFERROR(__xludf.DUMMYFUNCTION("""COMPUTED_VALUE"""),5)</f>
        <v>5</v>
      </c>
      <c r="E8944" s="2">
        <f ca="1">IFERROR(__xludf.DUMMYFUNCTION("""COMPUTED_VALUE"""),2)</f>
        <v>2</v>
      </c>
    </row>
    <row r="8945" spans="1:5" ht="13">
      <c r="A8945" s="2" t="str">
        <f ca="1">IFERROR(__xludf.DUMMYFUNCTION("""COMPUTED_VALUE"""),"Ziporyn, Evan")</f>
        <v>Ziporyn, Evan</v>
      </c>
      <c r="B8945" s="3">
        <f ca="1">IFERROR(__xludf.DUMMYFUNCTION("""COMPUTED_VALUE"""),1)</f>
        <v>1</v>
      </c>
      <c r="C8945" s="7">
        <f ca="1">IFERROR(__xludf.DUMMYFUNCTION("""COMPUTED_VALUE"""),1)</f>
        <v>1</v>
      </c>
      <c r="D8945" s="8">
        <f ca="1">IFERROR(__xludf.DUMMYFUNCTION("""COMPUTED_VALUE"""),1)</f>
        <v>1</v>
      </c>
      <c r="E8945" s="2">
        <f ca="1">IFERROR(__xludf.DUMMYFUNCTION("""COMPUTED_VALUE"""),1)</f>
        <v>1</v>
      </c>
    </row>
    <row r="8946" spans="1:5" ht="13">
      <c r="A8946" s="8" t="str">
        <f ca="1">IFERROR(__xludf.DUMMYFUNCTION("""COMPUTED_VALUE"""),"Zipper, Herbert")</f>
        <v>Zipper, Herbert</v>
      </c>
      <c r="B8946" s="3">
        <f ca="1">IFERROR(__xludf.DUMMYFUNCTION("""COMPUTED_VALUE"""),1)</f>
        <v>1</v>
      </c>
      <c r="C8946" s="7">
        <f ca="1">IFERROR(__xludf.DUMMYFUNCTION("""COMPUTED_VALUE"""),1)</f>
        <v>1</v>
      </c>
      <c r="D8946" s="8">
        <f ca="1">IFERROR(__xludf.DUMMYFUNCTION("""COMPUTED_VALUE"""),5)</f>
        <v>5</v>
      </c>
      <c r="E8946" s="2">
        <f ca="1">IFERROR(__xludf.DUMMYFUNCTION("""COMPUTED_VALUE"""),2)</f>
        <v>2</v>
      </c>
    </row>
    <row r="8947" spans="1:5" ht="13">
      <c r="A8947" s="2" t="str">
        <f ca="1">IFERROR(__xludf.DUMMYFUNCTION("""COMPUTED_VALUE"""),"Zirler, Stephan")</f>
        <v>Zirler, Stephan</v>
      </c>
      <c r="B8947" s="3">
        <f ca="1">IFERROR(__xludf.DUMMYFUNCTION("""COMPUTED_VALUE"""),1)</f>
        <v>1</v>
      </c>
      <c r="C8947" s="7">
        <f ca="1">IFERROR(__xludf.DUMMYFUNCTION("""COMPUTED_VALUE"""),1)</f>
        <v>1</v>
      </c>
      <c r="D8947" s="8">
        <f ca="1">IFERROR(__xludf.DUMMYFUNCTION("""COMPUTED_VALUE"""),5)</f>
        <v>5</v>
      </c>
      <c r="E8947" s="2">
        <f ca="1">IFERROR(__xludf.DUMMYFUNCTION("""COMPUTED_VALUE"""),2)</f>
        <v>2</v>
      </c>
    </row>
    <row r="8948" spans="1:5" ht="13">
      <c r="A8948" s="2" t="str">
        <f ca="1">IFERROR(__xludf.DUMMYFUNCTION("""COMPUTED_VALUE"""),"Zito, Torrie")</f>
        <v>Zito, Torrie</v>
      </c>
      <c r="B8948" s="2">
        <f ca="1">IFERROR(__xludf.DUMMYFUNCTION("""COMPUTED_VALUE"""),1)</f>
        <v>1</v>
      </c>
      <c r="C8948" s="7">
        <f ca="1">IFERROR(__xludf.DUMMYFUNCTION("""COMPUTED_VALUE"""),1)</f>
        <v>1</v>
      </c>
      <c r="D8948" s="8">
        <f ca="1">IFERROR(__xludf.DUMMYFUNCTION("""COMPUTED_VALUE"""),5)</f>
        <v>5</v>
      </c>
      <c r="E8948" s="2">
        <f ca="1">IFERROR(__xludf.DUMMYFUNCTION("""COMPUTED_VALUE"""),2)</f>
        <v>2</v>
      </c>
    </row>
    <row r="8949" spans="1:5" ht="13">
      <c r="A8949" s="2" t="str">
        <f ca="1">IFERROR(__xludf.DUMMYFUNCTION("""COMPUTED_VALUE"""),"Zittrer, Carl /Zaza, Paul")</f>
        <v>Zittrer, Carl /Zaza, Paul</v>
      </c>
      <c r="B8949" s="3">
        <f ca="1">IFERROR(__xludf.DUMMYFUNCTION("""COMPUTED_VALUE"""),1)</f>
        <v>1</v>
      </c>
      <c r="C8949" s="7">
        <f ca="1">IFERROR(__xludf.DUMMYFUNCTION("""COMPUTED_VALUE"""),1)</f>
        <v>1</v>
      </c>
      <c r="D8949" s="8">
        <f ca="1">IFERROR(__xludf.DUMMYFUNCTION("""COMPUTED_VALUE"""),1)</f>
        <v>1</v>
      </c>
      <c r="E8949" s="2">
        <f ca="1">IFERROR(__xludf.DUMMYFUNCTION("""COMPUTED_VALUE"""),1)</f>
        <v>1</v>
      </c>
    </row>
    <row r="8950" spans="1:5" ht="13">
      <c r="A8950" s="2" t="str">
        <f ca="1">IFERROR(__xludf.DUMMYFUNCTION("""COMPUTED_VALUE"""),"Zivkovic, Djuro")</f>
        <v>Zivkovic, Djuro</v>
      </c>
      <c r="B8950" s="3">
        <f ca="1">IFERROR(__xludf.DUMMYFUNCTION("""COMPUTED_VALUE"""),1)</f>
        <v>1</v>
      </c>
      <c r="C8950" s="7">
        <f ca="1">IFERROR(__xludf.DUMMYFUNCTION("""COMPUTED_VALUE"""),1)</f>
        <v>1</v>
      </c>
      <c r="D8950" s="8">
        <f ca="1">IFERROR(__xludf.DUMMYFUNCTION("""COMPUTED_VALUE"""),1)</f>
        <v>1</v>
      </c>
      <c r="E8950" s="2">
        <f ca="1">IFERROR(__xludf.DUMMYFUNCTION("""COMPUTED_VALUE"""),1)</f>
        <v>1</v>
      </c>
    </row>
    <row r="8951" spans="1:5" ht="13">
      <c r="A8951" s="2" t="str">
        <f ca="1">IFERROR(__xludf.DUMMYFUNCTION("""COMPUTED_VALUE"""),"Živković, Nebojša Jovan")</f>
        <v>Živković, Nebojša Jovan</v>
      </c>
      <c r="B8951" s="3">
        <f ca="1">IFERROR(__xludf.DUMMYFUNCTION("""COMPUTED_VALUE"""),1)</f>
        <v>1</v>
      </c>
      <c r="C8951" s="7">
        <f ca="1">IFERROR(__xludf.DUMMYFUNCTION("""COMPUTED_VALUE"""),1)</f>
        <v>1</v>
      </c>
      <c r="D8951" s="8">
        <f ca="1">IFERROR(__xludf.DUMMYFUNCTION("""COMPUTED_VALUE"""),1)</f>
        <v>1</v>
      </c>
      <c r="E8951" s="2">
        <f ca="1">IFERROR(__xludf.DUMMYFUNCTION("""COMPUTED_VALUE"""),1)</f>
        <v>1</v>
      </c>
    </row>
    <row r="8952" spans="1:5" ht="13">
      <c r="A8952" s="8" t="str">
        <f ca="1">IFERROR(__xludf.DUMMYFUNCTION("""COMPUTED_VALUE"""),"Zollner, Heinrich")</f>
        <v>Zollner, Heinrich</v>
      </c>
      <c r="B8952" s="2">
        <f ca="1">IFERROR(__xludf.DUMMYFUNCTION("""COMPUTED_VALUE"""),1)</f>
        <v>1</v>
      </c>
      <c r="C8952" s="2">
        <f ca="1">IFERROR(__xludf.DUMMYFUNCTION("""COMPUTED_VALUE"""),1)</f>
        <v>1</v>
      </c>
      <c r="D8952" s="8">
        <f ca="1">IFERROR(__xludf.DUMMYFUNCTION("""COMPUTED_VALUE"""),5)</f>
        <v>5</v>
      </c>
      <c r="E8952" s="2">
        <f ca="1">IFERROR(__xludf.DUMMYFUNCTION("""COMPUTED_VALUE"""),2)</f>
        <v>2</v>
      </c>
    </row>
    <row r="8953" spans="1:5" ht="13">
      <c r="A8953" s="8" t="str">
        <f ca="1">IFERROR(__xludf.DUMMYFUNCTION("""COMPUTED_VALUE"""),"Zolty, Adam")</f>
        <v>Zolty, Adam</v>
      </c>
      <c r="B8953" s="3">
        <f ca="1">IFERROR(__xludf.DUMMYFUNCTION("""COMPUTED_VALUE"""),1)</f>
        <v>1</v>
      </c>
      <c r="C8953" s="7">
        <f ca="1">IFERROR(__xludf.DUMMYFUNCTION("""COMPUTED_VALUE"""),1)</f>
        <v>1</v>
      </c>
      <c r="D8953" s="8">
        <f ca="1">IFERROR(__xludf.DUMMYFUNCTION("""COMPUTED_VALUE"""),1)</f>
        <v>1</v>
      </c>
      <c r="E8953" s="2">
        <f ca="1">IFERROR(__xludf.DUMMYFUNCTION("""COMPUTED_VALUE"""),1)</f>
        <v>1</v>
      </c>
    </row>
    <row r="8954" spans="1:5" ht="13">
      <c r="A8954" s="8" t="str">
        <f ca="1">IFERROR(__xludf.DUMMYFUNCTION("""COMPUTED_VALUE"""),"Zorn, John")</f>
        <v>Zorn, John</v>
      </c>
      <c r="B8954" s="3">
        <f ca="1">IFERROR(__xludf.DUMMYFUNCTION("""COMPUTED_VALUE"""),1)</f>
        <v>1</v>
      </c>
      <c r="C8954" s="7">
        <f ca="1">IFERROR(__xludf.DUMMYFUNCTION("""COMPUTED_VALUE"""),1)</f>
        <v>1</v>
      </c>
      <c r="D8954" s="8">
        <f ca="1">IFERROR(__xludf.DUMMYFUNCTION("""COMPUTED_VALUE"""),1)</f>
        <v>1</v>
      </c>
      <c r="E8954" s="2">
        <f ca="1">IFERROR(__xludf.DUMMYFUNCTION("""COMPUTED_VALUE"""),1)</f>
        <v>1</v>
      </c>
    </row>
    <row r="8955" spans="1:5" ht="13">
      <c r="A8955" s="8" t="str">
        <f ca="1">IFERROR(__xludf.DUMMYFUNCTION("""COMPUTED_VALUE"""),"Zubow, Zach")</f>
        <v>Zubow, Zach</v>
      </c>
      <c r="B8955" s="3">
        <f ca="1">IFERROR(__xludf.DUMMYFUNCTION("""COMPUTED_VALUE"""),1)</f>
        <v>1</v>
      </c>
      <c r="C8955" s="7">
        <f ca="1">IFERROR(__xludf.DUMMYFUNCTION("""COMPUTED_VALUE"""),1)</f>
        <v>1</v>
      </c>
      <c r="D8955" s="8">
        <f ca="1">IFERROR(__xludf.DUMMYFUNCTION("""COMPUTED_VALUE"""),1)</f>
        <v>1</v>
      </c>
      <c r="E8955" s="2">
        <f ca="1">IFERROR(__xludf.DUMMYFUNCTION("""COMPUTED_VALUE"""),1)</f>
        <v>1</v>
      </c>
    </row>
    <row r="8956" spans="1:5" ht="13">
      <c r="A8956" s="2" t="str">
        <f ca="1">IFERROR(__xludf.DUMMYFUNCTION("""COMPUTED_VALUE"""),"Zuckerman, Jeremy")</f>
        <v>Zuckerman, Jeremy</v>
      </c>
      <c r="B8956" s="2">
        <f ca="1">IFERROR(__xludf.DUMMYFUNCTION("""COMPUTED_VALUE"""),1)</f>
        <v>1</v>
      </c>
      <c r="C8956" s="2">
        <f ca="1">IFERROR(__xludf.DUMMYFUNCTION("""COMPUTED_VALUE"""),1)</f>
        <v>1</v>
      </c>
      <c r="D8956" s="8">
        <f ca="1">IFERROR(__xludf.DUMMYFUNCTION("""COMPUTED_VALUE"""),1)</f>
        <v>1</v>
      </c>
      <c r="E8956" s="2">
        <f ca="1">IFERROR(__xludf.DUMMYFUNCTION("""COMPUTED_VALUE"""),1)</f>
        <v>1</v>
      </c>
    </row>
    <row r="8957" spans="1:5" ht="13">
      <c r="A8957" s="2" t="str">
        <f ca="1">IFERROR(__xludf.DUMMYFUNCTION("""COMPUTED_VALUE"""),"Zuehlsdorff, Vance")</f>
        <v>Zuehlsdorff, Vance</v>
      </c>
      <c r="B8957" s="3">
        <f ca="1">IFERROR(__xludf.DUMMYFUNCTION("""COMPUTED_VALUE"""),1)</f>
        <v>1</v>
      </c>
      <c r="C8957" s="7">
        <f ca="1">IFERROR(__xludf.DUMMYFUNCTION("""COMPUTED_VALUE"""),1)</f>
        <v>1</v>
      </c>
      <c r="D8957" s="8">
        <f ca="1">IFERROR(__xludf.DUMMYFUNCTION("""COMPUTED_VALUE"""),1)</f>
        <v>1</v>
      </c>
      <c r="E8957" s="2">
        <f ca="1">IFERROR(__xludf.DUMMYFUNCTION("""COMPUTED_VALUE"""),1)</f>
        <v>1</v>
      </c>
    </row>
    <row r="8958" spans="1:5" ht="13">
      <c r="A8958" s="2" t="str">
        <f ca="1">IFERROR(__xludf.DUMMYFUNCTION("""COMPUTED_VALUE"""),"Zumsteeg, Johann Rudolf")</f>
        <v>Zumsteeg, Johann Rudolf</v>
      </c>
      <c r="B8958" s="3">
        <f ca="1">IFERROR(__xludf.DUMMYFUNCTION("""COMPUTED_VALUE"""),1)</f>
        <v>1</v>
      </c>
      <c r="C8958" s="7">
        <f ca="1">IFERROR(__xludf.DUMMYFUNCTION("""COMPUTED_VALUE"""),1)</f>
        <v>1</v>
      </c>
      <c r="D8958" s="8">
        <f ca="1">IFERROR(__xludf.DUMMYFUNCTION("""COMPUTED_VALUE"""),5)</f>
        <v>5</v>
      </c>
      <c r="E8958" s="2">
        <f ca="1">IFERROR(__xludf.DUMMYFUNCTION("""COMPUTED_VALUE"""),2)</f>
        <v>2</v>
      </c>
    </row>
    <row r="8959" spans="1:5" ht="13">
      <c r="A8959" s="8" t="str">
        <f ca="1">IFERROR(__xludf.DUMMYFUNCTION("""COMPUTED_VALUE"""),"Zunic, Ed")</f>
        <v>Zunic, Ed</v>
      </c>
      <c r="B8959" s="3">
        <f ca="1">IFERROR(__xludf.DUMMYFUNCTION("""COMPUTED_VALUE"""),1)</f>
        <v>1</v>
      </c>
      <c r="C8959" s="7">
        <f ca="1">IFERROR(__xludf.DUMMYFUNCTION("""COMPUTED_VALUE"""),1)</f>
        <v>1</v>
      </c>
      <c r="D8959" s="8">
        <f ca="1">IFERROR(__xludf.DUMMYFUNCTION("""COMPUTED_VALUE"""),1)</f>
        <v>1</v>
      </c>
      <c r="E8959" s="2">
        <f ca="1">IFERROR(__xludf.DUMMYFUNCTION("""COMPUTED_VALUE"""),1)</f>
        <v>1</v>
      </c>
    </row>
    <row r="8960" spans="1:5" ht="13">
      <c r="A8960" s="2" t="str">
        <f ca="1">IFERROR(__xludf.DUMMYFUNCTION("""COMPUTED_VALUE"""),"Zupko, Mischa")</f>
        <v>Zupko, Mischa</v>
      </c>
      <c r="B8960" s="3">
        <f ca="1">IFERROR(__xludf.DUMMYFUNCTION("""COMPUTED_VALUE"""),1)</f>
        <v>1</v>
      </c>
      <c r="C8960" s="7">
        <f ca="1">IFERROR(__xludf.DUMMYFUNCTION("""COMPUTED_VALUE"""),1)</f>
        <v>1</v>
      </c>
      <c r="D8960" s="8">
        <f ca="1">IFERROR(__xludf.DUMMYFUNCTION("""COMPUTED_VALUE"""),1)</f>
        <v>1</v>
      </c>
      <c r="E8960" s="2">
        <f ca="1">IFERROR(__xludf.DUMMYFUNCTION("""COMPUTED_VALUE"""),1)</f>
        <v>1</v>
      </c>
    </row>
    <row r="8961" spans="1:5" ht="13">
      <c r="A8961" s="8" t="str">
        <f ca="1">IFERROR(__xludf.DUMMYFUNCTION("""COMPUTED_VALUE"""),"Zupko, Ramon")</f>
        <v>Zupko, Ramon</v>
      </c>
      <c r="B8961" s="3">
        <f ca="1">IFERROR(__xludf.DUMMYFUNCTION("""COMPUTED_VALUE"""),1)</f>
        <v>1</v>
      </c>
      <c r="C8961" s="7">
        <f ca="1">IFERROR(__xludf.DUMMYFUNCTION("""COMPUTED_VALUE"""),1)</f>
        <v>1</v>
      </c>
      <c r="D8961" s="8">
        <f ca="1">IFERROR(__xludf.DUMMYFUNCTION("""COMPUTED_VALUE"""),5)</f>
        <v>5</v>
      </c>
      <c r="E8961" s="2">
        <f ca="1">IFERROR(__xludf.DUMMYFUNCTION("""COMPUTED_VALUE"""),2)</f>
        <v>2</v>
      </c>
    </row>
    <row r="8962" spans="1:5" ht="13">
      <c r="A8962" s="2" t="str">
        <f ca="1">IFERROR(__xludf.DUMMYFUNCTION("""COMPUTED_VALUE"""),"Zvacek, Bret")</f>
        <v>Zvacek, Bret</v>
      </c>
      <c r="B8962" s="3">
        <f ca="1">IFERROR(__xludf.DUMMYFUNCTION("""COMPUTED_VALUE"""),1)</f>
        <v>1</v>
      </c>
      <c r="C8962" s="7">
        <f ca="1">IFERROR(__xludf.DUMMYFUNCTION("""COMPUTED_VALUE"""),1)</f>
        <v>1</v>
      </c>
      <c r="D8962" s="8">
        <f ca="1">IFERROR(__xludf.DUMMYFUNCTION("""COMPUTED_VALUE"""),1)</f>
        <v>1</v>
      </c>
      <c r="E8962" s="2">
        <f ca="1">IFERROR(__xludf.DUMMYFUNCTION("""COMPUTED_VALUE"""),1)</f>
        <v>1</v>
      </c>
    </row>
    <row r="8963" spans="1:5" ht="13">
      <c r="A8963" s="8" t="str">
        <f ca="1">IFERROR(__xludf.DUMMYFUNCTION("""COMPUTED_VALUE"""),"Zwozdesky, Willi")</f>
        <v>Zwozdesky, Willi</v>
      </c>
      <c r="B8963" s="3">
        <f ca="1">IFERROR(__xludf.DUMMYFUNCTION("""COMPUTED_VALUE"""),1)</f>
        <v>1</v>
      </c>
      <c r="C8963" s="7">
        <f ca="1">IFERROR(__xludf.DUMMYFUNCTION("""COMPUTED_VALUE"""),1)</f>
        <v>1</v>
      </c>
      <c r="D8963" s="8">
        <f ca="1">IFERROR(__xludf.DUMMYFUNCTION("""COMPUTED_VALUE"""),5)</f>
        <v>5</v>
      </c>
      <c r="E8963" s="2">
        <f ca="1">IFERROR(__xludf.DUMMYFUNCTION("""COMPUTED_VALUE"""),2)</f>
        <v>2</v>
      </c>
    </row>
    <row r="8964" spans="1:5" ht="13">
      <c r="A8964" s="8" t="str">
        <f ca="1">IFERROR(__xludf.DUMMYFUNCTION("""COMPUTED_VALUE"""),"Zytowski, Carl")</f>
        <v>Zytowski, Carl</v>
      </c>
      <c r="B8964" s="3">
        <f ca="1">IFERROR(__xludf.DUMMYFUNCTION("""COMPUTED_VALUE"""),1)</f>
        <v>1</v>
      </c>
      <c r="C8964" s="7">
        <f ca="1">IFERROR(__xludf.DUMMYFUNCTION("""COMPUTED_VALUE"""),1)</f>
        <v>1</v>
      </c>
      <c r="D8964" s="8">
        <f ca="1">IFERROR(__xludf.DUMMYFUNCTION("""COMPUTED_VALUE"""),5)</f>
        <v>5</v>
      </c>
      <c r="E8964" s="2">
        <f ca="1">IFERROR(__xludf.DUMMYFUNCTION("""COMPUTED_VALUE"""),2)</f>
        <v>2</v>
      </c>
    </row>
    <row r="8965" spans="1:5" ht="13">
      <c r="A8965" s="2" t="str">
        <f ca="1">IFERROR(__xludf.DUMMYFUNCTION("""COMPUTED_VALUE"""),"Abbott, Katy")</f>
        <v>Abbott, Katy</v>
      </c>
      <c r="B8965" s="3">
        <f ca="1">IFERROR(__xludf.DUMMYFUNCTION("""COMPUTED_VALUE"""),2)</f>
        <v>2</v>
      </c>
      <c r="C8965" s="7">
        <f ca="1">IFERROR(__xludf.DUMMYFUNCTION("""COMPUTED_VALUE"""),2)</f>
        <v>2</v>
      </c>
      <c r="D8965" s="8">
        <f ca="1">IFERROR(__xludf.DUMMYFUNCTION("""COMPUTED_VALUE"""),2)</f>
        <v>2</v>
      </c>
      <c r="E8965" s="2">
        <f ca="1">IFERROR(__xludf.DUMMYFUNCTION("""COMPUTED_VALUE"""),1)</f>
        <v>1</v>
      </c>
    </row>
    <row r="8966" spans="1:5" ht="13">
      <c r="A8966" s="2" t="str">
        <f ca="1">IFERROR(__xludf.DUMMYFUNCTION("""COMPUTED_VALUE"""),"Aberdam, Eliane")</f>
        <v>Aberdam, Eliane</v>
      </c>
      <c r="B8966" s="3">
        <f ca="1">IFERROR(__xludf.DUMMYFUNCTION("""COMPUTED_VALUE"""),2)</f>
        <v>2</v>
      </c>
      <c r="C8966" s="7">
        <f ca="1">IFERROR(__xludf.DUMMYFUNCTION("""COMPUTED_VALUE"""),2)</f>
        <v>2</v>
      </c>
      <c r="D8966" s="8">
        <f ca="1">IFERROR(__xludf.DUMMYFUNCTION("""COMPUTED_VALUE"""),2)</f>
        <v>2</v>
      </c>
      <c r="E8966" s="2">
        <f ca="1">IFERROR(__xludf.DUMMYFUNCTION("""COMPUTED_VALUE"""),1)</f>
        <v>1</v>
      </c>
    </row>
    <row r="8967" spans="1:5" ht="13">
      <c r="A8967" s="2" t="str">
        <f ca="1">IFERROR(__xludf.DUMMYFUNCTION("""COMPUTED_VALUE"""),"Adams, Lydia")</f>
        <v>Adams, Lydia</v>
      </c>
      <c r="B8967" s="3">
        <f ca="1">IFERROR(__xludf.DUMMYFUNCTION("""COMPUTED_VALUE"""),2)</f>
        <v>2</v>
      </c>
      <c r="C8967" s="7">
        <f ca="1">IFERROR(__xludf.DUMMYFUNCTION("""COMPUTED_VALUE"""),2)</f>
        <v>2</v>
      </c>
      <c r="D8967" s="8">
        <f ca="1">IFERROR(__xludf.DUMMYFUNCTION("""COMPUTED_VALUE"""),2)</f>
        <v>2</v>
      </c>
      <c r="E8967" s="2">
        <f ca="1">IFERROR(__xludf.DUMMYFUNCTION("""COMPUTED_VALUE"""),1)</f>
        <v>1</v>
      </c>
    </row>
    <row r="8968" spans="1:5" ht="13">
      <c r="A8968" s="8" t="str">
        <f ca="1">IFERROR(__xludf.DUMMYFUNCTION("""COMPUTED_VALUE"""),"Adolphe, Julia")</f>
        <v>Adolphe, Julia</v>
      </c>
      <c r="B8968" s="3">
        <f ca="1">IFERROR(__xludf.DUMMYFUNCTION("""COMPUTED_VALUE"""),2)</f>
        <v>2</v>
      </c>
      <c r="C8968" s="7">
        <f ca="1">IFERROR(__xludf.DUMMYFUNCTION("""COMPUTED_VALUE"""),2)</f>
        <v>2</v>
      </c>
      <c r="D8968" s="8">
        <f ca="1">IFERROR(__xludf.DUMMYFUNCTION("""COMPUTED_VALUE"""),2)</f>
        <v>2</v>
      </c>
      <c r="E8968" s="2">
        <f ca="1">IFERROR(__xludf.DUMMYFUNCTION("""COMPUTED_VALUE"""),1)</f>
        <v>1</v>
      </c>
    </row>
    <row r="8969" spans="1:5" ht="13">
      <c r="A8969" s="8" t="str">
        <f ca="1">IFERROR(__xludf.DUMMYFUNCTION("""COMPUTED_VALUE"""),"Agnes, Fáncsik Veronika")</f>
        <v>Agnes, Fáncsik Veronika</v>
      </c>
      <c r="B8969" s="3">
        <f ca="1">IFERROR(__xludf.DUMMYFUNCTION("""COMPUTED_VALUE"""),2)</f>
        <v>2</v>
      </c>
      <c r="C8969" s="7">
        <f ca="1">IFERROR(__xludf.DUMMYFUNCTION("""COMPUTED_VALUE"""),2)</f>
        <v>2</v>
      </c>
      <c r="D8969" s="8">
        <f ca="1">IFERROR(__xludf.DUMMYFUNCTION("""COMPUTED_VALUE"""),2)</f>
        <v>2</v>
      </c>
      <c r="E8969" s="2">
        <f ca="1">IFERROR(__xludf.DUMMYFUNCTION("""COMPUTED_VALUE"""),1)</f>
        <v>1</v>
      </c>
    </row>
    <row r="8970" spans="1:5" ht="13">
      <c r="A8970" s="2" t="str">
        <f ca="1">IFERROR(__xludf.DUMMYFUNCTION("""COMPUTED_VALUE"""),"Agócs, Kati")</f>
        <v>Agócs, Kati</v>
      </c>
      <c r="B8970" s="3">
        <f ca="1">IFERROR(__xludf.DUMMYFUNCTION("""COMPUTED_VALUE"""),2)</f>
        <v>2</v>
      </c>
      <c r="C8970" s="7">
        <f ca="1">IFERROR(__xludf.DUMMYFUNCTION("""COMPUTED_VALUE"""),2)</f>
        <v>2</v>
      </c>
      <c r="D8970" s="8">
        <f ca="1">IFERROR(__xludf.DUMMYFUNCTION("""COMPUTED_VALUE"""),2)</f>
        <v>2</v>
      </c>
      <c r="E8970" s="2">
        <f ca="1">IFERROR(__xludf.DUMMYFUNCTION("""COMPUTED_VALUE"""),1)</f>
        <v>1</v>
      </c>
    </row>
    <row r="8971" spans="1:5" ht="13">
      <c r="A8971" s="2" t="str">
        <f ca="1">IFERROR(__xludf.DUMMYFUNCTION("""COMPUTED_VALUE"""),"Aks, Catherine")</f>
        <v>Aks, Catherine</v>
      </c>
      <c r="B8971" s="3">
        <f ca="1">IFERROR(__xludf.DUMMYFUNCTION("""COMPUTED_VALUE"""),2)</f>
        <v>2</v>
      </c>
      <c r="C8971" s="7">
        <f ca="1">IFERROR(__xludf.DUMMYFUNCTION("""COMPUTED_VALUE"""),2)</f>
        <v>2</v>
      </c>
      <c r="D8971" s="8">
        <f ca="1">IFERROR(__xludf.DUMMYFUNCTION("""COMPUTED_VALUE"""),2)</f>
        <v>2</v>
      </c>
      <c r="E8971" s="2">
        <f ca="1">IFERROR(__xludf.DUMMYFUNCTION("""COMPUTED_VALUE"""),1)</f>
        <v>1</v>
      </c>
    </row>
    <row r="8972" spans="1:5" ht="13">
      <c r="A8972" s="8" t="str">
        <f ca="1">IFERROR(__xludf.DUMMYFUNCTION("""COMPUTED_VALUE"""),"Albert, Adrienne")</f>
        <v>Albert, Adrienne</v>
      </c>
      <c r="B8972" s="3">
        <f ca="1">IFERROR(__xludf.DUMMYFUNCTION("""COMPUTED_VALUE"""),2)</f>
        <v>2</v>
      </c>
      <c r="C8972" s="7">
        <f ca="1">IFERROR(__xludf.DUMMYFUNCTION("""COMPUTED_VALUE"""),2)</f>
        <v>2</v>
      </c>
      <c r="D8972" s="8">
        <f ca="1">IFERROR(__xludf.DUMMYFUNCTION("""COMPUTED_VALUE"""),2)</f>
        <v>2</v>
      </c>
      <c r="E8972" s="2">
        <f ca="1">IFERROR(__xludf.DUMMYFUNCTION("""COMPUTED_VALUE"""),1)</f>
        <v>1</v>
      </c>
    </row>
    <row r="8973" spans="1:5" ht="13">
      <c r="A8973" s="8" t="str">
        <f ca="1">IFERROR(__xludf.DUMMYFUNCTION("""COMPUTED_VALUE"""),"Albrecht, Sally")</f>
        <v>Albrecht, Sally</v>
      </c>
      <c r="B8973" s="3">
        <f ca="1">IFERROR(__xludf.DUMMYFUNCTION("""COMPUTED_VALUE"""),2)</f>
        <v>2</v>
      </c>
      <c r="C8973" s="7">
        <f ca="1">IFERROR(__xludf.DUMMYFUNCTION("""COMPUTED_VALUE"""),2)</f>
        <v>2</v>
      </c>
      <c r="D8973" s="8">
        <f ca="1">IFERROR(__xludf.DUMMYFUNCTION("""COMPUTED_VALUE"""),2)</f>
        <v>2</v>
      </c>
      <c r="E8973" s="2">
        <f ca="1">IFERROR(__xludf.DUMMYFUNCTION("""COMPUTED_VALUE"""),1)</f>
        <v>1</v>
      </c>
    </row>
    <row r="8974" spans="1:5" ht="13">
      <c r="A8974" s="2" t="str">
        <f ca="1">IFERROR(__xludf.DUMMYFUNCTION("""COMPUTED_VALUE"""),"Aleksiychuk, Iryna")</f>
        <v>Aleksiychuk, Iryna</v>
      </c>
      <c r="B8974" s="2">
        <f ca="1">IFERROR(__xludf.DUMMYFUNCTION("""COMPUTED_VALUE"""),2)</f>
        <v>2</v>
      </c>
      <c r="C8974" s="2">
        <f ca="1">IFERROR(__xludf.DUMMYFUNCTION("""COMPUTED_VALUE"""),2)</f>
        <v>2</v>
      </c>
      <c r="D8974" s="8">
        <f ca="1">IFERROR(__xludf.DUMMYFUNCTION("""COMPUTED_VALUE"""),2)</f>
        <v>2</v>
      </c>
      <c r="E8974" s="2">
        <f ca="1">IFERROR(__xludf.DUMMYFUNCTION("""COMPUTED_VALUE"""),1)</f>
        <v>1</v>
      </c>
    </row>
    <row r="8975" spans="1:5" ht="13">
      <c r="A8975" s="2" t="str">
        <f ca="1">IFERROR(__xludf.DUMMYFUNCTION("""COMPUTED_VALUE"""),"Aleotti, Raphaela (aka Aleotti, Vittoria)")</f>
        <v>Aleotti, Raphaela (aka Aleotti, Vittoria)</v>
      </c>
      <c r="B8975" s="3">
        <f ca="1">IFERROR(__xludf.DUMMYFUNCTION("""COMPUTED_VALUE"""),2)</f>
        <v>2</v>
      </c>
      <c r="C8975" s="7">
        <f ca="1">IFERROR(__xludf.DUMMYFUNCTION("""COMPUTED_VALUE"""),2)</f>
        <v>2</v>
      </c>
      <c r="D8975" s="8">
        <f ca="1">IFERROR(__xludf.DUMMYFUNCTION("""COMPUTED_VALUE"""),6)</f>
        <v>6</v>
      </c>
      <c r="E8975" s="2">
        <f ca="1">IFERROR(__xludf.DUMMYFUNCTION("""COMPUTED_VALUE"""),2)</f>
        <v>2</v>
      </c>
    </row>
    <row r="8976" spans="1:5" ht="13">
      <c r="A8976" s="2" t="str">
        <f ca="1">IFERROR(__xludf.DUMMYFUNCTION("""COMPUTED_VALUE"""),"Aleotti, Raphaella")</f>
        <v>Aleotti, Raphaella</v>
      </c>
      <c r="B8976" s="3">
        <f ca="1">IFERROR(__xludf.DUMMYFUNCTION("""COMPUTED_VALUE"""),2)</f>
        <v>2</v>
      </c>
      <c r="C8976" s="7">
        <f ca="1">IFERROR(__xludf.DUMMYFUNCTION("""COMPUTED_VALUE"""),2)</f>
        <v>2</v>
      </c>
      <c r="D8976" s="8">
        <f ca="1">IFERROR(__xludf.DUMMYFUNCTION("""COMPUTED_VALUE"""),6)</f>
        <v>6</v>
      </c>
      <c r="E8976" s="2">
        <f ca="1">IFERROR(__xludf.DUMMYFUNCTION("""COMPUTED_VALUE"""),2)</f>
        <v>2</v>
      </c>
    </row>
    <row r="8977" spans="1:5" ht="13">
      <c r="A8977" s="2" t="str">
        <f ca="1">IFERROR(__xludf.DUMMYFUNCTION("""COMPUTED_VALUE"""),"Aleotti, Vittoria")</f>
        <v>Aleotti, Vittoria</v>
      </c>
      <c r="B8977" s="3">
        <f ca="1">IFERROR(__xludf.DUMMYFUNCTION("""COMPUTED_VALUE"""),2)</f>
        <v>2</v>
      </c>
      <c r="C8977" s="7">
        <f ca="1">IFERROR(__xludf.DUMMYFUNCTION("""COMPUTED_VALUE"""),2)</f>
        <v>2</v>
      </c>
      <c r="D8977" s="8">
        <f ca="1">IFERROR(__xludf.DUMMYFUNCTION("""COMPUTED_VALUE"""),6)</f>
        <v>6</v>
      </c>
      <c r="E8977" s="2">
        <f ca="1">IFERROR(__xludf.DUMMYFUNCTION("""COMPUTED_VALUE"""),2)</f>
        <v>2</v>
      </c>
    </row>
    <row r="8978" spans="1:5" ht="13">
      <c r="A8978" s="2" t="str">
        <f ca="1">IFERROR(__xludf.DUMMYFUNCTION("""COMPUTED_VALUE"""),"Alexander, Cecil Frances")</f>
        <v>Alexander, Cecil Frances</v>
      </c>
      <c r="B8978" s="3">
        <f ca="1">IFERROR(__xludf.DUMMYFUNCTION("""COMPUTED_VALUE"""),2)</f>
        <v>2</v>
      </c>
      <c r="C8978" s="7">
        <f ca="1">IFERROR(__xludf.DUMMYFUNCTION("""COMPUTED_VALUE"""),2)</f>
        <v>2</v>
      </c>
      <c r="D8978" s="8">
        <f ca="1">IFERROR(__xludf.DUMMYFUNCTION("""COMPUTED_VALUE"""),6)</f>
        <v>6</v>
      </c>
      <c r="E8978" s="2">
        <f ca="1">IFERROR(__xludf.DUMMYFUNCTION("""COMPUTED_VALUE"""),2)</f>
        <v>2</v>
      </c>
    </row>
    <row r="8979" spans="1:5" ht="13">
      <c r="A8979" s="2" t="str">
        <f ca="1">IFERROR(__xludf.DUMMYFUNCTION("""COMPUTED_VALUE"""),"Alexander, Elizabeth")</f>
        <v>Alexander, Elizabeth</v>
      </c>
      <c r="B8979" s="2">
        <f ca="1">IFERROR(__xludf.DUMMYFUNCTION("""COMPUTED_VALUE"""),2)</f>
        <v>2</v>
      </c>
      <c r="C8979" s="7">
        <f ca="1">IFERROR(__xludf.DUMMYFUNCTION("""COMPUTED_VALUE"""),2)</f>
        <v>2</v>
      </c>
      <c r="D8979" s="8">
        <f ca="1">IFERROR(__xludf.DUMMYFUNCTION("""COMPUTED_VALUE"""),2)</f>
        <v>2</v>
      </c>
      <c r="E8979" s="2">
        <f ca="1">IFERROR(__xludf.DUMMYFUNCTION("""COMPUTED_VALUE"""),1)</f>
        <v>1</v>
      </c>
    </row>
    <row r="8980" spans="1:5" ht="13">
      <c r="A8980" s="2" t="str">
        <f ca="1">IFERROR(__xludf.DUMMYFUNCTION("""COMPUTED_VALUE"""),"Allan, Kathleen")</f>
        <v>Allan, Kathleen</v>
      </c>
      <c r="B8980" s="3">
        <f ca="1">IFERROR(__xludf.DUMMYFUNCTION("""COMPUTED_VALUE"""),2)</f>
        <v>2</v>
      </c>
      <c r="C8980" s="7">
        <f ca="1">IFERROR(__xludf.DUMMYFUNCTION("""COMPUTED_VALUE"""),2)</f>
        <v>2</v>
      </c>
      <c r="D8980" s="8">
        <f ca="1">IFERROR(__xludf.DUMMYFUNCTION("""COMPUTED_VALUE"""),2)</f>
        <v>2</v>
      </c>
      <c r="E8980" s="2">
        <f ca="1">IFERROR(__xludf.DUMMYFUNCTION("""COMPUTED_VALUE"""),1)</f>
        <v>1</v>
      </c>
    </row>
    <row r="8981" spans="1:5" ht="13">
      <c r="A8981" s="8" t="str">
        <f ca="1">IFERROR(__xludf.DUMMYFUNCTION("""COMPUTED_VALUE"""),"Allen, Virginia")</f>
        <v>Allen, Virginia</v>
      </c>
      <c r="B8981" s="3">
        <f ca="1">IFERROR(__xludf.DUMMYFUNCTION("""COMPUTED_VALUE"""),2)</f>
        <v>2</v>
      </c>
      <c r="C8981" s="7">
        <f ca="1">IFERROR(__xludf.DUMMYFUNCTION("""COMPUTED_VALUE"""),2)</f>
        <v>2</v>
      </c>
      <c r="D8981" s="8">
        <f ca="1">IFERROR(__xludf.DUMMYFUNCTION("""COMPUTED_VALUE"""),2)</f>
        <v>2</v>
      </c>
      <c r="E8981" s="2">
        <f ca="1">IFERROR(__xludf.DUMMYFUNCTION("""COMPUTED_VALUE"""),1)</f>
        <v>1</v>
      </c>
    </row>
    <row r="8982" spans="1:5" ht="13">
      <c r="A8982" s="2" t="str">
        <f ca="1">IFERROR(__xludf.DUMMYFUNCTION("""COMPUTED_VALUE"""),"Allister, Jean")</f>
        <v>Allister, Jean</v>
      </c>
      <c r="B8982" s="2">
        <f ca="1">IFERROR(__xludf.DUMMYFUNCTION("""COMPUTED_VALUE"""),2)</f>
        <v>2</v>
      </c>
      <c r="C8982" s="2">
        <f ca="1">IFERROR(__xludf.DUMMYFUNCTION("""COMPUTED_VALUE"""),2)</f>
        <v>2</v>
      </c>
      <c r="D8982" s="8">
        <f ca="1">IFERROR(__xludf.DUMMYFUNCTION("""COMPUTED_VALUE"""),6)</f>
        <v>6</v>
      </c>
      <c r="E8982" s="2">
        <f ca="1">IFERROR(__xludf.DUMMYFUNCTION("""COMPUTED_VALUE"""),2)</f>
        <v>2</v>
      </c>
    </row>
    <row r="8983" spans="1:5" ht="13">
      <c r="A8983" s="8" t="str">
        <f ca="1">IFERROR(__xludf.DUMMYFUNCTION("""COMPUTED_VALUE"""),"Allsbrook, Nancy")</f>
        <v>Allsbrook, Nancy</v>
      </c>
      <c r="B8983" s="3">
        <f ca="1">IFERROR(__xludf.DUMMYFUNCTION("""COMPUTED_VALUE"""),2)</f>
        <v>2</v>
      </c>
      <c r="C8983" s="7">
        <f ca="1">IFERROR(__xludf.DUMMYFUNCTION("""COMPUTED_VALUE"""),2)</f>
        <v>2</v>
      </c>
      <c r="D8983" s="8">
        <f ca="1">IFERROR(__xludf.DUMMYFUNCTION("""COMPUTED_VALUE"""),2)</f>
        <v>2</v>
      </c>
      <c r="E8983" s="2">
        <f ca="1">IFERROR(__xludf.DUMMYFUNCTION("""COMPUTED_VALUE"""),1)</f>
        <v>1</v>
      </c>
    </row>
    <row r="8984" spans="1:5" ht="13">
      <c r="A8984" s="8" t="str">
        <f ca="1">IFERROR(__xludf.DUMMYFUNCTION("""COMPUTED_VALUE"""),"Allsbrook, Nancy / Goodin, Glenda")</f>
        <v>Allsbrook, Nancy / Goodin, Glenda</v>
      </c>
      <c r="B8984" s="3">
        <f ca="1">IFERROR(__xludf.DUMMYFUNCTION("""COMPUTED_VALUE"""),2)</f>
        <v>2</v>
      </c>
      <c r="C8984" s="7">
        <f ca="1">IFERROR(__xludf.DUMMYFUNCTION("""COMPUTED_VALUE"""),2)</f>
        <v>2</v>
      </c>
      <c r="D8984" s="8">
        <f ca="1">IFERROR(__xludf.DUMMYFUNCTION("""COMPUTED_VALUE"""),2)</f>
        <v>2</v>
      </c>
      <c r="E8984" s="2">
        <f ca="1">IFERROR(__xludf.DUMMYFUNCTION("""COMPUTED_VALUE"""),1)</f>
        <v>1</v>
      </c>
    </row>
    <row r="8985" spans="1:5" ht="13">
      <c r="A8985" s="2" t="str">
        <f ca="1">IFERROR(__xludf.DUMMYFUNCTION("""COMPUTED_VALUE"""),"Alsbury, Sylvia / Rochefort, Lorraine")</f>
        <v>Alsbury, Sylvia / Rochefort, Lorraine</v>
      </c>
      <c r="B8985" s="3">
        <f ca="1">IFERROR(__xludf.DUMMYFUNCTION("""COMPUTED_VALUE"""),2)</f>
        <v>2</v>
      </c>
      <c r="C8985" s="7">
        <f ca="1">IFERROR(__xludf.DUMMYFUNCTION("""COMPUTED_VALUE"""),2)</f>
        <v>2</v>
      </c>
      <c r="D8985" s="8">
        <f ca="1">IFERROR(__xludf.DUMMYFUNCTION("""COMPUTED_VALUE"""),6)</f>
        <v>6</v>
      </c>
      <c r="E8985" s="2">
        <f ca="1">IFERROR(__xludf.DUMMYFUNCTION("""COMPUTED_VALUE"""),2)</f>
        <v>2</v>
      </c>
    </row>
    <row r="8986" spans="1:5" ht="13">
      <c r="A8986" s="2" t="str">
        <f ca="1">IFERROR(__xludf.DUMMYFUNCTION("""COMPUTED_VALUE"""),"Amalie, Princess Anne")</f>
        <v>Amalie, Princess Anne</v>
      </c>
      <c r="B8986" s="2">
        <f ca="1">IFERROR(__xludf.DUMMYFUNCTION("""COMPUTED_VALUE"""),2)</f>
        <v>2</v>
      </c>
      <c r="C8986" s="7">
        <f ca="1">IFERROR(__xludf.DUMMYFUNCTION("""COMPUTED_VALUE"""),2)</f>
        <v>2</v>
      </c>
      <c r="D8986" s="8">
        <f ca="1">IFERROR(__xludf.DUMMYFUNCTION("""COMPUTED_VALUE"""),6)</f>
        <v>6</v>
      </c>
      <c r="E8986" s="2">
        <f ca="1">IFERROR(__xludf.DUMMYFUNCTION("""COMPUTED_VALUE"""),2)</f>
        <v>2</v>
      </c>
    </row>
    <row r="8987" spans="1:5" ht="13">
      <c r="A8987" s="2" t="str">
        <f ca="1">IFERROR(__xludf.DUMMYFUNCTION("""COMPUTED_VALUE"""),"Amick, Leigha")</f>
        <v>Amick, Leigha</v>
      </c>
      <c r="B8987" s="3">
        <f ca="1">IFERROR(__xludf.DUMMYFUNCTION("""COMPUTED_VALUE"""),2)</f>
        <v>2</v>
      </c>
      <c r="C8987" s="7">
        <f ca="1">IFERROR(__xludf.DUMMYFUNCTION("""COMPUTED_VALUE"""),2)</f>
        <v>2</v>
      </c>
      <c r="D8987" s="8">
        <f ca="1">IFERROR(__xludf.DUMMYFUNCTION("""COMPUTED_VALUE"""),2)</f>
        <v>2</v>
      </c>
      <c r="E8987" s="2">
        <f ca="1">IFERROR(__xludf.DUMMYFUNCTION("""COMPUTED_VALUE"""),1)</f>
        <v>1</v>
      </c>
    </row>
    <row r="8988" spans="1:5" ht="13">
      <c r="A8988" s="2" t="str">
        <f ca="1">IFERROR(__xludf.DUMMYFUNCTION("""COMPUTED_VALUE"""),"Andersen, Norma")</f>
        <v>Andersen, Norma</v>
      </c>
      <c r="B8988" s="3">
        <f ca="1">IFERROR(__xludf.DUMMYFUNCTION("""COMPUTED_VALUE"""),2)</f>
        <v>2</v>
      </c>
      <c r="C8988" s="7">
        <f ca="1">IFERROR(__xludf.DUMMYFUNCTION("""COMPUTED_VALUE"""),2)</f>
        <v>2</v>
      </c>
      <c r="D8988" s="8">
        <f ca="1">IFERROR(__xludf.DUMMYFUNCTION("""COMPUTED_VALUE"""),6)</f>
        <v>6</v>
      </c>
      <c r="E8988" s="2">
        <f ca="1">IFERROR(__xludf.DUMMYFUNCTION("""COMPUTED_VALUE"""),2)</f>
        <v>2</v>
      </c>
    </row>
    <row r="8989" spans="1:5" ht="13">
      <c r="A8989" s="8" t="str">
        <f ca="1">IFERROR(__xludf.DUMMYFUNCTION("""COMPUTED_VALUE"""),"Anderson-Harold, Beth")</f>
        <v>Anderson-Harold, Beth</v>
      </c>
      <c r="B8989" s="3">
        <f ca="1">IFERROR(__xludf.DUMMYFUNCTION("""COMPUTED_VALUE"""),2)</f>
        <v>2</v>
      </c>
      <c r="C8989" s="7">
        <f ca="1">IFERROR(__xludf.DUMMYFUNCTION("""COMPUTED_VALUE"""),2)</f>
        <v>2</v>
      </c>
      <c r="D8989" s="8">
        <f ca="1">IFERROR(__xludf.DUMMYFUNCTION("""COMPUTED_VALUE"""),2)</f>
        <v>2</v>
      </c>
      <c r="E8989" s="2">
        <f ca="1">IFERROR(__xludf.DUMMYFUNCTION("""COMPUTED_VALUE"""),1)</f>
        <v>1</v>
      </c>
    </row>
    <row r="8990" spans="1:5" ht="13">
      <c r="A8990" s="8" t="str">
        <f ca="1">IFERROR(__xludf.DUMMYFUNCTION("""COMPUTED_VALUE"""),"Anderson-Lopez, Kristen")</f>
        <v>Anderson-Lopez, Kristen</v>
      </c>
      <c r="B8990" s="3">
        <f ca="1">IFERROR(__xludf.DUMMYFUNCTION("""COMPUTED_VALUE"""),2)</f>
        <v>2</v>
      </c>
      <c r="C8990" s="7">
        <f ca="1">IFERROR(__xludf.DUMMYFUNCTION("""COMPUTED_VALUE"""),2)</f>
        <v>2</v>
      </c>
      <c r="D8990" s="8">
        <f ca="1">IFERROR(__xludf.DUMMYFUNCTION("""COMPUTED_VALUE"""),2)</f>
        <v>2</v>
      </c>
      <c r="E8990" s="2">
        <f ca="1">IFERROR(__xludf.DUMMYFUNCTION("""COMPUTED_VALUE"""),1)</f>
        <v>1</v>
      </c>
    </row>
    <row r="8991" spans="1:5" ht="13">
      <c r="A8991" s="8" t="str">
        <f ca="1">IFERROR(__xludf.DUMMYFUNCTION("""COMPUTED_VALUE"""),"Anderson, Deborah")</f>
        <v>Anderson, Deborah</v>
      </c>
      <c r="B8991" s="3">
        <f ca="1">IFERROR(__xludf.DUMMYFUNCTION("""COMPUTED_VALUE"""),2)</f>
        <v>2</v>
      </c>
      <c r="C8991" s="7">
        <f ca="1">IFERROR(__xludf.DUMMYFUNCTION("""COMPUTED_VALUE"""),2)</f>
        <v>2</v>
      </c>
      <c r="D8991" s="8">
        <f ca="1">IFERROR(__xludf.DUMMYFUNCTION("""COMPUTED_VALUE"""),2)</f>
        <v>2</v>
      </c>
      <c r="E8991" s="2">
        <f ca="1">IFERROR(__xludf.DUMMYFUNCTION("""COMPUTED_VALUE"""),1)</f>
        <v>1</v>
      </c>
    </row>
    <row r="8992" spans="1:5" ht="13">
      <c r="A8992" s="2" t="str">
        <f ca="1">IFERROR(__xludf.DUMMYFUNCTION("""COMPUTED_VALUE"""),"Anderson, Linda Allen")</f>
        <v>Anderson, Linda Allen</v>
      </c>
      <c r="B8992" s="3">
        <f ca="1">IFERROR(__xludf.DUMMYFUNCTION("""COMPUTED_VALUE"""),2)</f>
        <v>2</v>
      </c>
      <c r="C8992" s="7">
        <f ca="1">IFERROR(__xludf.DUMMYFUNCTION("""COMPUTED_VALUE"""),2)</f>
        <v>2</v>
      </c>
      <c r="D8992" s="8">
        <f ca="1">IFERROR(__xludf.DUMMYFUNCTION("""COMPUTED_VALUE"""),2)</f>
        <v>2</v>
      </c>
      <c r="E8992" s="2">
        <f ca="1">IFERROR(__xludf.DUMMYFUNCTION("""COMPUTED_VALUE"""),1)</f>
        <v>1</v>
      </c>
    </row>
    <row r="8993" spans="1:5" ht="13">
      <c r="A8993" s="2" t="str">
        <f ca="1">IFERROR(__xludf.DUMMYFUNCTION("""COMPUTED_VALUE"""),"Anderson, Megan")</f>
        <v>Anderson, Megan</v>
      </c>
      <c r="B8993" s="3">
        <f ca="1">IFERROR(__xludf.DUMMYFUNCTION("""COMPUTED_VALUE"""),2)</f>
        <v>2</v>
      </c>
      <c r="C8993" s="7">
        <f ca="1">IFERROR(__xludf.DUMMYFUNCTION("""COMPUTED_VALUE"""),2)</f>
        <v>2</v>
      </c>
      <c r="D8993" s="8">
        <f ca="1">IFERROR(__xludf.DUMMYFUNCTION("""COMPUTED_VALUE"""),2)</f>
        <v>2</v>
      </c>
      <c r="E8993" s="2">
        <f ca="1">IFERROR(__xludf.DUMMYFUNCTION("""COMPUTED_VALUE"""),1)</f>
        <v>1</v>
      </c>
    </row>
    <row r="8994" spans="1:5" ht="13">
      <c r="A8994" s="2" t="str">
        <f ca="1">IFERROR(__xludf.DUMMYFUNCTION("""COMPUTED_VALUE"""),"Andrée, Elfrida")</f>
        <v>Andrée, Elfrida</v>
      </c>
      <c r="B8994" s="3">
        <f ca="1">IFERROR(__xludf.DUMMYFUNCTION("""COMPUTED_VALUE"""),2)</f>
        <v>2</v>
      </c>
      <c r="C8994" s="7">
        <f ca="1">IFERROR(__xludf.DUMMYFUNCTION("""COMPUTED_VALUE"""),2)</f>
        <v>2</v>
      </c>
      <c r="D8994" s="8">
        <f ca="1">IFERROR(__xludf.DUMMYFUNCTION("""COMPUTED_VALUE"""),6)</f>
        <v>6</v>
      </c>
      <c r="E8994" s="2">
        <f ca="1">IFERROR(__xludf.DUMMYFUNCTION("""COMPUTED_VALUE"""),2)</f>
        <v>2</v>
      </c>
    </row>
    <row r="8995" spans="1:5" ht="13">
      <c r="A8995" s="8" t="str">
        <f ca="1">IFERROR(__xludf.DUMMYFUNCTION("""COMPUTED_VALUE"""),"Anglley, Tamey")</f>
        <v>Anglley, Tamey</v>
      </c>
      <c r="B8995" s="3">
        <f ca="1">IFERROR(__xludf.DUMMYFUNCTION("""COMPUTED_VALUE"""),2)</f>
        <v>2</v>
      </c>
      <c r="C8995" s="7">
        <f ca="1">IFERROR(__xludf.DUMMYFUNCTION("""COMPUTED_VALUE"""),2)</f>
        <v>2</v>
      </c>
      <c r="D8995" s="8">
        <f ca="1">IFERROR(__xludf.DUMMYFUNCTION("""COMPUTED_VALUE"""),2)</f>
        <v>2</v>
      </c>
      <c r="E8995" s="2">
        <f ca="1">IFERROR(__xludf.DUMMYFUNCTION("""COMPUTED_VALUE"""),1)</f>
        <v>1</v>
      </c>
    </row>
    <row r="8996" spans="1:5" ht="13">
      <c r="A8996" s="8" t="str">
        <f ca="1">IFERROR(__xludf.DUMMYFUNCTION("""COMPUTED_VALUE"""),"Anna-Mari, Mia Makaroff,")</f>
        <v>Anna-Mari, Mia Makaroff,</v>
      </c>
      <c r="B8996" s="3">
        <f ca="1">IFERROR(__xludf.DUMMYFUNCTION("""COMPUTED_VALUE"""),2)</f>
        <v>2</v>
      </c>
      <c r="C8996" s="7">
        <f ca="1">IFERROR(__xludf.DUMMYFUNCTION("""COMPUTED_VALUE"""),2)</f>
        <v>2</v>
      </c>
      <c r="D8996" s="8">
        <f ca="1">IFERROR(__xludf.DUMMYFUNCTION("""COMPUTED_VALUE"""),2)</f>
        <v>2</v>
      </c>
      <c r="E8996" s="2">
        <f ca="1">IFERROR(__xludf.DUMMYFUNCTION("""COMPUTED_VALUE"""),1)</f>
        <v>1</v>
      </c>
    </row>
    <row r="8997" spans="1:5" ht="13">
      <c r="A8997" s="8" t="str">
        <f ca="1">IFERROR(__xludf.DUMMYFUNCTION("""COMPUTED_VALUE"""),"Appledorn, Mary Jeanne van")</f>
        <v>Appledorn, Mary Jeanne van</v>
      </c>
      <c r="B8997" s="3">
        <f ca="1">IFERROR(__xludf.DUMMYFUNCTION("""COMPUTED_VALUE"""),2)</f>
        <v>2</v>
      </c>
      <c r="C8997" s="7">
        <f ca="1">IFERROR(__xludf.DUMMYFUNCTION("""COMPUTED_VALUE"""),2)</f>
        <v>2</v>
      </c>
      <c r="D8997" s="8">
        <f ca="1">IFERROR(__xludf.DUMMYFUNCTION("""COMPUTED_VALUE"""),6)</f>
        <v>6</v>
      </c>
      <c r="E8997" s="2">
        <f ca="1">IFERROR(__xludf.DUMMYFUNCTION("""COMPUTED_VALUE"""),2)</f>
        <v>2</v>
      </c>
    </row>
    <row r="8998" spans="1:5" ht="13">
      <c r="A8998" s="8" t="str">
        <f ca="1">IFERROR(__xludf.DUMMYFUNCTION("""COMPUTED_VALUE"""),"Applonie, Jean")</f>
        <v>Applonie, Jean</v>
      </c>
      <c r="B8998" s="3">
        <f ca="1">IFERROR(__xludf.DUMMYFUNCTION("""COMPUTED_VALUE"""),2)</f>
        <v>2</v>
      </c>
      <c r="C8998" s="7">
        <f ca="1">IFERROR(__xludf.DUMMYFUNCTION("""COMPUTED_VALUE"""),2)</f>
        <v>2</v>
      </c>
      <c r="D8998" s="8">
        <f ca="1">IFERROR(__xludf.DUMMYFUNCTION("""COMPUTED_VALUE"""),2)</f>
        <v>2</v>
      </c>
      <c r="E8998" s="2">
        <f ca="1">IFERROR(__xludf.DUMMYFUNCTION("""COMPUTED_VALUE"""),1)</f>
        <v>1</v>
      </c>
    </row>
    <row r="8999" spans="1:5" ht="13">
      <c r="A8999" s="2" t="str">
        <f ca="1">IFERROR(__xludf.DUMMYFUNCTION("""COMPUTED_VALUE"""),"Arabian-Tini, April")</f>
        <v>Arabian-Tini, April</v>
      </c>
      <c r="B8999" s="3">
        <f ca="1">IFERROR(__xludf.DUMMYFUNCTION("""COMPUTED_VALUE"""),2)</f>
        <v>2</v>
      </c>
      <c r="C8999" s="7">
        <f ca="1">IFERROR(__xludf.DUMMYFUNCTION("""COMPUTED_VALUE"""),2)</f>
        <v>2</v>
      </c>
      <c r="D8999" s="8">
        <f ca="1">IFERROR(__xludf.DUMMYFUNCTION("""COMPUTED_VALUE"""),2)</f>
        <v>2</v>
      </c>
      <c r="E8999" s="2">
        <f ca="1">IFERROR(__xludf.DUMMYFUNCTION("""COMPUTED_VALUE"""),1)</f>
        <v>1</v>
      </c>
    </row>
    <row r="9000" spans="1:5" ht="13">
      <c r="A9000" s="8" t="str">
        <f ca="1">IFERROR(__xludf.DUMMYFUNCTION("""COMPUTED_VALUE"""),"Archer, Kimberly")</f>
        <v>Archer, Kimberly</v>
      </c>
      <c r="B9000" s="3">
        <f ca="1">IFERROR(__xludf.DUMMYFUNCTION("""COMPUTED_VALUE"""),2)</f>
        <v>2</v>
      </c>
      <c r="C9000" s="7">
        <f ca="1">IFERROR(__xludf.DUMMYFUNCTION("""COMPUTED_VALUE"""),2)</f>
        <v>2</v>
      </c>
      <c r="D9000" s="8">
        <f ca="1">IFERROR(__xludf.DUMMYFUNCTION("""COMPUTED_VALUE"""),2)</f>
        <v>2</v>
      </c>
      <c r="E9000" s="2">
        <f ca="1">IFERROR(__xludf.DUMMYFUNCTION("""COMPUTED_VALUE"""),1)</f>
        <v>1</v>
      </c>
    </row>
    <row r="9001" spans="1:5" ht="13">
      <c r="A9001" s="2" t="str">
        <f ca="1">IFERROR(__xludf.DUMMYFUNCTION("""COMPUTED_VALUE"""),"Archer, Violet")</f>
        <v>Archer, Violet</v>
      </c>
      <c r="B9001" s="3">
        <f ca="1">IFERROR(__xludf.DUMMYFUNCTION("""COMPUTED_VALUE"""),2)</f>
        <v>2</v>
      </c>
      <c r="C9001" s="7">
        <f ca="1">IFERROR(__xludf.DUMMYFUNCTION("""COMPUTED_VALUE"""),2)</f>
        <v>2</v>
      </c>
      <c r="D9001" s="8">
        <f ca="1">IFERROR(__xludf.DUMMYFUNCTION("""COMPUTED_VALUE"""),6)</f>
        <v>6</v>
      </c>
      <c r="E9001" s="2">
        <f ca="1">IFERROR(__xludf.DUMMYFUNCTION("""COMPUTED_VALUE"""),2)</f>
        <v>2</v>
      </c>
    </row>
    <row r="9002" spans="1:5" ht="13">
      <c r="A9002" s="8" t="str">
        <f ca="1">IFERROR(__xludf.DUMMYFUNCTION("""COMPUTED_VALUE"""),"Archibeque, Charlene")</f>
        <v>Archibeque, Charlene</v>
      </c>
      <c r="B9002" s="3">
        <f ca="1">IFERROR(__xludf.DUMMYFUNCTION("""COMPUTED_VALUE"""),2)</f>
        <v>2</v>
      </c>
      <c r="C9002" s="7">
        <f ca="1">IFERROR(__xludf.DUMMYFUNCTION("""COMPUTED_VALUE"""),2)</f>
        <v>2</v>
      </c>
      <c r="D9002" s="8">
        <f ca="1">IFERROR(__xludf.DUMMYFUNCTION("""COMPUTED_VALUE"""),2)</f>
        <v>2</v>
      </c>
      <c r="E9002" s="2">
        <f ca="1">IFERROR(__xludf.DUMMYFUNCTION("""COMPUTED_VALUE"""),1)</f>
        <v>1</v>
      </c>
    </row>
    <row r="9003" spans="1:5" ht="13">
      <c r="A9003" s="8" t="str">
        <f ca="1">IFERROR(__xludf.DUMMYFUNCTION("""COMPUTED_VALUE"""),"Aresty, Abby")</f>
        <v>Aresty, Abby</v>
      </c>
      <c r="B9003" s="3">
        <f ca="1">IFERROR(__xludf.DUMMYFUNCTION("""COMPUTED_VALUE"""),2)</f>
        <v>2</v>
      </c>
      <c r="C9003" s="7">
        <f ca="1">IFERROR(__xludf.DUMMYFUNCTION("""COMPUTED_VALUE"""),2)</f>
        <v>2</v>
      </c>
      <c r="D9003" s="8">
        <f ca="1">IFERROR(__xludf.DUMMYFUNCTION("""COMPUTED_VALUE"""),2)</f>
        <v>2</v>
      </c>
      <c r="E9003" s="2">
        <f ca="1">IFERROR(__xludf.DUMMYFUNCTION("""COMPUTED_VALUE"""),1)</f>
        <v>1</v>
      </c>
    </row>
    <row r="9004" spans="1:5" ht="13">
      <c r="A9004" s="8" t="str">
        <f ca="1">IFERROR(__xludf.DUMMYFUNCTION("""COMPUTED_VALUE"""),"Arrieu, Claude")</f>
        <v>Arrieu, Claude</v>
      </c>
      <c r="B9004" s="3">
        <f ca="1">IFERROR(__xludf.DUMMYFUNCTION("""COMPUTED_VALUE"""),2)</f>
        <v>2</v>
      </c>
      <c r="C9004" s="7">
        <f ca="1">IFERROR(__xludf.DUMMYFUNCTION("""COMPUTED_VALUE"""),2)</f>
        <v>2</v>
      </c>
      <c r="D9004" s="8">
        <f ca="1">IFERROR(__xludf.DUMMYFUNCTION("""COMPUTED_VALUE"""),6)</f>
        <v>6</v>
      </c>
      <c r="E9004" s="2">
        <f ca="1">IFERROR(__xludf.DUMMYFUNCTION("""COMPUTED_VALUE"""),2)</f>
        <v>2</v>
      </c>
    </row>
    <row r="9005" spans="1:5" ht="13">
      <c r="A9005" s="2" t="str">
        <f ca="1">IFERROR(__xludf.DUMMYFUNCTION("""COMPUTED_VALUE"""),"Arsenault, Angèle")</f>
        <v>Arsenault, Angèle</v>
      </c>
      <c r="B9005" s="3">
        <f ca="1">IFERROR(__xludf.DUMMYFUNCTION("""COMPUTED_VALUE"""),2)</f>
        <v>2</v>
      </c>
      <c r="C9005" s="7">
        <f ca="1">IFERROR(__xludf.DUMMYFUNCTION("""COMPUTED_VALUE"""),2)</f>
        <v>2</v>
      </c>
      <c r="D9005" s="8">
        <f ca="1">IFERROR(__xludf.DUMMYFUNCTION("""COMPUTED_VALUE"""),2)</f>
        <v>2</v>
      </c>
      <c r="E9005" s="2">
        <f ca="1">IFERROR(__xludf.DUMMYFUNCTION("""COMPUTED_VALUE"""),1)</f>
        <v>1</v>
      </c>
    </row>
    <row r="9006" spans="1:5" ht="13">
      <c r="A9006" s="8" t="str">
        <f ca="1">IFERROR(__xludf.DUMMYFUNCTION("""COMPUTED_VALUE"""),"Artemisia")</f>
        <v>Artemisia</v>
      </c>
      <c r="B9006" s="3">
        <f ca="1">IFERROR(__xludf.DUMMYFUNCTION("""COMPUTED_VALUE"""),2)</f>
        <v>2</v>
      </c>
      <c r="C9006" s="7">
        <f ca="1">IFERROR(__xludf.DUMMYFUNCTION("""COMPUTED_VALUE"""),2)</f>
        <v>2</v>
      </c>
      <c r="D9006" s="8">
        <f ca="1">IFERROR(__xludf.DUMMYFUNCTION("""COMPUTED_VALUE"""),2)</f>
        <v>2</v>
      </c>
      <c r="E9006" s="2">
        <f ca="1">IFERROR(__xludf.DUMMYFUNCTION("""COMPUTED_VALUE"""),1)</f>
        <v>1</v>
      </c>
    </row>
    <row r="9007" spans="1:5" ht="13">
      <c r="A9007" s="2" t="str">
        <f ca="1">IFERROR(__xludf.DUMMYFUNCTION("""COMPUTED_VALUE"""),"Arthur, Judy")</f>
        <v>Arthur, Judy</v>
      </c>
      <c r="B9007" s="3">
        <f ca="1">IFERROR(__xludf.DUMMYFUNCTION("""COMPUTED_VALUE"""),2)</f>
        <v>2</v>
      </c>
      <c r="C9007" s="7">
        <f ca="1">IFERROR(__xludf.DUMMYFUNCTION("""COMPUTED_VALUE"""),2)</f>
        <v>2</v>
      </c>
      <c r="D9007" s="8">
        <f ca="1">IFERROR(__xludf.DUMMYFUNCTION("""COMPUTED_VALUE"""),2)</f>
        <v>2</v>
      </c>
      <c r="E9007" s="2">
        <f ca="1">IFERROR(__xludf.DUMMYFUNCTION("""COMPUTED_VALUE"""),1)</f>
        <v>1</v>
      </c>
    </row>
    <row r="9008" spans="1:5" ht="13">
      <c r="A9008" s="8" t="str">
        <f ca="1">IFERROR(__xludf.DUMMYFUNCTION("""COMPUTED_VALUE"""),"Artman, Ruth")</f>
        <v>Artman, Ruth</v>
      </c>
      <c r="B9008" s="3">
        <f ca="1">IFERROR(__xludf.DUMMYFUNCTION("""COMPUTED_VALUE"""),2)</f>
        <v>2</v>
      </c>
      <c r="C9008" s="7">
        <f ca="1">IFERROR(__xludf.DUMMYFUNCTION("""COMPUTED_VALUE"""),2)</f>
        <v>2</v>
      </c>
      <c r="D9008" s="8">
        <f ca="1">IFERROR(__xludf.DUMMYFUNCTION("""COMPUTED_VALUE"""),6)</f>
        <v>6</v>
      </c>
      <c r="E9008" s="2">
        <f ca="1">IFERROR(__xludf.DUMMYFUNCTION("""COMPUTED_VALUE"""),2)</f>
        <v>2</v>
      </c>
    </row>
    <row r="9009" spans="1:5" ht="13">
      <c r="A9009" s="2" t="str">
        <f ca="1">IFERROR(__xludf.DUMMYFUNCTION("""COMPUTED_VALUE"""),"Arvanitis, Anika")</f>
        <v>Arvanitis, Anika</v>
      </c>
      <c r="B9009" s="3">
        <f ca="1">IFERROR(__xludf.DUMMYFUNCTION("""COMPUTED_VALUE"""),2)</f>
        <v>2</v>
      </c>
      <c r="C9009" s="7">
        <f ca="1">IFERROR(__xludf.DUMMYFUNCTION("""COMPUTED_VALUE"""),2)</f>
        <v>2</v>
      </c>
      <c r="D9009" s="8">
        <f ca="1">IFERROR(__xludf.DUMMYFUNCTION("""COMPUTED_VALUE"""),2)</f>
        <v>2</v>
      </c>
      <c r="E9009" s="2">
        <f ca="1">IFERROR(__xludf.DUMMYFUNCTION("""COMPUTED_VALUE"""),1)</f>
        <v>1</v>
      </c>
    </row>
    <row r="9010" spans="1:5" ht="13">
      <c r="A9010" s="2" t="str">
        <f ca="1">IFERROR(__xludf.DUMMYFUNCTION("""COMPUTED_VALUE"""),"Ashby, Leeann")</f>
        <v>Ashby, Leeann</v>
      </c>
      <c r="B9010" s="3">
        <f ca="1">IFERROR(__xludf.DUMMYFUNCTION("""COMPUTED_VALUE"""),2)</f>
        <v>2</v>
      </c>
      <c r="C9010" s="7">
        <f ca="1">IFERROR(__xludf.DUMMYFUNCTION("""COMPUTED_VALUE"""),2)</f>
        <v>2</v>
      </c>
      <c r="D9010" s="8">
        <f ca="1">IFERROR(__xludf.DUMMYFUNCTION("""COMPUTED_VALUE"""),2)</f>
        <v>2</v>
      </c>
      <c r="E9010" s="2">
        <f ca="1">IFERROR(__xludf.DUMMYFUNCTION("""COMPUTED_VALUE"""),1)</f>
        <v>1</v>
      </c>
    </row>
    <row r="9011" spans="1:5" ht="13">
      <c r="A9011" s="8" t="str">
        <f ca="1">IFERROR(__xludf.DUMMYFUNCTION("""COMPUTED_VALUE"""),"Asherov, Ayala")</f>
        <v>Asherov, Ayala</v>
      </c>
      <c r="B9011" s="3">
        <f ca="1">IFERROR(__xludf.DUMMYFUNCTION("""COMPUTED_VALUE"""),2)</f>
        <v>2</v>
      </c>
      <c r="C9011" s="7">
        <f ca="1">IFERROR(__xludf.DUMMYFUNCTION("""COMPUTED_VALUE"""),2)</f>
        <v>2</v>
      </c>
      <c r="D9011" s="8">
        <f ca="1">IFERROR(__xludf.DUMMYFUNCTION("""COMPUTED_VALUE"""),2)</f>
        <v>2</v>
      </c>
      <c r="E9011" s="2">
        <f ca="1">IFERROR(__xludf.DUMMYFUNCTION("""COMPUTED_VALUE"""),1)</f>
        <v>1</v>
      </c>
    </row>
    <row r="9012" spans="1:5" ht="13">
      <c r="A9012" s="2" t="str">
        <f ca="1">IFERROR(__xludf.DUMMYFUNCTION("""COMPUTED_VALUE"""),"Atwell, Shirl")</f>
        <v>Atwell, Shirl</v>
      </c>
      <c r="B9012" s="2">
        <f ca="1">IFERROR(__xludf.DUMMYFUNCTION("""COMPUTED_VALUE"""),2)</f>
        <v>2</v>
      </c>
      <c r="C9012" s="7">
        <f ca="1">IFERROR(__xludf.DUMMYFUNCTION("""COMPUTED_VALUE"""),2)</f>
        <v>2</v>
      </c>
      <c r="D9012" s="8">
        <f ca="1">IFERROR(__xludf.DUMMYFUNCTION("""COMPUTED_VALUE"""),2)</f>
        <v>2</v>
      </c>
      <c r="E9012" s="2">
        <f ca="1">IFERROR(__xludf.DUMMYFUNCTION("""COMPUTED_VALUE"""),1)</f>
        <v>1</v>
      </c>
    </row>
    <row r="9013" spans="1:5" ht="13">
      <c r="A9013" s="8" t="str">
        <f ca="1">IFERROR(__xludf.DUMMYFUNCTION("""COMPUTED_VALUE"""),"Atwell, Shirl Jae")</f>
        <v>Atwell, Shirl Jae</v>
      </c>
      <c r="B9013" s="3">
        <f ca="1">IFERROR(__xludf.DUMMYFUNCTION("""COMPUTED_VALUE"""),2)</f>
        <v>2</v>
      </c>
      <c r="C9013" s="7">
        <f ca="1">IFERROR(__xludf.DUMMYFUNCTION("""COMPUTED_VALUE"""),2)</f>
        <v>2</v>
      </c>
      <c r="D9013" s="8">
        <f ca="1">IFERROR(__xludf.DUMMYFUNCTION("""COMPUTED_VALUE"""),2)</f>
        <v>2</v>
      </c>
      <c r="E9013" s="2">
        <f ca="1">IFERROR(__xludf.DUMMYFUNCTION("""COMPUTED_VALUE"""),1)</f>
        <v>1</v>
      </c>
    </row>
    <row r="9014" spans="1:5" ht="13">
      <c r="A9014" s="8" t="str">
        <f ca="1">IFERROR(__xludf.DUMMYFUNCTION("""COMPUTED_VALUE"""),"Auerbach, Lera")</f>
        <v>Auerbach, Lera</v>
      </c>
      <c r="B9014" s="3">
        <f ca="1">IFERROR(__xludf.DUMMYFUNCTION("""COMPUTED_VALUE"""),2)</f>
        <v>2</v>
      </c>
      <c r="C9014" s="7">
        <f ca="1">IFERROR(__xludf.DUMMYFUNCTION("""COMPUTED_VALUE"""),2)</f>
        <v>2</v>
      </c>
      <c r="D9014" s="8">
        <f ca="1">IFERROR(__xludf.DUMMYFUNCTION("""COMPUTED_VALUE"""),2)</f>
        <v>2</v>
      </c>
      <c r="E9014" s="2">
        <f ca="1">IFERROR(__xludf.DUMMYFUNCTION("""COMPUTED_VALUE"""),1)</f>
        <v>1</v>
      </c>
    </row>
    <row r="9015" spans="1:5" ht="13">
      <c r="A9015" s="8" t="str">
        <f ca="1">IFERROR(__xludf.DUMMYFUNCTION("""COMPUTED_VALUE"""),"Austin, Elizabeth R.")</f>
        <v>Austin, Elizabeth R.</v>
      </c>
      <c r="B9015" s="3">
        <f ca="1">IFERROR(__xludf.DUMMYFUNCTION("""COMPUTED_VALUE"""),2)</f>
        <v>2</v>
      </c>
      <c r="C9015" s="7">
        <f ca="1">IFERROR(__xludf.DUMMYFUNCTION("""COMPUTED_VALUE"""),2)</f>
        <v>2</v>
      </c>
      <c r="D9015" s="8">
        <f ca="1">IFERROR(__xludf.DUMMYFUNCTION("""COMPUTED_VALUE"""),2)</f>
        <v>2</v>
      </c>
      <c r="E9015" s="2">
        <f ca="1">IFERROR(__xludf.DUMMYFUNCTION("""COMPUTED_VALUE"""),1)</f>
        <v>1</v>
      </c>
    </row>
    <row r="9016" spans="1:5" ht="13">
      <c r="A9016" s="2" t="str">
        <f ca="1">IFERROR(__xludf.DUMMYFUNCTION("""COMPUTED_VALUE"""),"Bacak, Joyce Eilers")</f>
        <v>Bacak, Joyce Eilers</v>
      </c>
      <c r="B9016" s="2">
        <f ca="1">IFERROR(__xludf.DUMMYFUNCTION("""COMPUTED_VALUE"""),2)</f>
        <v>2</v>
      </c>
      <c r="C9016" s="2">
        <f ca="1">IFERROR(__xludf.DUMMYFUNCTION("""COMPUTED_VALUE"""),2)</f>
        <v>2</v>
      </c>
      <c r="D9016" s="8">
        <f ca="1">IFERROR(__xludf.DUMMYFUNCTION("""COMPUTED_VALUE"""),6)</f>
        <v>6</v>
      </c>
      <c r="E9016" s="2">
        <f ca="1">IFERROR(__xludf.DUMMYFUNCTION("""COMPUTED_VALUE"""),2)</f>
        <v>2</v>
      </c>
    </row>
    <row r="9017" spans="1:5" ht="13">
      <c r="A9017" s="8" t="str">
        <f ca="1">IFERROR(__xludf.DUMMYFUNCTION("""COMPUTED_VALUE"""),"Bacewicz, Grazyna")</f>
        <v>Bacewicz, Grazyna</v>
      </c>
      <c r="B9017" s="3">
        <f ca="1">IFERROR(__xludf.DUMMYFUNCTION("""COMPUTED_VALUE"""),2)</f>
        <v>2</v>
      </c>
      <c r="C9017" s="7">
        <f ca="1">IFERROR(__xludf.DUMMYFUNCTION("""COMPUTED_VALUE"""),2)</f>
        <v>2</v>
      </c>
      <c r="D9017" s="8">
        <f ca="1">IFERROR(__xludf.DUMMYFUNCTION("""COMPUTED_VALUE"""),6)</f>
        <v>6</v>
      </c>
      <c r="E9017" s="2">
        <f ca="1">IFERROR(__xludf.DUMMYFUNCTION("""COMPUTED_VALUE"""),2)</f>
        <v>2</v>
      </c>
    </row>
    <row r="9018" spans="1:5" ht="13">
      <c r="A9018" s="2" t="str">
        <f ca="1">IFERROR(__xludf.DUMMYFUNCTION("""COMPUTED_VALUE"""),"Bacewicz, Grażyna")</f>
        <v>Bacewicz, Grażyna</v>
      </c>
      <c r="B9018" s="3">
        <f ca="1">IFERROR(__xludf.DUMMYFUNCTION("""COMPUTED_VALUE"""),2)</f>
        <v>2</v>
      </c>
      <c r="C9018" s="7">
        <f ca="1">IFERROR(__xludf.DUMMYFUNCTION("""COMPUTED_VALUE"""),2)</f>
        <v>2</v>
      </c>
      <c r="D9018" s="8">
        <f ca="1">IFERROR(__xludf.DUMMYFUNCTION("""COMPUTED_VALUE"""),6)</f>
        <v>6</v>
      </c>
      <c r="E9018" s="2">
        <f ca="1">IFERROR(__xludf.DUMMYFUNCTION("""COMPUTED_VALUE"""),2)</f>
        <v>2</v>
      </c>
    </row>
    <row r="9019" spans="1:5" ht="13">
      <c r="A9019" s="2" t="str">
        <f ca="1">IFERROR(__xludf.DUMMYFUNCTION("""COMPUTED_VALUE"""),"Bach, Maria")</f>
        <v>Bach, Maria</v>
      </c>
      <c r="B9019" s="3">
        <f ca="1">IFERROR(__xludf.DUMMYFUNCTION("""COMPUTED_VALUE"""),2)</f>
        <v>2</v>
      </c>
      <c r="C9019" s="7">
        <f ca="1">IFERROR(__xludf.DUMMYFUNCTION("""COMPUTED_VALUE"""),2)</f>
        <v>2</v>
      </c>
      <c r="D9019" s="8">
        <f ca="1">IFERROR(__xludf.DUMMYFUNCTION("""COMPUTED_VALUE"""),6)</f>
        <v>6</v>
      </c>
      <c r="E9019" s="2">
        <f ca="1">IFERROR(__xludf.DUMMYFUNCTION("""COMPUTED_VALUE"""),2)</f>
        <v>2</v>
      </c>
    </row>
    <row r="9020" spans="1:5" ht="13">
      <c r="A9020" s="8" t="str">
        <f ca="1">IFERROR(__xludf.DUMMYFUNCTION("""COMPUTED_VALUE"""),"Bacon, Alexis")</f>
        <v>Bacon, Alexis</v>
      </c>
      <c r="B9020" s="3">
        <f ca="1">IFERROR(__xludf.DUMMYFUNCTION("""COMPUTED_VALUE"""),2)</f>
        <v>2</v>
      </c>
      <c r="C9020" s="7">
        <f ca="1">IFERROR(__xludf.DUMMYFUNCTION("""COMPUTED_VALUE"""),2)</f>
        <v>2</v>
      </c>
      <c r="D9020" s="8">
        <f ca="1">IFERROR(__xludf.DUMMYFUNCTION("""COMPUTED_VALUE"""),2)</f>
        <v>2</v>
      </c>
      <c r="E9020" s="2">
        <f ca="1">IFERROR(__xludf.DUMMYFUNCTION("""COMPUTED_VALUE"""),1)</f>
        <v>1</v>
      </c>
    </row>
    <row r="9021" spans="1:5" ht="13">
      <c r="A9021" s="8" t="str">
        <f ca="1">IFERROR(__xludf.DUMMYFUNCTION("""COMPUTED_VALUE"""),"Bacon, Annalee")</f>
        <v>Bacon, Annalee</v>
      </c>
      <c r="B9021" s="3">
        <f ca="1">IFERROR(__xludf.DUMMYFUNCTION("""COMPUTED_VALUE"""),2)</f>
        <v>2</v>
      </c>
      <c r="C9021" s="7">
        <f ca="1">IFERROR(__xludf.DUMMYFUNCTION("""COMPUTED_VALUE"""),2)</f>
        <v>2</v>
      </c>
      <c r="D9021" s="8">
        <f ca="1">IFERROR(__xludf.DUMMYFUNCTION("""COMPUTED_VALUE"""),6)</f>
        <v>6</v>
      </c>
      <c r="E9021" s="2">
        <f ca="1">IFERROR(__xludf.DUMMYFUNCTION("""COMPUTED_VALUE"""),2)</f>
        <v>2</v>
      </c>
    </row>
    <row r="9022" spans="1:5" ht="13">
      <c r="A9022" s="2" t="str">
        <f ca="1">IFERROR(__xludf.DUMMYFUNCTION("""COMPUTED_VALUE"""),"Bacon, Denise")</f>
        <v>Bacon, Denise</v>
      </c>
      <c r="B9022" s="3">
        <f ca="1">IFERROR(__xludf.DUMMYFUNCTION("""COMPUTED_VALUE"""),2)</f>
        <v>2</v>
      </c>
      <c r="C9022" s="7">
        <f ca="1">IFERROR(__xludf.DUMMYFUNCTION("""COMPUTED_VALUE"""),2)</f>
        <v>2</v>
      </c>
      <c r="D9022" s="8">
        <f ca="1">IFERROR(__xludf.DUMMYFUNCTION("""COMPUTED_VALUE"""),6)</f>
        <v>6</v>
      </c>
      <c r="E9022" s="2">
        <f ca="1">IFERROR(__xludf.DUMMYFUNCTION("""COMPUTED_VALUE"""),2)</f>
        <v>2</v>
      </c>
    </row>
    <row r="9023" spans="1:5" ht="13">
      <c r="A9023" s="2" t="str">
        <f ca="1">IFERROR(__xludf.DUMMYFUNCTION("""COMPUTED_VALUE"""),"Badarak, Mary Lynn")</f>
        <v>Badarak, Mary Lynn</v>
      </c>
      <c r="B9023" s="3">
        <f ca="1">IFERROR(__xludf.DUMMYFUNCTION("""COMPUTED_VALUE"""),2)</f>
        <v>2</v>
      </c>
      <c r="C9023" s="7">
        <f ca="1">IFERROR(__xludf.DUMMYFUNCTION("""COMPUTED_VALUE"""),2)</f>
        <v>2</v>
      </c>
      <c r="D9023" s="8">
        <f ca="1">IFERROR(__xludf.DUMMYFUNCTION("""COMPUTED_VALUE"""),2)</f>
        <v>2</v>
      </c>
      <c r="E9023" s="2">
        <f ca="1">IFERROR(__xludf.DUMMYFUNCTION("""COMPUTED_VALUE"""),1)</f>
        <v>1</v>
      </c>
    </row>
    <row r="9024" spans="1:5" ht="13">
      <c r="A9024" s="8" t="str">
        <f ca="1">IFERROR(__xludf.DUMMYFUNCTION("""COMPUTED_VALUE"""),"Bailey, Lynn Shaw")</f>
        <v>Bailey, Lynn Shaw</v>
      </c>
      <c r="B9024" s="3">
        <f ca="1">IFERROR(__xludf.DUMMYFUNCTION("""COMPUTED_VALUE"""),2)</f>
        <v>2</v>
      </c>
      <c r="C9024" s="7">
        <f ca="1">IFERROR(__xludf.DUMMYFUNCTION("""COMPUTED_VALUE"""),2)</f>
        <v>2</v>
      </c>
      <c r="D9024" s="8">
        <f ca="1">IFERROR(__xludf.DUMMYFUNCTION("""COMPUTED_VALUE"""),2)</f>
        <v>2</v>
      </c>
      <c r="E9024" s="2">
        <f ca="1">IFERROR(__xludf.DUMMYFUNCTION("""COMPUTED_VALUE"""),1)</f>
        <v>1</v>
      </c>
    </row>
    <row r="9025" spans="1:5" ht="13">
      <c r="A9025" s="2" t="str">
        <f ca="1">IFERROR(__xludf.DUMMYFUNCTION("""COMPUTED_VALUE"""),"Bailey, Marge")</f>
        <v>Bailey, Marge</v>
      </c>
      <c r="B9025" s="3">
        <f ca="1">IFERROR(__xludf.DUMMYFUNCTION("""COMPUTED_VALUE"""),2)</f>
        <v>2</v>
      </c>
      <c r="C9025" s="7">
        <f ca="1">IFERROR(__xludf.DUMMYFUNCTION("""COMPUTED_VALUE"""),2)</f>
        <v>2</v>
      </c>
      <c r="D9025" s="8">
        <f ca="1">IFERROR(__xludf.DUMMYFUNCTION("""COMPUTED_VALUE"""),6)</f>
        <v>6</v>
      </c>
      <c r="E9025" s="2">
        <f ca="1">IFERROR(__xludf.DUMMYFUNCTION("""COMPUTED_VALUE"""),2)</f>
        <v>2</v>
      </c>
    </row>
    <row r="9026" spans="1:5" ht="13">
      <c r="A9026" s="2" t="str">
        <f ca="1">IFERROR(__xludf.DUMMYFUNCTION("""COMPUTED_VALUE"""),"Bair, Alisa")</f>
        <v>Bair, Alisa</v>
      </c>
      <c r="B9026" s="3">
        <f ca="1">IFERROR(__xludf.DUMMYFUNCTION("""COMPUTED_VALUE"""),2)</f>
        <v>2</v>
      </c>
      <c r="C9026" s="7">
        <f ca="1">IFERROR(__xludf.DUMMYFUNCTION("""COMPUTED_VALUE"""),2)</f>
        <v>2</v>
      </c>
      <c r="D9026" s="8">
        <f ca="1">IFERROR(__xludf.DUMMYFUNCTION("""COMPUTED_VALUE"""),2)</f>
        <v>2</v>
      </c>
      <c r="E9026" s="2">
        <f ca="1">IFERROR(__xludf.DUMMYFUNCTION("""COMPUTED_VALUE"""),1)</f>
        <v>1</v>
      </c>
    </row>
    <row r="9027" spans="1:5" ht="13">
      <c r="A9027" s="8" t="str">
        <f ca="1">IFERROR(__xludf.DUMMYFUNCTION("""COMPUTED_VALUE"""),"Balch, Katherine")</f>
        <v>Balch, Katherine</v>
      </c>
      <c r="B9027" s="3">
        <f ca="1">IFERROR(__xludf.DUMMYFUNCTION("""COMPUTED_VALUE"""),2)</f>
        <v>2</v>
      </c>
      <c r="C9027" s="7">
        <f ca="1">IFERROR(__xludf.DUMMYFUNCTION("""COMPUTED_VALUE"""),2)</f>
        <v>2</v>
      </c>
      <c r="D9027" s="8">
        <f ca="1">IFERROR(__xludf.DUMMYFUNCTION("""COMPUTED_VALUE"""),2)</f>
        <v>2</v>
      </c>
      <c r="E9027" s="2">
        <f ca="1">IFERROR(__xludf.DUMMYFUNCTION("""COMPUTED_VALUE"""),1)</f>
        <v>1</v>
      </c>
    </row>
    <row r="9028" spans="1:5" ht="13">
      <c r="A9028" s="8" t="str">
        <f ca="1">IFERROR(__xludf.DUMMYFUNCTION("""COMPUTED_VALUE"""),"Balch, Katie")</f>
        <v>Balch, Katie</v>
      </c>
      <c r="B9028" s="3">
        <f ca="1">IFERROR(__xludf.DUMMYFUNCTION("""COMPUTED_VALUE"""),2)</f>
        <v>2</v>
      </c>
      <c r="C9028" s="7">
        <f ca="1">IFERROR(__xludf.DUMMYFUNCTION("""COMPUTED_VALUE"""),2)</f>
        <v>2</v>
      </c>
      <c r="D9028" s="8">
        <f ca="1">IFERROR(__xludf.DUMMYFUNCTION("""COMPUTED_VALUE"""),2)</f>
        <v>2</v>
      </c>
      <c r="E9028" s="2">
        <f ca="1">IFERROR(__xludf.DUMMYFUNCTION("""COMPUTED_VALUE"""),1)</f>
        <v>1</v>
      </c>
    </row>
    <row r="9029" spans="1:5" ht="13">
      <c r="A9029" s="8" t="str">
        <f ca="1">IFERROR(__xludf.DUMMYFUNCTION("""COMPUTED_VALUE"""),"Ball, Erica J.")</f>
        <v>Ball, Erica J.</v>
      </c>
      <c r="B9029" s="3">
        <f ca="1">IFERROR(__xludf.DUMMYFUNCTION("""COMPUTED_VALUE"""),2)</f>
        <v>2</v>
      </c>
      <c r="C9029" s="7">
        <f ca="1">IFERROR(__xludf.DUMMYFUNCTION("""COMPUTED_VALUE"""),2)</f>
        <v>2</v>
      </c>
      <c r="D9029" s="8">
        <f ca="1">IFERROR(__xludf.DUMMYFUNCTION("""COMPUTED_VALUE"""),2)</f>
        <v>2</v>
      </c>
      <c r="E9029" s="2">
        <f ca="1">IFERROR(__xludf.DUMMYFUNCTION("""COMPUTED_VALUE"""),1)</f>
        <v>1</v>
      </c>
    </row>
    <row r="9030" spans="1:5" ht="13">
      <c r="A9030" s="2" t="str">
        <f ca="1">IFERROR(__xludf.DUMMYFUNCTION("""COMPUTED_VALUE"""),"Ballantyne, Kathleen")</f>
        <v>Ballantyne, Kathleen</v>
      </c>
      <c r="B9030" s="3">
        <f ca="1">IFERROR(__xludf.DUMMYFUNCTION("""COMPUTED_VALUE"""),2)</f>
        <v>2</v>
      </c>
      <c r="C9030" s="7">
        <f ca="1">IFERROR(__xludf.DUMMYFUNCTION("""COMPUTED_VALUE"""),2)</f>
        <v>2</v>
      </c>
      <c r="D9030" s="8">
        <f ca="1">IFERROR(__xludf.DUMMYFUNCTION("""COMPUTED_VALUE"""),2)</f>
        <v>2</v>
      </c>
      <c r="E9030" s="2">
        <f ca="1">IFERROR(__xludf.DUMMYFUNCTION("""COMPUTED_VALUE"""),1)</f>
        <v>1</v>
      </c>
    </row>
    <row r="9031" spans="1:5" ht="13">
      <c r="A9031" s="2" t="str">
        <f ca="1">IFERROR(__xludf.DUMMYFUNCTION("""COMPUTED_VALUE"""),"Ballard, Julie Ann")</f>
        <v>Ballard, Julie Ann</v>
      </c>
      <c r="B9031" s="3">
        <f ca="1">IFERROR(__xludf.DUMMYFUNCTION("""COMPUTED_VALUE"""),2)</f>
        <v>2</v>
      </c>
      <c r="C9031" s="7">
        <f ca="1">IFERROR(__xludf.DUMMYFUNCTION("""COMPUTED_VALUE"""),2)</f>
        <v>2</v>
      </c>
      <c r="D9031" s="8">
        <f ca="1">IFERROR(__xludf.DUMMYFUNCTION("""COMPUTED_VALUE"""),2)</f>
        <v>2</v>
      </c>
      <c r="E9031" s="2">
        <f ca="1">IFERROR(__xludf.DUMMYFUNCTION("""COMPUTED_VALUE"""),1)</f>
        <v>1</v>
      </c>
    </row>
    <row r="9032" spans="1:5" ht="13">
      <c r="A9032" s="8" t="str">
        <f ca="1">IFERROR(__xludf.DUMMYFUNCTION("""COMPUTED_VALUE"""),"Bång, Malin")</f>
        <v>Bång, Malin</v>
      </c>
      <c r="B9032" s="3">
        <f ca="1">IFERROR(__xludf.DUMMYFUNCTION("""COMPUTED_VALUE"""),2)</f>
        <v>2</v>
      </c>
      <c r="C9032" s="7">
        <f ca="1">IFERROR(__xludf.DUMMYFUNCTION("""COMPUTED_VALUE"""),2)</f>
        <v>2</v>
      </c>
      <c r="D9032" s="8">
        <f ca="1">IFERROR(__xludf.DUMMYFUNCTION("""COMPUTED_VALUE"""),2)</f>
        <v>2</v>
      </c>
      <c r="E9032" s="2">
        <f ca="1">IFERROR(__xludf.DUMMYFUNCTION("""COMPUTED_VALUE"""),1)</f>
        <v>1</v>
      </c>
    </row>
    <row r="9033" spans="1:5" ht="13">
      <c r="A9033" s="8" t="str">
        <f ca="1">IFERROR(__xludf.DUMMYFUNCTION("""COMPUTED_VALUE"""),"Bareilles, Sara")</f>
        <v>Bareilles, Sara</v>
      </c>
      <c r="B9033" s="3">
        <f ca="1">IFERROR(__xludf.DUMMYFUNCTION("""COMPUTED_VALUE"""),2)</f>
        <v>2</v>
      </c>
      <c r="C9033" s="7">
        <f ca="1">IFERROR(__xludf.DUMMYFUNCTION("""COMPUTED_VALUE"""),2)</f>
        <v>2</v>
      </c>
      <c r="D9033" s="8">
        <f ca="1">IFERROR(__xludf.DUMMYFUNCTION("""COMPUTED_VALUE"""),2)</f>
        <v>2</v>
      </c>
      <c r="E9033" s="2">
        <f ca="1">IFERROR(__xludf.DUMMYFUNCTION("""COMPUTED_VALUE"""),1)</f>
        <v>1</v>
      </c>
    </row>
    <row r="9034" spans="1:5" ht="13">
      <c r="A9034" s="2" t="str">
        <f ca="1">IFERROR(__xludf.DUMMYFUNCTION("""COMPUTED_VALUE"""),"Bargreen, Melinda")</f>
        <v>Bargreen, Melinda</v>
      </c>
      <c r="B9034" s="3">
        <f ca="1">IFERROR(__xludf.DUMMYFUNCTION("""COMPUTED_VALUE"""),2)</f>
        <v>2</v>
      </c>
      <c r="C9034" s="7">
        <f ca="1">IFERROR(__xludf.DUMMYFUNCTION("""COMPUTED_VALUE"""),2)</f>
        <v>2</v>
      </c>
      <c r="D9034" s="8">
        <f ca="1">IFERROR(__xludf.DUMMYFUNCTION("""COMPUTED_VALUE"""),2)</f>
        <v>2</v>
      </c>
      <c r="E9034" s="2">
        <f ca="1">IFERROR(__xludf.DUMMYFUNCTION("""COMPUTED_VALUE"""),1)</f>
        <v>1</v>
      </c>
    </row>
    <row r="9035" spans="1:5" ht="13">
      <c r="A9035" s="8" t="str">
        <f ca="1">IFERROR(__xludf.DUMMYFUNCTION("""COMPUTED_VALUE"""),"Barnett, Carol")</f>
        <v>Barnett, Carol</v>
      </c>
      <c r="B9035" s="3">
        <f ca="1">IFERROR(__xludf.DUMMYFUNCTION("""COMPUTED_VALUE"""),2)</f>
        <v>2</v>
      </c>
      <c r="C9035" s="7">
        <f ca="1">IFERROR(__xludf.DUMMYFUNCTION("""COMPUTED_VALUE"""),2)</f>
        <v>2</v>
      </c>
      <c r="D9035" s="8">
        <f ca="1">IFERROR(__xludf.DUMMYFUNCTION("""COMPUTED_VALUE"""),2)</f>
        <v>2</v>
      </c>
      <c r="E9035" s="2">
        <f ca="1">IFERROR(__xludf.DUMMYFUNCTION("""COMPUTED_VALUE"""),1)</f>
        <v>1</v>
      </c>
    </row>
    <row r="9036" spans="1:5" ht="13">
      <c r="A9036" s="8" t="str">
        <f ca="1">IFERROR(__xludf.DUMMYFUNCTION("""COMPUTED_VALUE"""),"Barns, Ethel")</f>
        <v>Barns, Ethel</v>
      </c>
      <c r="B9036" s="3">
        <f ca="1">IFERROR(__xludf.DUMMYFUNCTION("""COMPUTED_VALUE"""),2)</f>
        <v>2</v>
      </c>
      <c r="C9036" s="7">
        <f ca="1">IFERROR(__xludf.DUMMYFUNCTION("""COMPUTED_VALUE"""),2)</f>
        <v>2</v>
      </c>
      <c r="D9036" s="8">
        <f ca="1">IFERROR(__xludf.DUMMYFUNCTION("""COMPUTED_VALUE"""),6)</f>
        <v>6</v>
      </c>
      <c r="E9036" s="2">
        <f ca="1">IFERROR(__xludf.DUMMYFUNCTION("""COMPUTED_VALUE"""),2)</f>
        <v>2</v>
      </c>
    </row>
    <row r="9037" spans="1:5" ht="13">
      <c r="A9037" s="2" t="str">
        <f ca="1">IFERROR(__xludf.DUMMYFUNCTION("""COMPUTED_VALUE"""),"Bart, Katie")</f>
        <v>Bart, Katie</v>
      </c>
      <c r="B9037" s="3">
        <f ca="1">IFERROR(__xludf.DUMMYFUNCTION("""COMPUTED_VALUE"""),2)</f>
        <v>2</v>
      </c>
      <c r="C9037" s="7">
        <f ca="1">IFERROR(__xludf.DUMMYFUNCTION("""COMPUTED_VALUE"""),2)</f>
        <v>2</v>
      </c>
      <c r="D9037" s="8">
        <f ca="1">IFERROR(__xludf.DUMMYFUNCTION("""COMPUTED_VALUE"""),2)</f>
        <v>2</v>
      </c>
      <c r="E9037" s="2">
        <f ca="1">IFERROR(__xludf.DUMMYFUNCTION("""COMPUTED_VALUE"""),1)</f>
        <v>1</v>
      </c>
    </row>
    <row r="9038" spans="1:5" ht="13">
      <c r="A9038" s="8" t="str">
        <f ca="1">IFERROR(__xludf.DUMMYFUNCTION("""COMPUTED_VALUE"""),"Bart, Katie Moran")</f>
        <v>Bart, Katie Moran</v>
      </c>
      <c r="B9038" s="3">
        <f ca="1">IFERROR(__xludf.DUMMYFUNCTION("""COMPUTED_VALUE"""),2)</f>
        <v>2</v>
      </c>
      <c r="C9038" s="7">
        <f ca="1">IFERROR(__xludf.DUMMYFUNCTION("""COMPUTED_VALUE"""),2)</f>
        <v>2</v>
      </c>
      <c r="D9038" s="8">
        <f ca="1">IFERROR(__xludf.DUMMYFUNCTION("""COMPUTED_VALUE"""),2)</f>
        <v>2</v>
      </c>
      <c r="E9038" s="2">
        <f ca="1">IFERROR(__xludf.DUMMYFUNCTION("""COMPUTED_VALUE"""),1)</f>
        <v>1</v>
      </c>
    </row>
    <row r="9039" spans="1:5" ht="13">
      <c r="A9039" s="8" t="str">
        <f ca="1">IFERROR(__xludf.DUMMYFUNCTION("""COMPUTED_VALUE"""),"Bartholomew, Annie")</f>
        <v>Bartholomew, Annie</v>
      </c>
      <c r="B9039" s="3">
        <f ca="1">IFERROR(__xludf.DUMMYFUNCTION("""COMPUTED_VALUE"""),2)</f>
        <v>2</v>
      </c>
      <c r="C9039" s="7">
        <f ca="1">IFERROR(__xludf.DUMMYFUNCTION("""COMPUTED_VALUE"""),2)</f>
        <v>2</v>
      </c>
      <c r="D9039" s="8">
        <f ca="1">IFERROR(__xludf.DUMMYFUNCTION("""COMPUTED_VALUE"""),2)</f>
        <v>2</v>
      </c>
      <c r="E9039" s="2">
        <f ca="1">IFERROR(__xludf.DUMMYFUNCTION("""COMPUTED_VALUE"""),1)</f>
        <v>1</v>
      </c>
    </row>
    <row r="9040" spans="1:5" ht="13">
      <c r="A9040" s="8" t="str">
        <f ca="1">IFERROR(__xludf.DUMMYFUNCTION("""COMPUTED_VALUE"""),"Bartle, Jean")</f>
        <v>Bartle, Jean</v>
      </c>
      <c r="B9040" s="3">
        <f ca="1">IFERROR(__xludf.DUMMYFUNCTION("""COMPUTED_VALUE"""),2)</f>
        <v>2</v>
      </c>
      <c r="C9040" s="7">
        <f ca="1">IFERROR(__xludf.DUMMYFUNCTION("""COMPUTED_VALUE"""),2)</f>
        <v>2</v>
      </c>
      <c r="D9040" s="8">
        <f ca="1">IFERROR(__xludf.DUMMYFUNCTION("""COMPUTED_VALUE"""),2)</f>
        <v>2</v>
      </c>
      <c r="E9040" s="2">
        <f ca="1">IFERROR(__xludf.DUMMYFUNCTION("""COMPUTED_VALUE"""),1)</f>
        <v>1</v>
      </c>
    </row>
    <row r="9041" spans="1:5" ht="13">
      <c r="A9041" s="2" t="str">
        <f ca="1">IFERROR(__xludf.DUMMYFUNCTION("""COMPUTED_VALUE"""),"Bartle, Jean / Patriquin, Donald")</f>
        <v>Bartle, Jean / Patriquin, Donald</v>
      </c>
      <c r="B9041" s="3">
        <f ca="1">IFERROR(__xludf.DUMMYFUNCTION("""COMPUTED_VALUE"""),2)</f>
        <v>2</v>
      </c>
      <c r="C9041" s="7">
        <f ca="1">IFERROR(__xludf.DUMMYFUNCTION("""COMPUTED_VALUE"""),2)</f>
        <v>2</v>
      </c>
      <c r="D9041" s="8">
        <f ca="1">IFERROR(__xludf.DUMMYFUNCTION("""COMPUTED_VALUE"""),2)</f>
        <v>2</v>
      </c>
      <c r="E9041" s="2">
        <f ca="1">IFERROR(__xludf.DUMMYFUNCTION("""COMPUTED_VALUE"""),1)</f>
        <v>1</v>
      </c>
    </row>
    <row r="9042" spans="1:5" ht="13">
      <c r="A9042" s="2" t="str">
        <f ca="1">IFERROR(__xludf.DUMMYFUNCTION("""COMPUTED_VALUE"""),"Bartle, Jean Ashworth")</f>
        <v>Bartle, Jean Ashworth</v>
      </c>
      <c r="B9042" s="3">
        <f ca="1">IFERROR(__xludf.DUMMYFUNCTION("""COMPUTED_VALUE"""),2)</f>
        <v>2</v>
      </c>
      <c r="C9042" s="7">
        <f ca="1">IFERROR(__xludf.DUMMYFUNCTION("""COMPUTED_VALUE"""),2)</f>
        <v>2</v>
      </c>
      <c r="D9042" s="8">
        <f ca="1">IFERROR(__xludf.DUMMYFUNCTION("""COMPUTED_VALUE"""),2)</f>
        <v>2</v>
      </c>
      <c r="E9042" s="2">
        <f ca="1">IFERROR(__xludf.DUMMYFUNCTION("""COMPUTED_VALUE"""),1)</f>
        <v>1</v>
      </c>
    </row>
    <row r="9043" spans="1:5" ht="13">
      <c r="A9043" s="8" t="str">
        <f ca="1">IFERROR(__xludf.DUMMYFUNCTION("""COMPUTED_VALUE"""),"Baryluk, Kim")</f>
        <v>Baryluk, Kim</v>
      </c>
      <c r="B9043" s="3">
        <f ca="1">IFERROR(__xludf.DUMMYFUNCTION("""COMPUTED_VALUE"""),2)</f>
        <v>2</v>
      </c>
      <c r="C9043" s="7">
        <f ca="1">IFERROR(__xludf.DUMMYFUNCTION("""COMPUTED_VALUE"""),2)</f>
        <v>2</v>
      </c>
      <c r="D9043" s="8">
        <f ca="1">IFERROR(__xludf.DUMMYFUNCTION("""COMPUTED_VALUE"""),6)</f>
        <v>6</v>
      </c>
      <c r="E9043" s="2">
        <f ca="1">IFERROR(__xludf.DUMMYFUNCTION("""COMPUTED_VALUE"""),2)</f>
        <v>2</v>
      </c>
    </row>
    <row r="9044" spans="1:5" ht="13">
      <c r="A9044" s="2" t="str">
        <f ca="1">IFERROR(__xludf.DUMMYFUNCTION("""COMPUTED_VALUE"""),"Batchelor, Ruth / Rankin, Kenny")</f>
        <v>Batchelor, Ruth / Rankin, Kenny</v>
      </c>
      <c r="B9044" s="3">
        <f ca="1">IFERROR(__xludf.DUMMYFUNCTION("""COMPUTED_VALUE"""),2)</f>
        <v>2</v>
      </c>
      <c r="C9044" s="7">
        <f ca="1">IFERROR(__xludf.DUMMYFUNCTION("""COMPUTED_VALUE"""),2)</f>
        <v>2</v>
      </c>
      <c r="D9044" s="8">
        <f ca="1">IFERROR(__xludf.DUMMYFUNCTION("""COMPUTED_VALUE"""),6)</f>
        <v>6</v>
      </c>
      <c r="E9044" s="2">
        <f ca="1">IFERROR(__xludf.DUMMYFUNCTION("""COMPUTED_VALUE"""),2)</f>
        <v>2</v>
      </c>
    </row>
    <row r="9045" spans="1:5" ht="13">
      <c r="A9045" s="2" t="str">
        <f ca="1">IFERROR(__xludf.DUMMYFUNCTION("""COMPUTED_VALUE"""),"Bauer, Marion")</f>
        <v>Bauer, Marion</v>
      </c>
      <c r="B9045" s="3">
        <f ca="1">IFERROR(__xludf.DUMMYFUNCTION("""COMPUTED_VALUE"""),2)</f>
        <v>2</v>
      </c>
      <c r="C9045" s="7">
        <f ca="1">IFERROR(__xludf.DUMMYFUNCTION("""COMPUTED_VALUE"""),2)</f>
        <v>2</v>
      </c>
      <c r="D9045" s="8">
        <f ca="1">IFERROR(__xludf.DUMMYFUNCTION("""COMPUTED_VALUE"""),6)</f>
        <v>6</v>
      </c>
      <c r="E9045" s="2">
        <f ca="1">IFERROR(__xludf.DUMMYFUNCTION("""COMPUTED_VALUE"""),2)</f>
        <v>2</v>
      </c>
    </row>
    <row r="9046" spans="1:5" ht="13">
      <c r="A9046" s="2" t="str">
        <f ca="1">IFERROR(__xludf.DUMMYFUNCTION("""COMPUTED_VALUE"""),"Bauer, Mikayla")</f>
        <v>Bauer, Mikayla</v>
      </c>
      <c r="B9046" s="3">
        <f ca="1">IFERROR(__xludf.DUMMYFUNCTION("""COMPUTED_VALUE"""),2)</f>
        <v>2</v>
      </c>
      <c r="C9046" s="7">
        <f ca="1">IFERROR(__xludf.DUMMYFUNCTION("""COMPUTED_VALUE"""),2)</f>
        <v>2</v>
      </c>
      <c r="D9046" s="8">
        <f ca="1">IFERROR(__xludf.DUMMYFUNCTION("""COMPUTED_VALUE"""),2)</f>
        <v>2</v>
      </c>
      <c r="E9046" s="2">
        <f ca="1">IFERROR(__xludf.DUMMYFUNCTION("""COMPUTED_VALUE"""),1)</f>
        <v>1</v>
      </c>
    </row>
    <row r="9047" spans="1:5" ht="13">
      <c r="A9047" s="2" t="str">
        <f ca="1">IFERROR(__xludf.DUMMYFUNCTION("""COMPUTED_VALUE"""),"Baugher, Grace")</f>
        <v>Baugher, Grace</v>
      </c>
      <c r="B9047" s="3">
        <f ca="1">IFERROR(__xludf.DUMMYFUNCTION("""COMPUTED_VALUE"""),2)</f>
        <v>2</v>
      </c>
      <c r="C9047" s="7">
        <f ca="1">IFERROR(__xludf.DUMMYFUNCTION("""COMPUTED_VALUE"""),2)</f>
        <v>2</v>
      </c>
      <c r="D9047" s="8">
        <f ca="1">IFERROR(__xludf.DUMMYFUNCTION("""COMPUTED_VALUE"""),2)</f>
        <v>2</v>
      </c>
      <c r="E9047" s="2">
        <f ca="1">IFERROR(__xludf.DUMMYFUNCTION("""COMPUTED_VALUE"""),1)</f>
        <v>1</v>
      </c>
    </row>
    <row r="9048" spans="1:5" ht="13">
      <c r="A9048" s="2" t="str">
        <f ca="1">IFERROR(__xludf.DUMMYFUNCTION("""COMPUTED_VALUE"""),"Baum, Laurie")</f>
        <v>Baum, Laurie</v>
      </c>
      <c r="B9048" s="3">
        <f ca="1">IFERROR(__xludf.DUMMYFUNCTION("""COMPUTED_VALUE"""),2)</f>
        <v>2</v>
      </c>
      <c r="C9048" s="7">
        <f ca="1">IFERROR(__xludf.DUMMYFUNCTION("""COMPUTED_VALUE"""),2)</f>
        <v>2</v>
      </c>
      <c r="D9048" s="8">
        <f ca="1">IFERROR(__xludf.DUMMYFUNCTION("""COMPUTED_VALUE"""),2)</f>
        <v>2</v>
      </c>
      <c r="E9048" s="2">
        <f ca="1">IFERROR(__xludf.DUMMYFUNCTION("""COMPUTED_VALUE"""),1)</f>
        <v>1</v>
      </c>
    </row>
    <row r="9049" spans="1:5" ht="13">
      <c r="A9049" s="2" t="str">
        <f ca="1">IFERROR(__xludf.DUMMYFUNCTION("""COMPUTED_VALUE"""),"Bawel, Kathleen")</f>
        <v>Bawel, Kathleen</v>
      </c>
      <c r="B9049" s="3">
        <f ca="1">IFERROR(__xludf.DUMMYFUNCTION("""COMPUTED_VALUE"""),2)</f>
        <v>2</v>
      </c>
      <c r="C9049" s="7">
        <f ca="1">IFERROR(__xludf.DUMMYFUNCTION("""COMPUTED_VALUE"""),2)</f>
        <v>2</v>
      </c>
      <c r="D9049" s="8">
        <f ca="1">IFERROR(__xludf.DUMMYFUNCTION("""COMPUTED_VALUE"""),2)</f>
        <v>2</v>
      </c>
      <c r="E9049" s="2">
        <f ca="1">IFERROR(__xludf.DUMMYFUNCTION("""COMPUTED_VALUE"""),1)</f>
        <v>1</v>
      </c>
    </row>
    <row r="9050" spans="1:5" ht="13">
      <c r="A9050" s="8" t="str">
        <f ca="1">IFERROR(__xludf.DUMMYFUNCTION("""COMPUTED_VALUE"""),"Bayreuth, Wilhelmine von")</f>
        <v>Bayreuth, Wilhelmine von</v>
      </c>
      <c r="B9050" s="3">
        <f ca="1">IFERROR(__xludf.DUMMYFUNCTION("""COMPUTED_VALUE"""),2)</f>
        <v>2</v>
      </c>
      <c r="C9050" s="7">
        <f ca="1">IFERROR(__xludf.DUMMYFUNCTION("""COMPUTED_VALUE"""),2)</f>
        <v>2</v>
      </c>
      <c r="D9050" s="8">
        <f ca="1">IFERROR(__xludf.DUMMYFUNCTION("""COMPUTED_VALUE"""),6)</f>
        <v>6</v>
      </c>
      <c r="E9050" s="2">
        <f ca="1">IFERROR(__xludf.DUMMYFUNCTION("""COMPUTED_VALUE"""),2)</f>
        <v>2</v>
      </c>
    </row>
    <row r="9051" spans="1:5" ht="13">
      <c r="A9051" s="8" t="str">
        <f ca="1">IFERROR(__xludf.DUMMYFUNCTION("""COMPUTED_VALUE"""),"Beach, Amy")</f>
        <v>Beach, Amy</v>
      </c>
      <c r="B9051" s="3">
        <f ca="1">IFERROR(__xludf.DUMMYFUNCTION("""COMPUTED_VALUE"""),2)</f>
        <v>2</v>
      </c>
      <c r="C9051" s="7">
        <f ca="1">IFERROR(__xludf.DUMMYFUNCTION("""COMPUTED_VALUE"""),2)</f>
        <v>2</v>
      </c>
      <c r="D9051" s="8">
        <f ca="1">IFERROR(__xludf.DUMMYFUNCTION("""COMPUTED_VALUE"""),6)</f>
        <v>6</v>
      </c>
      <c r="E9051" s="2">
        <f ca="1">IFERROR(__xludf.DUMMYFUNCTION("""COMPUTED_VALUE"""),2)</f>
        <v>2</v>
      </c>
    </row>
    <row r="9052" spans="1:5" ht="13">
      <c r="A9052" s="2" t="str">
        <f ca="1">IFERROR(__xludf.DUMMYFUNCTION("""COMPUTED_VALUE"""),"Beall, Mary")</f>
        <v>Beall, Mary</v>
      </c>
      <c r="B9052" s="3">
        <f ca="1">IFERROR(__xludf.DUMMYFUNCTION("""COMPUTED_VALUE"""),2)</f>
        <v>2</v>
      </c>
      <c r="C9052" s="7">
        <f ca="1">IFERROR(__xludf.DUMMYFUNCTION("""COMPUTED_VALUE"""),2)</f>
        <v>2</v>
      </c>
      <c r="D9052" s="8">
        <f ca="1">IFERROR(__xludf.DUMMYFUNCTION("""COMPUTED_VALUE"""),2)</f>
        <v>2</v>
      </c>
      <c r="E9052" s="2">
        <f ca="1">IFERROR(__xludf.DUMMYFUNCTION("""COMPUTED_VALUE"""),1)</f>
        <v>1</v>
      </c>
    </row>
    <row r="9053" spans="1:5" ht="13">
      <c r="A9053" s="8" t="str">
        <f ca="1">IFERROR(__xludf.DUMMYFUNCTION("""COMPUTED_VALUE"""),"Beamish, Sally")</f>
        <v>Beamish, Sally</v>
      </c>
      <c r="B9053" s="3">
        <f ca="1">IFERROR(__xludf.DUMMYFUNCTION("""COMPUTED_VALUE"""),2)</f>
        <v>2</v>
      </c>
      <c r="C9053" s="7">
        <f ca="1">IFERROR(__xludf.DUMMYFUNCTION("""COMPUTED_VALUE"""),2)</f>
        <v>2</v>
      </c>
      <c r="D9053" s="8">
        <f ca="1">IFERROR(__xludf.DUMMYFUNCTION("""COMPUTED_VALUE"""),2)</f>
        <v>2</v>
      </c>
      <c r="E9053" s="2">
        <f ca="1">IFERROR(__xludf.DUMMYFUNCTION("""COMPUTED_VALUE"""),1)</f>
        <v>1</v>
      </c>
    </row>
    <row r="9054" spans="1:5" ht="13">
      <c r="A9054" s="2" t="str">
        <f ca="1">IFERROR(__xludf.DUMMYFUNCTION("""COMPUTED_VALUE"""),"Beard, Katherine K.")</f>
        <v>Beard, Katherine K.</v>
      </c>
      <c r="B9054" s="3">
        <f ca="1">IFERROR(__xludf.DUMMYFUNCTION("""COMPUTED_VALUE"""),2)</f>
        <v>2</v>
      </c>
      <c r="C9054" s="7">
        <f ca="1">IFERROR(__xludf.DUMMYFUNCTION("""COMPUTED_VALUE"""),2)</f>
        <v>2</v>
      </c>
      <c r="D9054" s="8">
        <f ca="1">IFERROR(__xludf.DUMMYFUNCTION("""COMPUTED_VALUE"""),2)</f>
        <v>2</v>
      </c>
      <c r="E9054" s="2">
        <f ca="1">IFERROR(__xludf.DUMMYFUNCTION("""COMPUTED_VALUE"""),1)</f>
        <v>1</v>
      </c>
    </row>
    <row r="9055" spans="1:5" ht="13">
      <c r="A9055" s="8" t="str">
        <f ca="1">IFERROR(__xludf.DUMMYFUNCTION("""COMPUTED_VALUE"""),"Beaugeais, Katia")</f>
        <v>Beaugeais, Katia</v>
      </c>
      <c r="B9055" s="3">
        <f ca="1">IFERROR(__xludf.DUMMYFUNCTION("""COMPUTED_VALUE"""),2)</f>
        <v>2</v>
      </c>
      <c r="C9055" s="7">
        <f ca="1">IFERROR(__xludf.DUMMYFUNCTION("""COMPUTED_VALUE"""),2)</f>
        <v>2</v>
      </c>
      <c r="D9055" s="8">
        <f ca="1">IFERROR(__xludf.DUMMYFUNCTION("""COMPUTED_VALUE"""),2)</f>
        <v>2</v>
      </c>
      <c r="E9055" s="2">
        <f ca="1">IFERROR(__xludf.DUMMYFUNCTION("""COMPUTED_VALUE"""),1)</f>
        <v>1</v>
      </c>
    </row>
    <row r="9056" spans="1:5" ht="13">
      <c r="A9056" s="8" t="str">
        <f ca="1">IFERROR(__xludf.DUMMYFUNCTION("""COMPUTED_VALUE"""),"Beck, Jenny")</f>
        <v>Beck, Jenny</v>
      </c>
      <c r="B9056" s="3">
        <f ca="1">IFERROR(__xludf.DUMMYFUNCTION("""COMPUTED_VALUE"""),2)</f>
        <v>2</v>
      </c>
      <c r="C9056" s="7">
        <f ca="1">IFERROR(__xludf.DUMMYFUNCTION("""COMPUTED_VALUE"""),2)</f>
        <v>2</v>
      </c>
      <c r="D9056" s="8">
        <f ca="1">IFERROR(__xludf.DUMMYFUNCTION("""COMPUTED_VALUE"""),2)</f>
        <v>2</v>
      </c>
      <c r="E9056" s="2">
        <f ca="1">IFERROR(__xludf.DUMMYFUNCTION("""COMPUTED_VALUE"""),1)</f>
        <v>1</v>
      </c>
    </row>
    <row r="9057" spans="1:5" ht="13">
      <c r="A9057" s="2" t="str">
        <f ca="1">IFERROR(__xludf.DUMMYFUNCTION("""COMPUTED_VALUE"""),"Beckow, Joan")</f>
        <v>Beckow, Joan</v>
      </c>
      <c r="B9057" s="3">
        <f ca="1">IFERROR(__xludf.DUMMYFUNCTION("""COMPUTED_VALUE"""),2)</f>
        <v>2</v>
      </c>
      <c r="C9057" s="7">
        <f ca="1">IFERROR(__xludf.DUMMYFUNCTION("""COMPUTED_VALUE"""),2)</f>
        <v>2</v>
      </c>
      <c r="D9057" s="8">
        <f ca="1">IFERROR(__xludf.DUMMYFUNCTION("""COMPUTED_VALUE"""),6)</f>
        <v>6</v>
      </c>
      <c r="E9057" s="2">
        <f ca="1">IFERROR(__xludf.DUMMYFUNCTION("""COMPUTED_VALUE"""),2)</f>
        <v>2</v>
      </c>
    </row>
    <row r="9058" spans="1:5" ht="13">
      <c r="A9058" s="2" t="str">
        <f ca="1">IFERROR(__xludf.DUMMYFUNCTION("""COMPUTED_VALUE"""),"Bedwell, Kara Stacy")</f>
        <v>Bedwell, Kara Stacy</v>
      </c>
      <c r="B9058" s="3">
        <f ca="1">IFERROR(__xludf.DUMMYFUNCTION("""COMPUTED_VALUE"""),2)</f>
        <v>2</v>
      </c>
      <c r="C9058" s="7">
        <f ca="1">IFERROR(__xludf.DUMMYFUNCTION("""COMPUTED_VALUE"""),2)</f>
        <v>2</v>
      </c>
      <c r="D9058" s="8">
        <f ca="1">IFERROR(__xludf.DUMMYFUNCTION("""COMPUTED_VALUE"""),2)</f>
        <v>2</v>
      </c>
      <c r="E9058" s="2">
        <f ca="1">IFERROR(__xludf.DUMMYFUNCTION("""COMPUTED_VALUE"""),1)</f>
        <v>1</v>
      </c>
    </row>
    <row r="9059" spans="1:5" ht="13">
      <c r="A9059" s="2" t="str">
        <f ca="1">IFERROR(__xludf.DUMMYFUNCTION("""COMPUTED_VALUE"""),"Beglarian, Eve")</f>
        <v>Beglarian, Eve</v>
      </c>
      <c r="B9059" s="3">
        <f ca="1">IFERROR(__xludf.DUMMYFUNCTION("""COMPUTED_VALUE"""),2)</f>
        <v>2</v>
      </c>
      <c r="C9059" s="7">
        <f ca="1">IFERROR(__xludf.DUMMYFUNCTION("""COMPUTED_VALUE"""),2)</f>
        <v>2</v>
      </c>
      <c r="D9059" s="8">
        <f ca="1">IFERROR(__xludf.DUMMYFUNCTION("""COMPUTED_VALUE"""),2)</f>
        <v>2</v>
      </c>
      <c r="E9059" s="2">
        <f ca="1">IFERROR(__xludf.DUMMYFUNCTION("""COMPUTED_VALUE"""),1)</f>
        <v>1</v>
      </c>
    </row>
    <row r="9060" spans="1:5" ht="13">
      <c r="A9060" s="8" t="str">
        <f ca="1">IFERROR(__xludf.DUMMYFUNCTION("""COMPUTED_VALUE"""),"Bellor, Jennifer")</f>
        <v>Bellor, Jennifer</v>
      </c>
      <c r="B9060" s="3">
        <f ca="1">IFERROR(__xludf.DUMMYFUNCTION("""COMPUTED_VALUE"""),2)</f>
        <v>2</v>
      </c>
      <c r="C9060" s="7">
        <f ca="1">IFERROR(__xludf.DUMMYFUNCTION("""COMPUTED_VALUE"""),2)</f>
        <v>2</v>
      </c>
      <c r="D9060" s="8">
        <f ca="1">IFERROR(__xludf.DUMMYFUNCTION("""COMPUTED_VALUE"""),2)</f>
        <v>2</v>
      </c>
      <c r="E9060" s="2">
        <f ca="1">IFERROR(__xludf.DUMMYFUNCTION("""COMPUTED_VALUE"""),1)</f>
        <v>1</v>
      </c>
    </row>
    <row r="9061" spans="1:5" ht="13">
      <c r="A9061" s="2" t="str">
        <f ca="1">IFERROR(__xludf.DUMMYFUNCTION("""COMPUTED_VALUE"""),"Belmont, Jean")</f>
        <v>Belmont, Jean</v>
      </c>
      <c r="B9061" s="3">
        <f ca="1">IFERROR(__xludf.DUMMYFUNCTION("""COMPUTED_VALUE"""),2)</f>
        <v>2</v>
      </c>
      <c r="C9061" s="7">
        <f ca="1">IFERROR(__xludf.DUMMYFUNCTION("""COMPUTED_VALUE"""),2)</f>
        <v>2</v>
      </c>
      <c r="D9061" s="8">
        <f ca="1">IFERROR(__xludf.DUMMYFUNCTION("""COMPUTED_VALUE"""),2)</f>
        <v>2</v>
      </c>
      <c r="E9061" s="2">
        <f ca="1">IFERROR(__xludf.DUMMYFUNCTION("""COMPUTED_VALUE"""),1)</f>
        <v>1</v>
      </c>
    </row>
    <row r="9062" spans="1:5" ht="13">
      <c r="A9062" s="8" t="str">
        <f ca="1">IFERROR(__xludf.DUMMYFUNCTION("""COMPUTED_VALUE"""),"Bement, Gywnn")</f>
        <v>Bement, Gywnn</v>
      </c>
      <c r="B9062" s="3">
        <f ca="1">IFERROR(__xludf.DUMMYFUNCTION("""COMPUTED_VALUE"""),2)</f>
        <v>2</v>
      </c>
      <c r="C9062" s="7">
        <f ca="1">IFERROR(__xludf.DUMMYFUNCTION("""COMPUTED_VALUE"""),2)</f>
        <v>2</v>
      </c>
      <c r="D9062" s="8">
        <f ca="1">IFERROR(__xludf.DUMMYFUNCTION("""COMPUTED_VALUE"""),6)</f>
        <v>6</v>
      </c>
      <c r="E9062" s="2">
        <f ca="1">IFERROR(__xludf.DUMMYFUNCTION("""COMPUTED_VALUE"""),2)</f>
        <v>2</v>
      </c>
    </row>
    <row r="9063" spans="1:5" ht="13">
      <c r="A9063" s="2" t="str">
        <f ca="1">IFERROR(__xludf.DUMMYFUNCTION("""COMPUTED_VALUE"""),"Bennett, Catherine")</f>
        <v>Bennett, Catherine</v>
      </c>
      <c r="B9063" s="3">
        <f ca="1">IFERROR(__xludf.DUMMYFUNCTION("""COMPUTED_VALUE"""),2)</f>
        <v>2</v>
      </c>
      <c r="C9063" s="7">
        <f ca="1">IFERROR(__xludf.DUMMYFUNCTION("""COMPUTED_VALUE"""),2)</f>
        <v>2</v>
      </c>
      <c r="D9063" s="8">
        <f ca="1">IFERROR(__xludf.DUMMYFUNCTION("""COMPUTED_VALUE"""),6)</f>
        <v>6</v>
      </c>
      <c r="E9063" s="2">
        <f ca="1">IFERROR(__xludf.DUMMYFUNCTION("""COMPUTED_VALUE"""),2)</f>
        <v>2</v>
      </c>
    </row>
    <row r="9064" spans="1:5" ht="13">
      <c r="A9064" s="2" t="str">
        <f ca="1">IFERROR(__xludf.DUMMYFUNCTION("""COMPUTED_VALUE"""),"Berg, June")</f>
        <v>Berg, June</v>
      </c>
      <c r="B9064" s="3">
        <f ca="1">IFERROR(__xludf.DUMMYFUNCTION("""COMPUTED_VALUE"""),2)</f>
        <v>2</v>
      </c>
      <c r="C9064" s="7">
        <f ca="1">IFERROR(__xludf.DUMMYFUNCTION("""COMPUTED_VALUE"""),2)</f>
        <v>2</v>
      </c>
      <c r="D9064" s="8">
        <f ca="1">IFERROR(__xludf.DUMMYFUNCTION("""COMPUTED_VALUE"""),2)</f>
        <v>2</v>
      </c>
      <c r="E9064" s="2">
        <f ca="1">IFERROR(__xludf.DUMMYFUNCTION("""COMPUTED_VALUE"""),1)</f>
        <v>1</v>
      </c>
    </row>
    <row r="9065" spans="1:5" ht="13">
      <c r="A9065" s="8" t="str">
        <f ca="1">IFERROR(__xludf.DUMMYFUNCTION("""COMPUTED_VALUE"""),"Bergman, Katherine")</f>
        <v>Bergman, Katherine</v>
      </c>
      <c r="B9065" s="3">
        <f ca="1">IFERROR(__xludf.DUMMYFUNCTION("""COMPUTED_VALUE"""),2)</f>
        <v>2</v>
      </c>
      <c r="C9065" s="7">
        <f ca="1">IFERROR(__xludf.DUMMYFUNCTION("""COMPUTED_VALUE"""),2)</f>
        <v>2</v>
      </c>
      <c r="D9065" s="8">
        <f ca="1">IFERROR(__xludf.DUMMYFUNCTION("""COMPUTED_VALUE"""),2)</f>
        <v>2</v>
      </c>
      <c r="E9065" s="2">
        <f ca="1">IFERROR(__xludf.DUMMYFUNCTION("""COMPUTED_VALUE"""),1)</f>
        <v>1</v>
      </c>
    </row>
    <row r="9066" spans="1:5" ht="13">
      <c r="A9066" s="2" t="str">
        <f ca="1">IFERROR(__xludf.DUMMYFUNCTION("""COMPUTED_VALUE"""),"Bergman, Nancy")</f>
        <v>Bergman, Nancy</v>
      </c>
      <c r="B9066" s="3">
        <f ca="1">IFERROR(__xludf.DUMMYFUNCTION("""COMPUTED_VALUE"""),2)</f>
        <v>2</v>
      </c>
      <c r="C9066" s="7">
        <f ca="1">IFERROR(__xludf.DUMMYFUNCTION("""COMPUTED_VALUE"""),2)</f>
        <v>2</v>
      </c>
      <c r="D9066" s="8">
        <f ca="1">IFERROR(__xludf.DUMMYFUNCTION("""COMPUTED_VALUE"""),2)</f>
        <v>2</v>
      </c>
      <c r="E9066" s="2">
        <f ca="1">IFERROR(__xludf.DUMMYFUNCTION("""COMPUTED_VALUE"""),1)</f>
        <v>1</v>
      </c>
    </row>
    <row r="9067" spans="1:5" ht="13">
      <c r="A9067" s="8" t="str">
        <f ca="1">IFERROR(__xludf.DUMMYFUNCTION("""COMPUTED_VALUE"""),"Berk, Stacey")</f>
        <v>Berk, Stacey</v>
      </c>
      <c r="B9067" s="3">
        <f ca="1">IFERROR(__xludf.DUMMYFUNCTION("""COMPUTED_VALUE"""),2)</f>
        <v>2</v>
      </c>
      <c r="C9067" s="7">
        <f ca="1">IFERROR(__xludf.DUMMYFUNCTION("""COMPUTED_VALUE"""),2)</f>
        <v>2</v>
      </c>
      <c r="D9067" s="8">
        <f ca="1">IFERROR(__xludf.DUMMYFUNCTION("""COMPUTED_VALUE"""),2)</f>
        <v>2</v>
      </c>
      <c r="E9067" s="2">
        <f ca="1">IFERROR(__xludf.DUMMYFUNCTION("""COMPUTED_VALUE"""),1)</f>
        <v>1</v>
      </c>
    </row>
    <row r="9068" spans="1:5" ht="13">
      <c r="A9068" s="2" t="str">
        <f ca="1">IFERROR(__xludf.DUMMYFUNCTION("""COMPUTED_VALUE"""),"Berk, Stacy")</f>
        <v>Berk, Stacy</v>
      </c>
      <c r="B9068" s="3">
        <f ca="1">IFERROR(__xludf.DUMMYFUNCTION("""COMPUTED_VALUE"""),2)</f>
        <v>2</v>
      </c>
      <c r="C9068" s="7">
        <f ca="1">IFERROR(__xludf.DUMMYFUNCTION("""COMPUTED_VALUE"""),2)</f>
        <v>2</v>
      </c>
      <c r="D9068" s="8">
        <f ca="1">IFERROR(__xludf.DUMMYFUNCTION("""COMPUTED_VALUE"""),2)</f>
        <v>2</v>
      </c>
      <c r="E9068" s="2">
        <f ca="1">IFERROR(__xludf.DUMMYFUNCTION("""COMPUTED_VALUE"""),1)</f>
        <v>1</v>
      </c>
    </row>
    <row r="9069" spans="1:5" ht="13">
      <c r="A9069" s="2" t="str">
        <f ca="1">IFERROR(__xludf.DUMMYFUNCTION("""COMPUTED_VALUE"""),"Berman, Anne Deane")</f>
        <v>Berman, Anne Deane</v>
      </c>
      <c r="B9069" s="3">
        <f ca="1">IFERROR(__xludf.DUMMYFUNCTION("""COMPUTED_VALUE"""),2)</f>
        <v>2</v>
      </c>
      <c r="C9069" s="7">
        <f ca="1">IFERROR(__xludf.DUMMYFUNCTION("""COMPUTED_VALUE"""),2)</f>
        <v>2</v>
      </c>
      <c r="D9069" s="8">
        <f ca="1">IFERROR(__xludf.DUMMYFUNCTION("""COMPUTED_VALUE"""),2)</f>
        <v>2</v>
      </c>
      <c r="E9069" s="2">
        <f ca="1">IFERROR(__xludf.DUMMYFUNCTION("""COMPUTED_VALUE"""),1)</f>
        <v>1</v>
      </c>
    </row>
    <row r="9070" spans="1:5" ht="13">
      <c r="A9070" s="8" t="str">
        <f ca="1">IFERROR(__xludf.DUMMYFUNCTION("""COMPUTED_VALUE"""),"Bernofsky, Lauren")</f>
        <v>Bernofsky, Lauren</v>
      </c>
      <c r="B9070" s="3">
        <f ca="1">IFERROR(__xludf.DUMMYFUNCTION("""COMPUTED_VALUE"""),2)</f>
        <v>2</v>
      </c>
      <c r="C9070" s="7">
        <f ca="1">IFERROR(__xludf.DUMMYFUNCTION("""COMPUTED_VALUE"""),2)</f>
        <v>2</v>
      </c>
      <c r="D9070" s="8">
        <f ca="1">IFERROR(__xludf.DUMMYFUNCTION("""COMPUTED_VALUE"""),2)</f>
        <v>2</v>
      </c>
      <c r="E9070" s="2">
        <f ca="1">IFERROR(__xludf.DUMMYFUNCTION("""COMPUTED_VALUE"""),1)</f>
        <v>1</v>
      </c>
    </row>
    <row r="9071" spans="1:5" ht="13">
      <c r="A9071" s="8" t="str">
        <f ca="1">IFERROR(__xludf.DUMMYFUNCTION("""COMPUTED_VALUE"""),"Bernon, Amy F.")</f>
        <v>Bernon, Amy F.</v>
      </c>
      <c r="B9071" s="3">
        <f ca="1">IFERROR(__xludf.DUMMYFUNCTION("""COMPUTED_VALUE"""),2)</f>
        <v>2</v>
      </c>
      <c r="C9071" s="7">
        <f ca="1">IFERROR(__xludf.DUMMYFUNCTION("""COMPUTED_VALUE"""),2)</f>
        <v>2</v>
      </c>
      <c r="D9071" s="8">
        <f ca="1">IFERROR(__xludf.DUMMYFUNCTION("""COMPUTED_VALUE"""),2)</f>
        <v>2</v>
      </c>
      <c r="E9071" s="2">
        <f ca="1">IFERROR(__xludf.DUMMYFUNCTION("""COMPUTED_VALUE"""),1)</f>
        <v>1</v>
      </c>
    </row>
    <row r="9072" spans="1:5" ht="13">
      <c r="A9072" s="2" t="str">
        <f ca="1">IFERROR(__xludf.DUMMYFUNCTION("""COMPUTED_VALUE"""),"Berry-Musser, Saundra")</f>
        <v>Berry-Musser, Saundra</v>
      </c>
      <c r="B9072" s="3">
        <f ca="1">IFERROR(__xludf.DUMMYFUNCTION("""COMPUTED_VALUE"""),2)</f>
        <v>2</v>
      </c>
      <c r="C9072" s="7">
        <f ca="1">IFERROR(__xludf.DUMMYFUNCTION("""COMPUTED_VALUE"""),2)</f>
        <v>2</v>
      </c>
      <c r="D9072" s="8">
        <f ca="1">IFERROR(__xludf.DUMMYFUNCTION("""COMPUTED_VALUE"""),2)</f>
        <v>2</v>
      </c>
      <c r="E9072" s="2">
        <f ca="1">IFERROR(__xludf.DUMMYFUNCTION("""COMPUTED_VALUE"""),1)</f>
        <v>1</v>
      </c>
    </row>
    <row r="9073" spans="1:5" ht="13">
      <c r="A9073" s="2" t="str">
        <f ca="1">IFERROR(__xludf.DUMMYFUNCTION("""COMPUTED_VALUE"""),"Berry, Whitney")</f>
        <v>Berry, Whitney</v>
      </c>
      <c r="B9073" s="3">
        <f ca="1">IFERROR(__xludf.DUMMYFUNCTION("""COMPUTED_VALUE"""),2)</f>
        <v>2</v>
      </c>
      <c r="C9073" s="7">
        <f ca="1">IFERROR(__xludf.DUMMYFUNCTION("""COMPUTED_VALUE"""),2)</f>
        <v>2</v>
      </c>
      <c r="D9073" s="8">
        <f ca="1">IFERROR(__xludf.DUMMYFUNCTION("""COMPUTED_VALUE"""),2)</f>
        <v>2</v>
      </c>
      <c r="E9073" s="2">
        <f ca="1">IFERROR(__xludf.DUMMYFUNCTION("""COMPUTED_VALUE"""),1)</f>
        <v>1</v>
      </c>
    </row>
    <row r="9074" spans="1:5" ht="13">
      <c r="A9074" s="2" t="str">
        <f ca="1">IFERROR(__xludf.DUMMYFUNCTION("""COMPUTED_VALUE"""),"Bertaux, Betty")</f>
        <v>Bertaux, Betty</v>
      </c>
      <c r="B9074" s="3">
        <f ca="1">IFERROR(__xludf.DUMMYFUNCTION("""COMPUTED_VALUE"""),2)</f>
        <v>2</v>
      </c>
      <c r="C9074" s="7">
        <f ca="1">IFERROR(__xludf.DUMMYFUNCTION("""COMPUTED_VALUE"""),2)</f>
        <v>2</v>
      </c>
      <c r="D9074" s="8">
        <f ca="1">IFERROR(__xludf.DUMMYFUNCTION("""COMPUTED_VALUE"""),6)</f>
        <v>6</v>
      </c>
      <c r="E9074" s="2">
        <f ca="1">IFERROR(__xludf.DUMMYFUNCTION("""COMPUTED_VALUE"""),2)</f>
        <v>2</v>
      </c>
    </row>
    <row r="9075" spans="1:5" ht="13">
      <c r="A9075" s="2" t="str">
        <f ca="1">IFERROR(__xludf.DUMMYFUNCTION("""COMPUTED_VALUE"""),"Berthelson, Joyce")</f>
        <v>Berthelson, Joyce</v>
      </c>
      <c r="B9075" s="3">
        <f ca="1">IFERROR(__xludf.DUMMYFUNCTION("""COMPUTED_VALUE"""),2)</f>
        <v>2</v>
      </c>
      <c r="C9075" s="7">
        <f ca="1">IFERROR(__xludf.DUMMYFUNCTION("""COMPUTED_VALUE"""),2)</f>
        <v>2</v>
      </c>
      <c r="D9075" s="8">
        <f ca="1">IFERROR(__xludf.DUMMYFUNCTION("""COMPUTED_VALUE"""),6)</f>
        <v>6</v>
      </c>
      <c r="E9075" s="2">
        <f ca="1">IFERROR(__xludf.DUMMYFUNCTION("""COMPUTED_VALUE"""),2)</f>
        <v>2</v>
      </c>
    </row>
    <row r="9076" spans="1:5" ht="13">
      <c r="A9076" s="8" t="str">
        <f ca="1">IFERROR(__xludf.DUMMYFUNCTION("""COMPUTED_VALUE"""),"Bescos, Joni")</f>
        <v>Bescos, Joni</v>
      </c>
      <c r="B9076" s="3">
        <f ca="1">IFERROR(__xludf.DUMMYFUNCTION("""COMPUTED_VALUE"""),2)</f>
        <v>2</v>
      </c>
      <c r="C9076" s="7">
        <f ca="1">IFERROR(__xludf.DUMMYFUNCTION("""COMPUTED_VALUE"""),2)</f>
        <v>2</v>
      </c>
      <c r="D9076" s="8">
        <f ca="1">IFERROR(__xludf.DUMMYFUNCTION("""COMPUTED_VALUE"""),6)</f>
        <v>6</v>
      </c>
      <c r="E9076" s="2">
        <f ca="1">IFERROR(__xludf.DUMMYFUNCTION("""COMPUTED_VALUE"""),2)</f>
        <v>2</v>
      </c>
    </row>
    <row r="9077" spans="1:5" ht="13">
      <c r="A9077" s="8" t="str">
        <f ca="1">IFERROR(__xludf.DUMMYFUNCTION("""COMPUTED_VALUE"""),"Betinis, Abbie")</f>
        <v>Betinis, Abbie</v>
      </c>
      <c r="B9077" s="3">
        <f ca="1">IFERROR(__xludf.DUMMYFUNCTION("""COMPUTED_VALUE"""),2)</f>
        <v>2</v>
      </c>
      <c r="C9077" s="7">
        <f ca="1">IFERROR(__xludf.DUMMYFUNCTION("""COMPUTED_VALUE"""),2)</f>
        <v>2</v>
      </c>
      <c r="D9077" s="8">
        <f ca="1">IFERROR(__xludf.DUMMYFUNCTION("""COMPUTED_VALUE"""),2)</f>
        <v>2</v>
      </c>
      <c r="E9077" s="2">
        <f ca="1">IFERROR(__xludf.DUMMYFUNCTION("""COMPUTED_VALUE"""),1)</f>
        <v>1</v>
      </c>
    </row>
    <row r="9078" spans="1:5" ht="13">
      <c r="A9078" s="2" t="str">
        <f ca="1">IFERROR(__xludf.DUMMYFUNCTION("""COMPUTED_VALUE"""),"Bialawa, Lisa")</f>
        <v>Bialawa, Lisa</v>
      </c>
      <c r="B9078" s="3">
        <f ca="1">IFERROR(__xludf.DUMMYFUNCTION("""COMPUTED_VALUE"""),2)</f>
        <v>2</v>
      </c>
      <c r="C9078" s="7">
        <f ca="1">IFERROR(__xludf.DUMMYFUNCTION("""COMPUTED_VALUE"""),2)</f>
        <v>2</v>
      </c>
      <c r="D9078" s="8">
        <f ca="1">IFERROR(__xludf.DUMMYFUNCTION("""COMPUTED_VALUE"""),2)</f>
        <v>2</v>
      </c>
      <c r="E9078" s="2">
        <f ca="1">IFERROR(__xludf.DUMMYFUNCTION("""COMPUTED_VALUE"""),1)</f>
        <v>1</v>
      </c>
    </row>
    <row r="9079" spans="1:5" ht="13">
      <c r="A9079" s="8" t="str">
        <f ca="1">IFERROR(__xludf.DUMMYFUNCTION("""COMPUTED_VALUE"""),"Bianchi, Dinah")</f>
        <v>Bianchi, Dinah</v>
      </c>
      <c r="B9079" s="3">
        <f ca="1">IFERROR(__xludf.DUMMYFUNCTION("""COMPUTED_VALUE"""),2)</f>
        <v>2</v>
      </c>
      <c r="C9079" s="7">
        <f ca="1">IFERROR(__xludf.DUMMYFUNCTION("""COMPUTED_VALUE"""),2)</f>
        <v>2</v>
      </c>
      <c r="D9079" s="8">
        <f ca="1">IFERROR(__xludf.DUMMYFUNCTION("""COMPUTED_VALUE"""),2)</f>
        <v>2</v>
      </c>
      <c r="E9079" s="2">
        <f ca="1">IFERROR(__xludf.DUMMYFUNCTION("""COMPUTED_VALUE"""),1)</f>
        <v>1</v>
      </c>
    </row>
    <row r="9080" spans="1:5" ht="13">
      <c r="A9080" s="8" t="str">
        <f ca="1">IFERROR(__xludf.DUMMYFUNCTION("""COMPUTED_VALUE"""),"Bielawa, Lisa")</f>
        <v>Bielawa, Lisa</v>
      </c>
      <c r="B9080" s="3">
        <f ca="1">IFERROR(__xludf.DUMMYFUNCTION("""COMPUTED_VALUE"""),2)</f>
        <v>2</v>
      </c>
      <c r="C9080" s="7">
        <f ca="1">IFERROR(__xludf.DUMMYFUNCTION("""COMPUTED_VALUE"""),2)</f>
        <v>2</v>
      </c>
      <c r="D9080" s="8">
        <f ca="1">IFERROR(__xludf.DUMMYFUNCTION("""COMPUTED_VALUE"""),2)</f>
        <v>2</v>
      </c>
      <c r="E9080" s="2">
        <f ca="1">IFERROR(__xludf.DUMMYFUNCTION("""COMPUTED_VALUE"""),1)</f>
        <v>1</v>
      </c>
    </row>
    <row r="9081" spans="1:5" ht="13">
      <c r="A9081" s="8" t="str">
        <f ca="1">IFERROR(__xludf.DUMMYFUNCTION("""COMPUTED_VALUE"""),"Bingen, Hildegard von")</f>
        <v>Bingen, Hildegard von</v>
      </c>
      <c r="B9081" s="3">
        <f ca="1">IFERROR(__xludf.DUMMYFUNCTION("""COMPUTED_VALUE"""),2)</f>
        <v>2</v>
      </c>
      <c r="C9081" s="7">
        <f ca="1">IFERROR(__xludf.DUMMYFUNCTION("""COMPUTED_VALUE"""),2)</f>
        <v>2</v>
      </c>
      <c r="D9081" s="8">
        <f ca="1">IFERROR(__xludf.DUMMYFUNCTION("""COMPUTED_VALUE"""),6)</f>
        <v>6</v>
      </c>
      <c r="E9081" s="2">
        <f ca="1">IFERROR(__xludf.DUMMYFUNCTION("""COMPUTED_VALUE"""),2)</f>
        <v>2</v>
      </c>
    </row>
    <row r="9082" spans="1:5" ht="13">
      <c r="A9082" s="8" t="str">
        <f ca="1">IFERROR(__xludf.DUMMYFUNCTION("""COMPUTED_VALUE"""),"Bingham, Judith")</f>
        <v>Bingham, Judith</v>
      </c>
      <c r="B9082" s="3">
        <f ca="1">IFERROR(__xludf.DUMMYFUNCTION("""COMPUTED_VALUE"""),2)</f>
        <v>2</v>
      </c>
      <c r="C9082" s="7">
        <f ca="1">IFERROR(__xludf.DUMMYFUNCTION("""COMPUTED_VALUE"""),2)</f>
        <v>2</v>
      </c>
      <c r="D9082" s="8">
        <f ca="1">IFERROR(__xludf.DUMMYFUNCTION("""COMPUTED_VALUE"""),2)</f>
        <v>2</v>
      </c>
      <c r="E9082" s="2">
        <f ca="1">IFERROR(__xludf.DUMMYFUNCTION("""COMPUTED_VALUE"""),1)</f>
        <v>1</v>
      </c>
    </row>
    <row r="9083" spans="1:5" ht="13">
      <c r="A9083" s="8" t="str">
        <f ca="1">IFERROR(__xludf.DUMMYFUNCTION("""COMPUTED_VALUE"""),"Biol, Amparo")</f>
        <v>Biol, Amparo</v>
      </c>
      <c r="B9083" s="3">
        <f ca="1">IFERROR(__xludf.DUMMYFUNCTION("""COMPUTED_VALUE"""),2)</f>
        <v>2</v>
      </c>
      <c r="C9083" s="7">
        <f ca="1">IFERROR(__xludf.DUMMYFUNCTION("""COMPUTED_VALUE"""),2)</f>
        <v>2</v>
      </c>
      <c r="D9083" s="8">
        <f ca="1">IFERROR(__xludf.DUMMYFUNCTION("""COMPUTED_VALUE"""),2)</f>
        <v>2</v>
      </c>
      <c r="E9083" s="2">
        <f ca="1">IFERROR(__xludf.DUMMYFUNCTION("""COMPUTED_VALUE"""),1)</f>
        <v>1</v>
      </c>
    </row>
    <row r="9084" spans="1:5" ht="13">
      <c r="A9084" s="2" t="str">
        <f ca="1">IFERROR(__xludf.DUMMYFUNCTION("""COMPUTED_VALUE"""),"Bish, Diane")</f>
        <v>Bish, Diane</v>
      </c>
      <c r="B9084" s="3">
        <f ca="1">IFERROR(__xludf.DUMMYFUNCTION("""COMPUTED_VALUE"""),2)</f>
        <v>2</v>
      </c>
      <c r="C9084" s="7">
        <f ca="1">IFERROR(__xludf.DUMMYFUNCTION("""COMPUTED_VALUE"""),2)</f>
        <v>2</v>
      </c>
      <c r="D9084" s="8">
        <f ca="1">IFERROR(__xludf.DUMMYFUNCTION("""COMPUTED_VALUE"""),2)</f>
        <v>2</v>
      </c>
      <c r="E9084" s="2">
        <f ca="1">IFERROR(__xludf.DUMMYFUNCTION("""COMPUTED_VALUE"""),1)</f>
        <v>1</v>
      </c>
    </row>
    <row r="9085" spans="1:5" ht="13">
      <c r="A9085" s="8" t="str">
        <f ca="1">IFERROR(__xludf.DUMMYFUNCTION("""COMPUTED_VALUE"""),"Blackshaw, Jodie")</f>
        <v>Blackshaw, Jodie</v>
      </c>
      <c r="B9085" s="3">
        <f ca="1">IFERROR(__xludf.DUMMYFUNCTION("""COMPUTED_VALUE"""),2)</f>
        <v>2</v>
      </c>
      <c r="C9085" s="7">
        <f ca="1">IFERROR(__xludf.DUMMYFUNCTION("""COMPUTED_VALUE"""),2)</f>
        <v>2</v>
      </c>
      <c r="D9085" s="8">
        <f ca="1">IFERROR(__xludf.DUMMYFUNCTION("""COMPUTED_VALUE"""),2)</f>
        <v>2</v>
      </c>
      <c r="E9085" s="2">
        <f ca="1">IFERROR(__xludf.DUMMYFUNCTION("""COMPUTED_VALUE"""),1)</f>
        <v>1</v>
      </c>
    </row>
    <row r="9086" spans="1:5" ht="13">
      <c r="A9086" s="8" t="str">
        <f ca="1">IFERROR(__xludf.DUMMYFUNCTION("""COMPUTED_VALUE"""),"Blalock, Shelby")</f>
        <v>Blalock, Shelby</v>
      </c>
      <c r="B9086" s="3">
        <f ca="1">IFERROR(__xludf.DUMMYFUNCTION("""COMPUTED_VALUE"""),2)</f>
        <v>2</v>
      </c>
      <c r="C9086" s="7">
        <f ca="1">IFERROR(__xludf.DUMMYFUNCTION("""COMPUTED_VALUE"""),2)</f>
        <v>2</v>
      </c>
      <c r="D9086" s="8">
        <f ca="1">IFERROR(__xludf.DUMMYFUNCTION("""COMPUTED_VALUE"""),2)</f>
        <v>2</v>
      </c>
      <c r="E9086" s="2">
        <f ca="1">IFERROR(__xludf.DUMMYFUNCTION("""COMPUTED_VALUE"""),1)</f>
        <v>1</v>
      </c>
    </row>
    <row r="9087" spans="1:5" ht="13">
      <c r="A9087" s="2" t="str">
        <f ca="1">IFERROR(__xludf.DUMMYFUNCTION("""COMPUTED_VALUE"""),"Blevins, Sherry")</f>
        <v>Blevins, Sherry</v>
      </c>
      <c r="B9087" s="2">
        <f ca="1">IFERROR(__xludf.DUMMYFUNCTION("""COMPUTED_VALUE"""),2)</f>
        <v>2</v>
      </c>
      <c r="C9087" s="7">
        <f ca="1">IFERROR(__xludf.DUMMYFUNCTION("""COMPUTED_VALUE"""),2)</f>
        <v>2</v>
      </c>
      <c r="D9087" s="8">
        <f ca="1">IFERROR(__xludf.DUMMYFUNCTION("""COMPUTED_VALUE"""),2)</f>
        <v>2</v>
      </c>
      <c r="E9087" s="2">
        <f ca="1">IFERROR(__xludf.DUMMYFUNCTION("""COMPUTED_VALUE"""),1)</f>
        <v>1</v>
      </c>
    </row>
    <row r="9088" spans="1:5" ht="13">
      <c r="A9088" s="2" t="str">
        <f ca="1">IFERROR(__xludf.DUMMYFUNCTION("""COMPUTED_VALUE"""),"Blezzard, Judith")</f>
        <v>Blezzard, Judith</v>
      </c>
      <c r="B9088" s="2">
        <f ca="1">IFERROR(__xludf.DUMMYFUNCTION("""COMPUTED_VALUE"""),2)</f>
        <v>2</v>
      </c>
      <c r="C9088" s="2">
        <f ca="1">IFERROR(__xludf.DUMMYFUNCTION("""COMPUTED_VALUE"""),2)</f>
        <v>2</v>
      </c>
      <c r="D9088" s="8">
        <f ca="1">IFERROR(__xludf.DUMMYFUNCTION("""COMPUTED_VALUE"""),2)</f>
        <v>2</v>
      </c>
      <c r="E9088" s="2">
        <f ca="1">IFERROR(__xludf.DUMMYFUNCTION("""COMPUTED_VALUE"""),1)</f>
        <v>1</v>
      </c>
    </row>
    <row r="9089" spans="1:5" ht="13">
      <c r="A9089" s="8" t="str">
        <f ca="1">IFERROR(__xludf.DUMMYFUNCTION("""COMPUTED_VALUE"""),"Bodorova, Sylvie")</f>
        <v>Bodorova, Sylvie</v>
      </c>
      <c r="B9089" s="3">
        <f ca="1">IFERROR(__xludf.DUMMYFUNCTION("""COMPUTED_VALUE"""),2)</f>
        <v>2</v>
      </c>
      <c r="C9089" s="7">
        <f ca="1">IFERROR(__xludf.DUMMYFUNCTION("""COMPUTED_VALUE"""),2)</f>
        <v>2</v>
      </c>
      <c r="D9089" s="8">
        <f ca="1">IFERROR(__xludf.DUMMYFUNCTION("""COMPUTED_VALUE"""),2)</f>
        <v>2</v>
      </c>
      <c r="E9089" s="2">
        <f ca="1">IFERROR(__xludf.DUMMYFUNCTION("""COMPUTED_VALUE"""),1)</f>
        <v>1</v>
      </c>
    </row>
    <row r="9090" spans="1:5" ht="13">
      <c r="A9090" s="8" t="str">
        <f ca="1">IFERROR(__xludf.DUMMYFUNCTION("""COMPUTED_VALUE"""),"Boel, Mer Pantaleoni")</f>
        <v>Boel, Mer Pantaleoni</v>
      </c>
      <c r="B9090" s="3">
        <f ca="1">IFERROR(__xludf.DUMMYFUNCTION("""COMPUTED_VALUE"""),2)</f>
        <v>2</v>
      </c>
      <c r="C9090" s="7">
        <f ca="1">IFERROR(__xludf.DUMMYFUNCTION("""COMPUTED_VALUE"""),2)</f>
        <v>2</v>
      </c>
      <c r="D9090" s="8">
        <f ca="1">IFERROR(__xludf.DUMMYFUNCTION("""COMPUTED_VALUE"""),2)</f>
        <v>2</v>
      </c>
      <c r="E9090" s="2">
        <f ca="1">IFERROR(__xludf.DUMMYFUNCTION("""COMPUTED_VALUE"""),1)</f>
        <v>1</v>
      </c>
    </row>
    <row r="9091" spans="1:5" ht="13">
      <c r="A9091" s="2" t="str">
        <f ca="1">IFERROR(__xludf.DUMMYFUNCTION("""COMPUTED_VALUE"""),"Boersma, Susan")</f>
        <v>Boersma, Susan</v>
      </c>
      <c r="B9091" s="3">
        <f ca="1">IFERROR(__xludf.DUMMYFUNCTION("""COMPUTED_VALUE"""),2)</f>
        <v>2</v>
      </c>
      <c r="C9091" s="7">
        <f ca="1">IFERROR(__xludf.DUMMYFUNCTION("""COMPUTED_VALUE"""),2)</f>
        <v>2</v>
      </c>
      <c r="D9091" s="8">
        <f ca="1">IFERROR(__xludf.DUMMYFUNCTION("""COMPUTED_VALUE"""),2)</f>
        <v>2</v>
      </c>
      <c r="E9091" s="2">
        <f ca="1">IFERROR(__xludf.DUMMYFUNCTION("""COMPUTED_VALUE"""),1)</f>
        <v>1</v>
      </c>
    </row>
    <row r="9092" spans="1:5" ht="13">
      <c r="A9092" s="2" t="str">
        <f ca="1">IFERROR(__xludf.DUMMYFUNCTION("""COMPUTED_VALUE"""),"Bohlin, Sue E")</f>
        <v>Bohlin, Sue E</v>
      </c>
      <c r="B9092" s="3">
        <f ca="1">IFERROR(__xludf.DUMMYFUNCTION("""COMPUTED_VALUE"""),2)</f>
        <v>2</v>
      </c>
      <c r="C9092" s="7">
        <f ca="1">IFERROR(__xludf.DUMMYFUNCTION("""COMPUTED_VALUE"""),2)</f>
        <v>2</v>
      </c>
      <c r="D9092" s="8">
        <f ca="1">IFERROR(__xludf.DUMMYFUNCTION("""COMPUTED_VALUE"""),2)</f>
        <v>2</v>
      </c>
      <c r="E9092" s="2">
        <f ca="1">IFERROR(__xludf.DUMMYFUNCTION("""COMPUTED_VALUE"""),1)</f>
        <v>1</v>
      </c>
    </row>
    <row r="9093" spans="1:5" ht="13">
      <c r="A9093" s="2" t="str">
        <f ca="1">IFERROR(__xludf.DUMMYFUNCTION("""COMPUTED_VALUE"""),"Bolton, Beth")</f>
        <v>Bolton, Beth</v>
      </c>
      <c r="B9093" s="3">
        <f ca="1">IFERROR(__xludf.DUMMYFUNCTION("""COMPUTED_VALUE"""),2)</f>
        <v>2</v>
      </c>
      <c r="C9093" s="7">
        <f ca="1">IFERROR(__xludf.DUMMYFUNCTION("""COMPUTED_VALUE"""),2)</f>
        <v>2</v>
      </c>
      <c r="D9093" s="8">
        <f ca="1">IFERROR(__xludf.DUMMYFUNCTION("""COMPUTED_VALUE"""),2)</f>
        <v>2</v>
      </c>
      <c r="E9093" s="2">
        <f ca="1">IFERROR(__xludf.DUMMYFUNCTION("""COMPUTED_VALUE"""),1)</f>
        <v>1</v>
      </c>
    </row>
    <row r="9094" spans="1:5" ht="13">
      <c r="A9094" s="8" t="str">
        <f ca="1">IFERROR(__xludf.DUMMYFUNCTION("""COMPUTED_VALUE"""),"Bon, Anna")</f>
        <v>Bon, Anna</v>
      </c>
      <c r="B9094" s="3">
        <f ca="1">IFERROR(__xludf.DUMMYFUNCTION("""COMPUTED_VALUE"""),2)</f>
        <v>2</v>
      </c>
      <c r="C9094" s="7">
        <f ca="1">IFERROR(__xludf.DUMMYFUNCTION("""COMPUTED_VALUE"""),2)</f>
        <v>2</v>
      </c>
      <c r="D9094" s="8">
        <f ca="1">IFERROR(__xludf.DUMMYFUNCTION("""COMPUTED_VALUE"""),6)</f>
        <v>6</v>
      </c>
      <c r="E9094" s="2">
        <f ca="1">IFERROR(__xludf.DUMMYFUNCTION("""COMPUTED_VALUE"""),2)</f>
        <v>2</v>
      </c>
    </row>
    <row r="9095" spans="1:5" ht="13">
      <c r="A9095" s="2" t="str">
        <f ca="1">IFERROR(__xludf.DUMMYFUNCTION("""COMPUTED_VALUE"""),"Bond, Carrie Jacob")</f>
        <v>Bond, Carrie Jacob</v>
      </c>
      <c r="B9095" s="2">
        <f ca="1">IFERROR(__xludf.DUMMYFUNCTION("""COMPUTED_VALUE"""),2)</f>
        <v>2</v>
      </c>
      <c r="C9095" s="7">
        <f ca="1">IFERROR(__xludf.DUMMYFUNCTION("""COMPUTED_VALUE"""),2)</f>
        <v>2</v>
      </c>
      <c r="D9095" s="8">
        <f ca="1">IFERROR(__xludf.DUMMYFUNCTION("""COMPUTED_VALUE"""),6)</f>
        <v>6</v>
      </c>
      <c r="E9095" s="2">
        <f ca="1">IFERROR(__xludf.DUMMYFUNCTION("""COMPUTED_VALUE"""),2)</f>
        <v>2</v>
      </c>
    </row>
    <row r="9096" spans="1:5" ht="13">
      <c r="A9096" s="8" t="str">
        <f ca="1">IFERROR(__xludf.DUMMYFUNCTION("""COMPUTED_VALUE"""),"Bond, Victoria")</f>
        <v>Bond, Victoria</v>
      </c>
      <c r="B9096" s="3">
        <f ca="1">IFERROR(__xludf.DUMMYFUNCTION("""COMPUTED_VALUE"""),2)</f>
        <v>2</v>
      </c>
      <c r="C9096" s="7">
        <f ca="1">IFERROR(__xludf.DUMMYFUNCTION("""COMPUTED_VALUE"""),2)</f>
        <v>2</v>
      </c>
      <c r="D9096" s="8">
        <f ca="1">IFERROR(__xludf.DUMMYFUNCTION("""COMPUTED_VALUE"""),2)</f>
        <v>2</v>
      </c>
      <c r="E9096" s="2">
        <f ca="1">IFERROR(__xludf.DUMMYFUNCTION("""COMPUTED_VALUE"""),1)</f>
        <v>1</v>
      </c>
    </row>
    <row r="9097" spans="1:5" ht="13">
      <c r="A9097" s="2" t="str">
        <f ca="1">IFERROR(__xludf.DUMMYFUNCTION("""COMPUTED_VALUE"""),"Bongo, Sara / Moore, Robert")</f>
        <v>Bongo, Sara / Moore, Robert</v>
      </c>
      <c r="B9097" s="3">
        <f ca="1">IFERROR(__xludf.DUMMYFUNCTION("""COMPUTED_VALUE"""),2)</f>
        <v>2</v>
      </c>
      <c r="C9097" s="7">
        <f ca="1">IFERROR(__xludf.DUMMYFUNCTION("""COMPUTED_VALUE"""),2)</f>
        <v>2</v>
      </c>
      <c r="D9097" s="8">
        <f ca="1">IFERROR(__xludf.DUMMYFUNCTION("""COMPUTED_VALUE"""),2)</f>
        <v>2</v>
      </c>
      <c r="E9097" s="2">
        <f ca="1">IFERROR(__xludf.DUMMYFUNCTION("""COMPUTED_VALUE"""),1)</f>
        <v>1</v>
      </c>
    </row>
    <row r="9098" spans="1:5" ht="13">
      <c r="A9098" s="2" t="str">
        <f ca="1">IFERROR(__xludf.DUMMYFUNCTION("""COMPUTED_VALUE"""),"Bonis, Mel")</f>
        <v>Bonis, Mel</v>
      </c>
      <c r="B9098" s="3">
        <f ca="1">IFERROR(__xludf.DUMMYFUNCTION("""COMPUTED_VALUE"""),2)</f>
        <v>2</v>
      </c>
      <c r="C9098" s="7">
        <f ca="1">IFERROR(__xludf.DUMMYFUNCTION("""COMPUTED_VALUE"""),2)</f>
        <v>2</v>
      </c>
      <c r="D9098" s="8">
        <f ca="1">IFERROR(__xludf.DUMMYFUNCTION("""COMPUTED_VALUE"""),6)</f>
        <v>6</v>
      </c>
      <c r="E9098" s="2">
        <f ca="1">IFERROR(__xludf.DUMMYFUNCTION("""COMPUTED_VALUE"""),2)</f>
        <v>2</v>
      </c>
    </row>
    <row r="9099" spans="1:5" ht="13">
      <c r="A9099" s="8" t="str">
        <f ca="1">IFERROR(__xludf.DUMMYFUNCTION("""COMPUTED_VALUE"""),"Bonis, Mélanie")</f>
        <v>Bonis, Mélanie</v>
      </c>
      <c r="B9099" s="3">
        <f ca="1">IFERROR(__xludf.DUMMYFUNCTION("""COMPUTED_VALUE"""),2)</f>
        <v>2</v>
      </c>
      <c r="C9099" s="7">
        <f ca="1">IFERROR(__xludf.DUMMYFUNCTION("""COMPUTED_VALUE"""),2)</f>
        <v>2</v>
      </c>
      <c r="D9099" s="8">
        <f ca="1">IFERROR(__xludf.DUMMYFUNCTION("""COMPUTED_VALUE"""),6)</f>
        <v>6</v>
      </c>
      <c r="E9099" s="2">
        <f ca="1">IFERROR(__xludf.DUMMYFUNCTION("""COMPUTED_VALUE"""),2)</f>
        <v>2</v>
      </c>
    </row>
    <row r="9100" spans="1:5" ht="13">
      <c r="A9100" s="2" t="str">
        <f ca="1">IFERROR(__xludf.DUMMYFUNCTION("""COMPUTED_VALUE"""),"Booth, Annie")</f>
        <v>Booth, Annie</v>
      </c>
      <c r="B9100" s="2">
        <f ca="1">IFERROR(__xludf.DUMMYFUNCTION("""COMPUTED_VALUE"""),2)</f>
        <v>2</v>
      </c>
      <c r="C9100" s="7">
        <f ca="1">IFERROR(__xludf.DUMMYFUNCTION("""COMPUTED_VALUE"""),2)</f>
        <v>2</v>
      </c>
      <c r="D9100" s="8">
        <f ca="1">IFERROR(__xludf.DUMMYFUNCTION("""COMPUTED_VALUE"""),2)</f>
        <v>2</v>
      </c>
      <c r="E9100" s="2">
        <f ca="1">IFERROR(__xludf.DUMMYFUNCTION("""COMPUTED_VALUE"""),1)</f>
        <v>1</v>
      </c>
    </row>
    <row r="9101" spans="1:5" ht="13">
      <c r="A9101" s="8" t="str">
        <f ca="1">IFERROR(__xludf.DUMMYFUNCTION("""COMPUTED_VALUE"""),"Bordorová, Sylvie")</f>
        <v>Bordorová, Sylvie</v>
      </c>
      <c r="B9101" s="3">
        <f ca="1">IFERROR(__xludf.DUMMYFUNCTION("""COMPUTED_VALUE"""),2)</f>
        <v>2</v>
      </c>
      <c r="C9101" s="7">
        <f ca="1">IFERROR(__xludf.DUMMYFUNCTION("""COMPUTED_VALUE"""),2)</f>
        <v>2</v>
      </c>
      <c r="D9101" s="8">
        <f ca="1">IFERROR(__xludf.DUMMYFUNCTION("""COMPUTED_VALUE"""),2)</f>
        <v>2</v>
      </c>
      <c r="E9101" s="2">
        <f ca="1">IFERROR(__xludf.DUMMYFUNCTION("""COMPUTED_VALUE"""),1)</f>
        <v>1</v>
      </c>
    </row>
    <row r="9102" spans="1:5" ht="13">
      <c r="A9102" s="8" t="str">
        <f ca="1">IFERROR(__xludf.DUMMYFUNCTION("""COMPUTED_VALUE"""),"Borisova-Ollas, Victoria")</f>
        <v>Borisova-Ollas, Victoria</v>
      </c>
      <c r="B9102" s="3">
        <f ca="1">IFERROR(__xludf.DUMMYFUNCTION("""COMPUTED_VALUE"""),2)</f>
        <v>2</v>
      </c>
      <c r="C9102" s="7">
        <f ca="1">IFERROR(__xludf.DUMMYFUNCTION("""COMPUTED_VALUE"""),2)</f>
        <v>2</v>
      </c>
      <c r="D9102" s="8">
        <f ca="1">IFERROR(__xludf.DUMMYFUNCTION("""COMPUTED_VALUE"""),2)</f>
        <v>2</v>
      </c>
      <c r="E9102" s="2">
        <f ca="1">IFERROR(__xludf.DUMMYFUNCTION("""COMPUTED_VALUE"""),1)</f>
        <v>1</v>
      </c>
    </row>
    <row r="9103" spans="1:5" ht="13">
      <c r="A9103" s="2" t="str">
        <f ca="1">IFERROR(__xludf.DUMMYFUNCTION("""COMPUTED_VALUE"""),"Borwick, Susan")</f>
        <v>Borwick, Susan</v>
      </c>
      <c r="B9103" s="2">
        <f ca="1">IFERROR(__xludf.DUMMYFUNCTION("""COMPUTED_VALUE"""),2)</f>
        <v>2</v>
      </c>
      <c r="C9103" s="7">
        <f ca="1">IFERROR(__xludf.DUMMYFUNCTION("""COMPUTED_VALUE"""),2)</f>
        <v>2</v>
      </c>
      <c r="D9103" s="8">
        <f ca="1">IFERROR(__xludf.DUMMYFUNCTION("""COMPUTED_VALUE"""),2)</f>
        <v>2</v>
      </c>
      <c r="E9103" s="2">
        <f ca="1">IFERROR(__xludf.DUMMYFUNCTION("""COMPUTED_VALUE"""),1)</f>
        <v>1</v>
      </c>
    </row>
    <row r="9104" spans="1:5" ht="13">
      <c r="A9104" s="2" t="str">
        <f ca="1">IFERROR(__xludf.DUMMYFUNCTION("""COMPUTED_VALUE"""),"Boshkoff, Ruth")</f>
        <v>Boshkoff, Ruth</v>
      </c>
      <c r="B9104" s="3">
        <f ca="1">IFERROR(__xludf.DUMMYFUNCTION("""COMPUTED_VALUE"""),2)</f>
        <v>2</v>
      </c>
      <c r="C9104" s="7">
        <f ca="1">IFERROR(__xludf.DUMMYFUNCTION("""COMPUTED_VALUE"""),2)</f>
        <v>2</v>
      </c>
      <c r="D9104" s="8">
        <f ca="1">IFERROR(__xludf.DUMMYFUNCTION("""COMPUTED_VALUE"""),2)</f>
        <v>2</v>
      </c>
      <c r="E9104" s="2">
        <f ca="1">IFERROR(__xludf.DUMMYFUNCTION("""COMPUTED_VALUE"""),1)</f>
        <v>1</v>
      </c>
    </row>
    <row r="9105" spans="1:5" ht="13">
      <c r="A9105" s="8" t="str">
        <f ca="1">IFERROR(__xludf.DUMMYFUNCTION("""COMPUTED_VALUE"""),"Bosmans, Henriëtte")</f>
        <v>Bosmans, Henriëtte</v>
      </c>
      <c r="B9105" s="2">
        <f ca="1">IFERROR(__xludf.DUMMYFUNCTION("""COMPUTED_VALUE"""),2)</f>
        <v>2</v>
      </c>
      <c r="C9105" s="2">
        <f ca="1">IFERROR(__xludf.DUMMYFUNCTION("""COMPUTED_VALUE"""),2)</f>
        <v>2</v>
      </c>
      <c r="D9105" s="8">
        <f ca="1">IFERROR(__xludf.DUMMYFUNCTION("""COMPUTED_VALUE"""),6)</f>
        <v>6</v>
      </c>
      <c r="E9105" s="2">
        <f ca="1">IFERROR(__xludf.DUMMYFUNCTION("""COMPUTED_VALUE"""),2)</f>
        <v>2</v>
      </c>
    </row>
    <row r="9106" spans="1:5" ht="13">
      <c r="A9106" s="2" t="str">
        <f ca="1">IFERROR(__xludf.DUMMYFUNCTION("""COMPUTED_VALUE"""),"Botha, Charlotte")</f>
        <v>Botha, Charlotte</v>
      </c>
      <c r="B9106" s="2">
        <f ca="1">IFERROR(__xludf.DUMMYFUNCTION("""COMPUTED_VALUE"""),2)</f>
        <v>2</v>
      </c>
      <c r="C9106" s="7">
        <f ca="1">IFERROR(__xludf.DUMMYFUNCTION("""COMPUTED_VALUE"""),2)</f>
        <v>2</v>
      </c>
      <c r="D9106" s="8">
        <f ca="1">IFERROR(__xludf.DUMMYFUNCTION("""COMPUTED_VALUE"""),2)</f>
        <v>2</v>
      </c>
      <c r="E9106" s="2">
        <f ca="1">IFERROR(__xludf.DUMMYFUNCTION("""COMPUTED_VALUE"""),1)</f>
        <v>1</v>
      </c>
    </row>
    <row r="9107" spans="1:5" ht="13">
      <c r="A9107" s="8" t="str">
        <f ca="1">IFERROR(__xludf.DUMMYFUNCTION("""COMPUTED_VALUE"""),"Botti, Susan")</f>
        <v>Botti, Susan</v>
      </c>
      <c r="B9107" s="3">
        <f ca="1">IFERROR(__xludf.DUMMYFUNCTION("""COMPUTED_VALUE"""),2)</f>
        <v>2</v>
      </c>
      <c r="C9107" s="7">
        <f ca="1">IFERROR(__xludf.DUMMYFUNCTION("""COMPUTED_VALUE"""),2)</f>
        <v>2</v>
      </c>
      <c r="D9107" s="8">
        <f ca="1">IFERROR(__xludf.DUMMYFUNCTION("""COMPUTED_VALUE"""),2)</f>
        <v>2</v>
      </c>
      <c r="E9107" s="2">
        <f ca="1">IFERROR(__xludf.DUMMYFUNCTION("""COMPUTED_VALUE"""),1)</f>
        <v>1</v>
      </c>
    </row>
    <row r="9108" spans="1:5" ht="13">
      <c r="A9108" s="8" t="str">
        <f ca="1">IFERROR(__xludf.DUMMYFUNCTION("""COMPUTED_VALUE"""),"Bouchard, Linda")</f>
        <v>Bouchard, Linda</v>
      </c>
      <c r="B9108" s="3">
        <f ca="1">IFERROR(__xludf.DUMMYFUNCTION("""COMPUTED_VALUE"""),2)</f>
        <v>2</v>
      </c>
      <c r="C9108" s="7">
        <f ca="1">IFERROR(__xludf.DUMMYFUNCTION("""COMPUTED_VALUE"""),2)</f>
        <v>2</v>
      </c>
      <c r="D9108" s="8">
        <f ca="1">IFERROR(__xludf.DUMMYFUNCTION("""COMPUTED_VALUE"""),2)</f>
        <v>2</v>
      </c>
      <c r="E9108" s="2">
        <f ca="1">IFERROR(__xludf.DUMMYFUNCTION("""COMPUTED_VALUE"""),1)</f>
        <v>1</v>
      </c>
    </row>
    <row r="9109" spans="1:5" ht="13">
      <c r="A9109" s="8" t="str">
        <f ca="1">IFERROR(__xludf.DUMMYFUNCTION("""COMPUTED_VALUE"""),"Boulanger, Lili")</f>
        <v>Boulanger, Lili</v>
      </c>
      <c r="B9109" s="3">
        <f ca="1">IFERROR(__xludf.DUMMYFUNCTION("""COMPUTED_VALUE"""),2)</f>
        <v>2</v>
      </c>
      <c r="C9109" s="7">
        <f ca="1">IFERROR(__xludf.DUMMYFUNCTION("""COMPUTED_VALUE"""),2)</f>
        <v>2</v>
      </c>
      <c r="D9109" s="8">
        <f ca="1">IFERROR(__xludf.DUMMYFUNCTION("""COMPUTED_VALUE"""),6)</f>
        <v>6</v>
      </c>
      <c r="E9109" s="2">
        <f ca="1">IFERROR(__xludf.DUMMYFUNCTION("""COMPUTED_VALUE"""),2)</f>
        <v>2</v>
      </c>
    </row>
    <row r="9110" spans="1:5" ht="13">
      <c r="A9110" s="8" t="str">
        <f ca="1">IFERROR(__xludf.DUMMYFUNCTION("""COMPUTED_VALUE"""),"Boulanger, Nadia")</f>
        <v>Boulanger, Nadia</v>
      </c>
      <c r="B9110" s="3">
        <f ca="1">IFERROR(__xludf.DUMMYFUNCTION("""COMPUTED_VALUE"""),2)</f>
        <v>2</v>
      </c>
      <c r="C9110" s="7">
        <f ca="1">IFERROR(__xludf.DUMMYFUNCTION("""COMPUTED_VALUE"""),2)</f>
        <v>2</v>
      </c>
      <c r="D9110" s="8">
        <f ca="1">IFERROR(__xludf.DUMMYFUNCTION("""COMPUTED_VALUE"""),6)</f>
        <v>6</v>
      </c>
      <c r="E9110" s="2">
        <f ca="1">IFERROR(__xludf.DUMMYFUNCTION("""COMPUTED_VALUE"""),2)</f>
        <v>2</v>
      </c>
    </row>
    <row r="9111" spans="1:5" ht="13">
      <c r="A9111" s="2" t="str">
        <f ca="1">IFERROR(__xludf.DUMMYFUNCTION("""COMPUTED_VALUE"""),"Bouny, Elodie")</f>
        <v>Bouny, Elodie</v>
      </c>
      <c r="B9111" s="3">
        <f ca="1">IFERROR(__xludf.DUMMYFUNCTION("""COMPUTED_VALUE"""),2)</f>
        <v>2</v>
      </c>
      <c r="C9111" s="7">
        <f ca="1">IFERROR(__xludf.DUMMYFUNCTION("""COMPUTED_VALUE"""),2)</f>
        <v>2</v>
      </c>
      <c r="D9111" s="8">
        <f ca="1">IFERROR(__xludf.DUMMYFUNCTION("""COMPUTED_VALUE"""),2)</f>
        <v>2</v>
      </c>
      <c r="E9111" s="2">
        <f ca="1">IFERROR(__xludf.DUMMYFUNCTION("""COMPUTED_VALUE"""),1)</f>
        <v>1</v>
      </c>
    </row>
    <row r="9112" spans="1:5" ht="13">
      <c r="A9112" s="2" t="str">
        <f ca="1">IFERROR(__xludf.DUMMYFUNCTION("""COMPUTED_VALUE"""),"Bove, Kaitlin")</f>
        <v>Bove, Kaitlin</v>
      </c>
      <c r="B9112" s="2">
        <f ca="1">IFERROR(__xludf.DUMMYFUNCTION("""COMPUTED_VALUE"""),2)</f>
        <v>2</v>
      </c>
      <c r="C9112" s="7">
        <f ca="1">IFERROR(__xludf.DUMMYFUNCTION("""COMPUTED_VALUE"""),2)</f>
        <v>2</v>
      </c>
      <c r="D9112" s="8">
        <f ca="1">IFERROR(__xludf.DUMMYFUNCTION("""COMPUTED_VALUE"""),2)</f>
        <v>2</v>
      </c>
      <c r="E9112" s="2">
        <f ca="1">IFERROR(__xludf.DUMMYFUNCTION("""COMPUTED_VALUE"""),1)</f>
        <v>1</v>
      </c>
    </row>
    <row r="9113" spans="1:5" ht="13">
      <c r="A9113" s="2" t="str">
        <f ca="1">IFERROR(__xludf.DUMMYFUNCTION("""COMPUTED_VALUE"""),"Bowen, Kathy C.")</f>
        <v>Bowen, Kathy C.</v>
      </c>
      <c r="B9113" s="3">
        <f ca="1">IFERROR(__xludf.DUMMYFUNCTION("""COMPUTED_VALUE"""),2)</f>
        <v>2</v>
      </c>
      <c r="C9113" s="7">
        <f ca="1">IFERROR(__xludf.DUMMYFUNCTION("""COMPUTED_VALUE"""),2)</f>
        <v>2</v>
      </c>
      <c r="D9113" s="8">
        <f ca="1">IFERROR(__xludf.DUMMYFUNCTION("""COMPUTED_VALUE"""),2)</f>
        <v>2</v>
      </c>
      <c r="E9113" s="2">
        <f ca="1">IFERROR(__xludf.DUMMYFUNCTION("""COMPUTED_VALUE"""),1)</f>
        <v>1</v>
      </c>
    </row>
    <row r="9114" spans="1:5" ht="13">
      <c r="A9114" s="2" t="str">
        <f ca="1">IFERROR(__xludf.DUMMYFUNCTION("""COMPUTED_VALUE"""),"Bowen, Meredith Y.")</f>
        <v>Bowen, Meredith Y.</v>
      </c>
      <c r="B9114" s="2">
        <f ca="1">IFERROR(__xludf.DUMMYFUNCTION("""COMPUTED_VALUE"""),2)</f>
        <v>2</v>
      </c>
      <c r="C9114" s="2">
        <f ca="1">IFERROR(__xludf.DUMMYFUNCTION("""COMPUTED_VALUE"""),2)</f>
        <v>2</v>
      </c>
      <c r="D9114" s="8">
        <f ca="1">IFERROR(__xludf.DUMMYFUNCTION("""COMPUTED_VALUE"""),2)</f>
        <v>2</v>
      </c>
      <c r="E9114" s="2">
        <f ca="1">IFERROR(__xludf.DUMMYFUNCTION("""COMPUTED_VALUE"""),1)</f>
        <v>1</v>
      </c>
    </row>
    <row r="9115" spans="1:5" ht="13">
      <c r="A9115" s="8" t="str">
        <f ca="1">IFERROR(__xludf.DUMMYFUNCTION("""COMPUTED_VALUE"""),"Boxall, Jane")</f>
        <v>Boxall, Jane</v>
      </c>
      <c r="B9115" s="3">
        <f ca="1">IFERROR(__xludf.DUMMYFUNCTION("""COMPUTED_VALUE"""),2)</f>
        <v>2</v>
      </c>
      <c r="C9115" s="7">
        <f ca="1">IFERROR(__xludf.DUMMYFUNCTION("""COMPUTED_VALUE"""),2)</f>
        <v>2</v>
      </c>
      <c r="D9115" s="8">
        <f ca="1">IFERROR(__xludf.DUMMYFUNCTION("""COMPUTED_VALUE"""),2)</f>
        <v>2</v>
      </c>
      <c r="E9115" s="2">
        <f ca="1">IFERROR(__xludf.DUMMYFUNCTION("""COMPUTED_VALUE"""),1)</f>
        <v>1</v>
      </c>
    </row>
    <row r="9116" spans="1:5" ht="13">
      <c r="A9116" s="8" t="str">
        <f ca="1">IFERROR(__xludf.DUMMYFUNCTION("""COMPUTED_VALUE"""),"Boyd, Lindsay")</f>
        <v>Boyd, Lindsay</v>
      </c>
      <c r="B9116" s="3">
        <f ca="1">IFERROR(__xludf.DUMMYFUNCTION("""COMPUTED_VALUE"""),2)</f>
        <v>2</v>
      </c>
      <c r="C9116" s="7">
        <f ca="1">IFERROR(__xludf.DUMMYFUNCTION("""COMPUTED_VALUE"""),2)</f>
        <v>2</v>
      </c>
      <c r="D9116" s="8">
        <f ca="1">IFERROR(__xludf.DUMMYFUNCTION("""COMPUTED_VALUE"""),2)</f>
        <v>2</v>
      </c>
      <c r="E9116" s="2">
        <f ca="1">IFERROR(__xludf.DUMMYFUNCTION("""COMPUTED_VALUE"""),1)</f>
        <v>1</v>
      </c>
    </row>
    <row r="9117" spans="1:5" ht="13">
      <c r="A9117" s="2" t="str">
        <f ca="1">IFERROR(__xludf.DUMMYFUNCTION("""COMPUTED_VALUE"""),"Boyd, Stephanie")</f>
        <v>Boyd, Stephanie</v>
      </c>
      <c r="B9117" s="3">
        <f ca="1">IFERROR(__xludf.DUMMYFUNCTION("""COMPUTED_VALUE"""),2)</f>
        <v>2</v>
      </c>
      <c r="C9117" s="7">
        <f ca="1">IFERROR(__xludf.DUMMYFUNCTION("""COMPUTED_VALUE"""),2)</f>
        <v>2</v>
      </c>
      <c r="D9117" s="8">
        <f ca="1">IFERROR(__xludf.DUMMYFUNCTION("""COMPUTED_VALUE"""),2)</f>
        <v>2</v>
      </c>
      <c r="E9117" s="2">
        <f ca="1">IFERROR(__xludf.DUMMYFUNCTION("""COMPUTED_VALUE"""),1)</f>
        <v>1</v>
      </c>
    </row>
    <row r="9118" spans="1:5" ht="13">
      <c r="A9118" s="8" t="str">
        <f ca="1">IFERROR(__xludf.DUMMYFUNCTION("""COMPUTED_VALUE"""),"Boyd, Stephanie Ann")</f>
        <v>Boyd, Stephanie Ann</v>
      </c>
      <c r="B9118" s="3">
        <f ca="1">IFERROR(__xludf.DUMMYFUNCTION("""COMPUTED_VALUE"""),2)</f>
        <v>2</v>
      </c>
      <c r="C9118" s="7">
        <f ca="1">IFERROR(__xludf.DUMMYFUNCTION("""COMPUTED_VALUE"""),2)</f>
        <v>2</v>
      </c>
      <c r="D9118" s="8">
        <f ca="1">IFERROR(__xludf.DUMMYFUNCTION("""COMPUTED_VALUE"""),2)</f>
        <v>2</v>
      </c>
      <c r="E9118" s="2">
        <f ca="1">IFERROR(__xludf.DUMMYFUNCTION("""COMPUTED_VALUE"""),1)</f>
        <v>1</v>
      </c>
    </row>
    <row r="9119" spans="1:5" ht="13">
      <c r="A9119" s="2" t="str">
        <f ca="1">IFERROR(__xludf.DUMMYFUNCTION("""COMPUTED_VALUE"""),"boygenius")</f>
        <v>boygenius</v>
      </c>
      <c r="B9119" s="2">
        <f ca="1">IFERROR(__xludf.DUMMYFUNCTION("""COMPUTED_VALUE"""),2)</f>
        <v>2</v>
      </c>
      <c r="C9119" s="2">
        <f ca="1">IFERROR(__xludf.DUMMYFUNCTION("""COMPUTED_VALUE"""),2)</f>
        <v>2</v>
      </c>
      <c r="D9119" s="8">
        <f ca="1">IFERROR(__xludf.DUMMYFUNCTION("""COMPUTED_VALUE"""),2)</f>
        <v>2</v>
      </c>
      <c r="E9119" s="2">
        <f ca="1">IFERROR(__xludf.DUMMYFUNCTION("""COMPUTED_VALUE"""),1)</f>
        <v>1</v>
      </c>
    </row>
    <row r="9120" spans="1:5" ht="13">
      <c r="A9120" s="8" t="str">
        <f ca="1">IFERROR(__xludf.DUMMYFUNCTION("""COMPUTED_VALUE"""),"Boyle, Ina")</f>
        <v>Boyle, Ina</v>
      </c>
      <c r="B9120" s="3">
        <f ca="1">IFERROR(__xludf.DUMMYFUNCTION("""COMPUTED_VALUE"""),2)</f>
        <v>2</v>
      </c>
      <c r="C9120" s="7">
        <f ca="1">IFERROR(__xludf.DUMMYFUNCTION("""COMPUTED_VALUE"""),2)</f>
        <v>2</v>
      </c>
      <c r="D9120" s="8">
        <f ca="1">IFERROR(__xludf.DUMMYFUNCTION("""COMPUTED_VALUE"""),6)</f>
        <v>6</v>
      </c>
      <c r="E9120" s="2">
        <f ca="1">IFERROR(__xludf.DUMMYFUNCTION("""COMPUTED_VALUE"""),2)</f>
        <v>2</v>
      </c>
    </row>
    <row r="9121" spans="1:5" ht="13">
      <c r="A9121" s="2" t="str">
        <f ca="1">IFERROR(__xludf.DUMMYFUNCTION("""COMPUTED_VALUE"""),"Boytim, Joan Frey")</f>
        <v>Boytim, Joan Frey</v>
      </c>
      <c r="B9121" s="3">
        <f ca="1">IFERROR(__xludf.DUMMYFUNCTION("""COMPUTED_VALUE"""),2)</f>
        <v>2</v>
      </c>
      <c r="C9121" s="7">
        <f ca="1">IFERROR(__xludf.DUMMYFUNCTION("""COMPUTED_VALUE"""),2)</f>
        <v>2</v>
      </c>
      <c r="D9121" s="8">
        <f ca="1">IFERROR(__xludf.DUMMYFUNCTION("""COMPUTED_VALUE"""),2)</f>
        <v>2</v>
      </c>
      <c r="E9121" s="2">
        <f ca="1">IFERROR(__xludf.DUMMYFUNCTION("""COMPUTED_VALUE"""),1)</f>
        <v>1</v>
      </c>
    </row>
    <row r="9122" spans="1:5" ht="13">
      <c r="A9122" s="8" t="str">
        <f ca="1">IFERROR(__xludf.DUMMYFUNCTION("""COMPUTED_VALUE"""),"Bozone, Judy")</f>
        <v>Bozone, Judy</v>
      </c>
      <c r="B9122" s="3">
        <f ca="1">IFERROR(__xludf.DUMMYFUNCTION("""COMPUTED_VALUE"""),2)</f>
        <v>2</v>
      </c>
      <c r="C9122" s="7">
        <f ca="1">IFERROR(__xludf.DUMMYFUNCTION("""COMPUTED_VALUE"""),2)</f>
        <v>2</v>
      </c>
      <c r="D9122" s="8">
        <f ca="1">IFERROR(__xludf.DUMMYFUNCTION("""COMPUTED_VALUE"""),2)</f>
        <v>2</v>
      </c>
      <c r="E9122" s="2">
        <f ca="1">IFERROR(__xludf.DUMMYFUNCTION("""COMPUTED_VALUE"""),1)</f>
        <v>1</v>
      </c>
    </row>
    <row r="9123" spans="1:5" ht="13">
      <c r="A9123" s="2" t="str">
        <f ca="1">IFERROR(__xludf.DUMMYFUNCTION("""COMPUTED_VALUE"""),"Bozone, Julia")</f>
        <v>Bozone, Julia</v>
      </c>
      <c r="B9123" s="2">
        <f ca="1">IFERROR(__xludf.DUMMYFUNCTION("""COMPUTED_VALUE"""),2)</f>
        <v>2</v>
      </c>
      <c r="C9123" s="7">
        <f ca="1">IFERROR(__xludf.DUMMYFUNCTION("""COMPUTED_VALUE"""),2)</f>
        <v>2</v>
      </c>
      <c r="D9123" s="8">
        <f ca="1">IFERROR(__xludf.DUMMYFUNCTION("""COMPUTED_VALUE"""),2)</f>
        <v>2</v>
      </c>
      <c r="E9123" s="2">
        <f ca="1">IFERROR(__xludf.DUMMYFUNCTION("""COMPUTED_VALUE"""),1)</f>
        <v>1</v>
      </c>
    </row>
    <row r="9124" spans="1:5" ht="13">
      <c r="A9124" s="2" t="str">
        <f ca="1">IFERROR(__xludf.DUMMYFUNCTION("""COMPUTED_VALUE"""),"Bradley, Lynne")</f>
        <v>Bradley, Lynne</v>
      </c>
      <c r="B9124" s="2">
        <f ca="1">IFERROR(__xludf.DUMMYFUNCTION("""COMPUTED_VALUE"""),2)</f>
        <v>2</v>
      </c>
      <c r="C9124" s="2">
        <f ca="1">IFERROR(__xludf.DUMMYFUNCTION("""COMPUTED_VALUE"""),2)</f>
        <v>2</v>
      </c>
      <c r="D9124" s="8">
        <f ca="1">IFERROR(__xludf.DUMMYFUNCTION("""COMPUTED_VALUE"""),2)</f>
        <v>2</v>
      </c>
      <c r="E9124" s="2">
        <f ca="1">IFERROR(__xludf.DUMMYFUNCTION("""COMPUTED_VALUE"""),1)</f>
        <v>1</v>
      </c>
    </row>
    <row r="9125" spans="1:5" ht="13">
      <c r="A9125" s="8" t="str">
        <f ca="1">IFERROR(__xludf.DUMMYFUNCTION("""COMPUTED_VALUE"""),"Brandon, Jenni")</f>
        <v>Brandon, Jenni</v>
      </c>
      <c r="B9125" s="3">
        <f ca="1">IFERROR(__xludf.DUMMYFUNCTION("""COMPUTED_VALUE"""),2)</f>
        <v>2</v>
      </c>
      <c r="C9125" s="7">
        <f ca="1">IFERROR(__xludf.DUMMYFUNCTION("""COMPUTED_VALUE"""),2)</f>
        <v>2</v>
      </c>
      <c r="D9125" s="8">
        <f ca="1">IFERROR(__xludf.DUMMYFUNCTION("""COMPUTED_VALUE"""),2)</f>
        <v>2</v>
      </c>
      <c r="E9125" s="2">
        <f ca="1">IFERROR(__xludf.DUMMYFUNCTION("""COMPUTED_VALUE"""),1)</f>
        <v>1</v>
      </c>
    </row>
    <row r="9126" spans="1:5" ht="13">
      <c r="A9126" s="2" t="str">
        <f ca="1">IFERROR(__xludf.DUMMYFUNCTION("""COMPUTED_VALUE"""),"Bratt, Renata")</f>
        <v>Bratt, Renata</v>
      </c>
      <c r="B9126" s="2">
        <f ca="1">IFERROR(__xludf.DUMMYFUNCTION("""COMPUTED_VALUE"""),2)</f>
        <v>2</v>
      </c>
      <c r="C9126" s="7">
        <f ca="1">IFERROR(__xludf.DUMMYFUNCTION("""COMPUTED_VALUE"""),2)</f>
        <v>2</v>
      </c>
      <c r="D9126" s="8">
        <f ca="1">IFERROR(__xludf.DUMMYFUNCTION("""COMPUTED_VALUE"""),2)</f>
        <v>2</v>
      </c>
      <c r="E9126" s="2">
        <f ca="1">IFERROR(__xludf.DUMMYFUNCTION("""COMPUTED_VALUE"""),1)</f>
        <v>1</v>
      </c>
    </row>
    <row r="9127" spans="1:5" ht="13">
      <c r="A9127" s="8" t="str">
        <f ca="1">IFERROR(__xludf.DUMMYFUNCTION("""COMPUTED_VALUE"""),"Braun, Aiyana")</f>
        <v>Braun, Aiyana</v>
      </c>
      <c r="B9127" s="3">
        <f ca="1">IFERROR(__xludf.DUMMYFUNCTION("""COMPUTED_VALUE"""),2)</f>
        <v>2</v>
      </c>
      <c r="C9127" s="7">
        <f ca="1">IFERROR(__xludf.DUMMYFUNCTION("""COMPUTED_VALUE"""),2)</f>
        <v>2</v>
      </c>
      <c r="D9127" s="8">
        <f ca="1">IFERROR(__xludf.DUMMYFUNCTION("""COMPUTED_VALUE"""),2)</f>
        <v>2</v>
      </c>
      <c r="E9127" s="2">
        <f ca="1">IFERROR(__xludf.DUMMYFUNCTION("""COMPUTED_VALUE"""),1)</f>
        <v>1</v>
      </c>
    </row>
    <row r="9128" spans="1:5" ht="13">
      <c r="A9128" s="8" t="str">
        <f ca="1">IFERROR(__xludf.DUMMYFUNCTION("""COMPUTED_VALUE"""),"Bray, Charlotte")</f>
        <v>Bray, Charlotte</v>
      </c>
      <c r="B9128" s="3">
        <f ca="1">IFERROR(__xludf.DUMMYFUNCTION("""COMPUTED_VALUE"""),2)</f>
        <v>2</v>
      </c>
      <c r="C9128" s="7">
        <f ca="1">IFERROR(__xludf.DUMMYFUNCTION("""COMPUTED_VALUE"""),2)</f>
        <v>2</v>
      </c>
      <c r="D9128" s="8">
        <f ca="1">IFERROR(__xludf.DUMMYFUNCTION("""COMPUTED_VALUE"""),2)</f>
        <v>2</v>
      </c>
      <c r="E9128" s="2">
        <f ca="1">IFERROR(__xludf.DUMMYFUNCTION("""COMPUTED_VALUE"""),1)</f>
        <v>1</v>
      </c>
    </row>
    <row r="9129" spans="1:5" ht="13">
      <c r="A9129" s="2" t="str">
        <f ca="1">IFERROR(__xludf.DUMMYFUNCTION("""COMPUTED_VALUE"""),"Bray, Julie Gardner")</f>
        <v>Bray, Julie Gardner</v>
      </c>
      <c r="B9129" s="3">
        <f ca="1">IFERROR(__xludf.DUMMYFUNCTION("""COMPUTED_VALUE"""),2)</f>
        <v>2</v>
      </c>
      <c r="C9129" s="7">
        <f ca="1">IFERROR(__xludf.DUMMYFUNCTION("""COMPUTED_VALUE"""),2)</f>
        <v>2</v>
      </c>
      <c r="D9129" s="8">
        <f ca="1">IFERROR(__xludf.DUMMYFUNCTION("""COMPUTED_VALUE"""),2)</f>
        <v>2</v>
      </c>
      <c r="E9129" s="2">
        <f ca="1">IFERROR(__xludf.DUMMYFUNCTION("""COMPUTED_VALUE"""),1)</f>
        <v>1</v>
      </c>
    </row>
    <row r="9130" spans="1:5" ht="13">
      <c r="A9130" s="8" t="str">
        <f ca="1">IFERROR(__xludf.DUMMYFUNCTION("""COMPUTED_VALUE"""),"Brazelton, Kitty")</f>
        <v>Brazelton, Kitty</v>
      </c>
      <c r="B9130" s="3">
        <f ca="1">IFERROR(__xludf.DUMMYFUNCTION("""COMPUTED_VALUE"""),2)</f>
        <v>2</v>
      </c>
      <c r="C9130" s="7">
        <f ca="1">IFERROR(__xludf.DUMMYFUNCTION("""COMPUTED_VALUE"""),2)</f>
        <v>2</v>
      </c>
      <c r="D9130" s="8">
        <f ca="1">IFERROR(__xludf.DUMMYFUNCTION("""COMPUTED_VALUE"""),2)</f>
        <v>2</v>
      </c>
      <c r="E9130" s="2">
        <f ca="1">IFERROR(__xludf.DUMMYFUNCTION("""COMPUTED_VALUE"""),1)</f>
        <v>1</v>
      </c>
    </row>
    <row r="9131" spans="1:5" ht="13">
      <c r="A9131" s="8" t="str">
        <f ca="1">IFERROR(__xludf.DUMMYFUNCTION("""COMPUTED_VALUE"""),"Bremer, Carolyn")</f>
        <v>Bremer, Carolyn</v>
      </c>
      <c r="B9131" s="3">
        <f ca="1">IFERROR(__xludf.DUMMYFUNCTION("""COMPUTED_VALUE"""),2)</f>
        <v>2</v>
      </c>
      <c r="C9131" s="7">
        <f ca="1">IFERROR(__xludf.DUMMYFUNCTION("""COMPUTED_VALUE"""),2)</f>
        <v>2</v>
      </c>
      <c r="D9131" s="8">
        <f ca="1">IFERROR(__xludf.DUMMYFUNCTION("""COMPUTED_VALUE"""),6)</f>
        <v>6</v>
      </c>
      <c r="E9131" s="2">
        <f ca="1">IFERROR(__xludf.DUMMYFUNCTION("""COMPUTED_VALUE"""),2)</f>
        <v>2</v>
      </c>
    </row>
    <row r="9132" spans="1:5" ht="13">
      <c r="A9132" s="8" t="str">
        <f ca="1">IFERROR(__xludf.DUMMYFUNCTION("""COMPUTED_VALUE"""),"Brey, Amelia")</f>
        <v>Brey, Amelia</v>
      </c>
      <c r="B9132" s="3">
        <f ca="1">IFERROR(__xludf.DUMMYFUNCTION("""COMPUTED_VALUE"""),2)</f>
        <v>2</v>
      </c>
      <c r="C9132" s="7">
        <f ca="1">IFERROR(__xludf.DUMMYFUNCTION("""COMPUTED_VALUE"""),2)</f>
        <v>2</v>
      </c>
      <c r="D9132" s="8">
        <f ca="1">IFERROR(__xludf.DUMMYFUNCTION("""COMPUTED_VALUE"""),2)</f>
        <v>2</v>
      </c>
      <c r="E9132" s="2">
        <f ca="1">IFERROR(__xludf.DUMMYFUNCTION("""COMPUTED_VALUE"""),1)</f>
        <v>1</v>
      </c>
    </row>
    <row r="9133" spans="1:5" ht="13">
      <c r="A9133" s="2" t="str">
        <f ca="1">IFERROR(__xludf.DUMMYFUNCTION("""COMPUTED_VALUE"""),"Brittain, Kim")</f>
        <v>Brittain, Kim</v>
      </c>
      <c r="B9133" s="3">
        <f ca="1">IFERROR(__xludf.DUMMYFUNCTION("""COMPUTED_VALUE"""),2)</f>
        <v>2</v>
      </c>
      <c r="C9133" s="7">
        <f ca="1">IFERROR(__xludf.DUMMYFUNCTION("""COMPUTED_VALUE"""),2)</f>
        <v>2</v>
      </c>
      <c r="D9133" s="8">
        <f ca="1">IFERROR(__xludf.DUMMYFUNCTION("""COMPUTED_VALUE"""),2)</f>
        <v>2</v>
      </c>
      <c r="E9133" s="2">
        <f ca="1">IFERROR(__xludf.DUMMYFUNCTION("""COMPUTED_VALUE"""),1)</f>
        <v>1</v>
      </c>
    </row>
    <row r="9134" spans="1:5" ht="13">
      <c r="A9134" s="2" t="str">
        <f ca="1">IFERROR(__xludf.DUMMYFUNCTION("""COMPUTED_VALUE"""),"Brittin, Ruth")</f>
        <v>Brittin, Ruth</v>
      </c>
      <c r="B9134" s="2">
        <f ca="1">IFERROR(__xludf.DUMMYFUNCTION("""COMPUTED_VALUE"""),2)</f>
        <v>2</v>
      </c>
      <c r="C9134" s="7">
        <f ca="1">IFERROR(__xludf.DUMMYFUNCTION("""COMPUTED_VALUE"""),2)</f>
        <v>2</v>
      </c>
      <c r="D9134" s="8">
        <f ca="1">IFERROR(__xludf.DUMMYFUNCTION("""COMPUTED_VALUE"""),2)</f>
        <v>2</v>
      </c>
      <c r="E9134" s="2">
        <f ca="1">IFERROR(__xludf.DUMMYFUNCTION("""COMPUTED_VALUE"""),1)</f>
        <v>1</v>
      </c>
    </row>
    <row r="9135" spans="1:5" ht="13">
      <c r="A9135" s="8" t="str">
        <f ca="1">IFERROR(__xludf.DUMMYFUNCTION("""COMPUTED_VALUE"""),"Broadley, Sharon")</f>
        <v>Broadley, Sharon</v>
      </c>
      <c r="B9135" s="2">
        <f ca="1">IFERROR(__xludf.DUMMYFUNCTION("""COMPUTED_VALUE"""),2)</f>
        <v>2</v>
      </c>
      <c r="C9135" s="7">
        <f ca="1">IFERROR(__xludf.DUMMYFUNCTION("""COMPUTED_VALUE"""),2)</f>
        <v>2</v>
      </c>
      <c r="D9135" s="8">
        <f ca="1">IFERROR(__xludf.DUMMYFUNCTION("""COMPUTED_VALUE"""),2)</f>
        <v>2</v>
      </c>
      <c r="E9135" s="2">
        <f ca="1">IFERROR(__xludf.DUMMYFUNCTION("""COMPUTED_VALUE"""),1)</f>
        <v>1</v>
      </c>
    </row>
    <row r="9136" spans="1:5" ht="13">
      <c r="A9136" s="8" t="str">
        <f ca="1">IFERROR(__xludf.DUMMYFUNCTION("""COMPUTED_VALUE"""),"Broberg, Kirsten")</f>
        <v>Broberg, Kirsten</v>
      </c>
      <c r="B9136" s="3">
        <f ca="1">IFERROR(__xludf.DUMMYFUNCTION("""COMPUTED_VALUE"""),2)</f>
        <v>2</v>
      </c>
      <c r="C9136" s="7">
        <f ca="1">IFERROR(__xludf.DUMMYFUNCTION("""COMPUTED_VALUE"""),2)</f>
        <v>2</v>
      </c>
      <c r="D9136" s="8">
        <f ca="1">IFERROR(__xludf.DUMMYFUNCTION("""COMPUTED_VALUE"""),2)</f>
        <v>2</v>
      </c>
      <c r="E9136" s="2">
        <f ca="1">IFERROR(__xludf.DUMMYFUNCTION("""COMPUTED_VALUE"""),1)</f>
        <v>1</v>
      </c>
    </row>
    <row r="9137" spans="1:5" ht="13">
      <c r="A9137" s="8" t="str">
        <f ca="1">IFERROR(__xludf.DUMMYFUNCTION("""COMPUTED_VALUE"""),"Brockman, Jane")</f>
        <v>Brockman, Jane</v>
      </c>
      <c r="B9137" s="3">
        <f ca="1">IFERROR(__xludf.DUMMYFUNCTION("""COMPUTED_VALUE"""),2)</f>
        <v>2</v>
      </c>
      <c r="C9137" s="7">
        <f ca="1">IFERROR(__xludf.DUMMYFUNCTION("""COMPUTED_VALUE"""),2)</f>
        <v>2</v>
      </c>
      <c r="D9137" s="8">
        <f ca="1">IFERROR(__xludf.DUMMYFUNCTION("""COMPUTED_VALUE"""),2)</f>
        <v>2</v>
      </c>
      <c r="E9137" s="2">
        <f ca="1">IFERROR(__xludf.DUMMYFUNCTION("""COMPUTED_VALUE"""),1)</f>
        <v>1</v>
      </c>
    </row>
    <row r="9138" spans="1:5" ht="13">
      <c r="A9138" s="2" t="str">
        <f ca="1">IFERROR(__xludf.DUMMYFUNCTION("""COMPUTED_VALUE"""),"Broder, Annie Glen")</f>
        <v>Broder, Annie Glen</v>
      </c>
      <c r="B9138" s="2">
        <f ca="1">IFERROR(__xludf.DUMMYFUNCTION("""COMPUTED_VALUE"""),2)</f>
        <v>2</v>
      </c>
      <c r="C9138" s="7">
        <f ca="1">IFERROR(__xludf.DUMMYFUNCTION("""COMPUTED_VALUE"""),2)</f>
        <v>2</v>
      </c>
      <c r="D9138" s="8">
        <f ca="1">IFERROR(__xludf.DUMMYFUNCTION("""COMPUTED_VALUE"""),2)</f>
        <v>2</v>
      </c>
      <c r="E9138" s="2">
        <f ca="1">IFERROR(__xludf.DUMMYFUNCTION("""COMPUTED_VALUE"""),1)</f>
        <v>1</v>
      </c>
    </row>
    <row r="9139" spans="1:5" ht="13">
      <c r="A9139" s="2" t="str">
        <f ca="1">IFERROR(__xludf.DUMMYFUNCTION("""COMPUTED_VALUE"""),"Bronnenkant, Lindsay")</f>
        <v>Bronnenkant, Lindsay</v>
      </c>
      <c r="B9139" s="2">
        <f ca="1">IFERROR(__xludf.DUMMYFUNCTION("""COMPUTED_VALUE"""),2)</f>
        <v>2</v>
      </c>
      <c r="C9139" s="7">
        <f ca="1">IFERROR(__xludf.DUMMYFUNCTION("""COMPUTED_VALUE"""),2)</f>
        <v>2</v>
      </c>
      <c r="D9139" s="8">
        <f ca="1">IFERROR(__xludf.DUMMYFUNCTION("""COMPUTED_VALUE"""),2)</f>
        <v>2</v>
      </c>
      <c r="E9139" s="2">
        <f ca="1">IFERROR(__xludf.DUMMYFUNCTION("""COMPUTED_VALUE"""),1)</f>
        <v>1</v>
      </c>
    </row>
    <row r="9140" spans="1:5" ht="13">
      <c r="A9140" s="2" t="str">
        <f ca="1">IFERROR(__xludf.DUMMYFUNCTION("""COMPUTED_VALUE"""),"Broughton, Marilyn")</f>
        <v>Broughton, Marilyn</v>
      </c>
      <c r="B9140" s="3">
        <f ca="1">IFERROR(__xludf.DUMMYFUNCTION("""COMPUTED_VALUE"""),2)</f>
        <v>2</v>
      </c>
      <c r="C9140" s="7">
        <f ca="1">IFERROR(__xludf.DUMMYFUNCTION("""COMPUTED_VALUE"""),2)</f>
        <v>2</v>
      </c>
      <c r="D9140" s="8">
        <f ca="1">IFERROR(__xludf.DUMMYFUNCTION("""COMPUTED_VALUE"""),6)</f>
        <v>6</v>
      </c>
      <c r="E9140" s="2">
        <f ca="1">IFERROR(__xludf.DUMMYFUNCTION("""COMPUTED_VALUE"""),2)</f>
        <v>2</v>
      </c>
    </row>
    <row r="9141" spans="1:5" ht="13">
      <c r="A9141" s="8" t="str">
        <f ca="1">IFERROR(__xludf.DUMMYFUNCTION("""COMPUTED_VALUE"""),"Brouwer, Margaret")</f>
        <v>Brouwer, Margaret</v>
      </c>
      <c r="B9141" s="3">
        <f ca="1">IFERROR(__xludf.DUMMYFUNCTION("""COMPUTED_VALUE"""),2)</f>
        <v>2</v>
      </c>
      <c r="C9141" s="7">
        <f ca="1">IFERROR(__xludf.DUMMYFUNCTION("""COMPUTED_VALUE"""),2)</f>
        <v>2</v>
      </c>
      <c r="D9141" s="8">
        <f ca="1">IFERROR(__xludf.DUMMYFUNCTION("""COMPUTED_VALUE"""),2)</f>
        <v>2</v>
      </c>
      <c r="E9141" s="2">
        <f ca="1">IFERROR(__xludf.DUMMYFUNCTION("""COMPUTED_VALUE"""),1)</f>
        <v>1</v>
      </c>
    </row>
    <row r="9142" spans="1:5" ht="13">
      <c r="A9142" s="8" t="str">
        <f ca="1">IFERROR(__xludf.DUMMYFUNCTION("""COMPUTED_VALUE"""),"Brown, Courtney")</f>
        <v>Brown, Courtney</v>
      </c>
      <c r="B9142" s="3">
        <f ca="1">IFERROR(__xludf.DUMMYFUNCTION("""COMPUTED_VALUE"""),2)</f>
        <v>2</v>
      </c>
      <c r="C9142" s="7">
        <f ca="1">IFERROR(__xludf.DUMMYFUNCTION("""COMPUTED_VALUE"""),2)</f>
        <v>2</v>
      </c>
      <c r="D9142" s="8">
        <f ca="1">IFERROR(__xludf.DUMMYFUNCTION("""COMPUTED_VALUE"""),2)</f>
        <v>2</v>
      </c>
      <c r="E9142" s="2">
        <f ca="1">IFERROR(__xludf.DUMMYFUNCTION("""COMPUTED_VALUE"""),1)</f>
        <v>1</v>
      </c>
    </row>
    <row r="9143" spans="1:5" ht="13">
      <c r="A9143" s="8" t="str">
        <f ca="1">IFERROR(__xludf.DUMMYFUNCTION("""COMPUTED_VALUE"""),"Brown, Elizabeth")</f>
        <v>Brown, Elizabeth</v>
      </c>
      <c r="B9143" s="3">
        <f ca="1">IFERROR(__xludf.DUMMYFUNCTION("""COMPUTED_VALUE"""),2)</f>
        <v>2</v>
      </c>
      <c r="C9143" s="7">
        <f ca="1">IFERROR(__xludf.DUMMYFUNCTION("""COMPUTED_VALUE"""),2)</f>
        <v>2</v>
      </c>
      <c r="D9143" s="8">
        <f ca="1">IFERROR(__xludf.DUMMYFUNCTION("""COMPUTED_VALUE"""),2)</f>
        <v>2</v>
      </c>
      <c r="E9143" s="2">
        <f ca="1">IFERROR(__xludf.DUMMYFUNCTION("""COMPUTED_VALUE"""),1)</f>
        <v>1</v>
      </c>
    </row>
    <row r="9144" spans="1:5" ht="13">
      <c r="A9144" s="2" t="str">
        <f ca="1">IFERROR(__xludf.DUMMYFUNCTION("""COMPUTED_VALUE"""),"Brown, Stacey")</f>
        <v>Brown, Stacey</v>
      </c>
      <c r="B9144" s="2">
        <f ca="1">IFERROR(__xludf.DUMMYFUNCTION("""COMPUTED_VALUE"""),2)</f>
        <v>2</v>
      </c>
      <c r="C9144" s="7">
        <f ca="1">IFERROR(__xludf.DUMMYFUNCTION("""COMPUTED_VALUE"""),2)</f>
        <v>2</v>
      </c>
      <c r="D9144" s="8">
        <f ca="1">IFERROR(__xludf.DUMMYFUNCTION("""COMPUTED_VALUE"""),2)</f>
        <v>2</v>
      </c>
      <c r="E9144" s="2">
        <f ca="1">IFERROR(__xludf.DUMMYFUNCTION("""COMPUTED_VALUE"""),1)</f>
        <v>1</v>
      </c>
    </row>
    <row r="9145" spans="1:5" ht="13">
      <c r="A9145" s="8" t="str">
        <f ca="1">IFERROR(__xludf.DUMMYFUNCTION("""COMPUTED_VALUE"""),"Brown, Susan")</f>
        <v>Brown, Susan</v>
      </c>
      <c r="B9145" s="3">
        <f ca="1">IFERROR(__xludf.DUMMYFUNCTION("""COMPUTED_VALUE"""),2)</f>
        <v>2</v>
      </c>
      <c r="C9145" s="7">
        <f ca="1">IFERROR(__xludf.DUMMYFUNCTION("""COMPUTED_VALUE"""),2)</f>
        <v>2</v>
      </c>
      <c r="D9145" s="8">
        <f ca="1">IFERROR(__xludf.DUMMYFUNCTION("""COMPUTED_VALUE"""),2)</f>
        <v>2</v>
      </c>
      <c r="E9145" s="2">
        <f ca="1">IFERROR(__xludf.DUMMYFUNCTION("""COMPUTED_VALUE"""),1)</f>
        <v>1</v>
      </c>
    </row>
    <row r="9146" spans="1:5" ht="13">
      <c r="A9146" s="8" t="str">
        <f ca="1">IFERROR(__xludf.DUMMYFUNCTION("""COMPUTED_VALUE"""),"Brownsey, Lois / Lantz, Marti Lunn")</f>
        <v>Brownsey, Lois / Lantz, Marti Lunn</v>
      </c>
      <c r="B9146" s="3">
        <f ca="1">IFERROR(__xludf.DUMMYFUNCTION("""COMPUTED_VALUE"""),2)</f>
        <v>2</v>
      </c>
      <c r="C9146" s="7">
        <f ca="1">IFERROR(__xludf.DUMMYFUNCTION("""COMPUTED_VALUE"""),2)</f>
        <v>2</v>
      </c>
      <c r="D9146" s="8">
        <f ca="1">IFERROR(__xludf.DUMMYFUNCTION("""COMPUTED_VALUE"""),2)</f>
        <v>2</v>
      </c>
      <c r="E9146" s="2">
        <f ca="1">IFERROR(__xludf.DUMMYFUNCTION("""COMPUTED_VALUE"""),1)</f>
        <v>1</v>
      </c>
    </row>
    <row r="9147" spans="1:5" ht="13">
      <c r="A9147" s="2" t="str">
        <f ca="1">IFERROR(__xludf.DUMMYFUNCTION("""COMPUTED_VALUE"""),"Brumfield, Susan")</f>
        <v>Brumfield, Susan</v>
      </c>
      <c r="B9147" s="2">
        <f ca="1">IFERROR(__xludf.DUMMYFUNCTION("""COMPUTED_VALUE"""),2)</f>
        <v>2</v>
      </c>
      <c r="C9147" s="7">
        <f ca="1">IFERROR(__xludf.DUMMYFUNCTION("""COMPUTED_VALUE"""),2)</f>
        <v>2</v>
      </c>
      <c r="D9147" s="8">
        <f ca="1">IFERROR(__xludf.DUMMYFUNCTION("""COMPUTED_VALUE"""),2)</f>
        <v>2</v>
      </c>
      <c r="E9147" s="2">
        <f ca="1">IFERROR(__xludf.DUMMYFUNCTION("""COMPUTED_VALUE"""),1)</f>
        <v>1</v>
      </c>
    </row>
    <row r="9148" spans="1:5" ht="13">
      <c r="A9148" s="8" t="str">
        <f ca="1">IFERROR(__xludf.DUMMYFUNCTION("""COMPUTED_VALUE"""),"Brunner, Lori Robins")</f>
        <v>Brunner, Lori Robins</v>
      </c>
      <c r="B9148" s="3">
        <f ca="1">IFERROR(__xludf.DUMMYFUNCTION("""COMPUTED_VALUE"""),2)</f>
        <v>2</v>
      </c>
      <c r="C9148" s="7">
        <f ca="1">IFERROR(__xludf.DUMMYFUNCTION("""COMPUTED_VALUE"""),2)</f>
        <v>2</v>
      </c>
      <c r="D9148" s="8">
        <f ca="1">IFERROR(__xludf.DUMMYFUNCTION("""COMPUTED_VALUE"""),2)</f>
        <v>2</v>
      </c>
      <c r="E9148" s="2">
        <f ca="1">IFERROR(__xludf.DUMMYFUNCTION("""COMPUTED_VALUE"""),1)</f>
        <v>1</v>
      </c>
    </row>
    <row r="9149" spans="1:5" ht="13">
      <c r="A9149" s="8" t="str">
        <f ca="1">IFERROR(__xludf.DUMMYFUNCTION("""COMPUTED_VALUE"""),"Budiansky, Mollie")</f>
        <v>Budiansky, Mollie</v>
      </c>
      <c r="B9149" s="3">
        <f ca="1">IFERROR(__xludf.DUMMYFUNCTION("""COMPUTED_VALUE"""),2)</f>
        <v>2</v>
      </c>
      <c r="C9149" s="7">
        <f ca="1">IFERROR(__xludf.DUMMYFUNCTION("""COMPUTED_VALUE"""),2)</f>
        <v>2</v>
      </c>
      <c r="D9149" s="8">
        <f ca="1">IFERROR(__xludf.DUMMYFUNCTION("""COMPUTED_VALUE"""),2)</f>
        <v>2</v>
      </c>
      <c r="E9149" s="2">
        <f ca="1">IFERROR(__xludf.DUMMYFUNCTION("""COMPUTED_VALUE"""),1)</f>
        <v>1</v>
      </c>
    </row>
    <row r="9150" spans="1:5" ht="13">
      <c r="A9150" s="8" t="str">
        <f ca="1">IFERROR(__xludf.DUMMYFUNCTION("""COMPUTED_VALUE"""),"Buehlman, Barbara")</f>
        <v>Buehlman, Barbara</v>
      </c>
      <c r="B9150" s="3">
        <f ca="1">IFERROR(__xludf.DUMMYFUNCTION("""COMPUTED_VALUE"""),2)</f>
        <v>2</v>
      </c>
      <c r="C9150" s="7">
        <f ca="1">IFERROR(__xludf.DUMMYFUNCTION("""COMPUTED_VALUE"""),2)</f>
        <v>2</v>
      </c>
      <c r="D9150" s="8">
        <f ca="1">IFERROR(__xludf.DUMMYFUNCTION("""COMPUTED_VALUE"""),6)</f>
        <v>6</v>
      </c>
      <c r="E9150" s="2">
        <f ca="1">IFERROR(__xludf.DUMMYFUNCTION("""COMPUTED_VALUE"""),2)</f>
        <v>2</v>
      </c>
    </row>
    <row r="9151" spans="1:5" ht="13">
      <c r="A9151" s="2" t="str">
        <f ca="1">IFERROR(__xludf.DUMMYFUNCTION("""COMPUTED_VALUE"""),"Buetti, Nicole")</f>
        <v>Buetti, Nicole</v>
      </c>
      <c r="B9151" s="3">
        <f ca="1">IFERROR(__xludf.DUMMYFUNCTION("""COMPUTED_VALUE"""),2)</f>
        <v>2</v>
      </c>
      <c r="C9151" s="7">
        <f ca="1">IFERROR(__xludf.DUMMYFUNCTION("""COMPUTED_VALUE"""),2)</f>
        <v>2</v>
      </c>
      <c r="D9151" s="8">
        <f ca="1">IFERROR(__xludf.DUMMYFUNCTION("""COMPUTED_VALUE"""),2)</f>
        <v>2</v>
      </c>
      <c r="E9151" s="2">
        <f ca="1">IFERROR(__xludf.DUMMYFUNCTION("""COMPUTED_VALUE"""),1)</f>
        <v>1</v>
      </c>
    </row>
    <row r="9152" spans="1:5" ht="13">
      <c r="A9152" s="8" t="str">
        <f ca="1">IFERROR(__xludf.DUMMYFUNCTION("""COMPUTED_VALUE"""),"Bures, Ruth")</f>
        <v>Bures, Ruth</v>
      </c>
      <c r="B9152" s="3">
        <f ca="1">IFERROR(__xludf.DUMMYFUNCTION("""COMPUTED_VALUE"""),2)</f>
        <v>2</v>
      </c>
      <c r="C9152" s="7">
        <f ca="1">IFERROR(__xludf.DUMMYFUNCTION("""COMPUTED_VALUE"""),2)</f>
        <v>2</v>
      </c>
      <c r="D9152" s="8">
        <f ca="1">IFERROR(__xludf.DUMMYFUNCTION("""COMPUTED_VALUE"""),2)</f>
        <v>2</v>
      </c>
      <c r="E9152" s="2">
        <f ca="1">IFERROR(__xludf.DUMMYFUNCTION("""COMPUTED_VALUE"""),1)</f>
        <v>1</v>
      </c>
    </row>
    <row r="9153" spans="1:5" ht="13">
      <c r="A9153" s="2" t="str">
        <f ca="1">IFERROR(__xludf.DUMMYFUNCTION("""COMPUTED_VALUE"""),"Burgess, Marjorie")</f>
        <v>Burgess, Marjorie</v>
      </c>
      <c r="B9153" s="3">
        <f ca="1">IFERROR(__xludf.DUMMYFUNCTION("""COMPUTED_VALUE"""),2)</f>
        <v>2</v>
      </c>
      <c r="C9153" s="7">
        <f ca="1">IFERROR(__xludf.DUMMYFUNCTION("""COMPUTED_VALUE"""),2)</f>
        <v>2</v>
      </c>
      <c r="D9153" s="8">
        <f ca="1">IFERROR(__xludf.DUMMYFUNCTION("""COMPUTED_VALUE"""),2)</f>
        <v>2</v>
      </c>
      <c r="E9153" s="2">
        <f ca="1">IFERROR(__xludf.DUMMYFUNCTION("""COMPUTED_VALUE"""),1)</f>
        <v>1</v>
      </c>
    </row>
    <row r="9154" spans="1:5" ht="13">
      <c r="A9154" s="8" t="str">
        <f ca="1">IFERROR(__xludf.DUMMYFUNCTION("""COMPUTED_VALUE"""),"Burrell, Rosalie")</f>
        <v>Burrell, Rosalie</v>
      </c>
      <c r="B9154" s="3">
        <f ca="1">IFERROR(__xludf.DUMMYFUNCTION("""COMPUTED_VALUE"""),2)</f>
        <v>2</v>
      </c>
      <c r="C9154" s="7">
        <f ca="1">IFERROR(__xludf.DUMMYFUNCTION("""COMPUTED_VALUE"""),2)</f>
        <v>2</v>
      </c>
      <c r="D9154" s="8">
        <f ca="1">IFERROR(__xludf.DUMMYFUNCTION("""COMPUTED_VALUE"""),2)</f>
        <v>2</v>
      </c>
      <c r="E9154" s="2">
        <f ca="1">IFERROR(__xludf.DUMMYFUNCTION("""COMPUTED_VALUE"""),1)</f>
        <v>1</v>
      </c>
    </row>
    <row r="9155" spans="1:5" ht="13">
      <c r="A9155" s="8" t="str">
        <f ca="1">IFERROR(__xludf.DUMMYFUNCTION("""COMPUTED_VALUE"""),"Busch, Ashlee")</f>
        <v>Busch, Ashlee</v>
      </c>
      <c r="B9155" s="3">
        <f ca="1">IFERROR(__xludf.DUMMYFUNCTION("""COMPUTED_VALUE"""),2)</f>
        <v>2</v>
      </c>
      <c r="C9155" s="7">
        <f ca="1">IFERROR(__xludf.DUMMYFUNCTION("""COMPUTED_VALUE"""),2)</f>
        <v>2</v>
      </c>
      <c r="D9155" s="8">
        <f ca="1">IFERROR(__xludf.DUMMYFUNCTION("""COMPUTED_VALUE"""),2)</f>
        <v>2</v>
      </c>
      <c r="E9155" s="2">
        <f ca="1">IFERROR(__xludf.DUMMYFUNCTION("""COMPUTED_VALUE"""),1)</f>
        <v>1</v>
      </c>
    </row>
    <row r="9156" spans="1:5" ht="13">
      <c r="A9156" s="8" t="str">
        <f ca="1">IFERROR(__xludf.DUMMYFUNCTION("""COMPUTED_VALUE"""),"Busch, Erin")</f>
        <v>Busch, Erin</v>
      </c>
      <c r="B9156" s="3">
        <f ca="1">IFERROR(__xludf.DUMMYFUNCTION("""COMPUTED_VALUE"""),2)</f>
        <v>2</v>
      </c>
      <c r="C9156" s="7">
        <f ca="1">IFERROR(__xludf.DUMMYFUNCTION("""COMPUTED_VALUE"""),2)</f>
        <v>2</v>
      </c>
      <c r="D9156" s="8">
        <f ca="1">IFERROR(__xludf.DUMMYFUNCTION("""COMPUTED_VALUE"""),2)</f>
        <v>2</v>
      </c>
      <c r="E9156" s="2">
        <f ca="1">IFERROR(__xludf.DUMMYFUNCTION("""COMPUTED_VALUE"""),1)</f>
        <v>1</v>
      </c>
    </row>
    <row r="9157" spans="1:5" ht="13">
      <c r="A9157" s="2" t="str">
        <f ca="1">IFERROR(__xludf.DUMMYFUNCTION("""COMPUTED_VALUE"""),"Bush, Becky Phillips")</f>
        <v>Bush, Becky Phillips</v>
      </c>
      <c r="B9157" s="3">
        <f ca="1">IFERROR(__xludf.DUMMYFUNCTION("""COMPUTED_VALUE"""),2)</f>
        <v>2</v>
      </c>
      <c r="C9157" s="7">
        <f ca="1">IFERROR(__xludf.DUMMYFUNCTION("""COMPUTED_VALUE"""),2)</f>
        <v>2</v>
      </c>
      <c r="D9157" s="8">
        <f ca="1">IFERROR(__xludf.DUMMYFUNCTION("""COMPUTED_VALUE"""),2)</f>
        <v>2</v>
      </c>
      <c r="E9157" s="2">
        <f ca="1">IFERROR(__xludf.DUMMYFUNCTION("""COMPUTED_VALUE"""),1)</f>
        <v>1</v>
      </c>
    </row>
    <row r="9158" spans="1:5" ht="13">
      <c r="A9158" s="2" t="str">
        <f ca="1">IFERROR(__xludf.DUMMYFUNCTION("""COMPUTED_VALUE"""),"Bussewitz-Quarm, Michael")</f>
        <v>Bussewitz-Quarm, Michael</v>
      </c>
      <c r="B9158" s="3">
        <f ca="1">IFERROR(__xludf.DUMMYFUNCTION("""COMPUTED_VALUE"""),2)</f>
        <v>2</v>
      </c>
      <c r="C9158" s="7">
        <f ca="1">IFERROR(__xludf.DUMMYFUNCTION("""COMPUTED_VALUE"""),2)</f>
        <v>2</v>
      </c>
      <c r="D9158" s="8">
        <f ca="1">IFERROR(__xludf.DUMMYFUNCTION("""COMPUTED_VALUE"""),2)</f>
        <v>2</v>
      </c>
      <c r="E9158" s="2">
        <f ca="1">IFERROR(__xludf.DUMMYFUNCTION("""COMPUTED_VALUE"""),1)</f>
        <v>1</v>
      </c>
    </row>
    <row r="9159" spans="1:5" ht="13">
      <c r="A9159" s="2" t="str">
        <f ca="1">IFERROR(__xludf.DUMMYFUNCTION("""COMPUTED_VALUE"""),"Butler, Helen May")</f>
        <v>Butler, Helen May</v>
      </c>
      <c r="B9159" s="3">
        <f ca="1">IFERROR(__xludf.DUMMYFUNCTION("""COMPUTED_VALUE"""),2)</f>
        <v>2</v>
      </c>
      <c r="C9159" s="7">
        <f ca="1">IFERROR(__xludf.DUMMYFUNCTION("""COMPUTED_VALUE"""),2)</f>
        <v>2</v>
      </c>
      <c r="D9159" s="8">
        <f ca="1">IFERROR(__xludf.DUMMYFUNCTION("""COMPUTED_VALUE"""),6)</f>
        <v>6</v>
      </c>
      <c r="E9159" s="2">
        <f ca="1">IFERROR(__xludf.DUMMYFUNCTION("""COMPUTED_VALUE"""),2)</f>
        <v>2</v>
      </c>
    </row>
    <row r="9160" spans="1:5" ht="13">
      <c r="A9160" s="8" t="str">
        <f ca="1">IFERROR(__xludf.DUMMYFUNCTION("""COMPUTED_VALUE"""),"Byrström, Britta")</f>
        <v>Byrström, Britta</v>
      </c>
      <c r="B9160" s="3">
        <f ca="1">IFERROR(__xludf.DUMMYFUNCTION("""COMPUTED_VALUE"""),2)</f>
        <v>2</v>
      </c>
      <c r="C9160" s="7">
        <f ca="1">IFERROR(__xludf.DUMMYFUNCTION("""COMPUTED_VALUE"""),2)</f>
        <v>2</v>
      </c>
      <c r="D9160" s="8">
        <f ca="1">IFERROR(__xludf.DUMMYFUNCTION("""COMPUTED_VALUE"""),2)</f>
        <v>2</v>
      </c>
      <c r="E9160" s="2">
        <f ca="1">IFERROR(__xludf.DUMMYFUNCTION("""COMPUTED_VALUE"""),1)</f>
        <v>1</v>
      </c>
    </row>
    <row r="9161" spans="1:5" ht="13">
      <c r="A9161" s="8" t="str">
        <f ca="1">IFERROR(__xludf.DUMMYFUNCTION("""COMPUTED_VALUE"""),"Byström, Britta")</f>
        <v>Byström, Britta</v>
      </c>
      <c r="B9161" s="3">
        <f ca="1">IFERROR(__xludf.DUMMYFUNCTION("""COMPUTED_VALUE"""),2)</f>
        <v>2</v>
      </c>
      <c r="C9161" s="7">
        <f ca="1">IFERROR(__xludf.DUMMYFUNCTION("""COMPUTED_VALUE"""),2)</f>
        <v>2</v>
      </c>
      <c r="D9161" s="8">
        <f ca="1">IFERROR(__xludf.DUMMYFUNCTION("""COMPUTED_VALUE"""),2)</f>
        <v>2</v>
      </c>
      <c r="E9161" s="2">
        <f ca="1">IFERROR(__xludf.DUMMYFUNCTION("""COMPUTED_VALUE"""),1)</f>
        <v>1</v>
      </c>
    </row>
    <row r="9162" spans="1:5" ht="13">
      <c r="A9162" s="2" t="str">
        <f ca="1">IFERROR(__xludf.DUMMYFUNCTION("""COMPUTED_VALUE"""),"Caccini, Francesca")</f>
        <v>Caccini, Francesca</v>
      </c>
      <c r="B9162" s="3">
        <f ca="1">IFERROR(__xludf.DUMMYFUNCTION("""COMPUTED_VALUE"""),2)</f>
        <v>2</v>
      </c>
      <c r="C9162" s="7">
        <f ca="1">IFERROR(__xludf.DUMMYFUNCTION("""COMPUTED_VALUE"""),2)</f>
        <v>2</v>
      </c>
      <c r="D9162" s="8">
        <f ca="1">IFERROR(__xludf.DUMMYFUNCTION("""COMPUTED_VALUE"""),6)</f>
        <v>6</v>
      </c>
      <c r="E9162" s="2">
        <f ca="1">IFERROR(__xludf.DUMMYFUNCTION("""COMPUTED_VALUE"""),2)</f>
        <v>2</v>
      </c>
    </row>
    <row r="9163" spans="1:5" ht="13">
      <c r="A9163" s="2" t="str">
        <f ca="1">IFERROR(__xludf.DUMMYFUNCTION("""COMPUTED_VALUE"""),"Callaway, Ann")</f>
        <v>Callaway, Ann</v>
      </c>
      <c r="B9163" s="3">
        <f ca="1">IFERROR(__xludf.DUMMYFUNCTION("""COMPUTED_VALUE"""),2)</f>
        <v>2</v>
      </c>
      <c r="C9163" s="7">
        <f ca="1">IFERROR(__xludf.DUMMYFUNCTION("""COMPUTED_VALUE"""),2)</f>
        <v>2</v>
      </c>
      <c r="D9163" s="8">
        <f ca="1">IFERROR(__xludf.DUMMYFUNCTION("""COMPUTED_VALUE"""),2)</f>
        <v>2</v>
      </c>
      <c r="E9163" s="2">
        <f ca="1">IFERROR(__xludf.DUMMYFUNCTION("""COMPUTED_VALUE"""),1)</f>
        <v>1</v>
      </c>
    </row>
    <row r="9164" spans="1:5" ht="13">
      <c r="A9164" s="2" t="str">
        <f ca="1">IFERROR(__xludf.DUMMYFUNCTION("""COMPUTED_VALUE"""),"Callaway, Kat")</f>
        <v>Callaway, Kat</v>
      </c>
      <c r="B9164" s="3">
        <f ca="1">IFERROR(__xludf.DUMMYFUNCTION("""COMPUTED_VALUE"""),2)</f>
        <v>2</v>
      </c>
      <c r="C9164" s="7">
        <f ca="1">IFERROR(__xludf.DUMMYFUNCTION("""COMPUTED_VALUE"""),2)</f>
        <v>2</v>
      </c>
      <c r="D9164" s="8">
        <f ca="1">IFERROR(__xludf.DUMMYFUNCTION("""COMPUTED_VALUE"""),2)</f>
        <v>2</v>
      </c>
      <c r="E9164" s="2">
        <f ca="1">IFERROR(__xludf.DUMMYFUNCTION("""COMPUTED_VALUE"""),1)</f>
        <v>1</v>
      </c>
    </row>
    <row r="9165" spans="1:5" ht="13">
      <c r="A9165" s="2" t="str">
        <f ca="1">IFERROR(__xludf.DUMMYFUNCTION("""COMPUTED_VALUE"""),"Callaway, Susan Naylor")</f>
        <v>Callaway, Susan Naylor</v>
      </c>
      <c r="B9165" s="3">
        <f ca="1">IFERROR(__xludf.DUMMYFUNCTION("""COMPUTED_VALUE"""),2)</f>
        <v>2</v>
      </c>
      <c r="C9165" s="7">
        <f ca="1">IFERROR(__xludf.DUMMYFUNCTION("""COMPUTED_VALUE"""),2)</f>
        <v>2</v>
      </c>
      <c r="D9165" s="8">
        <f ca="1">IFERROR(__xludf.DUMMYFUNCTION("""COMPUTED_VALUE"""),2)</f>
        <v>2</v>
      </c>
      <c r="E9165" s="2">
        <f ca="1">IFERROR(__xludf.DUMMYFUNCTION("""COMPUTED_VALUE"""),1)</f>
        <v>1</v>
      </c>
    </row>
    <row r="9166" spans="1:5" ht="13">
      <c r="A9166" s="2" t="str">
        <f ca="1">IFERROR(__xludf.DUMMYFUNCTION("""COMPUTED_VALUE"""),"Campbell, Hilary")</f>
        <v>Campbell, Hilary</v>
      </c>
      <c r="B9166" s="3">
        <f ca="1">IFERROR(__xludf.DUMMYFUNCTION("""COMPUTED_VALUE"""),2)</f>
        <v>2</v>
      </c>
      <c r="C9166" s="7">
        <f ca="1">IFERROR(__xludf.DUMMYFUNCTION("""COMPUTED_VALUE"""),2)</f>
        <v>2</v>
      </c>
      <c r="D9166" s="8">
        <f ca="1">IFERROR(__xludf.DUMMYFUNCTION("""COMPUTED_VALUE"""),2)</f>
        <v>2</v>
      </c>
      <c r="E9166" s="2">
        <f ca="1">IFERROR(__xludf.DUMMYFUNCTION("""COMPUTED_VALUE"""),1)</f>
        <v>1</v>
      </c>
    </row>
    <row r="9167" spans="1:5" ht="13">
      <c r="A9167" s="8" t="str">
        <f ca="1">IFERROR(__xludf.DUMMYFUNCTION("""COMPUTED_VALUE"""),"Candeille, Julie")</f>
        <v>Candeille, Julie</v>
      </c>
      <c r="B9167" s="3">
        <f ca="1">IFERROR(__xludf.DUMMYFUNCTION("""COMPUTED_VALUE"""),2)</f>
        <v>2</v>
      </c>
      <c r="C9167" s="7">
        <f ca="1">IFERROR(__xludf.DUMMYFUNCTION("""COMPUTED_VALUE"""),2)</f>
        <v>2</v>
      </c>
      <c r="D9167" s="8">
        <f ca="1">IFERROR(__xludf.DUMMYFUNCTION("""COMPUTED_VALUE"""),6)</f>
        <v>6</v>
      </c>
      <c r="E9167" s="2">
        <f ca="1">IFERROR(__xludf.DUMMYFUNCTION("""COMPUTED_VALUE"""),2)</f>
        <v>2</v>
      </c>
    </row>
    <row r="9168" spans="1:5" ht="13">
      <c r="A9168" s="2" t="str">
        <f ca="1">IFERROR(__xludf.DUMMYFUNCTION("""COMPUTED_VALUE"""),"Candillari, Daniela")</f>
        <v>Candillari, Daniela</v>
      </c>
      <c r="B9168" s="2">
        <f ca="1">IFERROR(__xludf.DUMMYFUNCTION("""COMPUTED_VALUE"""),2)</f>
        <v>2</v>
      </c>
      <c r="C9168" s="2">
        <f ca="1">IFERROR(__xludf.DUMMYFUNCTION("""COMPUTED_VALUE"""),2)</f>
        <v>2</v>
      </c>
      <c r="D9168" s="8">
        <f ca="1">IFERROR(__xludf.DUMMYFUNCTION("""COMPUTED_VALUE"""),2)</f>
        <v>2</v>
      </c>
      <c r="E9168" s="2">
        <f ca="1">IFERROR(__xludf.DUMMYFUNCTION("""COMPUTED_VALUE"""),1)</f>
        <v>1</v>
      </c>
    </row>
    <row r="9169" spans="1:5" ht="13">
      <c r="A9169" s="2" t="str">
        <f ca="1">IFERROR(__xludf.DUMMYFUNCTION("""COMPUTED_VALUE"""),"Canfield, Jennifer K.")</f>
        <v>Canfield, Jennifer K.</v>
      </c>
      <c r="B9169" s="3">
        <f ca="1">IFERROR(__xludf.DUMMYFUNCTION("""COMPUTED_VALUE"""),2)</f>
        <v>2</v>
      </c>
      <c r="C9169" s="7">
        <f ca="1">IFERROR(__xludf.DUMMYFUNCTION("""COMPUTED_VALUE"""),2)</f>
        <v>2</v>
      </c>
      <c r="D9169" s="8">
        <f ca="1">IFERROR(__xludf.DUMMYFUNCTION("""COMPUTED_VALUE"""),2)</f>
        <v>2</v>
      </c>
      <c r="E9169" s="2">
        <f ca="1">IFERROR(__xludf.DUMMYFUNCTION("""COMPUTED_VALUE"""),1)</f>
        <v>1</v>
      </c>
    </row>
    <row r="9170" spans="1:5" ht="13">
      <c r="A9170" s="8" t="str">
        <f ca="1">IFERROR(__xludf.DUMMYFUNCTION("""COMPUTED_VALUE"""),"Cann, Amy")</f>
        <v>Cann, Amy</v>
      </c>
      <c r="B9170" s="3">
        <f ca="1">IFERROR(__xludf.DUMMYFUNCTION("""COMPUTED_VALUE"""),2)</f>
        <v>2</v>
      </c>
      <c r="C9170" s="7">
        <f ca="1">IFERROR(__xludf.DUMMYFUNCTION("""COMPUTED_VALUE"""),2)</f>
        <v>2</v>
      </c>
      <c r="D9170" s="8">
        <f ca="1">IFERROR(__xludf.DUMMYFUNCTION("""COMPUTED_VALUE"""),2)</f>
        <v>2</v>
      </c>
      <c r="E9170" s="2">
        <f ca="1">IFERROR(__xludf.DUMMYFUNCTION("""COMPUTED_VALUE"""),1)</f>
        <v>1</v>
      </c>
    </row>
    <row r="9171" spans="1:5" ht="13">
      <c r="A9171" s="2" t="str">
        <f ca="1">IFERROR(__xludf.DUMMYFUNCTION("""COMPUTED_VALUE"""),"Capius, Matilde")</f>
        <v>Capius, Matilde</v>
      </c>
      <c r="B9171" s="2">
        <f ca="1">IFERROR(__xludf.DUMMYFUNCTION("""COMPUTED_VALUE"""),2)</f>
        <v>2</v>
      </c>
      <c r="C9171" s="2">
        <f ca="1">IFERROR(__xludf.DUMMYFUNCTION("""COMPUTED_VALUE"""),2)</f>
        <v>2</v>
      </c>
      <c r="D9171" s="8">
        <f ca="1">IFERROR(__xludf.DUMMYFUNCTION("""COMPUTED_VALUE"""),6)</f>
        <v>6</v>
      </c>
      <c r="E9171" s="2">
        <f ca="1">IFERROR(__xludf.DUMMYFUNCTION("""COMPUTED_VALUE"""),2)</f>
        <v>2</v>
      </c>
    </row>
    <row r="9172" spans="1:5" ht="13">
      <c r="A9172" s="8" t="str">
        <f ca="1">IFERROR(__xludf.DUMMYFUNCTION("""COMPUTED_VALUE"""),"Carey, Julia Scott")</f>
        <v>Carey, Julia Scott</v>
      </c>
      <c r="B9172" s="3">
        <f ca="1">IFERROR(__xludf.DUMMYFUNCTION("""COMPUTED_VALUE"""),2)</f>
        <v>2</v>
      </c>
      <c r="C9172" s="7">
        <f ca="1">IFERROR(__xludf.DUMMYFUNCTION("""COMPUTED_VALUE"""),2)</f>
        <v>2</v>
      </c>
      <c r="D9172" s="8">
        <f ca="1">IFERROR(__xludf.DUMMYFUNCTION("""COMPUTED_VALUE"""),2)</f>
        <v>2</v>
      </c>
      <c r="E9172" s="2">
        <f ca="1">IFERROR(__xludf.DUMMYFUNCTION("""COMPUTED_VALUE"""),1)</f>
        <v>1</v>
      </c>
    </row>
    <row r="9173" spans="1:5" ht="13">
      <c r="A9173" s="2" t="str">
        <f ca="1">IFERROR(__xludf.DUMMYFUNCTION("""COMPUTED_VALUE"""),"Carruthers-Clement, Ann")</f>
        <v>Carruthers-Clement, Ann</v>
      </c>
      <c r="B9173" s="3">
        <f ca="1">IFERROR(__xludf.DUMMYFUNCTION("""COMPUTED_VALUE"""),2)</f>
        <v>2</v>
      </c>
      <c r="C9173" s="7">
        <f ca="1">IFERROR(__xludf.DUMMYFUNCTION("""COMPUTED_VALUE"""),2)</f>
        <v>2</v>
      </c>
      <c r="D9173" s="8">
        <f ca="1">IFERROR(__xludf.DUMMYFUNCTION("""COMPUTED_VALUE"""),2)</f>
        <v>2</v>
      </c>
      <c r="E9173" s="2">
        <f ca="1">IFERROR(__xludf.DUMMYFUNCTION("""COMPUTED_VALUE"""),1)</f>
        <v>1</v>
      </c>
    </row>
    <row r="9174" spans="1:5" ht="13">
      <c r="A9174" s="2" t="str">
        <f ca="1">IFERROR(__xludf.DUMMYFUNCTION("""COMPUTED_VALUE"""),"Carter, Peggy")</f>
        <v>Carter, Peggy</v>
      </c>
      <c r="B9174" s="3">
        <f ca="1">IFERROR(__xludf.DUMMYFUNCTION("""COMPUTED_VALUE"""),2)</f>
        <v>2</v>
      </c>
      <c r="C9174" s="7">
        <f ca="1">IFERROR(__xludf.DUMMYFUNCTION("""COMPUTED_VALUE"""),2)</f>
        <v>2</v>
      </c>
      <c r="D9174" s="8">
        <f ca="1">IFERROR(__xludf.DUMMYFUNCTION("""COMPUTED_VALUE"""),2)</f>
        <v>2</v>
      </c>
      <c r="E9174" s="2">
        <f ca="1">IFERROR(__xludf.DUMMYFUNCTION("""COMPUTED_VALUE"""),1)</f>
        <v>1</v>
      </c>
    </row>
    <row r="9175" spans="1:5" ht="13">
      <c r="A9175" s="8" t="str">
        <f ca="1">IFERROR(__xludf.DUMMYFUNCTION("""COMPUTED_VALUE"""),"Carter, Rhiannon")</f>
        <v>Carter, Rhiannon</v>
      </c>
      <c r="B9175" s="3">
        <f ca="1">IFERROR(__xludf.DUMMYFUNCTION("""COMPUTED_VALUE"""),2)</f>
        <v>2</v>
      </c>
      <c r="C9175" s="7">
        <f ca="1">IFERROR(__xludf.DUMMYFUNCTION("""COMPUTED_VALUE"""),2)</f>
        <v>2</v>
      </c>
      <c r="D9175" s="8">
        <f ca="1">IFERROR(__xludf.DUMMYFUNCTION("""COMPUTED_VALUE"""),2)</f>
        <v>2</v>
      </c>
      <c r="E9175" s="2">
        <f ca="1">IFERROR(__xludf.DUMMYFUNCTION("""COMPUTED_VALUE"""),1)</f>
        <v>1</v>
      </c>
    </row>
    <row r="9176" spans="1:5" ht="13">
      <c r="A9176" s="8" t="str">
        <f ca="1">IFERROR(__xludf.DUMMYFUNCTION("""COMPUTED_VALUE"""),"Carwithen, Doreen")</f>
        <v>Carwithen, Doreen</v>
      </c>
      <c r="B9176" s="3">
        <f ca="1">IFERROR(__xludf.DUMMYFUNCTION("""COMPUTED_VALUE"""),2)</f>
        <v>2</v>
      </c>
      <c r="C9176" s="7">
        <f ca="1">IFERROR(__xludf.DUMMYFUNCTION("""COMPUTED_VALUE"""),2)</f>
        <v>2</v>
      </c>
      <c r="D9176" s="8">
        <f ca="1">IFERROR(__xludf.DUMMYFUNCTION("""COMPUTED_VALUE"""),6)</f>
        <v>6</v>
      </c>
      <c r="E9176" s="2">
        <f ca="1">IFERROR(__xludf.DUMMYFUNCTION("""COMPUTED_VALUE"""),2)</f>
        <v>2</v>
      </c>
    </row>
    <row r="9177" spans="1:5" ht="13">
      <c r="A9177" s="8" t="str">
        <f ca="1">IFERROR(__xludf.DUMMYFUNCTION("""COMPUTED_VALUE"""),"Casarrubios, Andrea")</f>
        <v>Casarrubios, Andrea</v>
      </c>
      <c r="B9177" s="3">
        <f ca="1">IFERROR(__xludf.DUMMYFUNCTION("""COMPUTED_VALUE"""),2)</f>
        <v>2</v>
      </c>
      <c r="C9177" s="7">
        <f ca="1">IFERROR(__xludf.DUMMYFUNCTION("""COMPUTED_VALUE"""),2)</f>
        <v>2</v>
      </c>
      <c r="D9177" s="8">
        <f ca="1">IFERROR(__xludf.DUMMYFUNCTION("""COMPUTED_VALUE"""),2)</f>
        <v>2</v>
      </c>
      <c r="E9177" s="2">
        <f ca="1">IFERROR(__xludf.DUMMYFUNCTION("""COMPUTED_VALUE"""),1)</f>
        <v>1</v>
      </c>
    </row>
    <row r="9178" spans="1:5" ht="13">
      <c r="A9178" s="2" t="str">
        <f ca="1">IFERROR(__xludf.DUMMYFUNCTION("""COMPUTED_VALUE"""),"Cassis, Sulpitia")</f>
        <v>Cassis, Sulpitia</v>
      </c>
      <c r="B9178" s="3">
        <f ca="1">IFERROR(__xludf.DUMMYFUNCTION("""COMPUTED_VALUE"""),2)</f>
        <v>2</v>
      </c>
      <c r="C9178" s="7">
        <f ca="1">IFERROR(__xludf.DUMMYFUNCTION("""COMPUTED_VALUE"""),2)</f>
        <v>2</v>
      </c>
      <c r="D9178" s="8">
        <f ca="1">IFERROR(__xludf.DUMMYFUNCTION("""COMPUTED_VALUE"""),6)</f>
        <v>6</v>
      </c>
      <c r="E9178" s="2">
        <f ca="1">IFERROR(__xludf.DUMMYFUNCTION("""COMPUTED_VALUE"""),2)</f>
        <v>2</v>
      </c>
    </row>
    <row r="9179" spans="1:5" ht="13">
      <c r="A9179" s="2" t="str">
        <f ca="1">IFERROR(__xludf.DUMMYFUNCTION("""COMPUTED_VALUE"""),"Cassity, Sharel")</f>
        <v>Cassity, Sharel</v>
      </c>
      <c r="B9179" s="2">
        <f ca="1">IFERROR(__xludf.DUMMYFUNCTION("""COMPUTED_VALUE"""),2)</f>
        <v>2</v>
      </c>
      <c r="C9179" s="7">
        <f ca="1">IFERROR(__xludf.DUMMYFUNCTION("""COMPUTED_VALUE"""),2)</f>
        <v>2</v>
      </c>
      <c r="D9179" s="8">
        <f ca="1">IFERROR(__xludf.DUMMYFUNCTION("""COMPUTED_VALUE"""),2)</f>
        <v>2</v>
      </c>
      <c r="E9179" s="2">
        <f ca="1">IFERROR(__xludf.DUMMYFUNCTION("""COMPUTED_VALUE"""),1)</f>
        <v>1</v>
      </c>
    </row>
    <row r="9180" spans="1:5" ht="13">
      <c r="A9180" s="8" t="str">
        <f ca="1">IFERROR(__xludf.DUMMYFUNCTION("""COMPUTED_VALUE"""),"Casteel, Reagan")</f>
        <v>Casteel, Reagan</v>
      </c>
      <c r="B9180" s="3">
        <f ca="1">IFERROR(__xludf.DUMMYFUNCTION("""COMPUTED_VALUE"""),2)</f>
        <v>2</v>
      </c>
      <c r="C9180" s="7">
        <f ca="1">IFERROR(__xludf.DUMMYFUNCTION("""COMPUTED_VALUE"""),1)</f>
        <v>1</v>
      </c>
      <c r="D9180" s="8">
        <f ca="1">IFERROR(__xludf.DUMMYFUNCTION("""COMPUTED_VALUE"""),2)</f>
        <v>2</v>
      </c>
      <c r="E9180" s="2">
        <f ca="1">IFERROR(__xludf.DUMMYFUNCTION("""COMPUTED_VALUE"""),1)</f>
        <v>1</v>
      </c>
    </row>
    <row r="9181" spans="1:5" ht="13">
      <c r="A9181" s="2" t="str">
        <f ca="1">IFERROR(__xludf.DUMMYFUNCTION("""COMPUTED_VALUE"""),"Castleton, Margery")</f>
        <v>Castleton, Margery</v>
      </c>
      <c r="B9181" s="3">
        <f ca="1">IFERROR(__xludf.DUMMYFUNCTION("""COMPUTED_VALUE"""),2)</f>
        <v>2</v>
      </c>
      <c r="C9181" s="7">
        <f ca="1">IFERROR(__xludf.DUMMYFUNCTION("""COMPUTED_VALUE"""),2)</f>
        <v>2</v>
      </c>
      <c r="D9181" s="8">
        <f ca="1">IFERROR(__xludf.DUMMYFUNCTION("""COMPUTED_VALUE"""),6)</f>
        <v>6</v>
      </c>
      <c r="E9181" s="2">
        <f ca="1">IFERROR(__xludf.DUMMYFUNCTION("""COMPUTED_VALUE"""),2)</f>
        <v>2</v>
      </c>
    </row>
    <row r="9182" spans="1:5" ht="13">
      <c r="A9182" s="8" t="str">
        <f ca="1">IFERROR(__xludf.DUMMYFUNCTION("""COMPUTED_VALUE"""),"Casulana, Maddalena")</f>
        <v>Casulana, Maddalena</v>
      </c>
      <c r="B9182" s="3">
        <f ca="1">IFERROR(__xludf.DUMMYFUNCTION("""COMPUTED_VALUE"""),2)</f>
        <v>2</v>
      </c>
      <c r="C9182" s="7">
        <f ca="1">IFERROR(__xludf.DUMMYFUNCTION("""COMPUTED_VALUE"""),2)</f>
        <v>2</v>
      </c>
      <c r="D9182" s="8">
        <f ca="1">IFERROR(__xludf.DUMMYFUNCTION("""COMPUTED_VALUE"""),6)</f>
        <v>6</v>
      </c>
      <c r="E9182" s="2">
        <f ca="1">IFERROR(__xludf.DUMMYFUNCTION("""COMPUTED_VALUE"""),2)</f>
        <v>2</v>
      </c>
    </row>
    <row r="9183" spans="1:5" ht="13">
      <c r="A9183" s="2" t="str">
        <f ca="1">IFERROR(__xludf.DUMMYFUNCTION("""COMPUTED_VALUE"""),"Cavalier, Debbie")</f>
        <v>Cavalier, Debbie</v>
      </c>
      <c r="B9183" s="3">
        <f ca="1">IFERROR(__xludf.DUMMYFUNCTION("""COMPUTED_VALUE"""),2)</f>
        <v>2</v>
      </c>
      <c r="C9183" s="7">
        <f ca="1">IFERROR(__xludf.DUMMYFUNCTION("""COMPUTED_VALUE"""),2)</f>
        <v>2</v>
      </c>
      <c r="D9183" s="8">
        <f ca="1">IFERROR(__xludf.DUMMYFUNCTION("""COMPUTED_VALUE"""),2)</f>
        <v>2</v>
      </c>
      <c r="E9183" s="2">
        <f ca="1">IFERROR(__xludf.DUMMYFUNCTION("""COMPUTED_VALUE"""),1)</f>
        <v>1</v>
      </c>
    </row>
    <row r="9184" spans="1:5" ht="13">
      <c r="A9184" s="8" t="str">
        <f ca="1">IFERROR(__xludf.DUMMYFUNCTION("""COMPUTED_VALUE"""),"Caviani, Laura")</f>
        <v>Caviani, Laura</v>
      </c>
      <c r="B9184" s="3">
        <f ca="1">IFERROR(__xludf.DUMMYFUNCTION("""COMPUTED_VALUE"""),2)</f>
        <v>2</v>
      </c>
      <c r="C9184" s="7">
        <f ca="1">IFERROR(__xludf.DUMMYFUNCTION("""COMPUTED_VALUE"""),2)</f>
        <v>2</v>
      </c>
      <c r="D9184" s="8">
        <f ca="1">IFERROR(__xludf.DUMMYFUNCTION("""COMPUTED_VALUE"""),2)</f>
        <v>2</v>
      </c>
      <c r="E9184" s="2">
        <f ca="1">IFERROR(__xludf.DUMMYFUNCTION("""COMPUTED_VALUE"""),1)</f>
        <v>1</v>
      </c>
    </row>
    <row r="9185" spans="1:5" ht="13">
      <c r="A9185" s="2" t="str">
        <f ca="1">IFERROR(__xludf.DUMMYFUNCTION("""COMPUTED_VALUE"""),"Cawrse, Anne")</f>
        <v>Cawrse, Anne</v>
      </c>
      <c r="B9185" s="2">
        <f ca="1">IFERROR(__xludf.DUMMYFUNCTION("""COMPUTED_VALUE"""),2)</f>
        <v>2</v>
      </c>
      <c r="C9185" s="2">
        <f ca="1">IFERROR(__xludf.DUMMYFUNCTION("""COMPUTED_VALUE"""),2)</f>
        <v>2</v>
      </c>
      <c r="D9185" s="8">
        <f ca="1">IFERROR(__xludf.DUMMYFUNCTION("""COMPUTED_VALUE"""),2)</f>
        <v>2</v>
      </c>
      <c r="E9185" s="2">
        <f ca="1">IFERROR(__xludf.DUMMYFUNCTION("""COMPUTED_VALUE"""),1)</f>
        <v>1</v>
      </c>
    </row>
    <row r="9186" spans="1:5" ht="13">
      <c r="A9186" s="2" t="str">
        <f ca="1">IFERROR(__xludf.DUMMYFUNCTION("""COMPUTED_VALUE"""),"Cesis, Sulpitia")</f>
        <v>Cesis, Sulpitia</v>
      </c>
      <c r="B9186" s="3">
        <f ca="1">IFERROR(__xludf.DUMMYFUNCTION("""COMPUTED_VALUE"""),2)</f>
        <v>2</v>
      </c>
      <c r="C9186" s="7">
        <f ca="1">IFERROR(__xludf.DUMMYFUNCTION("""COMPUTED_VALUE"""),2)</f>
        <v>2</v>
      </c>
      <c r="D9186" s="8">
        <f ca="1">IFERROR(__xludf.DUMMYFUNCTION("""COMPUTED_VALUE"""),6)</f>
        <v>6</v>
      </c>
      <c r="E9186" s="2">
        <f ca="1">IFERROR(__xludf.DUMMYFUNCTION("""COMPUTED_VALUE"""),2)</f>
        <v>2</v>
      </c>
    </row>
    <row r="9187" spans="1:5" ht="13">
      <c r="A9187" s="8" t="str">
        <f ca="1">IFERROR(__xludf.DUMMYFUNCTION("""COMPUTED_VALUE"""),"Chamberlain, Nicole")</f>
        <v>Chamberlain, Nicole</v>
      </c>
      <c r="B9187" s="3">
        <f ca="1">IFERROR(__xludf.DUMMYFUNCTION("""COMPUTED_VALUE"""),2)</f>
        <v>2</v>
      </c>
      <c r="C9187" s="7">
        <f ca="1">IFERROR(__xludf.DUMMYFUNCTION("""COMPUTED_VALUE"""),2)</f>
        <v>2</v>
      </c>
      <c r="D9187" s="8">
        <f ca="1">IFERROR(__xludf.DUMMYFUNCTION("""COMPUTED_VALUE"""),2)</f>
        <v>2</v>
      </c>
      <c r="E9187" s="2">
        <f ca="1">IFERROR(__xludf.DUMMYFUNCTION("""COMPUTED_VALUE"""),1)</f>
        <v>1</v>
      </c>
    </row>
    <row r="9188" spans="1:5" ht="13">
      <c r="A9188" s="8" t="str">
        <f ca="1">IFERROR(__xludf.DUMMYFUNCTION("""COMPUTED_VALUE"""),"Chambers, Carol Brittin")</f>
        <v>Chambers, Carol Brittin</v>
      </c>
      <c r="B9188" s="3">
        <f ca="1">IFERROR(__xludf.DUMMYFUNCTION("""COMPUTED_VALUE"""),2)</f>
        <v>2</v>
      </c>
      <c r="C9188" s="7">
        <f ca="1">IFERROR(__xludf.DUMMYFUNCTION("""COMPUTED_VALUE"""),2)</f>
        <v>2</v>
      </c>
      <c r="D9188" s="8">
        <f ca="1">IFERROR(__xludf.DUMMYFUNCTION("""COMPUTED_VALUE"""),2)</f>
        <v>2</v>
      </c>
      <c r="E9188" s="2">
        <f ca="1">IFERROR(__xludf.DUMMYFUNCTION("""COMPUTED_VALUE"""),1)</f>
        <v>1</v>
      </c>
    </row>
    <row r="9189" spans="1:5" ht="13">
      <c r="A9189" s="8" t="str">
        <f ca="1">IFERROR(__xludf.DUMMYFUNCTION("""COMPUTED_VALUE"""),"Chaminade, Cécile")</f>
        <v>Chaminade, Cécile</v>
      </c>
      <c r="B9189" s="3">
        <f ca="1">IFERROR(__xludf.DUMMYFUNCTION("""COMPUTED_VALUE"""),2)</f>
        <v>2</v>
      </c>
      <c r="C9189" s="7">
        <f ca="1">IFERROR(__xludf.DUMMYFUNCTION("""COMPUTED_VALUE"""),2)</f>
        <v>2</v>
      </c>
      <c r="D9189" s="8">
        <f ca="1">IFERROR(__xludf.DUMMYFUNCTION("""COMPUTED_VALUE"""),6)</f>
        <v>6</v>
      </c>
      <c r="E9189" s="2">
        <f ca="1">IFERROR(__xludf.DUMMYFUNCTION("""COMPUTED_VALUE"""),2)</f>
        <v>2</v>
      </c>
    </row>
    <row r="9190" spans="1:5" ht="13">
      <c r="A9190" s="2" t="str">
        <f ca="1">IFERROR(__xludf.DUMMYFUNCTION("""COMPUTED_VALUE"""),"Chaplin, Marian")</f>
        <v>Chaplin, Marian</v>
      </c>
      <c r="B9190" s="3">
        <f ca="1">IFERROR(__xludf.DUMMYFUNCTION("""COMPUTED_VALUE"""),2)</f>
        <v>2</v>
      </c>
      <c r="C9190" s="7">
        <f ca="1">IFERROR(__xludf.DUMMYFUNCTION("""COMPUTED_VALUE"""),2)</f>
        <v>2</v>
      </c>
      <c r="D9190" s="8">
        <f ca="1">IFERROR(__xludf.DUMMYFUNCTION("""COMPUTED_VALUE"""),6)</f>
        <v>6</v>
      </c>
      <c r="E9190" s="2">
        <f ca="1">IFERROR(__xludf.DUMMYFUNCTION("""COMPUTED_VALUE"""),2)</f>
        <v>2</v>
      </c>
    </row>
    <row r="9191" spans="1:5" ht="13">
      <c r="A9191" s="8" t="str">
        <f ca="1">IFERROR(__xludf.DUMMYFUNCTION("""COMPUTED_VALUE"""),"Chase, Miriam")</f>
        <v>Chase, Miriam</v>
      </c>
      <c r="B9191" s="3">
        <f ca="1">IFERROR(__xludf.DUMMYFUNCTION("""COMPUTED_VALUE"""),2)</f>
        <v>2</v>
      </c>
      <c r="C9191" s="7">
        <f ca="1">IFERROR(__xludf.DUMMYFUNCTION("""COMPUTED_VALUE"""),2)</f>
        <v>2</v>
      </c>
      <c r="D9191" s="8">
        <f ca="1">IFERROR(__xludf.DUMMYFUNCTION("""COMPUTED_VALUE"""),2)</f>
        <v>2</v>
      </c>
      <c r="E9191" s="2">
        <f ca="1">IFERROR(__xludf.DUMMYFUNCTION("""COMPUTED_VALUE"""),1)</f>
        <v>1</v>
      </c>
    </row>
    <row r="9192" spans="1:5" ht="13">
      <c r="A9192" s="2" t="str">
        <f ca="1">IFERROR(__xludf.DUMMYFUNCTION("""COMPUTED_VALUE"""),"Chass, Blanche")</f>
        <v>Chass, Blanche</v>
      </c>
      <c r="B9192" s="3">
        <f ca="1">IFERROR(__xludf.DUMMYFUNCTION("""COMPUTED_VALUE"""),2)</f>
        <v>2</v>
      </c>
      <c r="C9192" s="7">
        <f ca="1">IFERROR(__xludf.DUMMYFUNCTION("""COMPUTED_VALUE"""),2)</f>
        <v>2</v>
      </c>
      <c r="D9192" s="8">
        <f ca="1">IFERROR(__xludf.DUMMYFUNCTION("""COMPUTED_VALUE"""),2)</f>
        <v>2</v>
      </c>
      <c r="E9192" s="2">
        <f ca="1">IFERROR(__xludf.DUMMYFUNCTION("""COMPUTED_VALUE"""),1)</f>
        <v>1</v>
      </c>
    </row>
    <row r="9193" spans="1:5" ht="13">
      <c r="A9193" s="2" t="str">
        <f ca="1">IFERROR(__xludf.DUMMYFUNCTION("""COMPUTED_VALUE"""),"Chen, Nira")</f>
        <v>Chen, Nira</v>
      </c>
      <c r="B9193" s="3">
        <f ca="1">IFERROR(__xludf.DUMMYFUNCTION("""COMPUTED_VALUE"""),2)</f>
        <v>2</v>
      </c>
      <c r="C9193" s="7">
        <f ca="1">IFERROR(__xludf.DUMMYFUNCTION("""COMPUTED_VALUE"""),2)</f>
        <v>2</v>
      </c>
      <c r="D9193" s="8">
        <f ca="1">IFERROR(__xludf.DUMMYFUNCTION("""COMPUTED_VALUE"""),2)</f>
        <v>2</v>
      </c>
      <c r="E9193" s="2">
        <f ca="1">IFERROR(__xludf.DUMMYFUNCTION("""COMPUTED_VALUE"""),1)</f>
        <v>1</v>
      </c>
    </row>
    <row r="9194" spans="1:5" ht="13">
      <c r="A9194" s="8" t="str">
        <f ca="1">IFERROR(__xludf.DUMMYFUNCTION("""COMPUTED_VALUE"""),"Childs, Mary Ellen")</f>
        <v>Childs, Mary Ellen</v>
      </c>
      <c r="B9194" s="3">
        <f ca="1">IFERROR(__xludf.DUMMYFUNCTION("""COMPUTED_VALUE"""),2)</f>
        <v>2</v>
      </c>
      <c r="C9194" s="7">
        <f ca="1">IFERROR(__xludf.DUMMYFUNCTION("""COMPUTED_VALUE"""),2)</f>
        <v>2</v>
      </c>
      <c r="D9194" s="8">
        <f ca="1">IFERROR(__xludf.DUMMYFUNCTION("""COMPUTED_VALUE"""),2)</f>
        <v>2</v>
      </c>
      <c r="E9194" s="2">
        <f ca="1">IFERROR(__xludf.DUMMYFUNCTION("""COMPUTED_VALUE"""),1)</f>
        <v>1</v>
      </c>
    </row>
    <row r="9195" spans="1:5" ht="13">
      <c r="A9195" s="8" t="str">
        <f ca="1">IFERROR(__xludf.DUMMYFUNCTION("""COMPUTED_VALUE"""),"Chinn, Teena")</f>
        <v>Chinn, Teena</v>
      </c>
      <c r="B9195" s="3">
        <f ca="1">IFERROR(__xludf.DUMMYFUNCTION("""COMPUTED_VALUE"""),2)</f>
        <v>2</v>
      </c>
      <c r="C9195" s="7">
        <f ca="1">IFERROR(__xludf.DUMMYFUNCTION("""COMPUTED_VALUE"""),2)</f>
        <v>2</v>
      </c>
      <c r="D9195" s="8">
        <f ca="1">IFERROR(__xludf.DUMMYFUNCTION("""COMPUTED_VALUE"""),2)</f>
        <v>2</v>
      </c>
      <c r="E9195" s="2">
        <f ca="1">IFERROR(__xludf.DUMMYFUNCTION("""COMPUTED_VALUE"""),1)</f>
        <v>1</v>
      </c>
    </row>
    <row r="9196" spans="1:5" ht="13">
      <c r="A9196" s="8" t="str">
        <f ca="1">IFERROR(__xludf.DUMMYFUNCTION("""COMPUTED_VALUE"""),"Christiansen, Susan")</f>
        <v>Christiansen, Susan</v>
      </c>
      <c r="B9196" s="3">
        <f ca="1">IFERROR(__xludf.DUMMYFUNCTION("""COMPUTED_VALUE"""),2)</f>
        <v>2</v>
      </c>
      <c r="C9196" s="7">
        <f ca="1">IFERROR(__xludf.DUMMYFUNCTION("""COMPUTED_VALUE"""),2)</f>
        <v>2</v>
      </c>
      <c r="D9196" s="8">
        <f ca="1">IFERROR(__xludf.DUMMYFUNCTION("""COMPUTED_VALUE"""),2)</f>
        <v>2</v>
      </c>
      <c r="E9196" s="2">
        <f ca="1">IFERROR(__xludf.DUMMYFUNCTION("""COMPUTED_VALUE"""),1)</f>
        <v>1</v>
      </c>
    </row>
    <row r="9197" spans="1:5" ht="13">
      <c r="A9197" s="8" t="str">
        <f ca="1">IFERROR(__xludf.DUMMYFUNCTION("""COMPUTED_VALUE"""),"Cion, Shira")</f>
        <v>Cion, Shira</v>
      </c>
      <c r="B9197" s="3">
        <f ca="1">IFERROR(__xludf.DUMMYFUNCTION("""COMPUTED_VALUE"""),2)</f>
        <v>2</v>
      </c>
      <c r="C9197" s="7">
        <f ca="1">IFERROR(__xludf.DUMMYFUNCTION("""COMPUTED_VALUE"""),2)</f>
        <v>2</v>
      </c>
      <c r="D9197" s="8">
        <f ca="1">IFERROR(__xludf.DUMMYFUNCTION("""COMPUTED_VALUE"""),2)</f>
        <v>2</v>
      </c>
      <c r="E9197" s="2">
        <f ca="1">IFERROR(__xludf.DUMMYFUNCTION("""COMPUTED_VALUE"""),1)</f>
        <v>1</v>
      </c>
    </row>
    <row r="9198" spans="1:5" ht="13">
      <c r="A9198" s="2" t="str">
        <f ca="1">IFERROR(__xludf.DUMMYFUNCTION("""COMPUTED_VALUE"""),"Clark, Colleen")</f>
        <v>Clark, Colleen</v>
      </c>
      <c r="B9198" s="3">
        <f ca="1">IFERROR(__xludf.DUMMYFUNCTION("""COMPUTED_VALUE"""),2)</f>
        <v>2</v>
      </c>
      <c r="C9198" s="7">
        <f ca="1">IFERROR(__xludf.DUMMYFUNCTION("""COMPUTED_VALUE"""),2)</f>
        <v>2</v>
      </c>
      <c r="D9198" s="8">
        <f ca="1">IFERROR(__xludf.DUMMYFUNCTION("""COMPUTED_VALUE"""),2)</f>
        <v>2</v>
      </c>
      <c r="E9198" s="2">
        <f ca="1">IFERROR(__xludf.DUMMYFUNCTION("""COMPUTED_VALUE"""),1)</f>
        <v>1</v>
      </c>
    </row>
    <row r="9199" spans="1:5" ht="13">
      <c r="A9199" s="8" t="str">
        <f ca="1">IFERROR(__xludf.DUMMYFUNCTION("""COMPUTED_VALUE"""),"Clark, Rebecca")</f>
        <v>Clark, Rebecca</v>
      </c>
      <c r="B9199" s="3">
        <f ca="1">IFERROR(__xludf.DUMMYFUNCTION("""COMPUTED_VALUE"""),2)</f>
        <v>2</v>
      </c>
      <c r="C9199" s="7">
        <f ca="1">IFERROR(__xludf.DUMMYFUNCTION("""COMPUTED_VALUE"""),2)</f>
        <v>2</v>
      </c>
      <c r="D9199" s="8">
        <f ca="1">IFERROR(__xludf.DUMMYFUNCTION("""COMPUTED_VALUE"""),6)</f>
        <v>6</v>
      </c>
      <c r="E9199" s="2">
        <f ca="1">IFERROR(__xludf.DUMMYFUNCTION("""COMPUTED_VALUE"""),2)</f>
        <v>2</v>
      </c>
    </row>
    <row r="9200" spans="1:5" ht="13">
      <c r="A9200" s="8" t="str">
        <f ca="1">IFERROR(__xludf.DUMMYFUNCTION("""COMPUTED_VALUE"""),"Clarke, Irma")</f>
        <v>Clarke, Irma</v>
      </c>
      <c r="B9200" s="3">
        <f ca="1">IFERROR(__xludf.DUMMYFUNCTION("""COMPUTED_VALUE"""),2)</f>
        <v>2</v>
      </c>
      <c r="C9200" s="7">
        <f ca="1">IFERROR(__xludf.DUMMYFUNCTION("""COMPUTED_VALUE"""),2)</f>
        <v>2</v>
      </c>
      <c r="D9200" s="8">
        <f ca="1">IFERROR(__xludf.DUMMYFUNCTION("""COMPUTED_VALUE"""),6)</f>
        <v>6</v>
      </c>
      <c r="E9200" s="2">
        <f ca="1">IFERROR(__xludf.DUMMYFUNCTION("""COMPUTED_VALUE"""),2)</f>
        <v>2</v>
      </c>
    </row>
    <row r="9201" spans="1:5" ht="13">
      <c r="A9201" s="8" t="str">
        <f ca="1">IFERROR(__xludf.DUMMYFUNCTION("""COMPUTED_VALUE"""),"Clarke, Rebecca")</f>
        <v>Clarke, Rebecca</v>
      </c>
      <c r="B9201" s="3">
        <f ca="1">IFERROR(__xludf.DUMMYFUNCTION("""COMPUTED_VALUE"""),2)</f>
        <v>2</v>
      </c>
      <c r="C9201" s="7">
        <f ca="1">IFERROR(__xludf.DUMMYFUNCTION("""COMPUTED_VALUE"""),2)</f>
        <v>2</v>
      </c>
      <c r="D9201" s="8">
        <f ca="1">IFERROR(__xludf.DUMMYFUNCTION("""COMPUTED_VALUE"""),6)</f>
        <v>6</v>
      </c>
      <c r="E9201" s="2">
        <f ca="1">IFERROR(__xludf.DUMMYFUNCTION("""COMPUTED_VALUE"""),2)</f>
        <v>2</v>
      </c>
    </row>
    <row r="9202" spans="1:5" ht="13">
      <c r="A9202" s="2" t="str">
        <f ca="1">IFERROR(__xludf.DUMMYFUNCTION("""COMPUTED_VALUE"""),"Clarke, Rhona")</f>
        <v>Clarke, Rhona</v>
      </c>
      <c r="B9202" s="3">
        <f ca="1">IFERROR(__xludf.DUMMYFUNCTION("""COMPUTED_VALUE"""),2)</f>
        <v>2</v>
      </c>
      <c r="C9202" s="7">
        <f ca="1">IFERROR(__xludf.DUMMYFUNCTION("""COMPUTED_VALUE"""),2)</f>
        <v>2</v>
      </c>
      <c r="D9202" s="8">
        <f ca="1">IFERROR(__xludf.DUMMYFUNCTION("""COMPUTED_VALUE"""),2)</f>
        <v>2</v>
      </c>
      <c r="E9202" s="2">
        <f ca="1">IFERROR(__xludf.DUMMYFUNCTION("""COMPUTED_VALUE"""),1)</f>
        <v>1</v>
      </c>
    </row>
    <row r="9203" spans="1:5" ht="13">
      <c r="A9203" s="2" t="str">
        <f ca="1">IFERROR(__xludf.DUMMYFUNCTION("""COMPUTED_VALUE"""),"Clearfield, Andrea")</f>
        <v>Clearfield, Andrea</v>
      </c>
      <c r="B9203" s="2">
        <f ca="1">IFERROR(__xludf.DUMMYFUNCTION("""COMPUTED_VALUE"""),2)</f>
        <v>2</v>
      </c>
      <c r="C9203" s="7">
        <f ca="1">IFERROR(__xludf.DUMMYFUNCTION("""COMPUTED_VALUE"""),2)</f>
        <v>2</v>
      </c>
      <c r="D9203" s="8">
        <f ca="1">IFERROR(__xludf.DUMMYFUNCTION("""COMPUTED_VALUE"""),2)</f>
        <v>2</v>
      </c>
      <c r="E9203" s="2">
        <f ca="1">IFERROR(__xludf.DUMMYFUNCTION("""COMPUTED_VALUE"""),1)</f>
        <v>1</v>
      </c>
    </row>
    <row r="9204" spans="1:5" ht="13">
      <c r="A9204" s="8" t="str">
        <f ca="1">IFERROR(__xludf.DUMMYFUNCTION("""COMPUTED_VALUE"""),"Clews, Eileen")</f>
        <v>Clews, Eileen</v>
      </c>
      <c r="B9204" s="3">
        <f ca="1">IFERROR(__xludf.DUMMYFUNCTION("""COMPUTED_VALUE"""),2)</f>
        <v>2</v>
      </c>
      <c r="C9204" s="7">
        <f ca="1">IFERROR(__xludf.DUMMYFUNCTION("""COMPUTED_VALUE"""),2)</f>
        <v>2</v>
      </c>
      <c r="D9204" s="8">
        <f ca="1">IFERROR(__xludf.DUMMYFUNCTION("""COMPUTED_VALUE"""),6)</f>
        <v>6</v>
      </c>
      <c r="E9204" s="2">
        <f ca="1">IFERROR(__xludf.DUMMYFUNCTION("""COMPUTED_VALUE"""),2)</f>
        <v>2</v>
      </c>
    </row>
    <row r="9205" spans="1:5" ht="13">
      <c r="A9205" s="8" t="str">
        <f ca="1">IFERROR(__xludf.DUMMYFUNCTION("""COMPUTED_VALUE"""),"Cloud, Judith")</f>
        <v>Cloud, Judith</v>
      </c>
      <c r="B9205" s="3">
        <f ca="1">IFERROR(__xludf.DUMMYFUNCTION("""COMPUTED_VALUE"""),2)</f>
        <v>2</v>
      </c>
      <c r="C9205" s="7">
        <f ca="1">IFERROR(__xludf.DUMMYFUNCTION("""COMPUTED_VALUE"""),2)</f>
        <v>2</v>
      </c>
      <c r="D9205" s="8">
        <f ca="1">IFERROR(__xludf.DUMMYFUNCTION("""COMPUTED_VALUE"""),2)</f>
        <v>2</v>
      </c>
      <c r="E9205" s="2">
        <f ca="1">IFERROR(__xludf.DUMMYFUNCTION("""COMPUTED_VALUE"""),1)</f>
        <v>1</v>
      </c>
    </row>
    <row r="9206" spans="1:5" ht="13">
      <c r="A9206" s="8" t="str">
        <f ca="1">IFERROR(__xludf.DUMMYFUNCTION("""COMPUTED_VALUE"""),"Clyne, Anna")</f>
        <v>Clyne, Anna</v>
      </c>
      <c r="B9206" s="3">
        <f ca="1">IFERROR(__xludf.DUMMYFUNCTION("""COMPUTED_VALUE"""),2)</f>
        <v>2</v>
      </c>
      <c r="C9206" s="7">
        <f ca="1">IFERROR(__xludf.DUMMYFUNCTION("""COMPUTED_VALUE"""),2)</f>
        <v>2</v>
      </c>
      <c r="D9206" s="8">
        <f ca="1">IFERROR(__xludf.DUMMYFUNCTION("""COMPUTED_VALUE"""),2)</f>
        <v>2</v>
      </c>
      <c r="E9206" s="2">
        <f ca="1">IFERROR(__xludf.DUMMYFUNCTION("""COMPUTED_VALUE"""),1)</f>
        <v>1</v>
      </c>
    </row>
    <row r="9207" spans="1:5" ht="13">
      <c r="A9207" s="2" t="str">
        <f ca="1">IFERROR(__xludf.DUMMYFUNCTION("""COMPUTED_VALUE"""),"Cobb, Nancy Hill")</f>
        <v>Cobb, Nancy Hill</v>
      </c>
      <c r="B9207" s="3">
        <f ca="1">IFERROR(__xludf.DUMMYFUNCTION("""COMPUTED_VALUE"""),2)</f>
        <v>2</v>
      </c>
      <c r="C9207" s="7">
        <f ca="1">IFERROR(__xludf.DUMMYFUNCTION("""COMPUTED_VALUE"""),2)</f>
        <v>2</v>
      </c>
      <c r="D9207" s="8">
        <f ca="1">IFERROR(__xludf.DUMMYFUNCTION("""COMPUTED_VALUE"""),2)</f>
        <v>2</v>
      </c>
      <c r="E9207" s="2">
        <f ca="1">IFERROR(__xludf.DUMMYFUNCTION("""COMPUTED_VALUE"""),1)</f>
        <v>1</v>
      </c>
    </row>
    <row r="9208" spans="1:5" ht="13">
      <c r="A9208" s="2" t="str">
        <f ca="1">IFERROR(__xludf.DUMMYFUNCTION("""COMPUTED_VALUE"""),"Coberly, Grace")</f>
        <v>Coberly, Grace</v>
      </c>
      <c r="B9208" s="2">
        <f ca="1">IFERROR(__xludf.DUMMYFUNCTION("""COMPUTED_VALUE"""),2)</f>
        <v>2</v>
      </c>
      <c r="C9208" s="2">
        <f ca="1">IFERROR(__xludf.DUMMYFUNCTION("""COMPUTED_VALUE"""),2)</f>
        <v>2</v>
      </c>
      <c r="D9208" s="8">
        <f ca="1">IFERROR(__xludf.DUMMYFUNCTION("""COMPUTED_VALUE"""),2)</f>
        <v>2</v>
      </c>
      <c r="E9208" s="2">
        <f ca="1">IFERROR(__xludf.DUMMYFUNCTION("""COMPUTED_VALUE"""),1)</f>
        <v>1</v>
      </c>
    </row>
    <row r="9209" spans="1:5" ht="13">
      <c r="A9209" s="8" t="str">
        <f ca="1">IFERROR(__xludf.DUMMYFUNCTION("""COMPUTED_VALUE"""),"Cobuccio, Kerry")</f>
        <v>Cobuccio, Kerry</v>
      </c>
      <c r="B9209" s="3">
        <f ca="1">IFERROR(__xludf.DUMMYFUNCTION("""COMPUTED_VALUE"""),2)</f>
        <v>2</v>
      </c>
      <c r="C9209" s="7">
        <f ca="1">IFERROR(__xludf.DUMMYFUNCTION("""COMPUTED_VALUE"""),2)</f>
        <v>2</v>
      </c>
      <c r="D9209" s="8">
        <f ca="1">IFERROR(__xludf.DUMMYFUNCTION("""COMPUTED_VALUE"""),2)</f>
        <v>2</v>
      </c>
      <c r="E9209" s="2">
        <f ca="1">IFERROR(__xludf.DUMMYFUNCTION("""COMPUTED_VALUE"""),1)</f>
        <v>1</v>
      </c>
    </row>
    <row r="9210" spans="1:5" ht="13">
      <c r="A9210" s="2" t="str">
        <f ca="1">IFERROR(__xludf.DUMMYFUNCTION("""COMPUTED_VALUE"""),"Coffman, Mary")</f>
        <v>Coffman, Mary</v>
      </c>
      <c r="B9210" s="3">
        <f ca="1">IFERROR(__xludf.DUMMYFUNCTION("""COMPUTED_VALUE"""),2)</f>
        <v>2</v>
      </c>
      <c r="C9210" s="7">
        <f ca="1">IFERROR(__xludf.DUMMYFUNCTION("""COMPUTED_VALUE"""),2)</f>
        <v>2</v>
      </c>
      <c r="D9210" s="8">
        <f ca="1">IFERROR(__xludf.DUMMYFUNCTION("""COMPUTED_VALUE"""),2)</f>
        <v>2</v>
      </c>
      <c r="E9210" s="2">
        <f ca="1">IFERROR(__xludf.DUMMYFUNCTION("""COMPUTED_VALUE"""),1)</f>
        <v>1</v>
      </c>
    </row>
    <row r="9211" spans="1:5" ht="13">
      <c r="A9211" s="2" t="str">
        <f ca="1">IFERROR(__xludf.DUMMYFUNCTION("""COMPUTED_VALUE"""),"Cohen, Nell Shaw")</f>
        <v>Cohen, Nell Shaw</v>
      </c>
      <c r="B9211" s="3">
        <f ca="1">IFERROR(__xludf.DUMMYFUNCTION("""COMPUTED_VALUE"""),2)</f>
        <v>2</v>
      </c>
      <c r="C9211" s="7">
        <f ca="1">IFERROR(__xludf.DUMMYFUNCTION("""COMPUTED_VALUE"""),2)</f>
        <v>2</v>
      </c>
      <c r="D9211" s="8">
        <f ca="1">IFERROR(__xludf.DUMMYFUNCTION("""COMPUTED_VALUE"""),2)</f>
        <v>2</v>
      </c>
      <c r="E9211" s="2">
        <f ca="1">IFERROR(__xludf.DUMMYFUNCTION("""COMPUTED_VALUE"""),1)</f>
        <v>1</v>
      </c>
    </row>
    <row r="9212" spans="1:5" ht="13">
      <c r="A9212" s="2" t="str">
        <f ca="1">IFERROR(__xludf.DUMMYFUNCTION("""COMPUTED_VALUE"""),"Colasanti, Silvia")</f>
        <v>Colasanti, Silvia</v>
      </c>
      <c r="B9212" s="3">
        <f ca="1">IFERROR(__xludf.DUMMYFUNCTION("""COMPUTED_VALUE"""),2)</f>
        <v>2</v>
      </c>
      <c r="C9212" s="7">
        <f ca="1">IFERROR(__xludf.DUMMYFUNCTION("""COMPUTED_VALUE"""),2)</f>
        <v>2</v>
      </c>
      <c r="D9212" s="8">
        <f ca="1">IFERROR(__xludf.DUMMYFUNCTION("""COMPUTED_VALUE"""),2)</f>
        <v>2</v>
      </c>
      <c r="E9212" s="2">
        <f ca="1">IFERROR(__xludf.DUMMYFUNCTION("""COMPUTED_VALUE"""),1)</f>
        <v>1</v>
      </c>
    </row>
    <row r="9213" spans="1:5" ht="13">
      <c r="A9213" s="2" t="str">
        <f ca="1">IFERROR(__xludf.DUMMYFUNCTION("""COMPUTED_VALUE"""),"Cole, Laura")</f>
        <v>Cole, Laura</v>
      </c>
      <c r="B9213" s="3">
        <f ca="1">IFERROR(__xludf.DUMMYFUNCTION("""COMPUTED_VALUE"""),2)</f>
        <v>2</v>
      </c>
      <c r="C9213" s="7">
        <f ca="1">IFERROR(__xludf.DUMMYFUNCTION("""COMPUTED_VALUE"""),2)</f>
        <v>2</v>
      </c>
      <c r="D9213" s="8">
        <f ca="1">IFERROR(__xludf.DUMMYFUNCTION("""COMPUTED_VALUE"""),2)</f>
        <v>2</v>
      </c>
      <c r="E9213" s="2">
        <f ca="1">IFERROR(__xludf.DUMMYFUNCTION("""COMPUTED_VALUE"""),1)</f>
        <v>1</v>
      </c>
    </row>
    <row r="9214" spans="1:5" ht="13">
      <c r="A9214" s="2" t="str">
        <f ca="1">IFERROR(__xludf.DUMMYFUNCTION("""COMPUTED_VALUE"""),"Cole, T. J.")</f>
        <v>Cole, T. J.</v>
      </c>
      <c r="B9214" s="3">
        <f ca="1">IFERROR(__xludf.DUMMYFUNCTION("""COMPUTED_VALUE"""),2)</f>
        <v>2</v>
      </c>
      <c r="C9214" s="7">
        <f ca="1">IFERROR(__xludf.DUMMYFUNCTION("""COMPUTED_VALUE"""),2)</f>
        <v>2</v>
      </c>
      <c r="D9214" s="8">
        <f ca="1">IFERROR(__xludf.DUMMYFUNCTION("""COMPUTED_VALUE"""),2)</f>
        <v>2</v>
      </c>
      <c r="E9214" s="2">
        <f ca="1">IFERROR(__xludf.DUMMYFUNCTION("""COMPUTED_VALUE"""),1)</f>
        <v>1</v>
      </c>
    </row>
    <row r="9215" spans="1:5" ht="13">
      <c r="A9215" s="8" t="str">
        <f ca="1">IFERROR(__xludf.DUMMYFUNCTION("""COMPUTED_VALUE"""),"Cole, T.J.")</f>
        <v>Cole, T.J.</v>
      </c>
      <c r="B9215" s="3">
        <f ca="1">IFERROR(__xludf.DUMMYFUNCTION("""COMPUTED_VALUE"""),2)</f>
        <v>2</v>
      </c>
      <c r="C9215" s="7">
        <f ca="1">IFERROR(__xludf.DUMMYFUNCTION("""COMPUTED_VALUE"""),2)</f>
        <v>2</v>
      </c>
      <c r="D9215" s="8">
        <f ca="1">IFERROR(__xludf.DUMMYFUNCTION("""COMPUTED_VALUE"""),2)</f>
        <v>2</v>
      </c>
      <c r="E9215" s="2">
        <f ca="1">IFERROR(__xludf.DUMMYFUNCTION("""COMPUTED_VALUE"""),1)</f>
        <v>1</v>
      </c>
    </row>
    <row r="9216" spans="1:5" ht="13">
      <c r="A9216" s="8" t="str">
        <f ca="1">IFERROR(__xludf.DUMMYFUNCTION("""COMPUTED_VALUE"""),"Coleman, Linda Robbins")</f>
        <v>Coleman, Linda Robbins</v>
      </c>
      <c r="B9216" s="3">
        <f ca="1">IFERROR(__xludf.DUMMYFUNCTION("""COMPUTED_VALUE"""),2)</f>
        <v>2</v>
      </c>
      <c r="C9216" s="7">
        <f ca="1">IFERROR(__xludf.DUMMYFUNCTION("""COMPUTED_VALUE"""),2)</f>
        <v>2</v>
      </c>
      <c r="D9216" s="8">
        <f ca="1">IFERROR(__xludf.DUMMYFUNCTION("""COMPUTED_VALUE"""),2)</f>
        <v>2</v>
      </c>
      <c r="E9216" s="2">
        <f ca="1">IFERROR(__xludf.DUMMYFUNCTION("""COMPUTED_VALUE"""),1)</f>
        <v>1</v>
      </c>
    </row>
    <row r="9217" spans="1:5" ht="13">
      <c r="A9217" s="2" t="str">
        <f ca="1">IFERROR(__xludf.DUMMYFUNCTION("""COMPUTED_VALUE"""),"Coleman, Rachael (née Christopher Coleman)")</f>
        <v>Coleman, Rachael (née Christopher Coleman)</v>
      </c>
      <c r="B9217" s="2">
        <f ca="1">IFERROR(__xludf.DUMMYFUNCTION("""COMPUTED_VALUE"""),2)</f>
        <v>2</v>
      </c>
      <c r="C9217" s="7">
        <f ca="1">IFERROR(__xludf.DUMMYFUNCTION("""COMPUTED_VALUE"""),2)</f>
        <v>2</v>
      </c>
      <c r="D9217" s="8">
        <f ca="1">IFERROR(__xludf.DUMMYFUNCTION("""COMPUTED_VALUE"""),2)</f>
        <v>2</v>
      </c>
      <c r="E9217" s="2">
        <f ca="1">IFERROR(__xludf.DUMMYFUNCTION("""COMPUTED_VALUE"""),1)</f>
        <v>1</v>
      </c>
    </row>
    <row r="9218" spans="1:5" ht="13">
      <c r="A9218" s="2" t="str">
        <f ca="1">IFERROR(__xludf.DUMMYFUNCTION("""COMPUTED_VALUE"""),"Collier, Laura")</f>
        <v>Collier, Laura</v>
      </c>
      <c r="B9218" s="2">
        <f ca="1">IFERROR(__xludf.DUMMYFUNCTION("""COMPUTED_VALUE"""),2)</f>
        <v>2</v>
      </c>
      <c r="C9218" s="7">
        <f ca="1">IFERROR(__xludf.DUMMYFUNCTION("""COMPUTED_VALUE"""),2)</f>
        <v>2</v>
      </c>
      <c r="D9218" s="8">
        <f ca="1">IFERROR(__xludf.DUMMYFUNCTION("""COMPUTED_VALUE"""),2)</f>
        <v>2</v>
      </c>
      <c r="E9218" s="2">
        <f ca="1">IFERROR(__xludf.DUMMYFUNCTION("""COMPUTED_VALUE"""),1)</f>
        <v>1</v>
      </c>
    </row>
    <row r="9219" spans="1:5" ht="13">
      <c r="A9219" s="2" t="str">
        <f ca="1">IFERROR(__xludf.DUMMYFUNCTION("""COMPUTED_VALUE"""),"Collins, Kirstina Rasmussen")</f>
        <v>Collins, Kirstina Rasmussen</v>
      </c>
      <c r="B9219" s="3">
        <f ca="1">IFERROR(__xludf.DUMMYFUNCTION("""COMPUTED_VALUE"""),2)</f>
        <v>2</v>
      </c>
      <c r="C9219" s="7">
        <f ca="1">IFERROR(__xludf.DUMMYFUNCTION("""COMPUTED_VALUE"""),2)</f>
        <v>2</v>
      </c>
      <c r="D9219" s="8">
        <f ca="1">IFERROR(__xludf.DUMMYFUNCTION("""COMPUTED_VALUE"""),2)</f>
        <v>2</v>
      </c>
      <c r="E9219" s="2">
        <f ca="1">IFERROR(__xludf.DUMMYFUNCTION("""COMPUTED_VALUE"""),1)</f>
        <v>1</v>
      </c>
    </row>
    <row r="9220" spans="1:5" ht="13">
      <c r="A9220" s="2" t="str">
        <f ca="1">IFERROR(__xludf.DUMMYFUNCTION("""COMPUTED_VALUE"""),"Conlon, Joan Catoni")</f>
        <v>Conlon, Joan Catoni</v>
      </c>
      <c r="B9220" s="3">
        <f ca="1">IFERROR(__xludf.DUMMYFUNCTION("""COMPUTED_VALUE"""),2)</f>
        <v>2</v>
      </c>
      <c r="C9220" s="7">
        <f ca="1">IFERROR(__xludf.DUMMYFUNCTION("""COMPUTED_VALUE"""),2)</f>
        <v>2</v>
      </c>
      <c r="D9220" s="8">
        <f ca="1">IFERROR(__xludf.DUMMYFUNCTION("""COMPUTED_VALUE"""),2)</f>
        <v>2</v>
      </c>
      <c r="E9220" s="2">
        <f ca="1">IFERROR(__xludf.DUMMYFUNCTION("""COMPUTED_VALUE"""),1)</f>
        <v>1</v>
      </c>
    </row>
    <row r="9221" spans="1:5" ht="13">
      <c r="A9221" s="2" t="str">
        <f ca="1">IFERROR(__xludf.DUMMYFUNCTION("""COMPUTED_VALUE"""),"Contino, Fiora")</f>
        <v>Contino, Fiora</v>
      </c>
      <c r="B9221" s="2">
        <f ca="1">IFERROR(__xludf.DUMMYFUNCTION("""COMPUTED_VALUE"""),2)</f>
        <v>2</v>
      </c>
      <c r="C9221" s="2">
        <f ca="1">IFERROR(__xludf.DUMMYFUNCTION("""COMPUTED_VALUE"""),2)</f>
        <v>2</v>
      </c>
      <c r="D9221" s="8">
        <f ca="1">IFERROR(__xludf.DUMMYFUNCTION("""COMPUTED_VALUE"""),6)</f>
        <v>6</v>
      </c>
      <c r="E9221" s="2">
        <f ca="1">IFERROR(__xludf.DUMMYFUNCTION("""COMPUTED_VALUE"""),2)</f>
        <v>2</v>
      </c>
    </row>
    <row r="9222" spans="1:5" ht="13">
      <c r="A9222" s="2" t="str">
        <f ca="1">IFERROR(__xludf.DUMMYFUNCTION("""COMPUTED_VALUE"""),"Cook, Kathy")</f>
        <v>Cook, Kathy</v>
      </c>
      <c r="B9222" s="3">
        <f ca="1">IFERROR(__xludf.DUMMYFUNCTION("""COMPUTED_VALUE"""),2)</f>
        <v>2</v>
      </c>
      <c r="C9222" s="7">
        <f ca="1">IFERROR(__xludf.DUMMYFUNCTION("""COMPUTED_VALUE"""),2)</f>
        <v>2</v>
      </c>
      <c r="D9222" s="8">
        <f ca="1">IFERROR(__xludf.DUMMYFUNCTION("""COMPUTED_VALUE"""),2)</f>
        <v>2</v>
      </c>
      <c r="E9222" s="2">
        <f ca="1">IFERROR(__xludf.DUMMYFUNCTION("""COMPUTED_VALUE"""),1)</f>
        <v>1</v>
      </c>
    </row>
    <row r="9223" spans="1:5" ht="13">
      <c r="A9223" s="2" t="str">
        <f ca="1">IFERROR(__xludf.DUMMYFUNCTION("""COMPUTED_VALUE"""),"Cool, Jayne Southwick")</f>
        <v>Cool, Jayne Southwick</v>
      </c>
      <c r="B9223" s="2">
        <f ca="1">IFERROR(__xludf.DUMMYFUNCTION("""COMPUTED_VALUE"""),2)</f>
        <v>2</v>
      </c>
      <c r="C9223" s="7">
        <f ca="1">IFERROR(__xludf.DUMMYFUNCTION("""COMPUTED_VALUE"""),2)</f>
        <v>2</v>
      </c>
      <c r="D9223" s="8">
        <f ca="1">IFERROR(__xludf.DUMMYFUNCTION("""COMPUTED_VALUE"""),2)</f>
        <v>2</v>
      </c>
      <c r="E9223" s="2">
        <f ca="1">IFERROR(__xludf.DUMMYFUNCTION("""COMPUTED_VALUE"""),1)</f>
        <v>1</v>
      </c>
    </row>
    <row r="9224" spans="1:5" ht="13">
      <c r="A9224" s="8" t="str">
        <f ca="1">IFERROR(__xludf.DUMMYFUNCTION("""COMPUTED_VALUE"""),"Cooley, Emily")</f>
        <v>Cooley, Emily</v>
      </c>
      <c r="B9224" s="3">
        <f ca="1">IFERROR(__xludf.DUMMYFUNCTION("""COMPUTED_VALUE"""),2)</f>
        <v>2</v>
      </c>
      <c r="C9224" s="7">
        <f ca="1">IFERROR(__xludf.DUMMYFUNCTION("""COMPUTED_VALUE"""),2)</f>
        <v>2</v>
      </c>
      <c r="D9224" s="8">
        <f ca="1">IFERROR(__xludf.DUMMYFUNCTION("""COMPUTED_VALUE"""),2)</f>
        <v>2</v>
      </c>
      <c r="E9224" s="2">
        <f ca="1">IFERROR(__xludf.DUMMYFUNCTION("""COMPUTED_VALUE"""),1)</f>
        <v>1</v>
      </c>
    </row>
    <row r="9225" spans="1:5" ht="13">
      <c r="A9225" s="8" t="str">
        <f ca="1">IFERROR(__xludf.DUMMYFUNCTION("""COMPUTED_VALUE"""),"Coolidge, Peggy Stuart")</f>
        <v>Coolidge, Peggy Stuart</v>
      </c>
      <c r="B9225" s="3">
        <f ca="1">IFERROR(__xludf.DUMMYFUNCTION("""COMPUTED_VALUE"""),2)</f>
        <v>2</v>
      </c>
      <c r="C9225" s="7">
        <f ca="1">IFERROR(__xludf.DUMMYFUNCTION("""COMPUTED_VALUE"""),2)</f>
        <v>2</v>
      </c>
      <c r="D9225" s="8">
        <f ca="1">IFERROR(__xludf.DUMMYFUNCTION("""COMPUTED_VALUE"""),6)</f>
        <v>6</v>
      </c>
      <c r="E9225" s="2">
        <f ca="1">IFERROR(__xludf.DUMMYFUNCTION("""COMPUTED_VALUE"""),2)</f>
        <v>2</v>
      </c>
    </row>
    <row r="9226" spans="1:5" ht="13">
      <c r="A9226" s="8" t="str">
        <f ca="1">IFERROR(__xludf.DUMMYFUNCTION("""COMPUTED_VALUE"""),"Coons, Lauren Valerie")</f>
        <v>Coons, Lauren Valerie</v>
      </c>
      <c r="B9226" s="3">
        <f ca="1">IFERROR(__xludf.DUMMYFUNCTION("""COMPUTED_VALUE"""),2)</f>
        <v>2</v>
      </c>
      <c r="C9226" s="7">
        <f ca="1">IFERROR(__xludf.DUMMYFUNCTION("""COMPUTED_VALUE"""),2)</f>
        <v>2</v>
      </c>
      <c r="D9226" s="8">
        <f ca="1">IFERROR(__xludf.DUMMYFUNCTION("""COMPUTED_VALUE"""),2)</f>
        <v>2</v>
      </c>
      <c r="E9226" s="2">
        <f ca="1">IFERROR(__xludf.DUMMYFUNCTION("""COMPUTED_VALUE"""),1)</f>
        <v>1</v>
      </c>
    </row>
    <row r="9227" spans="1:5" ht="13">
      <c r="A9227" s="2" t="str">
        <f ca="1">IFERROR(__xludf.DUMMYFUNCTION("""COMPUTED_VALUE"""),"Cooper, Gwyneth")</f>
        <v>Cooper, Gwyneth</v>
      </c>
      <c r="B9227" s="3">
        <f ca="1">IFERROR(__xludf.DUMMYFUNCTION("""COMPUTED_VALUE"""),2)</f>
        <v>2</v>
      </c>
      <c r="C9227" s="7">
        <f ca="1">IFERROR(__xludf.DUMMYFUNCTION("""COMPUTED_VALUE"""),2)</f>
        <v>2</v>
      </c>
      <c r="D9227" s="8">
        <f ca="1">IFERROR(__xludf.DUMMYFUNCTION("""COMPUTED_VALUE"""),6)</f>
        <v>6</v>
      </c>
      <c r="E9227" s="2">
        <f ca="1">IFERROR(__xludf.DUMMYFUNCTION("""COMPUTED_VALUE"""),2)</f>
        <v>2</v>
      </c>
    </row>
    <row r="9228" spans="1:5" ht="13">
      <c r="A9228" s="8" t="str">
        <f ca="1">IFERROR(__xludf.DUMMYFUNCTION("""COMPUTED_VALUE"""),"Cooper, Shelly")</f>
        <v>Cooper, Shelly</v>
      </c>
      <c r="B9228" s="3">
        <f ca="1">IFERROR(__xludf.DUMMYFUNCTION("""COMPUTED_VALUE"""),2)</f>
        <v>2</v>
      </c>
      <c r="C9228" s="7">
        <f ca="1">IFERROR(__xludf.DUMMYFUNCTION("""COMPUTED_VALUE"""),2)</f>
        <v>2</v>
      </c>
      <c r="D9228" s="8">
        <f ca="1">IFERROR(__xludf.DUMMYFUNCTION("""COMPUTED_VALUE"""),2)</f>
        <v>2</v>
      </c>
      <c r="E9228" s="2">
        <f ca="1">IFERROR(__xludf.DUMMYFUNCTION("""COMPUTED_VALUE"""),1)</f>
        <v>1</v>
      </c>
    </row>
    <row r="9229" spans="1:5" ht="13">
      <c r="A9229" s="2" t="str">
        <f ca="1">IFERROR(__xludf.DUMMYFUNCTION("""COMPUTED_VALUE"""),"Copeland, Carol")</f>
        <v>Copeland, Carol</v>
      </c>
      <c r="B9229" s="3">
        <f ca="1">IFERROR(__xludf.DUMMYFUNCTION("""COMPUTED_VALUE"""),2)</f>
        <v>2</v>
      </c>
      <c r="C9229" s="7">
        <f ca="1">IFERROR(__xludf.DUMMYFUNCTION("""COMPUTED_VALUE"""),2)</f>
        <v>2</v>
      </c>
      <c r="D9229" s="8">
        <f ca="1">IFERROR(__xludf.DUMMYFUNCTION("""COMPUTED_VALUE"""),6)</f>
        <v>6</v>
      </c>
      <c r="E9229" s="2">
        <f ca="1">IFERROR(__xludf.DUMMYFUNCTION("""COMPUTED_VALUE"""),2)</f>
        <v>2</v>
      </c>
    </row>
    <row r="9230" spans="1:5" ht="13">
      <c r="A9230" s="2" t="str">
        <f ca="1">IFERROR(__xludf.DUMMYFUNCTION("""COMPUTED_VALUE"""),"Corry, Sara")</f>
        <v>Corry, Sara</v>
      </c>
      <c r="B9230" s="2">
        <f ca="1">IFERROR(__xludf.DUMMYFUNCTION("""COMPUTED_VALUE"""),2)</f>
        <v>2</v>
      </c>
      <c r="C9230" s="7">
        <f ca="1">IFERROR(__xludf.DUMMYFUNCTION("""COMPUTED_VALUE"""),2)</f>
        <v>2</v>
      </c>
      <c r="D9230" s="8">
        <f ca="1">IFERROR(__xludf.DUMMYFUNCTION("""COMPUTED_VALUE"""),2)</f>
        <v>2</v>
      </c>
      <c r="E9230" s="2">
        <f ca="1">IFERROR(__xludf.DUMMYFUNCTION("""COMPUTED_VALUE"""),1)</f>
        <v>1</v>
      </c>
    </row>
    <row r="9231" spans="1:5" ht="13">
      <c r="A9231" s="2" t="str">
        <f ca="1">IFERROR(__xludf.DUMMYFUNCTION("""COMPUTED_VALUE"""),"Cotter, Jeanne")</f>
        <v>Cotter, Jeanne</v>
      </c>
      <c r="B9231" s="3">
        <f ca="1">IFERROR(__xludf.DUMMYFUNCTION("""COMPUTED_VALUE"""),2)</f>
        <v>2</v>
      </c>
      <c r="C9231" s="7">
        <f ca="1">IFERROR(__xludf.DUMMYFUNCTION("""COMPUTED_VALUE"""),2)</f>
        <v>2</v>
      </c>
      <c r="D9231" s="8">
        <f ca="1">IFERROR(__xludf.DUMMYFUNCTION("""COMPUTED_VALUE"""),2)</f>
        <v>2</v>
      </c>
      <c r="E9231" s="2">
        <f ca="1">IFERROR(__xludf.DUMMYFUNCTION("""COMPUTED_VALUE"""),1)</f>
        <v>1</v>
      </c>
    </row>
    <row r="9232" spans="1:5" ht="13">
      <c r="A9232" s="2" t="str">
        <f ca="1">IFERROR(__xludf.DUMMYFUNCTION("""COMPUTED_VALUE"""),"Coulthard, Jean")</f>
        <v>Coulthard, Jean</v>
      </c>
      <c r="B9232" s="3">
        <f ca="1">IFERROR(__xludf.DUMMYFUNCTION("""COMPUTED_VALUE"""),2)</f>
        <v>2</v>
      </c>
      <c r="C9232" s="7">
        <f ca="1">IFERROR(__xludf.DUMMYFUNCTION("""COMPUTED_VALUE"""),2)</f>
        <v>2</v>
      </c>
      <c r="D9232" s="8">
        <f ca="1">IFERROR(__xludf.DUMMYFUNCTION("""COMPUTED_VALUE"""),6)</f>
        <v>6</v>
      </c>
      <c r="E9232" s="2">
        <f ca="1">IFERROR(__xludf.DUMMYFUNCTION("""COMPUTED_VALUE"""),2)</f>
        <v>2</v>
      </c>
    </row>
    <row r="9233" spans="1:5" ht="13">
      <c r="A9233" s="2" t="str">
        <f ca="1">IFERROR(__xludf.DUMMYFUNCTION("""COMPUTED_VALUE"""),"Courtaux, Amanda")</f>
        <v>Courtaux, Amanda</v>
      </c>
      <c r="B9233" s="3">
        <f ca="1">IFERROR(__xludf.DUMMYFUNCTION("""COMPUTED_VALUE"""),2)</f>
        <v>2</v>
      </c>
      <c r="C9233" s="7">
        <f ca="1">IFERROR(__xludf.DUMMYFUNCTION("""COMPUTED_VALUE"""),2)</f>
        <v>2</v>
      </c>
      <c r="D9233" s="8">
        <f ca="1">IFERROR(__xludf.DUMMYFUNCTION("""COMPUTED_VALUE"""),6)</f>
        <v>6</v>
      </c>
      <c r="E9233" s="2">
        <f ca="1">IFERROR(__xludf.DUMMYFUNCTION("""COMPUTED_VALUE"""),2)</f>
        <v>2</v>
      </c>
    </row>
    <row r="9234" spans="1:5" ht="13">
      <c r="A9234" s="2" t="str">
        <f ca="1">IFERROR(__xludf.DUMMYFUNCTION("""COMPUTED_VALUE"""),"Courtin, Christina")</f>
        <v>Courtin, Christina</v>
      </c>
      <c r="B9234" s="2">
        <f ca="1">IFERROR(__xludf.DUMMYFUNCTION("""COMPUTED_VALUE"""),2)</f>
        <v>2</v>
      </c>
      <c r="C9234" s="2">
        <f ca="1">IFERROR(__xludf.DUMMYFUNCTION("""COMPUTED_VALUE"""),2)</f>
        <v>2</v>
      </c>
      <c r="D9234" s="8">
        <f ca="1">IFERROR(__xludf.DUMMYFUNCTION("""COMPUTED_VALUE"""),2)</f>
        <v>2</v>
      </c>
      <c r="E9234" s="2">
        <f ca="1">IFERROR(__xludf.DUMMYFUNCTION("""COMPUTED_VALUE"""),1)</f>
        <v>1</v>
      </c>
    </row>
    <row r="9235" spans="1:5" ht="13">
      <c r="A9235" s="8" t="str">
        <f ca="1">IFERROR(__xludf.DUMMYFUNCTION("""COMPUTED_VALUE"""),"Courtney, Vicki Tucker")</f>
        <v>Courtney, Vicki Tucker</v>
      </c>
      <c r="B9235" s="3">
        <f ca="1">IFERROR(__xludf.DUMMYFUNCTION("""COMPUTED_VALUE"""),2)</f>
        <v>2</v>
      </c>
      <c r="C9235" s="7">
        <f ca="1">IFERROR(__xludf.DUMMYFUNCTION("""COMPUTED_VALUE"""),2)</f>
        <v>2</v>
      </c>
      <c r="D9235" s="8">
        <f ca="1">IFERROR(__xludf.DUMMYFUNCTION("""COMPUTED_VALUE"""),2)</f>
        <v>2</v>
      </c>
      <c r="E9235" s="2">
        <f ca="1">IFERROR(__xludf.DUMMYFUNCTION("""COMPUTED_VALUE"""),1)</f>
        <v>1</v>
      </c>
    </row>
    <row r="9236" spans="1:5" ht="13">
      <c r="A9236" s="8" t="str">
        <f ca="1">IFERROR(__xludf.DUMMYFUNCTION("""COMPUTED_VALUE"""),"Cox, Cindy")</f>
        <v>Cox, Cindy</v>
      </c>
      <c r="B9236" s="3">
        <f ca="1">IFERROR(__xludf.DUMMYFUNCTION("""COMPUTED_VALUE"""),2)</f>
        <v>2</v>
      </c>
      <c r="C9236" s="7">
        <f ca="1">IFERROR(__xludf.DUMMYFUNCTION("""COMPUTED_VALUE"""),2)</f>
        <v>2</v>
      </c>
      <c r="D9236" s="8">
        <f ca="1">IFERROR(__xludf.DUMMYFUNCTION("""COMPUTED_VALUE"""),2)</f>
        <v>2</v>
      </c>
      <c r="E9236" s="2">
        <f ca="1">IFERROR(__xludf.DUMMYFUNCTION("""COMPUTED_VALUE"""),1)</f>
        <v>1</v>
      </c>
    </row>
    <row r="9237" spans="1:5" ht="13">
      <c r="A9237" s="2" t="str">
        <f ca="1">IFERROR(__xludf.DUMMYFUNCTION("""COMPUTED_VALUE"""),"Cox, Janet")</f>
        <v>Cox, Janet</v>
      </c>
      <c r="B9237" s="3">
        <f ca="1">IFERROR(__xludf.DUMMYFUNCTION("""COMPUTED_VALUE"""),2)</f>
        <v>2</v>
      </c>
      <c r="C9237" s="7">
        <f ca="1">IFERROR(__xludf.DUMMYFUNCTION("""COMPUTED_VALUE"""),2)</f>
        <v>2</v>
      </c>
      <c r="D9237" s="8">
        <f ca="1">IFERROR(__xludf.DUMMYFUNCTION("""COMPUTED_VALUE"""),2)</f>
        <v>2</v>
      </c>
      <c r="E9237" s="2">
        <f ca="1">IFERROR(__xludf.DUMMYFUNCTION("""COMPUTED_VALUE"""),1)</f>
        <v>1</v>
      </c>
    </row>
    <row r="9238" spans="1:5" ht="13">
      <c r="A9238" s="2" t="str">
        <f ca="1">IFERROR(__xludf.DUMMYFUNCTION("""COMPUTED_VALUE"""),"Cozzolani, Chiara Margarita")</f>
        <v>Cozzolani, Chiara Margarita</v>
      </c>
      <c r="B9238" s="2">
        <f ca="1">IFERROR(__xludf.DUMMYFUNCTION("""COMPUTED_VALUE"""),2)</f>
        <v>2</v>
      </c>
      <c r="C9238" s="7">
        <f ca="1">IFERROR(__xludf.DUMMYFUNCTION("""COMPUTED_VALUE"""),2)</f>
        <v>2</v>
      </c>
      <c r="D9238" s="8">
        <f ca="1">IFERROR(__xludf.DUMMYFUNCTION("""COMPUTED_VALUE"""),6)</f>
        <v>6</v>
      </c>
      <c r="E9238" s="2">
        <f ca="1">IFERROR(__xludf.DUMMYFUNCTION("""COMPUTED_VALUE"""),2)</f>
        <v>2</v>
      </c>
    </row>
    <row r="9239" spans="1:5" ht="13">
      <c r="A9239" s="8" t="str">
        <f ca="1">IFERROR(__xludf.DUMMYFUNCTION("""COMPUTED_VALUE"""),"Craig, Renee")</f>
        <v>Craig, Renee</v>
      </c>
      <c r="B9239" s="3">
        <f ca="1">IFERROR(__xludf.DUMMYFUNCTION("""COMPUTED_VALUE"""),2)</f>
        <v>2</v>
      </c>
      <c r="C9239" s="7">
        <f ca="1">IFERROR(__xludf.DUMMYFUNCTION("""COMPUTED_VALUE"""),2)</f>
        <v>2</v>
      </c>
      <c r="D9239" s="8">
        <f ca="1">IFERROR(__xludf.DUMMYFUNCTION("""COMPUTED_VALUE"""),2)</f>
        <v>2</v>
      </c>
      <c r="E9239" s="2">
        <f ca="1">IFERROR(__xludf.DUMMYFUNCTION("""COMPUTED_VALUE"""),1)</f>
        <v>1</v>
      </c>
    </row>
    <row r="9240" spans="1:5" ht="13">
      <c r="A9240" s="8" t="str">
        <f ca="1">IFERROR(__xludf.DUMMYFUNCTION("""COMPUTED_VALUE"""),"Craig, Renee / Waesche, Ed")</f>
        <v>Craig, Renee / Waesche, Ed</v>
      </c>
      <c r="B9240" s="3">
        <f ca="1">IFERROR(__xludf.DUMMYFUNCTION("""COMPUTED_VALUE"""),2)</f>
        <v>2</v>
      </c>
      <c r="C9240" s="7">
        <f ca="1">IFERROR(__xludf.DUMMYFUNCTION("""COMPUTED_VALUE"""),2)</f>
        <v>2</v>
      </c>
      <c r="D9240" s="8">
        <f ca="1">IFERROR(__xludf.DUMMYFUNCTION("""COMPUTED_VALUE"""),2)</f>
        <v>2</v>
      </c>
      <c r="E9240" s="2">
        <f ca="1">IFERROR(__xludf.DUMMYFUNCTION("""COMPUTED_VALUE"""),1)</f>
        <v>1</v>
      </c>
    </row>
    <row r="9241" spans="1:5" ht="13">
      <c r="A9241" s="2" t="str">
        <f ca="1">IFERROR(__xludf.DUMMYFUNCTION("""COMPUTED_VALUE"""),"Crescenz, Valerie Showers")</f>
        <v>Crescenz, Valerie Showers</v>
      </c>
      <c r="B9241" s="3">
        <f ca="1">IFERROR(__xludf.DUMMYFUNCTION("""COMPUTED_VALUE"""),2)</f>
        <v>2</v>
      </c>
      <c r="C9241" s="7">
        <f ca="1">IFERROR(__xludf.DUMMYFUNCTION("""COMPUTED_VALUE"""),2)</f>
        <v>2</v>
      </c>
      <c r="D9241" s="8">
        <f ca="1">IFERROR(__xludf.DUMMYFUNCTION("""COMPUTED_VALUE"""),2)</f>
        <v>2</v>
      </c>
      <c r="E9241" s="2">
        <f ca="1">IFERROR(__xludf.DUMMYFUNCTION("""COMPUTED_VALUE"""),1)</f>
        <v>1</v>
      </c>
    </row>
    <row r="9242" spans="1:5" ht="13">
      <c r="A9242" s="8" t="str">
        <f ca="1">IFERROR(__xludf.DUMMYFUNCTION("""COMPUTED_VALUE"""),"Crocker, Emily")</f>
        <v>Crocker, Emily</v>
      </c>
      <c r="B9242" s="3">
        <f ca="1">IFERROR(__xludf.DUMMYFUNCTION("""COMPUTED_VALUE"""),2)</f>
        <v>2</v>
      </c>
      <c r="C9242" s="7">
        <f ca="1">IFERROR(__xludf.DUMMYFUNCTION("""COMPUTED_VALUE"""),2)</f>
        <v>2</v>
      </c>
      <c r="D9242" s="8">
        <f ca="1">IFERROR(__xludf.DUMMYFUNCTION("""COMPUTED_VALUE"""),2)</f>
        <v>2</v>
      </c>
      <c r="E9242" s="2">
        <f ca="1">IFERROR(__xludf.DUMMYFUNCTION("""COMPUTED_VALUE"""),1)</f>
        <v>1</v>
      </c>
    </row>
    <row r="9243" spans="1:5" ht="13">
      <c r="A9243" s="2" t="str">
        <f ca="1">IFERROR(__xludf.DUMMYFUNCTION("""COMPUTED_VALUE"""),"Crocker, Emily / Leavitt, John")</f>
        <v>Crocker, Emily / Leavitt, John</v>
      </c>
      <c r="B9243" s="3">
        <f ca="1">IFERROR(__xludf.DUMMYFUNCTION("""COMPUTED_VALUE"""),2)</f>
        <v>2</v>
      </c>
      <c r="C9243" s="7">
        <f ca="1">IFERROR(__xludf.DUMMYFUNCTION("""COMPUTED_VALUE"""),2)</f>
        <v>2</v>
      </c>
      <c r="D9243" s="8">
        <f ca="1">IFERROR(__xludf.DUMMYFUNCTION("""COMPUTED_VALUE"""),2)</f>
        <v>2</v>
      </c>
      <c r="E9243" s="2">
        <f ca="1">IFERROR(__xludf.DUMMYFUNCTION("""COMPUTED_VALUE"""),1)</f>
        <v>1</v>
      </c>
    </row>
    <row r="9244" spans="1:5" ht="13">
      <c r="A9244" s="2" t="str">
        <f ca="1">IFERROR(__xludf.DUMMYFUNCTION("""COMPUTED_VALUE"""),"Croft, Virginia")</f>
        <v>Croft, Virginia</v>
      </c>
      <c r="B9244" s="3">
        <f ca="1">IFERROR(__xludf.DUMMYFUNCTION("""COMPUTED_VALUE"""),2)</f>
        <v>2</v>
      </c>
      <c r="C9244" s="7">
        <f ca="1">IFERROR(__xludf.DUMMYFUNCTION("""COMPUTED_VALUE"""),2)</f>
        <v>2</v>
      </c>
      <c r="D9244" s="8">
        <f ca="1">IFERROR(__xludf.DUMMYFUNCTION("""COMPUTED_VALUE"""),2)</f>
        <v>2</v>
      </c>
      <c r="E9244" s="2">
        <f ca="1">IFERROR(__xludf.DUMMYFUNCTION("""COMPUTED_VALUE"""),1)</f>
        <v>1</v>
      </c>
    </row>
    <row r="9245" spans="1:5" ht="13">
      <c r="A9245" s="2" t="str">
        <f ca="1">IFERROR(__xludf.DUMMYFUNCTION("""COMPUTED_VALUE"""),"Cromie, Marguerite Biggs")</f>
        <v>Cromie, Marguerite Biggs</v>
      </c>
      <c r="B9245" s="3">
        <f ca="1">IFERROR(__xludf.DUMMYFUNCTION("""COMPUTED_VALUE"""),2)</f>
        <v>2</v>
      </c>
      <c r="C9245" s="7">
        <f ca="1">IFERROR(__xludf.DUMMYFUNCTION("""COMPUTED_VALUE"""),2)</f>
        <v>2</v>
      </c>
      <c r="D9245" s="8">
        <f ca="1">IFERROR(__xludf.DUMMYFUNCTION("""COMPUTED_VALUE"""),6)</f>
        <v>6</v>
      </c>
      <c r="E9245" s="2">
        <f ca="1">IFERROR(__xludf.DUMMYFUNCTION("""COMPUTED_VALUE"""),2)</f>
        <v>2</v>
      </c>
    </row>
    <row r="9246" spans="1:5" ht="13">
      <c r="A9246" s="8" t="str">
        <f ca="1">IFERROR(__xludf.DUMMYFUNCTION("""COMPUTED_VALUE"""),"Cruselle, Carrie Lane")</f>
        <v>Cruselle, Carrie Lane</v>
      </c>
      <c r="B9246" s="3">
        <f ca="1">IFERROR(__xludf.DUMMYFUNCTION("""COMPUTED_VALUE"""),2)</f>
        <v>2</v>
      </c>
      <c r="C9246" s="7">
        <f ca="1">IFERROR(__xludf.DUMMYFUNCTION("""COMPUTED_VALUE"""),2)</f>
        <v>2</v>
      </c>
      <c r="D9246" s="8">
        <f ca="1">IFERROR(__xludf.DUMMYFUNCTION("""COMPUTED_VALUE"""),2)</f>
        <v>2</v>
      </c>
      <c r="E9246" s="2">
        <f ca="1">IFERROR(__xludf.DUMMYFUNCTION("""COMPUTED_VALUE"""),1)</f>
        <v>1</v>
      </c>
    </row>
    <row r="9247" spans="1:5" ht="13">
      <c r="A9247" s="2" t="str">
        <f ca="1">IFERROR(__xludf.DUMMYFUNCTION("""COMPUTED_VALUE"""),"Cunalata, Janelle Zook")</f>
        <v>Cunalata, Janelle Zook</v>
      </c>
      <c r="B9247" s="3">
        <f ca="1">IFERROR(__xludf.DUMMYFUNCTION("""COMPUTED_VALUE"""),2)</f>
        <v>2</v>
      </c>
      <c r="C9247" s="7">
        <f ca="1">IFERROR(__xludf.DUMMYFUNCTION("""COMPUTED_VALUE"""),2)</f>
        <v>2</v>
      </c>
      <c r="D9247" s="8">
        <f ca="1">IFERROR(__xludf.DUMMYFUNCTION("""COMPUTED_VALUE"""),2)</f>
        <v>2</v>
      </c>
      <c r="E9247" s="2">
        <f ca="1">IFERROR(__xludf.DUMMYFUNCTION("""COMPUTED_VALUE"""),1)</f>
        <v>1</v>
      </c>
    </row>
    <row r="9248" spans="1:5" ht="13">
      <c r="A9248" s="8" t="str">
        <f ca="1">IFERROR(__xludf.DUMMYFUNCTION("""COMPUTED_VALUE"""),"Cunningham, Flannery")</f>
        <v>Cunningham, Flannery</v>
      </c>
      <c r="B9248" s="3">
        <f ca="1">IFERROR(__xludf.DUMMYFUNCTION("""COMPUTED_VALUE"""),2)</f>
        <v>2</v>
      </c>
      <c r="C9248" s="7">
        <f ca="1">IFERROR(__xludf.DUMMYFUNCTION("""COMPUTED_VALUE"""),2)</f>
        <v>2</v>
      </c>
      <c r="D9248" s="8">
        <f ca="1">IFERROR(__xludf.DUMMYFUNCTION("""COMPUTED_VALUE"""),2)</f>
        <v>2</v>
      </c>
      <c r="E9248" s="2">
        <f ca="1">IFERROR(__xludf.DUMMYFUNCTION("""COMPUTED_VALUE"""),1)</f>
        <v>1</v>
      </c>
    </row>
    <row r="9249" spans="1:5" ht="13">
      <c r="A9249" s="2" t="str">
        <f ca="1">IFERROR(__xludf.DUMMYFUNCTION("""COMPUTED_VALUE"""),"Currie, Edna")</f>
        <v>Currie, Edna</v>
      </c>
      <c r="B9249" s="3">
        <f ca="1">IFERROR(__xludf.DUMMYFUNCTION("""COMPUTED_VALUE"""),2)</f>
        <v>2</v>
      </c>
      <c r="C9249" s="7">
        <f ca="1">IFERROR(__xludf.DUMMYFUNCTION("""COMPUTED_VALUE"""),2)</f>
        <v>2</v>
      </c>
      <c r="D9249" s="8">
        <f ca="1">IFERROR(__xludf.DUMMYFUNCTION("""COMPUTED_VALUE"""),6)</f>
        <v>6</v>
      </c>
      <c r="E9249" s="2">
        <f ca="1">IFERROR(__xludf.DUMMYFUNCTION("""COMPUTED_VALUE"""),2)</f>
        <v>2</v>
      </c>
    </row>
    <row r="9250" spans="1:5" ht="13">
      <c r="A9250" s="2" t="str">
        <f ca="1">IFERROR(__xludf.DUMMYFUNCTION("""COMPUTED_VALUE"""),"Curtright, Carolee")</f>
        <v>Curtright, Carolee</v>
      </c>
      <c r="B9250" s="3">
        <f ca="1">IFERROR(__xludf.DUMMYFUNCTION("""COMPUTED_VALUE"""),2)</f>
        <v>2</v>
      </c>
      <c r="C9250" s="7">
        <f ca="1">IFERROR(__xludf.DUMMYFUNCTION("""COMPUTED_VALUE"""),2)</f>
        <v>2</v>
      </c>
      <c r="D9250" s="8">
        <f ca="1">IFERROR(__xludf.DUMMYFUNCTION("""COMPUTED_VALUE"""),2)</f>
        <v>2</v>
      </c>
      <c r="E9250" s="2">
        <f ca="1">IFERROR(__xludf.DUMMYFUNCTION("""COMPUTED_VALUE"""),1)</f>
        <v>1</v>
      </c>
    </row>
    <row r="9251" spans="1:5" ht="13">
      <c r="A9251" s="2" t="str">
        <f ca="1">IFERROR(__xludf.DUMMYFUNCTION("""COMPUTED_VALUE"""),"Cutler, Zoey")</f>
        <v>Cutler, Zoey</v>
      </c>
      <c r="B9251" s="3">
        <f ca="1">IFERROR(__xludf.DUMMYFUNCTION("""COMPUTED_VALUE"""),2)</f>
        <v>2</v>
      </c>
      <c r="C9251" s="7">
        <f ca="1">IFERROR(__xludf.DUMMYFUNCTION("""COMPUTED_VALUE"""),2)</f>
        <v>2</v>
      </c>
      <c r="D9251" s="8">
        <f ca="1">IFERROR(__xludf.DUMMYFUNCTION("""COMPUTED_VALUE"""),2)</f>
        <v>2</v>
      </c>
      <c r="E9251" s="2">
        <f ca="1">IFERROR(__xludf.DUMMYFUNCTION("""COMPUTED_VALUE"""),1)</f>
        <v>1</v>
      </c>
    </row>
    <row r="9252" spans="1:5" ht="13">
      <c r="A9252" s="2" t="str">
        <f ca="1">IFERROR(__xludf.DUMMYFUNCTION("""COMPUTED_VALUE"""),"Czernowin, Chaya")</f>
        <v>Czernowin, Chaya</v>
      </c>
      <c r="B9252" s="3">
        <f ca="1">IFERROR(__xludf.DUMMYFUNCTION("""COMPUTED_VALUE"""),2)</f>
        <v>2</v>
      </c>
      <c r="C9252" s="7">
        <f ca="1">IFERROR(__xludf.DUMMYFUNCTION("""COMPUTED_VALUE"""),2)</f>
        <v>2</v>
      </c>
      <c r="D9252" s="8">
        <f ca="1">IFERROR(__xludf.DUMMYFUNCTION("""COMPUTED_VALUE"""),2)</f>
        <v>2</v>
      </c>
      <c r="E9252" s="2">
        <f ca="1">IFERROR(__xludf.DUMMYFUNCTION("""COMPUTED_VALUE"""),1)</f>
        <v>1</v>
      </c>
    </row>
    <row r="9253" spans="1:5" ht="13">
      <c r="A9253" s="8" t="str">
        <f ca="1">IFERROR(__xludf.DUMMYFUNCTION("""COMPUTED_VALUE"""),"D'Albora, Melissa")</f>
        <v>D'Albora, Melissa</v>
      </c>
      <c r="B9253" s="3">
        <f ca="1">IFERROR(__xludf.DUMMYFUNCTION("""COMPUTED_VALUE"""),2)</f>
        <v>2</v>
      </c>
      <c r="C9253" s="7">
        <f ca="1">IFERROR(__xludf.DUMMYFUNCTION("""COMPUTED_VALUE"""),2)</f>
        <v>2</v>
      </c>
      <c r="D9253" s="8">
        <f ca="1">IFERROR(__xludf.DUMMYFUNCTION("""COMPUTED_VALUE"""),2)</f>
        <v>2</v>
      </c>
      <c r="E9253" s="2">
        <f ca="1">IFERROR(__xludf.DUMMYFUNCTION("""COMPUTED_VALUE"""),1)</f>
        <v>1</v>
      </c>
    </row>
    <row r="9254" spans="1:5" ht="13">
      <c r="A9254" s="8" t="str">
        <f ca="1">IFERROR(__xludf.DUMMYFUNCTION("""COMPUTED_VALUE"""),"da Pointe, Angela")</f>
        <v>da Pointe, Angela</v>
      </c>
      <c r="B9254" s="3">
        <f ca="1">IFERROR(__xludf.DUMMYFUNCTION("""COMPUTED_VALUE"""),2)</f>
        <v>2</v>
      </c>
      <c r="C9254" s="7">
        <f ca="1">IFERROR(__xludf.DUMMYFUNCTION("""COMPUTED_VALUE"""),2)</f>
        <v>2</v>
      </c>
      <c r="D9254" s="8">
        <f ca="1">IFERROR(__xludf.DUMMYFUNCTION("""COMPUTED_VALUE"""),2)</f>
        <v>2</v>
      </c>
      <c r="E9254" s="2">
        <f ca="1">IFERROR(__xludf.DUMMYFUNCTION("""COMPUTED_VALUE"""),1)</f>
        <v>1</v>
      </c>
    </row>
    <row r="9255" spans="1:5" ht="13">
      <c r="A9255" s="8" t="str">
        <f ca="1">IFERROR(__xludf.DUMMYFUNCTION("""COMPUTED_VALUE"""),"Dabic, Jelena")</f>
        <v>Dabic, Jelena</v>
      </c>
      <c r="B9255" s="3">
        <f ca="1">IFERROR(__xludf.DUMMYFUNCTION("""COMPUTED_VALUE"""),2)</f>
        <v>2</v>
      </c>
      <c r="C9255" s="7">
        <f ca="1">IFERROR(__xludf.DUMMYFUNCTION("""COMPUTED_VALUE"""),2)</f>
        <v>2</v>
      </c>
      <c r="D9255" s="8">
        <f ca="1">IFERROR(__xludf.DUMMYFUNCTION("""COMPUTED_VALUE"""),2)</f>
        <v>2</v>
      </c>
      <c r="E9255" s="2">
        <f ca="1">IFERROR(__xludf.DUMMYFUNCTION("""COMPUTED_VALUE"""),1)</f>
        <v>1</v>
      </c>
    </row>
    <row r="9256" spans="1:5" ht="13">
      <c r="A9256" s="2" t="str">
        <f ca="1">IFERROR(__xludf.DUMMYFUNCTION("""COMPUTED_VALUE"""),"Dackow, Sandra")</f>
        <v>Dackow, Sandra</v>
      </c>
      <c r="B9256" s="2">
        <f ca="1">IFERROR(__xludf.DUMMYFUNCTION("""COMPUTED_VALUE"""),2)</f>
        <v>2</v>
      </c>
      <c r="C9256" s="7">
        <f ca="1">IFERROR(__xludf.DUMMYFUNCTION("""COMPUTED_VALUE"""),2)</f>
        <v>2</v>
      </c>
      <c r="D9256" s="8">
        <f ca="1">IFERROR(__xludf.DUMMYFUNCTION("""COMPUTED_VALUE"""),2)</f>
        <v>2</v>
      </c>
      <c r="E9256" s="2">
        <f ca="1">IFERROR(__xludf.DUMMYFUNCTION("""COMPUTED_VALUE"""),1)</f>
        <v>1</v>
      </c>
    </row>
    <row r="9257" spans="1:5" ht="13">
      <c r="A9257" s="2" t="str">
        <f ca="1">IFERROR(__xludf.DUMMYFUNCTION("""COMPUTED_VALUE"""),"Dale, June")</f>
        <v>Dale, June</v>
      </c>
      <c r="B9257" s="3">
        <f ca="1">IFERROR(__xludf.DUMMYFUNCTION("""COMPUTED_VALUE"""),2)</f>
        <v>2</v>
      </c>
      <c r="C9257" s="7">
        <f ca="1">IFERROR(__xludf.DUMMYFUNCTION("""COMPUTED_VALUE"""),2)</f>
        <v>2</v>
      </c>
      <c r="D9257" s="8">
        <f ca="1">IFERROR(__xludf.DUMMYFUNCTION("""COMPUTED_VALUE"""),2)</f>
        <v>2</v>
      </c>
      <c r="E9257" s="2">
        <f ca="1">IFERROR(__xludf.DUMMYFUNCTION("""COMPUTED_VALUE"""),1)</f>
        <v>1</v>
      </c>
    </row>
    <row r="9258" spans="1:5" ht="13">
      <c r="A9258" s="8" t="str">
        <f ca="1">IFERROR(__xludf.DUMMYFUNCTION("""COMPUTED_VALUE"""),"Daley, Eleanor")</f>
        <v>Daley, Eleanor</v>
      </c>
      <c r="B9258" s="3">
        <f ca="1">IFERROR(__xludf.DUMMYFUNCTION("""COMPUTED_VALUE"""),2)</f>
        <v>2</v>
      </c>
      <c r="C9258" s="7">
        <f ca="1">IFERROR(__xludf.DUMMYFUNCTION("""COMPUTED_VALUE"""),2)</f>
        <v>2</v>
      </c>
      <c r="D9258" s="8">
        <f ca="1">IFERROR(__xludf.DUMMYFUNCTION("""COMPUTED_VALUE"""),2)</f>
        <v>2</v>
      </c>
      <c r="E9258" s="2">
        <f ca="1">IFERROR(__xludf.DUMMYFUNCTION("""COMPUTED_VALUE"""),1)</f>
        <v>1</v>
      </c>
    </row>
    <row r="9259" spans="1:5" ht="13">
      <c r="A9259" s="2" t="str">
        <f ca="1">IFERROR(__xludf.DUMMYFUNCTION("""COMPUTED_VALUE"""),"Dalton, Amy")</f>
        <v>Dalton, Amy</v>
      </c>
      <c r="B9259" s="3">
        <f ca="1">IFERROR(__xludf.DUMMYFUNCTION("""COMPUTED_VALUE"""),2)</f>
        <v>2</v>
      </c>
      <c r="C9259" s="7">
        <f ca="1">IFERROR(__xludf.DUMMYFUNCTION("""COMPUTED_VALUE"""),2)</f>
        <v>2</v>
      </c>
      <c r="D9259" s="8">
        <f ca="1">IFERROR(__xludf.DUMMYFUNCTION("""COMPUTED_VALUE"""),2)</f>
        <v>2</v>
      </c>
      <c r="E9259" s="2">
        <f ca="1">IFERROR(__xludf.DUMMYFUNCTION("""COMPUTED_VALUE"""),1)</f>
        <v>1</v>
      </c>
    </row>
    <row r="9260" spans="1:5" ht="13">
      <c r="A9260" s="2" t="str">
        <f ca="1">IFERROR(__xludf.DUMMYFUNCTION("""COMPUTED_VALUE"""),"Dam, Maiike")</f>
        <v>Dam, Maiike</v>
      </c>
      <c r="B9260" s="3">
        <f ca="1">IFERROR(__xludf.DUMMYFUNCTION("""COMPUTED_VALUE"""),2)</f>
        <v>2</v>
      </c>
      <c r="C9260" s="7">
        <f ca="1">IFERROR(__xludf.DUMMYFUNCTION("""COMPUTED_VALUE"""),2)</f>
        <v>2</v>
      </c>
      <c r="D9260" s="8">
        <f ca="1">IFERROR(__xludf.DUMMYFUNCTION("""COMPUTED_VALUE"""),2)</f>
        <v>2</v>
      </c>
      <c r="E9260" s="2">
        <f ca="1">IFERROR(__xludf.DUMMYFUNCTION("""COMPUTED_VALUE"""),1)</f>
        <v>1</v>
      </c>
    </row>
    <row r="9261" spans="1:5" ht="13">
      <c r="A9261" s="2" t="str">
        <f ca="1">IFERROR(__xludf.DUMMYFUNCTION("""COMPUTED_VALUE"""),"Damon, Jane")</f>
        <v>Damon, Jane</v>
      </c>
      <c r="B9261" s="3">
        <f ca="1">IFERROR(__xludf.DUMMYFUNCTION("""COMPUTED_VALUE"""),2)</f>
        <v>2</v>
      </c>
      <c r="C9261" s="7">
        <f ca="1">IFERROR(__xludf.DUMMYFUNCTION("""COMPUTED_VALUE"""),2)</f>
        <v>2</v>
      </c>
      <c r="D9261" s="8">
        <f ca="1">IFERROR(__xludf.DUMMYFUNCTION("""COMPUTED_VALUE"""),2)</f>
        <v>2</v>
      </c>
      <c r="E9261" s="2">
        <f ca="1">IFERROR(__xludf.DUMMYFUNCTION("""COMPUTED_VALUE"""),1)</f>
        <v>1</v>
      </c>
    </row>
    <row r="9262" spans="1:5" ht="13">
      <c r="A9262" s="8" t="str">
        <f ca="1">IFERROR(__xludf.DUMMYFUNCTION("""COMPUTED_VALUE"""),"Damström, Cecilia")</f>
        <v>Damström, Cecilia</v>
      </c>
      <c r="B9262" s="3">
        <f ca="1">IFERROR(__xludf.DUMMYFUNCTION("""COMPUTED_VALUE"""),2)</f>
        <v>2</v>
      </c>
      <c r="C9262" s="7">
        <f ca="1">IFERROR(__xludf.DUMMYFUNCTION("""COMPUTED_VALUE"""),2)</f>
        <v>2</v>
      </c>
      <c r="D9262" s="8">
        <f ca="1">IFERROR(__xludf.DUMMYFUNCTION("""COMPUTED_VALUE"""),2)</f>
        <v>2</v>
      </c>
      <c r="E9262" s="2">
        <f ca="1">IFERROR(__xludf.DUMMYFUNCTION("""COMPUTED_VALUE"""),1)</f>
        <v>1</v>
      </c>
    </row>
    <row r="9263" spans="1:5" ht="13">
      <c r="A9263" s="2" t="str">
        <f ca="1">IFERROR(__xludf.DUMMYFUNCTION("""COMPUTED_VALUE"""),"Daniels, Mabel")</f>
        <v>Daniels, Mabel</v>
      </c>
      <c r="B9263" s="2">
        <f ca="1">IFERROR(__xludf.DUMMYFUNCTION("""COMPUTED_VALUE"""),2)</f>
        <v>2</v>
      </c>
      <c r="C9263" s="7">
        <f ca="1">IFERROR(__xludf.DUMMYFUNCTION("""COMPUTED_VALUE"""),2)</f>
        <v>2</v>
      </c>
      <c r="D9263" s="8">
        <f ca="1">IFERROR(__xludf.DUMMYFUNCTION("""COMPUTED_VALUE"""),6)</f>
        <v>6</v>
      </c>
      <c r="E9263" s="2">
        <f ca="1">IFERROR(__xludf.DUMMYFUNCTION("""COMPUTED_VALUE"""),2)</f>
        <v>2</v>
      </c>
    </row>
    <row r="9264" spans="1:5" ht="13">
      <c r="A9264" s="8" t="str">
        <f ca="1">IFERROR(__xludf.DUMMYFUNCTION("""COMPUTED_VALUE"""),"Dardess, Betty")</f>
        <v>Dardess, Betty</v>
      </c>
      <c r="B9264" s="3">
        <f ca="1">IFERROR(__xludf.DUMMYFUNCTION("""COMPUTED_VALUE"""),2)</f>
        <v>2</v>
      </c>
      <c r="C9264" s="7">
        <f ca="1">IFERROR(__xludf.DUMMYFUNCTION("""COMPUTED_VALUE"""),2)</f>
        <v>2</v>
      </c>
      <c r="D9264" s="8">
        <f ca="1">IFERROR(__xludf.DUMMYFUNCTION("""COMPUTED_VALUE"""),6)</f>
        <v>6</v>
      </c>
      <c r="E9264" s="2">
        <f ca="1">IFERROR(__xludf.DUMMYFUNCTION("""COMPUTED_VALUE"""),2)</f>
        <v>2</v>
      </c>
    </row>
    <row r="9265" spans="1:5" ht="13">
      <c r="A9265" s="2" t="str">
        <f ca="1">IFERROR(__xludf.DUMMYFUNCTION("""COMPUTED_VALUE"""),"Darling, Leanne")</f>
        <v>Darling, Leanne</v>
      </c>
      <c r="B9265" s="3">
        <f ca="1">IFERROR(__xludf.DUMMYFUNCTION("""COMPUTED_VALUE"""),2)</f>
        <v>2</v>
      </c>
      <c r="C9265" s="7">
        <f ca="1">IFERROR(__xludf.DUMMYFUNCTION("""COMPUTED_VALUE"""),2)</f>
        <v>2</v>
      </c>
      <c r="D9265" s="8">
        <f ca="1">IFERROR(__xludf.DUMMYFUNCTION("""COMPUTED_VALUE"""),2)</f>
        <v>2</v>
      </c>
      <c r="E9265" s="2">
        <f ca="1">IFERROR(__xludf.DUMMYFUNCTION("""COMPUTED_VALUE"""),1)</f>
        <v>1</v>
      </c>
    </row>
    <row r="9266" spans="1:5" ht="13">
      <c r="A9266" s="8" t="str">
        <f ca="1">IFERROR(__xludf.DUMMYFUNCTION("""COMPUTED_VALUE"""),"Darling, Patty")</f>
        <v>Darling, Patty</v>
      </c>
      <c r="B9266" s="3">
        <f ca="1">IFERROR(__xludf.DUMMYFUNCTION("""COMPUTED_VALUE"""),2)</f>
        <v>2</v>
      </c>
      <c r="C9266" s="7">
        <f ca="1">IFERROR(__xludf.DUMMYFUNCTION("""COMPUTED_VALUE"""),2)</f>
        <v>2</v>
      </c>
      <c r="D9266" s="8">
        <f ca="1">IFERROR(__xludf.DUMMYFUNCTION("""COMPUTED_VALUE"""),2)</f>
        <v>2</v>
      </c>
      <c r="E9266" s="2">
        <f ca="1">IFERROR(__xludf.DUMMYFUNCTION("""COMPUTED_VALUE"""),1)</f>
        <v>1</v>
      </c>
    </row>
    <row r="9267" spans="1:5" ht="13">
      <c r="A9267" s="8" t="str">
        <f ca="1">IFERROR(__xludf.DUMMYFUNCTION("""COMPUTED_VALUE"""),"Davies, Tansy")</f>
        <v>Davies, Tansy</v>
      </c>
      <c r="B9267" s="3">
        <f ca="1">IFERROR(__xludf.DUMMYFUNCTION("""COMPUTED_VALUE"""),2)</f>
        <v>2</v>
      </c>
      <c r="C9267" s="7">
        <f ca="1">IFERROR(__xludf.DUMMYFUNCTION("""COMPUTED_VALUE"""),2)</f>
        <v>2</v>
      </c>
      <c r="D9267" s="8">
        <f ca="1">IFERROR(__xludf.DUMMYFUNCTION("""COMPUTED_VALUE"""),2)</f>
        <v>2</v>
      </c>
      <c r="E9267" s="2">
        <f ca="1">IFERROR(__xludf.DUMMYFUNCTION("""COMPUTED_VALUE"""),1)</f>
        <v>1</v>
      </c>
    </row>
    <row r="9268" spans="1:5" ht="13">
      <c r="A9268" s="2" t="str">
        <f ca="1">IFERROR(__xludf.DUMMYFUNCTION("""COMPUTED_VALUE"""),"Davila, Julie")</f>
        <v>Davila, Julie</v>
      </c>
      <c r="B9268" s="3">
        <f ca="1">IFERROR(__xludf.DUMMYFUNCTION("""COMPUTED_VALUE"""),2)</f>
        <v>2</v>
      </c>
      <c r="C9268" s="7">
        <f ca="1">IFERROR(__xludf.DUMMYFUNCTION("""COMPUTED_VALUE"""),2)</f>
        <v>2</v>
      </c>
      <c r="D9268" s="8">
        <f ca="1">IFERROR(__xludf.DUMMYFUNCTION("""COMPUTED_VALUE"""),2)</f>
        <v>2</v>
      </c>
      <c r="E9268" s="2">
        <f ca="1">IFERROR(__xludf.DUMMYFUNCTION("""COMPUTED_VALUE"""),1)</f>
        <v>1</v>
      </c>
    </row>
    <row r="9269" spans="1:5" ht="13">
      <c r="A9269" s="2" t="str">
        <f ca="1">IFERROR(__xludf.DUMMYFUNCTION("""COMPUTED_VALUE"""),"Davis, Katherine")</f>
        <v>Davis, Katherine</v>
      </c>
      <c r="B9269" s="2">
        <f ca="1">IFERROR(__xludf.DUMMYFUNCTION("""COMPUTED_VALUE"""),2)</f>
        <v>2</v>
      </c>
      <c r="C9269" s="7">
        <f ca="1">IFERROR(__xludf.DUMMYFUNCTION("""COMPUTED_VALUE"""),2)</f>
        <v>2</v>
      </c>
      <c r="D9269" s="8">
        <f ca="1">IFERROR(__xludf.DUMMYFUNCTION("""COMPUTED_VALUE"""),6)</f>
        <v>6</v>
      </c>
      <c r="E9269" s="2">
        <f ca="1">IFERROR(__xludf.DUMMYFUNCTION("""COMPUTED_VALUE"""),2)</f>
        <v>2</v>
      </c>
    </row>
    <row r="9270" spans="1:5" ht="13">
      <c r="A9270" s="8" t="str">
        <f ca="1">IFERROR(__xludf.DUMMYFUNCTION("""COMPUTED_VALUE"""),"Davis, Olivia")</f>
        <v>Davis, Olivia</v>
      </c>
      <c r="B9270" s="3">
        <f ca="1">IFERROR(__xludf.DUMMYFUNCTION("""COMPUTED_VALUE"""),2)</f>
        <v>2</v>
      </c>
      <c r="C9270" s="7">
        <f ca="1">IFERROR(__xludf.DUMMYFUNCTION("""COMPUTED_VALUE"""),2)</f>
        <v>2</v>
      </c>
      <c r="D9270" s="8">
        <f ca="1">IFERROR(__xludf.DUMMYFUNCTION("""COMPUTED_VALUE"""),2)</f>
        <v>2</v>
      </c>
      <c r="E9270" s="2">
        <f ca="1">IFERROR(__xludf.DUMMYFUNCTION("""COMPUTED_VALUE"""),1)</f>
        <v>1</v>
      </c>
    </row>
    <row r="9271" spans="1:5" ht="13">
      <c r="A9271" s="8" t="str">
        <f ca="1">IFERROR(__xludf.DUMMYFUNCTION("""COMPUTED_VALUE"""),"Davisson, Ananias")</f>
        <v>Davisson, Ananias</v>
      </c>
      <c r="B9271" s="3">
        <f ca="1">IFERROR(__xludf.DUMMYFUNCTION("""COMPUTED_VALUE"""),2)</f>
        <v>2</v>
      </c>
      <c r="C9271" s="7">
        <f ca="1">IFERROR(__xludf.DUMMYFUNCTION("""COMPUTED_VALUE"""),2)</f>
        <v>2</v>
      </c>
      <c r="D9271" s="8">
        <f ca="1">IFERROR(__xludf.DUMMYFUNCTION("""COMPUTED_VALUE"""),6)</f>
        <v>6</v>
      </c>
      <c r="E9271" s="2">
        <f ca="1">IFERROR(__xludf.DUMMYFUNCTION("""COMPUTED_VALUE"""),2)</f>
        <v>2</v>
      </c>
    </row>
    <row r="9272" spans="1:5" ht="13">
      <c r="A9272" s="2" t="str">
        <f ca="1">IFERROR(__xludf.DUMMYFUNCTION("""COMPUTED_VALUE"""),"Day, Janet Klevberg")</f>
        <v>Day, Janet Klevberg</v>
      </c>
      <c r="B9272" s="3">
        <f ca="1">IFERROR(__xludf.DUMMYFUNCTION("""COMPUTED_VALUE"""),2)</f>
        <v>2</v>
      </c>
      <c r="C9272" s="7">
        <f ca="1">IFERROR(__xludf.DUMMYFUNCTION("""COMPUTED_VALUE"""),2)</f>
        <v>2</v>
      </c>
      <c r="D9272" s="8">
        <f ca="1">IFERROR(__xludf.DUMMYFUNCTION("""COMPUTED_VALUE"""),2)</f>
        <v>2</v>
      </c>
      <c r="E9272" s="2">
        <f ca="1">IFERROR(__xludf.DUMMYFUNCTION("""COMPUTED_VALUE"""),1)</f>
        <v>1</v>
      </c>
    </row>
    <row r="9273" spans="1:5" ht="13">
      <c r="A9273" s="8" t="str">
        <f ca="1">IFERROR(__xludf.DUMMYFUNCTION("""COMPUTED_VALUE"""),"Day, Susan")</f>
        <v>Day, Susan</v>
      </c>
      <c r="B9273" s="3">
        <f ca="1">IFERROR(__xludf.DUMMYFUNCTION("""COMPUTED_VALUE"""),2)</f>
        <v>2</v>
      </c>
      <c r="C9273" s="7">
        <f ca="1">IFERROR(__xludf.DUMMYFUNCTION("""COMPUTED_VALUE"""),2)</f>
        <v>2</v>
      </c>
      <c r="D9273" s="8">
        <f ca="1">IFERROR(__xludf.DUMMYFUNCTION("""COMPUTED_VALUE"""),2)</f>
        <v>2</v>
      </c>
      <c r="E9273" s="2">
        <f ca="1">IFERROR(__xludf.DUMMYFUNCTION("""COMPUTED_VALUE"""),1)</f>
        <v>1</v>
      </c>
    </row>
    <row r="9274" spans="1:5" ht="13">
      <c r="A9274" s="2" t="str">
        <f ca="1">IFERROR(__xludf.DUMMYFUNCTION("""COMPUTED_VALUE"""),"Day, Susan H.")</f>
        <v>Day, Susan H.</v>
      </c>
      <c r="B9274" s="2">
        <f ca="1">IFERROR(__xludf.DUMMYFUNCTION("""COMPUTED_VALUE"""),2)</f>
        <v>2</v>
      </c>
      <c r="C9274" s="7">
        <f ca="1">IFERROR(__xludf.DUMMYFUNCTION("""COMPUTED_VALUE"""),2)</f>
        <v>2</v>
      </c>
      <c r="D9274" s="8">
        <f ca="1">IFERROR(__xludf.DUMMYFUNCTION("""COMPUTED_VALUE"""),2)</f>
        <v>2</v>
      </c>
      <c r="E9274" s="2">
        <f ca="1">IFERROR(__xludf.DUMMYFUNCTION("""COMPUTED_VALUE"""),1)</f>
        <v>1</v>
      </c>
    </row>
    <row r="9275" spans="1:5" ht="13">
      <c r="A9275" s="2" t="str">
        <f ca="1">IFERROR(__xludf.DUMMYFUNCTION("""COMPUTED_VALUE"""),"De Lachau, Ada")</f>
        <v>De Lachau, Ada</v>
      </c>
      <c r="B9275" s="3">
        <f ca="1">IFERROR(__xludf.DUMMYFUNCTION("""COMPUTED_VALUE"""),2)</f>
        <v>2</v>
      </c>
      <c r="C9275" s="7">
        <f ca="1">IFERROR(__xludf.DUMMYFUNCTION("""COMPUTED_VALUE"""),2)</f>
        <v>2</v>
      </c>
      <c r="D9275" s="8">
        <f ca="1">IFERROR(__xludf.DUMMYFUNCTION("""COMPUTED_VALUE"""),6)</f>
        <v>6</v>
      </c>
      <c r="E9275" s="2">
        <f ca="1">IFERROR(__xludf.DUMMYFUNCTION("""COMPUTED_VALUE"""),2)</f>
        <v>2</v>
      </c>
    </row>
    <row r="9276" spans="1:5" ht="13">
      <c r="A9276" s="2" t="str">
        <f ca="1">IFERROR(__xludf.DUMMYFUNCTION("""COMPUTED_VALUE"""),"DeCesare, Ruth")</f>
        <v>DeCesare, Ruth</v>
      </c>
      <c r="B9276" s="3">
        <f ca="1">IFERROR(__xludf.DUMMYFUNCTION("""COMPUTED_VALUE"""),2)</f>
        <v>2</v>
      </c>
      <c r="C9276" s="7">
        <f ca="1">IFERROR(__xludf.DUMMYFUNCTION("""COMPUTED_VALUE"""),2)</f>
        <v>2</v>
      </c>
      <c r="D9276" s="8">
        <f ca="1">IFERROR(__xludf.DUMMYFUNCTION("""COMPUTED_VALUE"""),2)</f>
        <v>2</v>
      </c>
      <c r="E9276" s="2">
        <f ca="1">IFERROR(__xludf.DUMMYFUNCTION("""COMPUTED_VALUE"""),1)</f>
        <v>1</v>
      </c>
    </row>
    <row r="9277" spans="1:5" ht="13">
      <c r="A9277" s="8" t="str">
        <f ca="1">IFERROR(__xludf.DUMMYFUNCTION("""COMPUTED_VALUE"""),"Decruck, Fernande")</f>
        <v>Decruck, Fernande</v>
      </c>
      <c r="B9277" s="3">
        <f ca="1">IFERROR(__xludf.DUMMYFUNCTION("""COMPUTED_VALUE"""),2)</f>
        <v>2</v>
      </c>
      <c r="C9277" s="7">
        <f ca="1">IFERROR(__xludf.DUMMYFUNCTION("""COMPUTED_VALUE"""),2)</f>
        <v>2</v>
      </c>
      <c r="D9277" s="8">
        <f ca="1">IFERROR(__xludf.DUMMYFUNCTION("""COMPUTED_VALUE"""),6)</f>
        <v>6</v>
      </c>
      <c r="E9277" s="2">
        <f ca="1">IFERROR(__xludf.DUMMYFUNCTION("""COMPUTED_VALUE"""),2)</f>
        <v>2</v>
      </c>
    </row>
    <row r="9278" spans="1:5" ht="13">
      <c r="A9278" s="2" t="str">
        <f ca="1">IFERROR(__xludf.DUMMYFUNCTION("""COMPUTED_VALUE"""),"Decruck, Fernande Breilh")</f>
        <v>Decruck, Fernande Breilh</v>
      </c>
      <c r="B9278" s="2">
        <f ca="1">IFERROR(__xludf.DUMMYFUNCTION("""COMPUTED_VALUE"""),2)</f>
        <v>2</v>
      </c>
      <c r="C9278" s="2">
        <f ca="1">IFERROR(__xludf.DUMMYFUNCTION("""COMPUTED_VALUE"""),2)</f>
        <v>2</v>
      </c>
      <c r="D9278" s="8">
        <f ca="1">IFERROR(__xludf.DUMMYFUNCTION("""COMPUTED_VALUE"""),6)</f>
        <v>6</v>
      </c>
      <c r="E9278" s="2">
        <f ca="1">IFERROR(__xludf.DUMMYFUNCTION("""COMPUTED_VALUE"""),2)</f>
        <v>2</v>
      </c>
    </row>
    <row r="9279" spans="1:5" ht="13">
      <c r="A9279" s="2" t="str">
        <f ca="1">IFERROR(__xludf.DUMMYFUNCTION("""COMPUTED_VALUE"""),"Dee, Alexandra")</f>
        <v>Dee, Alexandra</v>
      </c>
      <c r="B9279" s="2">
        <f ca="1">IFERROR(__xludf.DUMMYFUNCTION("""COMPUTED_VALUE"""),2)</f>
        <v>2</v>
      </c>
      <c r="C9279" s="7">
        <f ca="1">IFERROR(__xludf.DUMMYFUNCTION("""COMPUTED_VALUE"""),2)</f>
        <v>2</v>
      </c>
      <c r="D9279" s="8">
        <f ca="1">IFERROR(__xludf.DUMMYFUNCTION("""COMPUTED_VALUE"""),2)</f>
        <v>2</v>
      </c>
      <c r="E9279" s="2">
        <f ca="1">IFERROR(__xludf.DUMMYFUNCTION("""COMPUTED_VALUE"""),1)</f>
        <v>1</v>
      </c>
    </row>
    <row r="9280" spans="1:5" ht="13">
      <c r="A9280" s="2" t="str">
        <f ca="1">IFERROR(__xludf.DUMMYFUNCTION("""COMPUTED_VALUE"""),"Delmonte, Pauline")</f>
        <v>Delmonte, Pauline</v>
      </c>
      <c r="B9280" s="3">
        <f ca="1">IFERROR(__xludf.DUMMYFUNCTION("""COMPUTED_VALUE"""),2)</f>
        <v>2</v>
      </c>
      <c r="C9280" s="7">
        <f ca="1">IFERROR(__xludf.DUMMYFUNCTION("""COMPUTED_VALUE"""),2)</f>
        <v>2</v>
      </c>
      <c r="D9280" s="8">
        <f ca="1">IFERROR(__xludf.DUMMYFUNCTION("""COMPUTED_VALUE"""),6)</f>
        <v>6</v>
      </c>
      <c r="E9280" s="2">
        <f ca="1">IFERROR(__xludf.DUMMYFUNCTION("""COMPUTED_VALUE"""),2)</f>
        <v>2</v>
      </c>
    </row>
    <row r="9281" spans="1:5" ht="13">
      <c r="A9281" s="2" t="str">
        <f ca="1">IFERROR(__xludf.DUMMYFUNCTION("""COMPUTED_VALUE"""),"DeMaris, Mary Kay")</f>
        <v>DeMaris, Mary Kay</v>
      </c>
      <c r="B9281" s="3">
        <f ca="1">IFERROR(__xludf.DUMMYFUNCTION("""COMPUTED_VALUE"""),2)</f>
        <v>2</v>
      </c>
      <c r="C9281" s="7">
        <f ca="1">IFERROR(__xludf.DUMMYFUNCTION("""COMPUTED_VALUE"""),2)</f>
        <v>2</v>
      </c>
      <c r="D9281" s="8">
        <f ca="1">IFERROR(__xludf.DUMMYFUNCTION("""COMPUTED_VALUE"""),2)</f>
        <v>2</v>
      </c>
      <c r="E9281" s="2">
        <f ca="1">IFERROR(__xludf.DUMMYFUNCTION("""COMPUTED_VALUE"""),1)</f>
        <v>1</v>
      </c>
    </row>
    <row r="9282" spans="1:5" ht="13">
      <c r="A9282" s="8" t="str">
        <f ca="1">IFERROR(__xludf.DUMMYFUNCTION("""COMPUTED_VALUE"""),"Denio, Amy")</f>
        <v>Denio, Amy</v>
      </c>
      <c r="B9282" s="3">
        <f ca="1">IFERROR(__xludf.DUMMYFUNCTION("""COMPUTED_VALUE"""),2)</f>
        <v>2</v>
      </c>
      <c r="C9282" s="7">
        <f ca="1">IFERROR(__xludf.DUMMYFUNCTION("""COMPUTED_VALUE"""),2)</f>
        <v>2</v>
      </c>
      <c r="D9282" s="8">
        <f ca="1">IFERROR(__xludf.DUMMYFUNCTION("""COMPUTED_VALUE"""),2)</f>
        <v>2</v>
      </c>
      <c r="E9282" s="2">
        <f ca="1">IFERROR(__xludf.DUMMYFUNCTION("""COMPUTED_VALUE"""),1)</f>
        <v>1</v>
      </c>
    </row>
    <row r="9283" spans="1:5" ht="13">
      <c r="A9283" s="2" t="str">
        <f ca="1">IFERROR(__xludf.DUMMYFUNCTION("""COMPUTED_VALUE"""),"Denney, Mary M.")</f>
        <v>Denney, Mary M.</v>
      </c>
      <c r="B9283" s="3">
        <f ca="1">IFERROR(__xludf.DUMMYFUNCTION("""COMPUTED_VALUE"""),2)</f>
        <v>2</v>
      </c>
      <c r="C9283" s="7">
        <f ca="1">IFERROR(__xludf.DUMMYFUNCTION("""COMPUTED_VALUE"""),2)</f>
        <v>2</v>
      </c>
      <c r="D9283" s="8">
        <f ca="1">IFERROR(__xludf.DUMMYFUNCTION("""COMPUTED_VALUE"""),2)</f>
        <v>2</v>
      </c>
      <c r="E9283" s="2">
        <f ca="1">IFERROR(__xludf.DUMMYFUNCTION("""COMPUTED_VALUE"""),1)</f>
        <v>1</v>
      </c>
    </row>
    <row r="9284" spans="1:5" ht="13">
      <c r="A9284" s="2" t="str">
        <f ca="1">IFERROR(__xludf.DUMMYFUNCTION("""COMPUTED_VALUE"""),"Denney, Morgan")</f>
        <v>Denney, Morgan</v>
      </c>
      <c r="B9284" s="2">
        <f ca="1">IFERROR(__xludf.DUMMYFUNCTION("""COMPUTED_VALUE"""),2)</f>
        <v>2</v>
      </c>
      <c r="C9284" s="7">
        <f ca="1">IFERROR(__xludf.DUMMYFUNCTION("""COMPUTED_VALUE"""),2)</f>
        <v>2</v>
      </c>
      <c r="D9284" s="8">
        <f ca="1">IFERROR(__xludf.DUMMYFUNCTION("""COMPUTED_VALUE"""),2)</f>
        <v>2</v>
      </c>
      <c r="E9284" s="2">
        <f ca="1">IFERROR(__xludf.DUMMYFUNCTION("""COMPUTED_VALUE"""),1)</f>
        <v>1</v>
      </c>
    </row>
    <row r="9285" spans="1:5" ht="13">
      <c r="A9285" s="2" t="str">
        <f ca="1">IFERROR(__xludf.DUMMYFUNCTION("""COMPUTED_VALUE"""),"Dennis, Karissa")</f>
        <v>Dennis, Karissa</v>
      </c>
      <c r="B9285" s="3">
        <f ca="1">IFERROR(__xludf.DUMMYFUNCTION("""COMPUTED_VALUE"""),2)</f>
        <v>2</v>
      </c>
      <c r="C9285" s="7">
        <f ca="1">IFERROR(__xludf.DUMMYFUNCTION("""COMPUTED_VALUE"""),2)</f>
        <v>2</v>
      </c>
      <c r="D9285" s="8">
        <f ca="1">IFERROR(__xludf.DUMMYFUNCTION("""COMPUTED_VALUE"""),2)</f>
        <v>2</v>
      </c>
      <c r="E9285" s="2">
        <f ca="1">IFERROR(__xludf.DUMMYFUNCTION("""COMPUTED_VALUE"""),1)</f>
        <v>1</v>
      </c>
    </row>
    <row r="9286" spans="1:5" ht="13">
      <c r="A9286" s="8" t="str">
        <f ca="1">IFERROR(__xludf.DUMMYFUNCTION("""COMPUTED_VALUE"""),"DeRousse, Cathy")</f>
        <v>DeRousse, Cathy</v>
      </c>
      <c r="B9286" s="3">
        <f ca="1">IFERROR(__xludf.DUMMYFUNCTION("""COMPUTED_VALUE"""),2)</f>
        <v>2</v>
      </c>
      <c r="C9286" s="7">
        <f ca="1">IFERROR(__xludf.DUMMYFUNCTION("""COMPUTED_VALUE"""),2)</f>
        <v>2</v>
      </c>
      <c r="D9286" s="8">
        <f ca="1">IFERROR(__xludf.DUMMYFUNCTION("""COMPUTED_VALUE"""),2)</f>
        <v>2</v>
      </c>
      <c r="E9286" s="2">
        <f ca="1">IFERROR(__xludf.DUMMYFUNCTION("""COMPUTED_VALUE"""),1)</f>
        <v>1</v>
      </c>
    </row>
    <row r="9287" spans="1:5" ht="13">
      <c r="A9287" s="8" t="str">
        <f ca="1">IFERROR(__xludf.DUMMYFUNCTION("""COMPUTED_VALUE"""),"Despain, Lisa")</f>
        <v>Despain, Lisa</v>
      </c>
      <c r="B9287" s="3">
        <f ca="1">IFERROR(__xludf.DUMMYFUNCTION("""COMPUTED_VALUE"""),2)</f>
        <v>2</v>
      </c>
      <c r="C9287" s="7">
        <f ca="1">IFERROR(__xludf.DUMMYFUNCTION("""COMPUTED_VALUE"""),2)</f>
        <v>2</v>
      </c>
      <c r="D9287" s="8">
        <f ca="1">IFERROR(__xludf.DUMMYFUNCTION("""COMPUTED_VALUE"""),2)</f>
        <v>2</v>
      </c>
      <c r="E9287" s="2">
        <f ca="1">IFERROR(__xludf.DUMMYFUNCTION("""COMPUTED_VALUE"""),1)</f>
        <v>1</v>
      </c>
    </row>
    <row r="9288" spans="1:5" ht="13">
      <c r="A9288" s="8" t="str">
        <f ca="1">IFERROR(__xludf.DUMMYFUNCTION("""COMPUTED_VALUE"""),"Desportes, Yvonne")</f>
        <v>Desportes, Yvonne</v>
      </c>
      <c r="B9288" s="3">
        <f ca="1">IFERROR(__xludf.DUMMYFUNCTION("""COMPUTED_VALUE"""),2)</f>
        <v>2</v>
      </c>
      <c r="C9288" s="7">
        <f ca="1">IFERROR(__xludf.DUMMYFUNCTION("""COMPUTED_VALUE"""),2)</f>
        <v>2</v>
      </c>
      <c r="D9288" s="8">
        <f ca="1">IFERROR(__xludf.DUMMYFUNCTION("""COMPUTED_VALUE"""),6)</f>
        <v>6</v>
      </c>
      <c r="E9288" s="2">
        <f ca="1">IFERROR(__xludf.DUMMYFUNCTION("""COMPUTED_VALUE"""),2)</f>
        <v>2</v>
      </c>
    </row>
    <row r="9289" spans="1:5" ht="13">
      <c r="A9289" s="2" t="str">
        <f ca="1">IFERROR(__xludf.DUMMYFUNCTION("""COMPUTED_VALUE"""),"Deussen, Nancy Bloomer")</f>
        <v>Deussen, Nancy Bloomer</v>
      </c>
      <c r="B9289" s="3">
        <f ca="1">IFERROR(__xludf.DUMMYFUNCTION("""COMPUTED_VALUE"""),2)</f>
        <v>2</v>
      </c>
      <c r="C9289" s="7">
        <f ca="1">IFERROR(__xludf.DUMMYFUNCTION("""COMPUTED_VALUE"""),2)</f>
        <v>2</v>
      </c>
      <c r="D9289" s="8">
        <f ca="1">IFERROR(__xludf.DUMMYFUNCTION("""COMPUTED_VALUE"""),6)</f>
        <v>6</v>
      </c>
      <c r="E9289" s="2">
        <f ca="1">IFERROR(__xludf.DUMMYFUNCTION("""COMPUTED_VALUE"""),2)</f>
        <v>2</v>
      </c>
    </row>
    <row r="9290" spans="1:5" ht="13">
      <c r="A9290" s="2" t="str">
        <f ca="1">IFERROR(__xludf.DUMMYFUNCTION("""COMPUTED_VALUE"""),"Deutscher, Alma")</f>
        <v>Deutscher, Alma</v>
      </c>
      <c r="B9290" s="3">
        <f ca="1">IFERROR(__xludf.DUMMYFUNCTION("""COMPUTED_VALUE"""),2)</f>
        <v>2</v>
      </c>
      <c r="C9290" s="7">
        <f ca="1">IFERROR(__xludf.DUMMYFUNCTION("""COMPUTED_VALUE"""),2)</f>
        <v>2</v>
      </c>
      <c r="D9290" s="8">
        <f ca="1">IFERROR(__xludf.DUMMYFUNCTION("""COMPUTED_VALUE"""),2)</f>
        <v>2</v>
      </c>
      <c r="E9290" s="2">
        <f ca="1">IFERROR(__xludf.DUMMYFUNCTION("""COMPUTED_VALUE"""),1)</f>
        <v>1</v>
      </c>
    </row>
    <row r="9291" spans="1:5" ht="13">
      <c r="A9291" s="2" t="str">
        <f ca="1">IFERROR(__xludf.DUMMYFUNCTION("""COMPUTED_VALUE"""),"Devaux, Keiko")</f>
        <v>Devaux, Keiko</v>
      </c>
      <c r="B9291" s="3">
        <f ca="1">IFERROR(__xludf.DUMMYFUNCTION("""COMPUTED_VALUE"""),2)</f>
        <v>2</v>
      </c>
      <c r="C9291" s="7">
        <f ca="1">IFERROR(__xludf.DUMMYFUNCTION("""COMPUTED_VALUE"""),2)</f>
        <v>2</v>
      </c>
      <c r="D9291" s="8">
        <f ca="1">IFERROR(__xludf.DUMMYFUNCTION("""COMPUTED_VALUE"""),2)</f>
        <v>2</v>
      </c>
      <c r="E9291" s="2">
        <f ca="1">IFERROR(__xludf.DUMMYFUNCTION("""COMPUTED_VALUE"""),1)</f>
        <v>1</v>
      </c>
    </row>
    <row r="9292" spans="1:5" ht="13">
      <c r="A9292" s="2" t="str">
        <f ca="1">IFERROR(__xludf.DUMMYFUNCTION("""COMPUTED_VALUE"""),"DeWitt, Patti")</f>
        <v>DeWitt, Patti</v>
      </c>
      <c r="B9292" s="3">
        <f ca="1">IFERROR(__xludf.DUMMYFUNCTION("""COMPUTED_VALUE"""),2)</f>
        <v>2</v>
      </c>
      <c r="C9292" s="7">
        <f ca="1">IFERROR(__xludf.DUMMYFUNCTION("""COMPUTED_VALUE"""),2)</f>
        <v>2</v>
      </c>
      <c r="D9292" s="8">
        <f ca="1">IFERROR(__xludf.DUMMYFUNCTION("""COMPUTED_VALUE"""),2)</f>
        <v>2</v>
      </c>
      <c r="E9292" s="2">
        <f ca="1">IFERROR(__xludf.DUMMYFUNCTION("""COMPUTED_VALUE"""),1)</f>
        <v>1</v>
      </c>
    </row>
    <row r="9293" spans="1:5" ht="13">
      <c r="A9293" s="2" t="str">
        <f ca="1">IFERROR(__xludf.DUMMYFUNCTION("""COMPUTED_VALUE"""),"Dhubhghaill, Caitríona Ní")</f>
        <v>Dhubhghaill, Caitríona Ní</v>
      </c>
      <c r="B9293" s="3">
        <f ca="1">IFERROR(__xludf.DUMMYFUNCTION("""COMPUTED_VALUE"""),2)</f>
        <v>2</v>
      </c>
      <c r="C9293" s="7">
        <f ca="1">IFERROR(__xludf.DUMMYFUNCTION("""COMPUTED_VALUE"""),2)</f>
        <v>2</v>
      </c>
      <c r="D9293" s="8">
        <f ca="1">IFERROR(__xludf.DUMMYFUNCTION("""COMPUTED_VALUE"""),2)</f>
        <v>2</v>
      </c>
      <c r="E9293" s="2">
        <f ca="1">IFERROR(__xludf.DUMMYFUNCTION("""COMPUTED_VALUE"""),1)</f>
        <v>1</v>
      </c>
    </row>
    <row r="9294" spans="1:5" ht="13">
      <c r="A9294" s="8" t="str">
        <f ca="1">IFERROR(__xludf.DUMMYFUNCTION("""COMPUTED_VALUE"""),"Di Castri, Zosha")</f>
        <v>Di Castri, Zosha</v>
      </c>
      <c r="B9294" s="3">
        <f ca="1">IFERROR(__xludf.DUMMYFUNCTION("""COMPUTED_VALUE"""),2)</f>
        <v>2</v>
      </c>
      <c r="C9294" s="7">
        <f ca="1">IFERROR(__xludf.DUMMYFUNCTION("""COMPUTED_VALUE"""),2)</f>
        <v>2</v>
      </c>
      <c r="D9294" s="8">
        <f ca="1">IFERROR(__xludf.DUMMYFUNCTION("""COMPUTED_VALUE"""),2)</f>
        <v>2</v>
      </c>
      <c r="E9294" s="2">
        <f ca="1">IFERROR(__xludf.DUMMYFUNCTION("""COMPUTED_VALUE"""),1)</f>
        <v>1</v>
      </c>
    </row>
    <row r="9295" spans="1:5" ht="13">
      <c r="A9295" s="2" t="str">
        <f ca="1">IFERROR(__xludf.DUMMYFUNCTION("""COMPUTED_VALUE"""),"Diamond, Lynnell")</f>
        <v>Diamond, Lynnell</v>
      </c>
      <c r="B9295" s="3">
        <f ca="1">IFERROR(__xludf.DUMMYFUNCTION("""COMPUTED_VALUE"""),2)</f>
        <v>2</v>
      </c>
      <c r="C9295" s="7">
        <f ca="1">IFERROR(__xludf.DUMMYFUNCTION("""COMPUTED_VALUE"""),2)</f>
        <v>2</v>
      </c>
      <c r="D9295" s="8">
        <f ca="1">IFERROR(__xludf.DUMMYFUNCTION("""COMPUTED_VALUE"""),2)</f>
        <v>2</v>
      </c>
      <c r="E9295" s="2">
        <f ca="1">IFERROR(__xludf.DUMMYFUNCTION("""COMPUTED_VALUE"""),1)</f>
        <v>1</v>
      </c>
    </row>
    <row r="9296" spans="1:5" ht="13">
      <c r="A9296" s="8" t="str">
        <f ca="1">IFERROR(__xludf.DUMMYFUNCTION("""COMPUTED_VALUE"""),"Diehnelt, Kim")</f>
        <v>Diehnelt, Kim</v>
      </c>
      <c r="B9296" s="3">
        <f ca="1">IFERROR(__xludf.DUMMYFUNCTION("""COMPUTED_VALUE"""),2)</f>
        <v>2</v>
      </c>
      <c r="C9296" s="7">
        <f ca="1">IFERROR(__xludf.DUMMYFUNCTION("""COMPUTED_VALUE"""),2)</f>
        <v>2</v>
      </c>
      <c r="D9296" s="8">
        <f ca="1">IFERROR(__xludf.DUMMYFUNCTION("""COMPUTED_VALUE"""),2)</f>
        <v>2</v>
      </c>
      <c r="E9296" s="2">
        <f ca="1">IFERROR(__xludf.DUMMYFUNCTION("""COMPUTED_VALUE"""),1)</f>
        <v>1</v>
      </c>
    </row>
    <row r="9297" spans="1:5" ht="13">
      <c r="A9297" s="8" t="str">
        <f ca="1">IFERROR(__xludf.DUMMYFUNCTION("""COMPUTED_VALUE"""),"Diemer, Emma Lou")</f>
        <v>Diemer, Emma Lou</v>
      </c>
      <c r="B9297" s="3">
        <f ca="1">IFERROR(__xludf.DUMMYFUNCTION("""COMPUTED_VALUE"""),2)</f>
        <v>2</v>
      </c>
      <c r="C9297" s="7">
        <f ca="1">IFERROR(__xludf.DUMMYFUNCTION("""COMPUTED_VALUE"""),2)</f>
        <v>2</v>
      </c>
      <c r="D9297" s="8">
        <f ca="1">IFERROR(__xludf.DUMMYFUNCTION("""COMPUTED_VALUE"""),2)</f>
        <v>2</v>
      </c>
      <c r="E9297" s="2">
        <f ca="1">IFERROR(__xludf.DUMMYFUNCTION("""COMPUTED_VALUE"""),1)</f>
        <v>1</v>
      </c>
    </row>
    <row r="9298" spans="1:5" ht="13">
      <c r="A9298" s="8" t="str">
        <f ca="1">IFERROR(__xludf.DUMMYFUNCTION("""COMPUTED_VALUE"""),"Dietterich, Natalie")</f>
        <v>Dietterich, Natalie</v>
      </c>
      <c r="B9298" s="3">
        <f ca="1">IFERROR(__xludf.DUMMYFUNCTION("""COMPUTED_VALUE"""),2)</f>
        <v>2</v>
      </c>
      <c r="C9298" s="7">
        <f ca="1">IFERROR(__xludf.DUMMYFUNCTION("""COMPUTED_VALUE"""),2)</f>
        <v>2</v>
      </c>
      <c r="D9298" s="8">
        <f ca="1">IFERROR(__xludf.DUMMYFUNCTION("""COMPUTED_VALUE"""),2)</f>
        <v>2</v>
      </c>
      <c r="E9298" s="2">
        <f ca="1">IFERROR(__xludf.DUMMYFUNCTION("""COMPUTED_VALUE"""),1)</f>
        <v>1</v>
      </c>
    </row>
    <row r="9299" spans="1:5" ht="13">
      <c r="A9299" s="2" t="str">
        <f ca="1">IFERROR(__xludf.DUMMYFUNCTION("""COMPUTED_VALUE"""),"Dillon-Krass, Jacqueline")</f>
        <v>Dillon-Krass, Jacqueline</v>
      </c>
      <c r="B9299" s="3">
        <f ca="1">IFERROR(__xludf.DUMMYFUNCTION("""COMPUTED_VALUE"""),2)</f>
        <v>2</v>
      </c>
      <c r="C9299" s="7">
        <f ca="1">IFERROR(__xludf.DUMMYFUNCTION("""COMPUTED_VALUE"""),2)</f>
        <v>2</v>
      </c>
      <c r="D9299" s="8">
        <f ca="1">IFERROR(__xludf.DUMMYFUNCTION("""COMPUTED_VALUE"""),6)</f>
        <v>6</v>
      </c>
      <c r="E9299" s="2">
        <f ca="1">IFERROR(__xludf.DUMMYFUNCTION("""COMPUTED_VALUE"""),2)</f>
        <v>2</v>
      </c>
    </row>
    <row r="9300" spans="1:5" ht="13">
      <c r="A9300" s="8" t="str">
        <f ca="1">IFERROR(__xludf.DUMMYFUNCTION("""COMPUTED_VALUE"""),"Dimari, Jessica")</f>
        <v>Dimari, Jessica</v>
      </c>
      <c r="B9300" s="3">
        <f ca="1">IFERROR(__xludf.DUMMYFUNCTION("""COMPUTED_VALUE"""),2)</f>
        <v>2</v>
      </c>
      <c r="C9300" s="7">
        <f ca="1">IFERROR(__xludf.DUMMYFUNCTION("""COMPUTED_VALUE"""),2)</f>
        <v>2</v>
      </c>
      <c r="D9300" s="8">
        <f ca="1">IFERROR(__xludf.DUMMYFUNCTION("""COMPUTED_VALUE"""),2)</f>
        <v>2</v>
      </c>
      <c r="E9300" s="2">
        <f ca="1">IFERROR(__xludf.DUMMYFUNCTION("""COMPUTED_VALUE"""),1)</f>
        <v>1</v>
      </c>
    </row>
    <row r="9301" spans="1:5" ht="13">
      <c r="A9301" s="2" t="str">
        <f ca="1">IFERROR(__xludf.DUMMYFUNCTION("""COMPUTED_VALUE"""),"Disano, Luci")</f>
        <v>Disano, Luci</v>
      </c>
      <c r="B9301" s="3">
        <f ca="1">IFERROR(__xludf.DUMMYFUNCTION("""COMPUTED_VALUE"""),2)</f>
        <v>2</v>
      </c>
      <c r="C9301" s="7">
        <f ca="1">IFERROR(__xludf.DUMMYFUNCTION("""COMPUTED_VALUE"""),2)</f>
        <v>2</v>
      </c>
      <c r="D9301" s="8">
        <f ca="1">IFERROR(__xludf.DUMMYFUNCTION("""COMPUTED_VALUE"""),2)</f>
        <v>2</v>
      </c>
      <c r="E9301" s="2">
        <f ca="1">IFERROR(__xludf.DUMMYFUNCTION("""COMPUTED_VALUE"""),1)</f>
        <v>1</v>
      </c>
    </row>
    <row r="9302" spans="1:5" ht="13">
      <c r="A9302" s="2" t="str">
        <f ca="1">IFERROR(__xludf.DUMMYFUNCTION("""COMPUTED_VALUE"""),"Disano, Lucia")</f>
        <v>Disano, Lucia</v>
      </c>
      <c r="B9302" s="3">
        <f ca="1">IFERROR(__xludf.DUMMYFUNCTION("""COMPUTED_VALUE"""),2)</f>
        <v>2</v>
      </c>
      <c r="C9302" s="7">
        <f ca="1">IFERROR(__xludf.DUMMYFUNCTION("""COMPUTED_VALUE"""),2)</f>
        <v>2</v>
      </c>
      <c r="D9302" s="8">
        <f ca="1">IFERROR(__xludf.DUMMYFUNCTION("""COMPUTED_VALUE"""),2)</f>
        <v>2</v>
      </c>
      <c r="E9302" s="2">
        <f ca="1">IFERROR(__xludf.DUMMYFUNCTION("""COMPUTED_VALUE"""),1)</f>
        <v>1</v>
      </c>
    </row>
    <row r="9303" spans="1:5" ht="13">
      <c r="A9303" s="8" t="str">
        <f ca="1">IFERROR(__xludf.DUMMYFUNCTION("""COMPUTED_VALUE"""),"Doderer, Johanna")</f>
        <v>Doderer, Johanna</v>
      </c>
      <c r="B9303" s="3">
        <f ca="1">IFERROR(__xludf.DUMMYFUNCTION("""COMPUTED_VALUE"""),2)</f>
        <v>2</v>
      </c>
      <c r="C9303" s="7">
        <f ca="1">IFERROR(__xludf.DUMMYFUNCTION("""COMPUTED_VALUE"""),2)</f>
        <v>2</v>
      </c>
      <c r="D9303" s="8">
        <f ca="1">IFERROR(__xludf.DUMMYFUNCTION("""COMPUTED_VALUE"""),2)</f>
        <v>2</v>
      </c>
      <c r="E9303" s="2">
        <f ca="1">IFERROR(__xludf.DUMMYFUNCTION("""COMPUTED_VALUE"""),1)</f>
        <v>1</v>
      </c>
    </row>
    <row r="9304" spans="1:5" ht="13">
      <c r="A9304" s="2" t="str">
        <f ca="1">IFERROR(__xludf.DUMMYFUNCTION("""COMPUTED_VALUE"""),"Doebele, Alexa")</f>
        <v>Doebele, Alexa</v>
      </c>
      <c r="B9304" s="3">
        <f ca="1">IFERROR(__xludf.DUMMYFUNCTION("""COMPUTED_VALUE"""),2)</f>
        <v>2</v>
      </c>
      <c r="C9304" s="7">
        <f ca="1">IFERROR(__xludf.DUMMYFUNCTION("""COMPUTED_VALUE"""),2)</f>
        <v>2</v>
      </c>
      <c r="D9304" s="8">
        <f ca="1">IFERROR(__xludf.DUMMYFUNCTION("""COMPUTED_VALUE"""),2)</f>
        <v>2</v>
      </c>
      <c r="E9304" s="2">
        <f ca="1">IFERROR(__xludf.DUMMYFUNCTION("""COMPUTED_VALUE"""),1)</f>
        <v>1</v>
      </c>
    </row>
    <row r="9305" spans="1:5" ht="13">
      <c r="A9305" s="8" t="str">
        <f ca="1">IFERROR(__xludf.DUMMYFUNCTION("""COMPUTED_VALUE"""),"Dolanc, Christina Brice")</f>
        <v>Dolanc, Christina Brice</v>
      </c>
      <c r="B9305" s="3">
        <f ca="1">IFERROR(__xludf.DUMMYFUNCTION("""COMPUTED_VALUE"""),2)</f>
        <v>2</v>
      </c>
      <c r="C9305" s="7">
        <f ca="1">IFERROR(__xludf.DUMMYFUNCTION("""COMPUTED_VALUE"""),2)</f>
        <v>2</v>
      </c>
      <c r="D9305" s="8">
        <f ca="1">IFERROR(__xludf.DUMMYFUNCTION("""COMPUTED_VALUE"""),2)</f>
        <v>2</v>
      </c>
      <c r="E9305" s="2">
        <f ca="1">IFERROR(__xludf.DUMMYFUNCTION("""COMPUTED_VALUE"""),1)</f>
        <v>1</v>
      </c>
    </row>
    <row r="9306" spans="1:5" ht="13">
      <c r="A9306" s="2" t="str">
        <f ca="1">IFERROR(__xludf.DUMMYFUNCTION("""COMPUTED_VALUE"""),"Dolloff, Lori-Anne")</f>
        <v>Dolloff, Lori-Anne</v>
      </c>
      <c r="B9306" s="3">
        <f ca="1">IFERROR(__xludf.DUMMYFUNCTION("""COMPUTED_VALUE"""),2)</f>
        <v>2</v>
      </c>
      <c r="C9306" s="7">
        <f ca="1">IFERROR(__xludf.DUMMYFUNCTION("""COMPUTED_VALUE"""),2)</f>
        <v>2</v>
      </c>
      <c r="D9306" s="8">
        <f ca="1">IFERROR(__xludf.DUMMYFUNCTION("""COMPUTED_VALUE"""),2)</f>
        <v>2</v>
      </c>
      <c r="E9306" s="2">
        <f ca="1">IFERROR(__xludf.DUMMYFUNCTION("""COMPUTED_VALUE"""),1)</f>
        <v>1</v>
      </c>
    </row>
    <row r="9307" spans="1:5" ht="13">
      <c r="A9307" s="2" t="str">
        <f ca="1">IFERROR(__xludf.DUMMYFUNCTION("""COMPUTED_VALUE"""),"Donahoe, Erica")</f>
        <v>Donahoe, Erica</v>
      </c>
      <c r="B9307" s="2">
        <f ca="1">IFERROR(__xludf.DUMMYFUNCTION("""COMPUTED_VALUE"""),2)</f>
        <v>2</v>
      </c>
      <c r="C9307" s="7">
        <f ca="1">IFERROR(__xludf.DUMMYFUNCTION("""COMPUTED_VALUE"""),2)</f>
        <v>2</v>
      </c>
      <c r="D9307" s="8">
        <f ca="1">IFERROR(__xludf.DUMMYFUNCTION("""COMPUTED_VALUE"""),2)</f>
        <v>2</v>
      </c>
      <c r="E9307" s="2">
        <f ca="1">IFERROR(__xludf.DUMMYFUNCTION("""COMPUTED_VALUE"""),1)</f>
        <v>1</v>
      </c>
    </row>
    <row r="9308" spans="1:5" ht="13">
      <c r="A9308" s="2" t="str">
        <f ca="1">IFERROR(__xludf.DUMMYFUNCTION("""COMPUTED_VALUE"""),"Donahue, Melanie")</f>
        <v>Donahue, Melanie</v>
      </c>
      <c r="B9308" s="2">
        <f ca="1">IFERROR(__xludf.DUMMYFUNCTION("""COMPUTED_VALUE"""),2)</f>
        <v>2</v>
      </c>
      <c r="C9308" s="7">
        <f ca="1">IFERROR(__xludf.DUMMYFUNCTION("""COMPUTED_VALUE"""),2)</f>
        <v>2</v>
      </c>
      <c r="D9308" s="8">
        <f ca="1">IFERROR(__xludf.DUMMYFUNCTION("""COMPUTED_VALUE"""),2)</f>
        <v>2</v>
      </c>
      <c r="E9308" s="2">
        <f ca="1">IFERROR(__xludf.DUMMYFUNCTION("""COMPUTED_VALUE"""),1)</f>
        <v>1</v>
      </c>
    </row>
    <row r="9309" spans="1:5" ht="13">
      <c r="A9309" s="2" t="str">
        <f ca="1">IFERROR(__xludf.DUMMYFUNCTION("""COMPUTED_VALUE"""),"Donahue, Melanie J.")</f>
        <v>Donahue, Melanie J.</v>
      </c>
      <c r="B9309" s="2">
        <f ca="1">IFERROR(__xludf.DUMMYFUNCTION("""COMPUTED_VALUE"""),2)</f>
        <v>2</v>
      </c>
      <c r="C9309" s="7">
        <f ca="1">IFERROR(__xludf.DUMMYFUNCTION("""COMPUTED_VALUE"""),2)</f>
        <v>2</v>
      </c>
      <c r="D9309" s="8">
        <f ca="1">IFERROR(__xludf.DUMMYFUNCTION("""COMPUTED_VALUE"""),2)</f>
        <v>2</v>
      </c>
      <c r="E9309" s="2">
        <f ca="1">IFERROR(__xludf.DUMMYFUNCTION("""COMPUTED_VALUE"""),1)</f>
        <v>1</v>
      </c>
    </row>
    <row r="9310" spans="1:5" ht="13">
      <c r="A9310" s="8" t="str">
        <f ca="1">IFERROR(__xludf.DUMMYFUNCTION("""COMPUTED_VALUE"""),"Donahue, Sheila")</f>
        <v>Donahue, Sheila</v>
      </c>
      <c r="B9310" s="3">
        <f ca="1">IFERROR(__xludf.DUMMYFUNCTION("""COMPUTED_VALUE"""),2)</f>
        <v>2</v>
      </c>
      <c r="C9310" s="7">
        <f ca="1">IFERROR(__xludf.DUMMYFUNCTION("""COMPUTED_VALUE"""),2)</f>
        <v>2</v>
      </c>
      <c r="D9310" s="8">
        <f ca="1">IFERROR(__xludf.DUMMYFUNCTION("""COMPUTED_VALUE"""),2)</f>
        <v>2</v>
      </c>
      <c r="E9310" s="2">
        <f ca="1">IFERROR(__xludf.DUMMYFUNCTION("""COMPUTED_VALUE"""),1)</f>
        <v>1</v>
      </c>
    </row>
    <row r="9311" spans="1:5" ht="13">
      <c r="A9311" s="2" t="str">
        <f ca="1">IFERROR(__xludf.DUMMYFUNCTION("""COMPUTED_VALUE"""),"Donkin, Christine")</f>
        <v>Donkin, Christine</v>
      </c>
      <c r="B9311" s="3">
        <f ca="1">IFERROR(__xludf.DUMMYFUNCTION("""COMPUTED_VALUE"""),2)</f>
        <v>2</v>
      </c>
      <c r="C9311" s="7">
        <f ca="1">IFERROR(__xludf.DUMMYFUNCTION("""COMPUTED_VALUE"""),2)</f>
        <v>2</v>
      </c>
      <c r="D9311" s="8">
        <f ca="1">IFERROR(__xludf.DUMMYFUNCTION("""COMPUTED_VALUE"""),2)</f>
        <v>2</v>
      </c>
      <c r="E9311" s="2">
        <f ca="1">IFERROR(__xludf.DUMMYFUNCTION("""COMPUTED_VALUE"""),1)</f>
        <v>1</v>
      </c>
    </row>
    <row r="9312" spans="1:5" ht="13">
      <c r="A9312" s="2" t="str">
        <f ca="1">IFERROR(__xludf.DUMMYFUNCTION("""COMPUTED_VALUE"""),"Donnelly, Mary")</f>
        <v>Donnelly, Mary</v>
      </c>
      <c r="B9312" s="3">
        <f ca="1">IFERROR(__xludf.DUMMYFUNCTION("""COMPUTED_VALUE"""),2)</f>
        <v>2</v>
      </c>
      <c r="C9312" s="7">
        <f ca="1">IFERROR(__xludf.DUMMYFUNCTION("""COMPUTED_VALUE"""),2)</f>
        <v>2</v>
      </c>
      <c r="D9312" s="8">
        <f ca="1">IFERROR(__xludf.DUMMYFUNCTION("""COMPUTED_VALUE"""),2)</f>
        <v>2</v>
      </c>
      <c r="E9312" s="2">
        <f ca="1">IFERROR(__xludf.DUMMYFUNCTION("""COMPUTED_VALUE"""),1)</f>
        <v>1</v>
      </c>
    </row>
    <row r="9313" spans="1:5" ht="13">
      <c r="A9313" s="8" t="str">
        <f ca="1">IFERROR(__xludf.DUMMYFUNCTION("""COMPUTED_VALUE"""),"Doolittle, Emily")</f>
        <v>Doolittle, Emily</v>
      </c>
      <c r="B9313" s="3">
        <f ca="1">IFERROR(__xludf.DUMMYFUNCTION("""COMPUTED_VALUE"""),2)</f>
        <v>2</v>
      </c>
      <c r="C9313" s="7">
        <f ca="1">IFERROR(__xludf.DUMMYFUNCTION("""COMPUTED_VALUE"""),2)</f>
        <v>2</v>
      </c>
      <c r="D9313" s="8">
        <f ca="1">IFERROR(__xludf.DUMMYFUNCTION("""COMPUTED_VALUE"""),2)</f>
        <v>2</v>
      </c>
      <c r="E9313" s="2">
        <f ca="1">IFERROR(__xludf.DUMMYFUNCTION("""COMPUTED_VALUE"""),1)</f>
        <v>1</v>
      </c>
    </row>
    <row r="9314" spans="1:5" ht="13">
      <c r="A9314" s="8" t="str">
        <f ca="1">IFERROR(__xludf.DUMMYFUNCTION("""COMPUTED_VALUE"""),"Douglass, Jane and Frank, Camilla Mays")</f>
        <v>Douglass, Jane and Frank, Camilla Mays</v>
      </c>
      <c r="B9314" s="3">
        <f ca="1">IFERROR(__xludf.DUMMYFUNCTION("""COMPUTED_VALUE"""),2)</f>
        <v>2</v>
      </c>
      <c r="C9314" s="7">
        <f ca="1">IFERROR(__xludf.DUMMYFUNCTION("""COMPUTED_VALUE"""),2)</f>
        <v>2</v>
      </c>
      <c r="D9314" s="8">
        <f ca="1">IFERROR(__xludf.DUMMYFUNCTION("""COMPUTED_VALUE"""),6)</f>
        <v>6</v>
      </c>
      <c r="E9314" s="2">
        <f ca="1">IFERROR(__xludf.DUMMYFUNCTION("""COMPUTED_VALUE"""),2)</f>
        <v>2</v>
      </c>
    </row>
    <row r="9315" spans="1:5" ht="13">
      <c r="A9315" s="8" t="str">
        <f ca="1">IFERROR(__xludf.DUMMYFUNCTION("""COMPUTED_VALUE"""),"Downs, Jessie")</f>
        <v>Downs, Jessie</v>
      </c>
      <c r="B9315" s="3">
        <f ca="1">IFERROR(__xludf.DUMMYFUNCTION("""COMPUTED_VALUE"""),2)</f>
        <v>2</v>
      </c>
      <c r="C9315" s="7">
        <f ca="1">IFERROR(__xludf.DUMMYFUNCTION("""COMPUTED_VALUE"""),2)</f>
        <v>2</v>
      </c>
      <c r="D9315" s="8">
        <f ca="1">IFERROR(__xludf.DUMMYFUNCTION("""COMPUTED_VALUE"""),2)</f>
        <v>2</v>
      </c>
      <c r="E9315" s="2">
        <f ca="1">IFERROR(__xludf.DUMMYFUNCTION("""COMPUTED_VALUE"""),1)</f>
        <v>1</v>
      </c>
    </row>
    <row r="9316" spans="1:5" ht="13">
      <c r="A9316" s="2" t="str">
        <f ca="1">IFERROR(__xludf.DUMMYFUNCTION("""COMPUTED_VALUE"""),"Draper, Natalie")</f>
        <v>Draper, Natalie</v>
      </c>
      <c r="B9316" s="2">
        <f ca="1">IFERROR(__xludf.DUMMYFUNCTION("""COMPUTED_VALUE"""),2)</f>
        <v>2</v>
      </c>
      <c r="C9316" s="7">
        <f ca="1">IFERROR(__xludf.DUMMYFUNCTION("""COMPUTED_VALUE"""),2)</f>
        <v>2</v>
      </c>
      <c r="D9316" s="8">
        <f ca="1">IFERROR(__xludf.DUMMYFUNCTION("""COMPUTED_VALUE"""),2)</f>
        <v>2</v>
      </c>
      <c r="E9316" s="2">
        <f ca="1">IFERROR(__xludf.DUMMYFUNCTION("""COMPUTED_VALUE"""),1)</f>
        <v>1</v>
      </c>
    </row>
    <row r="9317" spans="1:5" ht="13">
      <c r="A9317" s="2" t="str">
        <f ca="1">IFERROR(__xludf.DUMMYFUNCTION("""COMPUTED_VALUE"""),"Drennan, Patti")</f>
        <v>Drennan, Patti</v>
      </c>
      <c r="B9317" s="3">
        <f ca="1">IFERROR(__xludf.DUMMYFUNCTION("""COMPUTED_VALUE"""),2)</f>
        <v>2</v>
      </c>
      <c r="C9317" s="7">
        <f ca="1">IFERROR(__xludf.DUMMYFUNCTION("""COMPUTED_VALUE"""),2)</f>
        <v>2</v>
      </c>
      <c r="D9317" s="8">
        <f ca="1">IFERROR(__xludf.DUMMYFUNCTION("""COMPUTED_VALUE"""),2)</f>
        <v>2</v>
      </c>
      <c r="E9317" s="2">
        <f ca="1">IFERROR(__xludf.DUMMYFUNCTION("""COMPUTED_VALUE"""),1)</f>
        <v>1</v>
      </c>
    </row>
    <row r="9318" spans="1:5" ht="13">
      <c r="A9318" s="2" t="str">
        <f ca="1">IFERROR(__xludf.DUMMYFUNCTION("""COMPUTED_VALUE"""),"Drennan, Patty")</f>
        <v>Drennan, Patty</v>
      </c>
      <c r="B9318" s="3">
        <f ca="1">IFERROR(__xludf.DUMMYFUNCTION("""COMPUTED_VALUE"""),2)</f>
        <v>2</v>
      </c>
      <c r="C9318" s="7">
        <f ca="1">IFERROR(__xludf.DUMMYFUNCTION("""COMPUTED_VALUE"""),2)</f>
        <v>2</v>
      </c>
      <c r="D9318" s="8">
        <f ca="1">IFERROR(__xludf.DUMMYFUNCTION("""COMPUTED_VALUE"""),2)</f>
        <v>2</v>
      </c>
      <c r="E9318" s="2">
        <f ca="1">IFERROR(__xludf.DUMMYFUNCTION("""COMPUTED_VALUE"""),1)</f>
        <v>1</v>
      </c>
    </row>
    <row r="9319" spans="1:5" ht="13">
      <c r="A9319" s="2" t="str">
        <f ca="1">IFERROR(__xludf.DUMMYFUNCTION("""COMPUTED_VALUE"""),"Drewes, Joan Johnson")</f>
        <v>Drewes, Joan Johnson</v>
      </c>
      <c r="B9319" s="3">
        <f ca="1">IFERROR(__xludf.DUMMYFUNCTION("""COMPUTED_VALUE"""),2)</f>
        <v>2</v>
      </c>
      <c r="C9319" s="7">
        <f ca="1">IFERROR(__xludf.DUMMYFUNCTION("""COMPUTED_VALUE"""),2)</f>
        <v>2</v>
      </c>
      <c r="D9319" s="8">
        <f ca="1">IFERROR(__xludf.DUMMYFUNCTION("""COMPUTED_VALUE"""),2)</f>
        <v>2</v>
      </c>
      <c r="E9319" s="2">
        <f ca="1">IFERROR(__xludf.DUMMYFUNCTION("""COMPUTED_VALUE"""),1)</f>
        <v>1</v>
      </c>
    </row>
    <row r="9320" spans="1:5" ht="13">
      <c r="A9320" s="2" t="str">
        <f ca="1">IFERROR(__xludf.DUMMYFUNCTION("""COMPUTED_VALUE"""),"Dring, Madeleine")</f>
        <v>Dring, Madeleine</v>
      </c>
      <c r="B9320" s="2">
        <f ca="1">IFERROR(__xludf.DUMMYFUNCTION("""COMPUTED_VALUE"""),2)</f>
        <v>2</v>
      </c>
      <c r="C9320" s="7">
        <f ca="1">IFERROR(__xludf.DUMMYFUNCTION("""COMPUTED_VALUE"""),2)</f>
        <v>2</v>
      </c>
      <c r="D9320" s="8">
        <f ca="1">IFERROR(__xludf.DUMMYFUNCTION("""COMPUTED_VALUE"""),6)</f>
        <v>6</v>
      </c>
      <c r="E9320" s="2">
        <f ca="1">IFERROR(__xludf.DUMMYFUNCTION("""COMPUTED_VALUE"""),2)</f>
        <v>2</v>
      </c>
    </row>
    <row r="9321" spans="1:5" ht="13">
      <c r="A9321" s="8" t="str">
        <f ca="1">IFERROR(__xludf.DUMMYFUNCTION("""COMPUTED_VALUE"""),"Driscoll, Rebekah")</f>
        <v>Driscoll, Rebekah</v>
      </c>
      <c r="B9321" s="3">
        <f ca="1">IFERROR(__xludf.DUMMYFUNCTION("""COMPUTED_VALUE"""),2)</f>
        <v>2</v>
      </c>
      <c r="C9321" s="7">
        <f ca="1">IFERROR(__xludf.DUMMYFUNCTION("""COMPUTED_VALUE"""),2)</f>
        <v>2</v>
      </c>
      <c r="D9321" s="8">
        <f ca="1">IFERROR(__xludf.DUMMYFUNCTION("""COMPUTED_VALUE"""),2)</f>
        <v>2</v>
      </c>
      <c r="E9321" s="2">
        <f ca="1">IFERROR(__xludf.DUMMYFUNCTION("""COMPUTED_VALUE"""),1)</f>
        <v>1</v>
      </c>
    </row>
    <row r="9322" spans="1:5" ht="13">
      <c r="A9322" s="2" t="str">
        <f ca="1">IFERROR(__xludf.DUMMYFUNCTION("""COMPUTED_VALUE"""),"Du Bois, Alexandra")</f>
        <v>Du Bois, Alexandra</v>
      </c>
      <c r="B9322" s="3">
        <f ca="1">IFERROR(__xludf.DUMMYFUNCTION("""COMPUTED_VALUE"""),2)</f>
        <v>2</v>
      </c>
      <c r="C9322" s="7">
        <f ca="1">IFERROR(__xludf.DUMMYFUNCTION("""COMPUTED_VALUE"""),2)</f>
        <v>2</v>
      </c>
      <c r="D9322" s="8">
        <f ca="1">IFERROR(__xludf.DUMMYFUNCTION("""COMPUTED_VALUE"""),2)</f>
        <v>2</v>
      </c>
      <c r="E9322" s="2">
        <f ca="1">IFERROR(__xludf.DUMMYFUNCTION("""COMPUTED_VALUE"""),1)</f>
        <v>1</v>
      </c>
    </row>
    <row r="9323" spans="1:5" ht="13">
      <c r="A9323" s="2" t="str">
        <f ca="1">IFERROR(__xludf.DUMMYFUNCTION("""COMPUTED_VALUE"""),"Dudson, Dede")</f>
        <v>Dudson, Dede</v>
      </c>
      <c r="B9323" s="3">
        <f ca="1">IFERROR(__xludf.DUMMYFUNCTION("""COMPUTED_VALUE"""),2)</f>
        <v>2</v>
      </c>
      <c r="C9323" s="7">
        <f ca="1">IFERROR(__xludf.DUMMYFUNCTION("""COMPUTED_VALUE"""),2)</f>
        <v>2</v>
      </c>
      <c r="D9323" s="8">
        <f ca="1">IFERROR(__xludf.DUMMYFUNCTION("""COMPUTED_VALUE"""),2)</f>
        <v>2</v>
      </c>
      <c r="E9323" s="2">
        <f ca="1">IFERROR(__xludf.DUMMYFUNCTION("""COMPUTED_VALUE"""),1)</f>
        <v>1</v>
      </c>
    </row>
    <row r="9324" spans="1:5" ht="13">
      <c r="A9324" s="2" t="str">
        <f ca="1">IFERROR(__xludf.DUMMYFUNCTION("""COMPUTED_VALUE"""),"Dugger, Kelly")</f>
        <v>Dugger, Kelly</v>
      </c>
      <c r="B9324" s="2">
        <f ca="1">IFERROR(__xludf.DUMMYFUNCTION("""COMPUTED_VALUE"""),2)</f>
        <v>2</v>
      </c>
      <c r="C9324" s="7">
        <f ca="1">IFERROR(__xludf.DUMMYFUNCTION("""COMPUTED_VALUE"""),2)</f>
        <v>2</v>
      </c>
      <c r="D9324" s="8">
        <f ca="1">IFERROR(__xludf.DUMMYFUNCTION("""COMPUTED_VALUE"""),2)</f>
        <v>2</v>
      </c>
      <c r="E9324" s="2">
        <f ca="1">IFERROR(__xludf.DUMMYFUNCTION("""COMPUTED_VALUE"""),1)</f>
        <v>1</v>
      </c>
    </row>
    <row r="9325" spans="1:5" ht="13">
      <c r="A9325" s="2" t="str">
        <f ca="1">IFERROR(__xludf.DUMMYFUNCTION("""COMPUTED_VALUE"""),"Dungan, Olive")</f>
        <v>Dungan, Olive</v>
      </c>
      <c r="B9325" s="3">
        <f ca="1">IFERROR(__xludf.DUMMYFUNCTION("""COMPUTED_VALUE"""),2)</f>
        <v>2</v>
      </c>
      <c r="C9325" s="7">
        <f ca="1">IFERROR(__xludf.DUMMYFUNCTION("""COMPUTED_VALUE"""),2)</f>
        <v>2</v>
      </c>
      <c r="D9325" s="8">
        <f ca="1">IFERROR(__xludf.DUMMYFUNCTION("""COMPUTED_VALUE"""),6)</f>
        <v>6</v>
      </c>
      <c r="E9325" s="2">
        <f ca="1">IFERROR(__xludf.DUMMYFUNCTION("""COMPUTED_VALUE"""),2)</f>
        <v>2</v>
      </c>
    </row>
    <row r="9326" spans="1:5" ht="13">
      <c r="A9326" s="8" t="str">
        <f ca="1">IFERROR(__xludf.DUMMYFUNCTION("""COMPUTED_VALUE"""),"Dunker, Amy")</f>
        <v>Dunker, Amy</v>
      </c>
      <c r="B9326" s="3">
        <f ca="1">IFERROR(__xludf.DUMMYFUNCTION("""COMPUTED_VALUE"""),2)</f>
        <v>2</v>
      </c>
      <c r="C9326" s="7">
        <f ca="1">IFERROR(__xludf.DUMMYFUNCTION("""COMPUTED_VALUE"""),2)</f>
        <v>2</v>
      </c>
      <c r="D9326" s="8">
        <f ca="1">IFERROR(__xludf.DUMMYFUNCTION("""COMPUTED_VALUE"""),2)</f>
        <v>2</v>
      </c>
      <c r="E9326" s="2">
        <f ca="1">IFERROR(__xludf.DUMMYFUNCTION("""COMPUTED_VALUE"""),1)</f>
        <v>1</v>
      </c>
    </row>
    <row r="9327" spans="1:5" ht="13">
      <c r="A9327" s="2" t="str">
        <f ca="1">IFERROR(__xludf.DUMMYFUNCTION("""COMPUTED_VALUE"""),"Dunlap, Grace Baugher")</f>
        <v>Dunlap, Grace Baugher</v>
      </c>
      <c r="B9327" s="2">
        <f ca="1">IFERROR(__xludf.DUMMYFUNCTION("""COMPUTED_VALUE"""),2)</f>
        <v>2</v>
      </c>
      <c r="C9327" s="7">
        <f ca="1">IFERROR(__xludf.DUMMYFUNCTION("""COMPUTED_VALUE"""),2)</f>
        <v>2</v>
      </c>
      <c r="D9327" s="8">
        <f ca="1">IFERROR(__xludf.DUMMYFUNCTION("""COMPUTED_VALUE"""),2)</f>
        <v>2</v>
      </c>
      <c r="E9327" s="2">
        <f ca="1">IFERROR(__xludf.DUMMYFUNCTION("""COMPUTED_VALUE"""),1)</f>
        <v>1</v>
      </c>
    </row>
    <row r="9328" spans="1:5" ht="13">
      <c r="A9328" s="8" t="str">
        <f ca="1">IFERROR(__xludf.DUMMYFUNCTION("""COMPUTED_VALUE"""),"Durham, Matilda")</f>
        <v>Durham, Matilda</v>
      </c>
      <c r="B9328" s="3">
        <f ca="1">IFERROR(__xludf.DUMMYFUNCTION("""COMPUTED_VALUE"""),2)</f>
        <v>2</v>
      </c>
      <c r="C9328" s="7">
        <f ca="1">IFERROR(__xludf.DUMMYFUNCTION("""COMPUTED_VALUE"""),2)</f>
        <v>2</v>
      </c>
      <c r="D9328" s="8">
        <f ca="1">IFERROR(__xludf.DUMMYFUNCTION("""COMPUTED_VALUE"""),6)</f>
        <v>6</v>
      </c>
      <c r="E9328" s="2">
        <f ca="1">IFERROR(__xludf.DUMMYFUNCTION("""COMPUTED_VALUE"""),2)</f>
        <v>2</v>
      </c>
    </row>
    <row r="9329" spans="1:5" ht="13">
      <c r="A9329" s="8" t="str">
        <f ca="1">IFERROR(__xludf.DUMMYFUNCTION("""COMPUTED_VALUE"""),"Durrwachter, Wendy")</f>
        <v>Durrwachter, Wendy</v>
      </c>
      <c r="B9329" s="3">
        <f ca="1">IFERROR(__xludf.DUMMYFUNCTION("""COMPUTED_VALUE"""),2)</f>
        <v>2</v>
      </c>
      <c r="C9329" s="7">
        <f ca="1">IFERROR(__xludf.DUMMYFUNCTION("""COMPUTED_VALUE"""),2)</f>
        <v>2</v>
      </c>
      <c r="D9329" s="8">
        <f ca="1">IFERROR(__xludf.DUMMYFUNCTION("""COMPUTED_VALUE"""),2)</f>
        <v>2</v>
      </c>
      <c r="E9329" s="2">
        <f ca="1">IFERROR(__xludf.DUMMYFUNCTION("""COMPUTED_VALUE"""),1)</f>
        <v>1</v>
      </c>
    </row>
    <row r="9330" spans="1:5" ht="13">
      <c r="A9330" s="8" t="str">
        <f ca="1">IFERROR(__xludf.DUMMYFUNCTION("""COMPUTED_VALUE"""),"Dusman, Linda")</f>
        <v>Dusman, Linda</v>
      </c>
      <c r="B9330" s="3">
        <f ca="1">IFERROR(__xludf.DUMMYFUNCTION("""COMPUTED_VALUE"""),2)</f>
        <v>2</v>
      </c>
      <c r="C9330" s="7">
        <f ca="1">IFERROR(__xludf.DUMMYFUNCTION("""COMPUTED_VALUE"""),2)</f>
        <v>2</v>
      </c>
      <c r="D9330" s="8">
        <f ca="1">IFERROR(__xludf.DUMMYFUNCTION("""COMPUTED_VALUE"""),2)</f>
        <v>2</v>
      </c>
      <c r="E9330" s="2">
        <f ca="1">IFERROR(__xludf.DUMMYFUNCTION("""COMPUTED_VALUE"""),1)</f>
        <v>1</v>
      </c>
    </row>
    <row r="9331" spans="1:5" ht="13">
      <c r="A9331" s="8" t="str">
        <f ca="1">IFERROR(__xludf.DUMMYFUNCTION("""COMPUTED_VALUE"""),"Duson, Dede")</f>
        <v>Duson, Dede</v>
      </c>
      <c r="B9331" s="3">
        <f ca="1">IFERROR(__xludf.DUMMYFUNCTION("""COMPUTED_VALUE"""),2)</f>
        <v>2</v>
      </c>
      <c r="C9331" s="7">
        <f ca="1">IFERROR(__xludf.DUMMYFUNCTION("""COMPUTED_VALUE"""),2)</f>
        <v>2</v>
      </c>
      <c r="D9331" s="8">
        <f ca="1">IFERROR(__xludf.DUMMYFUNCTION("""COMPUTED_VALUE"""),2)</f>
        <v>2</v>
      </c>
      <c r="E9331" s="2">
        <f ca="1">IFERROR(__xludf.DUMMYFUNCTION("""COMPUTED_VALUE"""),1)</f>
        <v>1</v>
      </c>
    </row>
    <row r="9332" spans="1:5" ht="13">
      <c r="A9332" s="8" t="str">
        <f ca="1">IFERROR(__xludf.DUMMYFUNCTION("""COMPUTED_VALUE"""),"Dwyer, Ruth E.")</f>
        <v>Dwyer, Ruth E.</v>
      </c>
      <c r="B9332" s="3">
        <f ca="1">IFERROR(__xludf.DUMMYFUNCTION("""COMPUTED_VALUE"""),2)</f>
        <v>2</v>
      </c>
      <c r="C9332" s="7">
        <f ca="1">IFERROR(__xludf.DUMMYFUNCTION("""COMPUTED_VALUE"""),2)</f>
        <v>2</v>
      </c>
      <c r="D9332" s="8">
        <f ca="1">IFERROR(__xludf.DUMMYFUNCTION("""COMPUTED_VALUE"""),2)</f>
        <v>2</v>
      </c>
      <c r="E9332" s="2">
        <f ca="1">IFERROR(__xludf.DUMMYFUNCTION("""COMPUTED_VALUE"""),1)</f>
        <v>1</v>
      </c>
    </row>
    <row r="9333" spans="1:5" ht="13">
      <c r="A9333" s="2" t="str">
        <f ca="1">IFERROR(__xludf.DUMMYFUNCTION("""COMPUTED_VALUE"""),"Dwyer, Ruth E. / Ellis, Martin")</f>
        <v>Dwyer, Ruth E. / Ellis, Martin</v>
      </c>
      <c r="B9333" s="3">
        <f ca="1">IFERROR(__xludf.DUMMYFUNCTION("""COMPUTED_VALUE"""),2)</f>
        <v>2</v>
      </c>
      <c r="C9333" s="7">
        <f ca="1">IFERROR(__xludf.DUMMYFUNCTION("""COMPUTED_VALUE"""),2)</f>
        <v>2</v>
      </c>
      <c r="D9333" s="8">
        <f ca="1">IFERROR(__xludf.DUMMYFUNCTION("""COMPUTED_VALUE"""),2)</f>
        <v>2</v>
      </c>
      <c r="E9333" s="2">
        <f ca="1">IFERROR(__xludf.DUMMYFUNCTION("""COMPUTED_VALUE"""),1)</f>
        <v>1</v>
      </c>
    </row>
    <row r="9334" spans="1:5" ht="13">
      <c r="A9334" s="8" t="str">
        <f ca="1">IFERROR(__xludf.DUMMYFUNCTION("""COMPUTED_VALUE"""),"Dwyer, Ruth E. / Waller, Judith")</f>
        <v>Dwyer, Ruth E. / Waller, Judith</v>
      </c>
      <c r="B9334" s="3">
        <f ca="1">IFERROR(__xludf.DUMMYFUNCTION("""COMPUTED_VALUE"""),2)</f>
        <v>2</v>
      </c>
      <c r="C9334" s="7">
        <f ca="1">IFERROR(__xludf.DUMMYFUNCTION("""COMPUTED_VALUE"""),2)</f>
        <v>2</v>
      </c>
      <c r="D9334" s="8">
        <f ca="1">IFERROR(__xludf.DUMMYFUNCTION("""COMPUTED_VALUE"""),2)</f>
        <v>2</v>
      </c>
      <c r="E9334" s="2">
        <f ca="1">IFERROR(__xludf.DUMMYFUNCTION("""COMPUTED_VALUE"""),1)</f>
        <v>1</v>
      </c>
    </row>
    <row r="9335" spans="1:5" ht="13">
      <c r="A9335" s="2" t="str">
        <f ca="1">IFERROR(__xludf.DUMMYFUNCTION("""COMPUTED_VALUE"""),"Dziatkowski, Alexa")</f>
        <v>Dziatkowski, Alexa</v>
      </c>
      <c r="B9335" s="3">
        <f ca="1">IFERROR(__xludf.DUMMYFUNCTION("""COMPUTED_VALUE"""),2)</f>
        <v>2</v>
      </c>
      <c r="C9335" s="7">
        <f ca="1">IFERROR(__xludf.DUMMYFUNCTION("""COMPUTED_VALUE"""),2)</f>
        <v>2</v>
      </c>
      <c r="D9335" s="8">
        <f ca="1">IFERROR(__xludf.DUMMYFUNCTION("""COMPUTED_VALUE"""),2)</f>
        <v>2</v>
      </c>
      <c r="E9335" s="2">
        <f ca="1">IFERROR(__xludf.DUMMYFUNCTION("""COMPUTED_VALUE"""),1)</f>
        <v>1</v>
      </c>
    </row>
    <row r="9336" spans="1:5" ht="13">
      <c r="A9336" s="2" t="str">
        <f ca="1">IFERROR(__xludf.DUMMYFUNCTION("""COMPUTED_VALUE"""),"Easton, Florence (translations)")</f>
        <v>Easton, Florence (translations)</v>
      </c>
      <c r="B9336" s="2">
        <f ca="1">IFERROR(__xludf.DUMMYFUNCTION("""COMPUTED_VALUE"""),2)</f>
        <v>2</v>
      </c>
      <c r="C9336" s="2">
        <f ca="1">IFERROR(__xludf.DUMMYFUNCTION("""COMPUTED_VALUE"""),2)</f>
        <v>2</v>
      </c>
      <c r="D9336" s="8">
        <f ca="1">IFERROR(__xludf.DUMMYFUNCTION("""COMPUTED_VALUE"""),6)</f>
        <v>6</v>
      </c>
      <c r="E9336" s="2">
        <f ca="1">IFERROR(__xludf.DUMMYFUNCTION("""COMPUTED_VALUE"""),2)</f>
        <v>2</v>
      </c>
    </row>
    <row r="9337" spans="1:5" ht="13">
      <c r="A9337" s="2" t="str">
        <f ca="1">IFERROR(__xludf.DUMMYFUNCTION("""COMPUTED_VALUE"""),"Ebel-Sabo, Victoria")</f>
        <v>Ebel-Sabo, Victoria</v>
      </c>
      <c r="B9337" s="3">
        <f ca="1">IFERROR(__xludf.DUMMYFUNCTION("""COMPUTED_VALUE"""),2)</f>
        <v>2</v>
      </c>
      <c r="C9337" s="7">
        <f ca="1">IFERROR(__xludf.DUMMYFUNCTION("""COMPUTED_VALUE"""),2)</f>
        <v>2</v>
      </c>
      <c r="D9337" s="8">
        <f ca="1">IFERROR(__xludf.DUMMYFUNCTION("""COMPUTED_VALUE"""),2)</f>
        <v>2</v>
      </c>
      <c r="E9337" s="2">
        <f ca="1">IFERROR(__xludf.DUMMYFUNCTION("""COMPUTED_VALUE"""),1)</f>
        <v>1</v>
      </c>
    </row>
    <row r="9338" spans="1:5" ht="13">
      <c r="A9338" s="8" t="str">
        <f ca="1">IFERROR(__xludf.DUMMYFUNCTION("""COMPUTED_VALUE"""),"Eckel, Genevieve")</f>
        <v>Eckel, Genevieve</v>
      </c>
      <c r="B9338" s="3">
        <f ca="1">IFERROR(__xludf.DUMMYFUNCTION("""COMPUTED_VALUE"""),2)</f>
        <v>2</v>
      </c>
      <c r="C9338" s="7">
        <f ca="1">IFERROR(__xludf.DUMMYFUNCTION("""COMPUTED_VALUE"""),2)</f>
        <v>2</v>
      </c>
      <c r="D9338" s="8">
        <f ca="1">IFERROR(__xludf.DUMMYFUNCTION("""COMPUTED_VALUE"""),2)</f>
        <v>2</v>
      </c>
      <c r="E9338" s="2">
        <f ca="1">IFERROR(__xludf.DUMMYFUNCTION("""COMPUTED_VALUE"""),1)</f>
        <v>1</v>
      </c>
    </row>
    <row r="9339" spans="1:5" ht="13">
      <c r="A9339" s="2" t="str">
        <f ca="1">IFERROR(__xludf.DUMMYFUNCTION("""COMPUTED_VALUE"""),"Eckert, Rosana")</f>
        <v>Eckert, Rosana</v>
      </c>
      <c r="B9339" s="3">
        <f ca="1">IFERROR(__xludf.DUMMYFUNCTION("""COMPUTED_VALUE"""),2)</f>
        <v>2</v>
      </c>
      <c r="C9339" s="7">
        <f ca="1">IFERROR(__xludf.DUMMYFUNCTION("""COMPUTED_VALUE"""),2)</f>
        <v>2</v>
      </c>
      <c r="D9339" s="8">
        <f ca="1">IFERROR(__xludf.DUMMYFUNCTION("""COMPUTED_VALUE"""),2)</f>
        <v>2</v>
      </c>
      <c r="E9339" s="2">
        <f ca="1">IFERROR(__xludf.DUMMYFUNCTION("""COMPUTED_VALUE"""),1)</f>
        <v>1</v>
      </c>
    </row>
    <row r="9340" spans="1:5" ht="13">
      <c r="A9340" s="2" t="str">
        <f ca="1">IFERROR(__xludf.DUMMYFUNCTION("""COMPUTED_VALUE"""),"Edwards, Clara")</f>
        <v>Edwards, Clara</v>
      </c>
      <c r="B9340" s="3">
        <f ca="1">IFERROR(__xludf.DUMMYFUNCTION("""COMPUTED_VALUE"""),2)</f>
        <v>2</v>
      </c>
      <c r="C9340" s="7">
        <f ca="1">IFERROR(__xludf.DUMMYFUNCTION("""COMPUTED_VALUE"""),2)</f>
        <v>2</v>
      </c>
      <c r="D9340" s="8">
        <f ca="1">IFERROR(__xludf.DUMMYFUNCTION("""COMPUTED_VALUE"""),6)</f>
        <v>6</v>
      </c>
      <c r="E9340" s="2">
        <f ca="1">IFERROR(__xludf.DUMMYFUNCTION("""COMPUTED_VALUE"""),2)</f>
        <v>2</v>
      </c>
    </row>
    <row r="9341" spans="1:5" ht="13">
      <c r="A9341" s="2" t="str">
        <f ca="1">IFERROR(__xludf.DUMMYFUNCTION("""COMPUTED_VALUE"""),"Eichhorn, Hermene")</f>
        <v>Eichhorn, Hermene</v>
      </c>
      <c r="B9341" s="3">
        <f ca="1">IFERROR(__xludf.DUMMYFUNCTION("""COMPUTED_VALUE"""),2)</f>
        <v>2</v>
      </c>
      <c r="C9341" s="7">
        <f ca="1">IFERROR(__xludf.DUMMYFUNCTION("""COMPUTED_VALUE"""),2)</f>
        <v>2</v>
      </c>
      <c r="D9341" s="8">
        <f ca="1">IFERROR(__xludf.DUMMYFUNCTION("""COMPUTED_VALUE"""),6)</f>
        <v>6</v>
      </c>
      <c r="E9341" s="2">
        <f ca="1">IFERROR(__xludf.DUMMYFUNCTION("""COMPUTED_VALUE"""),2)</f>
        <v>2</v>
      </c>
    </row>
    <row r="9342" spans="1:5" ht="13">
      <c r="A9342" s="8" t="str">
        <f ca="1">IFERROR(__xludf.DUMMYFUNCTION("""COMPUTED_VALUE"""),"Eilers, Joyce")</f>
        <v>Eilers, Joyce</v>
      </c>
      <c r="B9342" s="3">
        <f ca="1">IFERROR(__xludf.DUMMYFUNCTION("""COMPUTED_VALUE"""),2)</f>
        <v>2</v>
      </c>
      <c r="C9342" s="7">
        <f ca="1">IFERROR(__xludf.DUMMYFUNCTION("""COMPUTED_VALUE"""),2)</f>
        <v>2</v>
      </c>
      <c r="D9342" s="8">
        <f ca="1">IFERROR(__xludf.DUMMYFUNCTION("""COMPUTED_VALUE"""),6)</f>
        <v>6</v>
      </c>
      <c r="E9342" s="2">
        <f ca="1">IFERROR(__xludf.DUMMYFUNCTION("""COMPUTED_VALUE"""),2)</f>
        <v>2</v>
      </c>
    </row>
    <row r="9343" spans="1:5" ht="13">
      <c r="A9343" s="2" t="str">
        <f ca="1">IFERROR(__xludf.DUMMYFUNCTION("""COMPUTED_VALUE"""),"Eilish O’Connell, Billie and Finneas O’Connell")</f>
        <v>Eilish O’Connell, Billie and Finneas O’Connell</v>
      </c>
      <c r="B9343" s="3">
        <f ca="1">IFERROR(__xludf.DUMMYFUNCTION("""COMPUTED_VALUE"""),2)</f>
        <v>2</v>
      </c>
      <c r="C9343" s="7">
        <f ca="1">IFERROR(__xludf.DUMMYFUNCTION("""COMPUTED_VALUE"""),2)</f>
        <v>2</v>
      </c>
      <c r="D9343" s="8">
        <f ca="1">IFERROR(__xludf.DUMMYFUNCTION("""COMPUTED_VALUE"""),2)</f>
        <v>2</v>
      </c>
      <c r="E9343" s="2">
        <f ca="1">IFERROR(__xludf.DUMMYFUNCTION("""COMPUTED_VALUE"""),1)</f>
        <v>1</v>
      </c>
    </row>
    <row r="9344" spans="1:5" ht="13">
      <c r="A9344" s="2" t="str">
        <f ca="1">IFERROR(__xludf.DUMMYFUNCTION("""COMPUTED_VALUE"""),"Eilish, Billie")</f>
        <v>Eilish, Billie</v>
      </c>
      <c r="B9344" s="2">
        <f ca="1">IFERROR(__xludf.DUMMYFUNCTION("""COMPUTED_VALUE"""),2)</f>
        <v>2</v>
      </c>
      <c r="C9344" s="7">
        <f ca="1">IFERROR(__xludf.DUMMYFUNCTION("""COMPUTED_VALUE"""),2)</f>
        <v>2</v>
      </c>
      <c r="D9344" s="8">
        <f ca="1">IFERROR(__xludf.DUMMYFUNCTION("""COMPUTED_VALUE"""),2)</f>
        <v>2</v>
      </c>
      <c r="E9344" s="2">
        <f ca="1">IFERROR(__xludf.DUMMYFUNCTION("""COMPUTED_VALUE"""),1)</f>
        <v>1</v>
      </c>
    </row>
    <row r="9345" spans="1:5" ht="13">
      <c r="A9345" s="8" t="str">
        <f ca="1">IFERROR(__xludf.DUMMYFUNCTION("""COMPUTED_VALUE"""),"Eisendle, Hannah")</f>
        <v>Eisendle, Hannah</v>
      </c>
      <c r="B9345" s="3">
        <f ca="1">IFERROR(__xludf.DUMMYFUNCTION("""COMPUTED_VALUE"""),2)</f>
        <v>2</v>
      </c>
      <c r="C9345" s="7">
        <f ca="1">IFERROR(__xludf.DUMMYFUNCTION("""COMPUTED_VALUE"""),2)</f>
        <v>2</v>
      </c>
      <c r="D9345" s="8">
        <f ca="1">IFERROR(__xludf.DUMMYFUNCTION("""COMPUTED_VALUE"""),2)</f>
        <v>2</v>
      </c>
      <c r="E9345" s="2">
        <f ca="1">IFERROR(__xludf.DUMMYFUNCTION("""COMPUTED_VALUE"""),1)</f>
        <v>1</v>
      </c>
    </row>
    <row r="9346" spans="1:5" ht="13">
      <c r="A9346" s="2" t="str">
        <f ca="1">IFERROR(__xludf.DUMMYFUNCTION("""COMPUTED_VALUE"""),"Elfrida, Andrée")</f>
        <v>Elfrida, Andrée</v>
      </c>
      <c r="B9346" s="3">
        <f ca="1">IFERROR(__xludf.DUMMYFUNCTION("""COMPUTED_VALUE"""),2)</f>
        <v>2</v>
      </c>
      <c r="C9346" s="7">
        <f ca="1">IFERROR(__xludf.DUMMYFUNCTION("""COMPUTED_VALUE"""),2)</f>
        <v>2</v>
      </c>
      <c r="D9346" s="8">
        <f ca="1">IFERROR(__xludf.DUMMYFUNCTION("""COMPUTED_VALUE"""),6)</f>
        <v>6</v>
      </c>
      <c r="E9346" s="2">
        <f ca="1">IFERROR(__xludf.DUMMYFUNCTION("""COMPUTED_VALUE"""),2)</f>
        <v>2</v>
      </c>
    </row>
    <row r="9347" spans="1:5" ht="13">
      <c r="A9347" s="8" t="str">
        <f ca="1">IFERROR(__xludf.DUMMYFUNCTION("""COMPUTED_VALUE"""),"Elisabeth Jacquet de la Guerre")</f>
        <v>Elisabeth Jacquet de la Guerre</v>
      </c>
      <c r="B9347" s="3">
        <f ca="1">IFERROR(__xludf.DUMMYFUNCTION("""COMPUTED_VALUE"""),2)</f>
        <v>2</v>
      </c>
      <c r="C9347" s="7">
        <f ca="1">IFERROR(__xludf.DUMMYFUNCTION("""COMPUTED_VALUE"""),2)</f>
        <v>2</v>
      </c>
      <c r="D9347" s="8">
        <f ca="1">IFERROR(__xludf.DUMMYFUNCTION("""COMPUTED_VALUE"""),6)</f>
        <v>6</v>
      </c>
      <c r="E9347" s="2">
        <f ca="1">IFERROR(__xludf.DUMMYFUNCTION("""COMPUTED_VALUE"""),2)</f>
        <v>2</v>
      </c>
    </row>
    <row r="9348" spans="1:5" ht="13">
      <c r="A9348" s="8" t="str">
        <f ca="1">IFERROR(__xludf.DUMMYFUNCTION("""COMPUTED_VALUE"""),"Elkington, Lillian")</f>
        <v>Elkington, Lillian</v>
      </c>
      <c r="B9348" s="3">
        <f ca="1">IFERROR(__xludf.DUMMYFUNCTION("""COMPUTED_VALUE"""),2)</f>
        <v>2</v>
      </c>
      <c r="C9348" s="7">
        <f ca="1">IFERROR(__xludf.DUMMYFUNCTION("""COMPUTED_VALUE"""),2)</f>
        <v>2</v>
      </c>
      <c r="D9348" s="8">
        <f ca="1">IFERROR(__xludf.DUMMYFUNCTION("""COMPUTED_VALUE"""),2)</f>
        <v>2</v>
      </c>
      <c r="E9348" s="2">
        <f ca="1">IFERROR(__xludf.DUMMYFUNCTION("""COMPUTED_VALUE"""),1)</f>
        <v>1</v>
      </c>
    </row>
    <row r="9349" spans="1:5" ht="13">
      <c r="A9349" s="2" t="str">
        <f ca="1">IFERROR(__xludf.DUMMYFUNCTION("""COMPUTED_VALUE"""),"Ellen, Jane")</f>
        <v>Ellen, Jane</v>
      </c>
      <c r="B9349" s="3">
        <f ca="1">IFERROR(__xludf.DUMMYFUNCTION("""COMPUTED_VALUE"""),2)</f>
        <v>2</v>
      </c>
      <c r="C9349" s="7">
        <f ca="1">IFERROR(__xludf.DUMMYFUNCTION("""COMPUTED_VALUE"""),2)</f>
        <v>2</v>
      </c>
      <c r="D9349" s="8">
        <f ca="1">IFERROR(__xludf.DUMMYFUNCTION("""COMPUTED_VALUE"""),6)</f>
        <v>6</v>
      </c>
      <c r="E9349" s="2">
        <f ca="1">IFERROR(__xludf.DUMMYFUNCTION("""COMPUTED_VALUE"""),2)</f>
        <v>2</v>
      </c>
    </row>
    <row r="9350" spans="1:5" ht="13">
      <c r="A9350" s="2" t="str">
        <f ca="1">IFERROR(__xludf.DUMMYFUNCTION("""COMPUTED_VALUE"""),"Ellisor, Conni")</f>
        <v>Ellisor, Conni</v>
      </c>
      <c r="B9350" s="3">
        <f ca="1">IFERROR(__xludf.DUMMYFUNCTION("""COMPUTED_VALUE"""),2)</f>
        <v>2</v>
      </c>
      <c r="C9350" s="7">
        <f ca="1">IFERROR(__xludf.DUMMYFUNCTION("""COMPUTED_VALUE"""),2)</f>
        <v>2</v>
      </c>
      <c r="D9350" s="8">
        <f ca="1">IFERROR(__xludf.DUMMYFUNCTION("""COMPUTED_VALUE"""),2)</f>
        <v>2</v>
      </c>
      <c r="E9350" s="2">
        <f ca="1">IFERROR(__xludf.DUMMYFUNCTION("""COMPUTED_VALUE"""),1)</f>
        <v>1</v>
      </c>
    </row>
    <row r="9351" spans="1:5" ht="13">
      <c r="A9351" s="8" t="str">
        <f ca="1">IFERROR(__xludf.DUMMYFUNCTION("""COMPUTED_VALUE"""),"Ellsworth, Emily")</f>
        <v>Ellsworth, Emily</v>
      </c>
      <c r="B9351" s="3">
        <f ca="1">IFERROR(__xludf.DUMMYFUNCTION("""COMPUTED_VALUE"""),2)</f>
        <v>2</v>
      </c>
      <c r="C9351" s="7">
        <f ca="1">IFERROR(__xludf.DUMMYFUNCTION("""COMPUTED_VALUE"""),2)</f>
        <v>2</v>
      </c>
      <c r="D9351" s="8">
        <f ca="1">IFERROR(__xludf.DUMMYFUNCTION("""COMPUTED_VALUE"""),2)</f>
        <v>2</v>
      </c>
      <c r="E9351" s="2">
        <f ca="1">IFERROR(__xludf.DUMMYFUNCTION("""COMPUTED_VALUE"""),1)</f>
        <v>1</v>
      </c>
    </row>
    <row r="9352" spans="1:5" ht="13">
      <c r="A9352" s="2" t="str">
        <f ca="1">IFERROR(__xludf.DUMMYFUNCTION("""COMPUTED_VALUE"""),"Elsner, Christy")</f>
        <v>Elsner, Christy</v>
      </c>
      <c r="B9352" s="3">
        <f ca="1">IFERROR(__xludf.DUMMYFUNCTION("""COMPUTED_VALUE"""),2)</f>
        <v>2</v>
      </c>
      <c r="C9352" s="7">
        <f ca="1">IFERROR(__xludf.DUMMYFUNCTION("""COMPUTED_VALUE"""),2)</f>
        <v>2</v>
      </c>
      <c r="D9352" s="8">
        <f ca="1">IFERROR(__xludf.DUMMYFUNCTION("""COMPUTED_VALUE"""),2)</f>
        <v>2</v>
      </c>
      <c r="E9352" s="2">
        <f ca="1">IFERROR(__xludf.DUMMYFUNCTION("""COMPUTED_VALUE"""),1)</f>
        <v>1</v>
      </c>
    </row>
    <row r="9353" spans="1:5" ht="13">
      <c r="A9353" s="2" t="str">
        <f ca="1">IFERROR(__xludf.DUMMYFUNCTION("""COMPUTED_VALUE"""),"Emerson, Cassandra")</f>
        <v>Emerson, Cassandra</v>
      </c>
      <c r="B9353" s="3">
        <f ca="1">IFERROR(__xludf.DUMMYFUNCTION("""COMPUTED_VALUE"""),2)</f>
        <v>2</v>
      </c>
      <c r="C9353" s="7">
        <f ca="1">IFERROR(__xludf.DUMMYFUNCTION("""COMPUTED_VALUE"""),2)</f>
        <v>2</v>
      </c>
      <c r="D9353" s="8">
        <f ca="1">IFERROR(__xludf.DUMMYFUNCTION("""COMPUTED_VALUE"""),2)</f>
        <v>2</v>
      </c>
      <c r="E9353" s="2">
        <f ca="1">IFERROR(__xludf.DUMMYFUNCTION("""COMPUTED_VALUE"""),1)</f>
        <v>1</v>
      </c>
    </row>
    <row r="9354" spans="1:5" ht="13">
      <c r="A9354" s="2" t="str">
        <f ca="1">IFERROR(__xludf.DUMMYFUNCTION("""COMPUTED_VALUE"""),"Emig, Lois Myers")</f>
        <v>Emig, Lois Myers</v>
      </c>
      <c r="B9354" s="3">
        <f ca="1">IFERROR(__xludf.DUMMYFUNCTION("""COMPUTED_VALUE"""),2)</f>
        <v>2</v>
      </c>
      <c r="C9354" s="7">
        <f ca="1">IFERROR(__xludf.DUMMYFUNCTION("""COMPUTED_VALUE"""),2)</f>
        <v>2</v>
      </c>
      <c r="D9354" s="8">
        <f ca="1">IFERROR(__xludf.DUMMYFUNCTION("""COMPUTED_VALUE"""),2)</f>
        <v>2</v>
      </c>
      <c r="E9354" s="2">
        <f ca="1">IFERROR(__xludf.DUMMYFUNCTION("""COMPUTED_VALUE"""),1)</f>
        <v>1</v>
      </c>
    </row>
    <row r="9355" spans="1:5" ht="13">
      <c r="A9355" s="2" t="str">
        <f ca="1">IFERROR(__xludf.DUMMYFUNCTION("""COMPUTED_VALUE"""),"Engelson, Thea")</f>
        <v>Engelson, Thea</v>
      </c>
      <c r="B9355" s="2">
        <f ca="1">IFERROR(__xludf.DUMMYFUNCTION("""COMPUTED_VALUE"""),2)</f>
        <v>2</v>
      </c>
      <c r="C9355" s="2">
        <f ca="1">IFERROR(__xludf.DUMMYFUNCTION("""COMPUTED_VALUE"""),2)</f>
        <v>2</v>
      </c>
      <c r="D9355" s="8">
        <f ca="1">IFERROR(__xludf.DUMMYFUNCTION("""COMPUTED_VALUE"""),2)</f>
        <v>2</v>
      </c>
      <c r="E9355" s="2">
        <f ca="1">IFERROR(__xludf.DUMMYFUNCTION("""COMPUTED_VALUE"""),1)</f>
        <v>1</v>
      </c>
    </row>
    <row r="9356" spans="1:5" ht="13">
      <c r="A9356" s="2" t="str">
        <f ca="1">IFERROR(__xludf.DUMMYFUNCTION("""COMPUTED_VALUE"""),"Eötvös, Melody")</f>
        <v>Eötvös, Melody</v>
      </c>
      <c r="B9356" s="3">
        <f ca="1">IFERROR(__xludf.DUMMYFUNCTION("""COMPUTED_VALUE"""),2)</f>
        <v>2</v>
      </c>
      <c r="C9356" s="7">
        <f ca="1">IFERROR(__xludf.DUMMYFUNCTION("""COMPUTED_VALUE"""),2)</f>
        <v>2</v>
      </c>
      <c r="D9356" s="8">
        <f ca="1">IFERROR(__xludf.DUMMYFUNCTION("""COMPUTED_VALUE"""),2)</f>
        <v>2</v>
      </c>
      <c r="E9356" s="2">
        <f ca="1">IFERROR(__xludf.DUMMYFUNCTION("""COMPUTED_VALUE"""),1)</f>
        <v>1</v>
      </c>
    </row>
    <row r="9357" spans="1:5" ht="13">
      <c r="A9357" s="8" t="str">
        <f ca="1">IFERROR(__xludf.DUMMYFUNCTION("""COMPUTED_VALUE"""),"Epp, Marilyn")</f>
        <v>Epp, Marilyn</v>
      </c>
      <c r="B9357" s="3">
        <f ca="1">IFERROR(__xludf.DUMMYFUNCTION("""COMPUTED_VALUE"""),2)</f>
        <v>2</v>
      </c>
      <c r="C9357" s="7">
        <f ca="1">IFERROR(__xludf.DUMMYFUNCTION("""COMPUTED_VALUE"""),2)</f>
        <v>2</v>
      </c>
      <c r="D9357" s="8">
        <f ca="1">IFERROR(__xludf.DUMMYFUNCTION("""COMPUTED_VALUE"""),2)</f>
        <v>2</v>
      </c>
      <c r="E9357" s="2">
        <f ca="1">IFERROR(__xludf.DUMMYFUNCTION("""COMPUTED_VALUE"""),1)</f>
        <v>1</v>
      </c>
    </row>
    <row r="9358" spans="1:5" ht="13">
      <c r="A9358" s="2" t="str">
        <f ca="1">IFERROR(__xludf.DUMMYFUNCTION("""COMPUTED_VALUE"""),"Epstein, Marti")</f>
        <v>Epstein, Marti</v>
      </c>
      <c r="B9358" s="3">
        <f ca="1">IFERROR(__xludf.DUMMYFUNCTION("""COMPUTED_VALUE"""),2)</f>
        <v>2</v>
      </c>
      <c r="C9358" s="7">
        <f ca="1">IFERROR(__xludf.DUMMYFUNCTION("""COMPUTED_VALUE"""),2)</f>
        <v>2</v>
      </c>
      <c r="D9358" s="8">
        <f ca="1">IFERROR(__xludf.DUMMYFUNCTION("""COMPUTED_VALUE"""),2)</f>
        <v>2</v>
      </c>
      <c r="E9358" s="2">
        <f ca="1">IFERROR(__xludf.DUMMYFUNCTION("""COMPUTED_VALUE"""),1)</f>
        <v>1</v>
      </c>
    </row>
    <row r="9359" spans="1:5" ht="13">
      <c r="A9359" s="2" t="str">
        <f ca="1">IFERROR(__xludf.DUMMYFUNCTION("""COMPUTED_VALUE"""),"Erika, Svanoe")</f>
        <v>Erika, Svanoe</v>
      </c>
      <c r="B9359" s="3">
        <f ca="1">IFERROR(__xludf.DUMMYFUNCTION("""COMPUTED_VALUE"""),2)</f>
        <v>2</v>
      </c>
      <c r="C9359" s="7">
        <f ca="1">IFERROR(__xludf.DUMMYFUNCTION("""COMPUTED_VALUE"""),2)</f>
        <v>2</v>
      </c>
      <c r="D9359" s="8">
        <f ca="1">IFERROR(__xludf.DUMMYFUNCTION("""COMPUTED_VALUE"""),2)</f>
        <v>2</v>
      </c>
      <c r="E9359" s="2">
        <f ca="1">IFERROR(__xludf.DUMMYFUNCTION("""COMPUTED_VALUE"""),1)</f>
        <v>1</v>
      </c>
    </row>
    <row r="9360" spans="1:5" ht="13">
      <c r="A9360" s="8" t="str">
        <f ca="1">IFERROR(__xludf.DUMMYFUNCTION("""COMPUTED_VALUE"""),"Erlewine, May")</f>
        <v>Erlewine, May</v>
      </c>
      <c r="B9360" s="3">
        <f ca="1">IFERROR(__xludf.DUMMYFUNCTION("""COMPUTED_VALUE"""),2)</f>
        <v>2</v>
      </c>
      <c r="C9360" s="7">
        <f ca="1">IFERROR(__xludf.DUMMYFUNCTION("""COMPUTED_VALUE"""),2)</f>
        <v>2</v>
      </c>
      <c r="D9360" s="8">
        <f ca="1">IFERROR(__xludf.DUMMYFUNCTION("""COMPUTED_VALUE"""),2)</f>
        <v>2</v>
      </c>
      <c r="E9360" s="3">
        <f ca="1">IFERROR(__xludf.DUMMYFUNCTION("""COMPUTED_VALUE"""),1)</f>
        <v>1</v>
      </c>
    </row>
    <row r="9361" spans="1:5" ht="13">
      <c r="A9361" s="2" t="str">
        <f ca="1">IFERROR(__xludf.DUMMYFUNCTION("""COMPUTED_VALUE"""),"Eshelman, Darla")</f>
        <v>Eshelman, Darla</v>
      </c>
      <c r="B9361" s="3">
        <f ca="1">IFERROR(__xludf.DUMMYFUNCTION("""COMPUTED_VALUE"""),2)</f>
        <v>2</v>
      </c>
      <c r="C9361" s="7">
        <f ca="1">IFERROR(__xludf.DUMMYFUNCTION("""COMPUTED_VALUE"""),2)</f>
        <v>2</v>
      </c>
      <c r="D9361" s="8">
        <f ca="1">IFERROR(__xludf.DUMMYFUNCTION("""COMPUTED_VALUE"""),2)</f>
        <v>2</v>
      </c>
      <c r="E9361" s="2">
        <f ca="1">IFERROR(__xludf.DUMMYFUNCTION("""COMPUTED_VALUE"""),1)</f>
        <v>1</v>
      </c>
    </row>
    <row r="9362" spans="1:5" ht="13">
      <c r="A9362" s="2" t="str">
        <f ca="1">IFERROR(__xludf.DUMMYFUNCTION("""COMPUTED_VALUE"""),"Estes, Laura")</f>
        <v>Estes, Laura</v>
      </c>
      <c r="B9362" s="2">
        <f ca="1">IFERROR(__xludf.DUMMYFUNCTION("""COMPUTED_VALUE"""),2)</f>
        <v>2</v>
      </c>
      <c r="C9362" s="7">
        <f ca="1">IFERROR(__xludf.DUMMYFUNCTION("""COMPUTED_VALUE"""),2)</f>
        <v>2</v>
      </c>
      <c r="D9362" s="8">
        <f ca="1">IFERROR(__xludf.DUMMYFUNCTION("""COMPUTED_VALUE"""),2)</f>
        <v>2</v>
      </c>
      <c r="E9362" s="2">
        <f ca="1">IFERROR(__xludf.DUMMYFUNCTION("""COMPUTED_VALUE"""),1)</f>
        <v>1</v>
      </c>
    </row>
    <row r="9363" spans="1:5" ht="13">
      <c r="A9363" s="2" t="str">
        <f ca="1">IFERROR(__xludf.DUMMYFUNCTION("""COMPUTED_VALUE"""),"Etezady, Roshanne")</f>
        <v>Etezady, Roshanne</v>
      </c>
      <c r="B9363" s="3">
        <f ca="1">IFERROR(__xludf.DUMMYFUNCTION("""COMPUTED_VALUE"""),2)</f>
        <v>2</v>
      </c>
      <c r="C9363" s="7">
        <f ca="1">IFERROR(__xludf.DUMMYFUNCTION("""COMPUTED_VALUE"""),2)</f>
        <v>2</v>
      </c>
      <c r="D9363" s="8">
        <f ca="1">IFERROR(__xludf.DUMMYFUNCTION("""COMPUTED_VALUE"""),2)</f>
        <v>2</v>
      </c>
      <c r="E9363" s="2">
        <f ca="1">IFERROR(__xludf.DUMMYFUNCTION("""COMPUTED_VALUE"""),1)</f>
        <v>1</v>
      </c>
    </row>
    <row r="9364" spans="1:5" ht="13">
      <c r="A9364" s="2" t="str">
        <f ca="1">IFERROR(__xludf.DUMMYFUNCTION("""COMPUTED_VALUE"""),"Evans, Cristine Temple")</f>
        <v>Evans, Cristine Temple</v>
      </c>
      <c r="B9364" s="3">
        <f ca="1">IFERROR(__xludf.DUMMYFUNCTION("""COMPUTED_VALUE"""),2)</f>
        <v>2</v>
      </c>
      <c r="C9364" s="7">
        <f ca="1">IFERROR(__xludf.DUMMYFUNCTION("""COMPUTED_VALUE"""),2)</f>
        <v>2</v>
      </c>
      <c r="D9364" s="8">
        <f ca="1">IFERROR(__xludf.DUMMYFUNCTION("""COMPUTED_VALUE"""),2)</f>
        <v>2</v>
      </c>
      <c r="E9364" s="2">
        <f ca="1">IFERROR(__xludf.DUMMYFUNCTION("""COMPUTED_VALUE"""),1)</f>
        <v>1</v>
      </c>
    </row>
    <row r="9365" spans="1:5" ht="13">
      <c r="A9365" s="2" t="str">
        <f ca="1">IFERROR(__xludf.DUMMYFUNCTION("""COMPUTED_VALUE"""),"Evans, Louise")</f>
        <v>Evans, Louise</v>
      </c>
      <c r="B9365" s="3">
        <f ca="1">IFERROR(__xludf.DUMMYFUNCTION("""COMPUTED_VALUE"""),2)</f>
        <v>2</v>
      </c>
      <c r="C9365" s="7">
        <f ca="1">IFERROR(__xludf.DUMMYFUNCTION("""COMPUTED_VALUE"""),2)</f>
        <v>2</v>
      </c>
      <c r="D9365" s="8">
        <f ca="1">IFERROR(__xludf.DUMMYFUNCTION("""COMPUTED_VALUE"""),2)</f>
        <v>2</v>
      </c>
      <c r="E9365" s="2">
        <f ca="1">IFERROR(__xludf.DUMMYFUNCTION("""COMPUTED_VALUE"""),1)</f>
        <v>1</v>
      </c>
    </row>
    <row r="9366" spans="1:5" ht="13">
      <c r="A9366" s="8" t="str">
        <f ca="1">IFERROR(__xludf.DUMMYFUNCTION("""COMPUTED_VALUE"""),"Ewing, Sue")</f>
        <v>Ewing, Sue</v>
      </c>
      <c r="B9366" s="3">
        <f ca="1">IFERROR(__xludf.DUMMYFUNCTION("""COMPUTED_VALUE"""),2)</f>
        <v>2</v>
      </c>
      <c r="C9366" s="7">
        <f ca="1">IFERROR(__xludf.DUMMYFUNCTION("""COMPUTED_VALUE"""),2)</f>
        <v>2</v>
      </c>
      <c r="D9366" s="8">
        <f ca="1">IFERROR(__xludf.DUMMYFUNCTION("""COMPUTED_VALUE"""),2)</f>
        <v>2</v>
      </c>
      <c r="E9366" s="2">
        <f ca="1">IFERROR(__xludf.DUMMYFUNCTION("""COMPUTED_VALUE"""),1)</f>
        <v>1</v>
      </c>
    </row>
    <row r="9367" spans="1:5" ht="13">
      <c r="A9367" s="2" t="str">
        <f ca="1">IFERROR(__xludf.DUMMYFUNCTION("""COMPUTED_VALUE"""),"Fairchild, Nancy")</f>
        <v>Fairchild, Nancy</v>
      </c>
      <c r="B9367" s="3">
        <f ca="1">IFERROR(__xludf.DUMMYFUNCTION("""COMPUTED_VALUE"""),2)</f>
        <v>2</v>
      </c>
      <c r="C9367" s="7">
        <f ca="1">IFERROR(__xludf.DUMMYFUNCTION("""COMPUTED_VALUE"""),2)</f>
        <v>2</v>
      </c>
      <c r="D9367" s="8">
        <f ca="1">IFERROR(__xludf.DUMMYFUNCTION("""COMPUTED_VALUE"""),2)</f>
        <v>2</v>
      </c>
      <c r="E9367" s="2">
        <f ca="1">IFERROR(__xludf.DUMMYFUNCTION("""COMPUTED_VALUE"""),1)</f>
        <v>1</v>
      </c>
    </row>
    <row r="9368" spans="1:5" ht="13">
      <c r="A9368" s="2" t="str">
        <f ca="1">IFERROR(__xludf.DUMMYFUNCTION("""COMPUTED_VALUE"""),"Falletta, JoAnn")</f>
        <v>Falletta, JoAnn</v>
      </c>
      <c r="B9368" s="3">
        <f ca="1">IFERROR(__xludf.DUMMYFUNCTION("""COMPUTED_VALUE"""),2)</f>
        <v>2</v>
      </c>
      <c r="C9368" s="7">
        <f ca="1">IFERROR(__xludf.DUMMYFUNCTION("""COMPUTED_VALUE"""),2)</f>
        <v>2</v>
      </c>
      <c r="D9368" s="8">
        <f ca="1">IFERROR(__xludf.DUMMYFUNCTION("""COMPUTED_VALUE"""),2)</f>
        <v>2</v>
      </c>
      <c r="E9368" s="2">
        <f ca="1">IFERROR(__xludf.DUMMYFUNCTION("""COMPUTED_VALUE"""),1)</f>
        <v>1</v>
      </c>
    </row>
    <row r="9369" spans="1:5" ht="13">
      <c r="A9369" s="8" t="str">
        <f ca="1">IFERROR(__xludf.DUMMYFUNCTION("""COMPUTED_VALUE"""),"Fanning, Vanessa")</f>
        <v>Fanning, Vanessa</v>
      </c>
      <c r="B9369" s="3">
        <f ca="1">IFERROR(__xludf.DUMMYFUNCTION("""COMPUTED_VALUE"""),2)</f>
        <v>2</v>
      </c>
      <c r="C9369" s="7">
        <f ca="1">IFERROR(__xludf.DUMMYFUNCTION("""COMPUTED_VALUE"""),2)</f>
        <v>2</v>
      </c>
      <c r="D9369" s="8">
        <f ca="1">IFERROR(__xludf.DUMMYFUNCTION("""COMPUTED_VALUE"""),2)</f>
        <v>2</v>
      </c>
      <c r="E9369" s="2">
        <f ca="1">IFERROR(__xludf.DUMMYFUNCTION("""COMPUTED_VALUE"""),1)</f>
        <v>1</v>
      </c>
    </row>
    <row r="9370" spans="1:5" ht="13">
      <c r="A9370" s="8" t="str">
        <f ca="1">IFERROR(__xludf.DUMMYFUNCTION("""COMPUTED_VALUE"""),"Farnell, Laura")</f>
        <v>Farnell, Laura</v>
      </c>
      <c r="B9370" s="3">
        <f ca="1">IFERROR(__xludf.DUMMYFUNCTION("""COMPUTED_VALUE"""),2)</f>
        <v>2</v>
      </c>
      <c r="C9370" s="7">
        <f ca="1">IFERROR(__xludf.DUMMYFUNCTION("""COMPUTED_VALUE"""),2)</f>
        <v>2</v>
      </c>
      <c r="D9370" s="8">
        <f ca="1">IFERROR(__xludf.DUMMYFUNCTION("""COMPUTED_VALUE"""),2)</f>
        <v>2</v>
      </c>
      <c r="E9370" s="2">
        <f ca="1">IFERROR(__xludf.DUMMYFUNCTION("""COMPUTED_VALUE"""),1)</f>
        <v>1</v>
      </c>
    </row>
    <row r="9371" spans="1:5" ht="13">
      <c r="A9371" s="2" t="str">
        <f ca="1">IFERROR(__xludf.DUMMYFUNCTION("""COMPUTED_VALUE"""),"Farnell, Linda")</f>
        <v>Farnell, Linda</v>
      </c>
      <c r="B9371" s="3">
        <f ca="1">IFERROR(__xludf.DUMMYFUNCTION("""COMPUTED_VALUE"""),2)</f>
        <v>2</v>
      </c>
      <c r="C9371" s="7">
        <f ca="1">IFERROR(__xludf.DUMMYFUNCTION("""COMPUTED_VALUE"""),2)</f>
        <v>2</v>
      </c>
      <c r="D9371" s="8">
        <f ca="1">IFERROR(__xludf.DUMMYFUNCTION("""COMPUTED_VALUE"""),2)</f>
        <v>2</v>
      </c>
      <c r="E9371" s="2">
        <f ca="1">IFERROR(__xludf.DUMMYFUNCTION("""COMPUTED_VALUE"""),1)</f>
        <v>1</v>
      </c>
    </row>
    <row r="9372" spans="1:5" ht="13">
      <c r="A9372" s="8" t="str">
        <f ca="1">IFERROR(__xludf.DUMMYFUNCTION("""COMPUTED_VALUE"""),"Farrar-Royce, Jan")</f>
        <v>Farrar-Royce, Jan</v>
      </c>
      <c r="B9372" s="3">
        <f ca="1">IFERROR(__xludf.DUMMYFUNCTION("""COMPUTED_VALUE"""),2)</f>
        <v>2</v>
      </c>
      <c r="C9372" s="7">
        <f ca="1">IFERROR(__xludf.DUMMYFUNCTION("""COMPUTED_VALUE"""),2)</f>
        <v>2</v>
      </c>
      <c r="D9372" s="8">
        <f ca="1">IFERROR(__xludf.DUMMYFUNCTION("""COMPUTED_VALUE"""),2)</f>
        <v>2</v>
      </c>
      <c r="E9372" s="2">
        <f ca="1">IFERROR(__xludf.DUMMYFUNCTION("""COMPUTED_VALUE"""),1)</f>
        <v>1</v>
      </c>
    </row>
    <row r="9373" spans="1:5" ht="13">
      <c r="A9373" s="2" t="str">
        <f ca="1">IFERROR(__xludf.DUMMYFUNCTION("""COMPUTED_VALUE"""),"Farrenc, Louise")</f>
        <v>Farrenc, Louise</v>
      </c>
      <c r="B9373" s="3">
        <f ca="1">IFERROR(__xludf.DUMMYFUNCTION("""COMPUTED_VALUE"""),2)</f>
        <v>2</v>
      </c>
      <c r="C9373" s="7">
        <f ca="1">IFERROR(__xludf.DUMMYFUNCTION("""COMPUTED_VALUE"""),2)</f>
        <v>2</v>
      </c>
      <c r="D9373" s="8">
        <f ca="1">IFERROR(__xludf.DUMMYFUNCTION("""COMPUTED_VALUE"""),6)</f>
        <v>6</v>
      </c>
      <c r="E9373" s="2">
        <f ca="1">IFERROR(__xludf.DUMMYFUNCTION("""COMPUTED_VALUE"""),2)</f>
        <v>2</v>
      </c>
    </row>
    <row r="9374" spans="1:5" ht="13">
      <c r="A9374" s="2" t="str">
        <f ca="1">IFERROR(__xludf.DUMMYFUNCTION("""COMPUTED_VALUE"""),"Feery, Amanda")</f>
        <v>Feery, Amanda</v>
      </c>
      <c r="B9374" s="2">
        <f ca="1">IFERROR(__xludf.DUMMYFUNCTION("""COMPUTED_VALUE"""),2)</f>
        <v>2</v>
      </c>
      <c r="C9374" s="7">
        <f ca="1">IFERROR(__xludf.DUMMYFUNCTION("""COMPUTED_VALUE"""),2)</f>
        <v>2</v>
      </c>
      <c r="D9374" s="8">
        <f ca="1">IFERROR(__xludf.DUMMYFUNCTION("""COMPUTED_VALUE"""),2)</f>
        <v>2</v>
      </c>
      <c r="E9374" s="2">
        <f ca="1">IFERROR(__xludf.DUMMYFUNCTION("""COMPUTED_VALUE"""),1)</f>
        <v>1</v>
      </c>
    </row>
    <row r="9375" spans="1:5" ht="13">
      <c r="A9375" s="2" t="str">
        <f ca="1">IFERROR(__xludf.DUMMYFUNCTION("""COMPUTED_VALUE"""),"Feld, Emily")</f>
        <v>Feld, Emily</v>
      </c>
      <c r="B9375" s="3">
        <f ca="1">IFERROR(__xludf.DUMMYFUNCTION("""COMPUTED_VALUE"""),2)</f>
        <v>2</v>
      </c>
      <c r="C9375" s="7">
        <f ca="1">IFERROR(__xludf.DUMMYFUNCTION("""COMPUTED_VALUE"""),2)</f>
        <v>2</v>
      </c>
      <c r="D9375" s="8">
        <f ca="1">IFERROR(__xludf.DUMMYFUNCTION("""COMPUTED_VALUE"""),2)</f>
        <v>2</v>
      </c>
      <c r="E9375" s="2">
        <f ca="1">IFERROR(__xludf.DUMMYFUNCTION("""COMPUTED_VALUE"""),1)</f>
        <v>1</v>
      </c>
    </row>
    <row r="9376" spans="1:5" ht="13">
      <c r="A9376" s="2" t="str">
        <f ca="1">IFERROR(__xludf.DUMMYFUNCTION("""COMPUTED_VALUE"""),"Fenske, Katheryn")</f>
        <v>Fenske, Katheryn</v>
      </c>
      <c r="B9376" s="3">
        <f ca="1">IFERROR(__xludf.DUMMYFUNCTION("""COMPUTED_VALUE"""),2)</f>
        <v>2</v>
      </c>
      <c r="C9376" s="7">
        <f ca="1">IFERROR(__xludf.DUMMYFUNCTION("""COMPUTED_VALUE"""),2)</f>
        <v>2</v>
      </c>
      <c r="D9376" s="8">
        <f ca="1">IFERROR(__xludf.DUMMYFUNCTION("""COMPUTED_VALUE"""),2)</f>
        <v>2</v>
      </c>
      <c r="E9376" s="2">
        <f ca="1">IFERROR(__xludf.DUMMYFUNCTION("""COMPUTED_VALUE"""),1)</f>
        <v>1</v>
      </c>
    </row>
    <row r="9377" spans="1:5" ht="13">
      <c r="A9377" s="8" t="str">
        <f ca="1">IFERROR(__xludf.DUMMYFUNCTION("""COMPUTED_VALUE"""),"Fenske, Margaret")</f>
        <v>Fenske, Margaret</v>
      </c>
      <c r="B9377" s="3">
        <f ca="1">IFERROR(__xludf.DUMMYFUNCTION("""COMPUTED_VALUE"""),2)</f>
        <v>2</v>
      </c>
      <c r="C9377" s="7">
        <f ca="1">IFERROR(__xludf.DUMMYFUNCTION("""COMPUTED_VALUE"""),2)</f>
        <v>2</v>
      </c>
      <c r="D9377" s="8">
        <f ca="1">IFERROR(__xludf.DUMMYFUNCTION("""COMPUTED_VALUE"""),2)</f>
        <v>2</v>
      </c>
      <c r="E9377" s="2">
        <f ca="1">IFERROR(__xludf.DUMMYFUNCTION("""COMPUTED_VALUE"""),1)</f>
        <v>1</v>
      </c>
    </row>
    <row r="9378" spans="1:5" ht="13">
      <c r="A9378" s="2" t="str">
        <f ca="1">IFERROR(__xludf.DUMMYFUNCTION("""COMPUTED_VALUE"""),"Ferenz, Amber")</f>
        <v>Ferenz, Amber</v>
      </c>
      <c r="B9378" s="3">
        <f ca="1">IFERROR(__xludf.DUMMYFUNCTION("""COMPUTED_VALUE"""),2)</f>
        <v>2</v>
      </c>
      <c r="C9378" s="7">
        <f ca="1">IFERROR(__xludf.DUMMYFUNCTION("""COMPUTED_VALUE"""),2)</f>
        <v>2</v>
      </c>
      <c r="D9378" s="8">
        <f ca="1">IFERROR(__xludf.DUMMYFUNCTION("""COMPUTED_VALUE"""),2)</f>
        <v>2</v>
      </c>
      <c r="E9378" s="2">
        <f ca="1">IFERROR(__xludf.DUMMYFUNCTION("""COMPUTED_VALUE"""),1)</f>
        <v>1</v>
      </c>
    </row>
    <row r="9379" spans="1:5" ht="13">
      <c r="A9379" s="2" t="str">
        <f ca="1">IFERROR(__xludf.DUMMYFUNCTION("""COMPUTED_VALUE"""),"Ferrari, Carlotta")</f>
        <v>Ferrari, Carlotta</v>
      </c>
      <c r="B9379" s="3">
        <f ca="1">IFERROR(__xludf.DUMMYFUNCTION("""COMPUTED_VALUE"""),2)</f>
        <v>2</v>
      </c>
      <c r="C9379" s="7">
        <f ca="1">IFERROR(__xludf.DUMMYFUNCTION("""COMPUTED_VALUE"""),2)</f>
        <v>2</v>
      </c>
      <c r="D9379" s="8">
        <f ca="1">IFERROR(__xludf.DUMMYFUNCTION("""COMPUTED_VALUE"""),6)</f>
        <v>6</v>
      </c>
      <c r="E9379" s="2">
        <f ca="1">IFERROR(__xludf.DUMMYFUNCTION("""COMPUTED_VALUE"""),2)</f>
        <v>2</v>
      </c>
    </row>
    <row r="9380" spans="1:5" ht="13">
      <c r="A9380" s="8" t="str">
        <f ca="1">IFERROR(__xludf.DUMMYFUNCTION("""COMPUTED_VALUE"""),"Fields, Catherine")</f>
        <v>Fields, Catherine</v>
      </c>
      <c r="B9380" s="3">
        <f ca="1">IFERROR(__xludf.DUMMYFUNCTION("""COMPUTED_VALUE"""),2)</f>
        <v>2</v>
      </c>
      <c r="C9380" s="7">
        <f ca="1">IFERROR(__xludf.DUMMYFUNCTION("""COMPUTED_VALUE"""),2)</f>
        <v>2</v>
      </c>
      <c r="D9380" s="8">
        <f ca="1">IFERROR(__xludf.DUMMYFUNCTION("""COMPUTED_VALUE"""),2)</f>
        <v>2</v>
      </c>
      <c r="E9380" s="2">
        <f ca="1">IFERROR(__xludf.DUMMYFUNCTION("""COMPUTED_VALUE"""),1)</f>
        <v>1</v>
      </c>
    </row>
    <row r="9381" spans="1:5" ht="13">
      <c r="A9381" s="2" t="str">
        <f ca="1">IFERROR(__xludf.DUMMYFUNCTION("""COMPUTED_VALUE"""),"Fin, Loreta")</f>
        <v>Fin, Loreta</v>
      </c>
      <c r="B9381" s="2">
        <f ca="1">IFERROR(__xludf.DUMMYFUNCTION("""COMPUTED_VALUE"""),2)</f>
        <v>2</v>
      </c>
      <c r="C9381" s="7">
        <f ca="1">IFERROR(__xludf.DUMMYFUNCTION("""COMPUTED_VALUE"""),2)</f>
        <v>2</v>
      </c>
      <c r="D9381" s="8">
        <f ca="1">IFERROR(__xludf.DUMMYFUNCTION("""COMPUTED_VALUE"""),2)</f>
        <v>2</v>
      </c>
      <c r="E9381" s="2">
        <f ca="1">IFERROR(__xludf.DUMMYFUNCTION("""COMPUTED_VALUE"""),1)</f>
        <v>1</v>
      </c>
    </row>
    <row r="9382" spans="1:5" ht="13">
      <c r="A9382" s="2" t="str">
        <f ca="1">IFERROR(__xludf.DUMMYFUNCTION("""COMPUTED_VALUE"""),"Finck, Ledah")</f>
        <v>Finck, Ledah</v>
      </c>
      <c r="B9382" s="3">
        <f ca="1">IFERROR(__xludf.DUMMYFUNCTION("""COMPUTED_VALUE"""),2)</f>
        <v>2</v>
      </c>
      <c r="C9382" s="7">
        <f ca="1">IFERROR(__xludf.DUMMYFUNCTION("""COMPUTED_VALUE"""),2)</f>
        <v>2</v>
      </c>
      <c r="D9382" s="8">
        <f ca="1">IFERROR(__xludf.DUMMYFUNCTION("""COMPUTED_VALUE"""),2)</f>
        <v>2</v>
      </c>
      <c r="E9382" s="2">
        <f ca="1">IFERROR(__xludf.DUMMYFUNCTION("""COMPUTED_VALUE"""),1)</f>
        <v>1</v>
      </c>
    </row>
    <row r="9383" spans="1:5" ht="13">
      <c r="A9383" s="2" t="str">
        <f ca="1">IFERROR(__xludf.DUMMYFUNCTION("""COMPUTED_VALUE"""),"Fine, Elaine")</f>
        <v>Fine, Elaine</v>
      </c>
      <c r="B9383" s="3">
        <f ca="1">IFERROR(__xludf.DUMMYFUNCTION("""COMPUTED_VALUE"""),2)</f>
        <v>2</v>
      </c>
      <c r="C9383" s="7">
        <f ca="1">IFERROR(__xludf.DUMMYFUNCTION("""COMPUTED_VALUE"""),2)</f>
        <v>2</v>
      </c>
      <c r="D9383" s="8">
        <f ca="1">IFERROR(__xludf.DUMMYFUNCTION("""COMPUTED_VALUE"""),2)</f>
        <v>2</v>
      </c>
      <c r="E9383" s="2">
        <f ca="1">IFERROR(__xludf.DUMMYFUNCTION("""COMPUTED_VALUE"""),1)</f>
        <v>1</v>
      </c>
    </row>
    <row r="9384" spans="1:5" ht="13">
      <c r="A9384" s="2" t="str">
        <f ca="1">IFERROR(__xludf.DUMMYFUNCTION("""COMPUTED_VALUE"""),"Fine, Vivian")</f>
        <v>Fine, Vivian</v>
      </c>
      <c r="B9384" s="3">
        <f ca="1">IFERROR(__xludf.DUMMYFUNCTION("""COMPUTED_VALUE"""),2)</f>
        <v>2</v>
      </c>
      <c r="C9384" s="7">
        <f ca="1">IFERROR(__xludf.DUMMYFUNCTION("""COMPUTED_VALUE"""),2)</f>
        <v>2</v>
      </c>
      <c r="D9384" s="8">
        <f ca="1">IFERROR(__xludf.DUMMYFUNCTION("""COMPUTED_VALUE"""),6)</f>
        <v>6</v>
      </c>
      <c r="E9384" s="2">
        <f ca="1">IFERROR(__xludf.DUMMYFUNCTION("""COMPUTED_VALUE"""),2)</f>
        <v>2</v>
      </c>
    </row>
    <row r="9385" spans="1:5" ht="13">
      <c r="A9385" s="8" t="str">
        <f ca="1">IFERROR(__xludf.DUMMYFUNCTION("""COMPUTED_VALUE"""),"Finley, Lorraine Noel")</f>
        <v>Finley, Lorraine Noel</v>
      </c>
      <c r="B9385" s="3">
        <f ca="1">IFERROR(__xludf.DUMMYFUNCTION("""COMPUTED_VALUE"""),2)</f>
        <v>2</v>
      </c>
      <c r="C9385" s="7">
        <f ca="1">IFERROR(__xludf.DUMMYFUNCTION("""COMPUTED_VALUE"""),2)</f>
        <v>2</v>
      </c>
      <c r="D9385" s="8" t="str">
        <f ca="1">IFERROR(__xludf.DUMMYFUNCTION("""COMPUTED_VALUE"""),"")</f>
        <v/>
      </c>
      <c r="E9385" s="8" t="str">
        <f ca="1">IFERROR(__xludf.DUMMYFUNCTION("""COMPUTED_VALUE"""),"2")</f>
        <v>2</v>
      </c>
    </row>
    <row r="9386" spans="1:5" ht="13">
      <c r="A9386" s="2" t="str">
        <f ca="1">IFERROR(__xludf.DUMMYFUNCTION("""COMPUTED_VALUE"""),"Finton, Janelle")</f>
        <v>Finton, Janelle</v>
      </c>
      <c r="B9386" s="3">
        <f ca="1">IFERROR(__xludf.DUMMYFUNCTION("""COMPUTED_VALUE"""),2)</f>
        <v>2</v>
      </c>
      <c r="C9386" s="7">
        <f ca="1">IFERROR(__xludf.DUMMYFUNCTION("""COMPUTED_VALUE"""),2)</f>
        <v>2</v>
      </c>
      <c r="D9386" s="8">
        <f ca="1">IFERROR(__xludf.DUMMYFUNCTION("""COMPUTED_VALUE"""),2)</f>
        <v>2</v>
      </c>
      <c r="E9386" s="2">
        <f ca="1">IFERROR(__xludf.DUMMYFUNCTION("""COMPUTED_VALUE"""),1)</f>
        <v>1</v>
      </c>
    </row>
    <row r="9387" spans="1:5" ht="13">
      <c r="A9387" s="2" t="str">
        <f ca="1">IFERROR(__xludf.DUMMYFUNCTION("""COMPUTED_VALUE"""),"Firsova, Alissa")</f>
        <v>Firsova, Alissa</v>
      </c>
      <c r="B9387" s="3">
        <f ca="1">IFERROR(__xludf.DUMMYFUNCTION("""COMPUTED_VALUE"""),2)</f>
        <v>2</v>
      </c>
      <c r="C9387" s="7">
        <f ca="1">IFERROR(__xludf.DUMMYFUNCTION("""COMPUTED_VALUE"""),2)</f>
        <v>2</v>
      </c>
      <c r="D9387" s="8">
        <f ca="1">IFERROR(__xludf.DUMMYFUNCTION("""COMPUTED_VALUE"""),2)</f>
        <v>2</v>
      </c>
      <c r="E9387" s="2">
        <f ca="1">IFERROR(__xludf.DUMMYFUNCTION("""COMPUTED_VALUE"""),1)</f>
        <v>1</v>
      </c>
    </row>
    <row r="9388" spans="1:5" ht="13">
      <c r="A9388" s="2" t="str">
        <f ca="1">IFERROR(__xludf.DUMMYFUNCTION("""COMPUTED_VALUE"""),"Firsova, Elena")</f>
        <v>Firsova, Elena</v>
      </c>
      <c r="B9388" s="3">
        <f ca="1">IFERROR(__xludf.DUMMYFUNCTION("""COMPUTED_VALUE"""),2)</f>
        <v>2</v>
      </c>
      <c r="C9388" s="7">
        <f ca="1">IFERROR(__xludf.DUMMYFUNCTION("""COMPUTED_VALUE"""),2)</f>
        <v>2</v>
      </c>
      <c r="D9388" s="8">
        <f ca="1">IFERROR(__xludf.DUMMYFUNCTION("""COMPUTED_VALUE"""),2)</f>
        <v>2</v>
      </c>
      <c r="E9388" s="2">
        <f ca="1">IFERROR(__xludf.DUMMYFUNCTION("""COMPUTED_VALUE"""),1)</f>
        <v>1</v>
      </c>
    </row>
    <row r="9389" spans="1:5" ht="13">
      <c r="A9389" s="2" t="str">
        <f ca="1">IFERROR(__xludf.DUMMYFUNCTION("""COMPUTED_VALUE"""),"Fishburn, Kathy L.")</f>
        <v>Fishburn, Kathy L.</v>
      </c>
      <c r="B9389" s="3">
        <f ca="1">IFERROR(__xludf.DUMMYFUNCTION("""COMPUTED_VALUE"""),2)</f>
        <v>2</v>
      </c>
      <c r="C9389" s="7">
        <f ca="1">IFERROR(__xludf.DUMMYFUNCTION("""COMPUTED_VALUE"""),2)</f>
        <v>2</v>
      </c>
      <c r="D9389" s="8">
        <f ca="1">IFERROR(__xludf.DUMMYFUNCTION("""COMPUTED_VALUE"""),2)</f>
        <v>2</v>
      </c>
      <c r="E9389" s="2">
        <f ca="1">IFERROR(__xludf.DUMMYFUNCTION("""COMPUTED_VALUE"""),1)</f>
        <v>1</v>
      </c>
    </row>
    <row r="9390" spans="1:5" ht="13">
      <c r="A9390" s="2" t="str">
        <f ca="1">IFERROR(__xludf.DUMMYFUNCTION("""COMPUTED_VALUE"""),"Fisher, Danielle")</f>
        <v>Fisher, Danielle</v>
      </c>
      <c r="B9390" s="2">
        <f ca="1">IFERROR(__xludf.DUMMYFUNCTION("""COMPUTED_VALUE"""),2)</f>
        <v>2</v>
      </c>
      <c r="C9390" s="7">
        <f ca="1">IFERROR(__xludf.DUMMYFUNCTION("""COMPUTED_VALUE"""),2)</f>
        <v>2</v>
      </c>
      <c r="D9390" s="8">
        <f ca="1">IFERROR(__xludf.DUMMYFUNCTION("""COMPUTED_VALUE"""),2)</f>
        <v>2</v>
      </c>
      <c r="E9390" s="2">
        <f ca="1">IFERROR(__xludf.DUMMYFUNCTION("""COMPUTED_VALUE"""),1)</f>
        <v>1</v>
      </c>
    </row>
    <row r="9391" spans="1:5" ht="13">
      <c r="A9391" s="2" t="str">
        <f ca="1">IFERROR(__xludf.DUMMYFUNCTION("""COMPUTED_VALUE"""),"Flagello, Gala")</f>
        <v>Flagello, Gala</v>
      </c>
      <c r="B9391" s="3">
        <f ca="1">IFERROR(__xludf.DUMMYFUNCTION("""COMPUTED_VALUE"""),2)</f>
        <v>2</v>
      </c>
      <c r="C9391" s="7">
        <f ca="1">IFERROR(__xludf.DUMMYFUNCTION("""COMPUTED_VALUE"""),2)</f>
        <v>2</v>
      </c>
      <c r="D9391" s="8">
        <f ca="1">IFERROR(__xludf.DUMMYFUNCTION("""COMPUTED_VALUE"""),2)</f>
        <v>2</v>
      </c>
      <c r="E9391" s="2">
        <f ca="1">IFERROR(__xludf.DUMMYFUNCTION("""COMPUTED_VALUE"""),1)</f>
        <v>1</v>
      </c>
    </row>
    <row r="9392" spans="1:5" ht="13">
      <c r="A9392" s="2" t="str">
        <f ca="1">IFERROR(__xludf.DUMMYFUNCTION("""COMPUTED_VALUE"""),"Flannigan, Jessica")</f>
        <v>Flannigan, Jessica</v>
      </c>
      <c r="B9392" s="3">
        <f ca="1">IFERROR(__xludf.DUMMYFUNCTION("""COMPUTED_VALUE"""),2)</f>
        <v>2</v>
      </c>
      <c r="C9392" s="7">
        <f ca="1">IFERROR(__xludf.DUMMYFUNCTION("""COMPUTED_VALUE"""),2)</f>
        <v>2</v>
      </c>
      <c r="D9392" s="8">
        <f ca="1">IFERROR(__xludf.DUMMYFUNCTION("""COMPUTED_VALUE"""),2)</f>
        <v>2</v>
      </c>
      <c r="E9392" s="2">
        <f ca="1">IFERROR(__xludf.DUMMYFUNCTION("""COMPUTED_VALUE"""),1)</f>
        <v>1</v>
      </c>
    </row>
    <row r="9393" spans="1:5" ht="13">
      <c r="A9393" s="2" t="str">
        <f ca="1">IFERROR(__xludf.DUMMYFUNCTION("""COMPUTED_VALUE"""),"Folio, Cynthia")</f>
        <v>Folio, Cynthia</v>
      </c>
      <c r="B9393" s="3">
        <f ca="1">IFERROR(__xludf.DUMMYFUNCTION("""COMPUTED_VALUE"""),2)</f>
        <v>2</v>
      </c>
      <c r="C9393" s="7">
        <f ca="1">IFERROR(__xludf.DUMMYFUNCTION("""COMPUTED_VALUE"""),2)</f>
        <v>2</v>
      </c>
      <c r="D9393" s="8">
        <f ca="1">IFERROR(__xludf.DUMMYFUNCTION("""COMPUTED_VALUE"""),2)</f>
        <v>2</v>
      </c>
      <c r="E9393" s="2">
        <f ca="1">IFERROR(__xludf.DUMMYFUNCTION("""COMPUTED_VALUE"""),1)</f>
        <v>1</v>
      </c>
    </row>
    <row r="9394" spans="1:5" ht="13">
      <c r="A9394" s="2" t="str">
        <f ca="1">IFERROR(__xludf.DUMMYFUNCTION("""COMPUTED_VALUE"""),"Ford, Sandra T.")</f>
        <v>Ford, Sandra T.</v>
      </c>
      <c r="B9394" s="3">
        <f ca="1">IFERROR(__xludf.DUMMYFUNCTION("""COMPUTED_VALUE"""),2)</f>
        <v>2</v>
      </c>
      <c r="C9394" s="7">
        <f ca="1">IFERROR(__xludf.DUMMYFUNCTION("""COMPUTED_VALUE"""),2)</f>
        <v>2</v>
      </c>
      <c r="D9394" s="8">
        <f ca="1">IFERROR(__xludf.DUMMYFUNCTION("""COMPUTED_VALUE"""),2)</f>
        <v>2</v>
      </c>
      <c r="E9394" s="2">
        <f ca="1">IFERROR(__xludf.DUMMYFUNCTION("""COMPUTED_VALUE"""),1)</f>
        <v>1</v>
      </c>
    </row>
    <row r="9395" spans="1:5" ht="13">
      <c r="A9395" s="2" t="str">
        <f ca="1">IFERROR(__xludf.DUMMYFUNCTION("""COMPUTED_VALUE"""),"Forman, Marianne")</f>
        <v>Forman, Marianne</v>
      </c>
      <c r="B9395" s="3">
        <f ca="1">IFERROR(__xludf.DUMMYFUNCTION("""COMPUTED_VALUE"""),2)</f>
        <v>2</v>
      </c>
      <c r="C9395" s="7">
        <f ca="1">IFERROR(__xludf.DUMMYFUNCTION("""COMPUTED_VALUE"""),2)</f>
        <v>2</v>
      </c>
      <c r="D9395" s="8">
        <f ca="1">IFERROR(__xludf.DUMMYFUNCTION("""COMPUTED_VALUE"""),2)</f>
        <v>2</v>
      </c>
      <c r="E9395" s="2">
        <f ca="1">IFERROR(__xludf.DUMMYFUNCTION("""COMPUTED_VALUE"""),1)</f>
        <v>1</v>
      </c>
    </row>
    <row r="9396" spans="1:5" ht="13">
      <c r="A9396" s="2" t="str">
        <f ca="1">IFERROR(__xludf.DUMMYFUNCTION("""COMPUTED_VALUE"""),"Forsyth, Rachael")</f>
        <v>Forsyth, Rachael</v>
      </c>
      <c r="B9396" s="2">
        <f ca="1">IFERROR(__xludf.DUMMYFUNCTION("""COMPUTED_VALUE"""),2)</f>
        <v>2</v>
      </c>
      <c r="C9396" s="7">
        <f ca="1">IFERROR(__xludf.DUMMYFUNCTION("""COMPUTED_VALUE"""),2)</f>
        <v>2</v>
      </c>
      <c r="D9396" s="8">
        <f ca="1">IFERROR(__xludf.DUMMYFUNCTION("""COMPUTED_VALUE"""),2)</f>
        <v>2</v>
      </c>
      <c r="E9396" s="2">
        <f ca="1">IFERROR(__xludf.DUMMYFUNCTION("""COMPUTED_VALUE"""),1)</f>
        <v>1</v>
      </c>
    </row>
    <row r="9397" spans="1:5" ht="13">
      <c r="A9397" s="2" t="str">
        <f ca="1">IFERROR(__xludf.DUMMYFUNCTION("""COMPUTED_VALUE"""),"Fragoso, Daisy")</f>
        <v>Fragoso, Daisy</v>
      </c>
      <c r="B9397" s="3">
        <f ca="1">IFERROR(__xludf.DUMMYFUNCTION("""COMPUTED_VALUE"""),2)</f>
        <v>2</v>
      </c>
      <c r="C9397" s="7">
        <f ca="1">IFERROR(__xludf.DUMMYFUNCTION("""COMPUTED_VALUE"""),2)</f>
        <v>2</v>
      </c>
      <c r="D9397" s="8">
        <f ca="1">IFERROR(__xludf.DUMMYFUNCTION("""COMPUTED_VALUE"""),2)</f>
        <v>2</v>
      </c>
      <c r="E9397" s="2">
        <f ca="1">IFERROR(__xludf.DUMMYFUNCTION("""COMPUTED_VALUE"""),1)</f>
        <v>1</v>
      </c>
    </row>
    <row r="9398" spans="1:5" ht="13">
      <c r="A9398" s="2" t="str">
        <f ca="1">IFERROR(__xludf.DUMMYFUNCTION("""COMPUTED_VALUE"""),"Franklin, Glenda")</f>
        <v>Franklin, Glenda</v>
      </c>
      <c r="B9398" s="3">
        <f ca="1">IFERROR(__xludf.DUMMYFUNCTION("""COMPUTED_VALUE"""),2)</f>
        <v>2</v>
      </c>
      <c r="C9398" s="7">
        <f ca="1">IFERROR(__xludf.DUMMYFUNCTION("""COMPUTED_VALUE"""),2)</f>
        <v>2</v>
      </c>
      <c r="D9398" s="8">
        <f ca="1">IFERROR(__xludf.DUMMYFUNCTION("""COMPUTED_VALUE"""),2)</f>
        <v>2</v>
      </c>
      <c r="E9398" s="2">
        <f ca="1">IFERROR(__xludf.DUMMYFUNCTION("""COMPUTED_VALUE"""),1)</f>
        <v>1</v>
      </c>
    </row>
    <row r="9399" spans="1:5" ht="13">
      <c r="A9399" s="2" t="str">
        <f ca="1">IFERROR(__xludf.DUMMYFUNCTION("""COMPUTED_VALUE"""),"Frasier, Jane")</f>
        <v>Frasier, Jane</v>
      </c>
      <c r="B9399" s="3">
        <f ca="1">IFERROR(__xludf.DUMMYFUNCTION("""COMPUTED_VALUE"""),2)</f>
        <v>2</v>
      </c>
      <c r="C9399" s="7">
        <f ca="1">IFERROR(__xludf.DUMMYFUNCTION("""COMPUTED_VALUE"""),2)</f>
        <v>2</v>
      </c>
      <c r="D9399" s="8">
        <f ca="1">IFERROR(__xludf.DUMMYFUNCTION("""COMPUTED_VALUE"""),2)</f>
        <v>2</v>
      </c>
      <c r="E9399" s="2">
        <f ca="1">IFERROR(__xludf.DUMMYFUNCTION("""COMPUTED_VALUE"""),1)</f>
        <v>1</v>
      </c>
    </row>
    <row r="9400" spans="1:5" ht="13">
      <c r="A9400" s="8" t="str">
        <f ca="1">IFERROR(__xludf.DUMMYFUNCTION("""COMPUTED_VALUE"""),"French, Jessica")</f>
        <v>French, Jessica</v>
      </c>
      <c r="B9400" s="3">
        <f ca="1">IFERROR(__xludf.DUMMYFUNCTION("""COMPUTED_VALUE"""),2)</f>
        <v>2</v>
      </c>
      <c r="C9400" s="7">
        <f ca="1">IFERROR(__xludf.DUMMYFUNCTION("""COMPUTED_VALUE"""),2)</f>
        <v>2</v>
      </c>
      <c r="D9400" s="8">
        <f ca="1">IFERROR(__xludf.DUMMYFUNCTION("""COMPUTED_VALUE"""),2)</f>
        <v>2</v>
      </c>
      <c r="E9400" s="2">
        <f ca="1">IFERROR(__xludf.DUMMYFUNCTION("""COMPUTED_VALUE"""),1)</f>
        <v>1</v>
      </c>
    </row>
    <row r="9401" spans="1:5" ht="13">
      <c r="A9401" s="2" t="str">
        <f ca="1">IFERROR(__xludf.DUMMYFUNCTION("""COMPUTED_VALUE"""),"Friedersdorf, Jill")</f>
        <v>Friedersdorf, Jill</v>
      </c>
      <c r="B9401" s="3">
        <f ca="1">IFERROR(__xludf.DUMMYFUNCTION("""COMPUTED_VALUE"""),2)</f>
        <v>2</v>
      </c>
      <c r="C9401" s="7">
        <f ca="1">IFERROR(__xludf.DUMMYFUNCTION("""COMPUTED_VALUE"""),2)</f>
        <v>2</v>
      </c>
      <c r="D9401" s="8">
        <f ca="1">IFERROR(__xludf.DUMMYFUNCTION("""COMPUTED_VALUE"""),2)</f>
        <v>2</v>
      </c>
      <c r="E9401" s="2">
        <f ca="1">IFERROR(__xludf.DUMMYFUNCTION("""COMPUTED_VALUE"""),1)</f>
        <v>1</v>
      </c>
    </row>
    <row r="9402" spans="1:5" ht="13">
      <c r="A9402" s="2" t="str">
        <f ca="1">IFERROR(__xludf.DUMMYFUNCTION("""COMPUTED_VALUE"""),"Friedersdorf, Jill / Dwyer, Ruth E.")</f>
        <v>Friedersdorf, Jill / Dwyer, Ruth E.</v>
      </c>
      <c r="B9402" s="3">
        <f ca="1">IFERROR(__xludf.DUMMYFUNCTION("""COMPUTED_VALUE"""),2)</f>
        <v>2</v>
      </c>
      <c r="C9402" s="7">
        <f ca="1">IFERROR(__xludf.DUMMYFUNCTION("""COMPUTED_VALUE"""),2)</f>
        <v>2</v>
      </c>
      <c r="D9402" s="8">
        <f ca="1">IFERROR(__xludf.DUMMYFUNCTION("""COMPUTED_VALUE"""),2)</f>
        <v>2</v>
      </c>
      <c r="E9402" s="2">
        <f ca="1">IFERROR(__xludf.DUMMYFUNCTION("""COMPUTED_VALUE"""),1)</f>
        <v>1</v>
      </c>
    </row>
    <row r="9403" spans="1:5" ht="13">
      <c r="A9403" s="2" t="str">
        <f ca="1">IFERROR(__xludf.DUMMYFUNCTION("""COMPUTED_VALUE"""),"Friedersdorf, Jill / Malvar-Keylock, Melissa")</f>
        <v>Friedersdorf, Jill / Malvar-Keylock, Melissa</v>
      </c>
      <c r="B9403" s="3">
        <f ca="1">IFERROR(__xludf.DUMMYFUNCTION("""COMPUTED_VALUE"""),2)</f>
        <v>2</v>
      </c>
      <c r="C9403" s="7">
        <f ca="1">IFERROR(__xludf.DUMMYFUNCTION("""COMPUTED_VALUE"""),2)</f>
        <v>2</v>
      </c>
      <c r="D9403" s="8">
        <f ca="1">IFERROR(__xludf.DUMMYFUNCTION("""COMPUTED_VALUE"""),2)</f>
        <v>2</v>
      </c>
      <c r="E9403" s="2">
        <f ca="1">IFERROR(__xludf.DUMMYFUNCTION("""COMPUTED_VALUE"""),1)</f>
        <v>1</v>
      </c>
    </row>
    <row r="9404" spans="1:5" ht="13">
      <c r="A9404" s="8" t="str">
        <f ca="1">IFERROR(__xludf.DUMMYFUNCTION("""COMPUTED_VALUE"""),"Friedman, Debbie")</f>
        <v>Friedman, Debbie</v>
      </c>
      <c r="B9404" s="3">
        <f ca="1">IFERROR(__xludf.DUMMYFUNCTION("""COMPUTED_VALUE"""),2)</f>
        <v>2</v>
      </c>
      <c r="C9404" s="7">
        <f ca="1">IFERROR(__xludf.DUMMYFUNCTION("""COMPUTED_VALUE"""),2)</f>
        <v>2</v>
      </c>
      <c r="D9404" s="8">
        <f ca="1">IFERROR(__xludf.DUMMYFUNCTION("""COMPUTED_VALUE"""),6)</f>
        <v>6</v>
      </c>
      <c r="E9404" s="2">
        <f ca="1">IFERROR(__xludf.DUMMYFUNCTION("""COMPUTED_VALUE"""),2)</f>
        <v>2</v>
      </c>
    </row>
    <row r="9405" spans="1:5" ht="13">
      <c r="A9405" s="2" t="str">
        <f ca="1">IFERROR(__xludf.DUMMYFUNCTION("""COMPUTED_VALUE"""),"Fritz, Marjorie")</f>
        <v>Fritz, Marjorie</v>
      </c>
      <c r="B9405" s="3">
        <f ca="1">IFERROR(__xludf.DUMMYFUNCTION("""COMPUTED_VALUE"""),2)</f>
        <v>2</v>
      </c>
      <c r="C9405" s="7">
        <f ca="1">IFERROR(__xludf.DUMMYFUNCTION("""COMPUTED_VALUE"""),2)</f>
        <v>2</v>
      </c>
      <c r="D9405" s="8">
        <f ca="1">IFERROR(__xludf.DUMMYFUNCTION("""COMPUTED_VALUE"""),2)</f>
        <v>2</v>
      </c>
      <c r="E9405" s="2">
        <f ca="1">IFERROR(__xludf.DUMMYFUNCTION("""COMPUTED_VALUE"""),1)</f>
        <v>1</v>
      </c>
    </row>
    <row r="9406" spans="1:5" ht="13">
      <c r="A9406" s="2" t="str">
        <f ca="1">IFERROR(__xludf.DUMMYFUNCTION("""COMPUTED_VALUE"""),"Fujiwara, Korine")</f>
        <v>Fujiwara, Korine</v>
      </c>
      <c r="B9406" s="3">
        <f ca="1">IFERROR(__xludf.DUMMYFUNCTION("""COMPUTED_VALUE"""),2)</f>
        <v>2</v>
      </c>
      <c r="C9406" s="7">
        <f ca="1">IFERROR(__xludf.DUMMYFUNCTION("""COMPUTED_VALUE"""),2)</f>
        <v>2</v>
      </c>
      <c r="D9406" s="8">
        <f ca="1">IFERROR(__xludf.DUMMYFUNCTION("""COMPUTED_VALUE"""),2)</f>
        <v>2</v>
      </c>
      <c r="E9406" s="2">
        <f ca="1">IFERROR(__xludf.DUMMYFUNCTION("""COMPUTED_VALUE"""),1)</f>
        <v>1</v>
      </c>
    </row>
    <row r="9407" spans="1:5" ht="13">
      <c r="A9407" s="2" t="str">
        <f ca="1">IFERROR(__xludf.DUMMYFUNCTION("""COMPUTED_VALUE"""),"Fuller, Jeanne Weaver")</f>
        <v>Fuller, Jeanne Weaver</v>
      </c>
      <c r="B9407" s="3">
        <f ca="1">IFERROR(__xludf.DUMMYFUNCTION("""COMPUTED_VALUE"""),2)</f>
        <v>2</v>
      </c>
      <c r="C9407" s="7">
        <f ca="1">IFERROR(__xludf.DUMMYFUNCTION("""COMPUTED_VALUE"""),2)</f>
        <v>2</v>
      </c>
      <c r="D9407" s="8">
        <f ca="1">IFERROR(__xludf.DUMMYFUNCTION("""COMPUTED_VALUE"""),6)</f>
        <v>6</v>
      </c>
      <c r="E9407" s="2">
        <f ca="1">IFERROR(__xludf.DUMMYFUNCTION("""COMPUTED_VALUE"""),2)</f>
        <v>2</v>
      </c>
    </row>
    <row r="9408" spans="1:5" ht="13">
      <c r="A9408" s="2" t="str">
        <f ca="1">IFERROR(__xludf.DUMMYFUNCTION("""COMPUTED_VALUE"""),"Fulton, Ruby")</f>
        <v>Fulton, Ruby</v>
      </c>
      <c r="B9408" s="3">
        <f ca="1">IFERROR(__xludf.DUMMYFUNCTION("""COMPUTED_VALUE"""),2)</f>
        <v>2</v>
      </c>
      <c r="C9408" s="7">
        <f ca="1">IFERROR(__xludf.DUMMYFUNCTION("""COMPUTED_VALUE"""),2)</f>
        <v>2</v>
      </c>
      <c r="D9408" s="8">
        <f ca="1">IFERROR(__xludf.DUMMYFUNCTION("""COMPUTED_VALUE"""),2)</f>
        <v>2</v>
      </c>
      <c r="E9408" s="2">
        <f ca="1">IFERROR(__xludf.DUMMYFUNCTION("""COMPUTED_VALUE"""),1)</f>
        <v>1</v>
      </c>
    </row>
    <row r="9409" spans="1:5" ht="13">
      <c r="A9409" s="2" t="str">
        <f ca="1">IFERROR(__xludf.DUMMYFUNCTION("""COMPUTED_VALUE"""),"Gabrielle, Angelique J.")</f>
        <v>Gabrielle, Angelique J.</v>
      </c>
      <c r="B9409" s="3">
        <f ca="1">IFERROR(__xludf.DUMMYFUNCTION("""COMPUTED_VALUE"""),2)</f>
        <v>2</v>
      </c>
      <c r="C9409" s="7">
        <f ca="1">IFERROR(__xludf.DUMMYFUNCTION("""COMPUTED_VALUE"""),2)</f>
        <v>2</v>
      </c>
      <c r="D9409" s="8">
        <f ca="1">IFERROR(__xludf.DUMMYFUNCTION("""COMPUTED_VALUE"""),2)</f>
        <v>2</v>
      </c>
      <c r="E9409" s="2">
        <f ca="1">IFERROR(__xludf.DUMMYFUNCTION("""COMPUTED_VALUE"""),1)</f>
        <v>1</v>
      </c>
    </row>
    <row r="9410" spans="1:5" ht="13">
      <c r="A9410" s="2" t="str">
        <f ca="1">IFERROR(__xludf.DUMMYFUNCTION("""COMPUTED_VALUE"""),"Gackle, Lynn")</f>
        <v>Gackle, Lynn</v>
      </c>
      <c r="B9410" s="2">
        <f ca="1">IFERROR(__xludf.DUMMYFUNCTION("""COMPUTED_VALUE"""),2)</f>
        <v>2</v>
      </c>
      <c r="C9410" s="2">
        <f ca="1">IFERROR(__xludf.DUMMYFUNCTION("""COMPUTED_VALUE"""),2)</f>
        <v>2</v>
      </c>
      <c r="D9410" s="8">
        <f ca="1">IFERROR(__xludf.DUMMYFUNCTION("""COMPUTED_VALUE"""),2)</f>
        <v>2</v>
      </c>
      <c r="E9410" s="2">
        <f ca="1">IFERROR(__xludf.DUMMYFUNCTION("""COMPUTED_VALUE"""),1)</f>
        <v>1</v>
      </c>
    </row>
    <row r="9411" spans="1:5" ht="13">
      <c r="A9411" s="2" t="str">
        <f ca="1">IFERROR(__xludf.DUMMYFUNCTION("""COMPUTED_VALUE"""),"Galbraith, Nancy")</f>
        <v>Galbraith, Nancy</v>
      </c>
      <c r="B9411" s="3">
        <f ca="1">IFERROR(__xludf.DUMMYFUNCTION("""COMPUTED_VALUE"""),2)</f>
        <v>2</v>
      </c>
      <c r="C9411" s="7">
        <f ca="1">IFERROR(__xludf.DUMMYFUNCTION("""COMPUTED_VALUE"""),2)</f>
        <v>2</v>
      </c>
      <c r="D9411" s="8">
        <f ca="1">IFERROR(__xludf.DUMMYFUNCTION("""COMPUTED_VALUE"""),2)</f>
        <v>2</v>
      </c>
      <c r="E9411" s="2">
        <f ca="1">IFERROR(__xludf.DUMMYFUNCTION("""COMPUTED_VALUE"""),1)</f>
        <v>1</v>
      </c>
    </row>
    <row r="9412" spans="1:5" ht="13">
      <c r="A9412" s="2" t="str">
        <f ca="1">IFERROR(__xludf.DUMMYFUNCTION("""COMPUTED_VALUE"""),"Galiana, Sara")</f>
        <v>Galiana, Sara</v>
      </c>
      <c r="B9412" s="3">
        <f ca="1">IFERROR(__xludf.DUMMYFUNCTION("""COMPUTED_VALUE"""),2)</f>
        <v>2</v>
      </c>
      <c r="C9412" s="7">
        <f ca="1">IFERROR(__xludf.DUMMYFUNCTION("""COMPUTED_VALUE"""),2)</f>
        <v>2</v>
      </c>
      <c r="D9412" s="8">
        <f ca="1">IFERROR(__xludf.DUMMYFUNCTION("""COMPUTED_VALUE"""),2)</f>
        <v>2</v>
      </c>
      <c r="E9412" s="2">
        <f ca="1">IFERROR(__xludf.DUMMYFUNCTION("""COMPUTED_VALUE"""),1)</f>
        <v>1</v>
      </c>
    </row>
    <row r="9413" spans="1:5" ht="13">
      <c r="A9413" s="2" t="str">
        <f ca="1">IFERROR(__xludf.DUMMYFUNCTION("""COMPUTED_VALUE"""),"Gallina, Jill")</f>
        <v>Gallina, Jill</v>
      </c>
      <c r="B9413" s="3">
        <f ca="1">IFERROR(__xludf.DUMMYFUNCTION("""COMPUTED_VALUE"""),2)</f>
        <v>2</v>
      </c>
      <c r="C9413" s="7">
        <f ca="1">IFERROR(__xludf.DUMMYFUNCTION("""COMPUTED_VALUE"""),2)</f>
        <v>2</v>
      </c>
      <c r="D9413" s="8">
        <f ca="1">IFERROR(__xludf.DUMMYFUNCTION("""COMPUTED_VALUE"""),2)</f>
        <v>2</v>
      </c>
      <c r="E9413" s="2">
        <f ca="1">IFERROR(__xludf.DUMMYFUNCTION("""COMPUTED_VALUE"""),1)</f>
        <v>1</v>
      </c>
    </row>
    <row r="9414" spans="1:5" ht="13">
      <c r="A9414" s="2" t="str">
        <f ca="1">IFERROR(__xludf.DUMMYFUNCTION("""COMPUTED_VALUE"""),"Galus, Tiffany")</f>
        <v>Galus, Tiffany</v>
      </c>
      <c r="B9414" s="3">
        <f ca="1">IFERROR(__xludf.DUMMYFUNCTION("""COMPUTED_VALUE"""),2)</f>
        <v>2</v>
      </c>
      <c r="C9414" s="7">
        <f ca="1">IFERROR(__xludf.DUMMYFUNCTION("""COMPUTED_VALUE"""),2)</f>
        <v>2</v>
      </c>
      <c r="D9414" s="8">
        <f ca="1">IFERROR(__xludf.DUMMYFUNCTION("""COMPUTED_VALUE"""),2)</f>
        <v>2</v>
      </c>
      <c r="E9414" s="2">
        <f ca="1">IFERROR(__xludf.DUMMYFUNCTION("""COMPUTED_VALUE"""),1)</f>
        <v>1</v>
      </c>
    </row>
    <row r="9415" spans="1:5" ht="13">
      <c r="A9415" s="8" t="str">
        <f ca="1">IFERROR(__xludf.DUMMYFUNCTION("""COMPUTED_VALUE"""),"Galvan, Janet")</f>
        <v>Galvan, Janet</v>
      </c>
      <c r="B9415" s="3">
        <f ca="1">IFERROR(__xludf.DUMMYFUNCTION("""COMPUTED_VALUE"""),2)</f>
        <v>2</v>
      </c>
      <c r="C9415" s="7">
        <f ca="1">IFERROR(__xludf.DUMMYFUNCTION("""COMPUTED_VALUE"""),2)</f>
        <v>2</v>
      </c>
      <c r="D9415" s="8">
        <f ca="1">IFERROR(__xludf.DUMMYFUNCTION("""COMPUTED_VALUE"""),2)</f>
        <v>2</v>
      </c>
      <c r="E9415" s="2">
        <f ca="1">IFERROR(__xludf.DUMMYFUNCTION("""COMPUTED_VALUE"""),1)</f>
        <v>1</v>
      </c>
    </row>
    <row r="9416" spans="1:5" ht="13">
      <c r="A9416" s="2" t="str">
        <f ca="1">IFERROR(__xludf.DUMMYFUNCTION("""COMPUTED_VALUE"""),"Galvin, Lisa")</f>
        <v>Galvin, Lisa</v>
      </c>
      <c r="B9416" s="3">
        <f ca="1">IFERROR(__xludf.DUMMYFUNCTION("""COMPUTED_VALUE"""),2)</f>
        <v>2</v>
      </c>
      <c r="C9416" s="7">
        <f ca="1">IFERROR(__xludf.DUMMYFUNCTION("""COMPUTED_VALUE"""),2)</f>
        <v>2</v>
      </c>
      <c r="D9416" s="8">
        <f ca="1">IFERROR(__xludf.DUMMYFUNCTION("""COMPUTED_VALUE"""),2)</f>
        <v>2</v>
      </c>
      <c r="E9416" s="2">
        <f ca="1">IFERROR(__xludf.DUMMYFUNCTION("""COMPUTED_VALUE"""),1)</f>
        <v>1</v>
      </c>
    </row>
    <row r="9417" spans="1:5" ht="13">
      <c r="A9417" s="2" t="str">
        <f ca="1">IFERROR(__xludf.DUMMYFUNCTION("""COMPUTED_VALUE"""),"Ganz, Isabelle")</f>
        <v>Ganz, Isabelle</v>
      </c>
      <c r="B9417" s="3">
        <f ca="1">IFERROR(__xludf.DUMMYFUNCTION("""COMPUTED_VALUE"""),2)</f>
        <v>2</v>
      </c>
      <c r="C9417" s="7">
        <f ca="1">IFERROR(__xludf.DUMMYFUNCTION("""COMPUTED_VALUE"""),2)</f>
        <v>2</v>
      </c>
      <c r="D9417" s="8">
        <f ca="1">IFERROR(__xludf.DUMMYFUNCTION("""COMPUTED_VALUE"""),2)</f>
        <v>2</v>
      </c>
      <c r="E9417" s="2">
        <f ca="1">IFERROR(__xludf.DUMMYFUNCTION("""COMPUTED_VALUE"""),1)</f>
        <v>1</v>
      </c>
    </row>
    <row r="9418" spans="1:5" ht="13">
      <c r="A9418" s="2" t="str">
        <f ca="1">IFERROR(__xludf.DUMMYFUNCTION("""COMPUTED_VALUE"""),"Gardner Bray, Julie")</f>
        <v>Gardner Bray, Julie</v>
      </c>
      <c r="B9418" s="3">
        <f ca="1">IFERROR(__xludf.DUMMYFUNCTION("""COMPUTED_VALUE"""),2)</f>
        <v>2</v>
      </c>
      <c r="C9418" s="7">
        <f ca="1">IFERROR(__xludf.DUMMYFUNCTION("""COMPUTED_VALUE"""),2)</f>
        <v>2</v>
      </c>
      <c r="D9418" s="8">
        <f ca="1">IFERROR(__xludf.DUMMYFUNCTION("""COMPUTED_VALUE"""),2)</f>
        <v>2</v>
      </c>
      <c r="E9418" s="2">
        <f ca="1">IFERROR(__xludf.DUMMYFUNCTION("""COMPUTED_VALUE"""),1)</f>
        <v>1</v>
      </c>
    </row>
    <row r="9419" spans="1:5" ht="13">
      <c r="A9419" s="2" t="str">
        <f ca="1">IFERROR(__xludf.DUMMYFUNCTION("""COMPUTED_VALUE"""),"Gardner, Alexandra")</f>
        <v>Gardner, Alexandra</v>
      </c>
      <c r="B9419" s="3">
        <f ca="1">IFERROR(__xludf.DUMMYFUNCTION("""COMPUTED_VALUE"""),2)</f>
        <v>2</v>
      </c>
      <c r="C9419" s="7">
        <f ca="1">IFERROR(__xludf.DUMMYFUNCTION("""COMPUTED_VALUE"""),2)</f>
        <v>2</v>
      </c>
      <c r="D9419" s="8">
        <f ca="1">IFERROR(__xludf.DUMMYFUNCTION("""COMPUTED_VALUE"""),2)</f>
        <v>2</v>
      </c>
      <c r="E9419" s="2">
        <f ca="1">IFERROR(__xludf.DUMMYFUNCTION("""COMPUTED_VALUE"""),1)</f>
        <v>1</v>
      </c>
    </row>
    <row r="9420" spans="1:5" ht="13">
      <c r="A9420" s="2" t="str">
        <f ca="1">IFERROR(__xludf.DUMMYFUNCTION("""COMPUTED_VALUE"""),"Gardner, Janet")</f>
        <v>Gardner, Janet</v>
      </c>
      <c r="B9420" s="3">
        <f ca="1">IFERROR(__xludf.DUMMYFUNCTION("""COMPUTED_VALUE"""),2)</f>
        <v>2</v>
      </c>
      <c r="C9420" s="7">
        <f ca="1">IFERROR(__xludf.DUMMYFUNCTION("""COMPUTED_VALUE"""),2)</f>
        <v>2</v>
      </c>
      <c r="D9420" s="8">
        <f ca="1">IFERROR(__xludf.DUMMYFUNCTION("""COMPUTED_VALUE"""),2)</f>
        <v>2</v>
      </c>
      <c r="E9420" s="2">
        <f ca="1">IFERROR(__xludf.DUMMYFUNCTION("""COMPUTED_VALUE"""),1)</f>
        <v>1</v>
      </c>
    </row>
    <row r="9421" spans="1:5" ht="13">
      <c r="A9421" s="8" t="str">
        <f ca="1">IFERROR(__xludf.DUMMYFUNCTION("""COMPUTED_VALUE"""),"Gardot, Melody")</f>
        <v>Gardot, Melody</v>
      </c>
      <c r="B9421" s="3">
        <f ca="1">IFERROR(__xludf.DUMMYFUNCTION("""COMPUTED_VALUE"""),2)</f>
        <v>2</v>
      </c>
      <c r="C9421" s="7">
        <f ca="1">IFERROR(__xludf.DUMMYFUNCTION("""COMPUTED_VALUE"""),2)</f>
        <v>2</v>
      </c>
      <c r="D9421" s="8">
        <f ca="1">IFERROR(__xludf.DUMMYFUNCTION("""COMPUTED_VALUE"""),2)</f>
        <v>2</v>
      </c>
      <c r="E9421" s="2">
        <f ca="1">IFERROR(__xludf.DUMMYFUNCTION("""COMPUTED_VALUE"""),1)</f>
        <v>1</v>
      </c>
    </row>
    <row r="9422" spans="1:5" ht="13">
      <c r="A9422" s="2" t="str">
        <f ca="1">IFERROR(__xludf.DUMMYFUNCTION("""COMPUTED_VALUE"""),"Garfinkle, Sonya")</f>
        <v>Garfinkle, Sonya</v>
      </c>
      <c r="B9422" s="3">
        <f ca="1">IFERROR(__xludf.DUMMYFUNCTION("""COMPUTED_VALUE"""),2)</f>
        <v>2</v>
      </c>
      <c r="C9422" s="7">
        <f ca="1">IFERROR(__xludf.DUMMYFUNCTION("""COMPUTED_VALUE"""),2)</f>
        <v>2</v>
      </c>
      <c r="D9422" s="8">
        <f ca="1">IFERROR(__xludf.DUMMYFUNCTION("""COMPUTED_VALUE"""),6)</f>
        <v>6</v>
      </c>
      <c r="E9422" s="2">
        <f ca="1">IFERROR(__xludf.DUMMYFUNCTION("""COMPUTED_VALUE"""),2)</f>
        <v>2</v>
      </c>
    </row>
    <row r="9423" spans="1:5" ht="13">
      <c r="A9423" s="2" t="str">
        <f ca="1">IFERROR(__xludf.DUMMYFUNCTION("""COMPUTED_VALUE"""),"Garnett, Liz")</f>
        <v>Garnett, Liz</v>
      </c>
      <c r="B9423" s="3">
        <f ca="1">IFERROR(__xludf.DUMMYFUNCTION("""COMPUTED_VALUE"""),2)</f>
        <v>2</v>
      </c>
      <c r="C9423" s="7">
        <f ca="1">IFERROR(__xludf.DUMMYFUNCTION("""COMPUTED_VALUE"""),2)</f>
        <v>2</v>
      </c>
      <c r="D9423" s="8">
        <f ca="1">IFERROR(__xludf.DUMMYFUNCTION("""COMPUTED_VALUE"""),2)</f>
        <v>2</v>
      </c>
      <c r="E9423" s="2">
        <f ca="1">IFERROR(__xludf.DUMMYFUNCTION("""COMPUTED_VALUE"""),1)</f>
        <v>1</v>
      </c>
    </row>
    <row r="9424" spans="1:5" ht="13">
      <c r="A9424" s="2" t="str">
        <f ca="1">IFERROR(__xludf.DUMMYFUNCTION("""COMPUTED_VALUE"""),"Garrett, Jan")</f>
        <v>Garrett, Jan</v>
      </c>
      <c r="B9424" s="3">
        <f ca="1">IFERROR(__xludf.DUMMYFUNCTION("""COMPUTED_VALUE"""),2)</f>
        <v>2</v>
      </c>
      <c r="C9424" s="7">
        <f ca="1">IFERROR(__xludf.DUMMYFUNCTION("""COMPUTED_VALUE"""),2)</f>
        <v>2</v>
      </c>
      <c r="D9424" s="8">
        <f ca="1">IFERROR(__xludf.DUMMYFUNCTION("""COMPUTED_VALUE"""),2)</f>
        <v>2</v>
      </c>
      <c r="E9424" s="2">
        <f ca="1">IFERROR(__xludf.DUMMYFUNCTION("""COMPUTED_VALUE"""),1)</f>
        <v>1</v>
      </c>
    </row>
    <row r="9425" spans="1:5" ht="13">
      <c r="A9425" s="2" t="str">
        <f ca="1">IFERROR(__xludf.DUMMYFUNCTION("""COMPUTED_VALUE"""),"Garrop, Stacy")</f>
        <v>Garrop, Stacy</v>
      </c>
      <c r="B9425" s="3">
        <f ca="1">IFERROR(__xludf.DUMMYFUNCTION("""COMPUTED_VALUE"""),2)</f>
        <v>2</v>
      </c>
      <c r="C9425" s="7">
        <f ca="1">IFERROR(__xludf.DUMMYFUNCTION("""COMPUTED_VALUE"""),2)</f>
        <v>2</v>
      </c>
      <c r="D9425" s="8">
        <f ca="1">IFERROR(__xludf.DUMMYFUNCTION("""COMPUTED_VALUE"""),2)</f>
        <v>2</v>
      </c>
      <c r="E9425" s="2">
        <f ca="1">IFERROR(__xludf.DUMMYFUNCTION("""COMPUTED_VALUE"""),1)</f>
        <v>1</v>
      </c>
    </row>
    <row r="9426" spans="1:5" ht="13">
      <c r="A9426" s="2" t="str">
        <f ca="1">IFERROR(__xludf.DUMMYFUNCTION("""COMPUTED_VALUE"""),"Gartman Schultz, Donna")</f>
        <v>Gartman Schultz, Donna</v>
      </c>
      <c r="B9426" s="3">
        <f ca="1">IFERROR(__xludf.DUMMYFUNCTION("""COMPUTED_VALUE"""),2)</f>
        <v>2</v>
      </c>
      <c r="C9426" s="7">
        <f ca="1">IFERROR(__xludf.DUMMYFUNCTION("""COMPUTED_VALUE"""),2)</f>
        <v>2</v>
      </c>
      <c r="D9426" s="8">
        <f ca="1">IFERROR(__xludf.DUMMYFUNCTION("""COMPUTED_VALUE"""),2)</f>
        <v>2</v>
      </c>
      <c r="E9426" s="2">
        <f ca="1">IFERROR(__xludf.DUMMYFUNCTION("""COMPUTED_VALUE"""),1)</f>
        <v>1</v>
      </c>
    </row>
    <row r="9427" spans="1:5" ht="13">
      <c r="A9427" s="2" t="str">
        <f ca="1">IFERROR(__xludf.DUMMYFUNCTION("""COMPUTED_VALUE"""),"Garūta, Lūcija")</f>
        <v>Garūta, Lūcija</v>
      </c>
      <c r="B9427" s="2">
        <f ca="1">IFERROR(__xludf.DUMMYFUNCTION("""COMPUTED_VALUE"""),2)</f>
        <v>2</v>
      </c>
      <c r="C9427" s="2">
        <f ca="1">IFERROR(__xludf.DUMMYFUNCTION("""COMPUTED_VALUE"""),2)</f>
        <v>2</v>
      </c>
      <c r="D9427" s="8">
        <f ca="1">IFERROR(__xludf.DUMMYFUNCTION("""COMPUTED_VALUE"""),6)</f>
        <v>6</v>
      </c>
      <c r="E9427" s="2">
        <f ca="1">IFERROR(__xludf.DUMMYFUNCTION("""COMPUTED_VALUE"""),2)</f>
        <v>2</v>
      </c>
    </row>
    <row r="9428" spans="1:5" ht="13">
      <c r="A9428" s="2" t="str">
        <f ca="1">IFERROR(__xludf.DUMMYFUNCTION("""COMPUTED_VALUE"""),"Gates, Dorothy")</f>
        <v>Gates, Dorothy</v>
      </c>
      <c r="B9428" s="3">
        <f ca="1">IFERROR(__xludf.DUMMYFUNCTION("""COMPUTED_VALUE"""),2)</f>
        <v>2</v>
      </c>
      <c r="C9428" s="7">
        <f ca="1">IFERROR(__xludf.DUMMYFUNCTION("""COMPUTED_VALUE"""),2)</f>
        <v>2</v>
      </c>
      <c r="D9428" s="8">
        <f ca="1">IFERROR(__xludf.DUMMYFUNCTION("""COMPUTED_VALUE"""),2)</f>
        <v>2</v>
      </c>
      <c r="E9428" s="2">
        <f ca="1">IFERROR(__xludf.DUMMYFUNCTION("""COMPUTED_VALUE"""),1)</f>
        <v>1</v>
      </c>
    </row>
    <row r="9429" spans="1:5" ht="13">
      <c r="A9429" s="8" t="str">
        <f ca="1">IFERROR(__xludf.DUMMYFUNCTION("""COMPUTED_VALUE"""),"Gazda, Doris")</f>
        <v>Gazda, Doris</v>
      </c>
      <c r="B9429" s="3">
        <f ca="1">IFERROR(__xludf.DUMMYFUNCTION("""COMPUTED_VALUE"""),2)</f>
        <v>2</v>
      </c>
      <c r="C9429" s="7">
        <f ca="1">IFERROR(__xludf.DUMMYFUNCTION("""COMPUTED_VALUE"""),2)</f>
        <v>2</v>
      </c>
      <c r="D9429" s="8">
        <f ca="1">IFERROR(__xludf.DUMMYFUNCTION("""COMPUTED_VALUE"""),2)</f>
        <v>2</v>
      </c>
      <c r="E9429" s="2">
        <f ca="1">IFERROR(__xludf.DUMMYFUNCTION("""COMPUTED_VALUE"""),1)</f>
        <v>1</v>
      </c>
    </row>
    <row r="9430" spans="1:5" ht="13">
      <c r="A9430" s="2" t="str">
        <f ca="1">IFERROR(__xludf.DUMMYFUNCTION("""COMPUTED_VALUE"""),"Gellis, Isabella")</f>
        <v>Gellis, Isabella</v>
      </c>
      <c r="B9430" s="2">
        <f ca="1">IFERROR(__xludf.DUMMYFUNCTION("""COMPUTED_VALUE"""),2)</f>
        <v>2</v>
      </c>
      <c r="C9430" s="2">
        <f ca="1">IFERROR(__xludf.DUMMYFUNCTION("""COMPUTED_VALUE"""),2)</f>
        <v>2</v>
      </c>
      <c r="D9430" s="8">
        <f ca="1">IFERROR(__xludf.DUMMYFUNCTION("""COMPUTED_VALUE"""),2)</f>
        <v>2</v>
      </c>
      <c r="E9430" s="2">
        <f ca="1">IFERROR(__xludf.DUMMYFUNCTION("""COMPUTED_VALUE"""),1)</f>
        <v>1</v>
      </c>
    </row>
    <row r="9431" spans="1:5" ht="13">
      <c r="A9431" s="2" t="str">
        <f ca="1">IFERROR(__xludf.DUMMYFUNCTION("""COMPUTED_VALUE"""),"George, Whitney")</f>
        <v>George, Whitney</v>
      </c>
      <c r="B9431" s="3">
        <f ca="1">IFERROR(__xludf.DUMMYFUNCTION("""COMPUTED_VALUE"""),2)</f>
        <v>2</v>
      </c>
      <c r="C9431" s="7">
        <f ca="1">IFERROR(__xludf.DUMMYFUNCTION("""COMPUTED_VALUE"""),2)</f>
        <v>2</v>
      </c>
      <c r="D9431" s="8">
        <f ca="1">IFERROR(__xludf.DUMMYFUNCTION("""COMPUTED_VALUE"""),2)</f>
        <v>2</v>
      </c>
      <c r="E9431" s="2">
        <f ca="1">IFERROR(__xludf.DUMMYFUNCTION("""COMPUTED_VALUE"""),1)</f>
        <v>1</v>
      </c>
    </row>
    <row r="9432" spans="1:5" ht="13">
      <c r="A9432" s="2" t="str">
        <f ca="1">IFERROR(__xludf.DUMMYFUNCTION("""COMPUTED_VALUE"""),"Gerhadstein, Mary Aloyse")</f>
        <v>Gerhadstein, Mary Aloyse</v>
      </c>
      <c r="B9432" s="3">
        <f ca="1">IFERROR(__xludf.DUMMYFUNCTION("""COMPUTED_VALUE"""),2)</f>
        <v>2</v>
      </c>
      <c r="C9432" s="7">
        <f ca="1">IFERROR(__xludf.DUMMYFUNCTION("""COMPUTED_VALUE"""),2)</f>
        <v>2</v>
      </c>
      <c r="D9432" s="8">
        <f ca="1">IFERROR(__xludf.DUMMYFUNCTION("""COMPUTED_VALUE"""),6)</f>
        <v>6</v>
      </c>
      <c r="E9432" s="2">
        <f ca="1">IFERROR(__xludf.DUMMYFUNCTION("""COMPUTED_VALUE"""),2)</f>
        <v>2</v>
      </c>
    </row>
    <row r="9433" spans="1:5" ht="13">
      <c r="A9433" s="2" t="str">
        <f ca="1">IFERROR(__xludf.DUMMYFUNCTION("""COMPUTED_VALUE"""),"Gibson, Mara")</f>
        <v>Gibson, Mara</v>
      </c>
      <c r="B9433" s="2">
        <f ca="1">IFERROR(__xludf.DUMMYFUNCTION("""COMPUTED_VALUE"""),2)</f>
        <v>2</v>
      </c>
      <c r="C9433" s="7">
        <f ca="1">IFERROR(__xludf.DUMMYFUNCTION("""COMPUTED_VALUE"""),2)</f>
        <v>2</v>
      </c>
      <c r="D9433" s="8">
        <f ca="1">IFERROR(__xludf.DUMMYFUNCTION("""COMPUTED_VALUE"""),2)</f>
        <v>2</v>
      </c>
      <c r="E9433" s="2">
        <f ca="1">IFERROR(__xludf.DUMMYFUNCTION("""COMPUTED_VALUE"""),1)</f>
        <v>1</v>
      </c>
    </row>
    <row r="9434" spans="1:5" ht="13">
      <c r="A9434" s="2" t="str">
        <f ca="1">IFERROR(__xludf.DUMMYFUNCTION("""COMPUTED_VALUE"""),"Gibson, Sarah")</f>
        <v>Gibson, Sarah</v>
      </c>
      <c r="B9434" s="3">
        <f ca="1">IFERROR(__xludf.DUMMYFUNCTION("""COMPUTED_VALUE"""),2)</f>
        <v>2</v>
      </c>
      <c r="C9434" s="7">
        <f ca="1">IFERROR(__xludf.DUMMYFUNCTION("""COMPUTED_VALUE"""),2)</f>
        <v>2</v>
      </c>
      <c r="D9434" s="8">
        <f ca="1">IFERROR(__xludf.DUMMYFUNCTION("""COMPUTED_VALUE"""),2)</f>
        <v>2</v>
      </c>
      <c r="E9434" s="2">
        <f ca="1">IFERROR(__xludf.DUMMYFUNCTION("""COMPUTED_VALUE"""),1)</f>
        <v>1</v>
      </c>
    </row>
    <row r="9435" spans="1:5" ht="13">
      <c r="A9435" s="2" t="str">
        <f ca="1">IFERROR(__xludf.DUMMYFUNCTION("""COMPUTED_VALUE"""),"Gideon, Miriam")</f>
        <v>Gideon, Miriam</v>
      </c>
      <c r="B9435" s="3">
        <f ca="1">IFERROR(__xludf.DUMMYFUNCTION("""COMPUTED_VALUE"""),2)</f>
        <v>2</v>
      </c>
      <c r="C9435" s="7">
        <f ca="1">IFERROR(__xludf.DUMMYFUNCTION("""COMPUTED_VALUE"""),2)</f>
        <v>2</v>
      </c>
      <c r="D9435" s="8">
        <f ca="1">IFERROR(__xludf.DUMMYFUNCTION("""COMPUTED_VALUE"""),6)</f>
        <v>6</v>
      </c>
      <c r="E9435" s="2">
        <f ca="1">IFERROR(__xludf.DUMMYFUNCTION("""COMPUTED_VALUE"""),2)</f>
        <v>2</v>
      </c>
    </row>
    <row r="9436" spans="1:5" ht="13">
      <c r="A9436" s="8" t="str">
        <f ca="1">IFERROR(__xludf.DUMMYFUNCTION("""COMPUTED_VALUE"""),"Giebler, Cyndee")</f>
        <v>Giebler, Cyndee</v>
      </c>
      <c r="B9436" s="3">
        <f ca="1">IFERROR(__xludf.DUMMYFUNCTION("""COMPUTED_VALUE"""),2)</f>
        <v>2</v>
      </c>
      <c r="C9436" s="7">
        <f ca="1">IFERROR(__xludf.DUMMYFUNCTION("""COMPUTED_VALUE"""),2)</f>
        <v>2</v>
      </c>
      <c r="D9436" s="8">
        <f ca="1">IFERROR(__xludf.DUMMYFUNCTION("""COMPUTED_VALUE"""),2)</f>
        <v>2</v>
      </c>
      <c r="E9436" s="2">
        <f ca="1">IFERROR(__xludf.DUMMYFUNCTION("""COMPUTED_VALUE"""),1)</f>
        <v>1</v>
      </c>
    </row>
    <row r="9437" spans="1:5" ht="13">
      <c r="A9437" s="2" t="str">
        <f ca="1">IFERROR(__xludf.DUMMYFUNCTION("""COMPUTED_VALUE"""),"Gifford, Nancy")</f>
        <v>Gifford, Nancy</v>
      </c>
      <c r="B9437" s="3">
        <f ca="1">IFERROR(__xludf.DUMMYFUNCTION("""COMPUTED_VALUE"""),2)</f>
        <v>2</v>
      </c>
      <c r="C9437" s="7">
        <f ca="1">IFERROR(__xludf.DUMMYFUNCTION("""COMPUTED_VALUE"""),2)</f>
        <v>2</v>
      </c>
      <c r="D9437" s="8">
        <f ca="1">IFERROR(__xludf.DUMMYFUNCTION("""COMPUTED_VALUE"""),2)</f>
        <v>2</v>
      </c>
      <c r="E9437" s="2">
        <f ca="1">IFERROR(__xludf.DUMMYFUNCTION("""COMPUTED_VALUE"""),1)</f>
        <v>1</v>
      </c>
    </row>
    <row r="9438" spans="1:5" ht="13">
      <c r="A9438" s="8" t="str">
        <f ca="1">IFERROR(__xludf.DUMMYFUNCTION("""COMPUTED_VALUE"""),"Gilbert, Nina")</f>
        <v>Gilbert, Nina</v>
      </c>
      <c r="B9438" s="3">
        <f ca="1">IFERROR(__xludf.DUMMYFUNCTION("""COMPUTED_VALUE"""),2)</f>
        <v>2</v>
      </c>
      <c r="C9438" s="7">
        <f ca="1">IFERROR(__xludf.DUMMYFUNCTION("""COMPUTED_VALUE"""),2)</f>
        <v>2</v>
      </c>
      <c r="D9438" s="8">
        <f ca="1">IFERROR(__xludf.DUMMYFUNCTION("""COMPUTED_VALUE"""),2)</f>
        <v>2</v>
      </c>
      <c r="E9438" s="2">
        <f ca="1">IFERROR(__xludf.DUMMYFUNCTION("""COMPUTED_VALUE"""),1)</f>
        <v>1</v>
      </c>
    </row>
    <row r="9439" spans="1:5" ht="13">
      <c r="A9439" s="2" t="str">
        <f ca="1">IFERROR(__xludf.DUMMYFUNCTION("""COMPUTED_VALUE"""),"Gilkey, Jessie Lone Clarkson")</f>
        <v>Gilkey, Jessie Lone Clarkson</v>
      </c>
      <c r="B9439" s="3">
        <f ca="1">IFERROR(__xludf.DUMMYFUNCTION("""COMPUTED_VALUE"""),2)</f>
        <v>2</v>
      </c>
      <c r="C9439" s="7">
        <f ca="1">IFERROR(__xludf.DUMMYFUNCTION("""COMPUTED_VALUE"""),2)</f>
        <v>2</v>
      </c>
      <c r="D9439" s="8">
        <f ca="1">IFERROR(__xludf.DUMMYFUNCTION("""COMPUTED_VALUE"""),6)</f>
        <v>6</v>
      </c>
      <c r="E9439" s="2">
        <f ca="1">IFERROR(__xludf.DUMMYFUNCTION("""COMPUTED_VALUE"""),2)</f>
        <v>2</v>
      </c>
    </row>
    <row r="9440" spans="1:5" ht="13">
      <c r="A9440" s="8" t="str">
        <f ca="1">IFERROR(__xludf.DUMMYFUNCTION("""COMPUTED_VALUE"""),"Gilkyson, Eliza")</f>
        <v>Gilkyson, Eliza</v>
      </c>
      <c r="B9440" s="3">
        <f ca="1">IFERROR(__xludf.DUMMYFUNCTION("""COMPUTED_VALUE"""),2)</f>
        <v>2</v>
      </c>
      <c r="C9440" s="7">
        <f ca="1">IFERROR(__xludf.DUMMYFUNCTION("""COMPUTED_VALUE"""),2)</f>
        <v>2</v>
      </c>
      <c r="D9440" s="8">
        <f ca="1">IFERROR(__xludf.DUMMYFUNCTION("""COMPUTED_VALUE"""),2)</f>
        <v>2</v>
      </c>
      <c r="E9440" s="2">
        <f ca="1">IFERROR(__xludf.DUMMYFUNCTION("""COMPUTED_VALUE"""),1)</f>
        <v>1</v>
      </c>
    </row>
    <row r="9441" spans="1:5" ht="13">
      <c r="A9441" s="2" t="str">
        <f ca="1">IFERROR(__xludf.DUMMYFUNCTION("""COMPUTED_VALUE"""),"Gillie, Gina")</f>
        <v>Gillie, Gina</v>
      </c>
      <c r="B9441" s="3">
        <f ca="1">IFERROR(__xludf.DUMMYFUNCTION("""COMPUTED_VALUE"""),2)</f>
        <v>2</v>
      </c>
      <c r="C9441" s="7">
        <f ca="1">IFERROR(__xludf.DUMMYFUNCTION("""COMPUTED_VALUE"""),2)</f>
        <v>2</v>
      </c>
      <c r="D9441" s="8">
        <f ca="1">IFERROR(__xludf.DUMMYFUNCTION("""COMPUTED_VALUE"""),2)</f>
        <v>2</v>
      </c>
      <c r="E9441" s="2">
        <f ca="1">IFERROR(__xludf.DUMMYFUNCTION("""COMPUTED_VALUE"""),1)</f>
        <v>1</v>
      </c>
    </row>
    <row r="9442" spans="1:5" ht="13">
      <c r="A9442" s="2" t="str">
        <f ca="1">IFERROR(__xludf.DUMMYFUNCTION("""COMPUTED_VALUE"""),"Gilligan, Heather")</f>
        <v>Gilligan, Heather</v>
      </c>
      <c r="B9442" s="3">
        <f ca="1">IFERROR(__xludf.DUMMYFUNCTION("""COMPUTED_VALUE"""),2)</f>
        <v>2</v>
      </c>
      <c r="C9442" s="7">
        <f ca="1">IFERROR(__xludf.DUMMYFUNCTION("""COMPUTED_VALUE"""),2)</f>
        <v>2</v>
      </c>
      <c r="D9442" s="8">
        <f ca="1">IFERROR(__xludf.DUMMYFUNCTION("""COMPUTED_VALUE"""),2)</f>
        <v>2</v>
      </c>
      <c r="E9442" s="2">
        <f ca="1">IFERROR(__xludf.DUMMYFUNCTION("""COMPUTED_VALUE"""),1)</f>
        <v>1</v>
      </c>
    </row>
    <row r="9443" spans="1:5" ht="13">
      <c r="A9443" s="2" t="str">
        <f ca="1">IFERROR(__xludf.DUMMYFUNCTION("""COMPUTED_VALUE"""),"Gilpatrick, Elizabeth")</f>
        <v>Gilpatrick, Elizabeth</v>
      </c>
      <c r="B9443" s="3">
        <f ca="1">IFERROR(__xludf.DUMMYFUNCTION("""COMPUTED_VALUE"""),2)</f>
        <v>2</v>
      </c>
      <c r="C9443" s="7">
        <f ca="1">IFERROR(__xludf.DUMMYFUNCTION("""COMPUTED_VALUE"""),2)</f>
        <v>2</v>
      </c>
      <c r="D9443" s="8">
        <f ca="1">IFERROR(__xludf.DUMMYFUNCTION("""COMPUTED_VALUE"""),2)</f>
        <v>2</v>
      </c>
      <c r="E9443" s="2">
        <f ca="1">IFERROR(__xludf.DUMMYFUNCTION("""COMPUTED_VALUE"""),1)</f>
        <v>1</v>
      </c>
    </row>
    <row r="9444" spans="1:5" ht="13">
      <c r="A9444" s="2" t="str">
        <f ca="1">IFERROR(__xludf.DUMMYFUNCTION("""COMPUTED_VALUE"""),"Gimon, Katerina")</f>
        <v>Gimon, Katerina</v>
      </c>
      <c r="B9444" s="2">
        <f ca="1">IFERROR(__xludf.DUMMYFUNCTION("""COMPUTED_VALUE"""),2)</f>
        <v>2</v>
      </c>
      <c r="C9444" s="7">
        <f ca="1">IFERROR(__xludf.DUMMYFUNCTION("""COMPUTED_VALUE"""),2)</f>
        <v>2</v>
      </c>
      <c r="D9444" s="8">
        <f ca="1">IFERROR(__xludf.DUMMYFUNCTION("""COMPUTED_VALUE"""),2)</f>
        <v>2</v>
      </c>
      <c r="E9444" s="2">
        <f ca="1">IFERROR(__xludf.DUMMYFUNCTION("""COMPUTED_VALUE"""),1)</f>
        <v>1</v>
      </c>
    </row>
    <row r="9445" spans="1:5" ht="13">
      <c r="A9445" s="8" t="str">
        <f ca="1">IFERROR(__xludf.DUMMYFUNCTION("""COMPUTED_VALUE"""),"Ginsberg, Elaine Broad")</f>
        <v>Ginsberg, Elaine Broad</v>
      </c>
      <c r="B9445" s="3">
        <f ca="1">IFERROR(__xludf.DUMMYFUNCTION("""COMPUTED_VALUE"""),2)</f>
        <v>2</v>
      </c>
      <c r="C9445" s="7">
        <f ca="1">IFERROR(__xludf.DUMMYFUNCTION("""COMPUTED_VALUE"""),2)</f>
        <v>2</v>
      </c>
      <c r="D9445" s="8">
        <f ca="1">IFERROR(__xludf.DUMMYFUNCTION("""COMPUTED_VALUE"""),2)</f>
        <v>2</v>
      </c>
      <c r="E9445" s="2">
        <f ca="1">IFERROR(__xludf.DUMMYFUNCTION("""COMPUTED_VALUE"""),1)</f>
        <v>1</v>
      </c>
    </row>
    <row r="9446" spans="1:5" ht="13">
      <c r="A9446" s="2" t="str">
        <f ca="1">IFERROR(__xludf.DUMMYFUNCTION("""COMPUTED_VALUE"""),"Gipps, Ruth")</f>
        <v>Gipps, Ruth</v>
      </c>
      <c r="B9446" s="3">
        <f ca="1">IFERROR(__xludf.DUMMYFUNCTION("""COMPUTED_VALUE"""),2)</f>
        <v>2</v>
      </c>
      <c r="C9446" s="7">
        <f ca="1">IFERROR(__xludf.DUMMYFUNCTION("""COMPUTED_VALUE"""),2)</f>
        <v>2</v>
      </c>
      <c r="D9446" s="8">
        <f ca="1">IFERROR(__xludf.DUMMYFUNCTION("""COMPUTED_VALUE"""),6)</f>
        <v>6</v>
      </c>
      <c r="E9446" s="2">
        <f ca="1">IFERROR(__xludf.DUMMYFUNCTION("""COMPUTED_VALUE"""),2)</f>
        <v>2</v>
      </c>
    </row>
    <row r="9447" spans="1:5" ht="13">
      <c r="A9447" s="2" t="str">
        <f ca="1">IFERROR(__xludf.DUMMYFUNCTION("""COMPUTED_VALUE"""),"Giroux, Julie")</f>
        <v>Giroux, Julie</v>
      </c>
      <c r="B9447" s="3">
        <f ca="1">IFERROR(__xludf.DUMMYFUNCTION("""COMPUTED_VALUE"""),2)</f>
        <v>2</v>
      </c>
      <c r="C9447" s="7">
        <f ca="1">IFERROR(__xludf.DUMMYFUNCTION("""COMPUTED_VALUE"""),2)</f>
        <v>2</v>
      </c>
      <c r="D9447" s="8">
        <f ca="1">IFERROR(__xludf.DUMMYFUNCTION("""COMPUTED_VALUE"""),2)</f>
        <v>2</v>
      </c>
      <c r="E9447" s="2">
        <f ca="1">IFERROR(__xludf.DUMMYFUNCTION("""COMPUTED_VALUE"""),1)</f>
        <v>1</v>
      </c>
    </row>
    <row r="9448" spans="1:5" ht="13">
      <c r="A9448" s="2" t="str">
        <f ca="1">IFERROR(__xludf.DUMMYFUNCTION("""COMPUTED_VALUE"""),"Giteck, Janice")</f>
        <v>Giteck, Janice</v>
      </c>
      <c r="B9448" s="3">
        <f ca="1">IFERROR(__xludf.DUMMYFUNCTION("""COMPUTED_VALUE"""),2)</f>
        <v>2</v>
      </c>
      <c r="C9448" s="7">
        <f ca="1">IFERROR(__xludf.DUMMYFUNCTION("""COMPUTED_VALUE"""),2)</f>
        <v>2</v>
      </c>
      <c r="D9448" s="8">
        <f ca="1">IFERROR(__xludf.DUMMYFUNCTION("""COMPUTED_VALUE"""),2)</f>
        <v>2</v>
      </c>
      <c r="E9448" s="2">
        <f ca="1">IFERROR(__xludf.DUMMYFUNCTION("""COMPUTED_VALUE"""),1)</f>
        <v>1</v>
      </c>
    </row>
    <row r="9449" spans="1:5" ht="13">
      <c r="A9449" s="2" t="str">
        <f ca="1">IFERROR(__xludf.DUMMYFUNCTION("""COMPUTED_VALUE"""),"Glanville-Hicks, Peggy")</f>
        <v>Glanville-Hicks, Peggy</v>
      </c>
      <c r="B9449" s="3">
        <f ca="1">IFERROR(__xludf.DUMMYFUNCTION("""COMPUTED_VALUE"""),2)</f>
        <v>2</v>
      </c>
      <c r="C9449" s="7">
        <f ca="1">IFERROR(__xludf.DUMMYFUNCTION("""COMPUTED_VALUE"""),2)</f>
        <v>2</v>
      </c>
      <c r="D9449" s="8">
        <f ca="1">IFERROR(__xludf.DUMMYFUNCTION("""COMPUTED_VALUE"""),6)</f>
        <v>6</v>
      </c>
      <c r="E9449" s="2">
        <f ca="1">IFERROR(__xludf.DUMMYFUNCTION("""COMPUTED_VALUE"""),2)</f>
        <v>2</v>
      </c>
    </row>
    <row r="9450" spans="1:5" ht="13">
      <c r="A9450" s="2" t="str">
        <f ca="1">IFERROR(__xludf.DUMMYFUNCTION("""COMPUTED_VALUE"""),"Glaser, Victoria")</f>
        <v>Glaser, Victoria</v>
      </c>
      <c r="B9450" s="3">
        <f ca="1">IFERROR(__xludf.DUMMYFUNCTION("""COMPUTED_VALUE"""),2)</f>
        <v>2</v>
      </c>
      <c r="C9450" s="7">
        <f ca="1">IFERROR(__xludf.DUMMYFUNCTION("""COMPUTED_VALUE"""),2)</f>
        <v>2</v>
      </c>
      <c r="D9450" s="8">
        <f ca="1">IFERROR(__xludf.DUMMYFUNCTION("""COMPUTED_VALUE"""),6)</f>
        <v>6</v>
      </c>
      <c r="E9450" s="2">
        <f ca="1">IFERROR(__xludf.DUMMYFUNCTION("""COMPUTED_VALUE"""),2)</f>
        <v>2</v>
      </c>
    </row>
    <row r="9451" spans="1:5" ht="13">
      <c r="A9451" s="2" t="str">
        <f ca="1">IFERROR(__xludf.DUMMYFUNCTION("""COMPUTED_VALUE"""),"Glennie, Evelyn")</f>
        <v>Glennie, Evelyn</v>
      </c>
      <c r="B9451" s="3">
        <f ca="1">IFERROR(__xludf.DUMMYFUNCTION("""COMPUTED_VALUE"""),2)</f>
        <v>2</v>
      </c>
      <c r="C9451" s="7">
        <f ca="1">IFERROR(__xludf.DUMMYFUNCTION("""COMPUTED_VALUE"""),2)</f>
        <v>2</v>
      </c>
      <c r="D9451" s="8">
        <f ca="1">IFERROR(__xludf.DUMMYFUNCTION("""COMPUTED_VALUE"""),2)</f>
        <v>2</v>
      </c>
      <c r="E9451" s="2">
        <f ca="1">IFERROR(__xludf.DUMMYFUNCTION("""COMPUTED_VALUE"""),1)</f>
        <v>1</v>
      </c>
    </row>
    <row r="9452" spans="1:5" ht="13">
      <c r="A9452" s="2" t="str">
        <f ca="1">IFERROR(__xludf.DUMMYFUNCTION("""COMPUTED_VALUE"""),"Glick, Sara")</f>
        <v>Glick, Sara</v>
      </c>
      <c r="B9452" s="2">
        <f ca="1">IFERROR(__xludf.DUMMYFUNCTION("""COMPUTED_VALUE"""),2)</f>
        <v>2</v>
      </c>
      <c r="C9452" s="2">
        <f ca="1">IFERROR(__xludf.DUMMYFUNCTION("""COMPUTED_VALUE"""),2)</f>
        <v>2</v>
      </c>
      <c r="D9452" s="8">
        <f ca="1">IFERROR(__xludf.DUMMYFUNCTION("""COMPUTED_VALUE"""),6)</f>
        <v>6</v>
      </c>
      <c r="E9452" s="2">
        <f ca="1">IFERROR(__xludf.DUMMYFUNCTION("""COMPUTED_VALUE"""),2)</f>
        <v>2</v>
      </c>
    </row>
    <row r="9453" spans="1:5" ht="13">
      <c r="A9453" s="8" t="str">
        <f ca="1">IFERROR(__xludf.DUMMYFUNCTION("""COMPUTED_VALUE"""),"Gockel-Gussen, Edna")</f>
        <v>Gockel-Gussen, Edna</v>
      </c>
      <c r="B9453" s="3">
        <f ca="1">IFERROR(__xludf.DUMMYFUNCTION("""COMPUTED_VALUE"""),2)</f>
        <v>2</v>
      </c>
      <c r="C9453" s="7">
        <f ca="1">IFERROR(__xludf.DUMMYFUNCTION("""COMPUTED_VALUE"""),2)</f>
        <v>2</v>
      </c>
      <c r="D9453" s="8">
        <f ca="1">IFERROR(__xludf.DUMMYFUNCTION("""COMPUTED_VALUE"""),6)</f>
        <v>6</v>
      </c>
      <c r="E9453" s="2">
        <f ca="1">IFERROR(__xludf.DUMMYFUNCTION("""COMPUTED_VALUE"""),2)</f>
        <v>2</v>
      </c>
    </row>
    <row r="9454" spans="1:5" ht="13">
      <c r="A9454" s="2" t="str">
        <f ca="1">IFERROR(__xludf.DUMMYFUNCTION("""COMPUTED_VALUE"""),"Goetze, Mary")</f>
        <v>Goetze, Mary</v>
      </c>
      <c r="B9454" s="3">
        <f ca="1">IFERROR(__xludf.DUMMYFUNCTION("""COMPUTED_VALUE"""),2)</f>
        <v>2</v>
      </c>
      <c r="C9454" s="7">
        <f ca="1">IFERROR(__xludf.DUMMYFUNCTION("""COMPUTED_VALUE"""),2)</f>
        <v>2</v>
      </c>
      <c r="D9454" s="8">
        <f ca="1">IFERROR(__xludf.DUMMYFUNCTION("""COMPUTED_VALUE"""),2)</f>
        <v>2</v>
      </c>
      <c r="E9454" s="2">
        <f ca="1">IFERROR(__xludf.DUMMYFUNCTION("""COMPUTED_VALUE"""),1)</f>
        <v>1</v>
      </c>
    </row>
    <row r="9455" spans="1:5" ht="13">
      <c r="A9455" s="2" t="str">
        <f ca="1">IFERROR(__xludf.DUMMYFUNCTION("""COMPUTED_VALUE"""),"Golan, Emily")</f>
        <v>Golan, Emily</v>
      </c>
      <c r="B9455" s="2">
        <f ca="1">IFERROR(__xludf.DUMMYFUNCTION("""COMPUTED_VALUE"""),2)</f>
        <v>2</v>
      </c>
      <c r="C9455" s="7">
        <f ca="1">IFERROR(__xludf.DUMMYFUNCTION("""COMPUTED_VALUE"""),2)</f>
        <v>2</v>
      </c>
      <c r="D9455" s="8">
        <f ca="1">IFERROR(__xludf.DUMMYFUNCTION("""COMPUTED_VALUE"""),2)</f>
        <v>2</v>
      </c>
      <c r="E9455" s="2">
        <f ca="1">IFERROR(__xludf.DUMMYFUNCTION("""COMPUTED_VALUE"""),1)</f>
        <v>1</v>
      </c>
    </row>
    <row r="9456" spans="1:5" ht="13">
      <c r="A9456" s="8" t="str">
        <f ca="1">IFERROR(__xludf.DUMMYFUNCTION("""COMPUTED_VALUE"""),"Goldman, Eugenia")</f>
        <v>Goldman, Eugenia</v>
      </c>
      <c r="B9456" s="3">
        <f ca="1">IFERROR(__xludf.DUMMYFUNCTION("""COMPUTED_VALUE"""),2)</f>
        <v>2</v>
      </c>
      <c r="C9456" s="7">
        <f ca="1">IFERROR(__xludf.DUMMYFUNCTION("""COMPUTED_VALUE"""),2)</f>
        <v>2</v>
      </c>
      <c r="D9456" s="8">
        <f ca="1">IFERROR(__xludf.DUMMYFUNCTION("""COMPUTED_VALUE"""),2)</f>
        <v>2</v>
      </c>
      <c r="E9456" s="2">
        <f ca="1">IFERROR(__xludf.DUMMYFUNCTION("""COMPUTED_VALUE"""),1)</f>
        <v>1</v>
      </c>
    </row>
    <row r="9457" spans="1:5" ht="13">
      <c r="A9457" s="2" t="str">
        <f ca="1">IFERROR(__xludf.DUMMYFUNCTION("""COMPUTED_VALUE"""),"Gordon, Lucyanne Georger")</f>
        <v>Gordon, Lucyanne Georger</v>
      </c>
      <c r="B9457" s="3">
        <f ca="1">IFERROR(__xludf.DUMMYFUNCTION("""COMPUTED_VALUE"""),2)</f>
        <v>2</v>
      </c>
      <c r="C9457" s="7">
        <f ca="1">IFERROR(__xludf.DUMMYFUNCTION("""COMPUTED_VALUE"""),2)</f>
        <v>2</v>
      </c>
      <c r="D9457" s="8">
        <f ca="1">IFERROR(__xludf.DUMMYFUNCTION("""COMPUTED_VALUE"""),2)</f>
        <v>2</v>
      </c>
      <c r="E9457" s="2">
        <f ca="1">IFERROR(__xludf.DUMMYFUNCTION("""COMPUTED_VALUE"""),1)</f>
        <v>1</v>
      </c>
    </row>
    <row r="9458" spans="1:5" ht="13">
      <c r="A9458" s="2" t="str">
        <f ca="1">IFERROR(__xludf.DUMMYFUNCTION("""COMPUTED_VALUE"""),"Gosfield, Annie")</f>
        <v>Gosfield, Annie</v>
      </c>
      <c r="B9458" s="3">
        <f ca="1">IFERROR(__xludf.DUMMYFUNCTION("""COMPUTED_VALUE"""),2)</f>
        <v>2</v>
      </c>
      <c r="C9458" s="7">
        <f ca="1">IFERROR(__xludf.DUMMYFUNCTION("""COMPUTED_VALUE"""),2)</f>
        <v>2</v>
      </c>
      <c r="D9458" s="8">
        <f ca="1">IFERROR(__xludf.DUMMYFUNCTION("""COMPUTED_VALUE"""),2)</f>
        <v>2</v>
      </c>
      <c r="E9458" s="2">
        <f ca="1">IFERROR(__xludf.DUMMYFUNCTION("""COMPUTED_VALUE"""),1)</f>
        <v>1</v>
      </c>
    </row>
    <row r="9459" spans="1:5" ht="13">
      <c r="A9459" s="2" t="str">
        <f ca="1">IFERROR(__xludf.DUMMYFUNCTION("""COMPUTED_VALUE"""),"Gotkovsky, Ida")</f>
        <v>Gotkovsky, Ida</v>
      </c>
      <c r="B9459" s="3">
        <f ca="1">IFERROR(__xludf.DUMMYFUNCTION("""COMPUTED_VALUE"""),2)</f>
        <v>2</v>
      </c>
      <c r="C9459" s="7">
        <f ca="1">IFERROR(__xludf.DUMMYFUNCTION("""COMPUTED_VALUE"""),2)</f>
        <v>2</v>
      </c>
      <c r="D9459" s="8">
        <f ca="1">IFERROR(__xludf.DUMMYFUNCTION("""COMPUTED_VALUE"""),2)</f>
        <v>2</v>
      </c>
      <c r="E9459" s="2">
        <f ca="1">IFERROR(__xludf.DUMMYFUNCTION("""COMPUTED_VALUE"""),1)</f>
        <v>1</v>
      </c>
    </row>
    <row r="9460" spans="1:5" ht="13">
      <c r="A9460" s="2" t="str">
        <f ca="1">IFERROR(__xludf.DUMMYFUNCTION("""COMPUTED_VALUE"""),"Gove, Elizabeth")</f>
        <v>Gove, Elizabeth</v>
      </c>
      <c r="B9460" s="3">
        <f ca="1">IFERROR(__xludf.DUMMYFUNCTION("""COMPUTED_VALUE"""),2)</f>
        <v>2</v>
      </c>
      <c r="C9460" s="7">
        <f ca="1">IFERROR(__xludf.DUMMYFUNCTION("""COMPUTED_VALUE"""),2)</f>
        <v>2</v>
      </c>
      <c r="D9460" s="8">
        <f ca="1">IFERROR(__xludf.DUMMYFUNCTION("""COMPUTED_VALUE"""),2)</f>
        <v>2</v>
      </c>
      <c r="E9460" s="2">
        <f ca="1">IFERROR(__xludf.DUMMYFUNCTION("""COMPUTED_VALUE"""),1)</f>
        <v>1</v>
      </c>
    </row>
    <row r="9461" spans="1:5" ht="13">
      <c r="A9461" s="8" t="str">
        <f ca="1">IFERROR(__xludf.DUMMYFUNCTION("""COMPUTED_VALUE"""),"Graef, Sara Carina")</f>
        <v>Graef, Sara Carina</v>
      </c>
      <c r="B9461" s="3">
        <f ca="1">IFERROR(__xludf.DUMMYFUNCTION("""COMPUTED_VALUE"""),2)</f>
        <v>2</v>
      </c>
      <c r="C9461" s="7">
        <f ca="1">IFERROR(__xludf.DUMMYFUNCTION("""COMPUTED_VALUE"""),2)</f>
        <v>2</v>
      </c>
      <c r="D9461" s="8">
        <f ca="1">IFERROR(__xludf.DUMMYFUNCTION("""COMPUTED_VALUE"""),2)</f>
        <v>2</v>
      </c>
      <c r="E9461" s="2">
        <f ca="1">IFERROR(__xludf.DUMMYFUNCTION("""COMPUTED_VALUE"""),1)</f>
        <v>1</v>
      </c>
    </row>
    <row r="9462" spans="1:5" ht="13">
      <c r="A9462" s="8" t="str">
        <f ca="1">IFERROR(__xludf.DUMMYFUNCTION("""COMPUTED_VALUE"""),"Graham, Brenda J.")</f>
        <v>Graham, Brenda J.</v>
      </c>
      <c r="B9462" s="3">
        <f ca="1">IFERROR(__xludf.DUMMYFUNCTION("""COMPUTED_VALUE"""),2)</f>
        <v>2</v>
      </c>
      <c r="C9462" s="7">
        <f ca="1">IFERROR(__xludf.DUMMYFUNCTION("""COMPUTED_VALUE"""),2)</f>
        <v>2</v>
      </c>
      <c r="D9462" s="8">
        <f ca="1">IFERROR(__xludf.DUMMYFUNCTION("""COMPUTED_VALUE"""),2)</f>
        <v>2</v>
      </c>
      <c r="E9462" s="2">
        <f ca="1">IFERROR(__xludf.DUMMYFUNCTION("""COMPUTED_VALUE"""),1)</f>
        <v>1</v>
      </c>
    </row>
    <row r="9463" spans="1:5" ht="13">
      <c r="A9463" s="2" t="str">
        <f ca="1">IFERROR(__xludf.DUMMYFUNCTION("""COMPUTED_VALUE"""),"Gravell, Amy")</f>
        <v>Gravell, Amy</v>
      </c>
      <c r="B9463" s="3">
        <f ca="1">IFERROR(__xludf.DUMMYFUNCTION("""COMPUTED_VALUE"""),2)</f>
        <v>2</v>
      </c>
      <c r="C9463" s="7">
        <f ca="1">IFERROR(__xludf.DUMMYFUNCTION("""COMPUTED_VALUE"""),2)</f>
        <v>2</v>
      </c>
      <c r="D9463" s="8">
        <f ca="1">IFERROR(__xludf.DUMMYFUNCTION("""COMPUTED_VALUE"""),2)</f>
        <v>2</v>
      </c>
      <c r="E9463" s="2">
        <f ca="1">IFERROR(__xludf.DUMMYFUNCTION("""COMPUTED_VALUE"""),1)</f>
        <v>1</v>
      </c>
    </row>
    <row r="9464" spans="1:5" ht="13">
      <c r="A9464" s="8" t="str">
        <f ca="1">IFERROR(__xludf.DUMMYFUNCTION("""COMPUTED_VALUE"""),"Gray, Cynthia")</f>
        <v>Gray, Cynthia</v>
      </c>
      <c r="B9464" s="3">
        <f ca="1">IFERROR(__xludf.DUMMYFUNCTION("""COMPUTED_VALUE"""),2)</f>
        <v>2</v>
      </c>
      <c r="C9464" s="7">
        <f ca="1">IFERROR(__xludf.DUMMYFUNCTION("""COMPUTED_VALUE"""),2)</f>
        <v>2</v>
      </c>
      <c r="D9464" s="8">
        <f ca="1">IFERROR(__xludf.DUMMYFUNCTION("""COMPUTED_VALUE"""),2)</f>
        <v>2</v>
      </c>
      <c r="E9464" s="2">
        <f ca="1">IFERROR(__xludf.DUMMYFUNCTION("""COMPUTED_VALUE"""),1)</f>
        <v>1</v>
      </c>
    </row>
    <row r="9465" spans="1:5" ht="13">
      <c r="A9465" s="8" t="str">
        <f ca="1">IFERROR(__xludf.DUMMYFUNCTION("""COMPUTED_VALUE"""),"Gray, Ruth Morris")</f>
        <v>Gray, Ruth Morris</v>
      </c>
      <c r="B9465" s="3">
        <f ca="1">IFERROR(__xludf.DUMMYFUNCTION("""COMPUTED_VALUE"""),2)</f>
        <v>2</v>
      </c>
      <c r="C9465" s="7">
        <f ca="1">IFERROR(__xludf.DUMMYFUNCTION("""COMPUTED_VALUE"""),2)</f>
        <v>2</v>
      </c>
      <c r="D9465" s="8">
        <f ca="1">IFERROR(__xludf.DUMMYFUNCTION("""COMPUTED_VALUE"""),2)</f>
        <v>2</v>
      </c>
      <c r="E9465" s="2">
        <f ca="1">IFERROR(__xludf.DUMMYFUNCTION("""COMPUTED_VALUE"""),1)</f>
        <v>1</v>
      </c>
    </row>
    <row r="9466" spans="1:5" ht="13">
      <c r="A9466" s="8" t="str">
        <f ca="1">IFERROR(__xludf.DUMMYFUNCTION("""COMPUTED_VALUE"""),"Green, Elisabeth A.H")</f>
        <v>Green, Elisabeth A.H</v>
      </c>
      <c r="B9466" s="3">
        <f ca="1">IFERROR(__xludf.DUMMYFUNCTION("""COMPUTED_VALUE"""),2)</f>
        <v>2</v>
      </c>
      <c r="C9466" s="7">
        <f ca="1">IFERROR(__xludf.DUMMYFUNCTION("""COMPUTED_VALUE"""),2)</f>
        <v>2</v>
      </c>
      <c r="D9466" s="8">
        <f ca="1">IFERROR(__xludf.DUMMYFUNCTION("""COMPUTED_VALUE"""),6)</f>
        <v>6</v>
      </c>
      <c r="E9466" s="2">
        <f ca="1">IFERROR(__xludf.DUMMYFUNCTION("""COMPUTED_VALUE"""),2)</f>
        <v>2</v>
      </c>
    </row>
    <row r="9467" spans="1:5" ht="13">
      <c r="A9467" s="2" t="str">
        <f ca="1">IFERROR(__xludf.DUMMYFUNCTION("""COMPUTED_VALUE"""),"Green, Elizabeth")</f>
        <v>Green, Elizabeth</v>
      </c>
      <c r="B9467" s="3">
        <f ca="1">IFERROR(__xludf.DUMMYFUNCTION("""COMPUTED_VALUE"""),2)</f>
        <v>2</v>
      </c>
      <c r="C9467" s="7">
        <f ca="1">IFERROR(__xludf.DUMMYFUNCTION("""COMPUTED_VALUE"""),2)</f>
        <v>2</v>
      </c>
      <c r="D9467" s="8">
        <f ca="1">IFERROR(__xludf.DUMMYFUNCTION("""COMPUTED_VALUE"""),6)</f>
        <v>6</v>
      </c>
      <c r="E9467" s="2">
        <f ca="1">IFERROR(__xludf.DUMMYFUNCTION("""COMPUTED_VALUE"""),2)</f>
        <v>2</v>
      </c>
    </row>
    <row r="9468" spans="1:5" ht="13">
      <c r="A9468" s="2" t="str">
        <f ca="1">IFERROR(__xludf.DUMMYFUNCTION("""COMPUTED_VALUE"""),"Greenaway, Sally")</f>
        <v>Greenaway, Sally</v>
      </c>
      <c r="B9468" s="3">
        <f ca="1">IFERROR(__xludf.DUMMYFUNCTION("""COMPUTED_VALUE"""),2)</f>
        <v>2</v>
      </c>
      <c r="C9468" s="7">
        <f ca="1">IFERROR(__xludf.DUMMYFUNCTION("""COMPUTED_VALUE"""),2)</f>
        <v>2</v>
      </c>
      <c r="D9468" s="8">
        <f ca="1">IFERROR(__xludf.DUMMYFUNCTION("""COMPUTED_VALUE"""),2)</f>
        <v>2</v>
      </c>
      <c r="E9468" s="2">
        <f ca="1">IFERROR(__xludf.DUMMYFUNCTION("""COMPUTED_VALUE"""),1)</f>
        <v>1</v>
      </c>
    </row>
    <row r="9469" spans="1:5" ht="13">
      <c r="A9469" s="2" t="str">
        <f ca="1">IFERROR(__xludf.DUMMYFUNCTION("""COMPUTED_VALUE"""),"Greene, Joni")</f>
        <v>Greene, Joni</v>
      </c>
      <c r="B9469" s="3">
        <f ca="1">IFERROR(__xludf.DUMMYFUNCTION("""COMPUTED_VALUE"""),2)</f>
        <v>2</v>
      </c>
      <c r="C9469" s="7">
        <f ca="1">IFERROR(__xludf.DUMMYFUNCTION("""COMPUTED_VALUE"""),2)</f>
        <v>2</v>
      </c>
      <c r="D9469" s="8">
        <f ca="1">IFERROR(__xludf.DUMMYFUNCTION("""COMPUTED_VALUE"""),2)</f>
        <v>2</v>
      </c>
      <c r="E9469" s="2">
        <f ca="1">IFERROR(__xludf.DUMMYFUNCTION("""COMPUTED_VALUE"""),1)</f>
        <v>1</v>
      </c>
    </row>
    <row r="9470" spans="1:5" ht="13">
      <c r="A9470" s="2" t="str">
        <f ca="1">IFERROR(__xludf.DUMMYFUNCTION("""COMPUTED_VALUE"""),"Gregoryk, Joan")</f>
        <v>Gregoryk, Joan</v>
      </c>
      <c r="B9470" s="3">
        <f ca="1">IFERROR(__xludf.DUMMYFUNCTION("""COMPUTED_VALUE"""),2)</f>
        <v>2</v>
      </c>
      <c r="C9470" s="7">
        <f ca="1">IFERROR(__xludf.DUMMYFUNCTION("""COMPUTED_VALUE"""),2)</f>
        <v>2</v>
      </c>
      <c r="D9470" s="8">
        <f ca="1">IFERROR(__xludf.DUMMYFUNCTION("""COMPUTED_VALUE"""),2)</f>
        <v>2</v>
      </c>
      <c r="E9470" s="2">
        <f ca="1">IFERROR(__xludf.DUMMYFUNCTION("""COMPUTED_VALUE"""),1)</f>
        <v>1</v>
      </c>
    </row>
    <row r="9471" spans="1:5" ht="13">
      <c r="A9471" s="8" t="str">
        <f ca="1">IFERROR(__xludf.DUMMYFUNCTION("""COMPUTED_VALUE"""),"Grenfell, Maria")</f>
        <v>Grenfell, Maria</v>
      </c>
      <c r="B9471" s="3">
        <f ca="1">IFERROR(__xludf.DUMMYFUNCTION("""COMPUTED_VALUE"""),2)</f>
        <v>2</v>
      </c>
      <c r="C9471" s="7">
        <f ca="1">IFERROR(__xludf.DUMMYFUNCTION("""COMPUTED_VALUE"""),2)</f>
        <v>2</v>
      </c>
      <c r="D9471" s="8">
        <f ca="1">IFERROR(__xludf.DUMMYFUNCTION("""COMPUTED_VALUE"""),2)</f>
        <v>2</v>
      </c>
      <c r="E9471" s="2">
        <f ca="1">IFERROR(__xludf.DUMMYFUNCTION("""COMPUTED_VALUE"""),1)</f>
        <v>1</v>
      </c>
    </row>
    <row r="9472" spans="1:5" ht="13">
      <c r="A9472" s="2" t="str">
        <f ca="1">IFERROR(__xludf.DUMMYFUNCTION("""COMPUTED_VALUE"""),"Griebling, Karen")</f>
        <v>Griebling, Karen</v>
      </c>
      <c r="B9472" s="3">
        <f ca="1">IFERROR(__xludf.DUMMYFUNCTION("""COMPUTED_VALUE"""),2)</f>
        <v>2</v>
      </c>
      <c r="C9472" s="7">
        <f ca="1">IFERROR(__xludf.DUMMYFUNCTION("""COMPUTED_VALUE"""),2)</f>
        <v>2</v>
      </c>
      <c r="D9472" s="8">
        <f ca="1">IFERROR(__xludf.DUMMYFUNCTION("""COMPUTED_VALUE"""),2)</f>
        <v>2</v>
      </c>
      <c r="E9472" s="2">
        <f ca="1">IFERROR(__xludf.DUMMYFUNCTION("""COMPUTED_VALUE"""),1)</f>
        <v>1</v>
      </c>
    </row>
    <row r="9473" spans="1:5" ht="13">
      <c r="A9473" s="2" t="str">
        <f ca="1">IFERROR(__xludf.DUMMYFUNCTION("""COMPUTED_VALUE"""),"Griesinger, Kathryn")</f>
        <v>Griesinger, Kathryn</v>
      </c>
      <c r="B9473" s="2">
        <f ca="1">IFERROR(__xludf.DUMMYFUNCTION("""COMPUTED_VALUE"""),2)</f>
        <v>2</v>
      </c>
      <c r="C9473" s="7">
        <f ca="1">IFERROR(__xludf.DUMMYFUNCTION("""COMPUTED_VALUE"""),2)</f>
        <v>2</v>
      </c>
      <c r="D9473" s="8">
        <f ca="1">IFERROR(__xludf.DUMMYFUNCTION("""COMPUTED_VALUE"""),2)</f>
        <v>2</v>
      </c>
      <c r="E9473" s="2">
        <f ca="1">IFERROR(__xludf.DUMMYFUNCTION("""COMPUTED_VALUE"""),1)</f>
        <v>1</v>
      </c>
    </row>
    <row r="9474" spans="1:5" ht="13">
      <c r="A9474" s="2" t="str">
        <f ca="1">IFERROR(__xludf.DUMMYFUNCTION("""COMPUTED_VALUE"""),"Griffin, Fran")</f>
        <v>Griffin, Fran</v>
      </c>
      <c r="B9474" s="2">
        <f ca="1">IFERROR(__xludf.DUMMYFUNCTION("""COMPUTED_VALUE"""),2)</f>
        <v>2</v>
      </c>
      <c r="C9474" s="7">
        <f ca="1">IFERROR(__xludf.DUMMYFUNCTION("""COMPUTED_VALUE"""),2)</f>
        <v>2</v>
      </c>
      <c r="D9474" s="8">
        <f ca="1">IFERROR(__xludf.DUMMYFUNCTION("""COMPUTED_VALUE"""),2)</f>
        <v>2</v>
      </c>
      <c r="E9474" s="2">
        <f ca="1">IFERROR(__xludf.DUMMYFUNCTION("""COMPUTED_VALUE"""),1)</f>
        <v>1</v>
      </c>
    </row>
    <row r="9475" spans="1:5" ht="13">
      <c r="A9475" s="2" t="str">
        <f ca="1">IFERROR(__xludf.DUMMYFUNCTION("""COMPUTED_VALUE"""),"Griffin, Julie")</f>
        <v>Griffin, Julie</v>
      </c>
      <c r="B9475" s="2">
        <f ca="1">IFERROR(__xludf.DUMMYFUNCTION("""COMPUTED_VALUE"""),2)</f>
        <v>2</v>
      </c>
      <c r="C9475" s="7">
        <f ca="1">IFERROR(__xludf.DUMMYFUNCTION("""COMPUTED_VALUE"""),2)</f>
        <v>2</v>
      </c>
      <c r="D9475" s="8">
        <f ca="1">IFERROR(__xludf.DUMMYFUNCTION("""COMPUTED_VALUE"""),2)</f>
        <v>2</v>
      </c>
      <c r="E9475" s="2">
        <f ca="1">IFERROR(__xludf.DUMMYFUNCTION("""COMPUTED_VALUE"""),1)</f>
        <v>1</v>
      </c>
    </row>
    <row r="9476" spans="1:5" ht="13">
      <c r="A9476" s="2" t="str">
        <f ca="1">IFERROR(__xludf.DUMMYFUNCTION("""COMPUTED_VALUE"""),"Griffin, Patty")</f>
        <v>Griffin, Patty</v>
      </c>
      <c r="B9476" s="3">
        <f ca="1">IFERROR(__xludf.DUMMYFUNCTION("""COMPUTED_VALUE"""),2)</f>
        <v>2</v>
      </c>
      <c r="C9476" s="7">
        <f ca="1">IFERROR(__xludf.DUMMYFUNCTION("""COMPUTED_VALUE"""),2)</f>
        <v>2</v>
      </c>
      <c r="D9476" s="8">
        <f ca="1">IFERROR(__xludf.DUMMYFUNCTION("""COMPUTED_VALUE"""),2)</f>
        <v>2</v>
      </c>
      <c r="E9476" s="2">
        <f ca="1">IFERROR(__xludf.DUMMYFUNCTION("""COMPUTED_VALUE"""),1)</f>
        <v>1</v>
      </c>
    </row>
    <row r="9477" spans="1:5" ht="13">
      <c r="A9477" s="2" t="str">
        <f ca="1">IFERROR(__xludf.DUMMYFUNCTION("""COMPUTED_VALUE"""),"Griffith, Idona")</f>
        <v>Griffith, Idona</v>
      </c>
      <c r="B9477" s="3">
        <f ca="1">IFERROR(__xludf.DUMMYFUNCTION("""COMPUTED_VALUE"""),2)</f>
        <v>2</v>
      </c>
      <c r="C9477" s="7">
        <f ca="1">IFERROR(__xludf.DUMMYFUNCTION("""COMPUTED_VALUE"""),2)</f>
        <v>2</v>
      </c>
      <c r="D9477" s="8">
        <f ca="1">IFERROR(__xludf.DUMMYFUNCTION("""COMPUTED_VALUE"""),2)</f>
        <v>2</v>
      </c>
      <c r="E9477" s="2">
        <f ca="1">IFERROR(__xludf.DUMMYFUNCTION("""COMPUTED_VALUE"""),1)</f>
        <v>1</v>
      </c>
    </row>
    <row r="9478" spans="1:5" ht="13">
      <c r="A9478" s="2" t="str">
        <f ca="1">IFERROR(__xludf.DUMMYFUNCTION("""COMPUTED_VALUE"""),"Grigorjeva, Galina")</f>
        <v>Grigorjeva, Galina</v>
      </c>
      <c r="B9478" s="3">
        <f ca="1">IFERROR(__xludf.DUMMYFUNCTION("""COMPUTED_VALUE"""),2)</f>
        <v>2</v>
      </c>
      <c r="C9478" s="7">
        <f ca="1">IFERROR(__xludf.DUMMYFUNCTION("""COMPUTED_VALUE"""),2)</f>
        <v>2</v>
      </c>
      <c r="D9478" s="8">
        <f ca="1">IFERROR(__xludf.DUMMYFUNCTION("""COMPUTED_VALUE"""),2)</f>
        <v>2</v>
      </c>
      <c r="E9478" s="2">
        <f ca="1">IFERROR(__xludf.DUMMYFUNCTION("""COMPUTED_VALUE"""),1)</f>
        <v>1</v>
      </c>
    </row>
    <row r="9479" spans="1:5" ht="13">
      <c r="A9479" s="2" t="str">
        <f ca="1">IFERROR(__xludf.DUMMYFUNCTION("""COMPUTED_VALUE"""),"Grime, Helen")</f>
        <v>Grime, Helen</v>
      </c>
      <c r="B9479" s="3">
        <f ca="1">IFERROR(__xludf.DUMMYFUNCTION("""COMPUTED_VALUE"""),2)</f>
        <v>2</v>
      </c>
      <c r="C9479" s="7">
        <f ca="1">IFERROR(__xludf.DUMMYFUNCTION("""COMPUTED_VALUE"""),2)</f>
        <v>2</v>
      </c>
      <c r="D9479" s="8">
        <f ca="1">IFERROR(__xludf.DUMMYFUNCTION("""COMPUTED_VALUE"""),2)</f>
        <v>2</v>
      </c>
      <c r="E9479" s="2">
        <f ca="1">IFERROR(__xludf.DUMMYFUNCTION("""COMPUTED_VALUE"""),1)</f>
        <v>1</v>
      </c>
    </row>
    <row r="9480" spans="1:5" ht="13">
      <c r="A9480" s="2" t="str">
        <f ca="1">IFERROR(__xludf.DUMMYFUNCTION("""COMPUTED_VALUE"""),"Groves, Sara")</f>
        <v>Groves, Sara</v>
      </c>
      <c r="B9480" s="3">
        <f ca="1">IFERROR(__xludf.DUMMYFUNCTION("""COMPUTED_VALUE"""),2)</f>
        <v>2</v>
      </c>
      <c r="C9480" s="7">
        <f ca="1">IFERROR(__xludf.DUMMYFUNCTION("""COMPUTED_VALUE"""),2)</f>
        <v>2</v>
      </c>
      <c r="D9480" s="8">
        <f ca="1">IFERROR(__xludf.DUMMYFUNCTION("""COMPUTED_VALUE"""),2)</f>
        <v>2</v>
      </c>
      <c r="E9480" s="2">
        <f ca="1">IFERROR(__xludf.DUMMYFUNCTION("""COMPUTED_VALUE"""),1)</f>
        <v>1</v>
      </c>
    </row>
    <row r="9481" spans="1:5" ht="13">
      <c r="A9481" s="8" t="str">
        <f ca="1">IFERROR(__xludf.DUMMYFUNCTION("""COMPUTED_VALUE"""),"Grundahl, Nancy")</f>
        <v>Grundahl, Nancy</v>
      </c>
      <c r="B9481" s="3">
        <f ca="1">IFERROR(__xludf.DUMMYFUNCTION("""COMPUTED_VALUE"""),2)</f>
        <v>2</v>
      </c>
      <c r="C9481" s="7">
        <f ca="1">IFERROR(__xludf.DUMMYFUNCTION("""COMPUTED_VALUE"""),2)</f>
        <v>2</v>
      </c>
      <c r="D9481" s="8">
        <f ca="1">IFERROR(__xludf.DUMMYFUNCTION("""COMPUTED_VALUE"""),2)</f>
        <v>2</v>
      </c>
      <c r="E9481" s="2">
        <f ca="1">IFERROR(__xludf.DUMMYFUNCTION("""COMPUTED_VALUE"""),1)</f>
        <v>1</v>
      </c>
    </row>
    <row r="9482" spans="1:5" ht="13">
      <c r="A9482" s="2" t="str">
        <f ca="1">IFERROR(__xludf.DUMMYFUNCTION("""COMPUTED_VALUE"""),"Gruneisen, Lorie")</f>
        <v>Gruneisen, Lorie</v>
      </c>
      <c r="B9482" s="2">
        <f ca="1">IFERROR(__xludf.DUMMYFUNCTION("""COMPUTED_VALUE"""),2)</f>
        <v>2</v>
      </c>
      <c r="C9482" s="7">
        <f ca="1">IFERROR(__xludf.DUMMYFUNCTION("""COMPUTED_VALUE"""),2)</f>
        <v>2</v>
      </c>
      <c r="D9482" s="8">
        <f ca="1">IFERROR(__xludf.DUMMYFUNCTION("""COMPUTED_VALUE"""),2)</f>
        <v>2</v>
      </c>
      <c r="E9482" s="2">
        <f ca="1">IFERROR(__xludf.DUMMYFUNCTION("""COMPUTED_VALUE"""),1)</f>
        <v>1</v>
      </c>
    </row>
    <row r="9483" spans="1:5" ht="13">
      <c r="A9483" s="2" t="str">
        <f ca="1">IFERROR(__xludf.DUMMYFUNCTION("""COMPUTED_VALUE"""),"Gruselle")</f>
        <v>Gruselle</v>
      </c>
      <c r="B9483" s="2">
        <f ca="1">IFERROR(__xludf.DUMMYFUNCTION("""COMPUTED_VALUE"""),2)</f>
        <v>2</v>
      </c>
      <c r="C9483" s="7">
        <f ca="1">IFERROR(__xludf.DUMMYFUNCTION("""COMPUTED_VALUE"""),2)</f>
        <v>2</v>
      </c>
      <c r="D9483" s="8">
        <f ca="1">IFERROR(__xludf.DUMMYFUNCTION("""COMPUTED_VALUE"""),2)</f>
        <v>2</v>
      </c>
      <c r="E9483" s="2">
        <f ca="1">IFERROR(__xludf.DUMMYFUNCTION("""COMPUTED_VALUE"""),1)</f>
        <v>1</v>
      </c>
    </row>
    <row r="9484" spans="1:5" ht="13">
      <c r="A9484" s="2" t="str">
        <f ca="1">IFERROR(__xludf.DUMMYFUNCTION("""COMPUTED_VALUE"""),"Gruselle, Carrie Lane")</f>
        <v>Gruselle, Carrie Lane</v>
      </c>
      <c r="B9484" s="2">
        <f ca="1">IFERROR(__xludf.DUMMYFUNCTION("""COMPUTED_VALUE"""),2)</f>
        <v>2</v>
      </c>
      <c r="C9484" s="7">
        <f ca="1">IFERROR(__xludf.DUMMYFUNCTION("""COMPUTED_VALUE"""),2)</f>
        <v>2</v>
      </c>
      <c r="D9484" s="8">
        <f ca="1">IFERROR(__xludf.DUMMYFUNCTION("""COMPUTED_VALUE"""),2)</f>
        <v>2</v>
      </c>
      <c r="E9484" s="2">
        <f ca="1">IFERROR(__xludf.DUMMYFUNCTION("""COMPUTED_VALUE"""),1)</f>
        <v>1</v>
      </c>
    </row>
    <row r="9485" spans="1:5" ht="13">
      <c r="A9485" s="2" t="str">
        <f ca="1">IFERROR(__xludf.DUMMYFUNCTION("""COMPUTED_VALUE"""),"Gubaidulina, Sofia")</f>
        <v>Gubaidulina, Sofia</v>
      </c>
      <c r="B9485" s="3">
        <f ca="1">IFERROR(__xludf.DUMMYFUNCTION("""COMPUTED_VALUE"""),2)</f>
        <v>2</v>
      </c>
      <c r="C9485" s="7">
        <f ca="1">IFERROR(__xludf.DUMMYFUNCTION("""COMPUTED_VALUE"""),2)</f>
        <v>2</v>
      </c>
      <c r="D9485" s="8">
        <f ca="1">IFERROR(__xludf.DUMMYFUNCTION("""COMPUTED_VALUE"""),2)</f>
        <v>2</v>
      </c>
      <c r="E9485" s="2">
        <f ca="1">IFERROR(__xludf.DUMMYFUNCTION("""COMPUTED_VALUE"""),1)</f>
        <v>1</v>
      </c>
    </row>
    <row r="9486" spans="1:5" ht="13">
      <c r="A9486" s="2" t="str">
        <f ca="1">IFERROR(__xludf.DUMMYFUNCTION("""COMPUTED_VALUE"""),"Guðmundsdóttir, Björk")</f>
        <v>Guðmundsdóttir, Björk</v>
      </c>
      <c r="B9486" s="3">
        <f ca="1">IFERROR(__xludf.DUMMYFUNCTION("""COMPUTED_VALUE"""),2)</f>
        <v>2</v>
      </c>
      <c r="C9486" s="7">
        <f ca="1">IFERROR(__xludf.DUMMYFUNCTION("""COMPUTED_VALUE"""),2)</f>
        <v>2</v>
      </c>
      <c r="D9486" s="8">
        <f ca="1">IFERROR(__xludf.DUMMYFUNCTION("""COMPUTED_VALUE"""),2)</f>
        <v>2</v>
      </c>
      <c r="E9486" s="2">
        <f ca="1">IFERROR(__xludf.DUMMYFUNCTION("""COMPUTED_VALUE"""),1)</f>
        <v>1</v>
      </c>
    </row>
    <row r="9487" spans="1:5" ht="13">
      <c r="A9487" s="2" t="str">
        <f ca="1">IFERROR(__xludf.DUMMYFUNCTION("""COMPUTED_VALUE"""),"Guðnadóttir, Hildur")</f>
        <v>Guðnadóttir, Hildur</v>
      </c>
      <c r="B9487" s="2">
        <f ca="1">IFERROR(__xludf.DUMMYFUNCTION("""COMPUTED_VALUE"""),2)</f>
        <v>2</v>
      </c>
      <c r="C9487" s="2">
        <f ca="1">IFERROR(__xludf.DUMMYFUNCTION("""COMPUTED_VALUE"""),2)</f>
        <v>2</v>
      </c>
      <c r="D9487" s="8">
        <f ca="1">IFERROR(__xludf.DUMMYFUNCTION("""COMPUTED_VALUE"""),2)</f>
        <v>2</v>
      </c>
      <c r="E9487" s="2">
        <f ca="1">IFERROR(__xludf.DUMMYFUNCTION("""COMPUTED_VALUE"""),1)</f>
        <v>1</v>
      </c>
    </row>
    <row r="9488" spans="1:5" ht="13">
      <c r="A9488" s="2" t="str">
        <f ca="1">IFERROR(__xludf.DUMMYFUNCTION("""COMPUTED_VALUE"""),"Guida, Friedrich")</f>
        <v>Guida, Friedrich</v>
      </c>
      <c r="B9488" s="3">
        <f ca="1">IFERROR(__xludf.DUMMYFUNCTION("""COMPUTED_VALUE"""),2)</f>
        <v>2</v>
      </c>
      <c r="C9488" s="7">
        <f ca="1">IFERROR(__xludf.DUMMYFUNCTION("""COMPUTED_VALUE"""),2)</f>
        <v>2</v>
      </c>
      <c r="D9488" s="8">
        <f ca="1">IFERROR(__xludf.DUMMYFUNCTION("""COMPUTED_VALUE"""),6)</f>
        <v>6</v>
      </c>
      <c r="E9488" s="2">
        <f ca="1">IFERROR(__xludf.DUMMYFUNCTION("""COMPUTED_VALUE"""),2)</f>
        <v>2</v>
      </c>
    </row>
    <row r="9489" spans="1:5" ht="13">
      <c r="A9489" s="2" t="str">
        <f ca="1">IFERROR(__xludf.DUMMYFUNCTION("""COMPUTED_VALUE"""),"Gunn, Nancy")</f>
        <v>Gunn, Nancy</v>
      </c>
      <c r="B9489" s="3">
        <f ca="1">IFERROR(__xludf.DUMMYFUNCTION("""COMPUTED_VALUE"""),2)</f>
        <v>2</v>
      </c>
      <c r="C9489" s="7">
        <f ca="1">IFERROR(__xludf.DUMMYFUNCTION("""COMPUTED_VALUE"""),2)</f>
        <v>2</v>
      </c>
      <c r="D9489" s="8">
        <f ca="1">IFERROR(__xludf.DUMMYFUNCTION("""COMPUTED_VALUE"""),6)</f>
        <v>6</v>
      </c>
      <c r="E9489" s="2">
        <f ca="1">IFERROR(__xludf.DUMMYFUNCTION("""COMPUTED_VALUE"""),2)</f>
        <v>2</v>
      </c>
    </row>
    <row r="9490" spans="1:5" ht="13">
      <c r="A9490" s="2" t="str">
        <f ca="1">IFERROR(__xludf.DUMMYFUNCTION("""COMPUTED_VALUE"""),"Guzzo, Anne")</f>
        <v>Guzzo, Anne</v>
      </c>
      <c r="B9490" s="3">
        <f ca="1">IFERROR(__xludf.DUMMYFUNCTION("""COMPUTED_VALUE"""),2)</f>
        <v>2</v>
      </c>
      <c r="C9490" s="7">
        <f ca="1">IFERROR(__xludf.DUMMYFUNCTION("""COMPUTED_VALUE"""),2)</f>
        <v>2</v>
      </c>
      <c r="D9490" s="8">
        <f ca="1">IFERROR(__xludf.DUMMYFUNCTION("""COMPUTED_VALUE"""),2)</f>
        <v>2</v>
      </c>
      <c r="E9490" s="2">
        <f ca="1">IFERROR(__xludf.DUMMYFUNCTION("""COMPUTED_VALUE"""),1)</f>
        <v>1</v>
      </c>
    </row>
    <row r="9491" spans="1:5" ht="13">
      <c r="A9491" s="8" t="str">
        <f ca="1">IFERROR(__xludf.DUMMYFUNCTION("""COMPUTED_VALUE"""),"Gyorgy, Caity")</f>
        <v>Gyorgy, Caity</v>
      </c>
      <c r="B9491" s="3">
        <f ca="1">IFERROR(__xludf.DUMMYFUNCTION("""COMPUTED_VALUE"""),2)</f>
        <v>2</v>
      </c>
      <c r="C9491" s="7">
        <f ca="1">IFERROR(__xludf.DUMMYFUNCTION("""COMPUTED_VALUE"""),2)</f>
        <v>2</v>
      </c>
      <c r="D9491" s="8">
        <f ca="1">IFERROR(__xludf.DUMMYFUNCTION("""COMPUTED_VALUE"""),2)</f>
        <v>2</v>
      </c>
      <c r="E9491" s="2">
        <f ca="1">IFERROR(__xludf.DUMMYFUNCTION("""COMPUTED_VALUE"""),1)</f>
        <v>1</v>
      </c>
    </row>
    <row r="9492" spans="1:5" ht="13">
      <c r="A9492" s="2" t="str">
        <f ca="1">IFERROR(__xludf.DUMMYFUNCTION("""COMPUTED_VALUE"""),"Hablewitz, Christin")</f>
        <v>Hablewitz, Christin</v>
      </c>
      <c r="B9492" s="2">
        <f ca="1">IFERROR(__xludf.DUMMYFUNCTION("""COMPUTED_VALUE"""),2)</f>
        <v>2</v>
      </c>
      <c r="C9492" s="7">
        <f ca="1">IFERROR(__xludf.DUMMYFUNCTION("""COMPUTED_VALUE"""),2)</f>
        <v>2</v>
      </c>
      <c r="D9492" s="8">
        <f ca="1">IFERROR(__xludf.DUMMYFUNCTION("""COMPUTED_VALUE"""),2)</f>
        <v>2</v>
      </c>
      <c r="E9492" s="2">
        <f ca="1">IFERROR(__xludf.DUMMYFUNCTION("""COMPUTED_VALUE"""),1)</f>
        <v>1</v>
      </c>
    </row>
    <row r="9493" spans="1:5" ht="13">
      <c r="A9493" s="2" t="str">
        <f ca="1">IFERROR(__xludf.DUMMYFUNCTION("""COMPUTED_VALUE"""),"Hagen, Jocelyn")</f>
        <v>Hagen, Jocelyn</v>
      </c>
      <c r="B9493" s="3">
        <f ca="1">IFERROR(__xludf.DUMMYFUNCTION("""COMPUTED_VALUE"""),2)</f>
        <v>2</v>
      </c>
      <c r="C9493" s="7">
        <f ca="1">IFERROR(__xludf.DUMMYFUNCTION("""COMPUTED_VALUE"""),2)</f>
        <v>2</v>
      </c>
      <c r="D9493" s="8">
        <f ca="1">IFERROR(__xludf.DUMMYFUNCTION("""COMPUTED_VALUE"""),2)</f>
        <v>2</v>
      </c>
      <c r="E9493" s="2">
        <f ca="1">IFERROR(__xludf.DUMMYFUNCTION("""COMPUTED_VALUE"""),1)</f>
        <v>1</v>
      </c>
    </row>
    <row r="9494" spans="1:5" ht="13">
      <c r="A9494" s="8" t="str">
        <f ca="1">IFERROR(__xludf.DUMMYFUNCTION("""COMPUTED_VALUE"""),"Hagen, Jocelyn / Dessa")</f>
        <v>Hagen, Jocelyn / Dessa</v>
      </c>
      <c r="B9494" s="2">
        <f ca="1">IFERROR(__xludf.DUMMYFUNCTION("""COMPUTED_VALUE"""),2)</f>
        <v>2</v>
      </c>
      <c r="C9494" s="7">
        <f ca="1">IFERROR(__xludf.DUMMYFUNCTION("""COMPUTED_VALUE"""),2)</f>
        <v>2</v>
      </c>
      <c r="D9494" s="8">
        <f ca="1">IFERROR(__xludf.DUMMYFUNCTION("""COMPUTED_VALUE"""),2)</f>
        <v>2</v>
      </c>
      <c r="E9494" s="2">
        <f ca="1">IFERROR(__xludf.DUMMYFUNCTION("""COMPUTED_VALUE"""),1)</f>
        <v>1</v>
      </c>
    </row>
    <row r="9495" spans="1:5" ht="13">
      <c r="A9495" s="2" t="str">
        <f ca="1">IFERROR(__xludf.DUMMYFUNCTION("""COMPUTED_VALUE"""),"Hagenberg, Elaine")</f>
        <v>Hagenberg, Elaine</v>
      </c>
      <c r="B9495" s="2">
        <f ca="1">IFERROR(__xludf.DUMMYFUNCTION("""COMPUTED_VALUE"""),2)</f>
        <v>2</v>
      </c>
      <c r="C9495" s="7">
        <f ca="1">IFERROR(__xludf.DUMMYFUNCTION("""COMPUTED_VALUE"""),2)</f>
        <v>2</v>
      </c>
      <c r="D9495" s="8">
        <f ca="1">IFERROR(__xludf.DUMMYFUNCTION("""COMPUTED_VALUE"""),2)</f>
        <v>2</v>
      </c>
      <c r="E9495" s="2">
        <f ca="1">IFERROR(__xludf.DUMMYFUNCTION("""COMPUTED_VALUE"""),1)</f>
        <v>1</v>
      </c>
    </row>
    <row r="9496" spans="1:5" ht="13">
      <c r="A9496" s="2" t="str">
        <f ca="1">IFERROR(__xludf.DUMMYFUNCTION("""COMPUTED_VALUE"""),"Halco, M.J.")</f>
        <v>Halco, M.J.</v>
      </c>
      <c r="B9496" s="3">
        <f ca="1">IFERROR(__xludf.DUMMYFUNCTION("""COMPUTED_VALUE"""),2)</f>
        <v>2</v>
      </c>
      <c r="C9496" s="7">
        <f ca="1">IFERROR(__xludf.DUMMYFUNCTION("""COMPUTED_VALUE"""),2)</f>
        <v>2</v>
      </c>
      <c r="D9496" s="8">
        <f ca="1">IFERROR(__xludf.DUMMYFUNCTION("""COMPUTED_VALUE"""),2)</f>
        <v>2</v>
      </c>
      <c r="E9496" s="2">
        <f ca="1">IFERROR(__xludf.DUMMYFUNCTION("""COMPUTED_VALUE"""),1)</f>
        <v>1</v>
      </c>
    </row>
    <row r="9497" spans="1:5" ht="13">
      <c r="A9497" s="8" t="str">
        <f ca="1">IFERROR(__xludf.DUMMYFUNCTION("""COMPUTED_VALUE"""),"Hale, Grace")</f>
        <v>Hale, Grace</v>
      </c>
      <c r="B9497" s="3">
        <f ca="1">IFERROR(__xludf.DUMMYFUNCTION("""COMPUTED_VALUE"""),2)</f>
        <v>2</v>
      </c>
      <c r="C9497" s="7">
        <f ca="1">IFERROR(__xludf.DUMMYFUNCTION("""COMPUTED_VALUE"""),2)</f>
        <v>2</v>
      </c>
      <c r="D9497" s="8">
        <f ca="1">IFERROR(__xludf.DUMMYFUNCTION("""COMPUTED_VALUE"""),2)</f>
        <v>2</v>
      </c>
      <c r="E9497" s="2">
        <f ca="1">IFERROR(__xludf.DUMMYFUNCTION("""COMPUTED_VALUE"""),1)</f>
        <v>1</v>
      </c>
    </row>
    <row r="9498" spans="1:5" ht="13">
      <c r="A9498" s="2" t="str">
        <f ca="1">IFERROR(__xludf.DUMMYFUNCTION("""COMPUTED_VALUE"""),"Haley, Jill")</f>
        <v>Haley, Jill</v>
      </c>
      <c r="B9498" s="3">
        <f ca="1">IFERROR(__xludf.DUMMYFUNCTION("""COMPUTED_VALUE"""),2)</f>
        <v>2</v>
      </c>
      <c r="C9498" s="7">
        <f ca="1">IFERROR(__xludf.DUMMYFUNCTION("""COMPUTED_VALUE"""),2)</f>
        <v>2</v>
      </c>
      <c r="D9498" s="8">
        <f ca="1">IFERROR(__xludf.DUMMYFUNCTION("""COMPUTED_VALUE"""),2)</f>
        <v>2</v>
      </c>
      <c r="E9498" s="2">
        <f ca="1">IFERROR(__xludf.DUMMYFUNCTION("""COMPUTED_VALUE"""),1)</f>
        <v>1</v>
      </c>
    </row>
    <row r="9499" spans="1:5" ht="13">
      <c r="A9499" s="2" t="str">
        <f ca="1">IFERROR(__xludf.DUMMYFUNCTION("""COMPUTED_VALUE"""),"Hall, Carol")</f>
        <v>Hall, Carol</v>
      </c>
      <c r="B9499" s="3">
        <f ca="1">IFERROR(__xludf.DUMMYFUNCTION("""COMPUTED_VALUE"""),2)</f>
        <v>2</v>
      </c>
      <c r="C9499" s="7">
        <f ca="1">IFERROR(__xludf.DUMMYFUNCTION("""COMPUTED_VALUE"""),2)</f>
        <v>2</v>
      </c>
      <c r="D9499" s="8">
        <f ca="1">IFERROR(__xludf.DUMMYFUNCTION("""COMPUTED_VALUE"""),6)</f>
        <v>6</v>
      </c>
      <c r="E9499" s="2">
        <f ca="1">IFERROR(__xludf.DUMMYFUNCTION("""COMPUTED_VALUE"""),2)</f>
        <v>2</v>
      </c>
    </row>
    <row r="9500" spans="1:5" ht="13">
      <c r="A9500" s="2" t="str">
        <f ca="1">IFERROR(__xludf.DUMMYFUNCTION("""COMPUTED_VALUE"""),"Hall, Jean")</f>
        <v>Hall, Jean</v>
      </c>
      <c r="B9500" s="3">
        <f ca="1">IFERROR(__xludf.DUMMYFUNCTION("""COMPUTED_VALUE"""),2)</f>
        <v>2</v>
      </c>
      <c r="C9500" s="7">
        <f ca="1">IFERROR(__xludf.DUMMYFUNCTION("""COMPUTED_VALUE"""),2)</f>
        <v>2</v>
      </c>
      <c r="D9500" s="8">
        <f ca="1">IFERROR(__xludf.DUMMYFUNCTION("""COMPUTED_VALUE"""),2)</f>
        <v>2</v>
      </c>
      <c r="E9500" s="2">
        <f ca="1">IFERROR(__xludf.DUMMYFUNCTION("""COMPUTED_VALUE"""),1)</f>
        <v>1</v>
      </c>
    </row>
    <row r="9501" spans="1:5" ht="13">
      <c r="A9501" s="2" t="str">
        <f ca="1">IFERROR(__xludf.DUMMYFUNCTION("""COMPUTED_VALUE"""),"Halloran, Marjorie")</f>
        <v>Halloran, Marjorie</v>
      </c>
      <c r="B9501" s="3">
        <f ca="1">IFERROR(__xludf.DUMMYFUNCTION("""COMPUTED_VALUE"""),2)</f>
        <v>2</v>
      </c>
      <c r="C9501" s="7">
        <f ca="1">IFERROR(__xludf.DUMMYFUNCTION("""COMPUTED_VALUE"""),2)</f>
        <v>2</v>
      </c>
      <c r="D9501" s="8">
        <f ca="1">IFERROR(__xludf.DUMMYFUNCTION("""COMPUTED_VALUE"""),2)</f>
        <v>2</v>
      </c>
      <c r="E9501" s="2">
        <f ca="1">IFERROR(__xludf.DUMMYFUNCTION("""COMPUTED_VALUE"""),1)</f>
        <v>1</v>
      </c>
    </row>
    <row r="9502" spans="1:5" ht="13">
      <c r="A9502" s="2" t="str">
        <f ca="1">IFERROR(__xludf.DUMMYFUNCTION("""COMPUTED_VALUE"""),"Hamilton, Horton, and Seeger")</f>
        <v>Hamilton, Horton, and Seeger</v>
      </c>
      <c r="B9502" s="3">
        <f ca="1">IFERROR(__xludf.DUMMYFUNCTION("""COMPUTED_VALUE"""),2)</f>
        <v>2</v>
      </c>
      <c r="C9502" s="7">
        <f ca="1">IFERROR(__xludf.DUMMYFUNCTION("""COMPUTED_VALUE"""),2)</f>
        <v>2</v>
      </c>
      <c r="D9502" s="8">
        <f ca="1">IFERROR(__xludf.DUMMYFUNCTION("""COMPUTED_VALUE"""),6)</f>
        <v>6</v>
      </c>
      <c r="E9502" s="2">
        <f ca="1">IFERROR(__xludf.DUMMYFUNCTION("""COMPUTED_VALUE"""),2)</f>
        <v>2</v>
      </c>
    </row>
    <row r="9503" spans="1:5" ht="13">
      <c r="A9503" s="2" t="str">
        <f ca="1">IFERROR(__xludf.DUMMYFUNCTION("""COMPUTED_VALUE"""),"Hans, Christina")</f>
        <v>Hans, Christina</v>
      </c>
      <c r="B9503" s="3">
        <f ca="1">IFERROR(__xludf.DUMMYFUNCTION("""COMPUTED_VALUE"""),2)</f>
        <v>2</v>
      </c>
      <c r="C9503" s="7">
        <f ca="1">IFERROR(__xludf.DUMMYFUNCTION("""COMPUTED_VALUE"""),2)</f>
        <v>2</v>
      </c>
      <c r="D9503" s="8">
        <f ca="1">IFERROR(__xludf.DUMMYFUNCTION("""COMPUTED_VALUE"""),2)</f>
        <v>2</v>
      </c>
      <c r="E9503" s="2">
        <f ca="1">IFERROR(__xludf.DUMMYFUNCTION("""COMPUTED_VALUE"""),1)</f>
        <v>1</v>
      </c>
    </row>
    <row r="9504" spans="1:5" ht="13">
      <c r="A9504" s="2" t="str">
        <f ca="1">IFERROR(__xludf.DUMMYFUNCTION("""COMPUTED_VALUE"""),"Hanson, Shelley")</f>
        <v>Hanson, Shelley</v>
      </c>
      <c r="B9504" s="3">
        <f ca="1">IFERROR(__xludf.DUMMYFUNCTION("""COMPUTED_VALUE"""),2)</f>
        <v>2</v>
      </c>
      <c r="C9504" s="7">
        <f ca="1">IFERROR(__xludf.DUMMYFUNCTION("""COMPUTED_VALUE"""),2)</f>
        <v>2</v>
      </c>
      <c r="D9504" s="8">
        <f ca="1">IFERROR(__xludf.DUMMYFUNCTION("""COMPUTED_VALUE"""),2)</f>
        <v>2</v>
      </c>
      <c r="E9504" s="2">
        <f ca="1">IFERROR(__xludf.DUMMYFUNCTION("""COMPUTED_VALUE"""),1)</f>
        <v>1</v>
      </c>
    </row>
    <row r="9505" spans="1:5" ht="13">
      <c r="A9505" s="8" t="str">
        <f ca="1">IFERROR(__xludf.DUMMYFUNCTION("""COMPUTED_VALUE"""),"Harbach, Barbara")</f>
        <v>Harbach, Barbara</v>
      </c>
      <c r="B9505" s="3">
        <f ca="1">IFERROR(__xludf.DUMMYFUNCTION("""COMPUTED_VALUE"""),2)</f>
        <v>2</v>
      </c>
      <c r="C9505" s="7">
        <f ca="1">IFERROR(__xludf.DUMMYFUNCTION("""COMPUTED_VALUE"""),2)</f>
        <v>2</v>
      </c>
      <c r="D9505" s="8">
        <f ca="1">IFERROR(__xludf.DUMMYFUNCTION("""COMPUTED_VALUE"""),2)</f>
        <v>2</v>
      </c>
      <c r="E9505" s="2">
        <f ca="1">IFERROR(__xludf.DUMMYFUNCTION("""COMPUTED_VALUE"""),1)</f>
        <v>1</v>
      </c>
    </row>
    <row r="9506" spans="1:5" ht="13">
      <c r="A9506" s="2" t="str">
        <f ca="1">IFERROR(__xludf.DUMMYFUNCTION("""COMPUTED_VALUE"""),"Harberg, Amanda")</f>
        <v>Harberg, Amanda</v>
      </c>
      <c r="B9506" s="3">
        <f ca="1">IFERROR(__xludf.DUMMYFUNCTION("""COMPUTED_VALUE"""),2)</f>
        <v>2</v>
      </c>
      <c r="C9506" s="7">
        <f ca="1">IFERROR(__xludf.DUMMYFUNCTION("""COMPUTED_VALUE"""),2)</f>
        <v>2</v>
      </c>
      <c r="D9506" s="8">
        <f ca="1">IFERROR(__xludf.DUMMYFUNCTION("""COMPUTED_VALUE"""),2)</f>
        <v>2</v>
      </c>
      <c r="E9506" s="2">
        <f ca="1">IFERROR(__xludf.DUMMYFUNCTION("""COMPUTED_VALUE"""),1)</f>
        <v>1</v>
      </c>
    </row>
    <row r="9507" spans="1:5" ht="13">
      <c r="A9507" s="2" t="str">
        <f ca="1">IFERROR(__xludf.DUMMYFUNCTION("""COMPUTED_VALUE"""),"Harlow, Barbara")</f>
        <v>Harlow, Barbara</v>
      </c>
      <c r="B9507" s="3">
        <f ca="1">IFERROR(__xludf.DUMMYFUNCTION("""COMPUTED_VALUE"""),2)</f>
        <v>2</v>
      </c>
      <c r="C9507" s="7">
        <f ca="1">IFERROR(__xludf.DUMMYFUNCTION("""COMPUTED_VALUE"""),2)</f>
        <v>2</v>
      </c>
      <c r="D9507" s="8">
        <f ca="1">IFERROR(__xludf.DUMMYFUNCTION("""COMPUTED_VALUE"""),2)</f>
        <v>2</v>
      </c>
      <c r="E9507" s="2">
        <f ca="1">IFERROR(__xludf.DUMMYFUNCTION("""COMPUTED_VALUE"""),1)</f>
        <v>1</v>
      </c>
    </row>
    <row r="9508" spans="1:5" ht="13">
      <c r="A9508" s="2" t="str">
        <f ca="1">IFERROR(__xludf.DUMMYFUNCTION("""COMPUTED_VALUE"""),"Harlow, Rachel")</f>
        <v>Harlow, Rachel</v>
      </c>
      <c r="B9508" s="3">
        <f ca="1">IFERROR(__xludf.DUMMYFUNCTION("""COMPUTED_VALUE"""),2)</f>
        <v>2</v>
      </c>
      <c r="C9508" s="7">
        <f ca="1">IFERROR(__xludf.DUMMYFUNCTION("""COMPUTED_VALUE"""),2)</f>
        <v>2</v>
      </c>
      <c r="D9508" s="8">
        <f ca="1">IFERROR(__xludf.DUMMYFUNCTION("""COMPUTED_VALUE"""),2)</f>
        <v>2</v>
      </c>
      <c r="E9508" s="2">
        <f ca="1">IFERROR(__xludf.DUMMYFUNCTION("""COMPUTED_VALUE"""),1)</f>
        <v>1</v>
      </c>
    </row>
    <row r="9509" spans="1:5" ht="13">
      <c r="A9509" s="2" t="str">
        <f ca="1">IFERROR(__xludf.DUMMYFUNCTION("""COMPUTED_VALUE"""),"Harmon, Christina")</f>
        <v>Harmon, Christina</v>
      </c>
      <c r="B9509" s="3">
        <f ca="1">IFERROR(__xludf.DUMMYFUNCTION("""COMPUTED_VALUE"""),2)</f>
        <v>2</v>
      </c>
      <c r="C9509" s="7">
        <f ca="1">IFERROR(__xludf.DUMMYFUNCTION("""COMPUTED_VALUE"""),2)</f>
        <v>2</v>
      </c>
      <c r="D9509" s="8">
        <f ca="1">IFERROR(__xludf.DUMMYFUNCTION("""COMPUTED_VALUE"""),2)</f>
        <v>2</v>
      </c>
      <c r="E9509" s="2">
        <f ca="1">IFERROR(__xludf.DUMMYFUNCTION("""COMPUTED_VALUE"""),1)</f>
        <v>1</v>
      </c>
    </row>
    <row r="9510" spans="1:5" ht="13">
      <c r="A9510" s="2" t="str">
        <f ca="1">IFERROR(__xludf.DUMMYFUNCTION("""COMPUTED_VALUE"""),"Harrington, Tina")</f>
        <v>Harrington, Tina</v>
      </c>
      <c r="B9510" s="3">
        <f ca="1">IFERROR(__xludf.DUMMYFUNCTION("""COMPUTED_VALUE"""),2)</f>
        <v>2</v>
      </c>
      <c r="C9510" s="7">
        <f ca="1">IFERROR(__xludf.DUMMYFUNCTION("""COMPUTED_VALUE"""),2)</f>
        <v>2</v>
      </c>
      <c r="D9510" s="8">
        <f ca="1">IFERROR(__xludf.DUMMYFUNCTION("""COMPUTED_VALUE"""),2)</f>
        <v>2</v>
      </c>
      <c r="E9510" s="2">
        <f ca="1">IFERROR(__xludf.DUMMYFUNCTION("""COMPUTED_VALUE"""),1)</f>
        <v>1</v>
      </c>
    </row>
    <row r="9511" spans="1:5" ht="13">
      <c r="A9511" s="2" t="str">
        <f ca="1">IFERROR(__xludf.DUMMYFUNCTION("""COMPUTED_VALUE"""),"Harris, JoAnne")</f>
        <v>Harris, JoAnne</v>
      </c>
      <c r="B9511" s="3">
        <f ca="1">IFERROR(__xludf.DUMMYFUNCTION("""COMPUTED_VALUE"""),2)</f>
        <v>2</v>
      </c>
      <c r="C9511" s="7">
        <f ca="1">IFERROR(__xludf.DUMMYFUNCTION("""COMPUTED_VALUE"""),2)</f>
        <v>2</v>
      </c>
      <c r="D9511" s="8">
        <f ca="1">IFERROR(__xludf.DUMMYFUNCTION("""COMPUTED_VALUE"""),2)</f>
        <v>2</v>
      </c>
      <c r="E9511" s="2">
        <f ca="1">IFERROR(__xludf.DUMMYFUNCTION("""COMPUTED_VALUE"""),1)</f>
        <v>1</v>
      </c>
    </row>
    <row r="9512" spans="1:5" ht="13">
      <c r="A9512" s="2" t="str">
        <f ca="1">IFERROR(__xludf.DUMMYFUNCTION("""COMPUTED_VALUE"""),"Harris, Kim R.")</f>
        <v>Harris, Kim R.</v>
      </c>
      <c r="B9512" s="3">
        <f ca="1">IFERROR(__xludf.DUMMYFUNCTION("""COMPUTED_VALUE"""),2)</f>
        <v>2</v>
      </c>
      <c r="C9512" s="7">
        <f ca="1">IFERROR(__xludf.DUMMYFUNCTION("""COMPUTED_VALUE"""),2)</f>
        <v>2</v>
      </c>
      <c r="D9512" s="8">
        <f ca="1">IFERROR(__xludf.DUMMYFUNCTION("""COMPUTED_VALUE"""),2)</f>
        <v>2</v>
      </c>
      <c r="E9512" s="2">
        <f ca="1">IFERROR(__xludf.DUMMYFUNCTION("""COMPUTED_VALUE"""),1)</f>
        <v>1</v>
      </c>
    </row>
    <row r="9513" spans="1:5" ht="13">
      <c r="A9513" s="8" t="str">
        <f ca="1">IFERROR(__xludf.DUMMYFUNCTION("""COMPUTED_VALUE"""),"Harris, Patricia")</f>
        <v>Harris, Patricia</v>
      </c>
      <c r="B9513" s="3">
        <f ca="1">IFERROR(__xludf.DUMMYFUNCTION("""COMPUTED_VALUE"""),2)</f>
        <v>2</v>
      </c>
      <c r="C9513" s="7">
        <f ca="1">IFERROR(__xludf.DUMMYFUNCTION("""COMPUTED_VALUE"""),2)</f>
        <v>2</v>
      </c>
      <c r="D9513" s="8">
        <f ca="1">IFERROR(__xludf.DUMMYFUNCTION("""COMPUTED_VALUE"""),2)</f>
        <v>2</v>
      </c>
      <c r="E9513" s="2">
        <f ca="1">IFERROR(__xludf.DUMMYFUNCTION("""COMPUTED_VALUE"""),1)</f>
        <v>1</v>
      </c>
    </row>
    <row r="9514" spans="1:5" ht="13">
      <c r="A9514" s="2" t="str">
        <f ca="1">IFERROR(__xludf.DUMMYFUNCTION("""COMPUTED_VALUE"""),"Harrison, Holly")</f>
        <v>Harrison, Holly</v>
      </c>
      <c r="B9514" s="2">
        <f ca="1">IFERROR(__xludf.DUMMYFUNCTION("""COMPUTED_VALUE"""),2)</f>
        <v>2</v>
      </c>
      <c r="C9514" s="7">
        <f ca="1">IFERROR(__xludf.DUMMYFUNCTION("""COMPUTED_VALUE"""),2)</f>
        <v>2</v>
      </c>
      <c r="D9514" s="8">
        <f ca="1">IFERROR(__xludf.DUMMYFUNCTION("""COMPUTED_VALUE"""),2)</f>
        <v>2</v>
      </c>
      <c r="E9514" s="2">
        <f ca="1">IFERROR(__xludf.DUMMYFUNCTION("""COMPUTED_VALUE"""),1)</f>
        <v>1</v>
      </c>
    </row>
    <row r="9515" spans="1:5" ht="13">
      <c r="A9515" s="8" t="str">
        <f ca="1">IFERROR(__xludf.DUMMYFUNCTION("""COMPUTED_VALUE"""),"Harrison, Hope")</f>
        <v>Harrison, Hope</v>
      </c>
      <c r="B9515" s="3">
        <f ca="1">IFERROR(__xludf.DUMMYFUNCTION("""COMPUTED_VALUE"""),2)</f>
        <v>2</v>
      </c>
      <c r="C9515" s="7">
        <f ca="1">IFERROR(__xludf.DUMMYFUNCTION("""COMPUTED_VALUE"""),2)</f>
        <v>2</v>
      </c>
      <c r="D9515" s="8">
        <f ca="1">IFERROR(__xludf.DUMMYFUNCTION("""COMPUTED_VALUE"""),2)</f>
        <v>2</v>
      </c>
      <c r="E9515" s="2">
        <f ca="1">IFERROR(__xludf.DUMMYFUNCTION("""COMPUTED_VALUE"""),1)</f>
        <v>1</v>
      </c>
    </row>
    <row r="9516" spans="1:5" ht="13">
      <c r="A9516" s="2" t="str">
        <f ca="1">IFERROR(__xludf.DUMMYFUNCTION("""COMPUTED_VALUE"""),"Harrison, Hope / Althouse, Jay")</f>
        <v>Harrison, Hope / Althouse, Jay</v>
      </c>
      <c r="B9516" s="3">
        <f ca="1">IFERROR(__xludf.DUMMYFUNCTION("""COMPUTED_VALUE"""),2)</f>
        <v>2</v>
      </c>
      <c r="C9516" s="7">
        <f ca="1">IFERROR(__xludf.DUMMYFUNCTION("""COMPUTED_VALUE"""),2)</f>
        <v>2</v>
      </c>
      <c r="D9516" s="8">
        <f ca="1">IFERROR(__xludf.DUMMYFUNCTION("""COMPUTED_VALUE"""),2)</f>
        <v>2</v>
      </c>
      <c r="E9516" s="2">
        <f ca="1">IFERROR(__xludf.DUMMYFUNCTION("""COMPUTED_VALUE"""),1)</f>
        <v>1</v>
      </c>
    </row>
    <row r="9517" spans="1:5" ht="13">
      <c r="A9517" s="2" t="str">
        <f ca="1">IFERROR(__xludf.DUMMYFUNCTION("""COMPUTED_VALUE"""),"Hart, Kathy")</f>
        <v>Hart, Kathy</v>
      </c>
      <c r="B9517" s="3">
        <f ca="1">IFERROR(__xludf.DUMMYFUNCTION("""COMPUTED_VALUE"""),2)</f>
        <v>2</v>
      </c>
      <c r="C9517" s="7">
        <f ca="1">IFERROR(__xludf.DUMMYFUNCTION("""COMPUTED_VALUE"""),2)</f>
        <v>2</v>
      </c>
      <c r="D9517" s="8">
        <f ca="1">IFERROR(__xludf.DUMMYFUNCTION("""COMPUTED_VALUE"""),2)</f>
        <v>2</v>
      </c>
      <c r="E9517" s="2">
        <f ca="1">IFERROR(__xludf.DUMMYFUNCTION("""COMPUTED_VALUE"""),1)</f>
        <v>1</v>
      </c>
    </row>
    <row r="9518" spans="1:5" ht="13">
      <c r="A9518" s="2" t="str">
        <f ca="1">IFERROR(__xludf.DUMMYFUNCTION("""COMPUTED_VALUE"""),"Hartenberger, Jaclyn")</f>
        <v>Hartenberger, Jaclyn</v>
      </c>
      <c r="B9518" s="3">
        <f ca="1">IFERROR(__xludf.DUMMYFUNCTION("""COMPUTED_VALUE"""),2)</f>
        <v>2</v>
      </c>
      <c r="C9518" s="7">
        <f ca="1">IFERROR(__xludf.DUMMYFUNCTION("""COMPUTED_VALUE"""),2)</f>
        <v>2</v>
      </c>
      <c r="D9518" s="8">
        <f ca="1">IFERROR(__xludf.DUMMYFUNCTION("""COMPUTED_VALUE"""),2)</f>
        <v>2</v>
      </c>
      <c r="E9518" s="2">
        <f ca="1">IFERROR(__xludf.DUMMYFUNCTION("""COMPUTED_VALUE"""),1)</f>
        <v>1</v>
      </c>
    </row>
    <row r="9519" spans="1:5" ht="13">
      <c r="A9519" s="2" t="str">
        <f ca="1">IFERROR(__xludf.DUMMYFUNCTION("""COMPUTED_VALUE"""),"Hartmann, Dianne")</f>
        <v>Hartmann, Dianne</v>
      </c>
      <c r="B9519" s="3">
        <f ca="1">IFERROR(__xludf.DUMMYFUNCTION("""COMPUTED_VALUE"""),2)</f>
        <v>2</v>
      </c>
      <c r="C9519" s="7">
        <f ca="1">IFERROR(__xludf.DUMMYFUNCTION("""COMPUTED_VALUE"""),2)</f>
        <v>2</v>
      </c>
      <c r="D9519" s="8">
        <f ca="1">IFERROR(__xludf.DUMMYFUNCTION("""COMPUTED_VALUE"""),2)</f>
        <v>2</v>
      </c>
      <c r="E9519" s="2">
        <f ca="1">IFERROR(__xludf.DUMMYFUNCTION("""COMPUTED_VALUE"""),1)</f>
        <v>1</v>
      </c>
    </row>
    <row r="9520" spans="1:5" ht="13">
      <c r="A9520" s="2" t="str">
        <f ca="1">IFERROR(__xludf.DUMMYFUNCTION("""COMPUTED_VALUE"""),"Hatch, Winnagene")</f>
        <v>Hatch, Winnagene</v>
      </c>
      <c r="B9520" s="2">
        <f ca="1">IFERROR(__xludf.DUMMYFUNCTION("""COMPUTED_VALUE"""),2)</f>
        <v>2</v>
      </c>
      <c r="C9520" s="2">
        <f ca="1">IFERROR(__xludf.DUMMYFUNCTION("""COMPUTED_VALUE"""),2)</f>
        <v>2</v>
      </c>
      <c r="D9520" s="8">
        <f ca="1">IFERROR(__xludf.DUMMYFUNCTION("""COMPUTED_VALUE"""),6)</f>
        <v>6</v>
      </c>
      <c r="E9520" s="2">
        <f ca="1">IFERROR(__xludf.DUMMYFUNCTION("""COMPUTED_VALUE"""),2)</f>
        <v>2</v>
      </c>
    </row>
    <row r="9521" spans="1:5" ht="13">
      <c r="A9521" s="2" t="str">
        <f ca="1">IFERROR(__xludf.DUMMYFUNCTION("""COMPUTED_VALUE"""),"Haugen, Linda Tutas")</f>
        <v>Haugen, Linda Tutas</v>
      </c>
      <c r="B9521" s="2">
        <f ca="1">IFERROR(__xludf.DUMMYFUNCTION("""COMPUTED_VALUE"""),2)</f>
        <v>2</v>
      </c>
      <c r="C9521" s="7">
        <f ca="1">IFERROR(__xludf.DUMMYFUNCTION("""COMPUTED_VALUE"""),2)</f>
        <v>2</v>
      </c>
      <c r="D9521" s="8">
        <f ca="1">IFERROR(__xludf.DUMMYFUNCTION("""COMPUTED_VALUE"""),2)</f>
        <v>2</v>
      </c>
      <c r="E9521" s="2">
        <f ca="1">IFERROR(__xludf.DUMMYFUNCTION("""COMPUTED_VALUE"""),1)</f>
        <v>1</v>
      </c>
    </row>
    <row r="9522" spans="1:5" ht="13">
      <c r="A9522" s="2" t="str">
        <f ca="1">IFERROR(__xludf.DUMMYFUNCTION("""COMPUTED_VALUE"""),"Haxo, Cara")</f>
        <v>Haxo, Cara</v>
      </c>
      <c r="B9522" s="3">
        <f ca="1">IFERROR(__xludf.DUMMYFUNCTION("""COMPUTED_VALUE"""),2)</f>
        <v>2</v>
      </c>
      <c r="C9522" s="7">
        <f ca="1">IFERROR(__xludf.DUMMYFUNCTION("""COMPUTED_VALUE"""),2)</f>
        <v>2</v>
      </c>
      <c r="D9522" s="8">
        <f ca="1">IFERROR(__xludf.DUMMYFUNCTION("""COMPUTED_VALUE"""),2)</f>
        <v>2</v>
      </c>
      <c r="E9522" s="2">
        <f ca="1">IFERROR(__xludf.DUMMYFUNCTION("""COMPUTED_VALUE"""),1)</f>
        <v>1</v>
      </c>
    </row>
    <row r="9523" spans="1:5" ht="13">
      <c r="A9523" s="2" t="str">
        <f ca="1">IFERROR(__xludf.DUMMYFUNCTION("""COMPUTED_VALUE"""),"Healey, Carolyn")</f>
        <v>Healey, Carolyn</v>
      </c>
      <c r="B9523" s="3">
        <f ca="1">IFERROR(__xludf.DUMMYFUNCTION("""COMPUTED_VALUE"""),2)</f>
        <v>2</v>
      </c>
      <c r="C9523" s="7">
        <f ca="1">IFERROR(__xludf.DUMMYFUNCTION("""COMPUTED_VALUE"""),2)</f>
        <v>2</v>
      </c>
      <c r="D9523" s="8">
        <f ca="1">IFERROR(__xludf.DUMMYFUNCTION("""COMPUTED_VALUE"""),2)</f>
        <v>2</v>
      </c>
      <c r="E9523" s="2">
        <f ca="1">IFERROR(__xludf.DUMMYFUNCTION("""COMPUTED_VALUE"""),1)</f>
        <v>1</v>
      </c>
    </row>
    <row r="9524" spans="1:5" ht="13">
      <c r="A9524" s="2" t="str">
        <f ca="1">IFERROR(__xludf.DUMMYFUNCTION("""COMPUTED_VALUE"""),"Heap, Imogen")</f>
        <v>Heap, Imogen</v>
      </c>
      <c r="B9524" s="3">
        <f ca="1">IFERROR(__xludf.DUMMYFUNCTION("""COMPUTED_VALUE"""),2)</f>
        <v>2</v>
      </c>
      <c r="C9524" s="7">
        <f ca="1">IFERROR(__xludf.DUMMYFUNCTION("""COMPUTED_VALUE"""),2)</f>
        <v>2</v>
      </c>
      <c r="D9524" s="8">
        <f ca="1">IFERROR(__xludf.DUMMYFUNCTION("""COMPUTED_VALUE"""),2)</f>
        <v>2</v>
      </c>
      <c r="E9524" s="2">
        <f ca="1">IFERROR(__xludf.DUMMYFUNCTION("""COMPUTED_VALUE"""),1)</f>
        <v>1</v>
      </c>
    </row>
    <row r="9525" spans="1:5" ht="13">
      <c r="A9525" s="2" t="str">
        <f ca="1">IFERROR(__xludf.DUMMYFUNCTION("""COMPUTED_VALUE"""),"Helms, Marjan")</f>
        <v>Helms, Marjan</v>
      </c>
      <c r="B9525" s="3">
        <f ca="1">IFERROR(__xludf.DUMMYFUNCTION("""COMPUTED_VALUE"""),2)</f>
        <v>2</v>
      </c>
      <c r="C9525" s="7">
        <f ca="1">IFERROR(__xludf.DUMMYFUNCTION("""COMPUTED_VALUE"""),2)</f>
        <v>2</v>
      </c>
      <c r="D9525" s="8">
        <f ca="1">IFERROR(__xludf.DUMMYFUNCTION("""COMPUTED_VALUE"""),2)</f>
        <v>2</v>
      </c>
      <c r="E9525" s="2">
        <f ca="1">IFERROR(__xludf.DUMMYFUNCTION("""COMPUTED_VALUE"""),1)</f>
        <v>1</v>
      </c>
    </row>
    <row r="9526" spans="1:5" ht="13">
      <c r="A9526" s="2" t="str">
        <f ca="1">IFERROR(__xludf.DUMMYFUNCTION("""COMPUTED_VALUE"""),"Henderson, Ruth Watson")</f>
        <v>Henderson, Ruth Watson</v>
      </c>
      <c r="B9526" s="3">
        <f ca="1">IFERROR(__xludf.DUMMYFUNCTION("""COMPUTED_VALUE"""),2)</f>
        <v>2</v>
      </c>
      <c r="C9526" s="7">
        <f ca="1">IFERROR(__xludf.DUMMYFUNCTION("""COMPUTED_VALUE"""),2)</f>
        <v>2</v>
      </c>
      <c r="D9526" s="8">
        <f ca="1">IFERROR(__xludf.DUMMYFUNCTION("""COMPUTED_VALUE"""),2)</f>
        <v>2</v>
      </c>
      <c r="E9526" s="2">
        <f ca="1">IFERROR(__xludf.DUMMYFUNCTION("""COMPUTED_VALUE"""),1)</f>
        <v>1</v>
      </c>
    </row>
    <row r="9527" spans="1:5" ht="13">
      <c r="A9527" s="2" t="str">
        <f ca="1">IFERROR(__xludf.DUMMYFUNCTION("""COMPUTED_VALUE"""),"Hensel, Fanny Mendelssohn")</f>
        <v>Hensel, Fanny Mendelssohn</v>
      </c>
      <c r="B9527" s="3">
        <f ca="1">IFERROR(__xludf.DUMMYFUNCTION("""COMPUTED_VALUE"""),2)</f>
        <v>2</v>
      </c>
      <c r="C9527" s="7">
        <f ca="1">IFERROR(__xludf.DUMMYFUNCTION("""COMPUTED_VALUE"""),2)</f>
        <v>2</v>
      </c>
      <c r="D9527" s="8">
        <f ca="1">IFERROR(__xludf.DUMMYFUNCTION("""COMPUTED_VALUE"""),6)</f>
        <v>6</v>
      </c>
      <c r="E9527" s="2">
        <f ca="1">IFERROR(__xludf.DUMMYFUNCTION("""COMPUTED_VALUE"""),2)</f>
        <v>2</v>
      </c>
    </row>
    <row r="9528" spans="1:5" ht="13">
      <c r="A9528" s="8" t="str">
        <f ca="1">IFERROR(__xludf.DUMMYFUNCTION("""COMPUTED_VALUE"""),"Herman, Sally")</f>
        <v>Herman, Sally</v>
      </c>
      <c r="B9528" s="3">
        <f ca="1">IFERROR(__xludf.DUMMYFUNCTION("""COMPUTED_VALUE"""),2)</f>
        <v>2</v>
      </c>
      <c r="C9528" s="7">
        <f ca="1">IFERROR(__xludf.DUMMYFUNCTION("""COMPUTED_VALUE"""),2)</f>
        <v>2</v>
      </c>
      <c r="D9528" s="8">
        <f ca="1">IFERROR(__xludf.DUMMYFUNCTION("""COMPUTED_VALUE"""),2)</f>
        <v>2</v>
      </c>
      <c r="E9528" s="2">
        <f ca="1">IFERROR(__xludf.DUMMYFUNCTION("""COMPUTED_VALUE"""),1)</f>
        <v>1</v>
      </c>
    </row>
    <row r="9529" spans="1:5" ht="13">
      <c r="A9529" s="2" t="str">
        <f ca="1">IFERROR(__xludf.DUMMYFUNCTION("""COMPUTED_VALUE"""),"Herrigton, Judith / Haugen, Kyle")</f>
        <v>Herrigton, Judith / Haugen, Kyle</v>
      </c>
      <c r="B9529" s="3">
        <f ca="1">IFERROR(__xludf.DUMMYFUNCTION("""COMPUTED_VALUE"""),2)</f>
        <v>2</v>
      </c>
      <c r="C9529" s="7">
        <f ca="1">IFERROR(__xludf.DUMMYFUNCTION("""COMPUTED_VALUE"""),2)</f>
        <v>2</v>
      </c>
      <c r="D9529" s="8">
        <f ca="1">IFERROR(__xludf.DUMMYFUNCTION("""COMPUTED_VALUE"""),2)</f>
        <v>2</v>
      </c>
      <c r="E9529" s="2">
        <f ca="1">IFERROR(__xludf.DUMMYFUNCTION("""COMPUTED_VALUE"""),1)</f>
        <v>1</v>
      </c>
    </row>
    <row r="9530" spans="1:5" ht="13">
      <c r="A9530" s="2" t="str">
        <f ca="1">IFERROR(__xludf.DUMMYFUNCTION("""COMPUTED_VALUE"""),"Herring, Annie")</f>
        <v>Herring, Annie</v>
      </c>
      <c r="B9530" s="3">
        <f ca="1">IFERROR(__xludf.DUMMYFUNCTION("""COMPUTED_VALUE"""),2)</f>
        <v>2</v>
      </c>
      <c r="C9530" s="7">
        <f ca="1">IFERROR(__xludf.DUMMYFUNCTION("""COMPUTED_VALUE"""),2)</f>
        <v>2</v>
      </c>
      <c r="D9530" s="8">
        <f ca="1">IFERROR(__xludf.DUMMYFUNCTION("""COMPUTED_VALUE"""),2)</f>
        <v>2</v>
      </c>
      <c r="E9530" s="2">
        <f ca="1">IFERROR(__xludf.DUMMYFUNCTION("""COMPUTED_VALUE"""),1)</f>
        <v>1</v>
      </c>
    </row>
    <row r="9531" spans="1:5" ht="13">
      <c r="A9531" s="2" t="str">
        <f ca="1">IFERROR(__xludf.DUMMYFUNCTION("""COMPUTED_VALUE"""),"Herrington, Judith")</f>
        <v>Herrington, Judith</v>
      </c>
      <c r="B9531" s="3">
        <f ca="1">IFERROR(__xludf.DUMMYFUNCTION("""COMPUTED_VALUE"""),2)</f>
        <v>2</v>
      </c>
      <c r="C9531" s="7">
        <f ca="1">IFERROR(__xludf.DUMMYFUNCTION("""COMPUTED_VALUE"""),2)</f>
        <v>2</v>
      </c>
      <c r="D9531" s="8">
        <f ca="1">IFERROR(__xludf.DUMMYFUNCTION("""COMPUTED_VALUE"""),2)</f>
        <v>2</v>
      </c>
      <c r="E9531" s="2">
        <f ca="1">IFERROR(__xludf.DUMMYFUNCTION("""COMPUTED_VALUE"""),1)</f>
        <v>1</v>
      </c>
    </row>
    <row r="9532" spans="1:5" ht="13">
      <c r="A9532" s="2" t="str">
        <f ca="1">IFERROR(__xludf.DUMMYFUNCTION("""COMPUTED_VALUE"""),"Herrington, Judith / Woodside, Gail")</f>
        <v>Herrington, Judith / Woodside, Gail</v>
      </c>
      <c r="B9532" s="3">
        <f ca="1">IFERROR(__xludf.DUMMYFUNCTION("""COMPUTED_VALUE"""),2)</f>
        <v>2</v>
      </c>
      <c r="C9532" s="7">
        <f ca="1">IFERROR(__xludf.DUMMYFUNCTION("""COMPUTED_VALUE"""),2)</f>
        <v>2</v>
      </c>
      <c r="D9532" s="8">
        <f ca="1">IFERROR(__xludf.DUMMYFUNCTION("""COMPUTED_VALUE"""),2)</f>
        <v>2</v>
      </c>
      <c r="E9532" s="2">
        <f ca="1">IFERROR(__xludf.DUMMYFUNCTION("""COMPUTED_VALUE"""),1)</f>
        <v>1</v>
      </c>
    </row>
    <row r="9533" spans="1:5" ht="13">
      <c r="A9533" s="2" t="str">
        <f ca="1">IFERROR(__xludf.DUMMYFUNCTION("""COMPUTED_VALUE"""),"Herron, Molly")</f>
        <v>Herron, Molly</v>
      </c>
      <c r="B9533" s="3">
        <f ca="1">IFERROR(__xludf.DUMMYFUNCTION("""COMPUTED_VALUE"""),2)</f>
        <v>2</v>
      </c>
      <c r="C9533" s="7">
        <f ca="1">IFERROR(__xludf.DUMMYFUNCTION("""COMPUTED_VALUE"""),2)</f>
        <v>2</v>
      </c>
      <c r="D9533" s="8">
        <f ca="1">IFERROR(__xludf.DUMMYFUNCTION("""COMPUTED_VALUE"""),2)</f>
        <v>2</v>
      </c>
      <c r="E9533" s="2">
        <f ca="1">IFERROR(__xludf.DUMMYFUNCTION("""COMPUTED_VALUE"""),1)</f>
        <v>1</v>
      </c>
    </row>
    <row r="9534" spans="1:5" ht="13">
      <c r="A9534" s="2" t="str">
        <f ca="1">IFERROR(__xludf.DUMMYFUNCTION("""COMPUTED_VALUE"""),"Herzig, Monika")</f>
        <v>Herzig, Monika</v>
      </c>
      <c r="B9534" s="3">
        <f ca="1">IFERROR(__xludf.DUMMYFUNCTION("""COMPUTED_VALUE"""),2)</f>
        <v>2</v>
      </c>
      <c r="C9534" s="7">
        <f ca="1">IFERROR(__xludf.DUMMYFUNCTION("""COMPUTED_VALUE"""),2)</f>
        <v>2</v>
      </c>
      <c r="D9534" s="8">
        <f ca="1">IFERROR(__xludf.DUMMYFUNCTION("""COMPUTED_VALUE"""),2)</f>
        <v>2</v>
      </c>
      <c r="E9534" s="2">
        <f ca="1">IFERROR(__xludf.DUMMYFUNCTION("""COMPUTED_VALUE"""),1)</f>
        <v>1</v>
      </c>
    </row>
    <row r="9535" spans="1:5" ht="13">
      <c r="A9535" s="2" t="str">
        <f ca="1">IFERROR(__xludf.DUMMYFUNCTION("""COMPUTED_VALUE"""),"Hess, Juliet")</f>
        <v>Hess, Juliet</v>
      </c>
      <c r="B9535" s="3">
        <f ca="1">IFERROR(__xludf.DUMMYFUNCTION("""COMPUTED_VALUE"""),2)</f>
        <v>2</v>
      </c>
      <c r="C9535" s="7">
        <f ca="1">IFERROR(__xludf.DUMMYFUNCTION("""COMPUTED_VALUE"""),2)</f>
        <v>2</v>
      </c>
      <c r="D9535" s="8">
        <f ca="1">IFERROR(__xludf.DUMMYFUNCTION("""COMPUTED_VALUE"""),2)</f>
        <v>2</v>
      </c>
      <c r="E9535" s="2">
        <f ca="1">IFERROR(__xludf.DUMMYFUNCTION("""COMPUTED_VALUE"""),1)</f>
        <v>1</v>
      </c>
    </row>
    <row r="9536" spans="1:5" ht="13">
      <c r="A9536" s="2" t="str">
        <f ca="1">IFERROR(__xludf.DUMMYFUNCTION("""COMPUTED_VALUE"""),"Hester, Gwen")</f>
        <v>Hester, Gwen</v>
      </c>
      <c r="B9536" s="3">
        <f ca="1">IFERROR(__xludf.DUMMYFUNCTION("""COMPUTED_VALUE"""),2)</f>
        <v>2</v>
      </c>
      <c r="C9536" s="7">
        <f ca="1">IFERROR(__xludf.DUMMYFUNCTION("""COMPUTED_VALUE"""),2)</f>
        <v>2</v>
      </c>
      <c r="D9536" s="8">
        <f ca="1">IFERROR(__xludf.DUMMYFUNCTION("""COMPUTED_VALUE"""),2)</f>
        <v>2</v>
      </c>
      <c r="E9536" s="2">
        <f ca="1">IFERROR(__xludf.DUMMYFUNCTION("""COMPUTED_VALUE"""),1)</f>
        <v>1</v>
      </c>
    </row>
    <row r="9537" spans="1:5" ht="13">
      <c r="A9537" s="2" t="str">
        <f ca="1">IFERROR(__xludf.DUMMYFUNCTION("""COMPUTED_VALUE"""),"Hewitt-Jones, Anita")</f>
        <v>Hewitt-Jones, Anita</v>
      </c>
      <c r="B9537" s="2">
        <f ca="1">IFERROR(__xludf.DUMMYFUNCTION("""COMPUTED_VALUE"""),2)</f>
        <v>2</v>
      </c>
      <c r="C9537" s="2">
        <f ca="1">IFERROR(__xludf.DUMMYFUNCTION("""COMPUTED_VALUE"""),2)</f>
        <v>2</v>
      </c>
      <c r="D9537" s="8">
        <f ca="1">IFERROR(__xludf.DUMMYFUNCTION("""COMPUTED_VALUE"""),6)</f>
        <v>6</v>
      </c>
      <c r="E9537" s="2">
        <f ca="1">IFERROR(__xludf.DUMMYFUNCTION("""COMPUTED_VALUE"""),2)</f>
        <v>2</v>
      </c>
    </row>
    <row r="9538" spans="1:5" ht="13">
      <c r="A9538" s="2" t="str">
        <f ca="1">IFERROR(__xludf.DUMMYFUNCTION("""COMPUTED_VALUE"""),"Hicks, Val / Sutton, Jean")</f>
        <v>Hicks, Val / Sutton, Jean</v>
      </c>
      <c r="B9538" s="3">
        <f ca="1">IFERROR(__xludf.DUMMYFUNCTION("""COMPUTED_VALUE"""),2)</f>
        <v>2</v>
      </c>
      <c r="C9538" s="7">
        <f ca="1">IFERROR(__xludf.DUMMYFUNCTION("""COMPUTED_VALUE"""),2)</f>
        <v>2</v>
      </c>
      <c r="D9538" s="8">
        <f ca="1">IFERROR(__xludf.DUMMYFUNCTION("""COMPUTED_VALUE"""),6)</f>
        <v>6</v>
      </c>
      <c r="E9538" s="2">
        <f ca="1">IFERROR(__xludf.DUMMYFUNCTION("""COMPUTED_VALUE"""),2)</f>
        <v>2</v>
      </c>
    </row>
    <row r="9539" spans="1:5" ht="13">
      <c r="A9539" s="2" t="str">
        <f ca="1">IFERROR(__xludf.DUMMYFUNCTION("""COMPUTED_VALUE"""),"Higdon, Jennifer")</f>
        <v>Higdon, Jennifer</v>
      </c>
      <c r="B9539" s="3">
        <f ca="1">IFERROR(__xludf.DUMMYFUNCTION("""COMPUTED_VALUE"""),2)</f>
        <v>2</v>
      </c>
      <c r="C9539" s="7">
        <f ca="1">IFERROR(__xludf.DUMMYFUNCTION("""COMPUTED_VALUE"""),2)</f>
        <v>2</v>
      </c>
      <c r="D9539" s="8">
        <f ca="1">IFERROR(__xludf.DUMMYFUNCTION("""COMPUTED_VALUE"""),2)</f>
        <v>2</v>
      </c>
      <c r="E9539" s="2">
        <f ca="1">IFERROR(__xludf.DUMMYFUNCTION("""COMPUTED_VALUE"""),1)</f>
        <v>1</v>
      </c>
    </row>
    <row r="9540" spans="1:5" ht="13">
      <c r="A9540" s="2" t="str">
        <f ca="1">IFERROR(__xludf.DUMMYFUNCTION("""COMPUTED_VALUE"""),"Hildebrandt, Anne-Marie")</f>
        <v>Hildebrandt, Anne-Marie</v>
      </c>
      <c r="B9540" s="3">
        <f ca="1">IFERROR(__xludf.DUMMYFUNCTION("""COMPUTED_VALUE"""),2)</f>
        <v>2</v>
      </c>
      <c r="C9540" s="7">
        <f ca="1">IFERROR(__xludf.DUMMYFUNCTION("""COMPUTED_VALUE"""),2)</f>
        <v>2</v>
      </c>
      <c r="D9540" s="8">
        <f ca="1">IFERROR(__xludf.DUMMYFUNCTION("""COMPUTED_VALUE"""),2)</f>
        <v>2</v>
      </c>
      <c r="E9540" s="2">
        <f ca="1">IFERROR(__xludf.DUMMYFUNCTION("""COMPUTED_VALUE"""),1)</f>
        <v>1</v>
      </c>
    </row>
    <row r="9541" spans="1:5" ht="13">
      <c r="A9541" s="2" t="str">
        <f ca="1">IFERROR(__xludf.DUMMYFUNCTION("""COMPUTED_VALUE"""),"Hill, Cindy")</f>
        <v>Hill, Cindy</v>
      </c>
      <c r="B9541" s="2">
        <f ca="1">IFERROR(__xludf.DUMMYFUNCTION("""COMPUTED_VALUE"""),2)</f>
        <v>2</v>
      </c>
      <c r="C9541" s="7">
        <f ca="1">IFERROR(__xludf.DUMMYFUNCTION("""COMPUTED_VALUE"""),2)</f>
        <v>2</v>
      </c>
      <c r="D9541" s="8">
        <f ca="1">IFERROR(__xludf.DUMMYFUNCTION("""COMPUTED_VALUE"""),2)</f>
        <v>2</v>
      </c>
      <c r="E9541" s="2">
        <f ca="1">IFERROR(__xludf.DUMMYFUNCTION("""COMPUTED_VALUE"""),1)</f>
        <v>1</v>
      </c>
    </row>
    <row r="9542" spans="1:5" ht="13">
      <c r="A9542" s="2" t="str">
        <f ca="1">IFERROR(__xludf.DUMMYFUNCTION("""COMPUTED_VALUE"""),"Hill, Edie")</f>
        <v>Hill, Edie</v>
      </c>
      <c r="B9542" s="3">
        <f ca="1">IFERROR(__xludf.DUMMYFUNCTION("""COMPUTED_VALUE"""),2)</f>
        <v>2</v>
      </c>
      <c r="C9542" s="7">
        <f ca="1">IFERROR(__xludf.DUMMYFUNCTION("""COMPUTED_VALUE"""),2)</f>
        <v>2</v>
      </c>
      <c r="D9542" s="8">
        <f ca="1">IFERROR(__xludf.DUMMYFUNCTION("""COMPUTED_VALUE"""),2)</f>
        <v>2</v>
      </c>
      <c r="E9542" s="2">
        <f ca="1">IFERROR(__xludf.DUMMYFUNCTION("""COMPUTED_VALUE"""),1)</f>
        <v>1</v>
      </c>
    </row>
    <row r="9543" spans="1:5" ht="13">
      <c r="A9543" s="2" t="str">
        <f ca="1">IFERROR(__xludf.DUMMYFUNCTION("""COMPUTED_VALUE"""),"Hindman, Dorothy")</f>
        <v>Hindman, Dorothy</v>
      </c>
      <c r="B9543" s="3">
        <f ca="1">IFERROR(__xludf.DUMMYFUNCTION("""COMPUTED_VALUE"""),2)</f>
        <v>2</v>
      </c>
      <c r="C9543" s="7">
        <f ca="1">IFERROR(__xludf.DUMMYFUNCTION("""COMPUTED_VALUE"""),2)</f>
        <v>2</v>
      </c>
      <c r="D9543" s="8">
        <f ca="1">IFERROR(__xludf.DUMMYFUNCTION("""COMPUTED_VALUE"""),2)</f>
        <v>2</v>
      </c>
      <c r="E9543" s="2">
        <f ca="1">IFERROR(__xludf.DUMMYFUNCTION("""COMPUTED_VALUE"""),1)</f>
        <v>1</v>
      </c>
    </row>
    <row r="9544" spans="1:5" ht="13">
      <c r="A9544" s="2" t="str">
        <f ca="1">IFERROR(__xludf.DUMMYFUNCTION("""COMPUTED_VALUE"""),"Hirlinger, Kristen")</f>
        <v>Hirlinger, Kristen</v>
      </c>
      <c r="B9544" s="3">
        <f ca="1">IFERROR(__xludf.DUMMYFUNCTION("""COMPUTED_VALUE"""),2)</f>
        <v>2</v>
      </c>
      <c r="C9544" s="7">
        <f ca="1">IFERROR(__xludf.DUMMYFUNCTION("""COMPUTED_VALUE"""),2)</f>
        <v>2</v>
      </c>
      <c r="D9544" s="8">
        <f ca="1">IFERROR(__xludf.DUMMYFUNCTION("""COMPUTED_VALUE"""),2)</f>
        <v>2</v>
      </c>
      <c r="E9544" s="2">
        <f ca="1">IFERROR(__xludf.DUMMYFUNCTION("""COMPUTED_VALUE"""),1)</f>
        <v>1</v>
      </c>
    </row>
    <row r="9545" spans="1:5" ht="13">
      <c r="A9545" s="2" t="str">
        <f ca="1">IFERROR(__xludf.DUMMYFUNCTION("""COMPUTED_VALUE"""),"Hirokawa, Joy")</f>
        <v>Hirokawa, Joy</v>
      </c>
      <c r="B9545" s="3">
        <f ca="1">IFERROR(__xludf.DUMMYFUNCTION("""COMPUTED_VALUE"""),2)</f>
        <v>2</v>
      </c>
      <c r="C9545" s="7">
        <f ca="1">IFERROR(__xludf.DUMMYFUNCTION("""COMPUTED_VALUE"""),2)</f>
        <v>2</v>
      </c>
      <c r="D9545" s="8">
        <f ca="1">IFERROR(__xludf.DUMMYFUNCTION("""COMPUTED_VALUE"""),2)</f>
        <v>2</v>
      </c>
      <c r="E9545" s="2">
        <f ca="1">IFERROR(__xludf.DUMMYFUNCTION("""COMPUTED_VALUE"""),1)</f>
        <v>1</v>
      </c>
    </row>
    <row r="9546" spans="1:5" ht="13">
      <c r="A9546" s="8" t="str">
        <f ca="1">IFERROR(__xludf.DUMMYFUNCTION("""COMPUTED_VALUE"""),"Hirokawa, Joy Ondra")</f>
        <v>Hirokawa, Joy Ondra</v>
      </c>
      <c r="B9546" s="3">
        <f ca="1">IFERROR(__xludf.DUMMYFUNCTION("""COMPUTED_VALUE"""),2)</f>
        <v>2</v>
      </c>
      <c r="C9546" s="7">
        <f ca="1">IFERROR(__xludf.DUMMYFUNCTION("""COMPUTED_VALUE"""),2)</f>
        <v>2</v>
      </c>
      <c r="D9546" s="8">
        <f ca="1">IFERROR(__xludf.DUMMYFUNCTION("""COMPUTED_VALUE"""),2)</f>
        <v>2</v>
      </c>
      <c r="E9546" s="2">
        <f ca="1">IFERROR(__xludf.DUMMYFUNCTION("""COMPUTED_VALUE"""),1)</f>
        <v>1</v>
      </c>
    </row>
    <row r="9547" spans="1:5" ht="13">
      <c r="A9547" s="2" t="str">
        <f ca="1">IFERROR(__xludf.DUMMYFUNCTION("""COMPUTED_VALUE"""),"Hirt, Lucy")</f>
        <v>Hirt, Lucy</v>
      </c>
      <c r="B9547" s="3">
        <f ca="1">IFERROR(__xludf.DUMMYFUNCTION("""COMPUTED_VALUE"""),2)</f>
        <v>2</v>
      </c>
      <c r="C9547" s="7">
        <f ca="1">IFERROR(__xludf.DUMMYFUNCTION("""COMPUTED_VALUE"""),2)</f>
        <v>2</v>
      </c>
      <c r="D9547" s="8">
        <f ca="1">IFERROR(__xludf.DUMMYFUNCTION("""COMPUTED_VALUE"""),2)</f>
        <v>2</v>
      </c>
      <c r="E9547" s="2">
        <f ca="1">IFERROR(__xludf.DUMMYFUNCTION("""COMPUTED_VALUE"""),1)</f>
        <v>1</v>
      </c>
    </row>
    <row r="9548" spans="1:5" ht="13">
      <c r="A9548" s="2" t="str">
        <f ca="1">IFERROR(__xludf.DUMMYFUNCTION("""COMPUTED_VALUE"""),"Hoefle, Heather")</f>
        <v>Hoefle, Heather</v>
      </c>
      <c r="B9548" s="2">
        <f ca="1">IFERROR(__xludf.DUMMYFUNCTION("""COMPUTED_VALUE"""),2)</f>
        <v>2</v>
      </c>
      <c r="C9548" s="7">
        <f ca="1">IFERROR(__xludf.DUMMYFUNCTION("""COMPUTED_VALUE"""),2)</f>
        <v>2</v>
      </c>
      <c r="D9548" s="8">
        <f ca="1">IFERROR(__xludf.DUMMYFUNCTION("""COMPUTED_VALUE"""),2)</f>
        <v>2</v>
      </c>
      <c r="E9548" s="2">
        <f ca="1">IFERROR(__xludf.DUMMYFUNCTION("""COMPUTED_VALUE"""),1)</f>
        <v>1</v>
      </c>
    </row>
    <row r="9549" spans="1:5" ht="13">
      <c r="A9549" s="8" t="str">
        <f ca="1">IFERROR(__xludf.DUMMYFUNCTION("""COMPUTED_VALUE"""),"Hoekje, Beth")</f>
        <v>Hoekje, Beth</v>
      </c>
      <c r="B9549" s="3">
        <f ca="1">IFERROR(__xludf.DUMMYFUNCTION("""COMPUTED_VALUE"""),2)</f>
        <v>2</v>
      </c>
      <c r="C9549" s="7">
        <f ca="1">IFERROR(__xludf.DUMMYFUNCTION("""COMPUTED_VALUE"""),2)</f>
        <v>2</v>
      </c>
      <c r="D9549" s="8">
        <f ca="1">IFERROR(__xludf.DUMMYFUNCTION("""COMPUTED_VALUE"""),2)</f>
        <v>2</v>
      </c>
      <c r="E9549" s="2">
        <f ca="1">IFERROR(__xludf.DUMMYFUNCTION("""COMPUTED_VALUE"""),1)</f>
        <v>1</v>
      </c>
    </row>
    <row r="9550" spans="1:5" ht="13">
      <c r="A9550" s="8" t="str">
        <f ca="1">IFERROR(__xludf.DUMMYFUNCTION("""COMPUTED_VALUE"""),"Hoffer, Marjorie")</f>
        <v>Hoffer, Marjorie</v>
      </c>
      <c r="B9550" s="3">
        <f ca="1">IFERROR(__xludf.DUMMYFUNCTION("""COMPUTED_VALUE"""),2)</f>
        <v>2</v>
      </c>
      <c r="C9550" s="7">
        <f ca="1">IFERROR(__xludf.DUMMYFUNCTION("""COMPUTED_VALUE"""),2)</f>
        <v>2</v>
      </c>
      <c r="D9550" s="8">
        <f ca="1">IFERROR(__xludf.DUMMYFUNCTION("""COMPUTED_VALUE"""),2)</f>
        <v>2</v>
      </c>
      <c r="E9550" s="2">
        <f ca="1">IFERROR(__xludf.DUMMYFUNCTION("""COMPUTED_VALUE"""),1)</f>
        <v>1</v>
      </c>
    </row>
    <row r="9551" spans="1:5" ht="13">
      <c r="A9551" s="2" t="str">
        <f ca="1">IFERROR(__xludf.DUMMYFUNCTION("""COMPUTED_VALUE"""),"Hogan, Samantha")</f>
        <v>Hogan, Samantha</v>
      </c>
      <c r="B9551" s="3">
        <f ca="1">IFERROR(__xludf.DUMMYFUNCTION("""COMPUTED_VALUE"""),2)</f>
        <v>2</v>
      </c>
      <c r="C9551" s="7">
        <f ca="1">IFERROR(__xludf.DUMMYFUNCTION("""COMPUTED_VALUE"""),2)</f>
        <v>2</v>
      </c>
      <c r="D9551" s="8">
        <f ca="1">IFERROR(__xludf.DUMMYFUNCTION("""COMPUTED_VALUE"""),2)</f>
        <v>2</v>
      </c>
      <c r="E9551" s="2">
        <f ca="1">IFERROR(__xludf.DUMMYFUNCTION("""COMPUTED_VALUE"""),1)</f>
        <v>1</v>
      </c>
    </row>
    <row r="9552" spans="1:5" ht="13">
      <c r="A9552" s="2" t="str">
        <f ca="1">IFERROR(__xludf.DUMMYFUNCTION("""COMPUTED_VALUE"""),"Hohnstein-Reinhart, Kelsey")</f>
        <v>Hohnstein-Reinhart, Kelsey</v>
      </c>
      <c r="B9552" s="3">
        <f ca="1">IFERROR(__xludf.DUMMYFUNCTION("""COMPUTED_VALUE"""),2)</f>
        <v>2</v>
      </c>
      <c r="C9552" s="7">
        <f ca="1">IFERROR(__xludf.DUMMYFUNCTION("""COMPUTED_VALUE"""),2)</f>
        <v>2</v>
      </c>
      <c r="D9552" s="8">
        <f ca="1">IFERROR(__xludf.DUMMYFUNCTION("""COMPUTED_VALUE"""),2)</f>
        <v>2</v>
      </c>
      <c r="E9552" s="2">
        <f ca="1">IFERROR(__xludf.DUMMYFUNCTION("""COMPUTED_VALUE"""),1)</f>
        <v>1</v>
      </c>
    </row>
    <row r="9553" spans="1:5" ht="13">
      <c r="A9553" s="2" t="str">
        <f ca="1">IFERROR(__xludf.DUMMYFUNCTION("""COMPUTED_VALUE"""),"Hohnstein, Kelsey")</f>
        <v>Hohnstein, Kelsey</v>
      </c>
      <c r="B9553" s="3">
        <f ca="1">IFERROR(__xludf.DUMMYFUNCTION("""COMPUTED_VALUE"""),2)</f>
        <v>2</v>
      </c>
      <c r="C9553" s="7">
        <f ca="1">IFERROR(__xludf.DUMMYFUNCTION("""COMPUTED_VALUE"""),2)</f>
        <v>2</v>
      </c>
      <c r="D9553" s="8">
        <f ca="1">IFERROR(__xludf.DUMMYFUNCTION("""COMPUTED_VALUE"""),2)</f>
        <v>2</v>
      </c>
      <c r="E9553" s="2">
        <f ca="1">IFERROR(__xludf.DUMMYFUNCTION("""COMPUTED_VALUE"""),1)</f>
        <v>1</v>
      </c>
    </row>
    <row r="9554" spans="1:5" ht="13">
      <c r="A9554" s="2" t="str">
        <f ca="1">IFERROR(__xludf.DUMMYFUNCTION("""COMPUTED_VALUE"""),"Holcomb, Robin")</f>
        <v>Holcomb, Robin</v>
      </c>
      <c r="B9554" s="3">
        <f ca="1">IFERROR(__xludf.DUMMYFUNCTION("""COMPUTED_VALUE"""),2)</f>
        <v>2</v>
      </c>
      <c r="C9554" s="7">
        <f ca="1">IFERROR(__xludf.DUMMYFUNCTION("""COMPUTED_VALUE"""),2)</f>
        <v>2</v>
      </c>
      <c r="D9554" s="8">
        <f ca="1">IFERROR(__xludf.DUMMYFUNCTION("""COMPUTED_VALUE"""),2)</f>
        <v>2</v>
      </c>
      <c r="E9554" s="2">
        <f ca="1">IFERROR(__xludf.DUMMYFUNCTION("""COMPUTED_VALUE"""),1)</f>
        <v>1</v>
      </c>
    </row>
    <row r="9555" spans="1:5" ht="13">
      <c r="A9555" s="2" t="str">
        <f ca="1">IFERROR(__xludf.DUMMYFUNCTION("""COMPUTED_VALUE"""),"Holmes, Augusta")</f>
        <v>Holmes, Augusta</v>
      </c>
      <c r="B9555" s="3">
        <f ca="1">IFERROR(__xludf.DUMMYFUNCTION("""COMPUTED_VALUE"""),2)</f>
        <v>2</v>
      </c>
      <c r="C9555" s="7">
        <f ca="1">IFERROR(__xludf.DUMMYFUNCTION("""COMPUTED_VALUE"""),2)</f>
        <v>2</v>
      </c>
      <c r="D9555" s="8">
        <f ca="1">IFERROR(__xludf.DUMMYFUNCTION("""COMPUTED_VALUE"""),6)</f>
        <v>6</v>
      </c>
      <c r="E9555" s="2">
        <f ca="1">IFERROR(__xludf.DUMMYFUNCTION("""COMPUTED_VALUE"""),2)</f>
        <v>2</v>
      </c>
    </row>
    <row r="9556" spans="1:5" ht="13">
      <c r="A9556" s="2" t="str">
        <f ca="1">IFERROR(__xludf.DUMMYFUNCTION("""COMPUTED_VALUE"""),"Holmès, Augusta")</f>
        <v>Holmès, Augusta</v>
      </c>
      <c r="B9556" s="3">
        <f ca="1">IFERROR(__xludf.DUMMYFUNCTION("""COMPUTED_VALUE"""),2)</f>
        <v>2</v>
      </c>
      <c r="C9556" s="7">
        <f ca="1">IFERROR(__xludf.DUMMYFUNCTION("""COMPUTED_VALUE"""),2)</f>
        <v>2</v>
      </c>
      <c r="D9556" s="8">
        <f ca="1">IFERROR(__xludf.DUMMYFUNCTION("""COMPUTED_VALUE"""),6)</f>
        <v>6</v>
      </c>
      <c r="E9556" s="2">
        <f ca="1">IFERROR(__xludf.DUMMYFUNCTION("""COMPUTED_VALUE"""),2)</f>
        <v>2</v>
      </c>
    </row>
    <row r="9557" spans="1:5" ht="13">
      <c r="A9557" s="2" t="str">
        <f ca="1">IFERROR(__xludf.DUMMYFUNCTION("""COMPUTED_VALUE"""),"Holmes, Rachael")</f>
        <v>Holmes, Rachael</v>
      </c>
      <c r="B9557" s="3">
        <f ca="1">IFERROR(__xludf.DUMMYFUNCTION("""COMPUTED_VALUE"""),2)</f>
        <v>2</v>
      </c>
      <c r="C9557" s="7">
        <f ca="1">IFERROR(__xludf.DUMMYFUNCTION("""COMPUTED_VALUE"""),2)</f>
        <v>2</v>
      </c>
      <c r="D9557" s="8">
        <f ca="1">IFERROR(__xludf.DUMMYFUNCTION("""COMPUTED_VALUE"""),2)</f>
        <v>2</v>
      </c>
      <c r="E9557" s="2">
        <f ca="1">IFERROR(__xludf.DUMMYFUNCTION("""COMPUTED_VALUE"""),1)</f>
        <v>1</v>
      </c>
    </row>
    <row r="9558" spans="1:5" ht="13">
      <c r="A9558" s="2" t="str">
        <f ca="1">IFERROR(__xludf.DUMMYFUNCTION("""COMPUTED_VALUE"""),"Holst, Imogen")</f>
        <v>Holst, Imogen</v>
      </c>
      <c r="B9558" s="3">
        <f ca="1">IFERROR(__xludf.DUMMYFUNCTION("""COMPUTED_VALUE"""),2)</f>
        <v>2</v>
      </c>
      <c r="C9558" s="7">
        <f ca="1">IFERROR(__xludf.DUMMYFUNCTION("""COMPUTED_VALUE"""),2)</f>
        <v>2</v>
      </c>
      <c r="D9558" s="8">
        <f ca="1">IFERROR(__xludf.DUMMYFUNCTION("""COMPUTED_VALUE"""),6)</f>
        <v>6</v>
      </c>
      <c r="E9558" s="2">
        <f ca="1">IFERROR(__xludf.DUMMYFUNCTION("""COMPUTED_VALUE"""),2)</f>
        <v>2</v>
      </c>
    </row>
    <row r="9559" spans="1:5" ht="13">
      <c r="A9559" s="2" t="str">
        <f ca="1">IFERROR(__xludf.DUMMYFUNCTION("""COMPUTED_VALUE"""),"Hoover, Katherine")</f>
        <v>Hoover, Katherine</v>
      </c>
      <c r="B9559" s="3">
        <f ca="1">IFERROR(__xludf.DUMMYFUNCTION("""COMPUTED_VALUE"""),2)</f>
        <v>2</v>
      </c>
      <c r="C9559" s="7">
        <f ca="1">IFERROR(__xludf.DUMMYFUNCTION("""COMPUTED_VALUE"""),2)</f>
        <v>2</v>
      </c>
      <c r="D9559" s="8">
        <f ca="1">IFERROR(__xludf.DUMMYFUNCTION("""COMPUTED_VALUE"""),6)</f>
        <v>6</v>
      </c>
      <c r="E9559" s="2">
        <f ca="1">IFERROR(__xludf.DUMMYFUNCTION("""COMPUTED_VALUE"""),2)</f>
        <v>2</v>
      </c>
    </row>
    <row r="9560" spans="1:5" ht="13">
      <c r="A9560" s="8" t="str">
        <f ca="1">IFERROR(__xludf.DUMMYFUNCTION("""COMPUTED_VALUE"""),"Hopekirk, Helen")</f>
        <v>Hopekirk, Helen</v>
      </c>
      <c r="B9560" s="2">
        <f ca="1">IFERROR(__xludf.DUMMYFUNCTION("""COMPUTED_VALUE"""),2)</f>
        <v>2</v>
      </c>
      <c r="C9560" s="2">
        <f ca="1">IFERROR(__xludf.DUMMYFUNCTION("""COMPUTED_VALUE"""),2)</f>
        <v>2</v>
      </c>
      <c r="D9560" s="8">
        <f ca="1">IFERROR(__xludf.DUMMYFUNCTION("""COMPUTED_VALUE"""),6)</f>
        <v>6</v>
      </c>
      <c r="E9560" s="2">
        <f ca="1">IFERROR(__xludf.DUMMYFUNCTION("""COMPUTED_VALUE"""),2)</f>
        <v>2</v>
      </c>
    </row>
    <row r="9561" spans="1:5" ht="13">
      <c r="A9561" s="2" t="str">
        <f ca="1">IFERROR(__xludf.DUMMYFUNCTION("""COMPUTED_VALUE"""),"Hopkins, Sarah")</f>
        <v>Hopkins, Sarah</v>
      </c>
      <c r="B9561" s="2">
        <f ca="1">IFERROR(__xludf.DUMMYFUNCTION("""COMPUTED_VALUE"""),2)</f>
        <v>2</v>
      </c>
      <c r="C9561" s="7">
        <f ca="1">IFERROR(__xludf.DUMMYFUNCTION("""COMPUTED_VALUE"""),2)</f>
        <v>2</v>
      </c>
      <c r="D9561" s="8">
        <f ca="1">IFERROR(__xludf.DUMMYFUNCTION("""COMPUTED_VALUE"""),2)</f>
        <v>2</v>
      </c>
      <c r="E9561" s="2">
        <f ca="1">IFERROR(__xludf.DUMMYFUNCTION("""COMPUTED_VALUE"""),1)</f>
        <v>1</v>
      </c>
    </row>
    <row r="9562" spans="1:5" ht="13">
      <c r="A9562" s="2" t="str">
        <f ca="1">IFERROR(__xludf.DUMMYFUNCTION("""COMPUTED_VALUE"""),"Horne, Melanie")</f>
        <v>Horne, Melanie</v>
      </c>
      <c r="B9562" s="3">
        <f ca="1">IFERROR(__xludf.DUMMYFUNCTION("""COMPUTED_VALUE"""),2)</f>
        <v>2</v>
      </c>
      <c r="C9562" s="7">
        <f ca="1">IFERROR(__xludf.DUMMYFUNCTION("""COMPUTED_VALUE"""),2)</f>
        <v>2</v>
      </c>
      <c r="D9562" s="8">
        <f ca="1">IFERROR(__xludf.DUMMYFUNCTION("""COMPUTED_VALUE"""),2)</f>
        <v>2</v>
      </c>
      <c r="E9562" s="2">
        <f ca="1">IFERROR(__xludf.DUMMYFUNCTION("""COMPUTED_VALUE"""),1)</f>
        <v>1</v>
      </c>
    </row>
    <row r="9563" spans="1:5" ht="13">
      <c r="A9563" s="2" t="str">
        <f ca="1">IFERROR(__xludf.DUMMYFUNCTION("""COMPUTED_VALUE"""),"Horst, Martha C.")</f>
        <v>Horst, Martha C.</v>
      </c>
      <c r="B9563" s="3">
        <f ca="1">IFERROR(__xludf.DUMMYFUNCTION("""COMPUTED_VALUE"""),2)</f>
        <v>2</v>
      </c>
      <c r="C9563" s="7">
        <f ca="1">IFERROR(__xludf.DUMMYFUNCTION("""COMPUTED_VALUE"""),2)</f>
        <v>2</v>
      </c>
      <c r="D9563" s="8">
        <f ca="1">IFERROR(__xludf.DUMMYFUNCTION("""COMPUTED_VALUE"""),2)</f>
        <v>2</v>
      </c>
      <c r="E9563" s="2">
        <f ca="1">IFERROR(__xludf.DUMMYFUNCTION("""COMPUTED_VALUE"""),1)</f>
        <v>1</v>
      </c>
    </row>
    <row r="9564" spans="1:5" ht="13">
      <c r="A9564" s="8" t="str">
        <f ca="1">IFERROR(__xludf.DUMMYFUNCTION("""COMPUTED_VALUE"""),"Horton, Emily")</f>
        <v>Horton, Emily</v>
      </c>
      <c r="B9564" s="3">
        <f ca="1">IFERROR(__xludf.DUMMYFUNCTION("""COMPUTED_VALUE"""),2)</f>
        <v>2</v>
      </c>
      <c r="C9564" s="7">
        <f ca="1">IFERROR(__xludf.DUMMYFUNCTION("""COMPUTED_VALUE"""),2)</f>
        <v>2</v>
      </c>
      <c r="D9564" s="8">
        <f ca="1">IFERROR(__xludf.DUMMYFUNCTION("""COMPUTED_VALUE"""),2)</f>
        <v>2</v>
      </c>
      <c r="E9564" s="2">
        <f ca="1">IFERROR(__xludf.DUMMYFUNCTION("""COMPUTED_VALUE"""),1)</f>
        <v>1</v>
      </c>
    </row>
    <row r="9565" spans="1:5" ht="13">
      <c r="A9565" s="2" t="str">
        <f ca="1">IFERROR(__xludf.DUMMYFUNCTION("""COMPUTED_VALUE"""),"Houghton, Monica")</f>
        <v>Houghton, Monica</v>
      </c>
      <c r="B9565" s="3">
        <f ca="1">IFERROR(__xludf.DUMMYFUNCTION("""COMPUTED_VALUE"""),2)</f>
        <v>2</v>
      </c>
      <c r="C9565" s="7">
        <f ca="1">IFERROR(__xludf.DUMMYFUNCTION("""COMPUTED_VALUE"""),2)</f>
        <v>2</v>
      </c>
      <c r="D9565" s="8">
        <f ca="1">IFERROR(__xludf.DUMMYFUNCTION("""COMPUTED_VALUE"""),2)</f>
        <v>2</v>
      </c>
      <c r="E9565" s="2">
        <f ca="1">IFERROR(__xludf.DUMMYFUNCTION("""COMPUTED_VALUE"""),1)</f>
        <v>1</v>
      </c>
    </row>
    <row r="9566" spans="1:5" ht="13">
      <c r="A9566" s="2" t="str">
        <f ca="1">IFERROR(__xludf.DUMMYFUNCTION("""COMPUTED_VALUE"""),"Howard, Clare")</f>
        <v>Howard, Clare</v>
      </c>
      <c r="B9566" s="3">
        <f ca="1">IFERROR(__xludf.DUMMYFUNCTION("""COMPUTED_VALUE"""),2)</f>
        <v>2</v>
      </c>
      <c r="C9566" s="7">
        <f ca="1">IFERROR(__xludf.DUMMYFUNCTION("""COMPUTED_VALUE"""),2)</f>
        <v>2</v>
      </c>
      <c r="D9566" s="8">
        <f ca="1">IFERROR(__xludf.DUMMYFUNCTION("""COMPUTED_VALUE"""),2)</f>
        <v>2</v>
      </c>
      <c r="E9566" s="2">
        <f ca="1">IFERROR(__xludf.DUMMYFUNCTION("""COMPUTED_VALUE"""),1)</f>
        <v>1</v>
      </c>
    </row>
    <row r="9567" spans="1:5" ht="13">
      <c r="A9567" s="2" t="str">
        <f ca="1">IFERROR(__xludf.DUMMYFUNCTION("""COMPUTED_VALUE"""),"Howard, Sandra")</f>
        <v>Howard, Sandra</v>
      </c>
      <c r="B9567" s="3">
        <f ca="1">IFERROR(__xludf.DUMMYFUNCTION("""COMPUTED_VALUE"""),2)</f>
        <v>2</v>
      </c>
      <c r="C9567" s="7">
        <f ca="1">IFERROR(__xludf.DUMMYFUNCTION("""COMPUTED_VALUE"""),2)</f>
        <v>2</v>
      </c>
      <c r="D9567" s="8">
        <f ca="1">IFERROR(__xludf.DUMMYFUNCTION("""COMPUTED_VALUE"""),2)</f>
        <v>2</v>
      </c>
      <c r="E9567" s="2">
        <f ca="1">IFERROR(__xludf.DUMMYFUNCTION("""COMPUTED_VALUE"""),1)</f>
        <v>1</v>
      </c>
    </row>
    <row r="9568" spans="1:5" ht="13">
      <c r="A9568" s="2" t="str">
        <f ca="1">IFERROR(__xludf.DUMMYFUNCTION("""COMPUTED_VALUE"""),"Howe, Julia Ward")</f>
        <v>Howe, Julia Ward</v>
      </c>
      <c r="B9568" s="3">
        <f ca="1">IFERROR(__xludf.DUMMYFUNCTION("""COMPUTED_VALUE"""),2)</f>
        <v>2</v>
      </c>
      <c r="C9568" s="7">
        <f ca="1">IFERROR(__xludf.DUMMYFUNCTION("""COMPUTED_VALUE"""),2)</f>
        <v>2</v>
      </c>
      <c r="D9568" s="8">
        <f ca="1">IFERROR(__xludf.DUMMYFUNCTION("""COMPUTED_VALUE"""),6)</f>
        <v>6</v>
      </c>
      <c r="E9568" s="2">
        <f ca="1">IFERROR(__xludf.DUMMYFUNCTION("""COMPUTED_VALUE"""),2)</f>
        <v>2</v>
      </c>
    </row>
    <row r="9569" spans="1:5" ht="13">
      <c r="A9569" s="8" t="str">
        <f ca="1">IFERROR(__xludf.DUMMYFUNCTION("""COMPUTED_VALUE"""),"Howe, Mary")</f>
        <v>Howe, Mary</v>
      </c>
      <c r="B9569" s="3">
        <f ca="1">IFERROR(__xludf.DUMMYFUNCTION("""COMPUTED_VALUE"""),2)</f>
        <v>2</v>
      </c>
      <c r="C9569" s="7">
        <f ca="1">IFERROR(__xludf.DUMMYFUNCTION("""COMPUTED_VALUE"""),2)</f>
        <v>2</v>
      </c>
      <c r="D9569" s="8">
        <f ca="1">IFERROR(__xludf.DUMMYFUNCTION("""COMPUTED_VALUE"""),6)</f>
        <v>6</v>
      </c>
      <c r="E9569" s="2">
        <f ca="1">IFERROR(__xludf.DUMMYFUNCTION("""COMPUTED_VALUE"""),2)</f>
        <v>2</v>
      </c>
    </row>
    <row r="9570" spans="1:5" ht="13">
      <c r="A9570" s="2" t="str">
        <f ca="1">IFERROR(__xludf.DUMMYFUNCTION("""COMPUTED_VALUE"""),"Howell, Dorothy")</f>
        <v>Howell, Dorothy</v>
      </c>
      <c r="B9570" s="3">
        <f ca="1">IFERROR(__xludf.DUMMYFUNCTION("""COMPUTED_VALUE"""),2)</f>
        <v>2</v>
      </c>
      <c r="C9570" s="7">
        <f ca="1">IFERROR(__xludf.DUMMYFUNCTION("""COMPUTED_VALUE"""),2)</f>
        <v>2</v>
      </c>
      <c r="D9570" s="8">
        <f ca="1">IFERROR(__xludf.DUMMYFUNCTION("""COMPUTED_VALUE"""),6)</f>
        <v>6</v>
      </c>
      <c r="E9570" s="2">
        <f ca="1">IFERROR(__xludf.DUMMYFUNCTION("""COMPUTED_VALUE"""),2)</f>
        <v>2</v>
      </c>
    </row>
    <row r="9571" spans="1:5" ht="13">
      <c r="A9571" s="2" t="str">
        <f ca="1">IFERROR(__xludf.DUMMYFUNCTION("""COMPUTED_VALUE"""),"Howland, Alice / Zeitlin, Poldi / Braun, Edith")</f>
        <v>Howland, Alice / Zeitlin, Poldi / Braun, Edith</v>
      </c>
      <c r="B9571" s="2">
        <f ca="1">IFERROR(__xludf.DUMMYFUNCTION("""COMPUTED_VALUE"""),2)</f>
        <v>2</v>
      </c>
      <c r="C9571" s="2">
        <f ca="1">IFERROR(__xludf.DUMMYFUNCTION("""COMPUTED_VALUE"""),2)</f>
        <v>2</v>
      </c>
      <c r="D9571" s="8">
        <f ca="1">IFERROR(__xludf.DUMMYFUNCTION("""COMPUTED_VALUE"""),6)</f>
        <v>6</v>
      </c>
      <c r="E9571" s="2">
        <f ca="1">IFERROR(__xludf.DUMMYFUNCTION("""COMPUTED_VALUE"""),2)</f>
        <v>2</v>
      </c>
    </row>
    <row r="9572" spans="1:5" ht="13">
      <c r="A9572" s="2" t="str">
        <f ca="1">IFERROR(__xludf.DUMMYFUNCTION("""COMPUTED_VALUE"""),"Huelin, Kayleigh")</f>
        <v>Huelin, Kayleigh</v>
      </c>
      <c r="B9572" s="3">
        <f ca="1">IFERROR(__xludf.DUMMYFUNCTION("""COMPUTED_VALUE"""),2)</f>
        <v>2</v>
      </c>
      <c r="C9572" s="7">
        <f ca="1">IFERROR(__xludf.DUMMYFUNCTION("""COMPUTED_VALUE"""),2)</f>
        <v>2</v>
      </c>
      <c r="D9572" s="8">
        <f ca="1">IFERROR(__xludf.DUMMYFUNCTION("""COMPUTED_VALUE"""),2)</f>
        <v>2</v>
      </c>
      <c r="E9572" s="2">
        <f ca="1">IFERROR(__xludf.DUMMYFUNCTION("""COMPUTED_VALUE"""),1)</f>
        <v>1</v>
      </c>
    </row>
    <row r="9573" spans="1:5" ht="13">
      <c r="A9573" s="2" t="str">
        <f ca="1">IFERROR(__xludf.DUMMYFUNCTION("""COMPUTED_VALUE"""),"Huff, Sarah Wallin")</f>
        <v>Huff, Sarah Wallin</v>
      </c>
      <c r="B9573" s="3">
        <f ca="1">IFERROR(__xludf.DUMMYFUNCTION("""COMPUTED_VALUE"""),2)</f>
        <v>2</v>
      </c>
      <c r="C9573" s="7">
        <f ca="1">IFERROR(__xludf.DUMMYFUNCTION("""COMPUTED_VALUE"""),2)</f>
        <v>2</v>
      </c>
      <c r="D9573" s="8">
        <f ca="1">IFERROR(__xludf.DUMMYFUNCTION("""COMPUTED_VALUE"""),2)</f>
        <v>2</v>
      </c>
      <c r="E9573" s="2">
        <f ca="1">IFERROR(__xludf.DUMMYFUNCTION("""COMPUTED_VALUE"""),1)</f>
        <v>1</v>
      </c>
    </row>
    <row r="9574" spans="1:5" ht="13">
      <c r="A9574" s="8" t="str">
        <f ca="1">IFERROR(__xludf.DUMMYFUNCTION("""COMPUTED_VALUE"""),"Hughes, Laurie Betts")</f>
        <v>Hughes, Laurie Betts</v>
      </c>
      <c r="B9574" s="3">
        <f ca="1">IFERROR(__xludf.DUMMYFUNCTION("""COMPUTED_VALUE"""),2)</f>
        <v>2</v>
      </c>
      <c r="C9574" s="7">
        <f ca="1">IFERROR(__xludf.DUMMYFUNCTION("""COMPUTED_VALUE"""),2)</f>
        <v>2</v>
      </c>
      <c r="D9574" s="8">
        <f ca="1">IFERROR(__xludf.DUMMYFUNCTION("""COMPUTED_VALUE"""),2)</f>
        <v>2</v>
      </c>
      <c r="E9574" s="2">
        <f ca="1">IFERROR(__xludf.DUMMYFUNCTION("""COMPUTED_VALUE"""),1)</f>
        <v>1</v>
      </c>
    </row>
    <row r="9575" spans="1:5" ht="13">
      <c r="A9575" s="2" t="str">
        <f ca="1">IFERROR(__xludf.DUMMYFUNCTION("""COMPUTED_VALUE"""),"Humfeld, Brooke")</f>
        <v>Humfeld, Brooke</v>
      </c>
      <c r="B9575" s="3">
        <f ca="1">IFERROR(__xludf.DUMMYFUNCTION("""COMPUTED_VALUE"""),2)</f>
        <v>2</v>
      </c>
      <c r="C9575" s="7">
        <f ca="1">IFERROR(__xludf.DUMMYFUNCTION("""COMPUTED_VALUE"""),2)</f>
        <v>2</v>
      </c>
      <c r="D9575" s="8">
        <f ca="1">IFERROR(__xludf.DUMMYFUNCTION("""COMPUTED_VALUE"""),2)</f>
        <v>2</v>
      </c>
      <c r="E9575" s="2">
        <f ca="1">IFERROR(__xludf.DUMMYFUNCTION("""COMPUTED_VALUE"""),1)</f>
        <v>1</v>
      </c>
    </row>
    <row r="9576" spans="1:5" ht="13">
      <c r="A9576" s="2" t="str">
        <f ca="1">IFERROR(__xludf.DUMMYFUNCTION("""COMPUTED_VALUE"""),"Hunt, Jessica")</f>
        <v>Hunt, Jessica</v>
      </c>
      <c r="B9576" s="3">
        <f ca="1">IFERROR(__xludf.DUMMYFUNCTION("""COMPUTED_VALUE"""),2)</f>
        <v>2</v>
      </c>
      <c r="C9576" s="7">
        <f ca="1">IFERROR(__xludf.DUMMYFUNCTION("""COMPUTED_VALUE"""),2)</f>
        <v>2</v>
      </c>
      <c r="D9576" s="8">
        <f ca="1">IFERROR(__xludf.DUMMYFUNCTION("""COMPUTED_VALUE"""),2)</f>
        <v>2</v>
      </c>
      <c r="E9576" s="2">
        <f ca="1">IFERROR(__xludf.DUMMYFUNCTION("""COMPUTED_VALUE"""),1)</f>
        <v>1</v>
      </c>
    </row>
    <row r="9577" spans="1:5" ht="13">
      <c r="A9577" s="2" t="str">
        <f ca="1">IFERROR(__xludf.DUMMYFUNCTION("""COMPUTED_VALUE"""),"Hurlbutt Hamberg, Patricia")</f>
        <v>Hurlbutt Hamberg, Patricia</v>
      </c>
      <c r="B9577" s="3">
        <f ca="1">IFERROR(__xludf.DUMMYFUNCTION("""COMPUTED_VALUE"""),2)</f>
        <v>2</v>
      </c>
      <c r="C9577" s="7">
        <f ca="1">IFERROR(__xludf.DUMMYFUNCTION("""COMPUTED_VALUE"""),2)</f>
        <v>2</v>
      </c>
      <c r="D9577" s="8">
        <f ca="1">IFERROR(__xludf.DUMMYFUNCTION("""COMPUTED_VALUE"""),2)</f>
        <v>2</v>
      </c>
      <c r="E9577" s="2">
        <f ca="1">IFERROR(__xludf.DUMMYFUNCTION("""COMPUTED_VALUE"""),1)</f>
        <v>1</v>
      </c>
    </row>
    <row r="9578" spans="1:5" ht="13">
      <c r="A9578" s="2" t="str">
        <f ca="1">IFERROR(__xludf.DUMMYFUNCTION("""COMPUTED_VALUE"""),"Huss, Christina")</f>
        <v>Huss, Christina</v>
      </c>
      <c r="B9578" s="2">
        <f ca="1">IFERROR(__xludf.DUMMYFUNCTION("""COMPUTED_VALUE"""),2)</f>
        <v>2</v>
      </c>
      <c r="C9578" s="7">
        <f ca="1">IFERROR(__xludf.DUMMYFUNCTION("""COMPUTED_VALUE"""),2)</f>
        <v>2</v>
      </c>
      <c r="D9578" s="8">
        <f ca="1">IFERROR(__xludf.DUMMYFUNCTION("""COMPUTED_VALUE"""),2)</f>
        <v>2</v>
      </c>
      <c r="E9578" s="2">
        <f ca="1">IFERROR(__xludf.DUMMYFUNCTION("""COMPUTED_VALUE"""),1)</f>
        <v>1</v>
      </c>
    </row>
    <row r="9579" spans="1:5" ht="13">
      <c r="A9579" s="2" t="str">
        <f ca="1">IFERROR(__xludf.DUMMYFUNCTION("""COMPUTED_VALUE"""),"Hutchings, Sarah")</f>
        <v>Hutchings, Sarah</v>
      </c>
      <c r="B9579" s="3">
        <f ca="1">IFERROR(__xludf.DUMMYFUNCTION("""COMPUTED_VALUE"""),2)</f>
        <v>2</v>
      </c>
      <c r="C9579" s="7">
        <f ca="1">IFERROR(__xludf.DUMMYFUNCTION("""COMPUTED_VALUE"""),2)</f>
        <v>2</v>
      </c>
      <c r="D9579" s="8">
        <f ca="1">IFERROR(__xludf.DUMMYFUNCTION("""COMPUTED_VALUE"""),2)</f>
        <v>2</v>
      </c>
      <c r="E9579" s="2">
        <f ca="1">IFERROR(__xludf.DUMMYFUNCTION("""COMPUTED_VALUE"""),1)</f>
        <v>1</v>
      </c>
    </row>
    <row r="9580" spans="1:5" ht="13">
      <c r="A9580" s="2" t="str">
        <f ca="1">IFERROR(__xludf.DUMMYFUNCTION("""COMPUTED_VALUE"""),"Ijames, Molly")</f>
        <v>Ijames, Molly</v>
      </c>
      <c r="B9580" s="2">
        <f ca="1">IFERROR(__xludf.DUMMYFUNCTION("""COMPUTED_VALUE"""),2)</f>
        <v>2</v>
      </c>
      <c r="C9580" s="7">
        <f ca="1">IFERROR(__xludf.DUMMYFUNCTION("""COMPUTED_VALUE"""),2)</f>
        <v>2</v>
      </c>
      <c r="D9580" s="8">
        <f ca="1">IFERROR(__xludf.DUMMYFUNCTION("""COMPUTED_VALUE"""),2)</f>
        <v>2</v>
      </c>
      <c r="E9580" s="2">
        <f ca="1">IFERROR(__xludf.DUMMYFUNCTION("""COMPUTED_VALUE"""),1)</f>
        <v>1</v>
      </c>
    </row>
    <row r="9581" spans="1:5" ht="13">
      <c r="A9581" s="2" t="str">
        <f ca="1">IFERROR(__xludf.DUMMYFUNCTION("""COMPUTED_VALUE"""),"Ingalls, Patti")</f>
        <v>Ingalls, Patti</v>
      </c>
      <c r="B9581" s="3">
        <f ca="1">IFERROR(__xludf.DUMMYFUNCTION("""COMPUTED_VALUE"""),2)</f>
        <v>2</v>
      </c>
      <c r="C9581" s="7">
        <f ca="1">IFERROR(__xludf.DUMMYFUNCTION("""COMPUTED_VALUE"""),2)</f>
        <v>2</v>
      </c>
      <c r="D9581" s="8">
        <f ca="1">IFERROR(__xludf.DUMMYFUNCTION("""COMPUTED_VALUE"""),6)</f>
        <v>6</v>
      </c>
      <c r="E9581" s="2">
        <f ca="1">IFERROR(__xludf.DUMMYFUNCTION("""COMPUTED_VALUE"""),2)</f>
        <v>2</v>
      </c>
    </row>
    <row r="9582" spans="1:5" ht="13">
      <c r="A9582" s="2" t="str">
        <f ca="1">IFERROR(__xludf.DUMMYFUNCTION("""COMPUTED_VALUE"""),"Ingels, JoAnne")</f>
        <v>Ingels, JoAnne</v>
      </c>
      <c r="B9582" s="3">
        <f ca="1">IFERROR(__xludf.DUMMYFUNCTION("""COMPUTED_VALUE"""),2)</f>
        <v>2</v>
      </c>
      <c r="C9582" s="7">
        <f ca="1">IFERROR(__xludf.DUMMYFUNCTION("""COMPUTED_VALUE"""),2)</f>
        <v>2</v>
      </c>
      <c r="D9582" s="8">
        <f ca="1">IFERROR(__xludf.DUMMYFUNCTION("""COMPUTED_VALUE"""),2)</f>
        <v>2</v>
      </c>
      <c r="E9582" s="2">
        <f ca="1">IFERROR(__xludf.DUMMYFUNCTION("""COMPUTED_VALUE"""),1)</f>
        <v>1</v>
      </c>
    </row>
    <row r="9583" spans="1:5" ht="13">
      <c r="A9583" s="2" t="str">
        <f ca="1">IFERROR(__xludf.DUMMYFUNCTION("""COMPUTED_VALUE"""),"Isaac, Michelle")</f>
        <v>Isaac, Michelle</v>
      </c>
      <c r="B9583" s="3">
        <f ca="1">IFERROR(__xludf.DUMMYFUNCTION("""COMPUTED_VALUE"""),2)</f>
        <v>2</v>
      </c>
      <c r="C9583" s="7">
        <f ca="1">IFERROR(__xludf.DUMMYFUNCTION("""COMPUTED_VALUE"""),2)</f>
        <v>2</v>
      </c>
      <c r="D9583" s="8">
        <f ca="1">IFERROR(__xludf.DUMMYFUNCTION("""COMPUTED_VALUE"""),2)</f>
        <v>2</v>
      </c>
      <c r="E9583" s="2">
        <f ca="1">IFERROR(__xludf.DUMMYFUNCTION("""COMPUTED_VALUE"""),1)</f>
        <v>1</v>
      </c>
    </row>
    <row r="9584" spans="1:5" ht="13">
      <c r="A9584" s="2" t="str">
        <f ca="1">IFERROR(__xludf.DUMMYFUNCTION("""COMPUTED_VALUE"""),"Islas, Tara")</f>
        <v>Islas, Tara</v>
      </c>
      <c r="B9584" s="3">
        <f ca="1">IFERROR(__xludf.DUMMYFUNCTION("""COMPUTED_VALUE"""),2)</f>
        <v>2</v>
      </c>
      <c r="C9584" s="7">
        <f ca="1">IFERROR(__xludf.DUMMYFUNCTION("""COMPUTED_VALUE"""),2)</f>
        <v>2</v>
      </c>
      <c r="D9584" s="8">
        <f ca="1">IFERROR(__xludf.DUMMYFUNCTION("""COMPUTED_VALUE"""),2)</f>
        <v>2</v>
      </c>
      <c r="E9584" s="2">
        <f ca="1">IFERROR(__xludf.DUMMYFUNCTION("""COMPUTED_VALUE"""),1)</f>
        <v>1</v>
      </c>
    </row>
    <row r="9585" spans="1:5" ht="13">
      <c r="A9585" s="2" t="str">
        <f ca="1">IFERROR(__xludf.DUMMYFUNCTION("""COMPUTED_VALUE"""),"Ivanova, Vera")</f>
        <v>Ivanova, Vera</v>
      </c>
      <c r="B9585" s="3">
        <f ca="1">IFERROR(__xludf.DUMMYFUNCTION("""COMPUTED_VALUE"""),2)</f>
        <v>2</v>
      </c>
      <c r="C9585" s="7">
        <f ca="1">IFERROR(__xludf.DUMMYFUNCTION("""COMPUTED_VALUE"""),2)</f>
        <v>2</v>
      </c>
      <c r="D9585" s="8">
        <f ca="1">IFERROR(__xludf.DUMMYFUNCTION("""COMPUTED_VALUE"""),2)</f>
        <v>2</v>
      </c>
      <c r="E9585" s="2">
        <f ca="1">IFERROR(__xludf.DUMMYFUNCTION("""COMPUTED_VALUE"""),1)</f>
        <v>1</v>
      </c>
    </row>
    <row r="9586" spans="1:5" ht="13">
      <c r="A9586" s="2" t="str">
        <f ca="1">IFERROR(__xludf.DUMMYFUNCTION("""COMPUTED_VALUE"""),"Ives, Nancy")</f>
        <v>Ives, Nancy</v>
      </c>
      <c r="B9586" s="3">
        <f ca="1">IFERROR(__xludf.DUMMYFUNCTION("""COMPUTED_VALUE"""),2)</f>
        <v>2</v>
      </c>
      <c r="C9586" s="7">
        <f ca="1">IFERROR(__xludf.DUMMYFUNCTION("""COMPUTED_VALUE"""),2)</f>
        <v>2</v>
      </c>
      <c r="D9586" s="8">
        <f ca="1">IFERROR(__xludf.DUMMYFUNCTION("""COMPUTED_VALUE"""),2)</f>
        <v>2</v>
      </c>
      <c r="E9586" s="2">
        <f ca="1">IFERROR(__xludf.DUMMYFUNCTION("""COMPUTED_VALUE"""),1)</f>
        <v>1</v>
      </c>
    </row>
    <row r="9587" spans="1:5" ht="13">
      <c r="A9587" s="8" t="str">
        <f ca="1">IFERROR(__xludf.DUMMYFUNCTION("""COMPUTED_VALUE"""),"Jackson, Andelena G.")</f>
        <v>Jackson, Andelena G.</v>
      </c>
      <c r="B9587" s="3">
        <f ca="1">IFERROR(__xludf.DUMMYFUNCTION("""COMPUTED_VALUE"""),2)</f>
        <v>2</v>
      </c>
      <c r="C9587" s="7">
        <f ca="1">IFERROR(__xludf.DUMMYFUNCTION("""COMPUTED_VALUE"""),2)</f>
        <v>2</v>
      </c>
      <c r="D9587" s="8">
        <f ca="1">IFERROR(__xludf.DUMMYFUNCTION("""COMPUTED_VALUE"""),2)</f>
        <v>2</v>
      </c>
      <c r="E9587" s="2">
        <f ca="1">IFERROR(__xludf.DUMMYFUNCTION("""COMPUTED_VALUE"""),1)</f>
        <v>1</v>
      </c>
    </row>
    <row r="9588" spans="1:5" ht="13">
      <c r="A9588" s="2" t="str">
        <f ca="1">IFERROR(__xludf.DUMMYFUNCTION("""COMPUTED_VALUE"""),"Jackson, Jill")</f>
        <v>Jackson, Jill</v>
      </c>
      <c r="B9588" s="3">
        <f ca="1">IFERROR(__xludf.DUMMYFUNCTION("""COMPUTED_VALUE"""),2)</f>
        <v>2</v>
      </c>
      <c r="C9588" s="7">
        <f ca="1">IFERROR(__xludf.DUMMYFUNCTION("""COMPUTED_VALUE"""),2)</f>
        <v>2</v>
      </c>
      <c r="D9588" s="8">
        <f ca="1">IFERROR(__xludf.DUMMYFUNCTION("""COMPUTED_VALUE"""),2)</f>
        <v>2</v>
      </c>
      <c r="E9588" s="2">
        <f ca="1">IFERROR(__xludf.DUMMYFUNCTION("""COMPUTED_VALUE"""),1)</f>
        <v>1</v>
      </c>
    </row>
    <row r="9589" spans="1:5" ht="13">
      <c r="A9589" s="2" t="str">
        <f ca="1">IFERROR(__xludf.DUMMYFUNCTION("""COMPUTED_VALUE"""),"Jacobe, Carol")</f>
        <v>Jacobe, Carol</v>
      </c>
      <c r="B9589" s="3">
        <f ca="1">IFERROR(__xludf.DUMMYFUNCTION("""COMPUTED_VALUE"""),2)</f>
        <v>2</v>
      </c>
      <c r="C9589" s="7">
        <f ca="1">IFERROR(__xludf.DUMMYFUNCTION("""COMPUTED_VALUE"""),2)</f>
        <v>2</v>
      </c>
      <c r="D9589" s="8">
        <f ca="1">IFERROR(__xludf.DUMMYFUNCTION("""COMPUTED_VALUE"""),2)</f>
        <v>2</v>
      </c>
      <c r="E9589" s="2">
        <f ca="1">IFERROR(__xludf.DUMMYFUNCTION("""COMPUTED_VALUE"""),1)</f>
        <v>1</v>
      </c>
    </row>
    <row r="9590" spans="1:5" ht="13">
      <c r="A9590" s="2" t="str">
        <f ca="1">IFERROR(__xludf.DUMMYFUNCTION("""COMPUTED_VALUE"""),"Jacobs-Bond, Carrie")</f>
        <v>Jacobs-Bond, Carrie</v>
      </c>
      <c r="B9590" s="3">
        <f ca="1">IFERROR(__xludf.DUMMYFUNCTION("""COMPUTED_VALUE"""),2)</f>
        <v>2</v>
      </c>
      <c r="C9590" s="7">
        <f ca="1">IFERROR(__xludf.DUMMYFUNCTION("""COMPUTED_VALUE"""),2)</f>
        <v>2</v>
      </c>
      <c r="D9590" s="8">
        <f ca="1">IFERROR(__xludf.DUMMYFUNCTION("""COMPUTED_VALUE"""),6)</f>
        <v>6</v>
      </c>
      <c r="E9590" s="2">
        <f ca="1">IFERROR(__xludf.DUMMYFUNCTION("""COMPUTED_VALUE"""),2)</f>
        <v>2</v>
      </c>
    </row>
    <row r="9591" spans="1:5" ht="13">
      <c r="A9591" s="8" t="str">
        <f ca="1">IFERROR(__xludf.DUMMYFUNCTION("""COMPUTED_VALUE"""),"Jacobs, Clarissa")</f>
        <v>Jacobs, Clarissa</v>
      </c>
      <c r="B9591" s="3">
        <f ca="1">IFERROR(__xludf.DUMMYFUNCTION("""COMPUTED_VALUE"""),2)</f>
        <v>2</v>
      </c>
      <c r="C9591" s="7">
        <f ca="1">IFERROR(__xludf.DUMMYFUNCTION("""COMPUTED_VALUE"""),2)</f>
        <v>2</v>
      </c>
      <c r="D9591" s="8">
        <f ca="1">IFERROR(__xludf.DUMMYFUNCTION("""COMPUTED_VALUE"""),6)</f>
        <v>6</v>
      </c>
      <c r="E9591" s="2">
        <f ca="1">IFERROR(__xludf.DUMMYFUNCTION("""COMPUTED_VALUE"""),2)</f>
        <v>2</v>
      </c>
    </row>
    <row r="9592" spans="1:5" ht="13">
      <c r="A9592" s="2" t="str">
        <f ca="1">IFERROR(__xludf.DUMMYFUNCTION("""COMPUTED_VALUE"""),"Jacobson, Betty")</f>
        <v>Jacobson, Betty</v>
      </c>
      <c r="B9592" s="3">
        <f ca="1">IFERROR(__xludf.DUMMYFUNCTION("""COMPUTED_VALUE"""),2)</f>
        <v>2</v>
      </c>
      <c r="C9592" s="7">
        <f ca="1">IFERROR(__xludf.DUMMYFUNCTION("""COMPUTED_VALUE"""),2)</f>
        <v>2</v>
      </c>
      <c r="D9592" s="8">
        <f ca="1">IFERROR(__xludf.DUMMYFUNCTION("""COMPUTED_VALUE"""),6)</f>
        <v>6</v>
      </c>
      <c r="E9592" s="2">
        <f ca="1">IFERROR(__xludf.DUMMYFUNCTION("""COMPUTED_VALUE"""),2)</f>
        <v>2</v>
      </c>
    </row>
    <row r="9593" spans="1:5" ht="13">
      <c r="A9593" s="2" t="str">
        <f ca="1">IFERROR(__xludf.DUMMYFUNCTION("""COMPUTED_VALUE"""),"Jagoda, Flory")</f>
        <v>Jagoda, Flory</v>
      </c>
      <c r="B9593" s="3">
        <f ca="1">IFERROR(__xludf.DUMMYFUNCTION("""COMPUTED_VALUE"""),2)</f>
        <v>2</v>
      </c>
      <c r="C9593" s="7">
        <f ca="1">IFERROR(__xludf.DUMMYFUNCTION("""COMPUTED_VALUE"""),2)</f>
        <v>2</v>
      </c>
      <c r="D9593" s="8">
        <f ca="1">IFERROR(__xludf.DUMMYFUNCTION("""COMPUTED_VALUE"""),6)</f>
        <v>6</v>
      </c>
      <c r="E9593" s="2">
        <f ca="1">IFERROR(__xludf.DUMMYFUNCTION("""COMPUTED_VALUE"""),2)</f>
        <v>2</v>
      </c>
    </row>
    <row r="9594" spans="1:5" ht="13">
      <c r="A9594" s="2" t="str">
        <f ca="1">IFERROR(__xludf.DUMMYFUNCTION("""COMPUTED_VALUE"""),"Jani, Sophia")</f>
        <v>Jani, Sophia</v>
      </c>
      <c r="B9594" s="2">
        <f ca="1">IFERROR(__xludf.DUMMYFUNCTION("""COMPUTED_VALUE"""),2)</f>
        <v>2</v>
      </c>
      <c r="C9594" s="7">
        <f ca="1">IFERROR(__xludf.DUMMYFUNCTION("""COMPUTED_VALUE"""),2)</f>
        <v>2</v>
      </c>
      <c r="D9594" s="8">
        <f ca="1">IFERROR(__xludf.DUMMYFUNCTION("""COMPUTED_VALUE"""),2)</f>
        <v>2</v>
      </c>
      <c r="E9594" s="2">
        <f ca="1">IFERROR(__xludf.DUMMYFUNCTION("""COMPUTED_VALUE"""),1)</f>
        <v>1</v>
      </c>
    </row>
    <row r="9595" spans="1:5" ht="13">
      <c r="A9595" s="2" t="str">
        <f ca="1">IFERROR(__xludf.DUMMYFUNCTION("""COMPUTED_VALUE"""),"Jaquet, Elisabeth-Claude")</f>
        <v>Jaquet, Elisabeth-Claude</v>
      </c>
      <c r="B9595" s="2">
        <f ca="1">IFERROR(__xludf.DUMMYFUNCTION("""COMPUTED_VALUE"""),2)</f>
        <v>2</v>
      </c>
      <c r="C9595" s="7">
        <f ca="1">IFERROR(__xludf.DUMMYFUNCTION("""COMPUTED_VALUE"""),2)</f>
        <v>2</v>
      </c>
      <c r="D9595" s="8">
        <f ca="1">IFERROR(__xludf.DUMMYFUNCTION("""COMPUTED_VALUE"""),6)</f>
        <v>6</v>
      </c>
      <c r="E9595" s="2">
        <f ca="1">IFERROR(__xludf.DUMMYFUNCTION("""COMPUTED_VALUE"""),2)</f>
        <v>2</v>
      </c>
    </row>
    <row r="9596" spans="1:5" ht="13">
      <c r="A9596" s="2" t="str">
        <f ca="1">IFERROR(__xludf.DUMMYFUNCTION("""COMPUTED_VALUE"""),"Jarvis, Rebecca")</f>
        <v>Jarvis, Rebecca</v>
      </c>
      <c r="B9596" s="2">
        <f ca="1">IFERROR(__xludf.DUMMYFUNCTION("""COMPUTED_VALUE"""),2)</f>
        <v>2</v>
      </c>
      <c r="C9596" s="7">
        <f ca="1">IFERROR(__xludf.DUMMYFUNCTION("""COMPUTED_VALUE"""),2)</f>
        <v>2</v>
      </c>
      <c r="D9596" s="8">
        <f ca="1">IFERROR(__xludf.DUMMYFUNCTION("""COMPUTED_VALUE"""),2)</f>
        <v>2</v>
      </c>
      <c r="E9596" s="2">
        <f ca="1">IFERROR(__xludf.DUMMYFUNCTION("""COMPUTED_VALUE"""),1)</f>
        <v>1</v>
      </c>
    </row>
    <row r="9597" spans="1:5" ht="13">
      <c r="A9597" s="8" t="str">
        <f ca="1">IFERROR(__xludf.DUMMYFUNCTION("""COMPUTED_VALUE"""),"Jennings, Carolyn")</f>
        <v>Jennings, Carolyn</v>
      </c>
      <c r="B9597" s="3">
        <f ca="1">IFERROR(__xludf.DUMMYFUNCTION("""COMPUTED_VALUE"""),2)</f>
        <v>2</v>
      </c>
      <c r="C9597" s="7">
        <f ca="1">IFERROR(__xludf.DUMMYFUNCTION("""COMPUTED_VALUE"""),2)</f>
        <v>2</v>
      </c>
      <c r="D9597" s="8">
        <f ca="1">IFERROR(__xludf.DUMMYFUNCTION("""COMPUTED_VALUE"""),2)</f>
        <v>2</v>
      </c>
      <c r="E9597" s="2">
        <f ca="1">IFERROR(__xludf.DUMMYFUNCTION("""COMPUTED_VALUE"""),1)</f>
        <v>1</v>
      </c>
    </row>
    <row r="9598" spans="1:5" ht="13">
      <c r="A9598" s="2" t="str">
        <f ca="1">IFERROR(__xludf.DUMMYFUNCTION("""COMPUTED_VALUE"""),"Jennings, Teresa")</f>
        <v>Jennings, Teresa</v>
      </c>
      <c r="B9598" s="3">
        <f ca="1">IFERROR(__xludf.DUMMYFUNCTION("""COMPUTED_VALUE"""),2)</f>
        <v>2</v>
      </c>
      <c r="C9598" s="7">
        <f ca="1">IFERROR(__xludf.DUMMYFUNCTION("""COMPUTED_VALUE"""),2)</f>
        <v>2</v>
      </c>
      <c r="D9598" s="8">
        <f ca="1">IFERROR(__xludf.DUMMYFUNCTION("""COMPUTED_VALUE"""),2)</f>
        <v>2</v>
      </c>
      <c r="E9598" s="2">
        <f ca="1">IFERROR(__xludf.DUMMYFUNCTION("""COMPUTED_VALUE"""),1)</f>
        <v>1</v>
      </c>
    </row>
    <row r="9599" spans="1:5" ht="13">
      <c r="A9599" s="2" t="str">
        <f ca="1">IFERROR(__xludf.DUMMYFUNCTION("""COMPUTED_VALUE"""),"Jensen, Christine")</f>
        <v>Jensen, Christine</v>
      </c>
      <c r="B9599" s="3">
        <f ca="1">IFERROR(__xludf.DUMMYFUNCTION("""COMPUTED_VALUE"""),2)</f>
        <v>2</v>
      </c>
      <c r="C9599" s="7">
        <f ca="1">IFERROR(__xludf.DUMMYFUNCTION("""COMPUTED_VALUE"""),2)</f>
        <v>2</v>
      </c>
      <c r="D9599" s="8">
        <f ca="1">IFERROR(__xludf.DUMMYFUNCTION("""COMPUTED_VALUE"""),2)</f>
        <v>2</v>
      </c>
      <c r="E9599" s="2">
        <f ca="1">IFERROR(__xludf.DUMMYFUNCTION("""COMPUTED_VALUE"""),1)</f>
        <v>1</v>
      </c>
    </row>
    <row r="9600" spans="1:5" ht="13">
      <c r="A9600" s="2" t="str">
        <f ca="1">IFERROR(__xludf.DUMMYFUNCTION("""COMPUTED_VALUE"""),"Jensen, Jodi")</f>
        <v>Jensen, Jodi</v>
      </c>
      <c r="B9600" s="3">
        <f ca="1">IFERROR(__xludf.DUMMYFUNCTION("""COMPUTED_VALUE"""),2)</f>
        <v>2</v>
      </c>
      <c r="C9600" s="7">
        <f ca="1">IFERROR(__xludf.DUMMYFUNCTION("""COMPUTED_VALUE"""),2)</f>
        <v>2</v>
      </c>
      <c r="D9600" s="8">
        <f ca="1">IFERROR(__xludf.DUMMYFUNCTION("""COMPUTED_VALUE"""),2)</f>
        <v>2</v>
      </c>
      <c r="E9600" s="2">
        <f ca="1">IFERROR(__xludf.DUMMYFUNCTION("""COMPUTED_VALUE"""),1)</f>
        <v>1</v>
      </c>
    </row>
    <row r="9601" spans="1:5" ht="13">
      <c r="A9601" s="8" t="str">
        <f ca="1">IFERROR(__xludf.DUMMYFUNCTION("""COMPUTED_VALUE"""),"Jensen, Joni")</f>
        <v>Jensen, Joni</v>
      </c>
      <c r="B9601" s="3">
        <f ca="1">IFERROR(__xludf.DUMMYFUNCTION("""COMPUTED_VALUE"""),2)</f>
        <v>2</v>
      </c>
      <c r="C9601" s="7">
        <f ca="1">IFERROR(__xludf.DUMMYFUNCTION("""COMPUTED_VALUE"""),2)</f>
        <v>2</v>
      </c>
      <c r="D9601" s="8">
        <f ca="1">IFERROR(__xludf.DUMMYFUNCTION("""COMPUTED_VALUE"""),2)</f>
        <v>2</v>
      </c>
      <c r="E9601" s="2">
        <f ca="1">IFERROR(__xludf.DUMMYFUNCTION("""COMPUTED_VALUE"""),1)</f>
        <v>1</v>
      </c>
    </row>
    <row r="9602" spans="1:5" ht="13">
      <c r="A9602" s="8" t="str">
        <f ca="1">IFERROR(__xludf.DUMMYFUNCTION("""COMPUTED_VALUE"""),"Jensen, Michelle")</f>
        <v>Jensen, Michelle</v>
      </c>
      <c r="B9602" s="3">
        <f ca="1">IFERROR(__xludf.DUMMYFUNCTION("""COMPUTED_VALUE"""),2)</f>
        <v>2</v>
      </c>
      <c r="C9602" s="7">
        <f ca="1">IFERROR(__xludf.DUMMYFUNCTION("""COMPUTED_VALUE"""),2)</f>
        <v>2</v>
      </c>
      <c r="D9602" s="8">
        <f ca="1">IFERROR(__xludf.DUMMYFUNCTION("""COMPUTED_VALUE"""),2)</f>
        <v>2</v>
      </c>
      <c r="E9602" s="2">
        <f ca="1">IFERROR(__xludf.DUMMYFUNCTION("""COMPUTED_VALUE"""),1)</f>
        <v>1</v>
      </c>
    </row>
    <row r="9603" spans="1:5" ht="13">
      <c r="A9603" s="2" t="str">
        <f ca="1">IFERROR(__xludf.DUMMYFUNCTION("""COMPUTED_VALUE"""),"Jinosko, Jordan")</f>
        <v>Jinosko, Jordan</v>
      </c>
      <c r="B9603" s="3">
        <f ca="1">IFERROR(__xludf.DUMMYFUNCTION("""COMPUTED_VALUE"""),2)</f>
        <v>2</v>
      </c>
      <c r="C9603" s="7">
        <f ca="1">IFERROR(__xludf.DUMMYFUNCTION("""COMPUTED_VALUE"""),2)</f>
        <v>2</v>
      </c>
      <c r="D9603" s="8">
        <f ca="1">IFERROR(__xludf.DUMMYFUNCTION("""COMPUTED_VALUE"""),2)</f>
        <v>2</v>
      </c>
      <c r="E9603" s="2">
        <f ca="1">IFERROR(__xludf.DUMMYFUNCTION("""COMPUTED_VALUE"""),1)</f>
        <v>1</v>
      </c>
    </row>
    <row r="9604" spans="1:5" ht="13">
      <c r="A9604" s="2" t="str">
        <f ca="1">IFERROR(__xludf.DUMMYFUNCTION("""COMPUTED_VALUE"""),"Johnson, Carol")</f>
        <v>Johnson, Carol</v>
      </c>
      <c r="B9604" s="3">
        <f ca="1">IFERROR(__xludf.DUMMYFUNCTION("""COMPUTED_VALUE"""),2)</f>
        <v>2</v>
      </c>
      <c r="C9604" s="7">
        <f ca="1">IFERROR(__xludf.DUMMYFUNCTION("""COMPUTED_VALUE"""),2)</f>
        <v>2</v>
      </c>
      <c r="D9604" s="8">
        <f ca="1">IFERROR(__xludf.DUMMYFUNCTION("""COMPUTED_VALUE"""),6)</f>
        <v>6</v>
      </c>
      <c r="E9604" s="2">
        <f ca="1">IFERROR(__xludf.DUMMYFUNCTION("""COMPUTED_VALUE"""),2)</f>
        <v>2</v>
      </c>
    </row>
    <row r="9605" spans="1:5" ht="13">
      <c r="A9605" s="8" t="str">
        <f ca="1">IFERROR(__xludf.DUMMYFUNCTION("""COMPUTED_VALUE"""),"Johnson, Carol J.")</f>
        <v>Johnson, Carol J.</v>
      </c>
      <c r="B9605" s="3">
        <f ca="1">IFERROR(__xludf.DUMMYFUNCTION("""COMPUTED_VALUE"""),2)</f>
        <v>2</v>
      </c>
      <c r="C9605" s="7">
        <f ca="1">IFERROR(__xludf.DUMMYFUNCTION("""COMPUTED_VALUE"""),2)</f>
        <v>2</v>
      </c>
      <c r="D9605" s="8">
        <f ca="1">IFERROR(__xludf.DUMMYFUNCTION("""COMPUTED_VALUE"""),2)</f>
        <v>2</v>
      </c>
      <c r="E9605" s="2">
        <f ca="1">IFERROR(__xludf.DUMMYFUNCTION("""COMPUTED_VALUE"""),1)</f>
        <v>1</v>
      </c>
    </row>
    <row r="9606" spans="1:5" ht="13">
      <c r="A9606" s="2" t="str">
        <f ca="1">IFERROR(__xludf.DUMMYFUNCTION("""COMPUTED_VALUE"""),"Johnson, Clair")</f>
        <v>Johnson, Clair</v>
      </c>
      <c r="B9606" s="3">
        <f ca="1">IFERROR(__xludf.DUMMYFUNCTION("""COMPUTED_VALUE"""),2)</f>
        <v>2</v>
      </c>
      <c r="C9606" s="7">
        <f ca="1">IFERROR(__xludf.DUMMYFUNCTION("""COMPUTED_VALUE"""),2)</f>
        <v>2</v>
      </c>
      <c r="D9606" s="8">
        <f ca="1">IFERROR(__xludf.DUMMYFUNCTION("""COMPUTED_VALUE"""),6)</f>
        <v>6</v>
      </c>
      <c r="E9606" s="2">
        <f ca="1">IFERROR(__xludf.DUMMYFUNCTION("""COMPUTED_VALUE"""),2)</f>
        <v>2</v>
      </c>
    </row>
    <row r="9607" spans="1:5" ht="13">
      <c r="A9607" s="2" t="str">
        <f ca="1">IFERROR(__xludf.DUMMYFUNCTION("""COMPUTED_VALUE"""),"Johnson, Mackenzie")</f>
        <v>Johnson, Mackenzie</v>
      </c>
      <c r="B9607" s="3">
        <f ca="1">IFERROR(__xludf.DUMMYFUNCTION("""COMPUTED_VALUE"""),2)</f>
        <v>2</v>
      </c>
      <c r="C9607" s="7">
        <f ca="1">IFERROR(__xludf.DUMMYFUNCTION("""COMPUTED_VALUE"""),2)</f>
        <v>2</v>
      </c>
      <c r="D9607" s="8">
        <f ca="1">IFERROR(__xludf.DUMMYFUNCTION("""COMPUTED_VALUE"""),2)</f>
        <v>2</v>
      </c>
      <c r="E9607" s="2">
        <f ca="1">IFERROR(__xludf.DUMMYFUNCTION("""COMPUTED_VALUE"""),1)</f>
        <v>1</v>
      </c>
    </row>
    <row r="9608" spans="1:5" ht="13">
      <c r="A9608" s="2" t="str">
        <f ca="1">IFERROR(__xludf.DUMMYFUNCTION("""COMPUTED_VALUE"""),"Johnson, Sue")</f>
        <v>Johnson, Sue</v>
      </c>
      <c r="B9608" s="3">
        <f ca="1">IFERROR(__xludf.DUMMYFUNCTION("""COMPUTED_VALUE"""),2)</f>
        <v>2</v>
      </c>
      <c r="C9608" s="7">
        <f ca="1">IFERROR(__xludf.DUMMYFUNCTION("""COMPUTED_VALUE"""),2)</f>
        <v>2</v>
      </c>
      <c r="D9608" s="8">
        <f ca="1">IFERROR(__xludf.DUMMYFUNCTION("""COMPUTED_VALUE"""),2)</f>
        <v>2</v>
      </c>
      <c r="E9608" s="3">
        <f ca="1">IFERROR(__xludf.DUMMYFUNCTION("""COMPUTED_VALUE"""),1)</f>
        <v>1</v>
      </c>
    </row>
    <row r="9609" spans="1:5" ht="13">
      <c r="A9609" s="2" t="str">
        <f ca="1">IFERROR(__xludf.DUMMYFUNCTION("""COMPUTED_VALUE"""),"Johnston Turner, Cynthia")</f>
        <v>Johnston Turner, Cynthia</v>
      </c>
      <c r="B9609" s="2">
        <f ca="1">IFERROR(__xludf.DUMMYFUNCTION("""COMPUTED_VALUE"""),2)</f>
        <v>2</v>
      </c>
      <c r="C9609" s="7">
        <f ca="1">IFERROR(__xludf.DUMMYFUNCTION("""COMPUTED_VALUE"""),2)</f>
        <v>2</v>
      </c>
      <c r="D9609" s="8">
        <f ca="1">IFERROR(__xludf.DUMMYFUNCTION("""COMPUTED_VALUE"""),2)</f>
        <v>2</v>
      </c>
      <c r="E9609" s="2">
        <f ca="1">IFERROR(__xludf.DUMMYFUNCTION("""COMPUTED_VALUE"""),1)</f>
        <v>1</v>
      </c>
    </row>
    <row r="9610" spans="1:5" ht="13">
      <c r="A9610" s="2" t="str">
        <f ca="1">IFERROR(__xludf.DUMMYFUNCTION("""COMPUTED_VALUE"""),"Jolas, Betsy")</f>
        <v>Jolas, Betsy</v>
      </c>
      <c r="B9610" s="3">
        <f ca="1">IFERROR(__xludf.DUMMYFUNCTION("""COMPUTED_VALUE"""),2)</f>
        <v>2</v>
      </c>
      <c r="C9610" s="7">
        <f ca="1">IFERROR(__xludf.DUMMYFUNCTION("""COMPUTED_VALUE"""),2)</f>
        <v>2</v>
      </c>
      <c r="D9610" s="8">
        <f ca="1">IFERROR(__xludf.DUMMYFUNCTION("""COMPUTED_VALUE"""),2)</f>
        <v>2</v>
      </c>
      <c r="E9610" s="2">
        <f ca="1">IFERROR(__xludf.DUMMYFUNCTION("""COMPUTED_VALUE"""),1)</f>
        <v>1</v>
      </c>
    </row>
    <row r="9611" spans="1:5" ht="13">
      <c r="A9611" s="2" t="str">
        <f ca="1">IFERROR(__xludf.DUMMYFUNCTION("""COMPUTED_VALUE"""),"Jones, Christi")</f>
        <v>Jones, Christi</v>
      </c>
      <c r="B9611" s="3">
        <f ca="1">IFERROR(__xludf.DUMMYFUNCTION("""COMPUTED_VALUE"""),2)</f>
        <v>2</v>
      </c>
      <c r="C9611" s="7">
        <f ca="1">IFERROR(__xludf.DUMMYFUNCTION("""COMPUTED_VALUE"""),2)</f>
        <v>2</v>
      </c>
      <c r="D9611" s="8">
        <f ca="1">IFERROR(__xludf.DUMMYFUNCTION("""COMPUTED_VALUE"""),2)</f>
        <v>2</v>
      </c>
      <c r="E9611" s="2">
        <f ca="1">IFERROR(__xludf.DUMMYFUNCTION("""COMPUTED_VALUE"""),1)</f>
        <v>1</v>
      </c>
    </row>
    <row r="9612" spans="1:5" ht="13">
      <c r="A9612" s="8" t="str">
        <f ca="1">IFERROR(__xludf.DUMMYFUNCTION("""COMPUTED_VALUE"""),"Jones, Jill Ann")</f>
        <v>Jones, Jill Ann</v>
      </c>
      <c r="B9612" s="3">
        <f ca="1">IFERROR(__xludf.DUMMYFUNCTION("""COMPUTED_VALUE"""),2)</f>
        <v>2</v>
      </c>
      <c r="C9612" s="7">
        <f ca="1">IFERROR(__xludf.DUMMYFUNCTION("""COMPUTED_VALUE"""),2)</f>
        <v>2</v>
      </c>
      <c r="D9612" s="8">
        <f ca="1">IFERROR(__xludf.DUMMYFUNCTION("""COMPUTED_VALUE"""),6)</f>
        <v>6</v>
      </c>
      <c r="E9612" s="2">
        <f ca="1">IFERROR(__xludf.DUMMYFUNCTION("""COMPUTED_VALUE"""),2)</f>
        <v>2</v>
      </c>
    </row>
    <row r="9613" spans="1:5" ht="13">
      <c r="A9613" s="2" t="str">
        <f ca="1">IFERROR(__xludf.DUMMYFUNCTION("""COMPUTED_VALUE"""),"Jónsdóttir, Thurídur")</f>
        <v>Jónsdóttir, Thurídur</v>
      </c>
      <c r="B9613" s="3">
        <f ca="1">IFERROR(__xludf.DUMMYFUNCTION("""COMPUTED_VALUE"""),2)</f>
        <v>2</v>
      </c>
      <c r="C9613" s="7">
        <f ca="1">IFERROR(__xludf.DUMMYFUNCTION("""COMPUTED_VALUE"""),2)</f>
        <v>2</v>
      </c>
      <c r="D9613" s="8">
        <f ca="1">IFERROR(__xludf.DUMMYFUNCTION("""COMPUTED_VALUE"""),2)</f>
        <v>2</v>
      </c>
      <c r="E9613" s="2">
        <f ca="1">IFERROR(__xludf.DUMMYFUNCTION("""COMPUTED_VALUE"""),1)</f>
        <v>1</v>
      </c>
    </row>
    <row r="9614" spans="1:5" ht="13">
      <c r="A9614" s="2" t="str">
        <f ca="1">IFERROR(__xludf.DUMMYFUNCTION("""COMPUTED_VALUE"""),"Joosten, Heidi")</f>
        <v>Joosten, Heidi</v>
      </c>
      <c r="B9614" s="3">
        <f ca="1">IFERROR(__xludf.DUMMYFUNCTION("""COMPUTED_VALUE"""),2)</f>
        <v>2</v>
      </c>
      <c r="C9614" s="7">
        <f ca="1">IFERROR(__xludf.DUMMYFUNCTION("""COMPUTED_VALUE"""),2)</f>
        <v>2</v>
      </c>
      <c r="D9614" s="8">
        <f ca="1">IFERROR(__xludf.DUMMYFUNCTION("""COMPUTED_VALUE"""),2)</f>
        <v>2</v>
      </c>
      <c r="E9614" s="2">
        <f ca="1">IFERROR(__xludf.DUMMYFUNCTION("""COMPUTED_VALUE"""),1)</f>
        <v>1</v>
      </c>
    </row>
    <row r="9615" spans="1:5" ht="13">
      <c r="A9615" s="2" t="str">
        <f ca="1">IFERROR(__xludf.DUMMYFUNCTION("""COMPUTED_VALUE"""),"Jordan, Alice")</f>
        <v>Jordan, Alice</v>
      </c>
      <c r="B9615" s="3">
        <f ca="1">IFERROR(__xludf.DUMMYFUNCTION("""COMPUTED_VALUE"""),2)</f>
        <v>2</v>
      </c>
      <c r="C9615" s="7">
        <f ca="1">IFERROR(__xludf.DUMMYFUNCTION("""COMPUTED_VALUE"""),2)</f>
        <v>2</v>
      </c>
      <c r="D9615" s="8">
        <f ca="1">IFERROR(__xludf.DUMMYFUNCTION("""COMPUTED_VALUE"""),6)</f>
        <v>6</v>
      </c>
      <c r="E9615" s="2">
        <f ca="1">IFERROR(__xludf.DUMMYFUNCTION("""COMPUTED_VALUE"""),2)</f>
        <v>2</v>
      </c>
    </row>
    <row r="9616" spans="1:5" ht="13">
      <c r="A9616" s="2" t="str">
        <f ca="1">IFERROR(__xludf.DUMMYFUNCTION("""COMPUTED_VALUE"""),"Joyce, Molly")</f>
        <v>Joyce, Molly</v>
      </c>
      <c r="B9616" s="3">
        <f ca="1">IFERROR(__xludf.DUMMYFUNCTION("""COMPUTED_VALUE"""),2)</f>
        <v>2</v>
      </c>
      <c r="C9616" s="7">
        <f ca="1">IFERROR(__xludf.DUMMYFUNCTION("""COMPUTED_VALUE"""),2)</f>
        <v>2</v>
      </c>
      <c r="D9616" s="8">
        <f ca="1">IFERROR(__xludf.DUMMYFUNCTION("""COMPUTED_VALUE"""),2)</f>
        <v>2</v>
      </c>
      <c r="E9616" s="2">
        <f ca="1">IFERROR(__xludf.DUMMYFUNCTION("""COMPUTED_VALUE"""),1)</f>
        <v>1</v>
      </c>
    </row>
    <row r="9617" spans="1:5" ht="13">
      <c r="A9617" s="2" t="str">
        <f ca="1">IFERROR(__xludf.DUMMYFUNCTION("""COMPUTED_VALUE"""),"Julseth-Heinrich, Jeanne")</f>
        <v>Julseth-Heinrich, Jeanne</v>
      </c>
      <c r="B9617" s="3">
        <f ca="1">IFERROR(__xludf.DUMMYFUNCTION("""COMPUTED_VALUE"""),2)</f>
        <v>2</v>
      </c>
      <c r="C9617" s="7">
        <f ca="1">IFERROR(__xludf.DUMMYFUNCTION("""COMPUTED_VALUE"""),2)</f>
        <v>2</v>
      </c>
      <c r="D9617" s="8">
        <f ca="1">IFERROR(__xludf.DUMMYFUNCTION("""COMPUTED_VALUE"""),2)</f>
        <v>2</v>
      </c>
      <c r="E9617" s="2">
        <f ca="1">IFERROR(__xludf.DUMMYFUNCTION("""COMPUTED_VALUE"""),1)</f>
        <v>1</v>
      </c>
    </row>
    <row r="9618" spans="1:5" ht="13">
      <c r="A9618" s="2" t="str">
        <f ca="1">IFERROR(__xludf.DUMMYFUNCTION("""COMPUTED_VALUE"""),"Kahler, Elyse")</f>
        <v>Kahler, Elyse</v>
      </c>
      <c r="B9618" s="3">
        <f ca="1">IFERROR(__xludf.DUMMYFUNCTION("""COMPUTED_VALUE"""),2)</f>
        <v>2</v>
      </c>
      <c r="C9618" s="7">
        <f ca="1">IFERROR(__xludf.DUMMYFUNCTION("""COMPUTED_VALUE"""),2)</f>
        <v>2</v>
      </c>
      <c r="D9618" s="8">
        <f ca="1">IFERROR(__xludf.DUMMYFUNCTION("""COMPUTED_VALUE"""),2)</f>
        <v>2</v>
      </c>
      <c r="E9618" s="2">
        <f ca="1">IFERROR(__xludf.DUMMYFUNCTION("""COMPUTED_VALUE"""),1)</f>
        <v>1</v>
      </c>
    </row>
    <row r="9619" spans="1:5" ht="13">
      <c r="A9619" s="8" t="str">
        <f ca="1">IFERROR(__xludf.DUMMYFUNCTION("""COMPUTED_VALUE"""),"Kahmann, Chelsey")</f>
        <v>Kahmann, Chelsey</v>
      </c>
      <c r="B9619" s="3">
        <f ca="1">IFERROR(__xludf.DUMMYFUNCTION("""COMPUTED_VALUE"""),2)</f>
        <v>2</v>
      </c>
      <c r="C9619" s="7">
        <f ca="1">IFERROR(__xludf.DUMMYFUNCTION("""COMPUTED_VALUE"""),2)</f>
        <v>2</v>
      </c>
      <c r="D9619" s="8">
        <f ca="1">IFERROR(__xludf.DUMMYFUNCTION("""COMPUTED_VALUE"""),2)</f>
        <v>2</v>
      </c>
      <c r="E9619" s="2">
        <f ca="1">IFERROR(__xludf.DUMMYFUNCTION("""COMPUTED_VALUE"""),1)</f>
        <v>1</v>
      </c>
    </row>
    <row r="9620" spans="1:5" ht="13">
      <c r="A9620" s="2" t="str">
        <f ca="1">IFERROR(__xludf.DUMMYFUNCTION("""COMPUTED_VALUE"""),"Kakis Serper, Laura / Serper, Arkadi")</f>
        <v>Kakis Serper, Laura / Serper, Arkadi</v>
      </c>
      <c r="B9620" s="3">
        <f ca="1">IFERROR(__xludf.DUMMYFUNCTION("""COMPUTED_VALUE"""),2)</f>
        <v>2</v>
      </c>
      <c r="C9620" s="7">
        <f ca="1">IFERROR(__xludf.DUMMYFUNCTION("""COMPUTED_VALUE"""),2)</f>
        <v>2</v>
      </c>
      <c r="D9620" s="8">
        <f ca="1">IFERROR(__xludf.DUMMYFUNCTION("""COMPUTED_VALUE"""),2)</f>
        <v>2</v>
      </c>
      <c r="E9620" s="2">
        <f ca="1">IFERROR(__xludf.DUMMYFUNCTION("""COMPUTED_VALUE"""),1)</f>
        <v>1</v>
      </c>
    </row>
    <row r="9621" spans="1:5" ht="13">
      <c r="A9621" s="2" t="str">
        <f ca="1">IFERROR(__xludf.DUMMYFUNCTION("""COMPUTED_VALUE"""),"Kaldor, Connie")</f>
        <v>Kaldor, Connie</v>
      </c>
      <c r="B9621" s="2">
        <f ca="1">IFERROR(__xludf.DUMMYFUNCTION("""COMPUTED_VALUE"""),2)</f>
        <v>2</v>
      </c>
      <c r="C9621" s="7">
        <f ca="1">IFERROR(__xludf.DUMMYFUNCTION("""COMPUTED_VALUE"""),2)</f>
        <v>2</v>
      </c>
      <c r="D9621" s="8">
        <f ca="1">IFERROR(__xludf.DUMMYFUNCTION("""COMPUTED_VALUE"""),2)</f>
        <v>2</v>
      </c>
      <c r="E9621" s="2">
        <f ca="1">IFERROR(__xludf.DUMMYFUNCTION("""COMPUTED_VALUE"""),1)</f>
        <v>1</v>
      </c>
    </row>
    <row r="9622" spans="1:5" ht="13">
      <c r="A9622" s="8" t="str">
        <f ca="1">IFERROR(__xludf.DUMMYFUNCTION("""COMPUTED_VALUE"""),"Kandas, Sandee")</f>
        <v>Kandas, Sandee</v>
      </c>
      <c r="B9622" s="3">
        <f ca="1">IFERROR(__xludf.DUMMYFUNCTION("""COMPUTED_VALUE"""),2)</f>
        <v>2</v>
      </c>
      <c r="C9622" s="7">
        <f ca="1">IFERROR(__xludf.DUMMYFUNCTION("""COMPUTED_VALUE"""),2)</f>
        <v>2</v>
      </c>
      <c r="D9622" s="8">
        <f ca="1">IFERROR(__xludf.DUMMYFUNCTION("""COMPUTED_VALUE"""),2)</f>
        <v>2</v>
      </c>
      <c r="E9622" s="2">
        <f ca="1">IFERROR(__xludf.DUMMYFUNCTION("""COMPUTED_VALUE"""),1)</f>
        <v>1</v>
      </c>
    </row>
    <row r="9623" spans="1:5" ht="13">
      <c r="A9623" s="2" t="str">
        <f ca="1">IFERROR(__xludf.DUMMYFUNCTION("""COMPUTED_VALUE"""),"Kaprálová, Vítězslava")</f>
        <v>Kaprálová, Vítězslava</v>
      </c>
      <c r="B9623" s="3">
        <f ca="1">IFERROR(__xludf.DUMMYFUNCTION("""COMPUTED_VALUE"""),2)</f>
        <v>2</v>
      </c>
      <c r="C9623" s="7">
        <f ca="1">IFERROR(__xludf.DUMMYFUNCTION("""COMPUTED_VALUE"""),2)</f>
        <v>2</v>
      </c>
      <c r="D9623" s="8">
        <f ca="1">IFERROR(__xludf.DUMMYFUNCTION("""COMPUTED_VALUE"""),6)</f>
        <v>6</v>
      </c>
      <c r="E9623" s="2">
        <f ca="1">IFERROR(__xludf.DUMMYFUNCTION("""COMPUTED_VALUE"""),2)</f>
        <v>2</v>
      </c>
    </row>
    <row r="9624" spans="1:5" ht="13">
      <c r="A9624" s="2" t="str">
        <f ca="1">IFERROR(__xludf.DUMMYFUNCTION("""COMPUTED_VALUE"""),"Karpman, Laura")</f>
        <v>Karpman, Laura</v>
      </c>
      <c r="B9624" s="3">
        <f ca="1">IFERROR(__xludf.DUMMYFUNCTION("""COMPUTED_VALUE"""),2)</f>
        <v>2</v>
      </c>
      <c r="C9624" s="7">
        <f ca="1">IFERROR(__xludf.DUMMYFUNCTION("""COMPUTED_VALUE"""),2)</f>
        <v>2</v>
      </c>
      <c r="D9624" s="8">
        <f ca="1">IFERROR(__xludf.DUMMYFUNCTION("""COMPUTED_VALUE"""),2)</f>
        <v>2</v>
      </c>
      <c r="E9624" s="2">
        <f ca="1">IFERROR(__xludf.DUMMYFUNCTION("""COMPUTED_VALUE"""),1)</f>
        <v>1</v>
      </c>
    </row>
    <row r="9625" spans="1:5" ht="13">
      <c r="A9625" s="2" t="str">
        <f ca="1">IFERROR(__xludf.DUMMYFUNCTION("""COMPUTED_VALUE"""),"Kashperova, Leokadiya")</f>
        <v>Kashperova, Leokadiya</v>
      </c>
      <c r="B9625" s="3">
        <f ca="1">IFERROR(__xludf.DUMMYFUNCTION("""COMPUTED_VALUE"""),2)</f>
        <v>2</v>
      </c>
      <c r="C9625" s="7">
        <f ca="1">IFERROR(__xludf.DUMMYFUNCTION("""COMPUTED_VALUE"""),2)</f>
        <v>2</v>
      </c>
      <c r="D9625" s="8">
        <f ca="1">IFERROR(__xludf.DUMMYFUNCTION("""COMPUTED_VALUE"""),6)</f>
        <v>6</v>
      </c>
      <c r="E9625" s="2">
        <f ca="1">IFERROR(__xludf.DUMMYFUNCTION("""COMPUTED_VALUE"""),2)</f>
        <v>2</v>
      </c>
    </row>
    <row r="9626" spans="1:5" ht="13">
      <c r="A9626" s="2" t="str">
        <f ca="1">IFERROR(__xludf.DUMMYFUNCTION("""COMPUTED_VALUE"""),"Kats-Chernin, Elena")</f>
        <v>Kats-Chernin, Elena</v>
      </c>
      <c r="B9626" s="3">
        <f ca="1">IFERROR(__xludf.DUMMYFUNCTION("""COMPUTED_VALUE"""),2)</f>
        <v>2</v>
      </c>
      <c r="C9626" s="7">
        <f ca="1">IFERROR(__xludf.DUMMYFUNCTION("""COMPUTED_VALUE"""),2)</f>
        <v>2</v>
      </c>
      <c r="D9626" s="8">
        <f ca="1">IFERROR(__xludf.DUMMYFUNCTION("""COMPUTED_VALUE"""),2)</f>
        <v>2</v>
      </c>
      <c r="E9626" s="2">
        <f ca="1">IFERROR(__xludf.DUMMYFUNCTION("""COMPUTED_VALUE"""),1)</f>
        <v>1</v>
      </c>
    </row>
    <row r="9627" spans="1:5" ht="13">
      <c r="A9627" s="8" t="str">
        <f ca="1">IFERROR(__xludf.DUMMYFUNCTION("""COMPUTED_VALUE"""),"Katz-Chernin, Elena")</f>
        <v>Katz-Chernin, Elena</v>
      </c>
      <c r="B9627" s="3">
        <f ca="1">IFERROR(__xludf.DUMMYFUNCTION("""COMPUTED_VALUE"""),2)</f>
        <v>2</v>
      </c>
      <c r="C9627" s="7">
        <f ca="1">IFERROR(__xludf.DUMMYFUNCTION("""COMPUTED_VALUE"""),2)</f>
        <v>2</v>
      </c>
      <c r="D9627" s="8">
        <f ca="1">IFERROR(__xludf.DUMMYFUNCTION("""COMPUTED_VALUE"""),2)</f>
        <v>2</v>
      </c>
      <c r="E9627" s="2">
        <f ca="1">IFERROR(__xludf.DUMMYFUNCTION("""COMPUTED_VALUE"""),1)</f>
        <v>1</v>
      </c>
    </row>
    <row r="9628" spans="1:5" ht="13">
      <c r="A9628" s="2" t="str">
        <f ca="1">IFERROR(__xludf.DUMMYFUNCTION("""COMPUTED_VALUE"""),"Katz, Judith")</f>
        <v>Katz, Judith</v>
      </c>
      <c r="B9628" s="3">
        <f ca="1">IFERROR(__xludf.DUMMYFUNCTION("""COMPUTED_VALUE"""),2)</f>
        <v>2</v>
      </c>
      <c r="C9628" s="7">
        <f ca="1">IFERROR(__xludf.DUMMYFUNCTION("""COMPUTED_VALUE"""),2)</f>
        <v>2</v>
      </c>
      <c r="D9628" s="8">
        <f ca="1">IFERROR(__xludf.DUMMYFUNCTION("""COMPUTED_VALUE"""),2)</f>
        <v>2</v>
      </c>
      <c r="E9628" s="2">
        <f ca="1">IFERROR(__xludf.DUMMYFUNCTION("""COMPUTED_VALUE"""),1)</f>
        <v>1</v>
      </c>
    </row>
    <row r="9629" spans="1:5" ht="13">
      <c r="A9629" s="2" t="str">
        <f ca="1">IFERROR(__xludf.DUMMYFUNCTION("""COMPUTED_VALUE"""),"Kavasch, Deborah")</f>
        <v>Kavasch, Deborah</v>
      </c>
      <c r="B9629" s="3">
        <f ca="1">IFERROR(__xludf.DUMMYFUNCTION("""COMPUTED_VALUE"""),2)</f>
        <v>2</v>
      </c>
      <c r="C9629" s="7">
        <f ca="1">IFERROR(__xludf.DUMMYFUNCTION("""COMPUTED_VALUE"""),2)</f>
        <v>2</v>
      </c>
      <c r="D9629" s="8">
        <f ca="1">IFERROR(__xludf.DUMMYFUNCTION("""COMPUTED_VALUE"""),2)</f>
        <v>2</v>
      </c>
      <c r="E9629" s="2">
        <f ca="1">IFERROR(__xludf.DUMMYFUNCTION("""COMPUTED_VALUE"""),1)</f>
        <v>1</v>
      </c>
    </row>
    <row r="9630" spans="1:5" ht="13">
      <c r="A9630" s="2" t="str">
        <f ca="1">IFERROR(__xludf.DUMMYFUNCTION("""COMPUTED_VALUE"""),"Kearns, Ann")</f>
        <v>Kearns, Ann</v>
      </c>
      <c r="B9630" s="3">
        <f ca="1">IFERROR(__xludf.DUMMYFUNCTION("""COMPUTED_VALUE"""),2)</f>
        <v>2</v>
      </c>
      <c r="C9630" s="7">
        <f ca="1">IFERROR(__xludf.DUMMYFUNCTION("""COMPUTED_VALUE"""),2)</f>
        <v>2</v>
      </c>
      <c r="D9630" s="8">
        <f ca="1">IFERROR(__xludf.DUMMYFUNCTION("""COMPUTED_VALUE"""),6)</f>
        <v>6</v>
      </c>
      <c r="E9630" s="2">
        <f ca="1">IFERROR(__xludf.DUMMYFUNCTION("""COMPUTED_VALUE"""),2)</f>
        <v>2</v>
      </c>
    </row>
    <row r="9631" spans="1:5" ht="13">
      <c r="A9631" s="2" t="str">
        <f ca="1">IFERROR(__xludf.DUMMYFUNCTION("""COMPUTED_VALUE"""),"Keating, Ellen")</f>
        <v>Keating, Ellen</v>
      </c>
      <c r="B9631" s="3">
        <f ca="1">IFERROR(__xludf.DUMMYFUNCTION("""COMPUTED_VALUE"""),2)</f>
        <v>2</v>
      </c>
      <c r="C9631" s="7">
        <f ca="1">IFERROR(__xludf.DUMMYFUNCTION("""COMPUTED_VALUE"""),2)</f>
        <v>2</v>
      </c>
      <c r="D9631" s="8">
        <f ca="1">IFERROR(__xludf.DUMMYFUNCTION("""COMPUTED_VALUE"""),2)</f>
        <v>2</v>
      </c>
      <c r="E9631" s="2">
        <f ca="1">IFERROR(__xludf.DUMMYFUNCTION("""COMPUTED_VALUE"""),1)</f>
        <v>1</v>
      </c>
    </row>
    <row r="9632" spans="1:5" ht="13">
      <c r="A9632" s="2" t="str">
        <f ca="1">IFERROR(__xludf.DUMMYFUNCTION("""COMPUTED_VALUE"""),"Keen, Marta")</f>
        <v>Keen, Marta</v>
      </c>
      <c r="B9632" s="3">
        <f ca="1">IFERROR(__xludf.DUMMYFUNCTION("""COMPUTED_VALUE"""),2)</f>
        <v>2</v>
      </c>
      <c r="C9632" s="7">
        <f ca="1">IFERROR(__xludf.DUMMYFUNCTION("""COMPUTED_VALUE"""),2)</f>
        <v>2</v>
      </c>
      <c r="D9632" s="8">
        <f ca="1">IFERROR(__xludf.DUMMYFUNCTION("""COMPUTED_VALUE"""),2)</f>
        <v>2</v>
      </c>
      <c r="E9632" s="2">
        <f ca="1">IFERROR(__xludf.DUMMYFUNCTION("""COMPUTED_VALUE"""),1)</f>
        <v>1</v>
      </c>
    </row>
    <row r="9633" spans="1:5" ht="13">
      <c r="A9633" s="2" t="str">
        <f ca="1">IFERROR(__xludf.DUMMYFUNCTION("""COMPUTED_VALUE"""),"Keeton-Howard, Erin")</f>
        <v>Keeton-Howard, Erin</v>
      </c>
      <c r="B9633" s="2">
        <f ca="1">IFERROR(__xludf.DUMMYFUNCTION("""COMPUTED_VALUE"""),2)</f>
        <v>2</v>
      </c>
      <c r="C9633" s="7">
        <f ca="1">IFERROR(__xludf.DUMMYFUNCTION("""COMPUTED_VALUE"""),2)</f>
        <v>2</v>
      </c>
      <c r="D9633" s="8">
        <f ca="1">IFERROR(__xludf.DUMMYFUNCTION("""COMPUTED_VALUE"""),2)</f>
        <v>2</v>
      </c>
      <c r="E9633" s="2">
        <f ca="1">IFERROR(__xludf.DUMMYFUNCTION("""COMPUTED_VALUE"""),1)</f>
        <v>1</v>
      </c>
    </row>
    <row r="9634" spans="1:5" ht="13">
      <c r="A9634" s="8" t="str">
        <f ca="1">IFERROR(__xludf.DUMMYFUNCTION("""COMPUTED_VALUE"""),"Kelley, Audrey")</f>
        <v>Kelley, Audrey</v>
      </c>
      <c r="B9634" s="3">
        <f ca="1">IFERROR(__xludf.DUMMYFUNCTION("""COMPUTED_VALUE"""),2)</f>
        <v>2</v>
      </c>
      <c r="C9634" s="7">
        <f ca="1">IFERROR(__xludf.DUMMYFUNCTION("""COMPUTED_VALUE"""),2)</f>
        <v>2</v>
      </c>
      <c r="D9634" s="8">
        <f ca="1">IFERROR(__xludf.DUMMYFUNCTION("""COMPUTED_VALUE"""),2)</f>
        <v>2</v>
      </c>
      <c r="E9634" s="2">
        <f ca="1">IFERROR(__xludf.DUMMYFUNCTION("""COMPUTED_VALUE"""),1)</f>
        <v>1</v>
      </c>
    </row>
    <row r="9635" spans="1:5" ht="13">
      <c r="A9635" s="2" t="str">
        <f ca="1">IFERROR(__xludf.DUMMYFUNCTION("""COMPUTED_VALUE"""),"Kelley, Carol")</f>
        <v>Kelley, Carol</v>
      </c>
      <c r="B9635" s="3">
        <f ca="1">IFERROR(__xludf.DUMMYFUNCTION("""COMPUTED_VALUE"""),2)</f>
        <v>2</v>
      </c>
      <c r="C9635" s="7">
        <f ca="1">IFERROR(__xludf.DUMMYFUNCTION("""COMPUTED_VALUE"""),2)</f>
        <v>2</v>
      </c>
      <c r="D9635" s="8">
        <f ca="1">IFERROR(__xludf.DUMMYFUNCTION("""COMPUTED_VALUE"""),2)</f>
        <v>2</v>
      </c>
      <c r="E9635" s="2">
        <f ca="1">IFERROR(__xludf.DUMMYFUNCTION("""COMPUTED_VALUE"""),1)</f>
        <v>1</v>
      </c>
    </row>
    <row r="9636" spans="1:5" ht="13">
      <c r="A9636" s="2" t="str">
        <f ca="1">IFERROR(__xludf.DUMMYFUNCTION("""COMPUTED_VALUE"""),"Kemp, Helen")</f>
        <v>Kemp, Helen</v>
      </c>
      <c r="B9636" s="3">
        <f ca="1">IFERROR(__xludf.DUMMYFUNCTION("""COMPUTED_VALUE"""),2)</f>
        <v>2</v>
      </c>
      <c r="C9636" s="7">
        <f ca="1">IFERROR(__xludf.DUMMYFUNCTION("""COMPUTED_VALUE"""),2)</f>
        <v>2</v>
      </c>
      <c r="D9636" s="8">
        <f ca="1">IFERROR(__xludf.DUMMYFUNCTION("""COMPUTED_VALUE"""),6)</f>
        <v>6</v>
      </c>
      <c r="E9636" s="2">
        <f ca="1">IFERROR(__xludf.DUMMYFUNCTION("""COMPUTED_VALUE"""),2)</f>
        <v>2</v>
      </c>
    </row>
    <row r="9637" spans="1:5" ht="13">
      <c r="A9637" s="2" t="str">
        <f ca="1">IFERROR(__xludf.DUMMYFUNCTION("""COMPUTED_VALUE"""),"Kennedy, Marjory")</f>
        <v>Kennedy, Marjory</v>
      </c>
      <c r="B9637" s="3">
        <f ca="1">IFERROR(__xludf.DUMMYFUNCTION("""COMPUTED_VALUE"""),2)</f>
        <v>2</v>
      </c>
      <c r="C9637" s="7">
        <f ca="1">IFERROR(__xludf.DUMMYFUNCTION("""COMPUTED_VALUE"""),2)</f>
        <v>2</v>
      </c>
      <c r="D9637" s="8">
        <f ca="1">IFERROR(__xludf.DUMMYFUNCTION("""COMPUTED_VALUE"""),6)</f>
        <v>6</v>
      </c>
      <c r="E9637" s="2">
        <f ca="1">IFERROR(__xludf.DUMMYFUNCTION("""COMPUTED_VALUE"""),2)</f>
        <v>2</v>
      </c>
    </row>
    <row r="9638" spans="1:5" ht="13">
      <c r="A9638" s="2" t="str">
        <f ca="1">IFERROR(__xludf.DUMMYFUNCTION("""COMPUTED_VALUE"""),"Kenney, Laura")</f>
        <v>Kenney, Laura</v>
      </c>
      <c r="B9638" s="3">
        <f ca="1">IFERROR(__xludf.DUMMYFUNCTION("""COMPUTED_VALUE"""),2)</f>
        <v>2</v>
      </c>
      <c r="C9638" s="7">
        <f ca="1">IFERROR(__xludf.DUMMYFUNCTION("""COMPUTED_VALUE"""),2)</f>
        <v>2</v>
      </c>
      <c r="D9638" s="8">
        <f ca="1">IFERROR(__xludf.DUMMYFUNCTION("""COMPUTED_VALUE"""),2)</f>
        <v>2</v>
      </c>
      <c r="E9638" s="2">
        <f ca="1">IFERROR(__xludf.DUMMYFUNCTION("""COMPUTED_VALUE"""),1)</f>
        <v>1</v>
      </c>
    </row>
    <row r="9639" spans="1:5" ht="13">
      <c r="A9639" s="2" t="str">
        <f ca="1">IFERROR(__xludf.DUMMYFUNCTION("""COMPUTED_VALUE"""),"Kepley, Angela")</f>
        <v>Kepley, Angela</v>
      </c>
      <c r="B9639" s="3">
        <f ca="1">IFERROR(__xludf.DUMMYFUNCTION("""COMPUTED_VALUE"""),2)</f>
        <v>2</v>
      </c>
      <c r="C9639" s="7">
        <f ca="1">IFERROR(__xludf.DUMMYFUNCTION("""COMPUTED_VALUE"""),2)</f>
        <v>2</v>
      </c>
      <c r="D9639" s="8">
        <f ca="1">IFERROR(__xludf.DUMMYFUNCTION("""COMPUTED_VALUE"""),2)</f>
        <v>2</v>
      </c>
      <c r="E9639" s="2">
        <f ca="1">IFERROR(__xludf.DUMMYFUNCTION("""COMPUTED_VALUE"""),1)</f>
        <v>1</v>
      </c>
    </row>
    <row r="9640" spans="1:5" ht="13">
      <c r="A9640" s="2" t="str">
        <f ca="1">IFERROR(__xludf.DUMMYFUNCTION("""COMPUTED_VALUE"""),"Kernohan, Linda")</f>
        <v>Kernohan, Linda</v>
      </c>
      <c r="B9640" s="3">
        <f ca="1">IFERROR(__xludf.DUMMYFUNCTION("""COMPUTED_VALUE"""),2)</f>
        <v>2</v>
      </c>
      <c r="C9640" s="7">
        <f ca="1">IFERROR(__xludf.DUMMYFUNCTION("""COMPUTED_VALUE"""),2)</f>
        <v>2</v>
      </c>
      <c r="D9640" s="8">
        <f ca="1">IFERROR(__xludf.DUMMYFUNCTION("""COMPUTED_VALUE"""),2)</f>
        <v>2</v>
      </c>
      <c r="E9640" s="2">
        <f ca="1">IFERROR(__xludf.DUMMYFUNCTION("""COMPUTED_VALUE"""),1)</f>
        <v>1</v>
      </c>
    </row>
    <row r="9641" spans="1:5" ht="13">
      <c r="A9641" s="2" t="str">
        <f ca="1">IFERROR(__xludf.DUMMYFUNCTION("""COMPUTED_VALUE"""),"Kerr, Anita")</f>
        <v>Kerr, Anita</v>
      </c>
      <c r="B9641" s="3">
        <f ca="1">IFERROR(__xludf.DUMMYFUNCTION("""COMPUTED_VALUE"""),2)</f>
        <v>2</v>
      </c>
      <c r="C9641" s="7">
        <f ca="1">IFERROR(__xludf.DUMMYFUNCTION("""COMPUTED_VALUE"""),2)</f>
        <v>2</v>
      </c>
      <c r="D9641" s="8">
        <f ca="1">IFERROR(__xludf.DUMMYFUNCTION("""COMPUTED_VALUE"""),2)</f>
        <v>2</v>
      </c>
      <c r="E9641" s="2">
        <f ca="1">IFERROR(__xludf.DUMMYFUNCTION("""COMPUTED_VALUE"""),1)</f>
        <v>1</v>
      </c>
    </row>
    <row r="9642" spans="1:5" ht="13">
      <c r="A9642" s="2" t="str">
        <f ca="1">IFERROR(__xludf.DUMMYFUNCTION("""COMPUTED_VALUE"""),"Kieffer, Olivia")</f>
        <v>Kieffer, Olivia</v>
      </c>
      <c r="B9642" s="3">
        <f ca="1">IFERROR(__xludf.DUMMYFUNCTION("""COMPUTED_VALUE"""),2)</f>
        <v>2</v>
      </c>
      <c r="C9642" s="7">
        <f ca="1">IFERROR(__xludf.DUMMYFUNCTION("""COMPUTED_VALUE"""),2)</f>
        <v>2</v>
      </c>
      <c r="D9642" s="8">
        <f ca="1">IFERROR(__xludf.DUMMYFUNCTION("""COMPUTED_VALUE"""),2)</f>
        <v>2</v>
      </c>
      <c r="E9642" s="2">
        <f ca="1">IFERROR(__xludf.DUMMYFUNCTION("""COMPUTED_VALUE"""),1)</f>
        <v>1</v>
      </c>
    </row>
    <row r="9643" spans="1:5" ht="13">
      <c r="A9643" s="2" t="str">
        <f ca="1">IFERROR(__xludf.DUMMYFUNCTION("""COMPUTED_VALUE"""),"Kilstofte, Anne C.")</f>
        <v>Kilstofte, Anne C.</v>
      </c>
      <c r="B9643" s="3">
        <f ca="1">IFERROR(__xludf.DUMMYFUNCTION("""COMPUTED_VALUE"""),2)</f>
        <v>2</v>
      </c>
      <c r="C9643" s="7">
        <f ca="1">IFERROR(__xludf.DUMMYFUNCTION("""COMPUTED_VALUE"""),2)</f>
        <v>2</v>
      </c>
      <c r="D9643" s="8">
        <f ca="1">IFERROR(__xludf.DUMMYFUNCTION("""COMPUTED_VALUE"""),2)</f>
        <v>2</v>
      </c>
      <c r="E9643" s="2">
        <f ca="1">IFERROR(__xludf.DUMMYFUNCTION("""COMPUTED_VALUE"""),1)</f>
        <v>1</v>
      </c>
    </row>
    <row r="9644" spans="1:5" ht="13">
      <c r="A9644" s="2" t="str">
        <f ca="1">IFERROR(__xludf.DUMMYFUNCTION("""COMPUTED_VALUE"""),"Kimball, Carol")</f>
        <v>Kimball, Carol</v>
      </c>
      <c r="B9644" s="2">
        <f ca="1">IFERROR(__xludf.DUMMYFUNCTION("""COMPUTED_VALUE"""),2)</f>
        <v>2</v>
      </c>
      <c r="C9644" s="2">
        <f ca="1">IFERROR(__xludf.DUMMYFUNCTION("""COMPUTED_VALUE"""),2)</f>
        <v>2</v>
      </c>
      <c r="D9644" s="8">
        <f ca="1">IFERROR(__xludf.DUMMYFUNCTION("""COMPUTED_VALUE"""),2)</f>
        <v>2</v>
      </c>
      <c r="E9644" s="2">
        <f ca="1">IFERROR(__xludf.DUMMYFUNCTION("""COMPUTED_VALUE"""),1)</f>
        <v>1</v>
      </c>
    </row>
    <row r="9645" spans="1:5" ht="13">
      <c r="A9645" s="2" t="str">
        <f ca="1">IFERROR(__xludf.DUMMYFUNCTION("""COMPUTED_VALUE"""),"Kimes, Janice")</f>
        <v>Kimes, Janice</v>
      </c>
      <c r="B9645" s="3">
        <f ca="1">IFERROR(__xludf.DUMMYFUNCTION("""COMPUTED_VALUE"""),2)</f>
        <v>2</v>
      </c>
      <c r="C9645" s="7">
        <f ca="1">IFERROR(__xludf.DUMMYFUNCTION("""COMPUTED_VALUE"""),2)</f>
        <v>2</v>
      </c>
      <c r="D9645" s="8">
        <f ca="1">IFERROR(__xludf.DUMMYFUNCTION("""COMPUTED_VALUE"""),2)</f>
        <v>2</v>
      </c>
      <c r="E9645" s="2">
        <f ca="1">IFERROR(__xludf.DUMMYFUNCTION("""COMPUTED_VALUE"""),1)</f>
        <v>1</v>
      </c>
    </row>
    <row r="9646" spans="1:5" ht="13">
      <c r="A9646" s="2" t="str">
        <f ca="1">IFERROR(__xludf.DUMMYFUNCTION("""COMPUTED_VALUE"""),"King, Carole / Palmer, David")</f>
        <v>King, Carole / Palmer, David</v>
      </c>
      <c r="B9646" s="3">
        <f ca="1">IFERROR(__xludf.DUMMYFUNCTION("""COMPUTED_VALUE"""),2)</f>
        <v>2</v>
      </c>
      <c r="C9646" s="7">
        <f ca="1">IFERROR(__xludf.DUMMYFUNCTION("""COMPUTED_VALUE"""),2)</f>
        <v>2</v>
      </c>
      <c r="D9646" s="8">
        <f ca="1">IFERROR(__xludf.DUMMYFUNCTION("""COMPUTED_VALUE"""),2)</f>
        <v>2</v>
      </c>
      <c r="E9646" s="2">
        <f ca="1">IFERROR(__xludf.DUMMYFUNCTION("""COMPUTED_VALUE"""),1)</f>
        <v>1</v>
      </c>
    </row>
    <row r="9647" spans="1:5" ht="13">
      <c r="A9647" s="2" t="str">
        <f ca="1">IFERROR(__xludf.DUMMYFUNCTION("""COMPUTED_VALUE"""),"King, Jennifer")</f>
        <v>King, Jennifer</v>
      </c>
      <c r="B9647" s="3">
        <f ca="1">IFERROR(__xludf.DUMMYFUNCTION("""COMPUTED_VALUE"""),2)</f>
        <v>2</v>
      </c>
      <c r="C9647" s="7">
        <f ca="1">IFERROR(__xludf.DUMMYFUNCTION("""COMPUTED_VALUE"""),2)</f>
        <v>2</v>
      </c>
      <c r="D9647" s="8">
        <f ca="1">IFERROR(__xludf.DUMMYFUNCTION("""COMPUTED_VALUE"""),2)</f>
        <v>2</v>
      </c>
      <c r="E9647" s="2">
        <f ca="1">IFERROR(__xludf.DUMMYFUNCTION("""COMPUTED_VALUE"""),1)</f>
        <v>1</v>
      </c>
    </row>
    <row r="9648" spans="1:5" ht="13">
      <c r="A9648" s="8" t="str">
        <f ca="1">IFERROR(__xludf.DUMMYFUNCTION("""COMPUTED_VALUE"""),"King, Kaki")</f>
        <v>King, Kaki</v>
      </c>
      <c r="B9648" s="3">
        <f ca="1">IFERROR(__xludf.DUMMYFUNCTION("""COMPUTED_VALUE"""),2)</f>
        <v>2</v>
      </c>
      <c r="C9648" s="7">
        <f ca="1">IFERROR(__xludf.DUMMYFUNCTION("""COMPUTED_VALUE"""),2)</f>
        <v>2</v>
      </c>
      <c r="D9648" s="8">
        <f ca="1">IFERROR(__xludf.DUMMYFUNCTION("""COMPUTED_VALUE"""),2)</f>
        <v>2</v>
      </c>
      <c r="E9648" s="2">
        <f ca="1">IFERROR(__xludf.DUMMYFUNCTION("""COMPUTED_VALUE"""),1)</f>
        <v>1</v>
      </c>
    </row>
    <row r="9649" spans="1:5" ht="13">
      <c r="A9649" s="2" t="str">
        <f ca="1">IFERROR(__xludf.DUMMYFUNCTION("""COMPUTED_VALUE"""),"King, Margaret")</f>
        <v>King, Margaret</v>
      </c>
      <c r="B9649" s="3">
        <f ca="1">IFERROR(__xludf.DUMMYFUNCTION("""COMPUTED_VALUE"""),2)</f>
        <v>2</v>
      </c>
      <c r="C9649" s="7">
        <f ca="1">IFERROR(__xludf.DUMMYFUNCTION("""COMPUTED_VALUE"""),2)</f>
        <v>2</v>
      </c>
      <c r="D9649" s="8">
        <f ca="1">IFERROR(__xludf.DUMMYFUNCTION("""COMPUTED_VALUE"""),2)</f>
        <v>2</v>
      </c>
      <c r="E9649" s="2">
        <f ca="1">IFERROR(__xludf.DUMMYFUNCTION("""COMPUTED_VALUE"""),1)</f>
        <v>1</v>
      </c>
    </row>
    <row r="9650" spans="1:5" ht="13">
      <c r="A9650" s="2" t="str">
        <f ca="1">IFERROR(__xludf.DUMMYFUNCTION("""COMPUTED_VALUE"""),"Kistler, Vera")</f>
        <v>Kistler, Vera</v>
      </c>
      <c r="B9650" s="3">
        <f ca="1">IFERROR(__xludf.DUMMYFUNCTION("""COMPUTED_VALUE"""),2)</f>
        <v>2</v>
      </c>
      <c r="C9650" s="7">
        <f ca="1">IFERROR(__xludf.DUMMYFUNCTION("""COMPUTED_VALUE"""),2)</f>
        <v>2</v>
      </c>
      <c r="D9650" s="8">
        <f ca="1">IFERROR(__xludf.DUMMYFUNCTION("""COMPUTED_VALUE"""),6)</f>
        <v>6</v>
      </c>
      <c r="E9650" s="2">
        <f ca="1">IFERROR(__xludf.DUMMYFUNCTION("""COMPUTED_VALUE"""),2)</f>
        <v>2</v>
      </c>
    </row>
    <row r="9651" spans="1:5" ht="13">
      <c r="A9651" s="2" t="str">
        <f ca="1">IFERROR(__xludf.DUMMYFUNCTION("""COMPUTED_VALUE"""),"Kite, Suzanne")</f>
        <v>Kite, Suzanne</v>
      </c>
      <c r="B9651" s="2">
        <f ca="1">IFERROR(__xludf.DUMMYFUNCTION("""COMPUTED_VALUE"""),2)</f>
        <v>2</v>
      </c>
      <c r="C9651" s="2">
        <f ca="1">IFERROR(__xludf.DUMMYFUNCTION("""COMPUTED_VALUE"""),2)</f>
        <v>2</v>
      </c>
      <c r="D9651" s="8">
        <f ca="1">IFERROR(__xludf.DUMMYFUNCTION("""COMPUTED_VALUE"""),2)</f>
        <v>2</v>
      </c>
      <c r="E9651" s="2">
        <f ca="1">IFERROR(__xludf.DUMMYFUNCTION("""COMPUTED_VALUE"""),1)</f>
        <v>1</v>
      </c>
    </row>
    <row r="9652" spans="1:5" ht="13">
      <c r="A9652" s="2" t="str">
        <f ca="1">IFERROR(__xludf.DUMMYFUNCTION("""COMPUTED_VALUE"""),"Klontz, Mary Hannah")</f>
        <v>Klontz, Mary Hannah</v>
      </c>
      <c r="B9652" s="3">
        <f ca="1">IFERROR(__xludf.DUMMYFUNCTION("""COMPUTED_VALUE"""),2)</f>
        <v>2</v>
      </c>
      <c r="C9652" s="7">
        <f ca="1">IFERROR(__xludf.DUMMYFUNCTION("""COMPUTED_VALUE"""),2)</f>
        <v>2</v>
      </c>
      <c r="D9652" s="8">
        <f ca="1">IFERROR(__xludf.DUMMYFUNCTION("""COMPUTED_VALUE"""),2)</f>
        <v>2</v>
      </c>
      <c r="E9652" s="2">
        <f ca="1">IFERROR(__xludf.DUMMYFUNCTION("""COMPUTED_VALUE"""),1)</f>
        <v>1</v>
      </c>
    </row>
    <row r="9653" spans="1:5" ht="13">
      <c r="A9653" s="8" t="str">
        <f ca="1">IFERROR(__xludf.DUMMYFUNCTION("""COMPUTED_VALUE"""),"Klouse, Andrea")</f>
        <v>Klouse, Andrea</v>
      </c>
      <c r="B9653" s="3">
        <f ca="1">IFERROR(__xludf.DUMMYFUNCTION("""COMPUTED_VALUE"""),2)</f>
        <v>2</v>
      </c>
      <c r="C9653" s="7">
        <f ca="1">IFERROR(__xludf.DUMMYFUNCTION("""COMPUTED_VALUE"""),2)</f>
        <v>2</v>
      </c>
      <c r="D9653" s="8">
        <f ca="1">IFERROR(__xludf.DUMMYFUNCTION("""COMPUTED_VALUE"""),2)</f>
        <v>2</v>
      </c>
      <c r="E9653" s="2">
        <f ca="1">IFERROR(__xludf.DUMMYFUNCTION("""COMPUTED_VALUE"""),1)</f>
        <v>1</v>
      </c>
    </row>
    <row r="9654" spans="1:5" ht="13">
      <c r="A9654" s="8" t="str">
        <f ca="1">IFERROR(__xludf.DUMMYFUNCTION("""COMPUTED_VALUE"""),"Knight, Sally")</f>
        <v>Knight, Sally</v>
      </c>
      <c r="B9654" s="3">
        <f ca="1">IFERROR(__xludf.DUMMYFUNCTION("""COMPUTED_VALUE"""),2)</f>
        <v>2</v>
      </c>
      <c r="C9654" s="7">
        <f ca="1">IFERROR(__xludf.DUMMYFUNCTION("""COMPUTED_VALUE"""),2)</f>
        <v>2</v>
      </c>
      <c r="D9654" s="8">
        <f ca="1">IFERROR(__xludf.DUMMYFUNCTION("""COMPUTED_VALUE"""),2)</f>
        <v>2</v>
      </c>
      <c r="E9654" s="2">
        <f ca="1">IFERROR(__xludf.DUMMYFUNCTION("""COMPUTED_VALUE"""),1)</f>
        <v>1</v>
      </c>
    </row>
    <row r="9655" spans="1:5" ht="13">
      <c r="A9655" s="8" t="str">
        <f ca="1">IFERROR(__xludf.DUMMYFUNCTION("""COMPUTED_VALUE"""),"Knowles, Julie")</f>
        <v>Knowles, Julie</v>
      </c>
      <c r="B9655" s="3">
        <f ca="1">IFERROR(__xludf.DUMMYFUNCTION("""COMPUTED_VALUE"""),2)</f>
        <v>2</v>
      </c>
      <c r="C9655" s="7">
        <f ca="1">IFERROR(__xludf.DUMMYFUNCTION("""COMPUTED_VALUE"""),2)</f>
        <v>2</v>
      </c>
      <c r="D9655" s="8">
        <f ca="1">IFERROR(__xludf.DUMMYFUNCTION("""COMPUTED_VALUE"""),2)</f>
        <v>2</v>
      </c>
      <c r="E9655" s="2">
        <f ca="1">IFERROR(__xludf.DUMMYFUNCTION("""COMPUTED_VALUE"""),1)</f>
        <v>1</v>
      </c>
    </row>
    <row r="9656" spans="1:5" ht="13">
      <c r="A9656" s="2" t="str">
        <f ca="1">IFERROR(__xludf.DUMMYFUNCTION("""COMPUTED_VALUE"""),"Kochanek, Susan")</f>
        <v>Kochanek, Susan</v>
      </c>
      <c r="B9656" s="3">
        <f ca="1">IFERROR(__xludf.DUMMYFUNCTION("""COMPUTED_VALUE"""),2)</f>
        <v>2</v>
      </c>
      <c r="C9656" s="7">
        <f ca="1">IFERROR(__xludf.DUMMYFUNCTION("""COMPUTED_VALUE"""),2)</f>
        <v>2</v>
      </c>
      <c r="D9656" s="8">
        <f ca="1">IFERROR(__xludf.DUMMYFUNCTION("""COMPUTED_VALUE"""),2)</f>
        <v>2</v>
      </c>
      <c r="E9656" s="2">
        <f ca="1">IFERROR(__xludf.DUMMYFUNCTION("""COMPUTED_VALUE"""),1)</f>
        <v>1</v>
      </c>
    </row>
    <row r="9657" spans="1:5" ht="13">
      <c r="A9657" s="2" t="str">
        <f ca="1">IFERROR(__xludf.DUMMYFUNCTION("""COMPUTED_VALUE"""),"Kocher, Ivy")</f>
        <v>Kocher, Ivy</v>
      </c>
      <c r="B9657" s="2">
        <f ca="1">IFERROR(__xludf.DUMMYFUNCTION("""COMPUTED_VALUE"""),2)</f>
        <v>2</v>
      </c>
      <c r="C9657" s="2">
        <f ca="1">IFERROR(__xludf.DUMMYFUNCTION("""COMPUTED_VALUE"""),2)</f>
        <v>2</v>
      </c>
      <c r="D9657" s="8">
        <f ca="1">IFERROR(__xludf.DUMMYFUNCTION("""COMPUTED_VALUE"""),2)</f>
        <v>2</v>
      </c>
      <c r="E9657" s="2">
        <f ca="1">IFERROR(__xludf.DUMMYFUNCTION("""COMPUTED_VALUE"""),1)</f>
        <v>1</v>
      </c>
    </row>
    <row r="9658" spans="1:5" ht="13">
      <c r="A9658" s="2" t="str">
        <f ca="1">IFERROR(__xludf.DUMMYFUNCTION("""COMPUTED_VALUE"""),"Koffman-Adsit, Noa")</f>
        <v>Koffman-Adsit, Noa</v>
      </c>
      <c r="B9658" s="2">
        <f ca="1">IFERROR(__xludf.DUMMYFUNCTION("""COMPUTED_VALUE"""),2)</f>
        <v>2</v>
      </c>
      <c r="C9658" s="7">
        <f ca="1">IFERROR(__xludf.DUMMYFUNCTION("""COMPUTED_VALUE"""),2)</f>
        <v>2</v>
      </c>
      <c r="D9658" s="8">
        <f ca="1">IFERROR(__xludf.DUMMYFUNCTION("""COMPUTED_VALUE"""),2)</f>
        <v>2</v>
      </c>
      <c r="E9658" s="2">
        <f ca="1">IFERROR(__xludf.DUMMYFUNCTION("""COMPUTED_VALUE"""),1)</f>
        <v>1</v>
      </c>
    </row>
    <row r="9659" spans="1:5" ht="13">
      <c r="A9659" s="8" t="str">
        <f ca="1">IFERROR(__xludf.DUMMYFUNCTION("""COMPUTED_VALUE"""),"Koller, Ingrid")</f>
        <v>Koller, Ingrid</v>
      </c>
      <c r="B9659" s="3">
        <f ca="1">IFERROR(__xludf.DUMMYFUNCTION("""COMPUTED_VALUE"""),2)</f>
        <v>2</v>
      </c>
      <c r="C9659" s="7">
        <f ca="1">IFERROR(__xludf.DUMMYFUNCTION("""COMPUTED_VALUE"""),2)</f>
        <v>2</v>
      </c>
      <c r="D9659" s="8">
        <f ca="1">IFERROR(__xludf.DUMMYFUNCTION("""COMPUTED_VALUE"""),2)</f>
        <v>2</v>
      </c>
      <c r="E9659" s="2">
        <f ca="1">IFERROR(__xludf.DUMMYFUNCTION("""COMPUTED_VALUE"""),1)</f>
        <v>1</v>
      </c>
    </row>
    <row r="9660" spans="1:5" ht="13">
      <c r="A9660" s="8" t="str">
        <f ca="1">IFERROR(__xludf.DUMMYFUNCTION("""COMPUTED_VALUE"""),"Komljenović, Ksenija")</f>
        <v>Komljenović, Ksenija</v>
      </c>
      <c r="B9660" s="3">
        <f ca="1">IFERROR(__xludf.DUMMYFUNCTION("""COMPUTED_VALUE"""),2)</f>
        <v>2</v>
      </c>
      <c r="C9660" s="7">
        <f ca="1">IFERROR(__xludf.DUMMYFUNCTION("""COMPUTED_VALUE"""),2)</f>
        <v>2</v>
      </c>
      <c r="D9660" s="8">
        <f ca="1">IFERROR(__xludf.DUMMYFUNCTION("""COMPUTED_VALUE"""),2)</f>
        <v>2</v>
      </c>
      <c r="E9660" s="2">
        <f ca="1">IFERROR(__xludf.DUMMYFUNCTION("""COMPUTED_VALUE"""),1)</f>
        <v>1</v>
      </c>
    </row>
    <row r="9661" spans="1:5" ht="13">
      <c r="A9661" s="2" t="str">
        <f ca="1">IFERROR(__xludf.DUMMYFUNCTION("""COMPUTED_VALUE"""),"Komschlies, Chelsea")</f>
        <v>Komschlies, Chelsea</v>
      </c>
      <c r="B9661" s="3">
        <f ca="1">IFERROR(__xludf.DUMMYFUNCTION("""COMPUTED_VALUE"""),2)</f>
        <v>2</v>
      </c>
      <c r="C9661" s="7">
        <f ca="1">IFERROR(__xludf.DUMMYFUNCTION("""COMPUTED_VALUE"""),2)</f>
        <v>2</v>
      </c>
      <c r="D9661" s="8">
        <f ca="1">IFERROR(__xludf.DUMMYFUNCTION("""COMPUTED_VALUE"""),2)</f>
        <v>2</v>
      </c>
      <c r="E9661" s="2">
        <f ca="1">IFERROR(__xludf.DUMMYFUNCTION("""COMPUTED_VALUE"""),1)</f>
        <v>1</v>
      </c>
    </row>
    <row r="9662" spans="1:5" ht="13">
      <c r="A9662" s="2" t="str">
        <f ca="1">IFERROR(__xludf.DUMMYFUNCTION("""COMPUTED_VALUE"""),"Koppel, Mary Montgomery")</f>
        <v>Koppel, Mary Montgomery</v>
      </c>
      <c r="B9662" s="3">
        <f ca="1">IFERROR(__xludf.DUMMYFUNCTION("""COMPUTED_VALUE"""),2)</f>
        <v>2</v>
      </c>
      <c r="C9662" s="7">
        <f ca="1">IFERROR(__xludf.DUMMYFUNCTION("""COMPUTED_VALUE"""),2)</f>
        <v>2</v>
      </c>
      <c r="D9662" s="8">
        <f ca="1">IFERROR(__xludf.DUMMYFUNCTION("""COMPUTED_VALUE"""),2)</f>
        <v>2</v>
      </c>
      <c r="E9662" s="2">
        <f ca="1">IFERROR(__xludf.DUMMYFUNCTION("""COMPUTED_VALUE"""),1)</f>
        <v>1</v>
      </c>
    </row>
    <row r="9663" spans="1:5" ht="13">
      <c r="A9663" s="8" t="str">
        <f ca="1">IFERROR(__xludf.DUMMYFUNCTION("""COMPUTED_VALUE"""),"Korsun, Anna")</f>
        <v>Korsun, Anna</v>
      </c>
      <c r="B9663" s="3">
        <f ca="1">IFERROR(__xludf.DUMMYFUNCTION("""COMPUTED_VALUE"""),2)</f>
        <v>2</v>
      </c>
      <c r="C9663" s="7">
        <f ca="1">IFERROR(__xludf.DUMMYFUNCTION("""COMPUTED_VALUE"""),2)</f>
        <v>2</v>
      </c>
      <c r="D9663" s="8">
        <f ca="1">IFERROR(__xludf.DUMMYFUNCTION("""COMPUTED_VALUE"""),2)</f>
        <v>2</v>
      </c>
      <c r="E9663" s="2">
        <f ca="1">IFERROR(__xludf.DUMMYFUNCTION("""COMPUTED_VALUE"""),1)</f>
        <v>1</v>
      </c>
    </row>
    <row r="9664" spans="1:5" ht="13">
      <c r="A9664" s="2" t="str">
        <f ca="1">IFERROR(__xludf.DUMMYFUNCTION("""COMPUTED_VALUE"""),"Kowalski, Crystal La Point")</f>
        <v>Kowalski, Crystal La Point</v>
      </c>
      <c r="B9664" s="3">
        <f ca="1">IFERROR(__xludf.DUMMYFUNCTION("""COMPUTED_VALUE"""),2)</f>
        <v>2</v>
      </c>
      <c r="C9664" s="7">
        <f ca="1">IFERROR(__xludf.DUMMYFUNCTION("""COMPUTED_VALUE"""),2)</f>
        <v>2</v>
      </c>
      <c r="D9664" s="8">
        <f ca="1">IFERROR(__xludf.DUMMYFUNCTION("""COMPUTED_VALUE"""),2)</f>
        <v>2</v>
      </c>
      <c r="E9664" s="2">
        <f ca="1">IFERROR(__xludf.DUMMYFUNCTION("""COMPUTED_VALUE"""),1)</f>
        <v>1</v>
      </c>
    </row>
    <row r="9665" spans="1:5" ht="13">
      <c r="A9665" s="8" t="str">
        <f ca="1">IFERROR(__xludf.DUMMYFUNCTION("""COMPUTED_VALUE"""),"Kozhevnikova, Evgeniya")</f>
        <v>Kozhevnikova, Evgeniya</v>
      </c>
      <c r="B9665" s="3">
        <f ca="1">IFERROR(__xludf.DUMMYFUNCTION("""COMPUTED_VALUE"""),2)</f>
        <v>2</v>
      </c>
      <c r="C9665" s="7">
        <f ca="1">IFERROR(__xludf.DUMMYFUNCTION("""COMPUTED_VALUE"""),2)</f>
        <v>2</v>
      </c>
      <c r="D9665" s="8">
        <f ca="1">IFERROR(__xludf.DUMMYFUNCTION("""COMPUTED_VALUE"""),2)</f>
        <v>2</v>
      </c>
      <c r="E9665" s="2">
        <f ca="1">IFERROR(__xludf.DUMMYFUNCTION("""COMPUTED_VALUE"""),1)</f>
        <v>1</v>
      </c>
    </row>
    <row r="9666" spans="1:5" ht="13">
      <c r="A9666" s="2" t="str">
        <f ca="1">IFERROR(__xludf.DUMMYFUNCTION("""COMPUTED_VALUE"""),"Krausas, Veronika")</f>
        <v>Krausas, Veronika</v>
      </c>
      <c r="B9666" s="3">
        <f ca="1">IFERROR(__xludf.DUMMYFUNCTION("""COMPUTED_VALUE"""),2)</f>
        <v>2</v>
      </c>
      <c r="C9666" s="7">
        <f ca="1">IFERROR(__xludf.DUMMYFUNCTION("""COMPUTED_VALUE"""),2)</f>
        <v>2</v>
      </c>
      <c r="D9666" s="8">
        <f ca="1">IFERROR(__xludf.DUMMYFUNCTION("""COMPUTED_VALUE"""),2)</f>
        <v>2</v>
      </c>
      <c r="E9666" s="2">
        <f ca="1">IFERROR(__xludf.DUMMYFUNCTION("""COMPUTED_VALUE"""),1)</f>
        <v>1</v>
      </c>
    </row>
    <row r="9667" spans="1:5" ht="13">
      <c r="A9667" s="2" t="str">
        <f ca="1">IFERROR(__xludf.DUMMYFUNCTION("""COMPUTED_VALUE"""),"Krauss, Alison")</f>
        <v>Krauss, Alison</v>
      </c>
      <c r="B9667" s="3">
        <f ca="1">IFERROR(__xludf.DUMMYFUNCTION("""COMPUTED_VALUE"""),2)</f>
        <v>2</v>
      </c>
      <c r="C9667" s="7">
        <f ca="1">IFERROR(__xludf.DUMMYFUNCTION("""COMPUTED_VALUE"""),2)</f>
        <v>2</v>
      </c>
      <c r="D9667" s="8">
        <f ca="1">IFERROR(__xludf.DUMMYFUNCTION("""COMPUTED_VALUE"""),2)</f>
        <v>2</v>
      </c>
      <c r="E9667" s="2">
        <f ca="1">IFERROR(__xludf.DUMMYFUNCTION("""COMPUTED_VALUE"""),1)</f>
        <v>1</v>
      </c>
    </row>
    <row r="9668" spans="1:5" ht="13">
      <c r="A9668" s="2" t="str">
        <f ca="1">IFERROR(__xludf.DUMMYFUNCTION("""COMPUTED_VALUE"""),"Krone, Beatrice")</f>
        <v>Krone, Beatrice</v>
      </c>
      <c r="B9668" s="3">
        <f ca="1">IFERROR(__xludf.DUMMYFUNCTION("""COMPUTED_VALUE"""),2)</f>
        <v>2</v>
      </c>
      <c r="C9668" s="7">
        <f ca="1">IFERROR(__xludf.DUMMYFUNCTION("""COMPUTED_VALUE"""),2)</f>
        <v>2</v>
      </c>
      <c r="D9668" s="8">
        <f ca="1">IFERROR(__xludf.DUMMYFUNCTION("""COMPUTED_VALUE"""),2)</f>
        <v>2</v>
      </c>
      <c r="E9668" s="2">
        <f ca="1">IFERROR(__xludf.DUMMYFUNCTION("""COMPUTED_VALUE"""),1)</f>
        <v>1</v>
      </c>
    </row>
    <row r="9669" spans="1:5" ht="13">
      <c r="A9669" s="8" t="str">
        <f ca="1">IFERROR(__xludf.DUMMYFUNCTION("""COMPUTED_VALUE"""),"Kruisbrink, AnneNe")</f>
        <v>Kruisbrink, AnneNe</v>
      </c>
      <c r="B9669" s="3">
        <f ca="1">IFERROR(__xludf.DUMMYFUNCTION("""COMPUTED_VALUE"""),2)</f>
        <v>2</v>
      </c>
      <c r="C9669" s="7">
        <f ca="1">IFERROR(__xludf.DUMMYFUNCTION("""COMPUTED_VALUE"""),2)</f>
        <v>2</v>
      </c>
      <c r="D9669" s="8">
        <f ca="1">IFERROR(__xludf.DUMMYFUNCTION("""COMPUTED_VALUE"""),2)</f>
        <v>2</v>
      </c>
      <c r="E9669" s="2">
        <f ca="1">IFERROR(__xludf.DUMMYFUNCTION("""COMPUTED_VALUE"""),1)</f>
        <v>1</v>
      </c>
    </row>
    <row r="9670" spans="1:5" ht="13">
      <c r="A9670" s="2" t="str">
        <f ca="1">IFERROR(__xludf.DUMMYFUNCTION("""COMPUTED_VALUE"""),"Kruussmaa, Alisson")</f>
        <v>Kruussmaa, Alisson</v>
      </c>
      <c r="B9670" s="2">
        <f ca="1">IFERROR(__xludf.DUMMYFUNCTION("""COMPUTED_VALUE"""),2)</f>
        <v>2</v>
      </c>
      <c r="C9670" s="7">
        <f ca="1">IFERROR(__xludf.DUMMYFUNCTION("""COMPUTED_VALUE"""),2)</f>
        <v>2</v>
      </c>
      <c r="D9670" s="8">
        <f ca="1">IFERROR(__xludf.DUMMYFUNCTION("""COMPUTED_VALUE"""),2)</f>
        <v>2</v>
      </c>
      <c r="E9670" s="2">
        <f ca="1">IFERROR(__xludf.DUMMYFUNCTION("""COMPUTED_VALUE"""),1)</f>
        <v>1</v>
      </c>
    </row>
    <row r="9671" spans="1:5" ht="13">
      <c r="A9671" s="2" t="str">
        <f ca="1">IFERROR(__xludf.DUMMYFUNCTION("""COMPUTED_VALUE"""),"Kuster, Kristen")</f>
        <v>Kuster, Kristen</v>
      </c>
      <c r="B9671" s="3">
        <f ca="1">IFERROR(__xludf.DUMMYFUNCTION("""COMPUTED_VALUE"""),2)</f>
        <v>2</v>
      </c>
      <c r="C9671" s="7">
        <f ca="1">IFERROR(__xludf.DUMMYFUNCTION("""COMPUTED_VALUE"""),2)</f>
        <v>2</v>
      </c>
      <c r="D9671" s="8">
        <f ca="1">IFERROR(__xludf.DUMMYFUNCTION("""COMPUTED_VALUE"""),2)</f>
        <v>2</v>
      </c>
      <c r="E9671" s="2">
        <f ca="1">IFERROR(__xludf.DUMMYFUNCTION("""COMPUTED_VALUE"""),1)</f>
        <v>1</v>
      </c>
    </row>
    <row r="9672" spans="1:5" ht="13">
      <c r="A9672" s="2" t="str">
        <f ca="1">IFERROR(__xludf.DUMMYFUNCTION("""COMPUTED_VALUE"""),"Kuzmenko, Larysa")</f>
        <v>Kuzmenko, Larysa</v>
      </c>
      <c r="B9672" s="3">
        <f ca="1">IFERROR(__xludf.DUMMYFUNCTION("""COMPUTED_VALUE"""),2)</f>
        <v>2</v>
      </c>
      <c r="C9672" s="7">
        <f ca="1">IFERROR(__xludf.DUMMYFUNCTION("""COMPUTED_VALUE"""),2)</f>
        <v>2</v>
      </c>
      <c r="D9672" s="8">
        <f ca="1">IFERROR(__xludf.DUMMYFUNCTION("""COMPUTED_VALUE"""),2)</f>
        <v>2</v>
      </c>
      <c r="E9672" s="2">
        <f ca="1">IFERROR(__xludf.DUMMYFUNCTION("""COMPUTED_VALUE"""),1)</f>
        <v>1</v>
      </c>
    </row>
    <row r="9673" spans="1:5" ht="13">
      <c r="A9673" s="2" t="str">
        <f ca="1">IFERROR(__xludf.DUMMYFUNCTION("""COMPUTED_VALUE"""),"Kyle, Frances")</f>
        <v>Kyle, Frances</v>
      </c>
      <c r="B9673" s="3">
        <f ca="1">IFERROR(__xludf.DUMMYFUNCTION("""COMPUTED_VALUE"""),2)</f>
        <v>2</v>
      </c>
      <c r="C9673" s="7">
        <f ca="1">IFERROR(__xludf.DUMMYFUNCTION("""COMPUTED_VALUE"""),2)</f>
        <v>2</v>
      </c>
      <c r="D9673" s="8">
        <f ca="1">IFERROR(__xludf.DUMMYFUNCTION("""COMPUTED_VALUE"""),6)</f>
        <v>6</v>
      </c>
      <c r="E9673" s="2">
        <f ca="1">IFERROR(__xludf.DUMMYFUNCTION("""COMPUTED_VALUE"""),2)</f>
        <v>2</v>
      </c>
    </row>
    <row r="9674" spans="1:5" ht="13">
      <c r="A9674" s="2" t="str">
        <f ca="1">IFERROR(__xludf.DUMMYFUNCTION("""COMPUTED_VALUE"""),"La Barbara, Joan")</f>
        <v>La Barbara, Joan</v>
      </c>
      <c r="B9674" s="3">
        <f ca="1">IFERROR(__xludf.DUMMYFUNCTION("""COMPUTED_VALUE"""),2)</f>
        <v>2</v>
      </c>
      <c r="C9674" s="7">
        <f ca="1">IFERROR(__xludf.DUMMYFUNCTION("""COMPUTED_VALUE"""),2)</f>
        <v>2</v>
      </c>
      <c r="D9674" s="8">
        <f ca="1">IFERROR(__xludf.DUMMYFUNCTION("""COMPUTED_VALUE"""),2)</f>
        <v>2</v>
      </c>
      <c r="E9674" s="2">
        <f ca="1">IFERROR(__xludf.DUMMYFUNCTION("""COMPUTED_VALUE"""),1)</f>
        <v>1</v>
      </c>
    </row>
    <row r="9675" spans="1:5" ht="13">
      <c r="A9675" s="2" t="str">
        <f ca="1">IFERROR(__xludf.DUMMYFUNCTION("""COMPUTED_VALUE"""),"LaBarr, Susan")</f>
        <v>LaBarr, Susan</v>
      </c>
      <c r="B9675" s="3">
        <f ca="1">IFERROR(__xludf.DUMMYFUNCTION("""COMPUTED_VALUE"""),2)</f>
        <v>2</v>
      </c>
      <c r="C9675" s="7">
        <f ca="1">IFERROR(__xludf.DUMMYFUNCTION("""COMPUTED_VALUE"""),2)</f>
        <v>2</v>
      </c>
      <c r="D9675" s="8">
        <f ca="1">IFERROR(__xludf.DUMMYFUNCTION("""COMPUTED_VALUE"""),2)</f>
        <v>2</v>
      </c>
      <c r="E9675" s="2">
        <f ca="1">IFERROR(__xludf.DUMMYFUNCTION("""COMPUTED_VALUE"""),1)</f>
        <v>1</v>
      </c>
    </row>
    <row r="9676" spans="1:5" ht="13">
      <c r="A9676" s="2" t="str">
        <f ca="1">IFERROR(__xludf.DUMMYFUNCTION("""COMPUTED_VALUE"""),"LaBrie, Katie O'Hara")</f>
        <v>LaBrie, Katie O'Hara</v>
      </c>
      <c r="B9676" s="2">
        <f ca="1">IFERROR(__xludf.DUMMYFUNCTION("""COMPUTED_VALUE"""),2)</f>
        <v>2</v>
      </c>
      <c r="C9676" s="7">
        <f ca="1">IFERROR(__xludf.DUMMYFUNCTION("""COMPUTED_VALUE"""),2)</f>
        <v>2</v>
      </c>
      <c r="D9676" s="8">
        <f ca="1">IFERROR(__xludf.DUMMYFUNCTION("""COMPUTED_VALUE"""),2)</f>
        <v>2</v>
      </c>
      <c r="E9676" s="2">
        <f ca="1">IFERROR(__xludf.DUMMYFUNCTION("""COMPUTED_VALUE"""),1)</f>
        <v>1</v>
      </c>
    </row>
    <row r="9677" spans="1:5" ht="13">
      <c r="A9677" s="2" t="str">
        <f ca="1">IFERROR(__xludf.DUMMYFUNCTION("""COMPUTED_VALUE"""),"Lafferty, Laurie")</f>
        <v>Lafferty, Laurie</v>
      </c>
      <c r="B9677" s="3">
        <f ca="1">IFERROR(__xludf.DUMMYFUNCTION("""COMPUTED_VALUE"""),2)</f>
        <v>2</v>
      </c>
      <c r="C9677" s="7">
        <f ca="1">IFERROR(__xludf.DUMMYFUNCTION("""COMPUTED_VALUE"""),2)</f>
        <v>2</v>
      </c>
      <c r="D9677" s="8">
        <f ca="1">IFERROR(__xludf.DUMMYFUNCTION("""COMPUTED_VALUE"""),2)</f>
        <v>2</v>
      </c>
      <c r="E9677" s="2">
        <f ca="1">IFERROR(__xludf.DUMMYFUNCTION("""COMPUTED_VALUE"""),1)</f>
        <v>1</v>
      </c>
    </row>
    <row r="9678" spans="1:5" ht="13">
      <c r="A9678" s="2" t="str">
        <f ca="1">IFERROR(__xludf.DUMMYFUNCTION("""COMPUTED_VALUE"""),"Laitman, Lori")</f>
        <v>Laitman, Lori</v>
      </c>
      <c r="B9678" s="3">
        <f ca="1">IFERROR(__xludf.DUMMYFUNCTION("""COMPUTED_VALUE"""),2)</f>
        <v>2</v>
      </c>
      <c r="C9678" s="7">
        <f ca="1">IFERROR(__xludf.DUMMYFUNCTION("""COMPUTED_VALUE"""),2)</f>
        <v>2</v>
      </c>
      <c r="D9678" s="8">
        <f ca="1">IFERROR(__xludf.DUMMYFUNCTION("""COMPUTED_VALUE"""),2)</f>
        <v>2</v>
      </c>
      <c r="E9678" s="2">
        <f ca="1">IFERROR(__xludf.DUMMYFUNCTION("""COMPUTED_VALUE"""),1)</f>
        <v>1</v>
      </c>
    </row>
    <row r="9679" spans="1:5" ht="13">
      <c r="A9679" s="2" t="str">
        <f ca="1">IFERROR(__xludf.DUMMYFUNCTION("""COMPUTED_VALUE"""),"Lamb McCune, Sally")</f>
        <v>Lamb McCune, Sally</v>
      </c>
      <c r="B9679" s="3">
        <f ca="1">IFERROR(__xludf.DUMMYFUNCTION("""COMPUTED_VALUE"""),2)</f>
        <v>2</v>
      </c>
      <c r="C9679" s="7">
        <f ca="1">IFERROR(__xludf.DUMMYFUNCTION("""COMPUTED_VALUE"""),2)</f>
        <v>2</v>
      </c>
      <c r="D9679" s="8">
        <f ca="1">IFERROR(__xludf.DUMMYFUNCTION("""COMPUTED_VALUE"""),2)</f>
        <v>2</v>
      </c>
      <c r="E9679" s="2">
        <f ca="1">IFERROR(__xludf.DUMMYFUNCTION("""COMPUTED_VALUE"""),1)</f>
        <v>1</v>
      </c>
    </row>
    <row r="9680" spans="1:5" ht="13">
      <c r="A9680" s="2" t="str">
        <f ca="1">IFERROR(__xludf.DUMMYFUNCTION("""COMPUTED_VALUE"""),"Lamb, Alexis")</f>
        <v>Lamb, Alexis</v>
      </c>
      <c r="B9680" s="3">
        <f ca="1">IFERROR(__xludf.DUMMYFUNCTION("""COMPUTED_VALUE"""),2)</f>
        <v>2</v>
      </c>
      <c r="C9680" s="7">
        <f ca="1">IFERROR(__xludf.DUMMYFUNCTION("""COMPUTED_VALUE"""),2)</f>
        <v>2</v>
      </c>
      <c r="D9680" s="8">
        <f ca="1">IFERROR(__xludf.DUMMYFUNCTION("""COMPUTED_VALUE"""),2)</f>
        <v>2</v>
      </c>
      <c r="E9680" s="2">
        <f ca="1">IFERROR(__xludf.DUMMYFUNCTION("""COMPUTED_VALUE"""),1)</f>
        <v>1</v>
      </c>
    </row>
    <row r="9681" spans="1:5" ht="13">
      <c r="A9681" s="2" t="str">
        <f ca="1">IFERROR(__xludf.DUMMYFUNCTION("""COMPUTED_VALUE"""),"Lambrecht, Barbara")</f>
        <v>Lambrecht, Barbara</v>
      </c>
      <c r="B9681" s="2">
        <f ca="1">IFERROR(__xludf.DUMMYFUNCTION("""COMPUTED_VALUE"""),2)</f>
        <v>2</v>
      </c>
      <c r="C9681" s="7">
        <f ca="1">IFERROR(__xludf.DUMMYFUNCTION("""COMPUTED_VALUE"""),2)</f>
        <v>2</v>
      </c>
      <c r="D9681" s="8">
        <f ca="1">IFERROR(__xludf.DUMMYFUNCTION("""COMPUTED_VALUE"""),2)</f>
        <v>2</v>
      </c>
      <c r="E9681" s="2">
        <f ca="1">IFERROR(__xludf.DUMMYFUNCTION("""COMPUTED_VALUE"""),1)</f>
        <v>1</v>
      </c>
    </row>
    <row r="9682" spans="1:5" ht="13">
      <c r="A9682" s="8" t="str">
        <f ca="1">IFERROR(__xludf.DUMMYFUNCTION("""COMPUTED_VALUE"""),"Land, Lois")</f>
        <v>Land, Lois</v>
      </c>
      <c r="B9682" s="3">
        <f ca="1">IFERROR(__xludf.DUMMYFUNCTION("""COMPUTED_VALUE"""),2)</f>
        <v>2</v>
      </c>
      <c r="C9682" s="7">
        <f ca="1">IFERROR(__xludf.DUMMYFUNCTION("""COMPUTED_VALUE"""),2)</f>
        <v>2</v>
      </c>
      <c r="D9682" s="8">
        <f ca="1">IFERROR(__xludf.DUMMYFUNCTION("""COMPUTED_VALUE"""),6)</f>
        <v>6</v>
      </c>
      <c r="E9682" s="2">
        <f ca="1">IFERROR(__xludf.DUMMYFUNCTION("""COMPUTED_VALUE"""),2)</f>
        <v>2</v>
      </c>
    </row>
    <row r="9683" spans="1:5" ht="13">
      <c r="A9683" s="2" t="str">
        <f ca="1">IFERROR(__xludf.DUMMYFUNCTION("""COMPUTED_VALUE"""),"Lang, Margaret Ruthven")</f>
        <v>Lang, Margaret Ruthven</v>
      </c>
      <c r="B9683" s="3">
        <f ca="1">IFERROR(__xludf.DUMMYFUNCTION("""COMPUTED_VALUE"""),2)</f>
        <v>2</v>
      </c>
      <c r="C9683" s="7">
        <f ca="1">IFERROR(__xludf.DUMMYFUNCTION("""COMPUTED_VALUE"""),2)</f>
        <v>2</v>
      </c>
      <c r="D9683" s="8">
        <f ca="1">IFERROR(__xludf.DUMMYFUNCTION("""COMPUTED_VALUE"""),6)</f>
        <v>6</v>
      </c>
      <c r="E9683" s="2">
        <f ca="1">IFERROR(__xludf.DUMMYFUNCTION("""COMPUTED_VALUE"""),2)</f>
        <v>2</v>
      </c>
    </row>
    <row r="9684" spans="1:5" ht="13">
      <c r="A9684" s="2" t="str">
        <f ca="1">IFERROR(__xludf.DUMMYFUNCTION("""COMPUTED_VALUE"""),"Langer, Elena")</f>
        <v>Langer, Elena</v>
      </c>
      <c r="B9684" s="3">
        <f ca="1">IFERROR(__xludf.DUMMYFUNCTION("""COMPUTED_VALUE"""),2)</f>
        <v>2</v>
      </c>
      <c r="C9684" s="7">
        <f ca="1">IFERROR(__xludf.DUMMYFUNCTION("""COMPUTED_VALUE"""),2)</f>
        <v>2</v>
      </c>
      <c r="D9684" s="8">
        <f ca="1">IFERROR(__xludf.DUMMYFUNCTION("""COMPUTED_VALUE"""),2)</f>
        <v>2</v>
      </c>
      <c r="E9684" s="2">
        <f ca="1">IFERROR(__xludf.DUMMYFUNCTION("""COMPUTED_VALUE"""),1)</f>
        <v>1</v>
      </c>
    </row>
    <row r="9685" spans="1:5" ht="13">
      <c r="A9685" s="2" t="str">
        <f ca="1">IFERROR(__xludf.DUMMYFUNCTION("""COMPUTED_VALUE"""),"Lankaster, Coby")</f>
        <v>Lankaster, Coby</v>
      </c>
      <c r="B9685" s="3">
        <f ca="1">IFERROR(__xludf.DUMMYFUNCTION("""COMPUTED_VALUE"""),2)</f>
        <v>2</v>
      </c>
      <c r="C9685" s="7">
        <f ca="1">IFERROR(__xludf.DUMMYFUNCTION("""COMPUTED_VALUE"""),2)</f>
        <v>2</v>
      </c>
      <c r="D9685" s="8">
        <f ca="1">IFERROR(__xludf.DUMMYFUNCTION("""COMPUTED_VALUE"""),6)</f>
        <v>6</v>
      </c>
      <c r="E9685" s="2">
        <f ca="1">IFERROR(__xludf.DUMMYFUNCTION("""COMPUTED_VALUE"""),2)</f>
        <v>2</v>
      </c>
    </row>
    <row r="9686" spans="1:5" ht="13">
      <c r="A9686" s="2" t="str">
        <f ca="1">IFERROR(__xludf.DUMMYFUNCTION("""COMPUTED_VALUE"""),"Lantz, Marti Lunn / Brownsey, Lois")</f>
        <v>Lantz, Marti Lunn / Brownsey, Lois</v>
      </c>
      <c r="B9686" s="3">
        <f ca="1">IFERROR(__xludf.DUMMYFUNCTION("""COMPUTED_VALUE"""),2)</f>
        <v>2</v>
      </c>
      <c r="C9686" s="7">
        <f ca="1">IFERROR(__xludf.DUMMYFUNCTION("""COMPUTED_VALUE"""),2)</f>
        <v>2</v>
      </c>
      <c r="D9686" s="8">
        <f ca="1">IFERROR(__xludf.DUMMYFUNCTION("""COMPUTED_VALUE"""),2)</f>
        <v>2</v>
      </c>
      <c r="E9686" s="2">
        <f ca="1">IFERROR(__xludf.DUMMYFUNCTION("""COMPUTED_VALUE"""),1)</f>
        <v>1</v>
      </c>
    </row>
    <row r="9687" spans="1:5" ht="13">
      <c r="A9687" s="2" t="str">
        <f ca="1">IFERROR(__xludf.DUMMYFUNCTION("""COMPUTED_VALUE"""),"LaPoint, Crystal")</f>
        <v>LaPoint, Crystal</v>
      </c>
      <c r="B9687" s="3">
        <f ca="1">IFERROR(__xludf.DUMMYFUNCTION("""COMPUTED_VALUE"""),2)</f>
        <v>2</v>
      </c>
      <c r="C9687" s="7">
        <f ca="1">IFERROR(__xludf.DUMMYFUNCTION("""COMPUTED_VALUE"""),2)</f>
        <v>2</v>
      </c>
      <c r="D9687" s="8">
        <f ca="1">IFERROR(__xludf.DUMMYFUNCTION("""COMPUTED_VALUE"""),2)</f>
        <v>2</v>
      </c>
      <c r="E9687" s="2">
        <f ca="1">IFERROR(__xludf.DUMMYFUNCTION("""COMPUTED_VALUE"""),1)</f>
        <v>1</v>
      </c>
    </row>
    <row r="9688" spans="1:5" ht="13">
      <c r="A9688" s="2" t="str">
        <f ca="1">IFERROR(__xludf.DUMMYFUNCTION("""COMPUTED_VALUE"""),"Lark, Gwenyth")</f>
        <v>Lark, Gwenyth</v>
      </c>
      <c r="B9688" s="2">
        <f ca="1">IFERROR(__xludf.DUMMYFUNCTION("""COMPUTED_VALUE"""),2)</f>
        <v>2</v>
      </c>
      <c r="C9688" s="7">
        <f ca="1">IFERROR(__xludf.DUMMYFUNCTION("""COMPUTED_VALUE"""),2)</f>
        <v>2</v>
      </c>
      <c r="D9688" s="8">
        <f ca="1">IFERROR(__xludf.DUMMYFUNCTION("""COMPUTED_VALUE"""),2)</f>
        <v>2</v>
      </c>
      <c r="E9688" s="2">
        <f ca="1">IFERROR(__xludf.DUMMYFUNCTION("""COMPUTED_VALUE"""),1)</f>
        <v>1</v>
      </c>
    </row>
    <row r="9689" spans="1:5" ht="13">
      <c r="A9689" s="2" t="str">
        <f ca="1">IFERROR(__xludf.DUMMYFUNCTION("""COMPUTED_VALUE"""),"Larsen, Libby")</f>
        <v>Larsen, Libby</v>
      </c>
      <c r="B9689" s="3">
        <f ca="1">IFERROR(__xludf.DUMMYFUNCTION("""COMPUTED_VALUE"""),2)</f>
        <v>2</v>
      </c>
      <c r="C9689" s="7">
        <f ca="1">IFERROR(__xludf.DUMMYFUNCTION("""COMPUTED_VALUE"""),2)</f>
        <v>2</v>
      </c>
      <c r="D9689" s="8">
        <f ca="1">IFERROR(__xludf.DUMMYFUNCTION("""COMPUTED_VALUE"""),2)</f>
        <v>2</v>
      </c>
      <c r="E9689" s="2">
        <f ca="1">IFERROR(__xludf.DUMMYFUNCTION("""COMPUTED_VALUE"""),1)</f>
        <v>1</v>
      </c>
    </row>
    <row r="9690" spans="1:5" ht="13">
      <c r="A9690" s="2" t="str">
        <f ca="1">IFERROR(__xludf.DUMMYFUNCTION("""COMPUTED_VALUE"""),"Larson, Julie D.")</f>
        <v>Larson, Julie D.</v>
      </c>
      <c r="B9690" s="3">
        <f ca="1">IFERROR(__xludf.DUMMYFUNCTION("""COMPUTED_VALUE"""),2)</f>
        <v>2</v>
      </c>
      <c r="C9690" s="7">
        <f ca="1">IFERROR(__xludf.DUMMYFUNCTION("""COMPUTED_VALUE"""),2)</f>
        <v>2</v>
      </c>
      <c r="D9690" s="8">
        <f ca="1">IFERROR(__xludf.DUMMYFUNCTION("""COMPUTED_VALUE"""),2)</f>
        <v>2</v>
      </c>
      <c r="E9690" s="2">
        <f ca="1">IFERROR(__xludf.DUMMYFUNCTION("""COMPUTED_VALUE"""),1)</f>
        <v>1</v>
      </c>
    </row>
    <row r="9691" spans="1:5" ht="13">
      <c r="A9691" s="2" t="str">
        <f ca="1">IFERROR(__xludf.DUMMYFUNCTION("""COMPUTED_VALUE"""),"Lash, Hannah")</f>
        <v>Lash, Hannah</v>
      </c>
      <c r="B9691" s="3">
        <f ca="1">IFERROR(__xludf.DUMMYFUNCTION("""COMPUTED_VALUE"""),2)</f>
        <v>2</v>
      </c>
      <c r="C9691" s="7">
        <f ca="1">IFERROR(__xludf.DUMMYFUNCTION("""COMPUTED_VALUE"""),2)</f>
        <v>2</v>
      </c>
      <c r="D9691" s="8">
        <f ca="1">IFERROR(__xludf.DUMMYFUNCTION("""COMPUTED_VALUE"""),2)</f>
        <v>2</v>
      </c>
      <c r="E9691" s="2">
        <f ca="1">IFERROR(__xludf.DUMMYFUNCTION("""COMPUTED_VALUE"""),1)</f>
        <v>1</v>
      </c>
    </row>
    <row r="9692" spans="1:5" ht="13">
      <c r="A9692" s="2" t="str">
        <f ca="1">IFERROR(__xludf.DUMMYFUNCTION("""COMPUTED_VALUE"""),"Latham, Lynne")</f>
        <v>Latham, Lynne</v>
      </c>
      <c r="B9692" s="2">
        <f ca="1">IFERROR(__xludf.DUMMYFUNCTION("""COMPUTED_VALUE"""),2)</f>
        <v>2</v>
      </c>
      <c r="C9692" s="7">
        <f ca="1">IFERROR(__xludf.DUMMYFUNCTION("""COMPUTED_VALUE"""),2)</f>
        <v>2</v>
      </c>
      <c r="D9692" s="8">
        <f ca="1">IFERROR(__xludf.DUMMYFUNCTION("""COMPUTED_VALUE"""),2)</f>
        <v>2</v>
      </c>
      <c r="E9692" s="2">
        <f ca="1">IFERROR(__xludf.DUMMYFUNCTION("""COMPUTED_VALUE"""),1)</f>
        <v>1</v>
      </c>
    </row>
    <row r="9693" spans="1:5" ht="13">
      <c r="A9693" s="2" t="str">
        <f ca="1">IFERROR(__xludf.DUMMYFUNCTION("""COMPUTED_VALUE"""),"Lauper, Cindy / Hyman, Rob")</f>
        <v>Lauper, Cindy / Hyman, Rob</v>
      </c>
      <c r="B9693" s="3">
        <f ca="1">IFERROR(__xludf.DUMMYFUNCTION("""COMPUTED_VALUE"""),2)</f>
        <v>2</v>
      </c>
      <c r="C9693" s="7">
        <f ca="1">IFERROR(__xludf.DUMMYFUNCTION("""COMPUTED_VALUE"""),2)</f>
        <v>2</v>
      </c>
      <c r="D9693" s="8">
        <f ca="1">IFERROR(__xludf.DUMMYFUNCTION("""COMPUTED_VALUE"""),2)</f>
        <v>2</v>
      </c>
      <c r="E9693" s="2">
        <f ca="1">IFERROR(__xludf.DUMMYFUNCTION("""COMPUTED_VALUE"""),1)</f>
        <v>1</v>
      </c>
    </row>
    <row r="9694" spans="1:5" ht="13">
      <c r="A9694" s="2" t="str">
        <f ca="1">IFERROR(__xludf.DUMMYFUNCTION("""COMPUTED_VALUE"""),"Lavender, Cheryl")</f>
        <v>Lavender, Cheryl</v>
      </c>
      <c r="B9694" s="3">
        <f ca="1">IFERROR(__xludf.DUMMYFUNCTION("""COMPUTED_VALUE"""),2)</f>
        <v>2</v>
      </c>
      <c r="C9694" s="7">
        <f ca="1">IFERROR(__xludf.DUMMYFUNCTION("""COMPUTED_VALUE"""),2)</f>
        <v>2</v>
      </c>
      <c r="D9694" s="8">
        <f ca="1">IFERROR(__xludf.DUMMYFUNCTION("""COMPUTED_VALUE"""),2)</f>
        <v>2</v>
      </c>
      <c r="E9694" s="2">
        <f ca="1">IFERROR(__xludf.DUMMYFUNCTION("""COMPUTED_VALUE"""),1)</f>
        <v>1</v>
      </c>
    </row>
    <row r="9695" spans="1:5" ht="13">
      <c r="A9695" s="8" t="str">
        <f ca="1">IFERROR(__xludf.DUMMYFUNCTION("""COMPUTED_VALUE"""),"Lazaris, Loretta")</f>
        <v>Lazaris, Loretta</v>
      </c>
      <c r="B9695" s="3">
        <f ca="1">IFERROR(__xludf.DUMMYFUNCTION("""COMPUTED_VALUE"""),2)</f>
        <v>2</v>
      </c>
      <c r="C9695" s="7">
        <f ca="1">IFERROR(__xludf.DUMMYFUNCTION("""COMPUTED_VALUE"""),2)</f>
        <v>2</v>
      </c>
      <c r="D9695" s="8">
        <f ca="1">IFERROR(__xludf.DUMMYFUNCTION("""COMPUTED_VALUE"""),2)</f>
        <v>2</v>
      </c>
      <c r="E9695" s="2">
        <f ca="1">IFERROR(__xludf.DUMMYFUNCTION("""COMPUTED_VALUE"""),1)</f>
        <v>1</v>
      </c>
    </row>
    <row r="9696" spans="1:5" ht="13">
      <c r="A9696" s="2" t="str">
        <f ca="1">IFERROR(__xludf.DUMMYFUNCTION("""COMPUTED_VALUE"""),"LeBarr, Susan")</f>
        <v>LeBarr, Susan</v>
      </c>
      <c r="B9696" s="3">
        <f ca="1">IFERROR(__xludf.DUMMYFUNCTION("""COMPUTED_VALUE"""),2)</f>
        <v>2</v>
      </c>
      <c r="C9696" s="7">
        <f ca="1">IFERROR(__xludf.DUMMYFUNCTION("""COMPUTED_VALUE"""),2)</f>
        <v>2</v>
      </c>
      <c r="D9696" s="8">
        <f ca="1">IFERROR(__xludf.DUMMYFUNCTION("""COMPUTED_VALUE"""),2)</f>
        <v>2</v>
      </c>
      <c r="E9696" s="2">
        <f ca="1">IFERROR(__xludf.DUMMYFUNCTION("""COMPUTED_VALUE"""),1)</f>
        <v>1</v>
      </c>
    </row>
    <row r="9697" spans="1:5" ht="13">
      <c r="A9697" s="2" t="str">
        <f ca="1">IFERROR(__xludf.DUMMYFUNCTION("""COMPUTED_VALUE"""),"LeDoux, Joanne")</f>
        <v>LeDoux, Joanne</v>
      </c>
      <c r="B9697" s="3">
        <f ca="1">IFERROR(__xludf.DUMMYFUNCTION("""COMPUTED_VALUE"""),2)</f>
        <v>2</v>
      </c>
      <c r="C9697" s="7">
        <f ca="1">IFERROR(__xludf.DUMMYFUNCTION("""COMPUTED_VALUE"""),2)</f>
        <v>2</v>
      </c>
      <c r="D9697" s="8">
        <f ca="1">IFERROR(__xludf.DUMMYFUNCTION("""COMPUTED_VALUE"""),2)</f>
        <v>2</v>
      </c>
      <c r="E9697" s="2">
        <f ca="1">IFERROR(__xludf.DUMMYFUNCTION("""COMPUTED_VALUE"""),1)</f>
        <v>1</v>
      </c>
    </row>
    <row r="9698" spans="1:5" ht="13">
      <c r="A9698" s="2" t="str">
        <f ca="1">IFERROR(__xludf.DUMMYFUNCTION("""COMPUTED_VALUE"""),"Lee, Madeline A.")</f>
        <v>Lee, Madeline A.</v>
      </c>
      <c r="B9698" s="3">
        <f ca="1">IFERROR(__xludf.DUMMYFUNCTION("""COMPUTED_VALUE"""),2)</f>
        <v>2</v>
      </c>
      <c r="C9698" s="7">
        <f ca="1">IFERROR(__xludf.DUMMYFUNCTION("""COMPUTED_VALUE"""),2)</f>
        <v>2</v>
      </c>
      <c r="D9698" s="8">
        <f ca="1">IFERROR(__xludf.DUMMYFUNCTION("""COMPUTED_VALUE"""),2)</f>
        <v>2</v>
      </c>
      <c r="E9698" s="2">
        <f ca="1">IFERROR(__xludf.DUMMYFUNCTION("""COMPUTED_VALUE"""),1)</f>
        <v>1</v>
      </c>
    </row>
    <row r="9699" spans="1:5" ht="13">
      <c r="A9699" s="2" t="str">
        <f ca="1">IFERROR(__xludf.DUMMYFUNCTION("""COMPUTED_VALUE"""),"Lee, Pamela Perec")</f>
        <v>Lee, Pamela Perec</v>
      </c>
      <c r="B9699" s="2">
        <f ca="1">IFERROR(__xludf.DUMMYFUNCTION("""COMPUTED_VALUE"""),2)</f>
        <v>2</v>
      </c>
      <c r="C9699" s="2">
        <f ca="1">IFERROR(__xludf.DUMMYFUNCTION("""COMPUTED_VALUE"""),2)</f>
        <v>2</v>
      </c>
      <c r="D9699" s="8">
        <f ca="1">IFERROR(__xludf.DUMMYFUNCTION("""COMPUTED_VALUE"""),2)</f>
        <v>2</v>
      </c>
      <c r="E9699" s="2">
        <f ca="1">IFERROR(__xludf.DUMMYFUNCTION("""COMPUTED_VALUE"""),1)</f>
        <v>1</v>
      </c>
    </row>
    <row r="9700" spans="1:5" ht="13">
      <c r="A9700" s="2" t="str">
        <f ca="1">IFERROR(__xludf.DUMMYFUNCTION("""COMPUTED_VALUE"""),"Lehmann, Liza")</f>
        <v>Lehmann, Liza</v>
      </c>
      <c r="B9700" s="3">
        <f ca="1">IFERROR(__xludf.DUMMYFUNCTION("""COMPUTED_VALUE"""),2)</f>
        <v>2</v>
      </c>
      <c r="C9700" s="7">
        <f ca="1">IFERROR(__xludf.DUMMYFUNCTION("""COMPUTED_VALUE"""),2)</f>
        <v>2</v>
      </c>
      <c r="D9700" s="8">
        <f ca="1">IFERROR(__xludf.DUMMYFUNCTION("""COMPUTED_VALUE"""),2)</f>
        <v>2</v>
      </c>
      <c r="E9700" s="2">
        <f ca="1">IFERROR(__xludf.DUMMYFUNCTION("""COMPUTED_VALUE"""),1)</f>
        <v>1</v>
      </c>
    </row>
    <row r="9701" spans="1:5" ht="13">
      <c r="A9701" s="2" t="str">
        <f ca="1">IFERROR(__xludf.DUMMYFUNCTION("""COMPUTED_VALUE"""),"Leiter, Cherise")</f>
        <v>Leiter, Cherise</v>
      </c>
      <c r="B9701" s="3">
        <f ca="1">IFERROR(__xludf.DUMMYFUNCTION("""COMPUTED_VALUE"""),2)</f>
        <v>2</v>
      </c>
      <c r="C9701" s="7">
        <f ca="1">IFERROR(__xludf.DUMMYFUNCTION("""COMPUTED_VALUE"""),2)</f>
        <v>2</v>
      </c>
      <c r="D9701" s="8">
        <f ca="1">IFERROR(__xludf.DUMMYFUNCTION("""COMPUTED_VALUE"""),2)</f>
        <v>2</v>
      </c>
      <c r="E9701" s="2">
        <f ca="1">IFERROR(__xludf.DUMMYFUNCTION("""COMPUTED_VALUE"""),1)</f>
        <v>1</v>
      </c>
    </row>
    <row r="9702" spans="1:5" ht="13">
      <c r="A9702" s="2" t="str">
        <f ca="1">IFERROR(__xludf.DUMMYFUNCTION("""COMPUTED_VALUE"""),"Lennox, Annie")</f>
        <v>Lennox, Annie</v>
      </c>
      <c r="B9702" s="3">
        <f ca="1">IFERROR(__xludf.DUMMYFUNCTION("""COMPUTED_VALUE"""),2)</f>
        <v>2</v>
      </c>
      <c r="C9702" s="7">
        <f ca="1">IFERROR(__xludf.DUMMYFUNCTION("""COMPUTED_VALUE"""),2)</f>
        <v>2</v>
      </c>
      <c r="D9702" s="8">
        <f ca="1">IFERROR(__xludf.DUMMYFUNCTION("""COMPUTED_VALUE"""),2)</f>
        <v>2</v>
      </c>
      <c r="E9702" s="2">
        <f ca="1">IFERROR(__xludf.DUMMYFUNCTION("""COMPUTED_VALUE"""),1)</f>
        <v>1</v>
      </c>
    </row>
    <row r="9703" spans="1:5" ht="13">
      <c r="A9703" s="8" t="str">
        <f ca="1">IFERROR(__xludf.DUMMYFUNCTION("""COMPUTED_VALUE"""),"Leonard, Sheyenne")</f>
        <v>Leonard, Sheyenne</v>
      </c>
      <c r="B9703" s="3">
        <f ca="1">IFERROR(__xludf.DUMMYFUNCTION("""COMPUTED_VALUE"""),2)</f>
        <v>2</v>
      </c>
      <c r="C9703" s="7">
        <f ca="1">IFERROR(__xludf.DUMMYFUNCTION("""COMPUTED_VALUE"""),2)</f>
        <v>2</v>
      </c>
      <c r="D9703" s="8">
        <f ca="1">IFERROR(__xludf.DUMMYFUNCTION("""COMPUTED_VALUE"""),2)</f>
        <v>2</v>
      </c>
      <c r="E9703" s="2">
        <f ca="1">IFERROR(__xludf.DUMMYFUNCTION("""COMPUTED_VALUE"""),1)</f>
        <v>1</v>
      </c>
    </row>
    <row r="9704" spans="1:5" ht="13">
      <c r="A9704" s="2" t="str">
        <f ca="1">IFERROR(__xludf.DUMMYFUNCTION("""COMPUTED_VALUE"""),"Lerch, G-M")</f>
        <v>Lerch, G-M</v>
      </c>
      <c r="B9704" s="2">
        <f ca="1">IFERROR(__xludf.DUMMYFUNCTION("""COMPUTED_VALUE"""),2)</f>
        <v>2</v>
      </c>
      <c r="C9704" s="7">
        <f ca="1">IFERROR(__xludf.DUMMYFUNCTION("""COMPUTED_VALUE"""),2)</f>
        <v>2</v>
      </c>
      <c r="D9704" s="8">
        <f ca="1">IFERROR(__xludf.DUMMYFUNCTION("""COMPUTED_VALUE"""),2)</f>
        <v>2</v>
      </c>
      <c r="E9704" s="2">
        <f ca="1">IFERROR(__xludf.DUMMYFUNCTION("""COMPUTED_VALUE"""),1)</f>
        <v>1</v>
      </c>
    </row>
    <row r="9705" spans="1:5" ht="13">
      <c r="A9705" s="2" t="str">
        <f ca="1">IFERROR(__xludf.DUMMYFUNCTION("""COMPUTED_VALUE"""),"Levine, Iris")</f>
        <v>Levine, Iris</v>
      </c>
      <c r="B9705" s="3">
        <f ca="1">IFERROR(__xludf.DUMMYFUNCTION("""COMPUTED_VALUE"""),2)</f>
        <v>2</v>
      </c>
      <c r="C9705" s="7">
        <f ca="1">IFERROR(__xludf.DUMMYFUNCTION("""COMPUTED_VALUE"""),2)</f>
        <v>2</v>
      </c>
      <c r="D9705" s="8">
        <f ca="1">IFERROR(__xludf.DUMMYFUNCTION("""COMPUTED_VALUE"""),2)</f>
        <v>2</v>
      </c>
      <c r="E9705" s="2">
        <f ca="1">IFERROR(__xludf.DUMMYFUNCTION("""COMPUTED_VALUE"""),1)</f>
        <v>1</v>
      </c>
    </row>
    <row r="9706" spans="1:5" ht="13">
      <c r="A9706" s="8" t="str">
        <f ca="1">IFERROR(__xludf.DUMMYFUNCTION("""COMPUTED_VALUE"""),"Leyman, Katarina")</f>
        <v>Leyman, Katarina</v>
      </c>
      <c r="B9706" s="3">
        <f ca="1">IFERROR(__xludf.DUMMYFUNCTION("""COMPUTED_VALUE"""),2)</f>
        <v>2</v>
      </c>
      <c r="C9706" s="7">
        <f ca="1">IFERROR(__xludf.DUMMYFUNCTION("""COMPUTED_VALUE"""),2)</f>
        <v>2</v>
      </c>
      <c r="D9706" s="8">
        <f ca="1">IFERROR(__xludf.DUMMYFUNCTION("""COMPUTED_VALUE"""),2)</f>
        <v>2</v>
      </c>
      <c r="E9706" s="2">
        <f ca="1">IFERROR(__xludf.DUMMYFUNCTION("""COMPUTED_VALUE"""),1)</f>
        <v>1</v>
      </c>
    </row>
    <row r="9707" spans="1:5" ht="13">
      <c r="A9707" s="8" t="str">
        <f ca="1">IFERROR(__xludf.DUMMYFUNCTION("""COMPUTED_VALUE"""),"Lieberman, Julie Lyonn")</f>
        <v>Lieberman, Julie Lyonn</v>
      </c>
      <c r="B9707" s="3">
        <f ca="1">IFERROR(__xludf.DUMMYFUNCTION("""COMPUTED_VALUE"""),2)</f>
        <v>2</v>
      </c>
      <c r="C9707" s="7">
        <f ca="1">IFERROR(__xludf.DUMMYFUNCTION("""COMPUTED_VALUE"""),2)</f>
        <v>2</v>
      </c>
      <c r="D9707" s="8">
        <f ca="1">IFERROR(__xludf.DUMMYFUNCTION("""COMPUTED_VALUE"""),6)</f>
        <v>6</v>
      </c>
      <c r="E9707" s="2">
        <f ca="1">IFERROR(__xludf.DUMMYFUNCTION("""COMPUTED_VALUE"""),2)</f>
        <v>2</v>
      </c>
    </row>
    <row r="9708" spans="1:5" ht="13">
      <c r="A9708" s="2" t="str">
        <f ca="1">IFERROR(__xludf.DUMMYFUNCTION("""COMPUTED_VALUE"""),"Liebermann, Julie")</f>
        <v>Liebermann, Julie</v>
      </c>
      <c r="B9708" s="3">
        <f ca="1">IFERROR(__xludf.DUMMYFUNCTION("""COMPUTED_VALUE"""),2)</f>
        <v>2</v>
      </c>
      <c r="C9708" s="7">
        <f ca="1">IFERROR(__xludf.DUMMYFUNCTION("""COMPUTED_VALUE"""),2)</f>
        <v>2</v>
      </c>
      <c r="D9708" s="8">
        <f ca="1">IFERROR(__xludf.DUMMYFUNCTION("""COMPUTED_VALUE"""),2)</f>
        <v>2</v>
      </c>
      <c r="E9708" s="2">
        <f ca="1">IFERROR(__xludf.DUMMYFUNCTION("""COMPUTED_VALUE"""),1)</f>
        <v>1</v>
      </c>
    </row>
    <row r="9709" spans="1:5" ht="13">
      <c r="A9709" s="8" t="str">
        <f ca="1">IFERROR(__xludf.DUMMYFUNCTION("""COMPUTED_VALUE"""),"Lightfoot, Jocelyn")</f>
        <v>Lightfoot, Jocelyn</v>
      </c>
      <c r="B9709" s="3">
        <f ca="1">IFERROR(__xludf.DUMMYFUNCTION("""COMPUTED_VALUE"""),2)</f>
        <v>2</v>
      </c>
      <c r="C9709" s="7">
        <f ca="1">IFERROR(__xludf.DUMMYFUNCTION("""COMPUTED_VALUE"""),2)</f>
        <v>2</v>
      </c>
      <c r="D9709" s="8">
        <f ca="1">IFERROR(__xludf.DUMMYFUNCTION("""COMPUTED_VALUE"""),2)</f>
        <v>2</v>
      </c>
      <c r="E9709" s="2">
        <f ca="1">IFERROR(__xludf.DUMMYFUNCTION("""COMPUTED_VALUE"""),1)</f>
        <v>1</v>
      </c>
    </row>
    <row r="9710" spans="1:5" ht="13">
      <c r="A9710" s="8" t="str">
        <f ca="1">IFERROR(__xludf.DUMMYFUNCTION("""COMPUTED_VALUE"""),"Lightfoot, Mary Lynn")</f>
        <v>Lightfoot, Mary Lynn</v>
      </c>
      <c r="B9710" s="3">
        <f ca="1">IFERROR(__xludf.DUMMYFUNCTION("""COMPUTED_VALUE"""),2)</f>
        <v>2</v>
      </c>
      <c r="C9710" s="7">
        <f ca="1">IFERROR(__xludf.DUMMYFUNCTION("""COMPUTED_VALUE"""),2)</f>
        <v>2</v>
      </c>
      <c r="D9710" s="8">
        <f ca="1">IFERROR(__xludf.DUMMYFUNCTION("""COMPUTED_VALUE"""),2)</f>
        <v>2</v>
      </c>
      <c r="E9710" s="2">
        <f ca="1">IFERROR(__xludf.DUMMYFUNCTION("""COMPUTED_VALUE"""),1)</f>
        <v>1</v>
      </c>
    </row>
    <row r="9711" spans="1:5" ht="13">
      <c r="A9711" s="2" t="str">
        <f ca="1">IFERROR(__xludf.DUMMYFUNCTION("""COMPUTED_VALUE"""),"Likhuta, Catherine")</f>
        <v>Likhuta, Catherine</v>
      </c>
      <c r="B9711" s="3">
        <f ca="1">IFERROR(__xludf.DUMMYFUNCTION("""COMPUTED_VALUE"""),2)</f>
        <v>2</v>
      </c>
      <c r="C9711" s="7">
        <f ca="1">IFERROR(__xludf.DUMMYFUNCTION("""COMPUTED_VALUE"""),2)</f>
        <v>2</v>
      </c>
      <c r="D9711" s="8">
        <f ca="1">IFERROR(__xludf.DUMMYFUNCTION("""COMPUTED_VALUE"""),2)</f>
        <v>2</v>
      </c>
      <c r="E9711" s="2">
        <f ca="1">IFERROR(__xludf.DUMMYFUNCTION("""COMPUTED_VALUE"""),1)</f>
        <v>1</v>
      </c>
    </row>
    <row r="9712" spans="1:5" ht="13">
      <c r="A9712" s="8" t="str">
        <f ca="1">IFERROR(__xludf.DUMMYFUNCTION("""COMPUTED_VALUE"""),"Lilliefors, E. Benton")</f>
        <v>Lilliefors, E. Benton</v>
      </c>
      <c r="B9712" s="3">
        <f ca="1">IFERROR(__xludf.DUMMYFUNCTION("""COMPUTED_VALUE"""),2)</f>
        <v>2</v>
      </c>
      <c r="C9712" s="7">
        <f ca="1">IFERROR(__xludf.DUMMYFUNCTION("""COMPUTED_VALUE"""),2)</f>
        <v>2</v>
      </c>
      <c r="D9712" s="8">
        <f ca="1">IFERROR(__xludf.DUMMYFUNCTION("""COMPUTED_VALUE"""),2)</f>
        <v>2</v>
      </c>
      <c r="E9712" s="2">
        <f ca="1">IFERROR(__xludf.DUMMYFUNCTION("""COMPUTED_VALUE"""),1)</f>
        <v>1</v>
      </c>
    </row>
    <row r="9713" spans="1:5" ht="13">
      <c r="A9713" s="8" t="str">
        <f ca="1">IFERROR(__xludf.DUMMYFUNCTION("""COMPUTED_VALUE"""),"Lillios, Elainie")</f>
        <v>Lillios, Elainie</v>
      </c>
      <c r="B9713" s="3">
        <f ca="1">IFERROR(__xludf.DUMMYFUNCTION("""COMPUTED_VALUE"""),2)</f>
        <v>2</v>
      </c>
      <c r="C9713" s="7">
        <f ca="1">IFERROR(__xludf.DUMMYFUNCTION("""COMPUTED_VALUE"""),2)</f>
        <v>2</v>
      </c>
      <c r="D9713" s="8">
        <f ca="1">IFERROR(__xludf.DUMMYFUNCTION("""COMPUTED_VALUE"""),2)</f>
        <v>2</v>
      </c>
      <c r="E9713" s="2">
        <f ca="1">IFERROR(__xludf.DUMMYFUNCTION("""COMPUTED_VALUE"""),1)</f>
        <v>1</v>
      </c>
    </row>
    <row r="9714" spans="1:5" ht="13">
      <c r="A9714" s="8" t="str">
        <f ca="1">IFERROR(__xludf.DUMMYFUNCTION("""COMPUTED_VALUE"""),"Lindquist, Ellen")</f>
        <v>Lindquist, Ellen</v>
      </c>
      <c r="B9714" s="3">
        <f ca="1">IFERROR(__xludf.DUMMYFUNCTION("""COMPUTED_VALUE"""),2)</f>
        <v>2</v>
      </c>
      <c r="C9714" s="7">
        <f ca="1">IFERROR(__xludf.DUMMYFUNCTION("""COMPUTED_VALUE"""),2)</f>
        <v>2</v>
      </c>
      <c r="D9714" s="8">
        <f ca="1">IFERROR(__xludf.DUMMYFUNCTION("""COMPUTED_VALUE"""),2)</f>
        <v>2</v>
      </c>
      <c r="E9714" s="2">
        <f ca="1">IFERROR(__xludf.DUMMYFUNCTION("""COMPUTED_VALUE"""),1)</f>
        <v>1</v>
      </c>
    </row>
    <row r="9715" spans="1:5" ht="13">
      <c r="A9715" s="2" t="str">
        <f ca="1">IFERROR(__xludf.DUMMYFUNCTION("""COMPUTED_VALUE"""),"Linnemann, Maria")</f>
        <v>Linnemann, Maria</v>
      </c>
      <c r="B9715" s="2">
        <f ca="1">IFERROR(__xludf.DUMMYFUNCTION("""COMPUTED_VALUE"""),2)</f>
        <v>2</v>
      </c>
      <c r="C9715" s="2">
        <f ca="1">IFERROR(__xludf.DUMMYFUNCTION("""COMPUTED_VALUE"""),2)</f>
        <v>2</v>
      </c>
      <c r="D9715" s="8">
        <f ca="1">IFERROR(__xludf.DUMMYFUNCTION("""COMPUTED_VALUE"""),2)</f>
        <v>2</v>
      </c>
      <c r="E9715" s="2">
        <f ca="1">IFERROR(__xludf.DUMMYFUNCTION("""COMPUTED_VALUE"""),1)</f>
        <v>1</v>
      </c>
    </row>
    <row r="9716" spans="1:5" ht="13">
      <c r="A9716" s="2" t="str">
        <f ca="1">IFERROR(__xludf.DUMMYFUNCTION("""COMPUTED_VALUE"""),"Lippincott, Tedda")</f>
        <v>Lippincott, Tedda</v>
      </c>
      <c r="B9716" s="3">
        <f ca="1">IFERROR(__xludf.DUMMYFUNCTION("""COMPUTED_VALUE"""),2)</f>
        <v>2</v>
      </c>
      <c r="C9716" s="7">
        <f ca="1">IFERROR(__xludf.DUMMYFUNCTION("""COMPUTED_VALUE"""),2)</f>
        <v>2</v>
      </c>
      <c r="D9716" s="8">
        <f ca="1">IFERROR(__xludf.DUMMYFUNCTION("""COMPUTED_VALUE"""),2)</f>
        <v>2</v>
      </c>
      <c r="E9716" s="2">
        <f ca="1">IFERROR(__xludf.DUMMYFUNCTION("""COMPUTED_VALUE"""),1)</f>
        <v>1</v>
      </c>
    </row>
    <row r="9717" spans="1:5" ht="13">
      <c r="A9717" s="2" t="str">
        <f ca="1">IFERROR(__xludf.DUMMYFUNCTION("""COMPUTED_VALUE"""),"Littleton, Ginger")</f>
        <v>Littleton, Ginger</v>
      </c>
      <c r="B9717" s="3">
        <f ca="1">IFERROR(__xludf.DUMMYFUNCTION("""COMPUTED_VALUE"""),2)</f>
        <v>2</v>
      </c>
      <c r="C9717" s="7">
        <f ca="1">IFERROR(__xludf.DUMMYFUNCTION("""COMPUTED_VALUE"""),2)</f>
        <v>2</v>
      </c>
      <c r="D9717" s="8">
        <f ca="1">IFERROR(__xludf.DUMMYFUNCTION("""COMPUTED_VALUE"""),2)</f>
        <v>2</v>
      </c>
      <c r="E9717" s="2">
        <f ca="1">IFERROR(__xludf.DUMMYFUNCTION("""COMPUTED_VALUE"""),1)</f>
        <v>1</v>
      </c>
    </row>
    <row r="9718" spans="1:5" ht="13">
      <c r="A9718" s="8" t="str">
        <f ca="1">IFERROR(__xludf.DUMMYFUNCTION("""COMPUTED_VALUE"""),"Livingston, Cecilia")</f>
        <v>Livingston, Cecilia</v>
      </c>
      <c r="B9718" s="3">
        <f ca="1">IFERROR(__xludf.DUMMYFUNCTION("""COMPUTED_VALUE"""),2)</f>
        <v>2</v>
      </c>
      <c r="C9718" s="7">
        <f ca="1">IFERROR(__xludf.DUMMYFUNCTION("""COMPUTED_VALUE"""),2)</f>
        <v>2</v>
      </c>
      <c r="D9718" s="8">
        <f ca="1">IFERROR(__xludf.DUMMYFUNCTION("""COMPUTED_VALUE"""),2)</f>
        <v>2</v>
      </c>
      <c r="E9718" s="2">
        <f ca="1">IFERROR(__xludf.DUMMYFUNCTION("""COMPUTED_VALUE"""),1)</f>
        <v>1</v>
      </c>
    </row>
    <row r="9719" spans="1:5" ht="13">
      <c r="A9719" s="8" t="str">
        <f ca="1">IFERROR(__xludf.DUMMYFUNCTION("""COMPUTED_VALUE"""),"Lizée, Nicole")</f>
        <v>Lizée, Nicole</v>
      </c>
      <c r="B9719" s="3">
        <f ca="1">IFERROR(__xludf.DUMMYFUNCTION("""COMPUTED_VALUE"""),2)</f>
        <v>2</v>
      </c>
      <c r="C9719" s="7">
        <f ca="1">IFERROR(__xludf.DUMMYFUNCTION("""COMPUTED_VALUE"""),2)</f>
        <v>2</v>
      </c>
      <c r="D9719" s="8">
        <f ca="1">IFERROR(__xludf.DUMMYFUNCTION("""COMPUTED_VALUE"""),2)</f>
        <v>2</v>
      </c>
      <c r="E9719" s="2">
        <f ca="1">IFERROR(__xludf.DUMMYFUNCTION("""COMPUTED_VALUE"""),1)</f>
        <v>1</v>
      </c>
    </row>
    <row r="9720" spans="1:5" ht="13">
      <c r="A9720" s="2" t="str">
        <f ca="1">IFERROR(__xludf.DUMMYFUNCTION("""COMPUTED_VALUE"""),"Lloyd, Erika")</f>
        <v>Lloyd, Erika</v>
      </c>
      <c r="B9720" s="3">
        <f ca="1">IFERROR(__xludf.DUMMYFUNCTION("""COMPUTED_VALUE"""),2)</f>
        <v>2</v>
      </c>
      <c r="C9720" s="7">
        <f ca="1">IFERROR(__xludf.DUMMYFUNCTION("""COMPUTED_VALUE"""),2)</f>
        <v>2</v>
      </c>
      <c r="D9720" s="8">
        <f ca="1">IFERROR(__xludf.DUMMYFUNCTION("""COMPUTED_VALUE"""),2)</f>
        <v>2</v>
      </c>
      <c r="E9720" s="2">
        <f ca="1">IFERROR(__xludf.DUMMYFUNCTION("""COMPUTED_VALUE"""),1)</f>
        <v>1</v>
      </c>
    </row>
    <row r="9721" spans="1:5" ht="13">
      <c r="A9721" s="2" t="str">
        <f ca="1">IFERROR(__xludf.DUMMYFUNCTION("""COMPUTED_VALUE"""),"Lofberg, Maria")</f>
        <v>Lofberg, Maria</v>
      </c>
      <c r="B9721" s="3">
        <f ca="1">IFERROR(__xludf.DUMMYFUNCTION("""COMPUTED_VALUE"""),2)</f>
        <v>2</v>
      </c>
      <c r="C9721" s="7">
        <f ca="1">IFERROR(__xludf.DUMMYFUNCTION("""COMPUTED_VALUE"""),2)</f>
        <v>2</v>
      </c>
      <c r="D9721" s="8">
        <f ca="1">IFERROR(__xludf.DUMMYFUNCTION("""COMPUTED_VALUE"""),2)</f>
        <v>2</v>
      </c>
      <c r="E9721" s="2">
        <f ca="1">IFERROR(__xludf.DUMMYFUNCTION("""COMPUTED_VALUE"""),1)</f>
        <v>1</v>
      </c>
    </row>
    <row r="9722" spans="1:5" ht="13">
      <c r="A9722" s="2" t="str">
        <f ca="1">IFERROR(__xludf.DUMMYFUNCTION("""COMPUTED_VALUE"""),"Löfberg, Maria")</f>
        <v>Löfberg, Maria</v>
      </c>
      <c r="B9722" s="3">
        <f ca="1">IFERROR(__xludf.DUMMYFUNCTION("""COMPUTED_VALUE"""),2)</f>
        <v>2</v>
      </c>
      <c r="C9722" s="7">
        <f ca="1">IFERROR(__xludf.DUMMYFUNCTION("""COMPUTED_VALUE"""),2)</f>
        <v>2</v>
      </c>
      <c r="D9722" s="8">
        <f ca="1">IFERROR(__xludf.DUMMYFUNCTION("""COMPUTED_VALUE"""),2)</f>
        <v>2</v>
      </c>
      <c r="E9722" s="2">
        <f ca="1">IFERROR(__xludf.DUMMYFUNCTION("""COMPUTED_VALUE"""),1)</f>
        <v>1</v>
      </c>
    </row>
    <row r="9723" spans="1:5" ht="13">
      <c r="A9723" s="2" t="str">
        <f ca="1">IFERROR(__xludf.DUMMYFUNCTION("""COMPUTED_VALUE"""),"Loiacono, Loren")</f>
        <v>Loiacono, Loren</v>
      </c>
      <c r="B9723" s="3">
        <f ca="1">IFERROR(__xludf.DUMMYFUNCTION("""COMPUTED_VALUE"""),2)</f>
        <v>2</v>
      </c>
      <c r="C9723" s="7">
        <f ca="1">IFERROR(__xludf.DUMMYFUNCTION("""COMPUTED_VALUE"""),2)</f>
        <v>2</v>
      </c>
      <c r="D9723" s="8">
        <f ca="1">IFERROR(__xludf.DUMMYFUNCTION("""COMPUTED_VALUE"""),2)</f>
        <v>2</v>
      </c>
      <c r="E9723" s="2">
        <f ca="1">IFERROR(__xludf.DUMMYFUNCTION("""COMPUTED_VALUE"""),1)</f>
        <v>1</v>
      </c>
    </row>
    <row r="9724" spans="1:5" ht="13">
      <c r="A9724" s="8" t="str">
        <f ca="1">IFERROR(__xludf.DUMMYFUNCTION("""COMPUTED_VALUE"""),"Longo, Mo (Maureen)")</f>
        <v>Longo, Mo (Maureen)</v>
      </c>
      <c r="B9724" s="3">
        <f ca="1">IFERROR(__xludf.DUMMYFUNCTION("""COMPUTED_VALUE"""),2)</f>
        <v>2</v>
      </c>
      <c r="C9724" s="7">
        <f ca="1">IFERROR(__xludf.DUMMYFUNCTION("""COMPUTED_VALUE"""),2)</f>
        <v>2</v>
      </c>
      <c r="D9724" s="8">
        <f ca="1">IFERROR(__xludf.DUMMYFUNCTION("""COMPUTED_VALUE"""),2)</f>
        <v>2</v>
      </c>
      <c r="E9724" s="2">
        <f ca="1">IFERROR(__xludf.DUMMYFUNCTION("""COMPUTED_VALUE"""),1)</f>
        <v>1</v>
      </c>
    </row>
    <row r="9725" spans="1:5" ht="13">
      <c r="A9725" s="8" t="str">
        <f ca="1">IFERROR(__xludf.DUMMYFUNCTION("""COMPUTED_VALUE"""),"Loomer, Diane")</f>
        <v>Loomer, Diane</v>
      </c>
      <c r="B9725" s="3">
        <f ca="1">IFERROR(__xludf.DUMMYFUNCTION("""COMPUTED_VALUE"""),2)</f>
        <v>2</v>
      </c>
      <c r="C9725" s="7">
        <f ca="1">IFERROR(__xludf.DUMMYFUNCTION("""COMPUTED_VALUE"""),1)</f>
        <v>1</v>
      </c>
      <c r="D9725" s="8">
        <f ca="1">IFERROR(__xludf.DUMMYFUNCTION("""COMPUTED_VALUE"""),2)</f>
        <v>2</v>
      </c>
      <c r="E9725" s="2">
        <f ca="1">IFERROR(__xludf.DUMMYFUNCTION("""COMPUTED_VALUE"""),1)</f>
        <v>1</v>
      </c>
    </row>
    <row r="9726" spans="1:5" ht="13">
      <c r="A9726" s="2" t="str">
        <f ca="1">IFERROR(__xludf.DUMMYFUNCTION("""COMPUTED_VALUE"""),"Loose, Mary Ellen")</f>
        <v>Loose, Mary Ellen</v>
      </c>
      <c r="B9726" s="2">
        <f ca="1">IFERROR(__xludf.DUMMYFUNCTION("""COMPUTED_VALUE"""),2)</f>
        <v>2</v>
      </c>
      <c r="C9726" s="2">
        <f ca="1">IFERROR(__xludf.DUMMYFUNCTION("""COMPUTED_VALUE"""),2)</f>
        <v>2</v>
      </c>
      <c r="D9726" s="8">
        <f ca="1">IFERROR(__xludf.DUMMYFUNCTION("""COMPUTED_VALUE"""),2)</f>
        <v>2</v>
      </c>
      <c r="E9726" s="2">
        <f ca="1">IFERROR(__xludf.DUMMYFUNCTION("""COMPUTED_VALUE"""),1)</f>
        <v>1</v>
      </c>
    </row>
    <row r="9727" spans="1:5" ht="13">
      <c r="A9727" s="2" t="str">
        <f ca="1">IFERROR(__xludf.DUMMYFUNCTION("""COMPUTED_VALUE"""),"Louderback, Kathryn")</f>
        <v>Louderback, Kathryn</v>
      </c>
      <c r="B9727" s="3">
        <f ca="1">IFERROR(__xludf.DUMMYFUNCTION("""COMPUTED_VALUE"""),2)</f>
        <v>2</v>
      </c>
      <c r="C9727" s="7">
        <f ca="1">IFERROR(__xludf.DUMMYFUNCTION("""COMPUTED_VALUE"""),2)</f>
        <v>2</v>
      </c>
      <c r="D9727" s="8">
        <f ca="1">IFERROR(__xludf.DUMMYFUNCTION("""COMPUTED_VALUE"""),2)</f>
        <v>2</v>
      </c>
      <c r="E9727" s="2">
        <f ca="1">IFERROR(__xludf.DUMMYFUNCTION("""COMPUTED_VALUE"""),1)</f>
        <v>1</v>
      </c>
    </row>
    <row r="9728" spans="1:5" ht="13">
      <c r="A9728" s="2" t="str">
        <f ca="1">IFERROR(__xludf.DUMMYFUNCTION("""COMPUTED_VALUE"""),"Louke, Phyllis")</f>
        <v>Louke, Phyllis</v>
      </c>
      <c r="B9728" s="2">
        <f ca="1">IFERROR(__xludf.DUMMYFUNCTION("""COMPUTED_VALUE"""),2)</f>
        <v>2</v>
      </c>
      <c r="C9728" s="7">
        <f ca="1">IFERROR(__xludf.DUMMYFUNCTION("""COMPUTED_VALUE"""),2)</f>
        <v>2</v>
      </c>
      <c r="D9728" s="8">
        <f ca="1">IFERROR(__xludf.DUMMYFUNCTION("""COMPUTED_VALUE"""),2)</f>
        <v>2</v>
      </c>
      <c r="E9728" s="2">
        <f ca="1">IFERROR(__xludf.DUMMYFUNCTION("""COMPUTED_VALUE"""),1)</f>
        <v>1</v>
      </c>
    </row>
    <row r="9729" spans="1:5" ht="13">
      <c r="A9729" s="2" t="str">
        <f ca="1">IFERROR(__xludf.DUMMYFUNCTION("""COMPUTED_VALUE"""),"Love, Karlin Greenstreet")</f>
        <v>Love, Karlin Greenstreet</v>
      </c>
      <c r="B9729" s="2">
        <f ca="1">IFERROR(__xludf.DUMMYFUNCTION("""COMPUTED_VALUE"""),2)</f>
        <v>2</v>
      </c>
      <c r="C9729" s="7">
        <f ca="1">IFERROR(__xludf.DUMMYFUNCTION("""COMPUTED_VALUE"""),2)</f>
        <v>2</v>
      </c>
      <c r="D9729" s="8">
        <f ca="1">IFERROR(__xludf.DUMMYFUNCTION("""COMPUTED_VALUE"""),2)</f>
        <v>2</v>
      </c>
      <c r="E9729" s="2">
        <f ca="1">IFERROR(__xludf.DUMMYFUNCTION("""COMPUTED_VALUE"""),1)</f>
        <v>1</v>
      </c>
    </row>
    <row r="9730" spans="1:5" ht="13">
      <c r="A9730" s="2" t="str">
        <f ca="1">IFERROR(__xludf.DUMMYFUNCTION("""COMPUTED_VALUE"""),"Lubkowski, Stephanie")</f>
        <v>Lubkowski, Stephanie</v>
      </c>
      <c r="B9730" s="3">
        <f ca="1">IFERROR(__xludf.DUMMYFUNCTION("""COMPUTED_VALUE"""),2)</f>
        <v>2</v>
      </c>
      <c r="C9730" s="7">
        <f ca="1">IFERROR(__xludf.DUMMYFUNCTION("""COMPUTED_VALUE"""),2)</f>
        <v>2</v>
      </c>
      <c r="D9730" s="8">
        <f ca="1">IFERROR(__xludf.DUMMYFUNCTION("""COMPUTED_VALUE"""),2)</f>
        <v>2</v>
      </c>
      <c r="E9730" s="2">
        <f ca="1">IFERROR(__xludf.DUMMYFUNCTION("""COMPUTED_VALUE"""),1)</f>
        <v>1</v>
      </c>
    </row>
    <row r="9731" spans="1:5" ht="13">
      <c r="A9731" s="2" t="str">
        <f ca="1">IFERROR(__xludf.DUMMYFUNCTION("""COMPUTED_VALUE"""),"Lucas-Page, Sarah")</f>
        <v>Lucas-Page, Sarah</v>
      </c>
      <c r="B9731" s="2">
        <f ca="1">IFERROR(__xludf.DUMMYFUNCTION("""COMPUTED_VALUE"""),2)</f>
        <v>2</v>
      </c>
      <c r="C9731" s="7">
        <f ca="1">IFERROR(__xludf.DUMMYFUNCTION("""COMPUTED_VALUE"""),2)</f>
        <v>2</v>
      </c>
      <c r="D9731" s="8">
        <f ca="1">IFERROR(__xludf.DUMMYFUNCTION("""COMPUTED_VALUE"""),2)</f>
        <v>2</v>
      </c>
      <c r="E9731" s="2">
        <f ca="1">IFERROR(__xludf.DUMMYFUNCTION("""COMPUTED_VALUE"""),1)</f>
        <v>1</v>
      </c>
    </row>
    <row r="9732" spans="1:5" ht="13">
      <c r="A9732" s="2" t="str">
        <f ca="1">IFERROR(__xludf.DUMMYFUNCTION("""COMPUTED_VALUE"""),"Lucas, Elena Roussanova")</f>
        <v>Lucas, Elena Roussanova</v>
      </c>
      <c r="B9732" s="3">
        <f ca="1">IFERROR(__xludf.DUMMYFUNCTION("""COMPUTED_VALUE"""),2)</f>
        <v>2</v>
      </c>
      <c r="C9732" s="7">
        <f ca="1">IFERROR(__xludf.DUMMYFUNCTION("""COMPUTED_VALUE"""),2)</f>
        <v>2</v>
      </c>
      <c r="D9732" s="8">
        <f ca="1">IFERROR(__xludf.DUMMYFUNCTION("""COMPUTED_VALUE"""),2)</f>
        <v>2</v>
      </c>
      <c r="E9732" s="2">
        <f ca="1">IFERROR(__xludf.DUMMYFUNCTION("""COMPUTED_VALUE"""),1)</f>
        <v>1</v>
      </c>
    </row>
    <row r="9733" spans="1:5" ht="13">
      <c r="A9733" s="2" t="str">
        <f ca="1">IFERROR(__xludf.DUMMYFUNCTION("""COMPUTED_VALUE"""),"Luengen, Ramona")</f>
        <v>Luengen, Ramona</v>
      </c>
      <c r="B9733" s="3">
        <f ca="1">IFERROR(__xludf.DUMMYFUNCTION("""COMPUTED_VALUE"""),2)</f>
        <v>2</v>
      </c>
      <c r="C9733" s="7">
        <f ca="1">IFERROR(__xludf.DUMMYFUNCTION("""COMPUTED_VALUE"""),2)</f>
        <v>2</v>
      </c>
      <c r="D9733" s="8">
        <f ca="1">IFERROR(__xludf.DUMMYFUNCTION("""COMPUTED_VALUE"""),2)</f>
        <v>2</v>
      </c>
      <c r="E9733" s="2">
        <f ca="1">IFERROR(__xludf.DUMMYFUNCTION("""COMPUTED_VALUE"""),1)</f>
        <v>1</v>
      </c>
    </row>
    <row r="9734" spans="1:5" ht="13">
      <c r="A9734" s="2" t="str">
        <f ca="1">IFERROR(__xludf.DUMMYFUNCTION("""COMPUTED_VALUE"""),"Luongo, Beatrice")</f>
        <v>Luongo, Beatrice</v>
      </c>
      <c r="B9734" s="2">
        <f ca="1">IFERROR(__xludf.DUMMYFUNCTION("""COMPUTED_VALUE"""),2)</f>
        <v>2</v>
      </c>
      <c r="C9734" s="2">
        <f ca="1">IFERROR(__xludf.DUMMYFUNCTION("""COMPUTED_VALUE"""),2)</f>
        <v>2</v>
      </c>
      <c r="D9734" s="8">
        <f ca="1">IFERROR(__xludf.DUMMYFUNCTION("""COMPUTED_VALUE"""),2)</f>
        <v>2</v>
      </c>
      <c r="E9734" s="2">
        <f ca="1">IFERROR(__xludf.DUMMYFUNCTION("""COMPUTED_VALUE"""),1)</f>
        <v>1</v>
      </c>
    </row>
    <row r="9735" spans="1:5" ht="13">
      <c r="A9735" s="2" t="str">
        <f ca="1">IFERROR(__xludf.DUMMYFUNCTION("""COMPUTED_VALUE"""),"Lutz, Deborah C.")</f>
        <v>Lutz, Deborah C.</v>
      </c>
      <c r="B9735" s="3">
        <f ca="1">IFERROR(__xludf.DUMMYFUNCTION("""COMPUTED_VALUE"""),2)</f>
        <v>2</v>
      </c>
      <c r="C9735" s="7">
        <f ca="1">IFERROR(__xludf.DUMMYFUNCTION("""COMPUTED_VALUE"""),2)</f>
        <v>2</v>
      </c>
      <c r="D9735" s="8">
        <f ca="1">IFERROR(__xludf.DUMMYFUNCTION("""COMPUTED_VALUE"""),2)</f>
        <v>2</v>
      </c>
      <c r="E9735" s="2">
        <f ca="1">IFERROR(__xludf.DUMMYFUNCTION("""COMPUTED_VALUE"""),1)</f>
        <v>1</v>
      </c>
    </row>
    <row r="9736" spans="1:5" ht="13">
      <c r="A9736" s="8" t="str">
        <f ca="1">IFERROR(__xludf.DUMMYFUNCTION("""COMPUTED_VALUE"""),"Lynch-Thomason, Saro")</f>
        <v>Lynch-Thomason, Saro</v>
      </c>
      <c r="B9736" s="3">
        <f ca="1">IFERROR(__xludf.DUMMYFUNCTION("""COMPUTED_VALUE"""),2)</f>
        <v>2</v>
      </c>
      <c r="C9736" s="7">
        <f ca="1">IFERROR(__xludf.DUMMYFUNCTION("""COMPUTED_VALUE"""),2)</f>
        <v>2</v>
      </c>
      <c r="D9736" s="8">
        <f ca="1">IFERROR(__xludf.DUMMYFUNCTION("""COMPUTED_VALUE"""),2)</f>
        <v>2</v>
      </c>
      <c r="E9736" s="2">
        <f ca="1">IFERROR(__xludf.DUMMYFUNCTION("""COMPUTED_VALUE"""),1)</f>
        <v>1</v>
      </c>
    </row>
    <row r="9737" spans="1:5" ht="13">
      <c r="A9737" s="2" t="str">
        <f ca="1">IFERROR(__xludf.DUMMYFUNCTION("""COMPUTED_VALUE"""),"Macaulay, Janice")</f>
        <v>Macaulay, Janice</v>
      </c>
      <c r="B9737" s="3">
        <f ca="1">IFERROR(__xludf.DUMMYFUNCTION("""COMPUTED_VALUE"""),2)</f>
        <v>2</v>
      </c>
      <c r="C9737" s="7">
        <f ca="1">IFERROR(__xludf.DUMMYFUNCTION("""COMPUTED_VALUE"""),2)</f>
        <v>2</v>
      </c>
      <c r="D9737" s="8">
        <f ca="1">IFERROR(__xludf.DUMMYFUNCTION("""COMPUTED_VALUE"""),2)</f>
        <v>2</v>
      </c>
      <c r="E9737" s="2">
        <f ca="1">IFERROR(__xludf.DUMMYFUNCTION("""COMPUTED_VALUE"""),1)</f>
        <v>1</v>
      </c>
    </row>
    <row r="9738" spans="1:5" ht="13">
      <c r="A9738" s="8" t="str">
        <f ca="1">IFERROR(__xludf.DUMMYFUNCTION("""COMPUTED_VALUE"""),"MacColl, Kate")</f>
        <v>MacColl, Kate</v>
      </c>
      <c r="B9738" s="3">
        <f ca="1">IFERROR(__xludf.DUMMYFUNCTION("""COMPUTED_VALUE"""),2)</f>
        <v>2</v>
      </c>
      <c r="C9738" s="7">
        <f ca="1">IFERROR(__xludf.DUMMYFUNCTION("""COMPUTED_VALUE"""),2)</f>
        <v>2</v>
      </c>
      <c r="D9738" s="8">
        <f ca="1">IFERROR(__xludf.DUMMYFUNCTION("""COMPUTED_VALUE"""),2)</f>
        <v>2</v>
      </c>
      <c r="E9738" s="2">
        <f ca="1">IFERROR(__xludf.DUMMYFUNCTION("""COMPUTED_VALUE"""),1)</f>
        <v>1</v>
      </c>
    </row>
    <row r="9739" spans="1:5" ht="13">
      <c r="A9739" s="8" t="str">
        <f ca="1">IFERROR(__xludf.DUMMYFUNCTION("""COMPUTED_VALUE"""),"MacDonald, Aimee")</f>
        <v>MacDonald, Aimee</v>
      </c>
      <c r="B9739" s="3">
        <f ca="1">IFERROR(__xludf.DUMMYFUNCTION("""COMPUTED_VALUE"""),2)</f>
        <v>2</v>
      </c>
      <c r="C9739" s="7">
        <f ca="1">IFERROR(__xludf.DUMMYFUNCTION("""COMPUTED_VALUE"""),2)</f>
        <v>2</v>
      </c>
      <c r="D9739" s="8">
        <f ca="1">IFERROR(__xludf.DUMMYFUNCTION("""COMPUTED_VALUE"""),2)</f>
        <v>2</v>
      </c>
      <c r="E9739" s="2">
        <f ca="1">IFERROR(__xludf.DUMMYFUNCTION("""COMPUTED_VALUE"""),1)</f>
        <v>1</v>
      </c>
    </row>
    <row r="9740" spans="1:5" ht="13">
      <c r="A9740" s="2" t="str">
        <f ca="1">IFERROR(__xludf.DUMMYFUNCTION("""COMPUTED_VALUE"""),"MacDonnell, Leanne")</f>
        <v>MacDonnell, Leanne</v>
      </c>
      <c r="B9740" s="3">
        <f ca="1">IFERROR(__xludf.DUMMYFUNCTION("""COMPUTED_VALUE"""),2)</f>
        <v>2</v>
      </c>
      <c r="C9740" s="7">
        <f ca="1">IFERROR(__xludf.DUMMYFUNCTION("""COMPUTED_VALUE"""),2)</f>
        <v>2</v>
      </c>
      <c r="D9740" s="8">
        <f ca="1">IFERROR(__xludf.DUMMYFUNCTION("""COMPUTED_VALUE"""),2)</f>
        <v>2</v>
      </c>
      <c r="E9740" s="2">
        <f ca="1">IFERROR(__xludf.DUMMYFUNCTION("""COMPUTED_VALUE"""),1)</f>
        <v>1</v>
      </c>
    </row>
    <row r="9741" spans="1:5" ht="13">
      <c r="A9741" s="2" t="str">
        <f ca="1">IFERROR(__xludf.DUMMYFUNCTION("""COMPUTED_VALUE"""),"Maciliunaite, Rita")</f>
        <v>Maciliunaite, Rita</v>
      </c>
      <c r="B9741" s="3">
        <f ca="1">IFERROR(__xludf.DUMMYFUNCTION("""COMPUTED_VALUE"""),2)</f>
        <v>2</v>
      </c>
      <c r="C9741" s="7">
        <f ca="1">IFERROR(__xludf.DUMMYFUNCTION("""COMPUTED_VALUE"""),2)</f>
        <v>2</v>
      </c>
      <c r="D9741" s="8">
        <f ca="1">IFERROR(__xludf.DUMMYFUNCTION("""COMPUTED_VALUE"""),2)</f>
        <v>2</v>
      </c>
      <c r="E9741" s="2">
        <f ca="1">IFERROR(__xludf.DUMMYFUNCTION("""COMPUTED_VALUE"""),1)</f>
        <v>1</v>
      </c>
    </row>
    <row r="9742" spans="1:5" ht="13">
      <c r="A9742" s="2" t="str">
        <f ca="1">IFERROR(__xludf.DUMMYFUNCTION("""COMPUTED_VALUE"""),"Macklay, Sky")</f>
        <v>Macklay, Sky</v>
      </c>
      <c r="B9742" s="3">
        <f ca="1">IFERROR(__xludf.DUMMYFUNCTION("""COMPUTED_VALUE"""),2)</f>
        <v>2</v>
      </c>
      <c r="C9742" s="7">
        <f ca="1">IFERROR(__xludf.DUMMYFUNCTION("""COMPUTED_VALUE"""),2)</f>
        <v>2</v>
      </c>
      <c r="D9742" s="8">
        <f ca="1">IFERROR(__xludf.DUMMYFUNCTION("""COMPUTED_VALUE"""),2)</f>
        <v>2</v>
      </c>
      <c r="E9742" s="2">
        <f ca="1">IFERROR(__xludf.DUMMYFUNCTION("""COMPUTED_VALUE"""),1)</f>
        <v>1</v>
      </c>
    </row>
    <row r="9743" spans="1:5" ht="13">
      <c r="A9743" s="8" t="str">
        <f ca="1">IFERROR(__xludf.DUMMYFUNCTION("""COMPUTED_VALUE"""),"MacLeod, Annie")</f>
        <v>MacLeod, Annie</v>
      </c>
      <c r="B9743" s="3">
        <f ca="1">IFERROR(__xludf.DUMMYFUNCTION("""COMPUTED_VALUE"""),2)</f>
        <v>2</v>
      </c>
      <c r="C9743" s="7">
        <f ca="1">IFERROR(__xludf.DUMMYFUNCTION("""COMPUTED_VALUE"""),2)</f>
        <v>2</v>
      </c>
      <c r="D9743" s="8">
        <f ca="1">IFERROR(__xludf.DUMMYFUNCTION("""COMPUTED_VALUE"""),2)</f>
        <v>2</v>
      </c>
      <c r="E9743" s="2">
        <f ca="1">IFERROR(__xludf.DUMMYFUNCTION("""COMPUTED_VALUE"""),1)</f>
        <v>1</v>
      </c>
    </row>
    <row r="9744" spans="1:5" ht="13">
      <c r="A9744" s="2" t="str">
        <f ca="1">IFERROR(__xludf.DUMMYFUNCTION("""COMPUTED_VALUE"""),"MacMullen, Kristina")</f>
        <v>MacMullen, Kristina</v>
      </c>
      <c r="B9744" s="3">
        <f ca="1">IFERROR(__xludf.DUMMYFUNCTION("""COMPUTED_VALUE"""),2)</f>
        <v>2</v>
      </c>
      <c r="C9744" s="7">
        <f ca="1">IFERROR(__xludf.DUMMYFUNCTION("""COMPUTED_VALUE"""),2)</f>
        <v>2</v>
      </c>
      <c r="D9744" s="8">
        <f ca="1">IFERROR(__xludf.DUMMYFUNCTION("""COMPUTED_VALUE"""),2)</f>
        <v>2</v>
      </c>
      <c r="E9744" s="2">
        <f ca="1">IFERROR(__xludf.DUMMYFUNCTION("""COMPUTED_VALUE"""),1)</f>
        <v>1</v>
      </c>
    </row>
    <row r="9745" spans="1:5" ht="13">
      <c r="A9745" s="2" t="str">
        <f ca="1">IFERROR(__xludf.DUMMYFUNCTION("""COMPUTED_VALUE"""),"Mae, Audra; Hoying, Scott; Grass, Mitch")</f>
        <v>Mae, Audra; Hoying, Scott; Grass, Mitch</v>
      </c>
      <c r="B9745" s="2">
        <f ca="1">IFERROR(__xludf.DUMMYFUNCTION("""COMPUTED_VALUE"""),2)</f>
        <v>2</v>
      </c>
      <c r="C9745" s="7">
        <f ca="1">IFERROR(__xludf.DUMMYFUNCTION("""COMPUTED_VALUE"""),2)</f>
        <v>2</v>
      </c>
      <c r="D9745" s="8">
        <f ca="1">IFERROR(__xludf.DUMMYFUNCTION("""COMPUTED_VALUE"""),2)</f>
        <v>2</v>
      </c>
      <c r="E9745" s="2">
        <f ca="1">IFERROR(__xludf.DUMMYFUNCTION("""COMPUTED_VALUE"""),1)</f>
        <v>1</v>
      </c>
    </row>
    <row r="9746" spans="1:5" ht="13">
      <c r="A9746" s="2" t="str">
        <f ca="1">IFERROR(__xludf.DUMMYFUNCTION("""COMPUTED_VALUE"""),"Magin, Carrie")</f>
        <v>Magin, Carrie</v>
      </c>
      <c r="B9746" s="2">
        <f ca="1">IFERROR(__xludf.DUMMYFUNCTION("""COMPUTED_VALUE"""),2)</f>
        <v>2</v>
      </c>
      <c r="C9746" s="7">
        <f ca="1">IFERROR(__xludf.DUMMYFUNCTION("""COMPUTED_VALUE"""),2)</f>
        <v>2</v>
      </c>
      <c r="D9746" s="8">
        <f ca="1">IFERROR(__xludf.DUMMYFUNCTION("""COMPUTED_VALUE"""),2)</f>
        <v>2</v>
      </c>
      <c r="E9746" s="2">
        <f ca="1">IFERROR(__xludf.DUMMYFUNCTION("""COMPUTED_VALUE"""),1)</f>
        <v>1</v>
      </c>
    </row>
    <row r="9747" spans="1:5" ht="13">
      <c r="A9747" s="2" t="str">
        <f ca="1">IFERROR(__xludf.DUMMYFUNCTION("""COMPUTED_VALUE"""),"Mahler, Alma")</f>
        <v>Mahler, Alma</v>
      </c>
      <c r="B9747" s="3">
        <f ca="1">IFERROR(__xludf.DUMMYFUNCTION("""COMPUTED_VALUE"""),2)</f>
        <v>2</v>
      </c>
      <c r="C9747" s="7">
        <f ca="1">IFERROR(__xludf.DUMMYFUNCTION("""COMPUTED_VALUE"""),2)</f>
        <v>2</v>
      </c>
      <c r="D9747" s="8">
        <f ca="1">IFERROR(__xludf.DUMMYFUNCTION("""COMPUTED_VALUE"""),6)</f>
        <v>6</v>
      </c>
      <c r="E9747" s="2">
        <f ca="1">IFERROR(__xludf.DUMMYFUNCTION("""COMPUTED_VALUE"""),2)</f>
        <v>2</v>
      </c>
    </row>
    <row r="9748" spans="1:5" ht="13">
      <c r="A9748" s="2" t="str">
        <f ca="1">IFERROR(__xludf.DUMMYFUNCTION("""COMPUTED_VALUE"""),"Maier, Amanda")</f>
        <v>Maier, Amanda</v>
      </c>
      <c r="B9748" s="3">
        <f ca="1">IFERROR(__xludf.DUMMYFUNCTION("""COMPUTED_VALUE"""),2)</f>
        <v>2</v>
      </c>
      <c r="C9748" s="7">
        <f ca="1">IFERROR(__xludf.DUMMYFUNCTION("""COMPUTED_VALUE"""),2)</f>
        <v>2</v>
      </c>
      <c r="D9748" s="8">
        <f ca="1">IFERROR(__xludf.DUMMYFUNCTION("""COMPUTED_VALUE"""),6)</f>
        <v>6</v>
      </c>
      <c r="E9748" s="2">
        <f ca="1">IFERROR(__xludf.DUMMYFUNCTION("""COMPUTED_VALUE"""),2)</f>
        <v>2</v>
      </c>
    </row>
    <row r="9749" spans="1:5" ht="13">
      <c r="A9749" s="2" t="str">
        <f ca="1">IFERROR(__xludf.DUMMYFUNCTION("""COMPUTED_VALUE"""),"Majkut, Chelsea")</f>
        <v>Majkut, Chelsea</v>
      </c>
      <c r="B9749" s="3">
        <f ca="1">IFERROR(__xludf.DUMMYFUNCTION("""COMPUTED_VALUE"""),2)</f>
        <v>2</v>
      </c>
      <c r="C9749" s="7">
        <f ca="1">IFERROR(__xludf.DUMMYFUNCTION("""COMPUTED_VALUE"""),2)</f>
        <v>2</v>
      </c>
      <c r="D9749" s="8">
        <f ca="1">IFERROR(__xludf.DUMMYFUNCTION("""COMPUTED_VALUE"""),2)</f>
        <v>2</v>
      </c>
      <c r="E9749" s="2">
        <f ca="1">IFERROR(__xludf.DUMMYFUNCTION("""COMPUTED_VALUE"""),1)</f>
        <v>1</v>
      </c>
    </row>
    <row r="9750" spans="1:5" ht="13">
      <c r="A9750" s="2" t="str">
        <f ca="1">IFERROR(__xludf.DUMMYFUNCTION("""COMPUTED_VALUE"""),"Makaroff, Mia")</f>
        <v>Makaroff, Mia</v>
      </c>
      <c r="B9750" s="2">
        <f ca="1">IFERROR(__xludf.DUMMYFUNCTION("""COMPUTED_VALUE"""),2)</f>
        <v>2</v>
      </c>
      <c r="C9750" s="7">
        <f ca="1">IFERROR(__xludf.DUMMYFUNCTION("""COMPUTED_VALUE"""),2)</f>
        <v>2</v>
      </c>
      <c r="D9750" s="8">
        <f ca="1">IFERROR(__xludf.DUMMYFUNCTION("""COMPUTED_VALUE"""),2)</f>
        <v>2</v>
      </c>
      <c r="E9750" s="2">
        <f ca="1">IFERROR(__xludf.DUMMYFUNCTION("""COMPUTED_VALUE"""),1)</f>
        <v>1</v>
      </c>
    </row>
    <row r="9751" spans="1:5" ht="13">
      <c r="A9751" s="2" t="str">
        <f ca="1">IFERROR(__xludf.DUMMYFUNCTION("""COMPUTED_VALUE"""),"Marić, Ljubica")</f>
        <v>Marić, Ljubica</v>
      </c>
      <c r="B9751" s="2">
        <f ca="1">IFERROR(__xludf.DUMMYFUNCTION("""COMPUTED_VALUE"""),2)</f>
        <v>2</v>
      </c>
      <c r="C9751" s="2">
        <f ca="1">IFERROR(__xludf.DUMMYFUNCTION("""COMPUTED_VALUE"""),2)</f>
        <v>2</v>
      </c>
      <c r="D9751" s="8">
        <f ca="1">IFERROR(__xludf.DUMMYFUNCTION("""COMPUTED_VALUE"""),6)</f>
        <v>6</v>
      </c>
      <c r="E9751" s="2">
        <f ca="1">IFERROR(__xludf.DUMMYFUNCTION("""COMPUTED_VALUE"""),2)</f>
        <v>2</v>
      </c>
    </row>
    <row r="9752" spans="1:5" ht="13">
      <c r="A9752" s="2" t="str">
        <f ca="1">IFERROR(__xludf.DUMMYFUNCTION("""COMPUTED_VALUE"""),"Marrolli, Karen")</f>
        <v>Marrolli, Karen</v>
      </c>
      <c r="B9752" s="3">
        <f ca="1">IFERROR(__xludf.DUMMYFUNCTION("""COMPUTED_VALUE"""),2)</f>
        <v>2</v>
      </c>
      <c r="C9752" s="7">
        <f ca="1">IFERROR(__xludf.DUMMYFUNCTION("""COMPUTED_VALUE"""),2)</f>
        <v>2</v>
      </c>
      <c r="D9752" s="8">
        <f ca="1">IFERROR(__xludf.DUMMYFUNCTION("""COMPUTED_VALUE"""),2)</f>
        <v>2</v>
      </c>
      <c r="E9752" s="2">
        <f ca="1">IFERROR(__xludf.DUMMYFUNCTION("""COMPUTED_VALUE"""),1)</f>
        <v>1</v>
      </c>
    </row>
    <row r="9753" spans="1:5" ht="13">
      <c r="A9753" s="2" t="str">
        <f ca="1">IFERROR(__xludf.DUMMYFUNCTION("""COMPUTED_VALUE"""),"Marsh, Joanna")</f>
        <v>Marsh, Joanna</v>
      </c>
      <c r="B9753" s="3">
        <f ca="1">IFERROR(__xludf.DUMMYFUNCTION("""COMPUTED_VALUE"""),2)</f>
        <v>2</v>
      </c>
      <c r="C9753" s="7">
        <f ca="1">IFERROR(__xludf.DUMMYFUNCTION("""COMPUTED_VALUE"""),2)</f>
        <v>2</v>
      </c>
      <c r="D9753" s="8">
        <f ca="1">IFERROR(__xludf.DUMMYFUNCTION("""COMPUTED_VALUE"""),2)</f>
        <v>2</v>
      </c>
      <c r="E9753" s="2">
        <f ca="1">IFERROR(__xludf.DUMMYFUNCTION("""COMPUTED_VALUE"""),1)</f>
        <v>1</v>
      </c>
    </row>
    <row r="9754" spans="1:5" ht="13">
      <c r="A9754" s="2" t="str">
        <f ca="1">IFERROR(__xludf.DUMMYFUNCTION("""COMPUTED_VALUE"""),"Marsh, Kerry")</f>
        <v>Marsh, Kerry</v>
      </c>
      <c r="B9754" s="3">
        <f ca="1">IFERROR(__xludf.DUMMYFUNCTION("""COMPUTED_VALUE"""),2)</f>
        <v>2</v>
      </c>
      <c r="C9754" s="7">
        <f ca="1">IFERROR(__xludf.DUMMYFUNCTION("""COMPUTED_VALUE"""),2)</f>
        <v>2</v>
      </c>
      <c r="D9754" s="8">
        <f ca="1">IFERROR(__xludf.DUMMYFUNCTION("""COMPUTED_VALUE"""),2)</f>
        <v>2</v>
      </c>
      <c r="E9754" s="2">
        <f ca="1">IFERROR(__xludf.DUMMYFUNCTION("""COMPUTED_VALUE"""),1)</f>
        <v>1</v>
      </c>
    </row>
    <row r="9755" spans="1:5" ht="13">
      <c r="A9755" s="2" t="str">
        <f ca="1">IFERROR(__xludf.DUMMYFUNCTION("""COMPUTED_VALUE"""),"Marsh, Mary Val")</f>
        <v>Marsh, Mary Val</v>
      </c>
      <c r="B9755" s="2">
        <f ca="1">IFERROR(__xludf.DUMMYFUNCTION("""COMPUTED_VALUE"""),2)</f>
        <v>2</v>
      </c>
      <c r="C9755" s="2">
        <f ca="1">IFERROR(__xludf.DUMMYFUNCTION("""COMPUTED_VALUE"""),2)</f>
        <v>2</v>
      </c>
      <c r="D9755" s="8">
        <f ca="1">IFERROR(__xludf.DUMMYFUNCTION("""COMPUTED_VALUE"""),2)</f>
        <v>2</v>
      </c>
      <c r="E9755" s="2">
        <f ca="1">IFERROR(__xludf.DUMMYFUNCTION("""COMPUTED_VALUE"""),1)</f>
        <v>1</v>
      </c>
    </row>
    <row r="9756" spans="1:5" ht="13">
      <c r="A9756" s="2" t="str">
        <f ca="1">IFERROR(__xludf.DUMMYFUNCTION("""COMPUTED_VALUE"""),"Martin, Joanne")</f>
        <v>Martin, Joanne</v>
      </c>
      <c r="B9756" s="3">
        <f ca="1">IFERROR(__xludf.DUMMYFUNCTION("""COMPUTED_VALUE"""),2)</f>
        <v>2</v>
      </c>
      <c r="C9756" s="7">
        <f ca="1">IFERROR(__xludf.DUMMYFUNCTION("""COMPUTED_VALUE"""),2)</f>
        <v>2</v>
      </c>
      <c r="D9756" s="8">
        <f ca="1">IFERROR(__xludf.DUMMYFUNCTION("""COMPUTED_VALUE"""),2)</f>
        <v>2</v>
      </c>
      <c r="E9756" s="2">
        <f ca="1">IFERROR(__xludf.DUMMYFUNCTION("""COMPUTED_VALUE"""),1)</f>
        <v>1</v>
      </c>
    </row>
    <row r="9757" spans="1:5" ht="13">
      <c r="A9757" s="2" t="str">
        <f ca="1">IFERROR(__xludf.DUMMYFUNCTION("""COMPUTED_VALUE"""),"Martin, Stephanie")</f>
        <v>Martin, Stephanie</v>
      </c>
      <c r="B9757" s="3">
        <f ca="1">IFERROR(__xludf.DUMMYFUNCTION("""COMPUTED_VALUE"""),2)</f>
        <v>2</v>
      </c>
      <c r="C9757" s="7">
        <f ca="1">IFERROR(__xludf.DUMMYFUNCTION("""COMPUTED_VALUE"""),2)</f>
        <v>2</v>
      </c>
      <c r="D9757" s="8">
        <f ca="1">IFERROR(__xludf.DUMMYFUNCTION("""COMPUTED_VALUE"""),2)</f>
        <v>2</v>
      </c>
      <c r="E9757" s="2">
        <f ca="1">IFERROR(__xludf.DUMMYFUNCTION("""COMPUTED_VALUE"""),1)</f>
        <v>1</v>
      </c>
    </row>
    <row r="9758" spans="1:5" ht="13">
      <c r="A9758" s="2" t="str">
        <f ca="1">IFERROR(__xludf.DUMMYFUNCTION("""COMPUTED_VALUE"""),"Martin, Theresa")</f>
        <v>Martin, Theresa</v>
      </c>
      <c r="B9758" s="3">
        <f ca="1">IFERROR(__xludf.DUMMYFUNCTION("""COMPUTED_VALUE"""),2)</f>
        <v>2</v>
      </c>
      <c r="C9758" s="7">
        <f ca="1">IFERROR(__xludf.DUMMYFUNCTION("""COMPUTED_VALUE"""),2)</f>
        <v>2</v>
      </c>
      <c r="D9758" s="8">
        <f ca="1">IFERROR(__xludf.DUMMYFUNCTION("""COMPUTED_VALUE"""),2)</f>
        <v>2</v>
      </c>
      <c r="E9758" s="2">
        <f ca="1">IFERROR(__xludf.DUMMYFUNCTION("""COMPUTED_VALUE"""),1)</f>
        <v>1</v>
      </c>
    </row>
    <row r="9759" spans="1:5" ht="13">
      <c r="A9759" s="2" t="str">
        <f ca="1">IFERROR(__xludf.DUMMYFUNCTION("""COMPUTED_VALUE"""),"Martinaitytė, Žibuoklė")</f>
        <v>Martinaitytė, Žibuoklė</v>
      </c>
      <c r="B9759" s="3">
        <f ca="1">IFERROR(__xludf.DUMMYFUNCTION("""COMPUTED_VALUE"""),2)</f>
        <v>2</v>
      </c>
      <c r="C9759" s="7">
        <f ca="1">IFERROR(__xludf.DUMMYFUNCTION("""COMPUTED_VALUE"""),2)</f>
        <v>2</v>
      </c>
      <c r="D9759" s="8">
        <f ca="1">IFERROR(__xludf.DUMMYFUNCTION("""COMPUTED_VALUE"""),2)</f>
        <v>2</v>
      </c>
      <c r="E9759" s="2">
        <f ca="1">IFERROR(__xludf.DUMMYFUNCTION("""COMPUTED_VALUE"""),1)</f>
        <v>1</v>
      </c>
    </row>
    <row r="9760" spans="1:5" ht="13">
      <c r="A9760" s="2" t="str">
        <f ca="1">IFERROR(__xludf.DUMMYFUNCTION("""COMPUTED_VALUE"""),"Martines, Marianna")</f>
        <v>Martines, Marianna</v>
      </c>
      <c r="B9760" s="3">
        <f ca="1">IFERROR(__xludf.DUMMYFUNCTION("""COMPUTED_VALUE"""),2)</f>
        <v>2</v>
      </c>
      <c r="C9760" s="7">
        <f ca="1">IFERROR(__xludf.DUMMYFUNCTION("""COMPUTED_VALUE"""),2)</f>
        <v>2</v>
      </c>
      <c r="D9760" s="8">
        <f ca="1">IFERROR(__xludf.DUMMYFUNCTION("""COMPUTED_VALUE"""),6)</f>
        <v>6</v>
      </c>
      <c r="E9760" s="2">
        <f ca="1">IFERROR(__xludf.DUMMYFUNCTION("""COMPUTED_VALUE"""),2)</f>
        <v>2</v>
      </c>
    </row>
    <row r="9761" spans="1:5" ht="13">
      <c r="A9761" s="2" t="str">
        <f ca="1">IFERROR(__xludf.DUMMYFUNCTION("""COMPUTED_VALUE"""),"Marwood, Shelley Elizabeth")</f>
        <v>Marwood, Shelley Elizabeth</v>
      </c>
      <c r="B9761" s="2">
        <f ca="1">IFERROR(__xludf.DUMMYFUNCTION("""COMPUTED_VALUE"""),2)</f>
        <v>2</v>
      </c>
      <c r="C9761" s="7">
        <f ca="1">IFERROR(__xludf.DUMMYFUNCTION("""COMPUTED_VALUE"""),2)</f>
        <v>2</v>
      </c>
      <c r="D9761" s="8">
        <f ca="1">IFERROR(__xludf.DUMMYFUNCTION("""COMPUTED_VALUE"""),2)</f>
        <v>2</v>
      </c>
      <c r="E9761" s="2">
        <f ca="1">IFERROR(__xludf.DUMMYFUNCTION("""COMPUTED_VALUE"""),1)</f>
        <v>1</v>
      </c>
    </row>
    <row r="9762" spans="1:5" ht="13">
      <c r="A9762" s="8" t="str">
        <f ca="1">IFERROR(__xludf.DUMMYFUNCTION("""COMPUTED_VALUE"""),"Mason, Grace-Evangeline")</f>
        <v>Mason, Grace-Evangeline</v>
      </c>
      <c r="B9762" s="3">
        <f ca="1">IFERROR(__xludf.DUMMYFUNCTION("""COMPUTED_VALUE"""),2)</f>
        <v>2</v>
      </c>
      <c r="C9762" s="7">
        <f ca="1">IFERROR(__xludf.DUMMYFUNCTION("""COMPUTED_VALUE"""),2)</f>
        <v>2</v>
      </c>
      <c r="D9762" s="8">
        <f ca="1">IFERROR(__xludf.DUMMYFUNCTION("""COMPUTED_VALUE"""),2)</f>
        <v>2</v>
      </c>
      <c r="E9762" s="2">
        <f ca="1">IFERROR(__xludf.DUMMYFUNCTION("""COMPUTED_VALUE"""),1)</f>
        <v>1</v>
      </c>
    </row>
    <row r="9763" spans="1:5" ht="13">
      <c r="A9763" s="2" t="str">
        <f ca="1">IFERROR(__xludf.DUMMYFUNCTION("""COMPUTED_VALUE"""),"Mason, Terri")</f>
        <v>Mason, Terri</v>
      </c>
      <c r="B9763" s="3">
        <f ca="1">IFERROR(__xludf.DUMMYFUNCTION("""COMPUTED_VALUE"""),2)</f>
        <v>2</v>
      </c>
      <c r="C9763" s="7">
        <f ca="1">IFERROR(__xludf.DUMMYFUNCTION("""COMPUTED_VALUE"""),2)</f>
        <v>2</v>
      </c>
      <c r="D9763" s="8">
        <f ca="1">IFERROR(__xludf.DUMMYFUNCTION("""COMPUTED_VALUE"""),2)</f>
        <v>2</v>
      </c>
      <c r="E9763" s="2">
        <f ca="1">IFERROR(__xludf.DUMMYFUNCTION("""COMPUTED_VALUE"""),1)</f>
        <v>1</v>
      </c>
    </row>
    <row r="9764" spans="1:5" ht="13">
      <c r="A9764" s="2" t="str">
        <f ca="1">IFERROR(__xludf.DUMMYFUNCTION("""COMPUTED_VALUE"""),"Masterson, Linda")</f>
        <v>Masterson, Linda</v>
      </c>
      <c r="B9764" s="3">
        <f ca="1">IFERROR(__xludf.DUMMYFUNCTION("""COMPUTED_VALUE"""),2)</f>
        <v>2</v>
      </c>
      <c r="C9764" s="7">
        <f ca="1">IFERROR(__xludf.DUMMYFUNCTION("""COMPUTED_VALUE"""),2)</f>
        <v>2</v>
      </c>
      <c r="D9764" s="8">
        <f ca="1">IFERROR(__xludf.DUMMYFUNCTION("""COMPUTED_VALUE"""),6)</f>
        <v>6</v>
      </c>
      <c r="E9764" s="2">
        <f ca="1">IFERROR(__xludf.DUMMYFUNCTION("""COMPUTED_VALUE"""),2)</f>
        <v>2</v>
      </c>
    </row>
    <row r="9765" spans="1:5" ht="13">
      <c r="A9765" s="2" t="str">
        <f ca="1">IFERROR(__xludf.DUMMYFUNCTION("""COMPUTED_VALUE"""),"Mathieu, Sophie")</f>
        <v>Mathieu, Sophie</v>
      </c>
      <c r="B9765" s="2">
        <f ca="1">IFERROR(__xludf.DUMMYFUNCTION("""COMPUTED_VALUE"""),2)</f>
        <v>2</v>
      </c>
      <c r="C9765" s="7">
        <f ca="1">IFERROR(__xludf.DUMMYFUNCTION("""COMPUTED_VALUE"""),2)</f>
        <v>2</v>
      </c>
      <c r="D9765" s="8">
        <f ca="1">IFERROR(__xludf.DUMMYFUNCTION("""COMPUTED_VALUE"""),2)</f>
        <v>2</v>
      </c>
      <c r="E9765" s="2">
        <f ca="1">IFERROR(__xludf.DUMMYFUNCTION("""COMPUTED_VALUE"""),1)</f>
        <v>1</v>
      </c>
    </row>
    <row r="9766" spans="1:5" ht="13">
      <c r="A9766" s="2" t="str">
        <f ca="1">IFERROR(__xludf.DUMMYFUNCTION("""COMPUTED_VALUE"""),"Maunders, Florence")</f>
        <v>Maunders, Florence</v>
      </c>
      <c r="B9766" s="3">
        <f ca="1">IFERROR(__xludf.DUMMYFUNCTION("""COMPUTED_VALUE"""),2)</f>
        <v>2</v>
      </c>
      <c r="C9766" s="7">
        <f ca="1">IFERROR(__xludf.DUMMYFUNCTION("""COMPUTED_VALUE"""),2)</f>
        <v>2</v>
      </c>
      <c r="D9766" s="8">
        <f ca="1">IFERROR(__xludf.DUMMYFUNCTION("""COMPUTED_VALUE"""),2)</f>
        <v>2</v>
      </c>
      <c r="E9766" s="2">
        <f ca="1">IFERROR(__xludf.DUMMYFUNCTION("""COMPUTED_VALUE"""),1)</f>
        <v>1</v>
      </c>
    </row>
    <row r="9767" spans="1:5" ht="13">
      <c r="A9767" s="2" t="str">
        <f ca="1">IFERROR(__xludf.DUMMYFUNCTION("""COMPUTED_VALUE"""),"Maurice, Paule")</f>
        <v>Maurice, Paule</v>
      </c>
      <c r="B9767" s="3">
        <f ca="1">IFERROR(__xludf.DUMMYFUNCTION("""COMPUTED_VALUE"""),2)</f>
        <v>2</v>
      </c>
      <c r="C9767" s="7">
        <f ca="1">IFERROR(__xludf.DUMMYFUNCTION("""COMPUTED_VALUE"""),2)</f>
        <v>2</v>
      </c>
      <c r="D9767" s="8">
        <f ca="1">IFERROR(__xludf.DUMMYFUNCTION("""COMPUTED_VALUE"""),6)</f>
        <v>6</v>
      </c>
      <c r="E9767" s="2">
        <f ca="1">IFERROR(__xludf.DUMMYFUNCTION("""COMPUTED_VALUE"""),2)</f>
        <v>2</v>
      </c>
    </row>
    <row r="9768" spans="1:5" ht="13">
      <c r="A9768" s="2" t="str">
        <f ca="1">IFERROR(__xludf.DUMMYFUNCTION("""COMPUTED_VALUE"""),"May, Lissa Fleming")</f>
        <v>May, Lissa Fleming</v>
      </c>
      <c r="B9768" s="2">
        <f ca="1">IFERROR(__xludf.DUMMYFUNCTION("""COMPUTED_VALUE"""),2)</f>
        <v>2</v>
      </c>
      <c r="C9768" s="2">
        <f ca="1">IFERROR(__xludf.DUMMYFUNCTION("""COMPUTED_VALUE"""),2)</f>
        <v>2</v>
      </c>
      <c r="D9768" s="8">
        <f ca="1">IFERROR(__xludf.DUMMYFUNCTION("""COMPUTED_VALUE"""),2)</f>
        <v>2</v>
      </c>
      <c r="E9768" s="2">
        <f ca="1">IFERROR(__xludf.DUMMYFUNCTION("""COMPUTED_VALUE"""),1)</f>
        <v>1</v>
      </c>
    </row>
    <row r="9769" spans="1:5" ht="13">
      <c r="A9769" s="2" t="str">
        <f ca="1">IFERROR(__xludf.DUMMYFUNCTION("""COMPUTED_VALUE"""),"May, S. Beth")</f>
        <v>May, S. Beth</v>
      </c>
      <c r="B9769" s="3">
        <f ca="1">IFERROR(__xludf.DUMMYFUNCTION("""COMPUTED_VALUE"""),2)</f>
        <v>2</v>
      </c>
      <c r="C9769" s="7">
        <f ca="1">IFERROR(__xludf.DUMMYFUNCTION("""COMPUTED_VALUE"""),2)</f>
        <v>2</v>
      </c>
      <c r="D9769" s="8">
        <f ca="1">IFERROR(__xludf.DUMMYFUNCTION("""COMPUTED_VALUE"""),2)</f>
        <v>2</v>
      </c>
      <c r="E9769" s="2">
        <f ca="1">IFERROR(__xludf.DUMMYFUNCTION("""COMPUTED_VALUE"""),1)</f>
        <v>1</v>
      </c>
    </row>
    <row r="9770" spans="1:5" ht="13">
      <c r="A9770" s="2" t="str">
        <f ca="1">IFERROR(__xludf.DUMMYFUNCTION("""COMPUTED_VALUE"""),"Mayer, Emilie")</f>
        <v>Mayer, Emilie</v>
      </c>
      <c r="B9770" s="3">
        <f ca="1">IFERROR(__xludf.DUMMYFUNCTION("""COMPUTED_VALUE"""),2)</f>
        <v>2</v>
      </c>
      <c r="C9770" s="7">
        <f ca="1">IFERROR(__xludf.DUMMYFUNCTION("""COMPUTED_VALUE"""),2)</f>
        <v>2</v>
      </c>
      <c r="D9770" s="8">
        <f ca="1">IFERROR(__xludf.DUMMYFUNCTION("""COMPUTED_VALUE"""),6)</f>
        <v>6</v>
      </c>
      <c r="E9770" s="2">
        <f ca="1">IFERROR(__xludf.DUMMYFUNCTION("""COMPUTED_VALUE"""),2)</f>
        <v>2</v>
      </c>
    </row>
    <row r="9771" spans="1:5" ht="13">
      <c r="A9771" s="8" t="str">
        <f ca="1">IFERROR(__xludf.DUMMYFUNCTION("""COMPUTED_VALUE"""),"Mayo, Becki Slagle")</f>
        <v>Mayo, Becki Slagle</v>
      </c>
      <c r="B9771" s="3">
        <f ca="1">IFERROR(__xludf.DUMMYFUNCTION("""COMPUTED_VALUE"""),2)</f>
        <v>2</v>
      </c>
      <c r="C9771" s="7">
        <f ca="1">IFERROR(__xludf.DUMMYFUNCTION("""COMPUTED_VALUE"""),2)</f>
        <v>2</v>
      </c>
      <c r="D9771" s="8">
        <f ca="1">IFERROR(__xludf.DUMMYFUNCTION("""COMPUTED_VALUE"""),2)</f>
        <v>2</v>
      </c>
      <c r="E9771" s="2">
        <f ca="1">IFERROR(__xludf.DUMMYFUNCTION("""COMPUTED_VALUE"""),1)</f>
        <v>1</v>
      </c>
    </row>
    <row r="9772" spans="1:5" ht="13">
      <c r="A9772" s="2" t="str">
        <f ca="1">IFERROR(__xludf.DUMMYFUNCTION("""COMPUTED_VALUE"""),"Mayo, Becki Slagle / Zarlenga, Dale")</f>
        <v>Mayo, Becki Slagle / Zarlenga, Dale</v>
      </c>
      <c r="B9772" s="2">
        <f ca="1">IFERROR(__xludf.DUMMYFUNCTION("""COMPUTED_VALUE"""),2)</f>
        <v>2</v>
      </c>
      <c r="C9772" s="2">
        <f ca="1">IFERROR(__xludf.DUMMYFUNCTION("""COMPUTED_VALUE"""),2)</f>
        <v>2</v>
      </c>
      <c r="D9772" s="8">
        <f ca="1">IFERROR(__xludf.DUMMYFUNCTION("""COMPUTED_VALUE"""),2)</f>
        <v>2</v>
      </c>
      <c r="E9772" s="2">
        <f ca="1">IFERROR(__xludf.DUMMYFUNCTION("""COMPUTED_VALUE"""),1)</f>
        <v>1</v>
      </c>
    </row>
    <row r="9773" spans="1:5" ht="13">
      <c r="A9773" s="2" t="str">
        <f ca="1">IFERROR(__xludf.DUMMYFUNCTION("""COMPUTED_VALUE"""),"Mayo, Slagle")</f>
        <v>Mayo, Slagle</v>
      </c>
      <c r="B9773" s="3">
        <f ca="1">IFERROR(__xludf.DUMMYFUNCTION("""COMPUTED_VALUE"""),2)</f>
        <v>2</v>
      </c>
      <c r="C9773" s="7">
        <f ca="1">IFERROR(__xludf.DUMMYFUNCTION("""COMPUTED_VALUE"""),2)</f>
        <v>2</v>
      </c>
      <c r="D9773" s="8">
        <f ca="1">IFERROR(__xludf.DUMMYFUNCTION("""COMPUTED_VALUE"""),2)</f>
        <v>2</v>
      </c>
      <c r="E9773" s="2">
        <f ca="1">IFERROR(__xludf.DUMMYFUNCTION("""COMPUTED_VALUE"""),1)</f>
        <v>1</v>
      </c>
    </row>
    <row r="9774" spans="1:5" ht="13">
      <c r="A9774" s="2" t="str">
        <f ca="1">IFERROR(__xludf.DUMMYFUNCTION("""COMPUTED_VALUE"""),"Mazzoli, Missy")</f>
        <v>Mazzoli, Missy</v>
      </c>
      <c r="B9774" s="3">
        <f ca="1">IFERROR(__xludf.DUMMYFUNCTION("""COMPUTED_VALUE"""),2)</f>
        <v>2</v>
      </c>
      <c r="C9774" s="7">
        <f ca="1">IFERROR(__xludf.DUMMYFUNCTION("""COMPUTED_VALUE"""),2)</f>
        <v>2</v>
      </c>
      <c r="D9774" s="8">
        <f ca="1">IFERROR(__xludf.DUMMYFUNCTION("""COMPUTED_VALUE"""),2)</f>
        <v>2</v>
      </c>
      <c r="E9774" s="2">
        <f ca="1">IFERROR(__xludf.DUMMYFUNCTION("""COMPUTED_VALUE"""),1)</f>
        <v>1</v>
      </c>
    </row>
    <row r="9775" spans="1:5" ht="13">
      <c r="A9775" s="2" t="str">
        <f ca="1">IFERROR(__xludf.DUMMYFUNCTION("""COMPUTED_VALUE"""),"McAllister, Janice")</f>
        <v>McAllister, Janice</v>
      </c>
      <c r="B9775" s="2">
        <f ca="1">IFERROR(__xludf.DUMMYFUNCTION("""COMPUTED_VALUE"""),2)</f>
        <v>2</v>
      </c>
      <c r="C9775" s="7">
        <f ca="1">IFERROR(__xludf.DUMMYFUNCTION("""COMPUTED_VALUE"""),2)</f>
        <v>2</v>
      </c>
      <c r="D9775" s="8">
        <f ca="1">IFERROR(__xludf.DUMMYFUNCTION("""COMPUTED_VALUE"""),2)</f>
        <v>2</v>
      </c>
      <c r="E9775" s="2">
        <f ca="1">IFERROR(__xludf.DUMMYFUNCTION("""COMPUTED_VALUE"""),1)</f>
        <v>1</v>
      </c>
    </row>
    <row r="9776" spans="1:5" ht="13">
      <c r="A9776" s="2" t="str">
        <f ca="1">IFERROR(__xludf.DUMMYFUNCTION("""COMPUTED_VALUE"""),"McAuliffe, Mary S.")</f>
        <v>McAuliffe, Mary S.</v>
      </c>
      <c r="B9776" s="3">
        <f ca="1">IFERROR(__xludf.DUMMYFUNCTION("""COMPUTED_VALUE"""),2)</f>
        <v>2</v>
      </c>
      <c r="C9776" s="7">
        <f ca="1">IFERROR(__xludf.DUMMYFUNCTION("""COMPUTED_VALUE"""),2)</f>
        <v>2</v>
      </c>
      <c r="D9776" s="8">
        <f ca="1">IFERROR(__xludf.DUMMYFUNCTION("""COMPUTED_VALUE"""),2)</f>
        <v>2</v>
      </c>
      <c r="E9776" s="2">
        <f ca="1">IFERROR(__xludf.DUMMYFUNCTION("""COMPUTED_VALUE"""),1)</f>
        <v>1</v>
      </c>
    </row>
    <row r="9777" spans="1:5" ht="13">
      <c r="A9777" s="2" t="str">
        <f ca="1">IFERROR(__xludf.DUMMYFUNCTION("""COMPUTED_VALUE"""),"McCoy, Beth Perkinson")</f>
        <v>McCoy, Beth Perkinson</v>
      </c>
      <c r="B9777" s="3">
        <f ca="1">IFERROR(__xludf.DUMMYFUNCTION("""COMPUTED_VALUE"""),2)</f>
        <v>2</v>
      </c>
      <c r="C9777" s="7">
        <f ca="1">IFERROR(__xludf.DUMMYFUNCTION("""COMPUTED_VALUE"""),2)</f>
        <v>2</v>
      </c>
      <c r="D9777" s="8">
        <f ca="1">IFERROR(__xludf.DUMMYFUNCTION("""COMPUTED_VALUE"""),2)</f>
        <v>2</v>
      </c>
      <c r="E9777" s="2">
        <f ca="1">IFERROR(__xludf.DUMMYFUNCTION("""COMPUTED_VALUE"""),1)</f>
        <v>1</v>
      </c>
    </row>
    <row r="9778" spans="1:5" ht="13">
      <c r="A9778" s="2" t="str">
        <f ca="1">IFERROR(__xludf.DUMMYFUNCTION("""COMPUTED_VALUE"""),"McCune, Sally Lamb")</f>
        <v>McCune, Sally Lamb</v>
      </c>
      <c r="B9778" s="3">
        <f ca="1">IFERROR(__xludf.DUMMYFUNCTION("""COMPUTED_VALUE"""),2)</f>
        <v>2</v>
      </c>
      <c r="C9778" s="7">
        <f ca="1">IFERROR(__xludf.DUMMYFUNCTION("""COMPUTED_VALUE"""),2)</f>
        <v>2</v>
      </c>
      <c r="D9778" s="8">
        <f ca="1">IFERROR(__xludf.DUMMYFUNCTION("""COMPUTED_VALUE"""),2)</f>
        <v>2</v>
      </c>
      <c r="E9778" s="2">
        <f ca="1">IFERROR(__xludf.DUMMYFUNCTION("""COMPUTED_VALUE"""),1)</f>
        <v>1</v>
      </c>
    </row>
    <row r="9779" spans="1:5" ht="13">
      <c r="A9779" s="2" t="str">
        <f ca="1">IFERROR(__xludf.DUMMYFUNCTION("""COMPUTED_VALUE"""),"McDonald, Mary")</f>
        <v>McDonald, Mary</v>
      </c>
      <c r="B9779" s="3">
        <f ca="1">IFERROR(__xludf.DUMMYFUNCTION("""COMPUTED_VALUE"""),2)</f>
        <v>2</v>
      </c>
      <c r="C9779" s="7">
        <f ca="1">IFERROR(__xludf.DUMMYFUNCTION("""COMPUTED_VALUE"""),2)</f>
        <v>2</v>
      </c>
      <c r="D9779" s="8">
        <f ca="1">IFERROR(__xludf.DUMMYFUNCTION("""COMPUTED_VALUE"""),2)</f>
        <v>2</v>
      </c>
      <c r="E9779" s="2">
        <f ca="1">IFERROR(__xludf.DUMMYFUNCTION("""COMPUTED_VALUE"""),1)</f>
        <v>1</v>
      </c>
    </row>
    <row r="9780" spans="1:5" ht="13">
      <c r="A9780" s="2" t="str">
        <f ca="1">IFERROR(__xludf.DUMMYFUNCTION("""COMPUTED_VALUE"""),"McDonel, Jennifer")</f>
        <v>McDonel, Jennifer</v>
      </c>
      <c r="B9780" s="2">
        <f ca="1">IFERROR(__xludf.DUMMYFUNCTION("""COMPUTED_VALUE"""),2)</f>
        <v>2</v>
      </c>
      <c r="C9780" s="7">
        <f ca="1">IFERROR(__xludf.DUMMYFUNCTION("""COMPUTED_VALUE"""),2)</f>
        <v>2</v>
      </c>
      <c r="D9780" s="8">
        <f ca="1">IFERROR(__xludf.DUMMYFUNCTION("""COMPUTED_VALUE"""),2)</f>
        <v>2</v>
      </c>
      <c r="E9780" s="2">
        <f ca="1">IFERROR(__xludf.DUMMYFUNCTION("""COMPUTED_VALUE"""),1)</f>
        <v>1</v>
      </c>
    </row>
    <row r="9781" spans="1:5" ht="13">
      <c r="A9781" s="2" t="str">
        <f ca="1">IFERROR(__xludf.DUMMYFUNCTION("""COMPUTED_VALUE"""),"McDowall, Cecilia")</f>
        <v>McDowall, Cecilia</v>
      </c>
      <c r="B9781" s="3">
        <f ca="1">IFERROR(__xludf.DUMMYFUNCTION("""COMPUTED_VALUE"""),2)</f>
        <v>2</v>
      </c>
      <c r="C9781" s="7">
        <f ca="1">IFERROR(__xludf.DUMMYFUNCTION("""COMPUTED_VALUE"""),2)</f>
        <v>2</v>
      </c>
      <c r="D9781" s="8">
        <f ca="1">IFERROR(__xludf.DUMMYFUNCTION("""COMPUTED_VALUE"""),2)</f>
        <v>2</v>
      </c>
      <c r="E9781" s="2">
        <f ca="1">IFERROR(__xludf.DUMMYFUNCTION("""COMPUTED_VALUE"""),1)</f>
        <v>1</v>
      </c>
    </row>
    <row r="9782" spans="1:5" ht="13">
      <c r="A9782" s="2" t="str">
        <f ca="1">IFERROR(__xludf.DUMMYFUNCTION("""COMPUTED_VALUE"""),"McFadden, Jane")</f>
        <v>McFadden, Jane</v>
      </c>
      <c r="B9782" s="2">
        <f ca="1">IFERROR(__xludf.DUMMYFUNCTION("""COMPUTED_VALUE"""),2)</f>
        <v>2</v>
      </c>
      <c r="C9782" s="2">
        <f ca="1">IFERROR(__xludf.DUMMYFUNCTION("""COMPUTED_VALUE"""),2)</f>
        <v>2</v>
      </c>
      <c r="D9782" s="8">
        <f ca="1">IFERROR(__xludf.DUMMYFUNCTION("""COMPUTED_VALUE"""),2)</f>
        <v>2</v>
      </c>
      <c r="E9782" s="2">
        <f ca="1">IFERROR(__xludf.DUMMYFUNCTION("""COMPUTED_VALUE"""),1)</f>
        <v>1</v>
      </c>
    </row>
    <row r="9783" spans="1:5" ht="13">
      <c r="A9783" s="2" t="str">
        <f ca="1">IFERROR(__xludf.DUMMYFUNCTION("""COMPUTED_VALUE"""),"McGinty, Anne")</f>
        <v>McGinty, Anne</v>
      </c>
      <c r="B9783" s="3">
        <f ca="1">IFERROR(__xludf.DUMMYFUNCTION("""COMPUTED_VALUE"""),2)</f>
        <v>2</v>
      </c>
      <c r="C9783" s="7">
        <f ca="1">IFERROR(__xludf.DUMMYFUNCTION("""COMPUTED_VALUE"""),2)</f>
        <v>2</v>
      </c>
      <c r="D9783" s="8">
        <f ca="1">IFERROR(__xludf.DUMMYFUNCTION("""COMPUTED_VALUE"""),2)</f>
        <v>2</v>
      </c>
      <c r="E9783" s="2">
        <f ca="1">IFERROR(__xludf.DUMMYFUNCTION("""COMPUTED_VALUE"""),1)</f>
        <v>1</v>
      </c>
    </row>
    <row r="9784" spans="1:5" ht="13">
      <c r="A9784" s="2" t="str">
        <f ca="1">IFERROR(__xludf.DUMMYFUNCTION("""COMPUTED_VALUE"""),"McGlade, Becky")</f>
        <v>McGlade, Becky</v>
      </c>
      <c r="B9784" s="3">
        <f ca="1">IFERROR(__xludf.DUMMYFUNCTION("""COMPUTED_VALUE"""),2)</f>
        <v>2</v>
      </c>
      <c r="C9784" s="7">
        <f ca="1">IFERROR(__xludf.DUMMYFUNCTION("""COMPUTED_VALUE"""),2)</f>
        <v>2</v>
      </c>
      <c r="D9784" s="8">
        <f ca="1">IFERROR(__xludf.DUMMYFUNCTION("""COMPUTED_VALUE"""),2)</f>
        <v>2</v>
      </c>
      <c r="E9784" s="2">
        <f ca="1">IFERROR(__xludf.DUMMYFUNCTION("""COMPUTED_VALUE"""),1)</f>
        <v>1</v>
      </c>
    </row>
    <row r="9785" spans="1:5" ht="13">
      <c r="A9785" s="2" t="str">
        <f ca="1">IFERROR(__xludf.DUMMYFUNCTION("""COMPUTED_VALUE"""),"McGuire, Kathleen")</f>
        <v>McGuire, Kathleen</v>
      </c>
      <c r="B9785" s="2">
        <f ca="1">IFERROR(__xludf.DUMMYFUNCTION("""COMPUTED_VALUE"""),2)</f>
        <v>2</v>
      </c>
      <c r="C9785" s="2">
        <f ca="1">IFERROR(__xludf.DUMMYFUNCTION("""COMPUTED_VALUE"""),2)</f>
        <v>2</v>
      </c>
      <c r="D9785" s="8">
        <f ca="1">IFERROR(__xludf.DUMMYFUNCTION("""COMPUTED_VALUE"""),2)</f>
        <v>2</v>
      </c>
      <c r="E9785" s="2">
        <f ca="1">IFERROR(__xludf.DUMMYFUNCTION("""COMPUTED_VALUE"""),1)</f>
        <v>1</v>
      </c>
    </row>
    <row r="9786" spans="1:5" ht="13">
      <c r="A9786" s="2" t="str">
        <f ca="1">IFERROR(__xludf.DUMMYFUNCTION("""COMPUTED_VALUE"""),"McKay, Dosia")</f>
        <v>McKay, Dosia</v>
      </c>
      <c r="B9786" s="3">
        <f ca="1">IFERROR(__xludf.DUMMYFUNCTION("""COMPUTED_VALUE"""),2)</f>
        <v>2</v>
      </c>
      <c r="C9786" s="7">
        <f ca="1">IFERROR(__xludf.DUMMYFUNCTION("""COMPUTED_VALUE"""),2)</f>
        <v>2</v>
      </c>
      <c r="D9786" s="8">
        <f ca="1">IFERROR(__xludf.DUMMYFUNCTION("""COMPUTED_VALUE"""),2)</f>
        <v>2</v>
      </c>
      <c r="E9786" s="2">
        <f ca="1">IFERROR(__xludf.DUMMYFUNCTION("""COMPUTED_VALUE"""),1)</f>
        <v>1</v>
      </c>
    </row>
    <row r="9787" spans="1:5" ht="13">
      <c r="A9787" s="2" t="str">
        <f ca="1">IFERROR(__xludf.DUMMYFUNCTION("""COMPUTED_VALUE"""),"McKennitt, Lorena")</f>
        <v>McKennitt, Lorena</v>
      </c>
      <c r="B9787" s="3">
        <f ca="1">IFERROR(__xludf.DUMMYFUNCTION("""COMPUTED_VALUE"""),2)</f>
        <v>2</v>
      </c>
      <c r="C9787" s="7">
        <f ca="1">IFERROR(__xludf.DUMMYFUNCTION("""COMPUTED_VALUE"""),2)</f>
        <v>2</v>
      </c>
      <c r="D9787" s="8">
        <f ca="1">IFERROR(__xludf.DUMMYFUNCTION("""COMPUTED_VALUE"""),2)</f>
        <v>2</v>
      </c>
      <c r="E9787" s="2">
        <f ca="1">IFERROR(__xludf.DUMMYFUNCTION("""COMPUTED_VALUE"""),1)</f>
        <v>1</v>
      </c>
    </row>
    <row r="9788" spans="1:5" ht="13">
      <c r="A9788" s="2" t="str">
        <f ca="1">IFERROR(__xludf.DUMMYFUNCTION("""COMPUTED_VALUE"""),"McKennon, Anne")</f>
        <v>McKennon, Anne</v>
      </c>
      <c r="B9788" s="3">
        <f ca="1">IFERROR(__xludf.DUMMYFUNCTION("""COMPUTED_VALUE"""),2)</f>
        <v>2</v>
      </c>
      <c r="C9788" s="7">
        <f ca="1">IFERROR(__xludf.DUMMYFUNCTION("""COMPUTED_VALUE"""),2)</f>
        <v>2</v>
      </c>
      <c r="D9788" s="8">
        <f ca="1">IFERROR(__xludf.DUMMYFUNCTION("""COMPUTED_VALUE"""),2)</f>
        <v>2</v>
      </c>
      <c r="E9788" s="2">
        <f ca="1">IFERROR(__xludf.DUMMYFUNCTION("""COMPUTED_VALUE"""),1)</f>
        <v>1</v>
      </c>
    </row>
    <row r="9789" spans="1:5" ht="13">
      <c r="A9789" s="2" t="str">
        <f ca="1">IFERROR(__xludf.DUMMYFUNCTION("""COMPUTED_VALUE"""),"McLarty, Bonnie")</f>
        <v>McLarty, Bonnie</v>
      </c>
      <c r="B9789" s="3">
        <f ca="1">IFERROR(__xludf.DUMMYFUNCTION("""COMPUTED_VALUE"""),2)</f>
        <v>2</v>
      </c>
      <c r="C9789" s="7">
        <f ca="1">IFERROR(__xludf.DUMMYFUNCTION("""COMPUTED_VALUE"""),2)</f>
        <v>2</v>
      </c>
      <c r="D9789" s="8">
        <f ca="1">IFERROR(__xludf.DUMMYFUNCTION("""COMPUTED_VALUE"""),2)</f>
        <v>2</v>
      </c>
      <c r="E9789" s="2">
        <f ca="1">IFERROR(__xludf.DUMMYFUNCTION("""COMPUTED_VALUE"""),1)</f>
        <v>1</v>
      </c>
    </row>
    <row r="9790" spans="1:5" ht="13">
      <c r="A9790" s="2" t="str">
        <f ca="1">IFERROR(__xludf.DUMMYFUNCTION("""COMPUTED_VALUE"""),"McLaughlin, Marian")</f>
        <v>McLaughlin, Marian</v>
      </c>
      <c r="B9790" s="3">
        <f ca="1">IFERROR(__xludf.DUMMYFUNCTION("""COMPUTED_VALUE"""),2)</f>
        <v>2</v>
      </c>
      <c r="C9790" s="7">
        <f ca="1">IFERROR(__xludf.DUMMYFUNCTION("""COMPUTED_VALUE"""),2)</f>
        <v>2</v>
      </c>
      <c r="D9790" s="8">
        <f ca="1">IFERROR(__xludf.DUMMYFUNCTION("""COMPUTED_VALUE"""),2)</f>
        <v>2</v>
      </c>
      <c r="E9790" s="2">
        <f ca="1">IFERROR(__xludf.DUMMYFUNCTION("""COMPUTED_VALUE"""),1)</f>
        <v>1</v>
      </c>
    </row>
    <row r="9791" spans="1:5" ht="13">
      <c r="A9791" s="2" t="str">
        <f ca="1">IFERROR(__xludf.DUMMYFUNCTION("""COMPUTED_VALUE"""),"McLeod, Carol")</f>
        <v>McLeod, Carol</v>
      </c>
      <c r="B9791" s="3">
        <f ca="1">IFERROR(__xludf.DUMMYFUNCTION("""COMPUTED_VALUE"""),2)</f>
        <v>2</v>
      </c>
      <c r="C9791" s="7">
        <f ca="1">IFERROR(__xludf.DUMMYFUNCTION("""COMPUTED_VALUE"""),2)</f>
        <v>2</v>
      </c>
      <c r="D9791" s="8">
        <f ca="1">IFERROR(__xludf.DUMMYFUNCTION("""COMPUTED_VALUE"""),2)</f>
        <v>2</v>
      </c>
      <c r="E9791" s="2">
        <f ca="1">IFERROR(__xludf.DUMMYFUNCTION("""COMPUTED_VALUE"""),1)</f>
        <v>1</v>
      </c>
    </row>
    <row r="9792" spans="1:5" ht="13">
      <c r="A9792" s="8" t="str">
        <f ca="1">IFERROR(__xludf.DUMMYFUNCTION("""COMPUTED_VALUE"""),"McMane, Susan")</f>
        <v>McMane, Susan</v>
      </c>
      <c r="B9792" s="3">
        <f ca="1">IFERROR(__xludf.DUMMYFUNCTION("""COMPUTED_VALUE"""),2)</f>
        <v>2</v>
      </c>
      <c r="C9792" s="7">
        <f ca="1">IFERROR(__xludf.DUMMYFUNCTION("""COMPUTED_VALUE"""),2)</f>
        <v>2</v>
      </c>
      <c r="D9792" s="8">
        <f ca="1">IFERROR(__xludf.DUMMYFUNCTION("""COMPUTED_VALUE"""),2)</f>
        <v>2</v>
      </c>
      <c r="E9792" s="2">
        <f ca="1">IFERROR(__xludf.DUMMYFUNCTION("""COMPUTED_VALUE"""),1)</f>
        <v>1</v>
      </c>
    </row>
    <row r="9793" spans="1:5" ht="13">
      <c r="A9793" s="2" t="str">
        <f ca="1">IFERROR(__xludf.DUMMYFUNCTION("""COMPUTED_VALUE"""),"McMichael, Catherine")</f>
        <v>McMichael, Catherine</v>
      </c>
      <c r="B9793" s="3">
        <f ca="1">IFERROR(__xludf.DUMMYFUNCTION("""COMPUTED_VALUE"""),2)</f>
        <v>2</v>
      </c>
      <c r="C9793" s="7">
        <f ca="1">IFERROR(__xludf.DUMMYFUNCTION("""COMPUTED_VALUE"""),2)</f>
        <v>2</v>
      </c>
      <c r="D9793" s="8">
        <f ca="1">IFERROR(__xludf.DUMMYFUNCTION("""COMPUTED_VALUE"""),2)</f>
        <v>2</v>
      </c>
      <c r="E9793" s="2">
        <f ca="1">IFERROR(__xludf.DUMMYFUNCTION("""COMPUTED_VALUE"""),1)</f>
        <v>1</v>
      </c>
    </row>
    <row r="9794" spans="1:5" ht="13">
      <c r="A9794" s="8" t="str">
        <f ca="1">IFERROR(__xludf.DUMMYFUNCTION("""COMPUTED_VALUE"""),"McMillan, Jennifer")</f>
        <v>McMillan, Jennifer</v>
      </c>
      <c r="B9794" s="3">
        <f ca="1">IFERROR(__xludf.DUMMYFUNCTION("""COMPUTED_VALUE"""),2)</f>
        <v>2</v>
      </c>
      <c r="C9794" s="7">
        <f ca="1">IFERROR(__xludf.DUMMYFUNCTION("""COMPUTED_VALUE"""),2)</f>
        <v>2</v>
      </c>
      <c r="D9794" s="8">
        <f ca="1">IFERROR(__xludf.DUMMYFUNCTION("""COMPUTED_VALUE"""),2)</f>
        <v>2</v>
      </c>
      <c r="E9794" s="2">
        <f ca="1">IFERROR(__xludf.DUMMYFUNCTION("""COMPUTED_VALUE"""),1)</f>
        <v>1</v>
      </c>
    </row>
    <row r="9795" spans="1:5" ht="13">
      <c r="A9795" s="2" t="str">
        <f ca="1">IFERROR(__xludf.DUMMYFUNCTION("""COMPUTED_VALUE"""),"McPheeters, Terre")</f>
        <v>McPheeters, Terre</v>
      </c>
      <c r="B9795" s="3">
        <f ca="1">IFERROR(__xludf.DUMMYFUNCTION("""COMPUTED_VALUE"""),2)</f>
        <v>2</v>
      </c>
      <c r="C9795" s="7">
        <f ca="1">IFERROR(__xludf.DUMMYFUNCTION("""COMPUTED_VALUE"""),2)</f>
        <v>2</v>
      </c>
      <c r="D9795" s="8">
        <f ca="1">IFERROR(__xludf.DUMMYFUNCTION("""COMPUTED_VALUE"""),2)</f>
        <v>2</v>
      </c>
      <c r="E9795" s="2">
        <f ca="1">IFERROR(__xludf.DUMMYFUNCTION("""COMPUTED_VALUE"""),1)</f>
        <v>1</v>
      </c>
    </row>
    <row r="9796" spans="1:5" ht="13">
      <c r="A9796" s="8" t="str">
        <f ca="1">IFERROR(__xludf.DUMMYFUNCTION("""COMPUTED_VALUE"""),"McRae, Shirley")</f>
        <v>McRae, Shirley</v>
      </c>
      <c r="B9796" s="3">
        <f ca="1">IFERROR(__xludf.DUMMYFUNCTION("""COMPUTED_VALUE"""),2)</f>
        <v>2</v>
      </c>
      <c r="C9796" s="7">
        <f ca="1">IFERROR(__xludf.DUMMYFUNCTION("""COMPUTED_VALUE"""),2)</f>
        <v>2</v>
      </c>
      <c r="D9796" s="8">
        <f ca="1">IFERROR(__xludf.DUMMYFUNCTION("""COMPUTED_VALUE"""),2)</f>
        <v>2</v>
      </c>
      <c r="E9796" s="2">
        <f ca="1">IFERROR(__xludf.DUMMYFUNCTION("""COMPUTED_VALUE"""),1)</f>
        <v>1</v>
      </c>
    </row>
    <row r="9797" spans="1:5" ht="13">
      <c r="A9797" s="2" t="str">
        <f ca="1">IFERROR(__xludf.DUMMYFUNCTION("""COMPUTED_VALUE"""),"McTee, Cindy")</f>
        <v>McTee, Cindy</v>
      </c>
      <c r="B9797" s="3">
        <f ca="1">IFERROR(__xludf.DUMMYFUNCTION("""COMPUTED_VALUE"""),2)</f>
        <v>2</v>
      </c>
      <c r="C9797" s="7">
        <f ca="1">IFERROR(__xludf.DUMMYFUNCTION("""COMPUTED_VALUE"""),2)</f>
        <v>2</v>
      </c>
      <c r="D9797" s="8">
        <f ca="1">IFERROR(__xludf.DUMMYFUNCTION("""COMPUTED_VALUE"""),2)</f>
        <v>2</v>
      </c>
      <c r="E9797" s="2">
        <f ca="1">IFERROR(__xludf.DUMMYFUNCTION("""COMPUTED_VALUE"""),1)</f>
        <v>1</v>
      </c>
    </row>
    <row r="9798" spans="1:5" ht="13">
      <c r="A9798" s="2" t="str">
        <f ca="1">IFERROR(__xludf.DUMMYFUNCTION("""COMPUTED_VALUE"""),"McTigue, Sue")</f>
        <v>McTigue, Sue</v>
      </c>
      <c r="B9798" s="3">
        <f ca="1">IFERROR(__xludf.DUMMYFUNCTION("""COMPUTED_VALUE"""),2)</f>
        <v>2</v>
      </c>
      <c r="C9798" s="7">
        <f ca="1">IFERROR(__xludf.DUMMYFUNCTION("""COMPUTED_VALUE"""),2)</f>
        <v>2</v>
      </c>
      <c r="D9798" s="8">
        <f ca="1">IFERROR(__xludf.DUMMYFUNCTION("""COMPUTED_VALUE"""),2)</f>
        <v>2</v>
      </c>
      <c r="E9798" s="2">
        <f ca="1">IFERROR(__xludf.DUMMYFUNCTION("""COMPUTED_VALUE"""),1)</f>
        <v>1</v>
      </c>
    </row>
    <row r="9799" spans="1:5" ht="13">
      <c r="A9799" s="2" t="str">
        <f ca="1">IFERROR(__xludf.DUMMYFUNCTION("""COMPUTED_VALUE"""),"Meckler, Jennifer")</f>
        <v>Meckler, Jennifer</v>
      </c>
      <c r="B9799" s="3">
        <f ca="1">IFERROR(__xludf.DUMMYFUNCTION("""COMPUTED_VALUE"""),2)</f>
        <v>2</v>
      </c>
      <c r="C9799" s="7">
        <f ca="1">IFERROR(__xludf.DUMMYFUNCTION("""COMPUTED_VALUE"""),2)</f>
        <v>2</v>
      </c>
      <c r="D9799" s="8">
        <f ca="1">IFERROR(__xludf.DUMMYFUNCTION("""COMPUTED_VALUE"""),2)</f>
        <v>2</v>
      </c>
      <c r="E9799" s="2">
        <f ca="1">IFERROR(__xludf.DUMMYFUNCTION("""COMPUTED_VALUE"""),1)</f>
        <v>1</v>
      </c>
    </row>
    <row r="9800" spans="1:5" ht="13">
      <c r="A9800" s="2" t="str">
        <f ca="1">IFERROR(__xludf.DUMMYFUNCTION("""COMPUTED_VALUE"""),"Megías, Sonia")</f>
        <v>Megías, Sonia</v>
      </c>
      <c r="B9800" s="2">
        <f ca="1">IFERROR(__xludf.DUMMYFUNCTION("""COMPUTED_VALUE"""),2)</f>
        <v>2</v>
      </c>
      <c r="C9800" s="7">
        <f ca="1">IFERROR(__xludf.DUMMYFUNCTION("""COMPUTED_VALUE"""),2)</f>
        <v>2</v>
      </c>
      <c r="D9800" s="8">
        <f ca="1">IFERROR(__xludf.DUMMYFUNCTION("""COMPUTED_VALUE"""),2)</f>
        <v>2</v>
      </c>
      <c r="E9800" s="2">
        <f ca="1">IFERROR(__xludf.DUMMYFUNCTION("""COMPUTED_VALUE"""),1)</f>
        <v>1</v>
      </c>
    </row>
    <row r="9801" spans="1:5" ht="13">
      <c r="A9801" s="2" t="str">
        <f ca="1">IFERROR(__xludf.DUMMYFUNCTION("""COMPUTED_VALUE"""),"Meir, Shirley")</f>
        <v>Meir, Shirley</v>
      </c>
      <c r="B9801" s="2">
        <f ca="1">IFERROR(__xludf.DUMMYFUNCTION("""COMPUTED_VALUE"""),2)</f>
        <v>2</v>
      </c>
      <c r="C9801" s="7">
        <f ca="1">IFERROR(__xludf.DUMMYFUNCTION("""COMPUTED_VALUE"""),2)</f>
        <v>2</v>
      </c>
      <c r="D9801" s="8">
        <f ca="1">IFERROR(__xludf.DUMMYFUNCTION("""COMPUTED_VALUE"""),2)</f>
        <v>2</v>
      </c>
      <c r="E9801" s="2">
        <f ca="1">IFERROR(__xludf.DUMMYFUNCTION("""COMPUTED_VALUE"""),1)</f>
        <v>1</v>
      </c>
    </row>
    <row r="9802" spans="1:5" ht="13">
      <c r="A9802" s="2" t="str">
        <f ca="1">IFERROR(__xludf.DUMMYFUNCTION("""COMPUTED_VALUE"""),"Mendelssohn, Fanny")</f>
        <v>Mendelssohn, Fanny</v>
      </c>
      <c r="B9802" s="3">
        <f ca="1">IFERROR(__xludf.DUMMYFUNCTION("""COMPUTED_VALUE"""),2)</f>
        <v>2</v>
      </c>
      <c r="C9802" s="7">
        <f ca="1">IFERROR(__xludf.DUMMYFUNCTION("""COMPUTED_VALUE"""),2)</f>
        <v>2</v>
      </c>
      <c r="D9802" s="8">
        <f ca="1">IFERROR(__xludf.DUMMYFUNCTION("""COMPUTED_VALUE"""),6)</f>
        <v>6</v>
      </c>
      <c r="E9802" s="2">
        <f ca="1">IFERROR(__xludf.DUMMYFUNCTION("""COMPUTED_VALUE"""),2)</f>
        <v>2</v>
      </c>
    </row>
    <row r="9803" spans="1:5" ht="13">
      <c r="A9803" s="2" t="str">
        <f ca="1">IFERROR(__xludf.DUMMYFUNCTION("""COMPUTED_VALUE"""),"Meredith, Anna")</f>
        <v>Meredith, Anna</v>
      </c>
      <c r="B9803" s="3">
        <f ca="1">IFERROR(__xludf.DUMMYFUNCTION("""COMPUTED_VALUE"""),2)</f>
        <v>2</v>
      </c>
      <c r="C9803" s="7">
        <f ca="1">IFERROR(__xludf.DUMMYFUNCTION("""COMPUTED_VALUE"""),2)</f>
        <v>2</v>
      </c>
      <c r="D9803" s="8">
        <f ca="1">IFERROR(__xludf.DUMMYFUNCTION("""COMPUTED_VALUE"""),2)</f>
        <v>2</v>
      </c>
      <c r="E9803" s="2">
        <f ca="1">IFERROR(__xludf.DUMMYFUNCTION("""COMPUTED_VALUE"""),1)</f>
        <v>1</v>
      </c>
    </row>
    <row r="9804" spans="1:5" ht="13">
      <c r="A9804" s="8" t="str">
        <f ca="1">IFERROR(__xludf.DUMMYFUNCTION("""COMPUTED_VALUE"""),"Meredith, Victoria")</f>
        <v>Meredith, Victoria</v>
      </c>
      <c r="B9804" s="3">
        <f ca="1">IFERROR(__xludf.DUMMYFUNCTION("""COMPUTED_VALUE"""),2)</f>
        <v>2</v>
      </c>
      <c r="C9804" s="7">
        <f ca="1">IFERROR(__xludf.DUMMYFUNCTION("""COMPUTED_VALUE"""),2)</f>
        <v>2</v>
      </c>
      <c r="D9804" s="8">
        <f ca="1">IFERROR(__xludf.DUMMYFUNCTION("""COMPUTED_VALUE"""),2)</f>
        <v>2</v>
      </c>
      <c r="E9804" s="2">
        <f ca="1">IFERROR(__xludf.DUMMYFUNCTION("""COMPUTED_VALUE"""),1)</f>
        <v>1</v>
      </c>
    </row>
    <row r="9805" spans="1:5" ht="13">
      <c r="A9805" s="2" t="str">
        <f ca="1">IFERROR(__xludf.DUMMYFUNCTION("""COMPUTED_VALUE"""),"Merkowitz, Jennifer Bernard")</f>
        <v>Merkowitz, Jennifer Bernard</v>
      </c>
      <c r="B9805" s="3">
        <f ca="1">IFERROR(__xludf.DUMMYFUNCTION("""COMPUTED_VALUE"""),2)</f>
        <v>2</v>
      </c>
      <c r="C9805" s="7">
        <f ca="1">IFERROR(__xludf.DUMMYFUNCTION("""COMPUTED_VALUE"""),2)</f>
        <v>2</v>
      </c>
      <c r="D9805" s="8">
        <f ca="1">IFERROR(__xludf.DUMMYFUNCTION("""COMPUTED_VALUE"""),2)</f>
        <v>2</v>
      </c>
      <c r="E9805" s="2">
        <f ca="1">IFERROR(__xludf.DUMMYFUNCTION("""COMPUTED_VALUE"""),1)</f>
        <v>1</v>
      </c>
    </row>
    <row r="9806" spans="1:5" ht="13">
      <c r="A9806" s="2" t="str">
        <f ca="1">IFERROR(__xludf.DUMMYFUNCTION("""COMPUTED_VALUE"""),"Mermelstein, Julia")</f>
        <v>Mermelstein, Julia</v>
      </c>
      <c r="B9806" s="3">
        <f ca="1">IFERROR(__xludf.DUMMYFUNCTION("""COMPUTED_VALUE"""),2)</f>
        <v>2</v>
      </c>
      <c r="C9806" s="7">
        <f ca="1">IFERROR(__xludf.DUMMYFUNCTION("""COMPUTED_VALUE"""),2)</f>
        <v>2</v>
      </c>
      <c r="D9806" s="8">
        <f ca="1">IFERROR(__xludf.DUMMYFUNCTION("""COMPUTED_VALUE"""),2)</f>
        <v>2</v>
      </c>
      <c r="E9806" s="2">
        <f ca="1">IFERROR(__xludf.DUMMYFUNCTION("""COMPUTED_VALUE"""),1)</f>
        <v>1</v>
      </c>
    </row>
    <row r="9807" spans="1:5" ht="13">
      <c r="A9807" s="2" t="str">
        <f ca="1">IFERROR(__xludf.DUMMYFUNCTION("""COMPUTED_VALUE"""),"Merryman, Marjorie")</f>
        <v>Merryman, Marjorie</v>
      </c>
      <c r="B9807" s="3">
        <f ca="1">IFERROR(__xludf.DUMMYFUNCTION("""COMPUTED_VALUE"""),2)</f>
        <v>2</v>
      </c>
      <c r="C9807" s="7">
        <f ca="1">IFERROR(__xludf.DUMMYFUNCTION("""COMPUTED_VALUE"""),2)</f>
        <v>2</v>
      </c>
      <c r="D9807" s="8">
        <f ca="1">IFERROR(__xludf.DUMMYFUNCTION("""COMPUTED_VALUE"""),2)</f>
        <v>2</v>
      </c>
      <c r="E9807" s="2">
        <f ca="1">IFERROR(__xludf.DUMMYFUNCTION("""COMPUTED_VALUE"""),1)</f>
        <v>1</v>
      </c>
    </row>
    <row r="9808" spans="1:5" ht="13">
      <c r="A9808" s="2" t="str">
        <f ca="1">IFERROR(__xludf.DUMMYFUNCTION("""COMPUTED_VALUE"""),"Metcalf, Joanne")</f>
        <v>Metcalf, Joanne</v>
      </c>
      <c r="B9808" s="2">
        <f ca="1">IFERROR(__xludf.DUMMYFUNCTION("""COMPUTED_VALUE"""),2)</f>
        <v>2</v>
      </c>
      <c r="C9808" s="7">
        <f ca="1">IFERROR(__xludf.DUMMYFUNCTION("""COMPUTED_VALUE"""),2)</f>
        <v>2</v>
      </c>
      <c r="D9808" s="8">
        <f ca="1">IFERROR(__xludf.DUMMYFUNCTION("""COMPUTED_VALUE"""),2)</f>
        <v>2</v>
      </c>
      <c r="E9808" s="2">
        <f ca="1">IFERROR(__xludf.DUMMYFUNCTION("""COMPUTED_VALUE"""),1)</f>
        <v>1</v>
      </c>
    </row>
    <row r="9809" spans="1:5" ht="13">
      <c r="A9809" s="2" t="str">
        <f ca="1">IFERROR(__xludf.DUMMYFUNCTION("""COMPUTED_VALUE"""),"Meyer, Jessica")</f>
        <v>Meyer, Jessica</v>
      </c>
      <c r="B9809" s="3">
        <f ca="1">IFERROR(__xludf.DUMMYFUNCTION("""COMPUTED_VALUE"""),2)</f>
        <v>2</v>
      </c>
      <c r="C9809" s="7">
        <f ca="1">IFERROR(__xludf.DUMMYFUNCTION("""COMPUTED_VALUE"""),2)</f>
        <v>2</v>
      </c>
      <c r="D9809" s="8">
        <f ca="1">IFERROR(__xludf.DUMMYFUNCTION("""COMPUTED_VALUE"""),2)</f>
        <v>2</v>
      </c>
      <c r="E9809" s="2">
        <f ca="1">IFERROR(__xludf.DUMMYFUNCTION("""COMPUTED_VALUE"""),1)</f>
        <v>1</v>
      </c>
    </row>
    <row r="9810" spans="1:5" ht="13">
      <c r="A9810" s="2" t="str">
        <f ca="1">IFERROR(__xludf.DUMMYFUNCTION("""COMPUTED_VALUE"""),"Meyers, Mindy")</f>
        <v>Meyers, Mindy</v>
      </c>
      <c r="B9810" s="3">
        <f ca="1">IFERROR(__xludf.DUMMYFUNCTION("""COMPUTED_VALUE"""),2)</f>
        <v>2</v>
      </c>
      <c r="C9810" s="7">
        <f ca="1">IFERROR(__xludf.DUMMYFUNCTION("""COMPUTED_VALUE"""),2)</f>
        <v>2</v>
      </c>
      <c r="D9810" s="8">
        <f ca="1">IFERROR(__xludf.DUMMYFUNCTION("""COMPUTED_VALUE"""),2)</f>
        <v>2</v>
      </c>
      <c r="E9810" s="2">
        <f ca="1">IFERROR(__xludf.DUMMYFUNCTION("""COMPUTED_VALUE"""),1)</f>
        <v>1</v>
      </c>
    </row>
    <row r="9811" spans="1:5" ht="13">
      <c r="A9811" s="8" t="str">
        <f ca="1">IFERROR(__xludf.DUMMYFUNCTION("""COMPUTED_VALUE"""),"Mier, Martha")</f>
        <v>Mier, Martha</v>
      </c>
      <c r="B9811" s="3">
        <f ca="1">IFERROR(__xludf.DUMMYFUNCTION("""COMPUTED_VALUE"""),2)</f>
        <v>2</v>
      </c>
      <c r="C9811" s="7">
        <f ca="1">IFERROR(__xludf.DUMMYFUNCTION("""COMPUTED_VALUE"""),2)</f>
        <v>2</v>
      </c>
      <c r="D9811" s="8">
        <f ca="1">IFERROR(__xludf.DUMMYFUNCTION("""COMPUTED_VALUE"""),2)</f>
        <v>2</v>
      </c>
      <c r="E9811" s="2">
        <f ca="1">IFERROR(__xludf.DUMMYFUNCTION("""COMPUTED_VALUE"""),1)</f>
        <v>1</v>
      </c>
    </row>
    <row r="9812" spans="1:5" ht="13">
      <c r="A9812" s="2" t="str">
        <f ca="1">IFERROR(__xludf.DUMMYFUNCTION("""COMPUTED_VALUE"""),"Mier, Shirley")</f>
        <v>Mier, Shirley</v>
      </c>
      <c r="B9812" s="3">
        <f ca="1">IFERROR(__xludf.DUMMYFUNCTION("""COMPUTED_VALUE"""),2)</f>
        <v>2</v>
      </c>
      <c r="C9812" s="7">
        <f ca="1">IFERROR(__xludf.DUMMYFUNCTION("""COMPUTED_VALUE"""),2)</f>
        <v>2</v>
      </c>
      <c r="D9812" s="8">
        <f ca="1">IFERROR(__xludf.DUMMYFUNCTION("""COMPUTED_VALUE"""),2)</f>
        <v>2</v>
      </c>
      <c r="E9812" s="2">
        <f ca="1">IFERROR(__xludf.DUMMYFUNCTION("""COMPUTED_VALUE"""),1)</f>
        <v>1</v>
      </c>
    </row>
    <row r="9813" spans="1:5" ht="13">
      <c r="A9813" s="8" t="str">
        <f ca="1">IFERROR(__xludf.DUMMYFUNCTION("""COMPUTED_VALUE"""),"Miller, Cristi Cary")</f>
        <v>Miller, Cristi Cary</v>
      </c>
      <c r="B9813" s="3">
        <f ca="1">IFERROR(__xludf.DUMMYFUNCTION("""COMPUTED_VALUE"""),2)</f>
        <v>2</v>
      </c>
      <c r="C9813" s="7">
        <f ca="1">IFERROR(__xludf.DUMMYFUNCTION("""COMPUTED_VALUE"""),2)</f>
        <v>2</v>
      </c>
      <c r="D9813" s="8">
        <f ca="1">IFERROR(__xludf.DUMMYFUNCTION("""COMPUTED_VALUE"""),2)</f>
        <v>2</v>
      </c>
      <c r="E9813" s="2">
        <f ca="1">IFERROR(__xludf.DUMMYFUNCTION("""COMPUTED_VALUE"""),1)</f>
        <v>1</v>
      </c>
    </row>
    <row r="9814" spans="1:5" ht="13">
      <c r="A9814" s="2" t="str">
        <f ca="1">IFERROR(__xludf.DUMMYFUNCTION("""COMPUTED_VALUE"""),"Miller, Cristy Cary")</f>
        <v>Miller, Cristy Cary</v>
      </c>
      <c r="B9814" s="3">
        <f ca="1">IFERROR(__xludf.DUMMYFUNCTION("""COMPUTED_VALUE"""),2)</f>
        <v>2</v>
      </c>
      <c r="C9814" s="7">
        <f ca="1">IFERROR(__xludf.DUMMYFUNCTION("""COMPUTED_VALUE"""),2)</f>
        <v>2</v>
      </c>
      <c r="D9814" s="8">
        <f ca="1">IFERROR(__xludf.DUMMYFUNCTION("""COMPUTED_VALUE"""),2)</f>
        <v>2</v>
      </c>
      <c r="E9814" s="2">
        <f ca="1">IFERROR(__xludf.DUMMYFUNCTION("""COMPUTED_VALUE"""),1)</f>
        <v>1</v>
      </c>
    </row>
    <row r="9815" spans="1:5" ht="13">
      <c r="A9815" s="8" t="str">
        <f ca="1">IFERROR(__xludf.DUMMYFUNCTION("""COMPUTED_VALUE"""),"Miller, Mandy")</f>
        <v>Miller, Mandy</v>
      </c>
      <c r="B9815" s="3">
        <f ca="1">IFERROR(__xludf.DUMMYFUNCTION("""COMPUTED_VALUE"""),2)</f>
        <v>2</v>
      </c>
      <c r="C9815" s="7">
        <f ca="1">IFERROR(__xludf.DUMMYFUNCTION("""COMPUTED_VALUE"""),2)</f>
        <v>2</v>
      </c>
      <c r="D9815" s="8">
        <f ca="1">IFERROR(__xludf.DUMMYFUNCTION("""COMPUTED_VALUE"""),2)</f>
        <v>2</v>
      </c>
      <c r="E9815" s="2">
        <f ca="1">IFERROR(__xludf.DUMMYFUNCTION("""COMPUTED_VALUE"""),1)</f>
        <v>1</v>
      </c>
    </row>
    <row r="9816" spans="1:5" ht="13">
      <c r="A9816" s="2" t="str">
        <f ca="1">IFERROR(__xludf.DUMMYFUNCTION("""COMPUTED_VALUE"""),"Millikan, Ann")</f>
        <v>Millikan, Ann</v>
      </c>
      <c r="B9816" s="3">
        <f ca="1">IFERROR(__xludf.DUMMYFUNCTION("""COMPUTED_VALUE"""),2)</f>
        <v>2</v>
      </c>
      <c r="C9816" s="7">
        <f ca="1">IFERROR(__xludf.DUMMYFUNCTION("""COMPUTED_VALUE"""),2)</f>
        <v>2</v>
      </c>
      <c r="D9816" s="8">
        <f ca="1">IFERROR(__xludf.DUMMYFUNCTION("""COMPUTED_VALUE"""),2)</f>
        <v>2</v>
      </c>
      <c r="E9816" s="2">
        <f ca="1">IFERROR(__xludf.DUMMYFUNCTION("""COMPUTED_VALUE"""),1)</f>
        <v>1</v>
      </c>
    </row>
    <row r="9817" spans="1:5" ht="13">
      <c r="A9817" s="2" t="str">
        <f ca="1">IFERROR(__xludf.DUMMYFUNCTION("""COMPUTED_VALUE"""),"Mills, Amy Riebs")</f>
        <v>Mills, Amy Riebs</v>
      </c>
      <c r="B9817" s="3">
        <f ca="1">IFERROR(__xludf.DUMMYFUNCTION("""COMPUTED_VALUE"""),2)</f>
        <v>2</v>
      </c>
      <c r="C9817" s="7">
        <f ca="1">IFERROR(__xludf.DUMMYFUNCTION("""COMPUTED_VALUE"""),2)</f>
        <v>2</v>
      </c>
      <c r="D9817" s="8">
        <f ca="1">IFERROR(__xludf.DUMMYFUNCTION("""COMPUTED_VALUE"""),2)</f>
        <v>2</v>
      </c>
      <c r="E9817" s="2">
        <f ca="1">IFERROR(__xludf.DUMMYFUNCTION("""COMPUTED_VALUE"""),1)</f>
        <v>1</v>
      </c>
    </row>
    <row r="9818" spans="1:5" ht="13">
      <c r="A9818" s="2" t="str">
        <f ca="1">IFERROR(__xludf.DUMMYFUNCTION("""COMPUTED_VALUE"""),"Mills, Jane K.")</f>
        <v>Mills, Jane K.</v>
      </c>
      <c r="B9818" s="2">
        <f ca="1">IFERROR(__xludf.DUMMYFUNCTION("""COMPUTED_VALUE"""),2)</f>
        <v>2</v>
      </c>
      <c r="C9818" s="7">
        <f ca="1">IFERROR(__xludf.DUMMYFUNCTION("""COMPUTED_VALUE"""),2)</f>
        <v>2</v>
      </c>
      <c r="D9818" s="8">
        <f ca="1">IFERROR(__xludf.DUMMYFUNCTION("""COMPUTED_VALUE"""),2)</f>
        <v>2</v>
      </c>
      <c r="E9818" s="2">
        <f ca="1">IFERROR(__xludf.DUMMYFUNCTION("""COMPUTED_VALUE"""),1)</f>
        <v>1</v>
      </c>
    </row>
    <row r="9819" spans="1:5" ht="13">
      <c r="A9819" s="2" t="str">
        <f ca="1">IFERROR(__xludf.DUMMYFUNCTION("""COMPUTED_VALUE"""),"Minihane, Ann")</f>
        <v>Minihane, Ann</v>
      </c>
      <c r="B9819" s="3">
        <f ca="1">IFERROR(__xludf.DUMMYFUNCTION("""COMPUTED_VALUE"""),2)</f>
        <v>2</v>
      </c>
      <c r="C9819" s="7">
        <f ca="1">IFERROR(__xludf.DUMMYFUNCTION("""COMPUTED_VALUE"""),2)</f>
        <v>2</v>
      </c>
      <c r="D9819" s="8">
        <f ca="1">IFERROR(__xludf.DUMMYFUNCTION("""COMPUTED_VALUE"""),6)</f>
        <v>6</v>
      </c>
      <c r="E9819" s="2">
        <f ca="1">IFERROR(__xludf.DUMMYFUNCTION("""COMPUTED_VALUE"""),2)</f>
        <v>2</v>
      </c>
    </row>
    <row r="9820" spans="1:5" ht="13">
      <c r="A9820" s="2" t="str">
        <f ca="1">IFERROR(__xludf.DUMMYFUNCTION("""COMPUTED_VALUE"""),"Mishra, Jennifer")</f>
        <v>Mishra, Jennifer</v>
      </c>
      <c r="B9820" s="3">
        <f ca="1">IFERROR(__xludf.DUMMYFUNCTION("""COMPUTED_VALUE"""),2)</f>
        <v>2</v>
      </c>
      <c r="C9820" s="7">
        <f ca="1">IFERROR(__xludf.DUMMYFUNCTION("""COMPUTED_VALUE"""),2)</f>
        <v>2</v>
      </c>
      <c r="D9820" s="8">
        <f ca="1">IFERROR(__xludf.DUMMYFUNCTION("""COMPUTED_VALUE"""),2)</f>
        <v>2</v>
      </c>
      <c r="E9820" s="2">
        <f ca="1">IFERROR(__xludf.DUMMYFUNCTION("""COMPUTED_VALUE"""),1)</f>
        <v>1</v>
      </c>
    </row>
    <row r="9821" spans="1:5" ht="13">
      <c r="A9821" s="8" t="str">
        <f ca="1">IFERROR(__xludf.DUMMYFUNCTION("""COMPUTED_VALUE"""),"Mitchell, Anaïs")</f>
        <v>Mitchell, Anaïs</v>
      </c>
      <c r="B9821" s="3">
        <f ca="1">IFERROR(__xludf.DUMMYFUNCTION("""COMPUTED_VALUE"""),2)</f>
        <v>2</v>
      </c>
      <c r="C9821" s="7">
        <f ca="1">IFERROR(__xludf.DUMMYFUNCTION("""COMPUTED_VALUE"""),2)</f>
        <v>2</v>
      </c>
      <c r="D9821" s="8">
        <f ca="1">IFERROR(__xludf.DUMMYFUNCTION("""COMPUTED_VALUE"""),2)</f>
        <v>2</v>
      </c>
      <c r="E9821" s="2">
        <f ca="1">IFERROR(__xludf.DUMMYFUNCTION("""COMPUTED_VALUE"""),1)</f>
        <v>1</v>
      </c>
    </row>
    <row r="9822" spans="1:5" ht="13">
      <c r="A9822" s="2" t="str">
        <f ca="1">IFERROR(__xludf.DUMMYFUNCTION("""COMPUTED_VALUE"""),"Mitchell, Joni")</f>
        <v>Mitchell, Joni</v>
      </c>
      <c r="B9822" s="3">
        <f ca="1">IFERROR(__xludf.DUMMYFUNCTION("""COMPUTED_VALUE"""),2)</f>
        <v>2</v>
      </c>
      <c r="C9822" s="7">
        <f ca="1">IFERROR(__xludf.DUMMYFUNCTION("""COMPUTED_VALUE"""),2)</f>
        <v>2</v>
      </c>
      <c r="D9822" s="8">
        <f ca="1">IFERROR(__xludf.DUMMYFUNCTION("""COMPUTED_VALUE"""),2)</f>
        <v>2</v>
      </c>
      <c r="E9822" s="2">
        <f ca="1">IFERROR(__xludf.DUMMYFUNCTION("""COMPUTED_VALUE"""),1)</f>
        <v>1</v>
      </c>
    </row>
    <row r="9823" spans="1:5" ht="13">
      <c r="A9823" s="2" t="str">
        <f ca="1">IFERROR(__xludf.DUMMYFUNCTION("""COMPUTED_VALUE"""),"Moberg, Ida")</f>
        <v>Moberg, Ida</v>
      </c>
      <c r="B9823" s="3">
        <f ca="1">IFERROR(__xludf.DUMMYFUNCTION("""COMPUTED_VALUE"""),2)</f>
        <v>2</v>
      </c>
      <c r="C9823" s="7">
        <f ca="1">IFERROR(__xludf.DUMMYFUNCTION("""COMPUTED_VALUE"""),2)</f>
        <v>2</v>
      </c>
      <c r="D9823" s="8">
        <f ca="1">IFERROR(__xludf.DUMMYFUNCTION("""COMPUTED_VALUE"""),6)</f>
        <v>6</v>
      </c>
      <c r="E9823" s="2">
        <f ca="1">IFERROR(__xludf.DUMMYFUNCTION("""COMPUTED_VALUE"""),2)</f>
        <v>2</v>
      </c>
    </row>
    <row r="9824" spans="1:5" ht="13">
      <c r="A9824" s="2" t="str">
        <f ca="1">IFERROR(__xludf.DUMMYFUNCTION("""COMPUTED_VALUE"""),"Mock, Patricia")</f>
        <v>Mock, Patricia</v>
      </c>
      <c r="B9824" s="2">
        <f ca="1">IFERROR(__xludf.DUMMYFUNCTION("""COMPUTED_VALUE"""),2)</f>
        <v>2</v>
      </c>
      <c r="C9824" s="2">
        <f ca="1">IFERROR(__xludf.DUMMYFUNCTION("""COMPUTED_VALUE"""),2)</f>
        <v>2</v>
      </c>
      <c r="D9824" s="8">
        <f ca="1">IFERROR(__xludf.DUMMYFUNCTION("""COMPUTED_VALUE"""),2)</f>
        <v>2</v>
      </c>
      <c r="E9824" s="2">
        <f ca="1">IFERROR(__xludf.DUMMYFUNCTION("""COMPUTED_VALUE"""),1)</f>
        <v>1</v>
      </c>
    </row>
    <row r="9825" spans="1:5" ht="13">
      <c r="A9825" s="2" t="str">
        <f ca="1">IFERROR(__xludf.DUMMYFUNCTION("""COMPUTED_VALUE"""),"Molloy, Rosaleen")</f>
        <v>Molloy, Rosaleen</v>
      </c>
      <c r="B9825" s="3">
        <f ca="1">IFERROR(__xludf.DUMMYFUNCTION("""COMPUTED_VALUE"""),2)</f>
        <v>2</v>
      </c>
      <c r="C9825" s="7">
        <f ca="1">IFERROR(__xludf.DUMMYFUNCTION("""COMPUTED_VALUE"""),2)</f>
        <v>2</v>
      </c>
      <c r="D9825" s="8">
        <f ca="1">IFERROR(__xludf.DUMMYFUNCTION("""COMPUTED_VALUE"""),2)</f>
        <v>2</v>
      </c>
      <c r="E9825" s="2">
        <f ca="1">IFERROR(__xludf.DUMMYFUNCTION("""COMPUTED_VALUE"""),1)</f>
        <v>1</v>
      </c>
    </row>
    <row r="9826" spans="1:5" ht="13">
      <c r="A9826" s="2" t="str">
        <f ca="1">IFERROR(__xludf.DUMMYFUNCTION("""COMPUTED_VALUE"""),"Mols, Diana")</f>
        <v>Mols, Diana</v>
      </c>
      <c r="B9826" s="2">
        <f ca="1">IFERROR(__xludf.DUMMYFUNCTION("""COMPUTED_VALUE"""),2)</f>
        <v>2</v>
      </c>
      <c r="C9826" s="2">
        <f ca="1">IFERROR(__xludf.DUMMYFUNCTION("""COMPUTED_VALUE"""),2)</f>
        <v>2</v>
      </c>
      <c r="D9826" s="8">
        <f ca="1">IFERROR(__xludf.DUMMYFUNCTION("""COMPUTED_VALUE"""),2)</f>
        <v>2</v>
      </c>
      <c r="E9826" s="2">
        <f ca="1">IFERROR(__xludf.DUMMYFUNCTION("""COMPUTED_VALUE"""),1)</f>
        <v>1</v>
      </c>
    </row>
    <row r="9827" spans="1:5" ht="13">
      <c r="A9827" s="2" t="str">
        <f ca="1">IFERROR(__xludf.DUMMYFUNCTION("""COMPUTED_VALUE"""),"Monday, Deborah Baker")</f>
        <v>Monday, Deborah Baker</v>
      </c>
      <c r="B9827" s="2">
        <f ca="1">IFERROR(__xludf.DUMMYFUNCTION("""COMPUTED_VALUE"""),2)</f>
        <v>2</v>
      </c>
      <c r="C9827" s="7">
        <f ca="1">IFERROR(__xludf.DUMMYFUNCTION("""COMPUTED_VALUE"""),2)</f>
        <v>2</v>
      </c>
      <c r="D9827" s="8">
        <f ca="1">IFERROR(__xludf.DUMMYFUNCTION("""COMPUTED_VALUE"""),2)</f>
        <v>2</v>
      </c>
      <c r="E9827" s="2">
        <f ca="1">IFERROR(__xludf.DUMMYFUNCTION("""COMPUTED_VALUE"""),1)</f>
        <v>1</v>
      </c>
    </row>
    <row r="9828" spans="1:5" ht="13">
      <c r="A9828" s="2" t="str">
        <f ca="1">IFERROR(__xludf.DUMMYFUNCTION("""COMPUTED_VALUE"""),"Moninger, Susan")</f>
        <v>Moninger, Susan</v>
      </c>
      <c r="B9828" s="3">
        <f ca="1">IFERROR(__xludf.DUMMYFUNCTION("""COMPUTED_VALUE"""),2)</f>
        <v>2</v>
      </c>
      <c r="C9828" s="7">
        <f ca="1">IFERROR(__xludf.DUMMYFUNCTION("""COMPUTED_VALUE"""),2)</f>
        <v>2</v>
      </c>
      <c r="D9828" s="8">
        <f ca="1">IFERROR(__xludf.DUMMYFUNCTION("""COMPUTED_VALUE"""),2)</f>
        <v>2</v>
      </c>
      <c r="E9828" s="2">
        <f ca="1">IFERROR(__xludf.DUMMYFUNCTION("""COMPUTED_VALUE"""),1)</f>
        <v>1</v>
      </c>
    </row>
    <row r="9829" spans="1:5" ht="13">
      <c r="A9829" s="2" t="str">
        <f ca="1">IFERROR(__xludf.DUMMYFUNCTION("""COMPUTED_VALUE"""),"Monnot, Marguerite / Guglielmi, Louis")</f>
        <v>Monnot, Marguerite / Guglielmi, Louis</v>
      </c>
      <c r="B9829" s="3">
        <f ca="1">IFERROR(__xludf.DUMMYFUNCTION("""COMPUTED_VALUE"""),2)</f>
        <v>2</v>
      </c>
      <c r="C9829" s="7">
        <f ca="1">IFERROR(__xludf.DUMMYFUNCTION("""COMPUTED_VALUE"""),2)</f>
        <v>2</v>
      </c>
      <c r="D9829" s="8">
        <f ca="1">IFERROR(__xludf.DUMMYFUNCTION("""COMPUTED_VALUE"""),6)</f>
        <v>6</v>
      </c>
      <c r="E9829" s="2">
        <f ca="1">IFERROR(__xludf.DUMMYFUNCTION("""COMPUTED_VALUE"""),2)</f>
        <v>2</v>
      </c>
    </row>
    <row r="9830" spans="1:5" ht="13">
      <c r="A9830" s="2" t="str">
        <f ca="1">IFERROR(__xludf.DUMMYFUNCTION("""COMPUTED_VALUE"""),"Moody, Ruth")</f>
        <v>Moody, Ruth</v>
      </c>
      <c r="B9830" s="2">
        <f ca="1">IFERROR(__xludf.DUMMYFUNCTION("""COMPUTED_VALUE"""),2)</f>
        <v>2</v>
      </c>
      <c r="C9830" s="7">
        <f ca="1">IFERROR(__xludf.DUMMYFUNCTION("""COMPUTED_VALUE"""),2)</f>
        <v>2</v>
      </c>
      <c r="D9830" s="8">
        <f ca="1">IFERROR(__xludf.DUMMYFUNCTION("""COMPUTED_VALUE"""),2)</f>
        <v>2</v>
      </c>
      <c r="E9830" s="2">
        <f ca="1">IFERROR(__xludf.DUMMYFUNCTION("""COMPUTED_VALUE"""),1)</f>
        <v>1</v>
      </c>
    </row>
    <row r="9831" spans="1:5" ht="13">
      <c r="A9831" s="2" t="str">
        <f ca="1">IFERROR(__xludf.DUMMYFUNCTION("""COMPUTED_VALUE"""),"Mooke, Martha")</f>
        <v>Mooke, Martha</v>
      </c>
      <c r="B9831" s="3">
        <f ca="1">IFERROR(__xludf.DUMMYFUNCTION("""COMPUTED_VALUE"""),2)</f>
        <v>2</v>
      </c>
      <c r="C9831" s="7">
        <f ca="1">IFERROR(__xludf.DUMMYFUNCTION("""COMPUTED_VALUE"""),2)</f>
        <v>2</v>
      </c>
      <c r="D9831" s="8">
        <f ca="1">IFERROR(__xludf.DUMMYFUNCTION("""COMPUTED_VALUE"""),2)</f>
        <v>2</v>
      </c>
      <c r="E9831" s="2">
        <f ca="1">IFERROR(__xludf.DUMMYFUNCTION("""COMPUTED_VALUE"""),1)</f>
        <v>1</v>
      </c>
    </row>
    <row r="9832" spans="1:5" ht="13">
      <c r="A9832" s="2" t="str">
        <f ca="1">IFERROR(__xludf.DUMMYFUNCTION("""COMPUTED_VALUE"""),"Morgan, Faith")</f>
        <v>Morgan, Faith</v>
      </c>
      <c r="B9832" s="3">
        <f ca="1">IFERROR(__xludf.DUMMYFUNCTION("""COMPUTED_VALUE"""),2)</f>
        <v>2</v>
      </c>
      <c r="C9832" s="7">
        <f ca="1">IFERROR(__xludf.DUMMYFUNCTION("""COMPUTED_VALUE"""),2)</f>
        <v>2</v>
      </c>
      <c r="D9832" s="8">
        <f ca="1">IFERROR(__xludf.DUMMYFUNCTION("""COMPUTED_VALUE"""),2)</f>
        <v>2</v>
      </c>
      <c r="E9832" s="2">
        <f ca="1">IFERROR(__xludf.DUMMYFUNCTION("""COMPUTED_VALUE"""),1)</f>
        <v>1</v>
      </c>
    </row>
    <row r="9833" spans="1:5" ht="13">
      <c r="A9833" s="2" t="str">
        <f ca="1">IFERROR(__xludf.DUMMYFUNCTION("""COMPUTED_VALUE"""),"Morlock, Jocelyn")</f>
        <v>Morlock, Jocelyn</v>
      </c>
      <c r="B9833" s="3">
        <f ca="1">IFERROR(__xludf.DUMMYFUNCTION("""COMPUTED_VALUE"""),2)</f>
        <v>2</v>
      </c>
      <c r="C9833" s="7">
        <f ca="1">IFERROR(__xludf.DUMMYFUNCTION("""COMPUTED_VALUE"""),2)</f>
        <v>2</v>
      </c>
      <c r="D9833" s="8">
        <f ca="1">IFERROR(__xludf.DUMMYFUNCTION("""COMPUTED_VALUE"""),2)</f>
        <v>2</v>
      </c>
      <c r="E9833" s="2">
        <f ca="1">IFERROR(__xludf.DUMMYFUNCTION("""COMPUTED_VALUE"""),1)</f>
        <v>1</v>
      </c>
    </row>
    <row r="9834" spans="1:5" ht="13">
      <c r="A9834" s="2" t="str">
        <f ca="1">IFERROR(__xludf.DUMMYFUNCTION("""COMPUTED_VALUE"""),"Morrill, Isabella Piritta")</f>
        <v>Morrill, Isabella Piritta</v>
      </c>
      <c r="B9834" s="2">
        <f ca="1">IFERROR(__xludf.DUMMYFUNCTION("""COMPUTED_VALUE"""),2)</f>
        <v>2</v>
      </c>
      <c r="C9834" s="7">
        <f ca="1">IFERROR(__xludf.DUMMYFUNCTION("""COMPUTED_VALUE"""),2)</f>
        <v>2</v>
      </c>
      <c r="D9834" s="8">
        <f ca="1">IFERROR(__xludf.DUMMYFUNCTION("""COMPUTED_VALUE"""),2)</f>
        <v>2</v>
      </c>
      <c r="E9834" s="2">
        <f ca="1">IFERROR(__xludf.DUMMYFUNCTION("""COMPUTED_VALUE"""),1)</f>
        <v>1</v>
      </c>
    </row>
    <row r="9835" spans="1:5" ht="13">
      <c r="A9835" s="2" t="str">
        <f ca="1">IFERROR(__xludf.DUMMYFUNCTION("""COMPUTED_VALUE"""),"Morris, Alyssa")</f>
        <v>Morris, Alyssa</v>
      </c>
      <c r="B9835" s="3">
        <f ca="1">IFERROR(__xludf.DUMMYFUNCTION("""COMPUTED_VALUE"""),2)</f>
        <v>2</v>
      </c>
      <c r="C9835" s="7">
        <f ca="1">IFERROR(__xludf.DUMMYFUNCTION("""COMPUTED_VALUE"""),2)</f>
        <v>2</v>
      </c>
      <c r="D9835" s="8">
        <f ca="1">IFERROR(__xludf.DUMMYFUNCTION("""COMPUTED_VALUE"""),2)</f>
        <v>2</v>
      </c>
      <c r="E9835" s="2">
        <f ca="1">IFERROR(__xludf.DUMMYFUNCTION("""COMPUTED_VALUE"""),1)</f>
        <v>1</v>
      </c>
    </row>
    <row r="9836" spans="1:5" ht="13">
      <c r="A9836" s="8" t="str">
        <f ca="1">IFERROR(__xludf.DUMMYFUNCTION("""COMPUTED_VALUE"""),"Morrissey, Darcy")</f>
        <v>Morrissey, Darcy</v>
      </c>
      <c r="B9836" s="3">
        <f ca="1">IFERROR(__xludf.DUMMYFUNCTION("""COMPUTED_VALUE"""),2)</f>
        <v>2</v>
      </c>
      <c r="C9836" s="7">
        <f ca="1">IFERROR(__xludf.DUMMYFUNCTION("""COMPUTED_VALUE"""),2)</f>
        <v>2</v>
      </c>
      <c r="D9836" s="8">
        <f ca="1">IFERROR(__xludf.DUMMYFUNCTION("""COMPUTED_VALUE"""),2)</f>
        <v>2</v>
      </c>
      <c r="E9836" s="2">
        <f ca="1">IFERROR(__xludf.DUMMYFUNCTION("""COMPUTED_VALUE"""),1)</f>
        <v>1</v>
      </c>
    </row>
    <row r="9837" spans="1:5" ht="13">
      <c r="A9837" s="2" t="str">
        <f ca="1">IFERROR(__xludf.DUMMYFUNCTION("""COMPUTED_VALUE"""),"Morton, Debra")</f>
        <v>Morton, Debra</v>
      </c>
      <c r="B9837" s="3">
        <f ca="1">IFERROR(__xludf.DUMMYFUNCTION("""COMPUTED_VALUE"""),2)</f>
        <v>2</v>
      </c>
      <c r="C9837" s="7">
        <f ca="1">IFERROR(__xludf.DUMMYFUNCTION("""COMPUTED_VALUE"""),2)</f>
        <v>2</v>
      </c>
      <c r="D9837" s="8">
        <f ca="1">IFERROR(__xludf.DUMMYFUNCTION("""COMPUTED_VALUE"""),2)</f>
        <v>2</v>
      </c>
      <c r="E9837" s="2">
        <f ca="1">IFERROR(__xludf.DUMMYFUNCTION("""COMPUTED_VALUE"""),1)</f>
        <v>1</v>
      </c>
    </row>
    <row r="9838" spans="1:5" ht="13">
      <c r="A9838" s="8" t="str">
        <f ca="1">IFERROR(__xludf.DUMMYFUNCTION("""COMPUTED_VALUE"""),"Mosenbichler-Bryant, Verena")</f>
        <v>Mosenbichler-Bryant, Verena</v>
      </c>
      <c r="B9838" s="3">
        <f ca="1">IFERROR(__xludf.DUMMYFUNCTION("""COMPUTED_VALUE"""),2)</f>
        <v>2</v>
      </c>
      <c r="C9838" s="7">
        <f ca="1">IFERROR(__xludf.DUMMYFUNCTION("""COMPUTED_VALUE"""),2)</f>
        <v>2</v>
      </c>
      <c r="D9838" s="8">
        <f ca="1">IFERROR(__xludf.DUMMYFUNCTION("""COMPUTED_VALUE"""),2)</f>
        <v>2</v>
      </c>
      <c r="E9838" s="2">
        <f ca="1">IFERROR(__xludf.DUMMYFUNCTION("""COMPUTED_VALUE"""),1)</f>
        <v>1</v>
      </c>
    </row>
    <row r="9839" spans="1:5" ht="13">
      <c r="A9839" s="2" t="str">
        <f ca="1">IFERROR(__xludf.DUMMYFUNCTION("""COMPUTED_VALUE"""),"Mösenbichler-Bryant, Verena")</f>
        <v>Mösenbichler-Bryant, Verena</v>
      </c>
      <c r="B9839" s="3">
        <f ca="1">IFERROR(__xludf.DUMMYFUNCTION("""COMPUTED_VALUE"""),2)</f>
        <v>2</v>
      </c>
      <c r="C9839" s="7">
        <f ca="1">IFERROR(__xludf.DUMMYFUNCTION("""COMPUTED_VALUE"""),2)</f>
        <v>2</v>
      </c>
      <c r="D9839" s="8">
        <f ca="1">IFERROR(__xludf.DUMMYFUNCTION("""COMPUTED_VALUE"""),2)</f>
        <v>2</v>
      </c>
      <c r="E9839" s="2">
        <f ca="1">IFERROR(__xludf.DUMMYFUNCTION("""COMPUTED_VALUE"""),1)</f>
        <v>1</v>
      </c>
    </row>
    <row r="9840" spans="1:5" ht="13">
      <c r="A9840" s="2" t="str">
        <f ca="1">IFERROR(__xludf.DUMMYFUNCTION("""COMPUTED_VALUE"""),"Muhl, Erica")</f>
        <v>Muhl, Erica</v>
      </c>
      <c r="B9840" s="3">
        <f ca="1">IFERROR(__xludf.DUMMYFUNCTION("""COMPUTED_VALUE"""),2)</f>
        <v>2</v>
      </c>
      <c r="C9840" s="7">
        <f ca="1">IFERROR(__xludf.DUMMYFUNCTION("""COMPUTED_VALUE"""),2)</f>
        <v>2</v>
      </c>
      <c r="D9840" s="8">
        <f ca="1">IFERROR(__xludf.DUMMYFUNCTION("""COMPUTED_VALUE"""),2)</f>
        <v>2</v>
      </c>
      <c r="E9840" s="2">
        <f ca="1">IFERROR(__xludf.DUMMYFUNCTION("""COMPUTED_VALUE"""),1)</f>
        <v>1</v>
      </c>
    </row>
    <row r="9841" spans="1:5" ht="13">
      <c r="A9841" s="2" t="str">
        <f ca="1">IFERROR(__xludf.DUMMYFUNCTION("""COMPUTED_VALUE"""),"Mulder, Linda")</f>
        <v>Mulder, Linda</v>
      </c>
      <c r="B9841" s="2">
        <f ca="1">IFERROR(__xludf.DUMMYFUNCTION("""COMPUTED_VALUE"""),2)</f>
        <v>2</v>
      </c>
      <c r="C9841" s="2">
        <f ca="1">IFERROR(__xludf.DUMMYFUNCTION("""COMPUTED_VALUE"""),2)</f>
        <v>2</v>
      </c>
      <c r="D9841" s="8">
        <f ca="1">IFERROR(__xludf.DUMMYFUNCTION("""COMPUTED_VALUE"""),2)</f>
        <v>2</v>
      </c>
      <c r="E9841" s="2">
        <f ca="1">IFERROR(__xludf.DUMMYFUNCTION("""COMPUTED_VALUE"""),1)</f>
        <v>1</v>
      </c>
    </row>
    <row r="9842" spans="1:5" ht="13">
      <c r="A9842" s="2" t="str">
        <f ca="1">IFERROR(__xludf.DUMMYFUNCTION("""COMPUTED_VALUE"""),"Mullins, Shirley")</f>
        <v>Mullins, Shirley</v>
      </c>
      <c r="B9842" s="3">
        <f ca="1">IFERROR(__xludf.DUMMYFUNCTION("""COMPUTED_VALUE"""),2)</f>
        <v>2</v>
      </c>
      <c r="C9842" s="7">
        <f ca="1">IFERROR(__xludf.DUMMYFUNCTION("""COMPUTED_VALUE"""),2)</f>
        <v>2</v>
      </c>
      <c r="D9842" s="8">
        <f ca="1">IFERROR(__xludf.DUMMYFUNCTION("""COMPUTED_VALUE"""),2)</f>
        <v>2</v>
      </c>
      <c r="E9842" s="2">
        <f ca="1">IFERROR(__xludf.DUMMYFUNCTION("""COMPUTED_VALUE"""),1)</f>
        <v>1</v>
      </c>
    </row>
    <row r="9843" spans="1:5" ht="13">
      <c r="A9843" s="2" t="str">
        <f ca="1">IFERROR(__xludf.DUMMYFUNCTION("""COMPUTED_VALUE"""),"Mullins, Shirley Strohm")</f>
        <v>Mullins, Shirley Strohm</v>
      </c>
      <c r="B9843" s="3">
        <f ca="1">IFERROR(__xludf.DUMMYFUNCTION("""COMPUTED_VALUE"""),2)</f>
        <v>2</v>
      </c>
      <c r="C9843" s="7">
        <f ca="1">IFERROR(__xludf.DUMMYFUNCTION("""COMPUTED_VALUE"""),2)</f>
        <v>2</v>
      </c>
      <c r="D9843" s="8">
        <f ca="1">IFERROR(__xludf.DUMMYFUNCTION("""COMPUTED_VALUE"""),2)</f>
        <v>2</v>
      </c>
      <c r="E9843" s="2">
        <f ca="1">IFERROR(__xludf.DUMMYFUNCTION("""COMPUTED_VALUE"""),1)</f>
        <v>1</v>
      </c>
    </row>
    <row r="9844" spans="1:5" ht="13">
      <c r="A9844" s="8" t="str">
        <f ca="1">IFERROR(__xludf.DUMMYFUNCTION("""COMPUTED_VALUE"""),"Munktell, Helena")</f>
        <v>Munktell, Helena</v>
      </c>
      <c r="B9844" s="3">
        <f ca="1">IFERROR(__xludf.DUMMYFUNCTION("""COMPUTED_VALUE"""),2)</f>
        <v>2</v>
      </c>
      <c r="C9844" s="7">
        <f ca="1">IFERROR(__xludf.DUMMYFUNCTION("""COMPUTED_VALUE"""),2)</f>
        <v>2</v>
      </c>
      <c r="D9844" s="8">
        <f ca="1">IFERROR(__xludf.DUMMYFUNCTION("""COMPUTED_VALUE"""),6)</f>
        <v>6</v>
      </c>
      <c r="E9844" s="2">
        <f ca="1">IFERROR(__xludf.DUMMYFUNCTION("""COMPUTED_VALUE"""),2)</f>
        <v>2</v>
      </c>
    </row>
    <row r="9845" spans="1:5" ht="13">
      <c r="A9845" s="2" t="str">
        <f ca="1">IFERROR(__xludf.DUMMYFUNCTION("""COMPUTED_VALUE"""),"Munn, Zae")</f>
        <v>Munn, Zae</v>
      </c>
      <c r="B9845" s="3">
        <f ca="1">IFERROR(__xludf.DUMMYFUNCTION("""COMPUTED_VALUE"""),2)</f>
        <v>2</v>
      </c>
      <c r="C9845" s="7">
        <f ca="1">IFERROR(__xludf.DUMMYFUNCTION("""COMPUTED_VALUE"""),2)</f>
        <v>2</v>
      </c>
      <c r="D9845" s="8">
        <f ca="1">IFERROR(__xludf.DUMMYFUNCTION("""COMPUTED_VALUE"""),2)</f>
        <v>2</v>
      </c>
      <c r="E9845" s="2">
        <f ca="1">IFERROR(__xludf.DUMMYFUNCTION("""COMPUTED_VALUE"""),1)</f>
        <v>1</v>
      </c>
    </row>
    <row r="9846" spans="1:5" ht="13">
      <c r="A9846" s="2" t="str">
        <f ca="1">IFERROR(__xludf.DUMMYFUNCTION("""COMPUTED_VALUE"""),"Murphy, Kelly-Marie")</f>
        <v>Murphy, Kelly-Marie</v>
      </c>
      <c r="B9846" s="2">
        <f ca="1">IFERROR(__xludf.DUMMYFUNCTION("""COMPUTED_VALUE"""),2)</f>
        <v>2</v>
      </c>
      <c r="C9846" s="7">
        <f ca="1">IFERROR(__xludf.DUMMYFUNCTION("""COMPUTED_VALUE"""),2)</f>
        <v>2</v>
      </c>
      <c r="D9846" s="8">
        <f ca="1">IFERROR(__xludf.DUMMYFUNCTION("""COMPUTED_VALUE"""),2)</f>
        <v>2</v>
      </c>
      <c r="E9846" s="2">
        <f ca="1">IFERROR(__xludf.DUMMYFUNCTION("""COMPUTED_VALUE"""),1)</f>
        <v>1</v>
      </c>
    </row>
    <row r="9847" spans="1:5" ht="13">
      <c r="A9847" s="2" t="str">
        <f ca="1">IFERROR(__xludf.DUMMYFUNCTION("""COMPUTED_VALUE"""),"Murphy, Nicole")</f>
        <v>Murphy, Nicole</v>
      </c>
      <c r="B9847" s="2">
        <f ca="1">IFERROR(__xludf.DUMMYFUNCTION("""COMPUTED_VALUE"""),2)</f>
        <v>2</v>
      </c>
      <c r="C9847" s="7">
        <f ca="1">IFERROR(__xludf.DUMMYFUNCTION("""COMPUTED_VALUE"""),2)</f>
        <v>2</v>
      </c>
      <c r="D9847" s="8">
        <f ca="1">IFERROR(__xludf.DUMMYFUNCTION("""COMPUTED_VALUE"""),2)</f>
        <v>2</v>
      </c>
      <c r="E9847" s="2">
        <f ca="1">IFERROR(__xludf.DUMMYFUNCTION("""COMPUTED_VALUE"""),1)</f>
        <v>1</v>
      </c>
    </row>
    <row r="9848" spans="1:5" ht="13">
      <c r="A9848" s="2" t="str">
        <f ca="1">IFERROR(__xludf.DUMMYFUNCTION("""COMPUTED_VALUE"""),"Musgrave, Thea")</f>
        <v>Musgrave, Thea</v>
      </c>
      <c r="B9848" s="3">
        <f ca="1">IFERROR(__xludf.DUMMYFUNCTION("""COMPUTED_VALUE"""),2)</f>
        <v>2</v>
      </c>
      <c r="C9848" s="7">
        <f ca="1">IFERROR(__xludf.DUMMYFUNCTION("""COMPUTED_VALUE"""),2)</f>
        <v>2</v>
      </c>
      <c r="D9848" s="8">
        <f ca="1">IFERROR(__xludf.DUMMYFUNCTION("""COMPUTED_VALUE"""),2)</f>
        <v>2</v>
      </c>
      <c r="E9848" s="2">
        <f ca="1">IFERROR(__xludf.DUMMYFUNCTION("""COMPUTED_VALUE"""),1)</f>
        <v>1</v>
      </c>
    </row>
    <row r="9849" spans="1:5" ht="13">
      <c r="A9849" s="2" t="str">
        <f ca="1">IFERROR(__xludf.DUMMYFUNCTION("""COMPUTED_VALUE"""),"Myers, Julie")</f>
        <v>Myers, Julie</v>
      </c>
      <c r="B9849" s="3">
        <f ca="1">IFERROR(__xludf.DUMMYFUNCTION("""COMPUTED_VALUE"""),2)</f>
        <v>2</v>
      </c>
      <c r="C9849" s="7">
        <f ca="1">IFERROR(__xludf.DUMMYFUNCTION("""COMPUTED_VALUE"""),2)</f>
        <v>2</v>
      </c>
      <c r="D9849" s="8">
        <f ca="1">IFERROR(__xludf.DUMMYFUNCTION("""COMPUTED_VALUE"""),2)</f>
        <v>2</v>
      </c>
      <c r="E9849" s="2">
        <f ca="1">IFERROR(__xludf.DUMMYFUNCTION("""COMPUTED_VALUE"""),1)</f>
        <v>1</v>
      </c>
    </row>
    <row r="9850" spans="1:5" ht="13">
      <c r="A9850" s="2" t="str">
        <f ca="1">IFERROR(__xludf.DUMMYFUNCTION("""COMPUTED_VALUE"""),"Nager, Joëlle")</f>
        <v>Nager, Joëlle</v>
      </c>
      <c r="B9850" s="3">
        <f ca="1">IFERROR(__xludf.DUMMYFUNCTION("""COMPUTED_VALUE"""),2)</f>
        <v>2</v>
      </c>
      <c r="C9850" s="7">
        <f ca="1">IFERROR(__xludf.DUMMYFUNCTION("""COMPUTED_VALUE"""),2)</f>
        <v>2</v>
      </c>
      <c r="D9850" s="8">
        <f ca="1">IFERROR(__xludf.DUMMYFUNCTION("""COMPUTED_VALUE"""),2)</f>
        <v>2</v>
      </c>
      <c r="E9850" s="2">
        <f ca="1">IFERROR(__xludf.DUMMYFUNCTION("""COMPUTED_VALUE"""),1)</f>
        <v>1</v>
      </c>
    </row>
    <row r="9851" spans="1:5" ht="13">
      <c r="A9851" s="8" t="str">
        <f ca="1">IFERROR(__xludf.DUMMYFUNCTION("""COMPUTED_VALUE"""),"Nagoski, Amelia")</f>
        <v>Nagoski, Amelia</v>
      </c>
      <c r="B9851" s="3">
        <f ca="1">IFERROR(__xludf.DUMMYFUNCTION("""COMPUTED_VALUE"""),2)</f>
        <v>2</v>
      </c>
      <c r="C9851" s="7">
        <f ca="1">IFERROR(__xludf.DUMMYFUNCTION("""COMPUTED_VALUE"""),2)</f>
        <v>2</v>
      </c>
      <c r="D9851" s="8">
        <f ca="1">IFERROR(__xludf.DUMMYFUNCTION("""COMPUTED_VALUE"""),2)</f>
        <v>2</v>
      </c>
      <c r="E9851" s="2">
        <f ca="1">IFERROR(__xludf.DUMMYFUNCTION("""COMPUTED_VALUE"""),1)</f>
        <v>1</v>
      </c>
    </row>
    <row r="9852" spans="1:5" ht="13">
      <c r="A9852" s="2" t="str">
        <f ca="1">IFERROR(__xludf.DUMMYFUNCTION("""COMPUTED_VALUE"""),"Nance-Hall, Janey")</f>
        <v>Nance-Hall, Janey</v>
      </c>
      <c r="B9852" s="3">
        <f ca="1">IFERROR(__xludf.DUMMYFUNCTION("""COMPUTED_VALUE"""),2)</f>
        <v>2</v>
      </c>
      <c r="C9852" s="7">
        <f ca="1">IFERROR(__xludf.DUMMYFUNCTION("""COMPUTED_VALUE"""),2)</f>
        <v>2</v>
      </c>
      <c r="D9852" s="8">
        <f ca="1">IFERROR(__xludf.DUMMYFUNCTION("""COMPUTED_VALUE"""),2)</f>
        <v>2</v>
      </c>
      <c r="E9852" s="2">
        <f ca="1">IFERROR(__xludf.DUMMYFUNCTION("""COMPUTED_VALUE"""),1)</f>
        <v>1</v>
      </c>
    </row>
    <row r="9853" spans="1:5" ht="13">
      <c r="A9853" s="2" t="str">
        <f ca="1">IFERROR(__xludf.DUMMYFUNCTION("""COMPUTED_VALUE"""),"Nardelli, Jindra Necasova")</f>
        <v>Nardelli, Jindra Necasova</v>
      </c>
      <c r="B9853" s="3">
        <f ca="1">IFERROR(__xludf.DUMMYFUNCTION("""COMPUTED_VALUE"""),2)</f>
        <v>2</v>
      </c>
      <c r="C9853" s="7">
        <f ca="1">IFERROR(__xludf.DUMMYFUNCTION("""COMPUTED_VALUE"""),2)</f>
        <v>2</v>
      </c>
      <c r="D9853" s="8">
        <f ca="1">IFERROR(__xludf.DUMMYFUNCTION("""COMPUTED_VALUE"""),2)</f>
        <v>2</v>
      </c>
      <c r="E9853" s="2">
        <f ca="1">IFERROR(__xludf.DUMMYFUNCTION("""COMPUTED_VALUE"""),1)</f>
        <v>1</v>
      </c>
    </row>
    <row r="9854" spans="1:5" ht="13">
      <c r="A9854" s="2" t="str">
        <f ca="1">IFERROR(__xludf.DUMMYFUNCTION("""COMPUTED_VALUE"""),"Nazaykinskaya, Polina")</f>
        <v>Nazaykinskaya, Polina</v>
      </c>
      <c r="B9854" s="3">
        <f ca="1">IFERROR(__xludf.DUMMYFUNCTION("""COMPUTED_VALUE"""),2)</f>
        <v>2</v>
      </c>
      <c r="C9854" s="7">
        <f ca="1">IFERROR(__xludf.DUMMYFUNCTION("""COMPUTED_VALUE"""),2)</f>
        <v>2</v>
      </c>
      <c r="D9854" s="8">
        <f ca="1">IFERROR(__xludf.DUMMYFUNCTION("""COMPUTED_VALUE"""),2)</f>
        <v>2</v>
      </c>
      <c r="E9854" s="2">
        <f ca="1">IFERROR(__xludf.DUMMYFUNCTION("""COMPUTED_VALUE"""),1)</f>
        <v>1</v>
      </c>
    </row>
    <row r="9855" spans="1:5" ht="13">
      <c r="A9855" s="2" t="str">
        <f ca="1">IFERROR(__xludf.DUMMYFUNCTION("""COMPUTED_VALUE"""),"Neidhold, Caryn")</f>
        <v>Neidhold, Caryn</v>
      </c>
      <c r="B9855" s="2">
        <f ca="1">IFERROR(__xludf.DUMMYFUNCTION("""COMPUTED_VALUE"""),2)</f>
        <v>2</v>
      </c>
      <c r="C9855" s="7">
        <f ca="1">IFERROR(__xludf.DUMMYFUNCTION("""COMPUTED_VALUE"""),2)</f>
        <v>2</v>
      </c>
      <c r="D9855" s="8">
        <f ca="1">IFERROR(__xludf.DUMMYFUNCTION("""COMPUTED_VALUE"""),2)</f>
        <v>2</v>
      </c>
      <c r="E9855" s="2">
        <f ca="1">IFERROR(__xludf.DUMMYFUNCTION("""COMPUTED_VALUE"""),1)</f>
        <v>1</v>
      </c>
    </row>
    <row r="9856" spans="1:5" ht="13">
      <c r="A9856" s="2" t="str">
        <f ca="1">IFERROR(__xludf.DUMMYFUNCTION("""COMPUTED_VALUE"""),"Neidhold, Caryn Wiegand")</f>
        <v>Neidhold, Caryn Wiegand</v>
      </c>
      <c r="B9856" s="2">
        <f ca="1">IFERROR(__xludf.DUMMYFUNCTION("""COMPUTED_VALUE"""),2)</f>
        <v>2</v>
      </c>
      <c r="C9856" s="7">
        <f ca="1">IFERROR(__xludf.DUMMYFUNCTION("""COMPUTED_VALUE"""),2)</f>
        <v>2</v>
      </c>
      <c r="D9856" s="8">
        <f ca="1">IFERROR(__xludf.DUMMYFUNCTION("""COMPUTED_VALUE"""),2)</f>
        <v>2</v>
      </c>
      <c r="E9856" s="2">
        <f ca="1">IFERROR(__xludf.DUMMYFUNCTION("""COMPUTED_VALUE"""),1)</f>
        <v>1</v>
      </c>
    </row>
    <row r="9857" spans="1:5" ht="13">
      <c r="A9857" s="2" t="str">
        <f ca="1">IFERROR(__xludf.DUMMYFUNCTION("""COMPUTED_VALUE"""),"Neikirk, Annie")</f>
        <v>Neikirk, Annie</v>
      </c>
      <c r="B9857" s="3">
        <f ca="1">IFERROR(__xludf.DUMMYFUNCTION("""COMPUTED_VALUE"""),2)</f>
        <v>2</v>
      </c>
      <c r="C9857" s="7">
        <f ca="1">IFERROR(__xludf.DUMMYFUNCTION("""COMPUTED_VALUE"""),2)</f>
        <v>2</v>
      </c>
      <c r="D9857" s="8">
        <f ca="1">IFERROR(__xludf.DUMMYFUNCTION("""COMPUTED_VALUE"""),2)</f>
        <v>2</v>
      </c>
      <c r="E9857" s="2">
        <f ca="1">IFERROR(__xludf.DUMMYFUNCTION("""COMPUTED_VALUE"""),1)</f>
        <v>1</v>
      </c>
    </row>
    <row r="9858" spans="1:5" ht="13">
      <c r="A9858" s="2" t="str">
        <f ca="1">IFERROR(__xludf.DUMMYFUNCTION("""COMPUTED_VALUE"""),"Nelson, Ashley")</f>
        <v>Nelson, Ashley</v>
      </c>
      <c r="B9858" s="3">
        <f ca="1">IFERROR(__xludf.DUMMYFUNCTION("""COMPUTED_VALUE"""),2)</f>
        <v>2</v>
      </c>
      <c r="C9858" s="7">
        <f ca="1">IFERROR(__xludf.DUMMYFUNCTION("""COMPUTED_VALUE"""),2)</f>
        <v>2</v>
      </c>
      <c r="D9858" s="8">
        <f ca="1">IFERROR(__xludf.DUMMYFUNCTION("""COMPUTED_VALUE"""),2)</f>
        <v>2</v>
      </c>
      <c r="E9858" s="2">
        <f ca="1">IFERROR(__xludf.DUMMYFUNCTION("""COMPUTED_VALUE"""),1)</f>
        <v>1</v>
      </c>
    </row>
    <row r="9859" spans="1:5" ht="13">
      <c r="A9859" s="8" t="str">
        <f ca="1">IFERROR(__xludf.DUMMYFUNCTION("""COMPUTED_VALUE"""),"Nelson, Laura")</f>
        <v>Nelson, Laura</v>
      </c>
      <c r="B9859" s="3">
        <f ca="1">IFERROR(__xludf.DUMMYFUNCTION("""COMPUTED_VALUE"""),2)</f>
        <v>2</v>
      </c>
      <c r="C9859" s="7">
        <f ca="1">IFERROR(__xludf.DUMMYFUNCTION("""COMPUTED_VALUE"""),2)</f>
        <v>2</v>
      </c>
      <c r="D9859" s="8">
        <f ca="1">IFERROR(__xludf.DUMMYFUNCTION("""COMPUTED_VALUE"""),2)</f>
        <v>2</v>
      </c>
      <c r="E9859" s="2">
        <f ca="1">IFERROR(__xludf.DUMMYFUNCTION("""COMPUTED_VALUE"""),1)</f>
        <v>1</v>
      </c>
    </row>
    <row r="9860" spans="1:5" ht="13">
      <c r="A9860" s="2" t="str">
        <f ca="1">IFERROR(__xludf.DUMMYFUNCTION("""COMPUTED_VALUE"""),"Nemeth, Leah")</f>
        <v>Nemeth, Leah</v>
      </c>
      <c r="B9860" s="3">
        <f ca="1">IFERROR(__xludf.DUMMYFUNCTION("""COMPUTED_VALUE"""),2)</f>
        <v>2</v>
      </c>
      <c r="C9860" s="7">
        <f ca="1">IFERROR(__xludf.DUMMYFUNCTION("""COMPUTED_VALUE"""),2)</f>
        <v>2</v>
      </c>
      <c r="D9860" s="8">
        <f ca="1">IFERROR(__xludf.DUMMYFUNCTION("""COMPUTED_VALUE"""),2)</f>
        <v>2</v>
      </c>
      <c r="E9860" s="2">
        <f ca="1">IFERROR(__xludf.DUMMYFUNCTION("""COMPUTED_VALUE"""),1)</f>
        <v>1</v>
      </c>
    </row>
    <row r="9861" spans="1:5" ht="13">
      <c r="A9861" s="2" t="str">
        <f ca="1">IFERROR(__xludf.DUMMYFUNCTION("""COMPUTED_VALUE"""),"Neuwirth, Olga")</f>
        <v>Neuwirth, Olga</v>
      </c>
      <c r="B9861" s="3">
        <f ca="1">IFERROR(__xludf.DUMMYFUNCTION("""COMPUTED_VALUE"""),2)</f>
        <v>2</v>
      </c>
      <c r="C9861" s="7">
        <f ca="1">IFERROR(__xludf.DUMMYFUNCTION("""COMPUTED_VALUE"""),2)</f>
        <v>2</v>
      </c>
      <c r="D9861" s="8">
        <f ca="1">IFERROR(__xludf.DUMMYFUNCTION("""COMPUTED_VALUE"""),2)</f>
        <v>2</v>
      </c>
      <c r="E9861" s="2">
        <f ca="1">IFERROR(__xludf.DUMMYFUNCTION("""COMPUTED_VALUE"""),1)</f>
        <v>1</v>
      </c>
    </row>
    <row r="9862" spans="1:5" ht="13">
      <c r="A9862" s="2" t="str">
        <f ca="1">IFERROR(__xludf.DUMMYFUNCTION("""COMPUTED_VALUE"""),"Newman, Maria")</f>
        <v>Newman, Maria</v>
      </c>
      <c r="B9862" s="3">
        <f ca="1">IFERROR(__xludf.DUMMYFUNCTION("""COMPUTED_VALUE"""),2)</f>
        <v>2</v>
      </c>
      <c r="C9862" s="7">
        <f ca="1">IFERROR(__xludf.DUMMYFUNCTION("""COMPUTED_VALUE"""),2)</f>
        <v>2</v>
      </c>
      <c r="D9862" s="8">
        <f ca="1">IFERROR(__xludf.DUMMYFUNCTION("""COMPUTED_VALUE"""),2)</f>
        <v>2</v>
      </c>
      <c r="E9862" s="2">
        <f ca="1">IFERROR(__xludf.DUMMYFUNCTION("""COMPUTED_VALUE"""),1)</f>
        <v>1</v>
      </c>
    </row>
    <row r="9863" spans="1:5" ht="13">
      <c r="A9863" s="2" t="str">
        <f ca="1">IFERROR(__xludf.DUMMYFUNCTION("""COMPUTED_VALUE"""),"Nez, Ketty")</f>
        <v>Nez, Ketty</v>
      </c>
      <c r="B9863" s="3">
        <f ca="1">IFERROR(__xludf.DUMMYFUNCTION("""COMPUTED_VALUE"""),2)</f>
        <v>2</v>
      </c>
      <c r="C9863" s="7">
        <f ca="1">IFERROR(__xludf.DUMMYFUNCTION("""COMPUTED_VALUE"""),2)</f>
        <v>2</v>
      </c>
      <c r="D9863" s="8">
        <f ca="1">IFERROR(__xludf.DUMMYFUNCTION("""COMPUTED_VALUE"""),2)</f>
        <v>2</v>
      </c>
      <c r="E9863" s="2">
        <f ca="1">IFERROR(__xludf.DUMMYFUNCTION("""COMPUTED_VALUE"""),1)</f>
        <v>1</v>
      </c>
    </row>
    <row r="9864" spans="1:5" ht="13">
      <c r="A9864" s="2" t="str">
        <f ca="1">IFERROR(__xludf.DUMMYFUNCTION("""COMPUTED_VALUE"""),"Nicholeris, Carol")</f>
        <v>Nicholeris, Carol</v>
      </c>
      <c r="B9864" s="3">
        <f ca="1">IFERROR(__xludf.DUMMYFUNCTION("""COMPUTED_VALUE"""),2)</f>
        <v>2</v>
      </c>
      <c r="C9864" s="7">
        <f ca="1">IFERROR(__xludf.DUMMYFUNCTION("""COMPUTED_VALUE"""),2)</f>
        <v>2</v>
      </c>
      <c r="D9864" s="8">
        <f ca="1">IFERROR(__xludf.DUMMYFUNCTION("""COMPUTED_VALUE"""),2)</f>
        <v>2</v>
      </c>
      <c r="E9864" s="2">
        <f ca="1">IFERROR(__xludf.DUMMYFUNCTION("""COMPUTED_VALUE"""),1)</f>
        <v>1</v>
      </c>
    </row>
    <row r="9865" spans="1:5" ht="13">
      <c r="A9865" s="8" t="str">
        <f ca="1">IFERROR(__xludf.DUMMYFUNCTION("""COMPUTED_VALUE"""),"Nicks, Stevie")</f>
        <v>Nicks, Stevie</v>
      </c>
      <c r="B9865" s="3">
        <f ca="1">IFERROR(__xludf.DUMMYFUNCTION("""COMPUTED_VALUE"""),2)</f>
        <v>2</v>
      </c>
      <c r="C9865" s="7">
        <f ca="1">IFERROR(__xludf.DUMMYFUNCTION("""COMPUTED_VALUE"""),2)</f>
        <v>2</v>
      </c>
      <c r="D9865" s="8">
        <f ca="1">IFERROR(__xludf.DUMMYFUNCTION("""COMPUTED_VALUE"""),2)</f>
        <v>2</v>
      </c>
      <c r="E9865" s="2">
        <f ca="1">IFERROR(__xludf.DUMMYFUNCTION("""COMPUTED_VALUE"""),1)</f>
        <v>1</v>
      </c>
    </row>
    <row r="9866" spans="1:5" ht="13">
      <c r="A9866" s="8" t="str">
        <f ca="1">IFERROR(__xludf.DUMMYFUNCTION("""COMPUTED_VALUE"""),"Nightingale, Aileen")</f>
        <v>Nightingale, Aileen</v>
      </c>
      <c r="B9866" s="3">
        <f ca="1">IFERROR(__xludf.DUMMYFUNCTION("""COMPUTED_VALUE"""),2)</f>
        <v>2</v>
      </c>
      <c r="C9866" s="7">
        <f ca="1">IFERROR(__xludf.DUMMYFUNCTION("""COMPUTED_VALUE"""),2)</f>
        <v>2</v>
      </c>
      <c r="D9866" s="8">
        <f ca="1">IFERROR(__xludf.DUMMYFUNCTION("""COMPUTED_VALUE"""),2)</f>
        <v>2</v>
      </c>
      <c r="E9866" s="2">
        <f ca="1">IFERROR(__xludf.DUMMYFUNCTION("""COMPUTED_VALUE"""),1)</f>
        <v>1</v>
      </c>
    </row>
    <row r="9867" spans="1:5" ht="13">
      <c r="A9867" s="8" t="str">
        <f ca="1">IFERROR(__xludf.DUMMYFUNCTION("""COMPUTED_VALUE"""),"Nikunen, Annie")</f>
        <v>Nikunen, Annie</v>
      </c>
      <c r="B9867" s="3">
        <f ca="1">IFERROR(__xludf.DUMMYFUNCTION("""COMPUTED_VALUE"""),2)</f>
        <v>2</v>
      </c>
      <c r="C9867" s="7">
        <f ca="1">IFERROR(__xludf.DUMMYFUNCTION("""COMPUTED_VALUE"""),2)</f>
        <v>2</v>
      </c>
      <c r="D9867" s="8">
        <f ca="1">IFERROR(__xludf.DUMMYFUNCTION("""COMPUTED_VALUE"""),2)</f>
        <v>2</v>
      </c>
      <c r="E9867" s="2">
        <f ca="1">IFERROR(__xludf.DUMMYFUNCTION("""COMPUTED_VALUE"""),1)</f>
        <v>1</v>
      </c>
    </row>
    <row r="9868" spans="1:5" ht="13">
      <c r="A9868" s="2" t="str">
        <f ca="1">IFERROR(__xludf.DUMMYFUNCTION("""COMPUTED_VALUE"""),"Nolan, Linda")</f>
        <v>Nolan, Linda</v>
      </c>
      <c r="B9868" s="3">
        <f ca="1">IFERROR(__xludf.DUMMYFUNCTION("""COMPUTED_VALUE"""),2)</f>
        <v>2</v>
      </c>
      <c r="C9868" s="7">
        <f ca="1">IFERROR(__xludf.DUMMYFUNCTION("""COMPUTED_VALUE"""),2)</f>
        <v>2</v>
      </c>
      <c r="D9868" s="8">
        <f ca="1">IFERROR(__xludf.DUMMYFUNCTION("""COMPUTED_VALUE"""),2)</f>
        <v>2</v>
      </c>
      <c r="E9868" s="2">
        <f ca="1">IFERROR(__xludf.DUMMYFUNCTION("""COMPUTED_VALUE"""),1)</f>
        <v>1</v>
      </c>
    </row>
    <row r="9869" spans="1:5" ht="13">
      <c r="A9869" s="2" t="str">
        <f ca="1">IFERROR(__xludf.DUMMYFUNCTION("""COMPUTED_VALUE"""),"Noonan, Brenna")</f>
        <v>Noonan, Brenna</v>
      </c>
      <c r="B9869" s="3">
        <f ca="1">IFERROR(__xludf.DUMMYFUNCTION("""COMPUTED_VALUE"""),2)</f>
        <v>2</v>
      </c>
      <c r="C9869" s="7">
        <f ca="1">IFERROR(__xludf.DUMMYFUNCTION("""COMPUTED_VALUE"""),2)</f>
        <v>2</v>
      </c>
      <c r="D9869" s="8">
        <f ca="1">IFERROR(__xludf.DUMMYFUNCTION("""COMPUTED_VALUE"""),2)</f>
        <v>2</v>
      </c>
      <c r="E9869" s="2">
        <f ca="1">IFERROR(__xludf.DUMMYFUNCTION("""COMPUTED_VALUE"""),1)</f>
        <v>1</v>
      </c>
    </row>
    <row r="9870" spans="1:5" ht="13">
      <c r="A9870" s="2" t="str">
        <f ca="1">IFERROR(__xludf.DUMMYFUNCTION("""COMPUTED_VALUE"""),"Nordmeyer, Stacey")</f>
        <v>Nordmeyer, Stacey</v>
      </c>
      <c r="B9870" s="3">
        <f ca="1">IFERROR(__xludf.DUMMYFUNCTION("""COMPUTED_VALUE"""),2)</f>
        <v>2</v>
      </c>
      <c r="C9870" s="7">
        <f ca="1">IFERROR(__xludf.DUMMYFUNCTION("""COMPUTED_VALUE"""),2)</f>
        <v>2</v>
      </c>
      <c r="D9870" s="8">
        <f ca="1">IFERROR(__xludf.DUMMYFUNCTION("""COMPUTED_VALUE"""),2)</f>
        <v>2</v>
      </c>
      <c r="E9870" s="2">
        <f ca="1">IFERROR(__xludf.DUMMYFUNCTION("""COMPUTED_VALUE"""),1)</f>
        <v>1</v>
      </c>
    </row>
    <row r="9871" spans="1:5" ht="13">
      <c r="A9871" s="2" t="str">
        <f ca="1">IFERROR(__xludf.DUMMYFUNCTION("""COMPUTED_VALUE"""),"Notareschi, Loretta")</f>
        <v>Notareschi, Loretta</v>
      </c>
      <c r="B9871" s="3">
        <f ca="1">IFERROR(__xludf.DUMMYFUNCTION("""COMPUTED_VALUE"""),2)</f>
        <v>2</v>
      </c>
      <c r="C9871" s="7">
        <f ca="1">IFERROR(__xludf.DUMMYFUNCTION("""COMPUTED_VALUE"""),2)</f>
        <v>2</v>
      </c>
      <c r="D9871" s="8">
        <f ca="1">IFERROR(__xludf.DUMMYFUNCTION("""COMPUTED_VALUE"""),2)</f>
        <v>2</v>
      </c>
      <c r="E9871" s="2">
        <f ca="1">IFERROR(__xludf.DUMMYFUNCTION("""COMPUTED_VALUE"""),1)</f>
        <v>1</v>
      </c>
    </row>
    <row r="9872" spans="1:5" ht="13">
      <c r="A9872" s="2" t="str">
        <f ca="1">IFERROR(__xludf.DUMMYFUNCTION("""COMPUTED_VALUE"""),"Nova, Shara")</f>
        <v>Nova, Shara</v>
      </c>
      <c r="B9872" s="2">
        <f ca="1">IFERROR(__xludf.DUMMYFUNCTION("""COMPUTED_VALUE"""),2)</f>
        <v>2</v>
      </c>
      <c r="C9872" s="7">
        <f ca="1">IFERROR(__xludf.DUMMYFUNCTION("""COMPUTED_VALUE"""),2)</f>
        <v>2</v>
      </c>
      <c r="D9872" s="8">
        <f ca="1">IFERROR(__xludf.DUMMYFUNCTION("""COMPUTED_VALUE"""),2)</f>
        <v>2</v>
      </c>
      <c r="E9872" s="2">
        <f ca="1">IFERROR(__xludf.DUMMYFUNCTION("""COMPUTED_VALUE"""),1)</f>
        <v>1</v>
      </c>
    </row>
    <row r="9873" spans="1:5" ht="13">
      <c r="A9873" s="2" t="str">
        <f ca="1">IFERROR(__xludf.DUMMYFUNCTION("""COMPUTED_VALUE"""),"Nuss, Deborah")</f>
        <v>Nuss, Deborah</v>
      </c>
      <c r="B9873" s="3">
        <f ca="1">IFERROR(__xludf.DUMMYFUNCTION("""COMPUTED_VALUE"""),2)</f>
        <v>2</v>
      </c>
      <c r="C9873" s="7">
        <f ca="1">IFERROR(__xludf.DUMMYFUNCTION("""COMPUTED_VALUE"""),2)</f>
        <v>2</v>
      </c>
      <c r="D9873" s="8">
        <f ca="1">IFERROR(__xludf.DUMMYFUNCTION("""COMPUTED_VALUE"""),2)</f>
        <v>2</v>
      </c>
      <c r="E9873" s="2">
        <f ca="1">IFERROR(__xludf.DUMMYFUNCTION("""COMPUTED_VALUE"""),1)</f>
        <v>1</v>
      </c>
    </row>
    <row r="9874" spans="1:5" ht="13">
      <c r="A9874" s="8" t="str">
        <f ca="1">IFERROR(__xludf.DUMMYFUNCTION("""COMPUTED_VALUE"""),"Nyro, Laura")</f>
        <v>Nyro, Laura</v>
      </c>
      <c r="B9874" s="3">
        <f ca="1">IFERROR(__xludf.DUMMYFUNCTION("""COMPUTED_VALUE"""),2)</f>
        <v>2</v>
      </c>
      <c r="C9874" s="7">
        <f ca="1">IFERROR(__xludf.DUMMYFUNCTION("""COMPUTED_VALUE"""),2)</f>
        <v>2</v>
      </c>
      <c r="D9874" s="8">
        <f ca="1">IFERROR(__xludf.DUMMYFUNCTION("""COMPUTED_VALUE"""),6)</f>
        <v>6</v>
      </c>
      <c r="E9874" s="2">
        <f ca="1">IFERROR(__xludf.DUMMYFUNCTION("""COMPUTED_VALUE"""),2)</f>
        <v>2</v>
      </c>
    </row>
    <row r="9875" spans="1:5" ht="13">
      <c r="A9875" s="2" t="str">
        <f ca="1">IFERROR(__xludf.DUMMYFUNCTION("""COMPUTED_VALUE"""),"O'Donovan, Aoife")</f>
        <v>O'Donovan, Aoife</v>
      </c>
      <c r="B9875" s="2">
        <f ca="1">IFERROR(__xludf.DUMMYFUNCTION("""COMPUTED_VALUE"""),2)</f>
        <v>2</v>
      </c>
      <c r="C9875" s="2">
        <f ca="1">IFERROR(__xludf.DUMMYFUNCTION("""COMPUTED_VALUE"""),2)</f>
        <v>2</v>
      </c>
      <c r="D9875" s="8">
        <f ca="1">IFERROR(__xludf.DUMMYFUNCTION("""COMPUTED_VALUE"""),2)</f>
        <v>2</v>
      </c>
      <c r="E9875" s="2">
        <f ca="1">IFERROR(__xludf.DUMMYFUNCTION("""COMPUTED_VALUE"""),1)</f>
        <v>1</v>
      </c>
    </row>
    <row r="9876" spans="1:5" ht="13">
      <c r="A9876" s="2" t="str">
        <f ca="1">IFERROR(__xludf.DUMMYFUNCTION("""COMPUTED_VALUE"""),"O'Halloran, Emma")</f>
        <v>O'Halloran, Emma</v>
      </c>
      <c r="B9876" s="3">
        <f ca="1">IFERROR(__xludf.DUMMYFUNCTION("""COMPUTED_VALUE"""),2)</f>
        <v>2</v>
      </c>
      <c r="C9876" s="7">
        <f ca="1">IFERROR(__xludf.DUMMYFUNCTION("""COMPUTED_VALUE"""),2)</f>
        <v>2</v>
      </c>
      <c r="D9876" s="8">
        <f ca="1">IFERROR(__xludf.DUMMYFUNCTION("""COMPUTED_VALUE"""),2)</f>
        <v>2</v>
      </c>
      <c r="E9876" s="2">
        <f ca="1">IFERROR(__xludf.DUMMYFUNCTION("""COMPUTED_VALUE"""),1)</f>
        <v>1</v>
      </c>
    </row>
    <row r="9877" spans="1:5" ht="13">
      <c r="A9877" s="2" t="str">
        <f ca="1">IFERROR(__xludf.DUMMYFUNCTION("""COMPUTED_VALUE"""),"O'Neill, Jackie")</f>
        <v>O'Neill, Jackie</v>
      </c>
      <c r="B9877" s="3">
        <f ca="1">IFERROR(__xludf.DUMMYFUNCTION("""COMPUTED_VALUE"""),2)</f>
        <v>2</v>
      </c>
      <c r="C9877" s="7">
        <f ca="1">IFERROR(__xludf.DUMMYFUNCTION("""COMPUTED_VALUE"""),2)</f>
        <v>2</v>
      </c>
      <c r="D9877" s="8">
        <f ca="1">IFERROR(__xludf.DUMMYFUNCTION("""COMPUTED_VALUE"""),2)</f>
        <v>2</v>
      </c>
      <c r="E9877" s="2">
        <f ca="1">IFERROR(__xludf.DUMMYFUNCTION("""COMPUTED_VALUE"""),1)</f>
        <v>1</v>
      </c>
    </row>
    <row r="9878" spans="1:5" ht="13">
      <c r="A9878" s="2" t="str">
        <f ca="1">IFERROR(__xludf.DUMMYFUNCTION("""COMPUTED_VALUE"""),"Oakley, Audrey")</f>
        <v>Oakley, Audrey</v>
      </c>
      <c r="B9878" s="3">
        <f ca="1">IFERROR(__xludf.DUMMYFUNCTION("""COMPUTED_VALUE"""),2)</f>
        <v>2</v>
      </c>
      <c r="C9878" s="7">
        <f ca="1">IFERROR(__xludf.DUMMYFUNCTION("""COMPUTED_VALUE"""),2)</f>
        <v>2</v>
      </c>
      <c r="D9878" s="8">
        <f ca="1">IFERROR(__xludf.DUMMYFUNCTION("""COMPUTED_VALUE"""),2)</f>
        <v>2</v>
      </c>
      <c r="E9878" s="2">
        <f ca="1">IFERROR(__xludf.DUMMYFUNCTION("""COMPUTED_VALUE"""),1)</f>
        <v>1</v>
      </c>
    </row>
    <row r="9879" spans="1:5" ht="13">
      <c r="A9879" s="2" t="str">
        <f ca="1">IFERROR(__xludf.DUMMYFUNCTION("""COMPUTED_VALUE"""),"Ogonek, Elizabeth")</f>
        <v>Ogonek, Elizabeth</v>
      </c>
      <c r="B9879" s="3">
        <f ca="1">IFERROR(__xludf.DUMMYFUNCTION("""COMPUTED_VALUE"""),2)</f>
        <v>2</v>
      </c>
      <c r="C9879" s="7">
        <f ca="1">IFERROR(__xludf.DUMMYFUNCTION("""COMPUTED_VALUE"""),2)</f>
        <v>2</v>
      </c>
      <c r="D9879" s="8">
        <f ca="1">IFERROR(__xludf.DUMMYFUNCTION("""COMPUTED_VALUE"""),2)</f>
        <v>2</v>
      </c>
      <c r="E9879" s="2">
        <f ca="1">IFERROR(__xludf.DUMMYFUNCTION("""COMPUTED_VALUE"""),1)</f>
        <v>1</v>
      </c>
    </row>
    <row r="9880" spans="1:5" ht="13">
      <c r="A9880" s="2" t="str">
        <f ca="1">IFERROR(__xludf.DUMMYFUNCTION("""COMPUTED_VALUE"""),"Ojakangas, Celka Ilona")</f>
        <v>Ojakangas, Celka Ilona</v>
      </c>
      <c r="B9880" s="3">
        <f ca="1">IFERROR(__xludf.DUMMYFUNCTION("""COMPUTED_VALUE"""),2)</f>
        <v>2</v>
      </c>
      <c r="C9880" s="7">
        <f ca="1">IFERROR(__xludf.DUMMYFUNCTION("""COMPUTED_VALUE"""),2)</f>
        <v>2</v>
      </c>
      <c r="D9880" s="8">
        <f ca="1">IFERROR(__xludf.DUMMYFUNCTION("""COMPUTED_VALUE"""),2)</f>
        <v>2</v>
      </c>
      <c r="E9880" s="2">
        <f ca="1">IFERROR(__xludf.DUMMYFUNCTION("""COMPUTED_VALUE"""),1)</f>
        <v>1</v>
      </c>
    </row>
    <row r="9881" spans="1:5" ht="13">
      <c r="A9881" s="2" t="str">
        <f ca="1">IFERROR(__xludf.DUMMYFUNCTION("""COMPUTED_VALUE"""),"Oliver, Nancy")</f>
        <v>Oliver, Nancy</v>
      </c>
      <c r="B9881" s="3">
        <f ca="1">IFERROR(__xludf.DUMMYFUNCTION("""COMPUTED_VALUE"""),2)</f>
        <v>2</v>
      </c>
      <c r="C9881" s="7">
        <f ca="1">IFERROR(__xludf.DUMMYFUNCTION("""COMPUTED_VALUE"""),2)</f>
        <v>2</v>
      </c>
      <c r="D9881" s="8">
        <f ca="1">IFERROR(__xludf.DUMMYFUNCTION("""COMPUTED_VALUE"""),2)</f>
        <v>2</v>
      </c>
      <c r="E9881" s="2">
        <f ca="1">IFERROR(__xludf.DUMMYFUNCTION("""COMPUTED_VALUE"""),1)</f>
        <v>1</v>
      </c>
    </row>
    <row r="9882" spans="1:5" ht="13">
      <c r="A9882" s="2" t="str">
        <f ca="1">IFERROR(__xludf.DUMMYFUNCTION("""COMPUTED_VALUE"""),"Oliveros, Pauline")</f>
        <v>Oliveros, Pauline</v>
      </c>
      <c r="B9882" s="3">
        <f ca="1">IFERROR(__xludf.DUMMYFUNCTION("""COMPUTED_VALUE"""),2)</f>
        <v>2</v>
      </c>
      <c r="C9882" s="7">
        <f ca="1">IFERROR(__xludf.DUMMYFUNCTION("""COMPUTED_VALUE"""),2)</f>
        <v>2</v>
      </c>
      <c r="D9882" s="8">
        <f ca="1">IFERROR(__xludf.DUMMYFUNCTION("""COMPUTED_VALUE"""),6)</f>
        <v>6</v>
      </c>
      <c r="E9882" s="2">
        <f ca="1">IFERROR(__xludf.DUMMYFUNCTION("""COMPUTED_VALUE"""),2)</f>
        <v>2</v>
      </c>
    </row>
    <row r="9883" spans="1:5" ht="13">
      <c r="A9883" s="2" t="str">
        <f ca="1">IFERROR(__xludf.DUMMYFUNCTION("""COMPUTED_VALUE"""),"Olsavsky, Alexandra")</f>
        <v>Olsavsky, Alexandra</v>
      </c>
      <c r="B9883" s="2">
        <f ca="1">IFERROR(__xludf.DUMMYFUNCTION("""COMPUTED_VALUE"""),2)</f>
        <v>2</v>
      </c>
      <c r="C9883" s="7">
        <f ca="1">IFERROR(__xludf.DUMMYFUNCTION("""COMPUTED_VALUE"""),2)</f>
        <v>2</v>
      </c>
      <c r="D9883" s="8">
        <f ca="1">IFERROR(__xludf.DUMMYFUNCTION("""COMPUTED_VALUE"""),2)</f>
        <v>2</v>
      </c>
      <c r="E9883" s="2">
        <f ca="1">IFERROR(__xludf.DUMMYFUNCTION("""COMPUTED_VALUE"""),1)</f>
        <v>1</v>
      </c>
    </row>
    <row r="9884" spans="1:5" ht="13">
      <c r="A9884" s="2" t="str">
        <f ca="1">IFERROR(__xludf.DUMMYFUNCTION("""COMPUTED_VALUE"""),"Olson, Peggy")</f>
        <v>Olson, Peggy</v>
      </c>
      <c r="B9884" s="3">
        <f ca="1">IFERROR(__xludf.DUMMYFUNCTION("""COMPUTED_VALUE"""),2)</f>
        <v>2</v>
      </c>
      <c r="C9884" s="7">
        <f ca="1">IFERROR(__xludf.DUMMYFUNCTION("""COMPUTED_VALUE"""),2)</f>
        <v>2</v>
      </c>
      <c r="D9884" s="8">
        <f ca="1">IFERROR(__xludf.DUMMYFUNCTION("""COMPUTED_VALUE"""),2)</f>
        <v>2</v>
      </c>
      <c r="E9884" s="2">
        <f ca="1">IFERROR(__xludf.DUMMYFUNCTION("""COMPUTED_VALUE"""),1)</f>
        <v>1</v>
      </c>
    </row>
    <row r="9885" spans="1:5" ht="13">
      <c r="A9885" s="2" t="str">
        <f ca="1">IFERROR(__xludf.DUMMYFUNCTION("""COMPUTED_VALUE"""),"Olson, Tawnie")</f>
        <v>Olson, Tawnie</v>
      </c>
      <c r="B9885" s="3">
        <f ca="1">IFERROR(__xludf.DUMMYFUNCTION("""COMPUTED_VALUE"""),2)</f>
        <v>2</v>
      </c>
      <c r="C9885" s="7">
        <f ca="1">IFERROR(__xludf.DUMMYFUNCTION("""COMPUTED_VALUE"""),2)</f>
        <v>2</v>
      </c>
      <c r="D9885" s="8">
        <f ca="1">IFERROR(__xludf.DUMMYFUNCTION("""COMPUTED_VALUE"""),2)</f>
        <v>2</v>
      </c>
      <c r="E9885" s="2">
        <f ca="1">IFERROR(__xludf.DUMMYFUNCTION("""COMPUTED_VALUE"""),1)</f>
        <v>1</v>
      </c>
    </row>
    <row r="9886" spans="1:5" ht="13">
      <c r="A9886" s="2" t="str">
        <f ca="1">IFERROR(__xludf.DUMMYFUNCTION("""COMPUTED_VALUE"""),"Oostenbroek, Neridah")</f>
        <v>Oostenbroek, Neridah</v>
      </c>
      <c r="B9886" s="3">
        <f ca="1">IFERROR(__xludf.DUMMYFUNCTION("""COMPUTED_VALUE"""),2)</f>
        <v>2</v>
      </c>
      <c r="C9886" s="7">
        <f ca="1">IFERROR(__xludf.DUMMYFUNCTION("""COMPUTED_VALUE"""),2)</f>
        <v>2</v>
      </c>
      <c r="D9886" s="8">
        <f ca="1">IFERROR(__xludf.DUMMYFUNCTION("""COMPUTED_VALUE"""),2)</f>
        <v>2</v>
      </c>
      <c r="E9886" s="2">
        <f ca="1">IFERROR(__xludf.DUMMYFUNCTION("""COMPUTED_VALUE"""),1)</f>
        <v>1</v>
      </c>
    </row>
    <row r="9887" spans="1:5" ht="13">
      <c r="A9887" s="2" t="str">
        <f ca="1">IFERROR(__xludf.DUMMYFUNCTION("""COMPUTED_VALUE"""),"Orlando, Stephanie")</f>
        <v>Orlando, Stephanie</v>
      </c>
      <c r="B9887" s="3">
        <f ca="1">IFERROR(__xludf.DUMMYFUNCTION("""COMPUTED_VALUE"""),2)</f>
        <v>2</v>
      </c>
      <c r="C9887" s="7">
        <f ca="1">IFERROR(__xludf.DUMMYFUNCTION("""COMPUTED_VALUE"""),2)</f>
        <v>2</v>
      </c>
      <c r="D9887" s="8">
        <f ca="1">IFERROR(__xludf.DUMMYFUNCTION("""COMPUTED_VALUE"""),2)</f>
        <v>2</v>
      </c>
      <c r="E9887" s="2">
        <f ca="1">IFERROR(__xludf.DUMMYFUNCTION("""COMPUTED_VALUE"""),1)</f>
        <v>1</v>
      </c>
    </row>
    <row r="9888" spans="1:5" ht="13">
      <c r="A9888" s="2" t="str">
        <f ca="1">IFERROR(__xludf.DUMMYFUNCTION("""COMPUTED_VALUE"""),"Osberg, Kimberly R.")</f>
        <v>Osberg, Kimberly R.</v>
      </c>
      <c r="B9888" s="3">
        <f ca="1">IFERROR(__xludf.DUMMYFUNCTION("""COMPUTED_VALUE"""),2)</f>
        <v>2</v>
      </c>
      <c r="C9888" s="7">
        <f ca="1">IFERROR(__xludf.DUMMYFUNCTION("""COMPUTED_VALUE"""),2)</f>
        <v>2</v>
      </c>
      <c r="D9888" s="8">
        <f ca="1">IFERROR(__xludf.DUMMYFUNCTION("""COMPUTED_VALUE"""),2)</f>
        <v>2</v>
      </c>
      <c r="E9888" s="2">
        <f ca="1">IFERROR(__xludf.DUMMYFUNCTION("""COMPUTED_VALUE"""),1)</f>
        <v>1</v>
      </c>
    </row>
    <row r="9889" spans="1:5" ht="13">
      <c r="A9889" s="2" t="str">
        <f ca="1">IFERROR(__xludf.DUMMYFUNCTION("""COMPUTED_VALUE"""),"Otten, Judith")</f>
        <v>Otten, Judith</v>
      </c>
      <c r="B9889" s="2">
        <f ca="1">IFERROR(__xludf.DUMMYFUNCTION("""COMPUTED_VALUE"""),2)</f>
        <v>2</v>
      </c>
      <c r="C9889" s="2">
        <f ca="1">IFERROR(__xludf.DUMMYFUNCTION("""COMPUTED_VALUE"""),2)</f>
        <v>2</v>
      </c>
      <c r="D9889" s="8">
        <f ca="1">IFERROR(__xludf.DUMMYFUNCTION("""COMPUTED_VALUE"""),2)</f>
        <v>2</v>
      </c>
      <c r="E9889" s="2">
        <f ca="1">IFERROR(__xludf.DUMMYFUNCTION("""COMPUTED_VALUE"""),1)</f>
        <v>1</v>
      </c>
    </row>
    <row r="9890" spans="1:5" ht="13">
      <c r="A9890" s="8" t="str">
        <f ca="1">IFERROR(__xludf.DUMMYFUNCTION("""COMPUTED_VALUE"""),"Overholt, Miriam")</f>
        <v>Overholt, Miriam</v>
      </c>
      <c r="B9890" s="3">
        <f ca="1">IFERROR(__xludf.DUMMYFUNCTION("""COMPUTED_VALUE"""),2)</f>
        <v>2</v>
      </c>
      <c r="C9890" s="7">
        <f ca="1">IFERROR(__xludf.DUMMYFUNCTION("""COMPUTED_VALUE"""),2)</f>
        <v>2</v>
      </c>
      <c r="D9890" s="8">
        <f ca="1">IFERROR(__xludf.DUMMYFUNCTION("""COMPUTED_VALUE"""),2)</f>
        <v>2</v>
      </c>
      <c r="E9890" s="2">
        <f ca="1">IFERROR(__xludf.DUMMYFUNCTION("""COMPUTED_VALUE"""),1)</f>
        <v>1</v>
      </c>
    </row>
    <row r="9891" spans="1:5" ht="13">
      <c r="A9891" s="8" t="str">
        <f ca="1">IFERROR(__xludf.DUMMYFUNCTION("""COMPUTED_VALUE"""),"Owen, Blythe")</f>
        <v>Owen, Blythe</v>
      </c>
      <c r="B9891" s="3">
        <f ca="1">IFERROR(__xludf.DUMMYFUNCTION("""COMPUTED_VALUE"""),2)</f>
        <v>2</v>
      </c>
      <c r="C9891" s="7">
        <f ca="1">IFERROR(__xludf.DUMMYFUNCTION("""COMPUTED_VALUE"""),2)</f>
        <v>2</v>
      </c>
      <c r="D9891" s="8">
        <f ca="1">IFERROR(__xludf.DUMMYFUNCTION("""COMPUTED_VALUE"""),6)</f>
        <v>6</v>
      </c>
      <c r="E9891" s="2">
        <f ca="1">IFERROR(__xludf.DUMMYFUNCTION("""COMPUTED_VALUE"""),2)</f>
        <v>2</v>
      </c>
    </row>
    <row r="9892" spans="1:5" ht="13">
      <c r="A9892" s="2" t="str">
        <f ca="1">IFERROR(__xludf.DUMMYFUNCTION("""COMPUTED_VALUE"""),"Owens, Betty")</f>
        <v>Owens, Betty</v>
      </c>
      <c r="B9892" s="3">
        <f ca="1">IFERROR(__xludf.DUMMYFUNCTION("""COMPUTED_VALUE"""),2)</f>
        <v>2</v>
      </c>
      <c r="C9892" s="7">
        <f ca="1">IFERROR(__xludf.DUMMYFUNCTION("""COMPUTED_VALUE"""),2)</f>
        <v>2</v>
      </c>
      <c r="D9892" s="8">
        <f ca="1">IFERROR(__xludf.DUMMYFUNCTION("""COMPUTED_VALUE"""),2)</f>
        <v>2</v>
      </c>
      <c r="E9892" s="2">
        <f ca="1">IFERROR(__xludf.DUMMYFUNCTION("""COMPUTED_VALUE"""),1)</f>
        <v>1</v>
      </c>
    </row>
    <row r="9893" spans="1:5" ht="13">
      <c r="A9893" s="2" t="str">
        <f ca="1">IFERROR(__xludf.DUMMYFUNCTION("""COMPUTED_VALUE"""),"Owens, Tania")</f>
        <v>Owens, Tania</v>
      </c>
      <c r="B9893" s="2">
        <f ca="1">IFERROR(__xludf.DUMMYFUNCTION("""COMPUTED_VALUE"""),2)</f>
        <v>2</v>
      </c>
      <c r="C9893" s="7">
        <f ca="1">IFERROR(__xludf.DUMMYFUNCTION("""COMPUTED_VALUE"""),2)</f>
        <v>2</v>
      </c>
      <c r="D9893" s="8">
        <f ca="1">IFERROR(__xludf.DUMMYFUNCTION("""COMPUTED_VALUE"""),2)</f>
        <v>2</v>
      </c>
      <c r="E9893" s="2">
        <f ca="1">IFERROR(__xludf.DUMMYFUNCTION("""COMPUTED_VALUE"""),1)</f>
        <v>1</v>
      </c>
    </row>
    <row r="9894" spans="1:5" ht="13">
      <c r="A9894" s="2" t="str">
        <f ca="1">IFERROR(__xludf.DUMMYFUNCTION("""COMPUTED_VALUE"""),"Page, Anna Laura")</f>
        <v>Page, Anna Laura</v>
      </c>
      <c r="B9894" s="3">
        <f ca="1">IFERROR(__xludf.DUMMYFUNCTION("""COMPUTED_VALUE"""),2)</f>
        <v>2</v>
      </c>
      <c r="C9894" s="7">
        <f ca="1">IFERROR(__xludf.DUMMYFUNCTION("""COMPUTED_VALUE"""),2)</f>
        <v>2</v>
      </c>
      <c r="D9894" s="8">
        <f ca="1">IFERROR(__xludf.DUMMYFUNCTION("""COMPUTED_VALUE"""),2)</f>
        <v>2</v>
      </c>
      <c r="E9894" s="2">
        <f ca="1">IFERROR(__xludf.DUMMYFUNCTION("""COMPUTED_VALUE"""),1)</f>
        <v>1</v>
      </c>
    </row>
    <row r="9895" spans="1:5" ht="13">
      <c r="A9895" s="2" t="str">
        <f ca="1">IFERROR(__xludf.DUMMYFUNCTION("""COMPUTED_VALUE"""),"Page, Carrie Leigh")</f>
        <v>Page, Carrie Leigh</v>
      </c>
      <c r="B9895" s="3">
        <f ca="1">IFERROR(__xludf.DUMMYFUNCTION("""COMPUTED_VALUE"""),2)</f>
        <v>2</v>
      </c>
      <c r="C9895" s="7">
        <f ca="1">IFERROR(__xludf.DUMMYFUNCTION("""COMPUTED_VALUE"""),2)</f>
        <v>2</v>
      </c>
      <c r="D9895" s="8">
        <f ca="1">IFERROR(__xludf.DUMMYFUNCTION("""COMPUTED_VALUE"""),2)</f>
        <v>2</v>
      </c>
      <c r="E9895" s="2">
        <f ca="1">IFERROR(__xludf.DUMMYFUNCTION("""COMPUTED_VALUE"""),1)</f>
        <v>1</v>
      </c>
    </row>
    <row r="9896" spans="1:5" ht="13">
      <c r="A9896" s="2" t="str">
        <f ca="1">IFERROR(__xludf.DUMMYFUNCTION("""COMPUTED_VALUE"""),"Page, Sue Ellen")</f>
        <v>Page, Sue Ellen</v>
      </c>
      <c r="B9896" s="3">
        <f ca="1">IFERROR(__xludf.DUMMYFUNCTION("""COMPUTED_VALUE"""),2)</f>
        <v>2</v>
      </c>
      <c r="C9896" s="7">
        <f ca="1">IFERROR(__xludf.DUMMYFUNCTION("""COMPUTED_VALUE"""),2)</f>
        <v>2</v>
      </c>
      <c r="D9896" s="8">
        <f ca="1">IFERROR(__xludf.DUMMYFUNCTION("""COMPUTED_VALUE"""),2)</f>
        <v>2</v>
      </c>
      <c r="E9896" s="2">
        <f ca="1">IFERROR(__xludf.DUMMYFUNCTION("""COMPUTED_VALUE"""),1)</f>
        <v>1</v>
      </c>
    </row>
    <row r="9897" spans="1:5" ht="13">
      <c r="A9897" s="2" t="str">
        <f ca="1">IFERROR(__xludf.DUMMYFUNCTION("""COMPUTED_VALUE"""),"Palermo, Sarah")</f>
        <v>Palermo, Sarah</v>
      </c>
      <c r="B9897" s="3">
        <f ca="1">IFERROR(__xludf.DUMMYFUNCTION("""COMPUTED_VALUE"""),2)</f>
        <v>2</v>
      </c>
      <c r="C9897" s="7">
        <f ca="1">IFERROR(__xludf.DUMMYFUNCTION("""COMPUTED_VALUE"""),2)</f>
        <v>2</v>
      </c>
      <c r="D9897" s="8">
        <f ca="1">IFERROR(__xludf.DUMMYFUNCTION("""COMPUTED_VALUE"""),2)</f>
        <v>2</v>
      </c>
      <c r="E9897" s="2">
        <f ca="1">IFERROR(__xludf.DUMMYFUNCTION("""COMPUTED_VALUE"""),1)</f>
        <v>1</v>
      </c>
    </row>
    <row r="9898" spans="1:5" ht="13">
      <c r="A9898" s="8" t="str">
        <f ca="1">IFERROR(__xludf.DUMMYFUNCTION("""COMPUTED_VALUE"""),"Pankhurst, Lucy")</f>
        <v>Pankhurst, Lucy</v>
      </c>
      <c r="B9898" s="3">
        <f ca="1">IFERROR(__xludf.DUMMYFUNCTION("""COMPUTED_VALUE"""),2)</f>
        <v>2</v>
      </c>
      <c r="C9898" s="7">
        <f ca="1">IFERROR(__xludf.DUMMYFUNCTION("""COMPUTED_VALUE"""),2)</f>
        <v>2</v>
      </c>
      <c r="D9898" s="8">
        <f ca="1">IFERROR(__xludf.DUMMYFUNCTION("""COMPUTED_VALUE"""),2)</f>
        <v>2</v>
      </c>
      <c r="E9898" s="2">
        <f ca="1">IFERROR(__xludf.DUMMYFUNCTION("""COMPUTED_VALUE"""),1)</f>
        <v>1</v>
      </c>
    </row>
    <row r="9899" spans="1:5" ht="13">
      <c r="A9899" s="8" t="str">
        <f ca="1">IFERROR(__xludf.DUMMYFUNCTION("""COMPUTED_VALUE"""),"Panufnik, Roxanna")</f>
        <v>Panufnik, Roxanna</v>
      </c>
      <c r="B9899" s="3">
        <f ca="1">IFERROR(__xludf.DUMMYFUNCTION("""COMPUTED_VALUE"""),2)</f>
        <v>2</v>
      </c>
      <c r="C9899" s="7">
        <f ca="1">IFERROR(__xludf.DUMMYFUNCTION("""COMPUTED_VALUE"""),2)</f>
        <v>2</v>
      </c>
      <c r="D9899" s="8">
        <f ca="1">IFERROR(__xludf.DUMMYFUNCTION("""COMPUTED_VALUE"""),2)</f>
        <v>2</v>
      </c>
      <c r="E9899" s="2">
        <f ca="1">IFERROR(__xludf.DUMMYFUNCTION("""COMPUTED_VALUE"""),1)</f>
        <v>1</v>
      </c>
    </row>
    <row r="9900" spans="1:5" ht="13">
      <c r="A9900" s="2" t="str">
        <f ca="1">IFERROR(__xludf.DUMMYFUNCTION("""COMPUTED_VALUE"""),"Pappas, Candace Neal")</f>
        <v>Pappas, Candace Neal</v>
      </c>
      <c r="B9900" s="2">
        <f ca="1">IFERROR(__xludf.DUMMYFUNCTION("""COMPUTED_VALUE"""),2)</f>
        <v>2</v>
      </c>
      <c r="C9900" s="2">
        <f ca="1">IFERROR(__xludf.DUMMYFUNCTION("""COMPUTED_VALUE"""),2)</f>
        <v>2</v>
      </c>
      <c r="D9900" s="8">
        <f ca="1">IFERROR(__xludf.DUMMYFUNCTION("""COMPUTED_VALUE"""),2)</f>
        <v>2</v>
      </c>
      <c r="E9900" s="2">
        <f ca="1">IFERROR(__xludf.DUMMYFUNCTION("""COMPUTED_VALUE"""),1)</f>
        <v>1</v>
      </c>
    </row>
    <row r="9901" spans="1:5" ht="13">
      <c r="A9901" s="2" t="str">
        <f ca="1">IFERROR(__xludf.DUMMYFUNCTION("""COMPUTED_VALUE"""),"Paquin-Salerno, Christine")</f>
        <v>Paquin-Salerno, Christine</v>
      </c>
      <c r="B9901" s="3">
        <f ca="1">IFERROR(__xludf.DUMMYFUNCTION("""COMPUTED_VALUE"""),2)</f>
        <v>2</v>
      </c>
      <c r="C9901" s="7">
        <f ca="1">IFERROR(__xludf.DUMMYFUNCTION("""COMPUTED_VALUE"""),2)</f>
        <v>2</v>
      </c>
      <c r="D9901" s="8">
        <f ca="1">IFERROR(__xludf.DUMMYFUNCTION("""COMPUTED_VALUE"""),2)</f>
        <v>2</v>
      </c>
      <c r="E9901" s="2">
        <f ca="1">IFERROR(__xludf.DUMMYFUNCTION("""COMPUTED_VALUE"""),1)</f>
        <v>1</v>
      </c>
    </row>
    <row r="9902" spans="1:5" ht="13">
      <c r="A9902" s="2" t="str">
        <f ca="1">IFERROR(__xludf.DUMMYFUNCTION("""COMPUTED_VALUE"""),"Paris, Twila")</f>
        <v>Paris, Twila</v>
      </c>
      <c r="B9902" s="3">
        <f ca="1">IFERROR(__xludf.DUMMYFUNCTION("""COMPUTED_VALUE"""),2)</f>
        <v>2</v>
      </c>
      <c r="C9902" s="7">
        <f ca="1">IFERROR(__xludf.DUMMYFUNCTION("""COMPUTED_VALUE"""),2)</f>
        <v>2</v>
      </c>
      <c r="D9902" s="8">
        <f ca="1">IFERROR(__xludf.DUMMYFUNCTION("""COMPUTED_VALUE"""),2)</f>
        <v>2</v>
      </c>
      <c r="E9902" s="2">
        <f ca="1">IFERROR(__xludf.DUMMYFUNCTION("""COMPUTED_VALUE"""),1)</f>
        <v>1</v>
      </c>
    </row>
    <row r="9903" spans="1:5" ht="13">
      <c r="A9903" s="2" t="str">
        <f ca="1">IFERROR(__xludf.DUMMYFUNCTION("""COMPUTED_VALUE"""),"Park, Maria Hester")</f>
        <v>Park, Maria Hester</v>
      </c>
      <c r="B9903" s="3">
        <f ca="1">IFERROR(__xludf.DUMMYFUNCTION("""COMPUTED_VALUE"""),2)</f>
        <v>2</v>
      </c>
      <c r="C9903" s="7">
        <f ca="1">IFERROR(__xludf.DUMMYFUNCTION("""COMPUTED_VALUE"""),2)</f>
        <v>2</v>
      </c>
      <c r="D9903" s="8">
        <f ca="1">IFERROR(__xludf.DUMMYFUNCTION("""COMPUTED_VALUE"""),6)</f>
        <v>6</v>
      </c>
      <c r="E9903" s="2">
        <f ca="1">IFERROR(__xludf.DUMMYFUNCTION("""COMPUTED_VALUE"""),2)</f>
        <v>2</v>
      </c>
    </row>
    <row r="9904" spans="1:5" ht="13">
      <c r="A9904" s="2" t="str">
        <f ca="1">IFERROR(__xludf.DUMMYFUNCTION("""COMPUTED_VALUE"""),"Parker, Alice")</f>
        <v>Parker, Alice</v>
      </c>
      <c r="B9904" s="3">
        <f ca="1">IFERROR(__xludf.DUMMYFUNCTION("""COMPUTED_VALUE"""),2)</f>
        <v>2</v>
      </c>
      <c r="C9904" s="7">
        <f ca="1">IFERROR(__xludf.DUMMYFUNCTION("""COMPUTED_VALUE"""),2)</f>
        <v>2</v>
      </c>
      <c r="D9904" s="8">
        <f ca="1">IFERROR(__xludf.DUMMYFUNCTION("""COMPUTED_VALUE"""),2)</f>
        <v>2</v>
      </c>
      <c r="E9904" s="2">
        <f ca="1">IFERROR(__xludf.DUMMYFUNCTION("""COMPUTED_VALUE"""),1)</f>
        <v>1</v>
      </c>
    </row>
    <row r="9905" spans="1:5" ht="13">
      <c r="A9905" s="2" t="str">
        <f ca="1">IFERROR(__xludf.DUMMYFUNCTION("""COMPUTED_VALUE"""),"Parker, Katherine")</f>
        <v>Parker, Katherine</v>
      </c>
      <c r="B9905" s="3">
        <f ca="1">IFERROR(__xludf.DUMMYFUNCTION("""COMPUTED_VALUE"""),2)</f>
        <v>2</v>
      </c>
      <c r="C9905" s="7">
        <f ca="1">IFERROR(__xludf.DUMMYFUNCTION("""COMPUTED_VALUE"""),2)</f>
        <v>2</v>
      </c>
      <c r="D9905" s="8">
        <f ca="1">IFERROR(__xludf.DUMMYFUNCTION("""COMPUTED_VALUE"""),6)</f>
        <v>6</v>
      </c>
      <c r="E9905" s="2">
        <f ca="1">IFERROR(__xludf.DUMMYFUNCTION("""COMPUTED_VALUE"""),2)</f>
        <v>2</v>
      </c>
    </row>
    <row r="9906" spans="1:5" ht="13">
      <c r="A9906" s="2" t="str">
        <f ca="1">IFERROR(__xludf.DUMMYFUNCTION("""COMPUTED_VALUE"""),"Parrotta, Kathryn Chomik")</f>
        <v>Parrotta, Kathryn Chomik</v>
      </c>
      <c r="B9906" s="3">
        <f ca="1">IFERROR(__xludf.DUMMYFUNCTION("""COMPUTED_VALUE"""),2)</f>
        <v>2</v>
      </c>
      <c r="C9906" s="7">
        <f ca="1">IFERROR(__xludf.DUMMYFUNCTION("""COMPUTED_VALUE"""),2)</f>
        <v>2</v>
      </c>
      <c r="D9906" s="8">
        <f ca="1">IFERROR(__xludf.DUMMYFUNCTION("""COMPUTED_VALUE"""),2)</f>
        <v>2</v>
      </c>
      <c r="E9906" s="2">
        <f ca="1">IFERROR(__xludf.DUMMYFUNCTION("""COMPUTED_VALUE"""),1)</f>
        <v>1</v>
      </c>
    </row>
    <row r="9907" spans="1:5" ht="13">
      <c r="A9907" s="2" t="str">
        <f ca="1">IFERROR(__xludf.DUMMYFUNCTION("""COMPUTED_VALUE"""),"Parton, Dolly")</f>
        <v>Parton, Dolly</v>
      </c>
      <c r="B9907" s="2">
        <f ca="1">IFERROR(__xludf.DUMMYFUNCTION("""COMPUTED_VALUE"""),2)</f>
        <v>2</v>
      </c>
      <c r="C9907" s="7">
        <f ca="1">IFERROR(__xludf.DUMMYFUNCTION("""COMPUTED_VALUE"""),2)</f>
        <v>2</v>
      </c>
      <c r="D9907" s="8">
        <f ca="1">IFERROR(__xludf.DUMMYFUNCTION("""COMPUTED_VALUE"""),2)</f>
        <v>2</v>
      </c>
      <c r="E9907" s="2">
        <f ca="1">IFERROR(__xludf.DUMMYFUNCTION("""COMPUTED_VALUE"""),1)</f>
        <v>1</v>
      </c>
    </row>
    <row r="9908" spans="1:5" ht="13">
      <c r="A9908" s="2" t="str">
        <f ca="1">IFERROR(__xludf.DUMMYFUNCTION("""COMPUTED_VALUE"""),"Patton, Beverly")</f>
        <v>Patton, Beverly</v>
      </c>
      <c r="B9908" s="3">
        <f ca="1">IFERROR(__xludf.DUMMYFUNCTION("""COMPUTED_VALUE"""),2)</f>
        <v>2</v>
      </c>
      <c r="C9908" s="7">
        <f ca="1">IFERROR(__xludf.DUMMYFUNCTION("""COMPUTED_VALUE"""),2)</f>
        <v>2</v>
      </c>
      <c r="D9908" s="8">
        <f ca="1">IFERROR(__xludf.DUMMYFUNCTION("""COMPUTED_VALUE"""),2)</f>
        <v>2</v>
      </c>
      <c r="E9908" s="2">
        <f ca="1">IFERROR(__xludf.DUMMYFUNCTION("""COMPUTED_VALUE"""),1)</f>
        <v>1</v>
      </c>
    </row>
    <row r="9909" spans="1:5" ht="13">
      <c r="A9909" s="2" t="str">
        <f ca="1">IFERROR(__xludf.DUMMYFUNCTION("""COMPUTED_VALUE"""),"Paul, Leah")</f>
        <v>Paul, Leah</v>
      </c>
      <c r="B9909" s="3">
        <f ca="1">IFERROR(__xludf.DUMMYFUNCTION("""COMPUTED_VALUE"""),2)</f>
        <v>2</v>
      </c>
      <c r="C9909" s="7">
        <f ca="1">IFERROR(__xludf.DUMMYFUNCTION("""COMPUTED_VALUE"""),2)</f>
        <v>2</v>
      </c>
      <c r="D9909" s="8">
        <f ca="1">IFERROR(__xludf.DUMMYFUNCTION("""COMPUTED_VALUE"""),2)</f>
        <v>2</v>
      </c>
      <c r="E9909" s="2">
        <f ca="1">IFERROR(__xludf.DUMMYFUNCTION("""COMPUTED_VALUE"""),1)</f>
        <v>1</v>
      </c>
    </row>
    <row r="9910" spans="1:5" ht="13">
      <c r="A9910" s="2" t="str">
        <f ca="1">IFERROR(__xludf.DUMMYFUNCTION("""COMPUTED_VALUE"""),"Peacocke, Gemma")</f>
        <v>Peacocke, Gemma</v>
      </c>
      <c r="B9910" s="3">
        <f ca="1">IFERROR(__xludf.DUMMYFUNCTION("""COMPUTED_VALUE"""),2)</f>
        <v>2</v>
      </c>
      <c r="C9910" s="7">
        <f ca="1">IFERROR(__xludf.DUMMYFUNCTION("""COMPUTED_VALUE"""),2)</f>
        <v>2</v>
      </c>
      <c r="D9910" s="8">
        <f ca="1">IFERROR(__xludf.DUMMYFUNCTION("""COMPUTED_VALUE"""),2)</f>
        <v>2</v>
      </c>
      <c r="E9910" s="2">
        <f ca="1">IFERROR(__xludf.DUMMYFUNCTION("""COMPUTED_VALUE"""),1)</f>
        <v>1</v>
      </c>
    </row>
    <row r="9911" spans="1:5" ht="13">
      <c r="A9911" s="2" t="str">
        <f ca="1">IFERROR(__xludf.DUMMYFUNCTION("""COMPUTED_VALUE"""),"Pearson, Isabel")</f>
        <v>Pearson, Isabel</v>
      </c>
      <c r="B9911" s="2">
        <f ca="1">IFERROR(__xludf.DUMMYFUNCTION("""COMPUTED_VALUE"""),2)</f>
        <v>2</v>
      </c>
      <c r="C9911" s="7">
        <f ca="1">IFERROR(__xludf.DUMMYFUNCTION("""COMPUTED_VALUE"""),2)</f>
        <v>2</v>
      </c>
      <c r="D9911" s="8">
        <f ca="1">IFERROR(__xludf.DUMMYFUNCTION("""COMPUTED_VALUE"""),2)</f>
        <v>2</v>
      </c>
      <c r="E9911" s="2">
        <f ca="1">IFERROR(__xludf.DUMMYFUNCTION("""COMPUTED_VALUE"""),1)</f>
        <v>1</v>
      </c>
    </row>
    <row r="9912" spans="1:5" ht="13">
      <c r="A9912" s="2" t="str">
        <f ca="1">IFERROR(__xludf.DUMMYFUNCTION("""COMPUTED_VALUE"""),"Pedregon, Gianna")</f>
        <v>Pedregon, Gianna</v>
      </c>
      <c r="B9912" s="3">
        <f ca="1">IFERROR(__xludf.DUMMYFUNCTION("""COMPUTED_VALUE"""),2)</f>
        <v>2</v>
      </c>
      <c r="C9912" s="7">
        <f ca="1">IFERROR(__xludf.DUMMYFUNCTION("""COMPUTED_VALUE"""),2)</f>
        <v>2</v>
      </c>
      <c r="D9912" s="8">
        <f ca="1">IFERROR(__xludf.DUMMYFUNCTION("""COMPUTED_VALUE"""),2)</f>
        <v>2</v>
      </c>
      <c r="E9912" s="2">
        <f ca="1">IFERROR(__xludf.DUMMYFUNCTION("""COMPUTED_VALUE"""),1)</f>
        <v>1</v>
      </c>
    </row>
    <row r="9913" spans="1:5" ht="13">
      <c r="A9913" s="2" t="str">
        <f ca="1">IFERROR(__xludf.DUMMYFUNCTION("""COMPUTED_VALUE"""),"Peeva, Adela")</f>
        <v>Peeva, Adela</v>
      </c>
      <c r="B9913" s="3">
        <f ca="1">IFERROR(__xludf.DUMMYFUNCTION("""COMPUTED_VALUE"""),2)</f>
        <v>2</v>
      </c>
      <c r="C9913" s="7">
        <f ca="1">IFERROR(__xludf.DUMMYFUNCTION("""COMPUTED_VALUE"""),2)</f>
        <v>2</v>
      </c>
      <c r="D9913" s="8">
        <f ca="1">IFERROR(__xludf.DUMMYFUNCTION("""COMPUTED_VALUE"""),2)</f>
        <v>2</v>
      </c>
      <c r="E9913" s="2">
        <f ca="1">IFERROR(__xludf.DUMMYFUNCTION("""COMPUTED_VALUE"""),1)</f>
        <v>1</v>
      </c>
    </row>
    <row r="9914" spans="1:5" ht="13">
      <c r="A9914" s="2" t="str">
        <f ca="1">IFERROR(__xludf.DUMMYFUNCTION("""COMPUTED_VALUE"""),"Pejačević, Dora")</f>
        <v>Pejačević, Dora</v>
      </c>
      <c r="B9914" s="3">
        <f ca="1">IFERROR(__xludf.DUMMYFUNCTION("""COMPUTED_VALUE"""),2)</f>
        <v>2</v>
      </c>
      <c r="C9914" s="7">
        <f ca="1">IFERROR(__xludf.DUMMYFUNCTION("""COMPUTED_VALUE"""),2)</f>
        <v>2</v>
      </c>
      <c r="D9914" s="8">
        <f ca="1">IFERROR(__xludf.DUMMYFUNCTION("""COMPUTED_VALUE"""),6)</f>
        <v>6</v>
      </c>
      <c r="E9914" s="2">
        <f ca="1">IFERROR(__xludf.DUMMYFUNCTION("""COMPUTED_VALUE"""),2)</f>
        <v>2</v>
      </c>
    </row>
    <row r="9915" spans="1:5" ht="13">
      <c r="A9915" s="8" t="str">
        <f ca="1">IFERROR(__xludf.DUMMYFUNCTION("""COMPUTED_VALUE"""),"Pepin, Camille")</f>
        <v>Pepin, Camille</v>
      </c>
      <c r="B9915" s="3">
        <f ca="1">IFERROR(__xludf.DUMMYFUNCTION("""COMPUTED_VALUE"""),2)</f>
        <v>2</v>
      </c>
      <c r="C9915" s="7">
        <f ca="1">IFERROR(__xludf.DUMMYFUNCTION("""COMPUTED_VALUE"""),2)</f>
        <v>2</v>
      </c>
      <c r="D9915" s="8">
        <f ca="1">IFERROR(__xludf.DUMMYFUNCTION("""COMPUTED_VALUE"""),2)</f>
        <v>2</v>
      </c>
      <c r="E9915" s="2">
        <f ca="1">IFERROR(__xludf.DUMMYFUNCTION("""COMPUTED_VALUE"""),1)</f>
        <v>1</v>
      </c>
    </row>
    <row r="9916" spans="1:5" ht="13">
      <c r="A9916" s="8" t="str">
        <f ca="1">IFERROR(__xludf.DUMMYFUNCTION("""COMPUTED_VALUE"""),"Pépin, Camille")</f>
        <v>Pépin, Camille</v>
      </c>
      <c r="B9916" s="3">
        <f ca="1">IFERROR(__xludf.DUMMYFUNCTION("""COMPUTED_VALUE"""),2)</f>
        <v>2</v>
      </c>
      <c r="C9916" s="7">
        <f ca="1">IFERROR(__xludf.DUMMYFUNCTION("""COMPUTED_VALUE"""),2)</f>
        <v>2</v>
      </c>
      <c r="D9916" s="8">
        <f ca="1">IFERROR(__xludf.DUMMYFUNCTION("""COMPUTED_VALUE"""),2)</f>
        <v>2</v>
      </c>
      <c r="E9916" s="2">
        <f ca="1">IFERROR(__xludf.DUMMYFUNCTION("""COMPUTED_VALUE"""),1)</f>
        <v>1</v>
      </c>
    </row>
    <row r="9917" spans="1:5" ht="13">
      <c r="A9917" s="2" t="str">
        <f ca="1">IFERROR(__xludf.DUMMYFUNCTION("""COMPUTED_VALUE"""),"Perkins, Barbara")</f>
        <v>Perkins, Barbara</v>
      </c>
      <c r="B9917" s="3">
        <f ca="1">IFERROR(__xludf.DUMMYFUNCTION("""COMPUTED_VALUE"""),2)</f>
        <v>2</v>
      </c>
      <c r="C9917" s="7">
        <f ca="1">IFERROR(__xludf.DUMMYFUNCTION("""COMPUTED_VALUE"""),2)</f>
        <v>2</v>
      </c>
      <c r="D9917" s="8">
        <f ca="1">IFERROR(__xludf.DUMMYFUNCTION("""COMPUTED_VALUE"""),6)</f>
        <v>6</v>
      </c>
      <c r="E9917" s="2">
        <f ca="1">IFERROR(__xludf.DUMMYFUNCTION("""COMPUTED_VALUE"""),2)</f>
        <v>2</v>
      </c>
    </row>
    <row r="9918" spans="1:5" ht="13">
      <c r="A9918" s="2" t="str">
        <f ca="1">IFERROR(__xludf.DUMMYFUNCTION("""COMPUTED_VALUE"""),"Perri, Christina")</f>
        <v>Perri, Christina</v>
      </c>
      <c r="B9918" s="3">
        <f ca="1">IFERROR(__xludf.DUMMYFUNCTION("""COMPUTED_VALUE"""),2)</f>
        <v>2</v>
      </c>
      <c r="C9918" s="7">
        <f ca="1">IFERROR(__xludf.DUMMYFUNCTION("""COMPUTED_VALUE"""),2)</f>
        <v>2</v>
      </c>
      <c r="D9918" s="8">
        <f ca="1">IFERROR(__xludf.DUMMYFUNCTION("""COMPUTED_VALUE"""),2)</f>
        <v>2</v>
      </c>
      <c r="E9918" s="2">
        <f ca="1">IFERROR(__xludf.DUMMYFUNCTION("""COMPUTED_VALUE"""),1)</f>
        <v>1</v>
      </c>
    </row>
    <row r="9919" spans="1:5" ht="13">
      <c r="A9919" s="2" t="str">
        <f ca="1">IFERROR(__xludf.DUMMYFUNCTION("""COMPUTED_VALUE"""),"Perry, Nina")</f>
        <v>Perry, Nina</v>
      </c>
      <c r="B9919" s="3">
        <f ca="1">IFERROR(__xludf.DUMMYFUNCTION("""COMPUTED_VALUE"""),2)</f>
        <v>2</v>
      </c>
      <c r="C9919" s="7">
        <f ca="1">IFERROR(__xludf.DUMMYFUNCTION("""COMPUTED_VALUE"""),2)</f>
        <v>2</v>
      </c>
      <c r="D9919" s="8">
        <f ca="1">IFERROR(__xludf.DUMMYFUNCTION("""COMPUTED_VALUE"""),2)</f>
        <v>2</v>
      </c>
      <c r="E9919" s="2">
        <f ca="1">IFERROR(__xludf.DUMMYFUNCTION("""COMPUTED_VALUE"""),1)</f>
        <v>1</v>
      </c>
    </row>
    <row r="9920" spans="1:5" ht="13">
      <c r="A9920" s="8" t="str">
        <f ca="1">IFERROR(__xludf.DUMMYFUNCTION("""COMPUTED_VALUE"""),"Peters, Jenny B.")</f>
        <v>Peters, Jenny B.</v>
      </c>
      <c r="B9920" s="3">
        <f ca="1">IFERROR(__xludf.DUMMYFUNCTION("""COMPUTED_VALUE"""),2)</f>
        <v>2</v>
      </c>
      <c r="C9920" s="7">
        <f ca="1">IFERROR(__xludf.DUMMYFUNCTION("""COMPUTED_VALUE"""),2)</f>
        <v>2</v>
      </c>
      <c r="D9920" s="8">
        <f ca="1">IFERROR(__xludf.DUMMYFUNCTION("""COMPUTED_VALUE"""),2)</f>
        <v>2</v>
      </c>
      <c r="E9920" s="2">
        <f ca="1">IFERROR(__xludf.DUMMYFUNCTION("""COMPUTED_VALUE"""),1)</f>
        <v>1</v>
      </c>
    </row>
    <row r="9921" spans="1:5" ht="13">
      <c r="A9921" s="2" t="str">
        <f ca="1">IFERROR(__xludf.DUMMYFUNCTION("""COMPUTED_VALUE"""),"Petherick, Claire")</f>
        <v>Petherick, Claire</v>
      </c>
      <c r="B9921" s="2">
        <f ca="1">IFERROR(__xludf.DUMMYFUNCTION("""COMPUTED_VALUE"""),2)</f>
        <v>2</v>
      </c>
      <c r="C9921" s="7">
        <f ca="1">IFERROR(__xludf.DUMMYFUNCTION("""COMPUTED_VALUE"""),2)</f>
        <v>2</v>
      </c>
      <c r="D9921" s="8">
        <f ca="1">IFERROR(__xludf.DUMMYFUNCTION("""COMPUTED_VALUE"""),2)</f>
        <v>2</v>
      </c>
      <c r="E9921" s="2">
        <f ca="1">IFERROR(__xludf.DUMMYFUNCTION("""COMPUTED_VALUE"""),1)</f>
        <v>1</v>
      </c>
    </row>
    <row r="9922" spans="1:5" ht="13">
      <c r="A9922" s="8" t="str">
        <f ca="1">IFERROR(__xludf.DUMMYFUNCTION("""COMPUTED_VALUE"""),"Pettersen, Nancy")</f>
        <v>Pettersen, Nancy</v>
      </c>
      <c r="B9922" s="3">
        <f ca="1">IFERROR(__xludf.DUMMYFUNCTION("""COMPUTED_VALUE"""),2)</f>
        <v>2</v>
      </c>
      <c r="C9922" s="7">
        <f ca="1">IFERROR(__xludf.DUMMYFUNCTION("""COMPUTED_VALUE"""),2)</f>
        <v>2</v>
      </c>
      <c r="D9922" s="8">
        <f ca="1">IFERROR(__xludf.DUMMYFUNCTION("""COMPUTED_VALUE"""),2)</f>
        <v>2</v>
      </c>
      <c r="E9922" s="2">
        <f ca="1">IFERROR(__xludf.DUMMYFUNCTION("""COMPUTED_VALUE"""),1)</f>
        <v>1</v>
      </c>
    </row>
    <row r="9923" spans="1:5" ht="13">
      <c r="A9923" s="8" t="str">
        <f ca="1">IFERROR(__xludf.DUMMYFUNCTION("""COMPUTED_VALUE"""),"Pettigrew, Laura")</f>
        <v>Pettigrew, Laura</v>
      </c>
      <c r="B9923" s="2">
        <f ca="1">IFERROR(__xludf.DUMMYFUNCTION("""COMPUTED_VALUE"""),2)</f>
        <v>2</v>
      </c>
      <c r="C9923" s="2">
        <f ca="1">IFERROR(__xludf.DUMMYFUNCTION("""COMPUTED_VALUE"""),2)</f>
        <v>2</v>
      </c>
      <c r="D9923" s="8">
        <f ca="1">IFERROR(__xludf.DUMMYFUNCTION("""COMPUTED_VALUE"""),2)</f>
        <v>2</v>
      </c>
      <c r="E9923" s="2">
        <f ca="1">IFERROR(__xludf.DUMMYFUNCTION("""COMPUTED_VALUE"""),1)</f>
        <v>1</v>
      </c>
    </row>
    <row r="9924" spans="1:5" ht="13">
      <c r="A9924" s="2" t="str">
        <f ca="1">IFERROR(__xludf.DUMMYFUNCTION("""COMPUTED_VALUE"""),"Phare-Bergh, Erica")</f>
        <v>Phare-Bergh, Erica</v>
      </c>
      <c r="B9924" s="3">
        <f ca="1">IFERROR(__xludf.DUMMYFUNCTION("""COMPUTED_VALUE"""),2)</f>
        <v>2</v>
      </c>
      <c r="C9924" s="7">
        <f ca="1">IFERROR(__xludf.DUMMYFUNCTION("""COMPUTED_VALUE"""),2)</f>
        <v>2</v>
      </c>
      <c r="D9924" s="8">
        <f ca="1">IFERROR(__xludf.DUMMYFUNCTION("""COMPUTED_VALUE"""),2)</f>
        <v>2</v>
      </c>
      <c r="E9924" s="2">
        <f ca="1">IFERROR(__xludf.DUMMYFUNCTION("""COMPUTED_VALUE"""),1)</f>
        <v>1</v>
      </c>
    </row>
    <row r="9925" spans="1:5" ht="13">
      <c r="A9925" s="2" t="str">
        <f ca="1">IFERROR(__xludf.DUMMYFUNCTION("""COMPUTED_VALUE"""),"Philipps, Stacey")</f>
        <v>Philipps, Stacey</v>
      </c>
      <c r="B9925" s="3">
        <f ca="1">IFERROR(__xludf.DUMMYFUNCTION("""COMPUTED_VALUE"""),2)</f>
        <v>2</v>
      </c>
      <c r="C9925" s="7">
        <f ca="1">IFERROR(__xludf.DUMMYFUNCTION("""COMPUTED_VALUE"""),2)</f>
        <v>2</v>
      </c>
      <c r="D9925" s="8">
        <f ca="1">IFERROR(__xludf.DUMMYFUNCTION("""COMPUTED_VALUE"""),2)</f>
        <v>2</v>
      </c>
      <c r="E9925" s="2">
        <f ca="1">IFERROR(__xludf.DUMMYFUNCTION("""COMPUTED_VALUE"""),1)</f>
        <v>1</v>
      </c>
    </row>
    <row r="9926" spans="1:5" ht="13">
      <c r="A9926" s="2" t="str">
        <f ca="1">IFERROR(__xludf.DUMMYFUNCTION("""COMPUTED_VALUE"""),"Phillips-Rogers, Linda")</f>
        <v>Phillips-Rogers, Linda</v>
      </c>
      <c r="B9926" s="3">
        <f ca="1">IFERROR(__xludf.DUMMYFUNCTION("""COMPUTED_VALUE"""),2)</f>
        <v>2</v>
      </c>
      <c r="C9926" s="7">
        <f ca="1">IFERROR(__xludf.DUMMYFUNCTION("""COMPUTED_VALUE"""),2)</f>
        <v>2</v>
      </c>
      <c r="D9926" s="8">
        <f ca="1">IFERROR(__xludf.DUMMYFUNCTION("""COMPUTED_VALUE"""),2)</f>
        <v>2</v>
      </c>
      <c r="E9926" s="3">
        <f ca="1">IFERROR(__xludf.DUMMYFUNCTION("""COMPUTED_VALUE"""),1)</f>
        <v>1</v>
      </c>
    </row>
    <row r="9927" spans="1:5" ht="13">
      <c r="A9927" s="8" t="str">
        <f ca="1">IFERROR(__xludf.DUMMYFUNCTION("""COMPUTED_VALUE"""),"Phillips, Sheena")</f>
        <v>Phillips, Sheena</v>
      </c>
      <c r="B9927" s="3">
        <f ca="1">IFERROR(__xludf.DUMMYFUNCTION("""COMPUTED_VALUE"""),2)</f>
        <v>2</v>
      </c>
      <c r="C9927" s="7">
        <f ca="1">IFERROR(__xludf.DUMMYFUNCTION("""COMPUTED_VALUE"""),2)</f>
        <v>2</v>
      </c>
      <c r="D9927" s="8">
        <f ca="1">IFERROR(__xludf.DUMMYFUNCTION("""COMPUTED_VALUE"""),2)</f>
        <v>2</v>
      </c>
      <c r="E9927" s="2">
        <f ca="1">IFERROR(__xludf.DUMMYFUNCTION("""COMPUTED_VALUE"""),1)</f>
        <v>1</v>
      </c>
    </row>
    <row r="9928" spans="1:5" ht="13">
      <c r="A9928" s="2" t="str">
        <f ca="1">IFERROR(__xludf.DUMMYFUNCTION("""COMPUTED_VALUE"""),"Phoebe, Thalassa")</f>
        <v>Phoebe, Thalassa</v>
      </c>
      <c r="B9928" s="2">
        <f ca="1">IFERROR(__xludf.DUMMYFUNCTION("""COMPUTED_VALUE"""),2)</f>
        <v>2</v>
      </c>
      <c r="C9928" s="7">
        <f ca="1">IFERROR(__xludf.DUMMYFUNCTION("""COMPUTED_VALUE"""),2)</f>
        <v>2</v>
      </c>
      <c r="D9928" s="8">
        <f ca="1">IFERROR(__xludf.DUMMYFUNCTION("""COMPUTED_VALUE"""),2)</f>
        <v>2</v>
      </c>
      <c r="E9928" s="2">
        <f ca="1">IFERROR(__xludf.DUMMYFUNCTION("""COMPUTED_VALUE"""),1)</f>
        <v>1</v>
      </c>
    </row>
    <row r="9929" spans="1:5" ht="13">
      <c r="A9929" s="8" t="str">
        <f ca="1">IFERROR(__xludf.DUMMYFUNCTION("""COMPUTED_VALUE"""),"Pierson, Kala")</f>
        <v>Pierson, Kala</v>
      </c>
      <c r="B9929" s="3">
        <f ca="1">IFERROR(__xludf.DUMMYFUNCTION("""COMPUTED_VALUE"""),2)</f>
        <v>2</v>
      </c>
      <c r="C9929" s="7">
        <f ca="1">IFERROR(__xludf.DUMMYFUNCTION("""COMPUTED_VALUE"""),2)</f>
        <v>2</v>
      </c>
      <c r="D9929" s="8">
        <f ca="1">IFERROR(__xludf.DUMMYFUNCTION("""COMPUTED_VALUE"""),2)</f>
        <v>2</v>
      </c>
      <c r="E9929" s="2">
        <f ca="1">IFERROR(__xludf.DUMMYFUNCTION("""COMPUTED_VALUE"""),1)</f>
        <v>1</v>
      </c>
    </row>
    <row r="9930" spans="1:5" ht="13">
      <c r="A9930" s="2" t="str">
        <f ca="1">IFERROR(__xludf.DUMMYFUNCTION("""COMPUTED_VALUE"""),"Pilzner, Leigh")</f>
        <v>Pilzner, Leigh</v>
      </c>
      <c r="B9930" s="3">
        <f ca="1">IFERROR(__xludf.DUMMYFUNCTION("""COMPUTED_VALUE"""),2)</f>
        <v>2</v>
      </c>
      <c r="C9930" s="7">
        <f ca="1">IFERROR(__xludf.DUMMYFUNCTION("""COMPUTED_VALUE"""),2)</f>
        <v>2</v>
      </c>
      <c r="D9930" s="8">
        <f ca="1">IFERROR(__xludf.DUMMYFUNCTION("""COMPUTED_VALUE"""),2)</f>
        <v>2</v>
      </c>
      <c r="E9930" s="2">
        <f ca="1">IFERROR(__xludf.DUMMYFUNCTION("""COMPUTED_VALUE"""),1)</f>
        <v>1</v>
      </c>
    </row>
    <row r="9931" spans="1:5" ht="13">
      <c r="A9931" s="2" t="str">
        <f ca="1">IFERROR(__xludf.DUMMYFUNCTION("""COMPUTED_VALUE"""),"Pinkham, Heather")</f>
        <v>Pinkham, Heather</v>
      </c>
      <c r="B9931" s="2">
        <f ca="1">IFERROR(__xludf.DUMMYFUNCTION("""COMPUTED_VALUE"""),2)</f>
        <v>2</v>
      </c>
      <c r="C9931" s="2">
        <f ca="1">IFERROR(__xludf.DUMMYFUNCTION("""COMPUTED_VALUE"""),2)</f>
        <v>2</v>
      </c>
      <c r="D9931" s="8">
        <f ca="1">IFERROR(__xludf.DUMMYFUNCTION("""COMPUTED_VALUE"""),2)</f>
        <v>2</v>
      </c>
      <c r="E9931" s="2">
        <f ca="1">IFERROR(__xludf.DUMMYFUNCTION("""COMPUTED_VALUE"""),1)</f>
        <v>1</v>
      </c>
    </row>
    <row r="9932" spans="1:5" ht="13">
      <c r="A9932" s="8" t="str">
        <f ca="1">IFERROR(__xludf.DUMMYFUNCTION("""COMPUTED_VALUE"""),"Pinto-Correa, Andreia")</f>
        <v>Pinto-Correa, Andreia</v>
      </c>
      <c r="B9932" s="3">
        <f ca="1">IFERROR(__xludf.DUMMYFUNCTION("""COMPUTED_VALUE"""),2)</f>
        <v>2</v>
      </c>
      <c r="C9932" s="7">
        <f ca="1">IFERROR(__xludf.DUMMYFUNCTION("""COMPUTED_VALUE"""),2)</f>
        <v>2</v>
      </c>
      <c r="D9932" s="8">
        <f ca="1">IFERROR(__xludf.DUMMYFUNCTION("""COMPUTED_VALUE"""),2)</f>
        <v>2</v>
      </c>
      <c r="E9932" s="2">
        <f ca="1">IFERROR(__xludf.DUMMYFUNCTION("""COMPUTED_VALUE"""),1)</f>
        <v>1</v>
      </c>
    </row>
    <row r="9933" spans="1:5" ht="13">
      <c r="A9933" s="2" t="str">
        <f ca="1">IFERROR(__xludf.DUMMYFUNCTION("""COMPUTED_VALUE"""),"Pinto-Correia, Andreia")</f>
        <v>Pinto-Correia, Andreia</v>
      </c>
      <c r="B9933" s="3">
        <f ca="1">IFERROR(__xludf.DUMMYFUNCTION("""COMPUTED_VALUE"""),2)</f>
        <v>2</v>
      </c>
      <c r="C9933" s="7">
        <f ca="1">IFERROR(__xludf.DUMMYFUNCTION("""COMPUTED_VALUE"""),2)</f>
        <v>2</v>
      </c>
      <c r="D9933" s="8">
        <f ca="1">IFERROR(__xludf.DUMMYFUNCTION("""COMPUTED_VALUE"""),2)</f>
        <v>2</v>
      </c>
      <c r="E9933" s="2">
        <f ca="1">IFERROR(__xludf.DUMMYFUNCTION("""COMPUTED_VALUE"""),1)</f>
        <v>1</v>
      </c>
    </row>
    <row r="9934" spans="1:5" ht="13">
      <c r="A9934" s="8" t="str">
        <f ca="1">IFERROR(__xludf.DUMMYFUNCTION("""COMPUTED_VALUE"""),"Pirtle, Carolyn")</f>
        <v>Pirtle, Carolyn</v>
      </c>
      <c r="B9934" s="3">
        <f ca="1">IFERROR(__xludf.DUMMYFUNCTION("""COMPUTED_VALUE"""),2)</f>
        <v>2</v>
      </c>
      <c r="C9934" s="7">
        <f ca="1">IFERROR(__xludf.DUMMYFUNCTION("""COMPUTED_VALUE"""),2)</f>
        <v>2</v>
      </c>
      <c r="D9934" s="8">
        <f ca="1">IFERROR(__xludf.DUMMYFUNCTION("""COMPUTED_VALUE"""),2)</f>
        <v>2</v>
      </c>
      <c r="E9934" s="2">
        <f ca="1">IFERROR(__xludf.DUMMYFUNCTION("""COMPUTED_VALUE"""),1)</f>
        <v>1</v>
      </c>
    </row>
    <row r="9935" spans="1:5" ht="13">
      <c r="A9935" s="2" t="str">
        <f ca="1">IFERROR(__xludf.DUMMYFUNCTION("""COMPUTED_VALUE"""),"Piunno, Nicole")</f>
        <v>Piunno, Nicole</v>
      </c>
      <c r="B9935" s="3">
        <f ca="1">IFERROR(__xludf.DUMMYFUNCTION("""COMPUTED_VALUE"""),2)</f>
        <v>2</v>
      </c>
      <c r="C9935" s="7">
        <f ca="1">IFERROR(__xludf.DUMMYFUNCTION("""COMPUTED_VALUE"""),2)</f>
        <v>2</v>
      </c>
      <c r="D9935" s="8">
        <f ca="1">IFERROR(__xludf.DUMMYFUNCTION("""COMPUTED_VALUE"""),2)</f>
        <v>2</v>
      </c>
      <c r="E9935" s="2">
        <f ca="1">IFERROR(__xludf.DUMMYFUNCTION("""COMPUTED_VALUE"""),1)</f>
        <v>1</v>
      </c>
    </row>
    <row r="9936" spans="1:5" ht="13">
      <c r="A9936" s="2" t="str">
        <f ca="1">IFERROR(__xludf.DUMMYFUNCTION("""COMPUTED_VALUE"""),"Plitmann, Hilá")</f>
        <v>Plitmann, Hilá</v>
      </c>
      <c r="B9936" s="3">
        <f ca="1">IFERROR(__xludf.DUMMYFUNCTION("""COMPUTED_VALUE"""),2)</f>
        <v>2</v>
      </c>
      <c r="C9936" s="7">
        <f ca="1">IFERROR(__xludf.DUMMYFUNCTION("""COMPUTED_VALUE"""),2)</f>
        <v>2</v>
      </c>
      <c r="D9936" s="8">
        <f ca="1">IFERROR(__xludf.DUMMYFUNCTION("""COMPUTED_VALUE"""),2)</f>
        <v>2</v>
      </c>
      <c r="E9936" s="2">
        <f ca="1">IFERROR(__xludf.DUMMYFUNCTION("""COMPUTED_VALUE"""),1)</f>
        <v>1</v>
      </c>
    </row>
    <row r="9937" spans="1:5" ht="13">
      <c r="A9937" s="2" t="str">
        <f ca="1">IFERROR(__xludf.DUMMYFUNCTION("""COMPUTED_VALUE"""),"Polevá, Victoria")</f>
        <v>Polevá, Victoria</v>
      </c>
      <c r="B9937" s="2">
        <f ca="1">IFERROR(__xludf.DUMMYFUNCTION("""COMPUTED_VALUE"""),2)</f>
        <v>2</v>
      </c>
      <c r="C9937" s="2">
        <f ca="1">IFERROR(__xludf.DUMMYFUNCTION("""COMPUTED_VALUE"""),2)</f>
        <v>2</v>
      </c>
      <c r="D9937" s="8">
        <f ca="1">IFERROR(__xludf.DUMMYFUNCTION("""COMPUTED_VALUE"""),2)</f>
        <v>2</v>
      </c>
      <c r="E9937" s="2">
        <f ca="1">IFERROR(__xludf.DUMMYFUNCTION("""COMPUTED_VALUE"""),1)</f>
        <v>1</v>
      </c>
    </row>
    <row r="9938" spans="1:5" ht="13">
      <c r="A9938" s="8" t="str">
        <f ca="1">IFERROR(__xludf.DUMMYFUNCTION("""COMPUTED_VALUE"""),"Polevá, Victoria Vita")</f>
        <v>Polevá, Victoria Vita</v>
      </c>
      <c r="B9938" s="3">
        <f ca="1">IFERROR(__xludf.DUMMYFUNCTION("""COMPUTED_VALUE"""),2)</f>
        <v>2</v>
      </c>
      <c r="C9938" s="7">
        <f ca="1">IFERROR(__xludf.DUMMYFUNCTION("""COMPUTED_VALUE"""),2)</f>
        <v>2</v>
      </c>
      <c r="D9938" s="8">
        <f ca="1">IFERROR(__xludf.DUMMYFUNCTION("""COMPUTED_VALUE"""),2)</f>
        <v>2</v>
      </c>
      <c r="E9938" s="2">
        <f ca="1">IFERROR(__xludf.DUMMYFUNCTION("""COMPUTED_VALUE"""),1)</f>
        <v>1</v>
      </c>
    </row>
    <row r="9939" spans="1:5" ht="13">
      <c r="A9939" s="8" t="str">
        <f ca="1">IFERROR(__xludf.DUMMYFUNCTION("""COMPUTED_VALUE"""),"Pollock, Frances")</f>
        <v>Pollock, Frances</v>
      </c>
      <c r="B9939" s="2">
        <f ca="1">IFERROR(__xludf.DUMMYFUNCTION("""COMPUTED_VALUE"""),2)</f>
        <v>2</v>
      </c>
      <c r="C9939" s="7">
        <f ca="1">IFERROR(__xludf.DUMMYFUNCTION("""COMPUTED_VALUE"""),2)</f>
        <v>2</v>
      </c>
      <c r="D9939" s="8">
        <f ca="1">IFERROR(__xludf.DUMMYFUNCTION("""COMPUTED_VALUE"""),2)</f>
        <v>2</v>
      </c>
      <c r="E9939" s="2">
        <f ca="1">IFERROR(__xludf.DUMMYFUNCTION("""COMPUTED_VALUE"""),1)</f>
        <v>1</v>
      </c>
    </row>
    <row r="9940" spans="1:5" ht="13">
      <c r="A9940" s="2" t="str">
        <f ca="1">IFERROR(__xludf.DUMMYFUNCTION("""COMPUTED_VALUE"""),"Ponte, Ângela da")</f>
        <v>Ponte, Ângela da</v>
      </c>
      <c r="B9940" s="3">
        <f ca="1">IFERROR(__xludf.DUMMYFUNCTION("""COMPUTED_VALUE"""),2)</f>
        <v>2</v>
      </c>
      <c r="C9940" s="7">
        <f ca="1">IFERROR(__xludf.DUMMYFUNCTION("""COMPUTED_VALUE"""),2)</f>
        <v>2</v>
      </c>
      <c r="D9940" s="8">
        <f ca="1">IFERROR(__xludf.DUMMYFUNCTION("""COMPUTED_VALUE"""),2)</f>
        <v>2</v>
      </c>
      <c r="E9940" s="2">
        <f ca="1">IFERROR(__xludf.DUMMYFUNCTION("""COMPUTED_VALUE"""),1)</f>
        <v>1</v>
      </c>
    </row>
    <row r="9941" spans="1:5" ht="13">
      <c r="A9941" s="8" t="str">
        <f ca="1">IFERROR(__xludf.DUMMYFUNCTION("""COMPUTED_VALUE"""),"Pooler, Marie")</f>
        <v>Pooler, Marie</v>
      </c>
      <c r="B9941" s="3">
        <f ca="1">IFERROR(__xludf.DUMMYFUNCTION("""COMPUTED_VALUE"""),2)</f>
        <v>2</v>
      </c>
      <c r="C9941" s="7">
        <f ca="1">IFERROR(__xludf.DUMMYFUNCTION("""COMPUTED_VALUE"""),2)</f>
        <v>2</v>
      </c>
      <c r="D9941" s="8">
        <f ca="1">IFERROR(__xludf.DUMMYFUNCTION("""COMPUTED_VALUE"""),6)</f>
        <v>6</v>
      </c>
      <c r="E9941" s="2">
        <f ca="1">IFERROR(__xludf.DUMMYFUNCTION("""COMPUTED_VALUE"""),2)</f>
        <v>2</v>
      </c>
    </row>
    <row r="9942" spans="1:5" ht="13">
      <c r="A9942" s="2" t="str">
        <f ca="1">IFERROR(__xludf.DUMMYFUNCTION("""COMPUTED_VALUE"""),"Poorman, Berta")</f>
        <v>Poorman, Berta</v>
      </c>
      <c r="B9942" s="3">
        <f ca="1">IFERROR(__xludf.DUMMYFUNCTION("""COMPUTED_VALUE"""),2)</f>
        <v>2</v>
      </c>
      <c r="C9942" s="7">
        <f ca="1">IFERROR(__xludf.DUMMYFUNCTION("""COMPUTED_VALUE"""),2)</f>
        <v>2</v>
      </c>
      <c r="D9942" s="8">
        <f ca="1">IFERROR(__xludf.DUMMYFUNCTION("""COMPUTED_VALUE"""),2)</f>
        <v>2</v>
      </c>
      <c r="E9942" s="2">
        <f ca="1">IFERROR(__xludf.DUMMYFUNCTION("""COMPUTED_VALUE"""),1)</f>
        <v>1</v>
      </c>
    </row>
    <row r="9943" spans="1:5" ht="13">
      <c r="A9943" s="2" t="str">
        <f ca="1">IFERROR(__xludf.DUMMYFUNCTION("""COMPUTED_VALUE"""),"Poorman, Berta / Poorman, Sonja")</f>
        <v>Poorman, Berta / Poorman, Sonja</v>
      </c>
      <c r="B9943" s="3">
        <f ca="1">IFERROR(__xludf.DUMMYFUNCTION("""COMPUTED_VALUE"""),2)</f>
        <v>2</v>
      </c>
      <c r="C9943" s="7">
        <f ca="1">IFERROR(__xludf.DUMMYFUNCTION("""COMPUTED_VALUE"""),2)</f>
        <v>2</v>
      </c>
      <c r="D9943" s="8">
        <f ca="1">IFERROR(__xludf.DUMMYFUNCTION("""COMPUTED_VALUE"""),2)</f>
        <v>2</v>
      </c>
      <c r="E9943" s="2">
        <f ca="1">IFERROR(__xludf.DUMMYFUNCTION("""COMPUTED_VALUE"""),1)</f>
        <v>1</v>
      </c>
    </row>
    <row r="9944" spans="1:5" ht="13">
      <c r="A9944" s="2" t="str">
        <f ca="1">IFERROR(__xludf.DUMMYFUNCTION("""COMPUTED_VALUE"""),"Poorman, Sonja")</f>
        <v>Poorman, Sonja</v>
      </c>
      <c r="B9944" s="3">
        <f ca="1">IFERROR(__xludf.DUMMYFUNCTION("""COMPUTED_VALUE"""),2)</f>
        <v>2</v>
      </c>
      <c r="C9944" s="7">
        <f ca="1">IFERROR(__xludf.DUMMYFUNCTION("""COMPUTED_VALUE"""),2)</f>
        <v>2</v>
      </c>
      <c r="D9944" s="8">
        <f ca="1">IFERROR(__xludf.DUMMYFUNCTION("""COMPUTED_VALUE"""),2)</f>
        <v>2</v>
      </c>
      <c r="E9944" s="2">
        <f ca="1">IFERROR(__xludf.DUMMYFUNCTION("""COMPUTED_VALUE"""),1)</f>
        <v>1</v>
      </c>
    </row>
    <row r="9945" spans="1:5" ht="13">
      <c r="A9945" s="8" t="str">
        <f ca="1">IFERROR(__xludf.DUMMYFUNCTION("""COMPUTED_VALUE"""),"Porter, Tanner")</f>
        <v>Porter, Tanner</v>
      </c>
      <c r="B9945" s="3">
        <f ca="1">IFERROR(__xludf.DUMMYFUNCTION("""COMPUTED_VALUE"""),2)</f>
        <v>2</v>
      </c>
      <c r="C9945" s="7">
        <f ca="1">IFERROR(__xludf.DUMMYFUNCTION("""COMPUTED_VALUE"""),2)</f>
        <v>2</v>
      </c>
      <c r="D9945" s="8">
        <f ca="1">IFERROR(__xludf.DUMMYFUNCTION("""COMPUTED_VALUE"""),2)</f>
        <v>2</v>
      </c>
      <c r="E9945" s="2">
        <f ca="1">IFERROR(__xludf.DUMMYFUNCTION("""COMPUTED_VALUE"""),1)</f>
        <v>1</v>
      </c>
    </row>
    <row r="9946" spans="1:5" ht="13">
      <c r="A9946" s="8" t="str">
        <f ca="1">IFERROR(__xludf.DUMMYFUNCTION("""COMPUTED_VALUE"""),"Porterfield, Sherri")</f>
        <v>Porterfield, Sherri</v>
      </c>
      <c r="B9946" s="3">
        <f ca="1">IFERROR(__xludf.DUMMYFUNCTION("""COMPUTED_VALUE"""),2)</f>
        <v>2</v>
      </c>
      <c r="C9946" s="7">
        <f ca="1">IFERROR(__xludf.DUMMYFUNCTION("""COMPUTED_VALUE"""),2)</f>
        <v>2</v>
      </c>
      <c r="D9946" s="8">
        <f ca="1">IFERROR(__xludf.DUMMYFUNCTION("""COMPUTED_VALUE"""),2)</f>
        <v>2</v>
      </c>
      <c r="E9946" s="2">
        <f ca="1">IFERROR(__xludf.DUMMYFUNCTION("""COMPUTED_VALUE"""),1)</f>
        <v>1</v>
      </c>
    </row>
    <row r="9947" spans="1:5" ht="13">
      <c r="A9947" s="2" t="str">
        <f ca="1">IFERROR(__xludf.DUMMYFUNCTION("""COMPUTED_VALUE"""),"Posegate, Maxcine")</f>
        <v>Posegate, Maxcine</v>
      </c>
      <c r="B9947" s="3">
        <f ca="1">IFERROR(__xludf.DUMMYFUNCTION("""COMPUTED_VALUE"""),2)</f>
        <v>2</v>
      </c>
      <c r="C9947" s="7">
        <f ca="1">IFERROR(__xludf.DUMMYFUNCTION("""COMPUTED_VALUE"""),2)</f>
        <v>2</v>
      </c>
      <c r="D9947" s="8">
        <f ca="1">IFERROR(__xludf.DUMMYFUNCTION("""COMPUTED_VALUE"""),6)</f>
        <v>6</v>
      </c>
      <c r="E9947" s="2">
        <f ca="1">IFERROR(__xludf.DUMMYFUNCTION("""COMPUTED_VALUE"""),2)</f>
        <v>2</v>
      </c>
    </row>
    <row r="9948" spans="1:5" ht="13">
      <c r="A9948" s="2" t="str">
        <f ca="1">IFERROR(__xludf.DUMMYFUNCTION("""COMPUTED_VALUE"""),"Poston, Elizabeth")</f>
        <v>Poston, Elizabeth</v>
      </c>
      <c r="B9948" s="2">
        <f ca="1">IFERROR(__xludf.DUMMYFUNCTION("""COMPUTED_VALUE"""),2)</f>
        <v>2</v>
      </c>
      <c r="C9948" s="7">
        <f ca="1">IFERROR(__xludf.DUMMYFUNCTION("""COMPUTED_VALUE"""),2)</f>
        <v>2</v>
      </c>
      <c r="D9948" s="8">
        <f ca="1">IFERROR(__xludf.DUMMYFUNCTION("""COMPUTED_VALUE"""),6)</f>
        <v>6</v>
      </c>
      <c r="E9948" s="2">
        <f ca="1">IFERROR(__xludf.DUMMYFUNCTION("""COMPUTED_VALUE"""),2)</f>
        <v>2</v>
      </c>
    </row>
    <row r="9949" spans="1:5" ht="13">
      <c r="A9949" s="2" t="str">
        <f ca="1">IFERROR(__xludf.DUMMYFUNCTION("""COMPUTED_VALUE"""),"Poteat, Angelique")</f>
        <v>Poteat, Angelique</v>
      </c>
      <c r="B9949" s="3">
        <f ca="1">IFERROR(__xludf.DUMMYFUNCTION("""COMPUTED_VALUE"""),2)</f>
        <v>2</v>
      </c>
      <c r="C9949" s="7">
        <f ca="1">IFERROR(__xludf.DUMMYFUNCTION("""COMPUTED_VALUE"""),2)</f>
        <v>2</v>
      </c>
      <c r="D9949" s="8">
        <f ca="1">IFERROR(__xludf.DUMMYFUNCTION("""COMPUTED_VALUE"""),2)</f>
        <v>2</v>
      </c>
      <c r="E9949" s="2">
        <f ca="1">IFERROR(__xludf.DUMMYFUNCTION("""COMPUTED_VALUE"""),1)</f>
        <v>1</v>
      </c>
    </row>
    <row r="9950" spans="1:5" ht="13">
      <c r="A9950" s="2" t="str">
        <f ca="1">IFERROR(__xludf.DUMMYFUNCTION("""COMPUTED_VALUE"""),"Potter, Susan")</f>
        <v>Potter, Susan</v>
      </c>
      <c r="B9950" s="2">
        <f ca="1">IFERROR(__xludf.DUMMYFUNCTION("""COMPUTED_VALUE"""),2)</f>
        <v>2</v>
      </c>
      <c r="C9950" s="2">
        <f ca="1">IFERROR(__xludf.DUMMYFUNCTION("""COMPUTED_VALUE"""),2)</f>
        <v>2</v>
      </c>
      <c r="D9950" s="8">
        <f ca="1">IFERROR(__xludf.DUMMYFUNCTION("""COMPUTED_VALUE"""),2)</f>
        <v>2</v>
      </c>
      <c r="E9950" s="2">
        <f ca="1">IFERROR(__xludf.DUMMYFUNCTION("""COMPUTED_VALUE"""),1)</f>
        <v>1</v>
      </c>
    </row>
    <row r="9951" spans="1:5" ht="13">
      <c r="A9951" s="2" t="str">
        <f ca="1">IFERROR(__xludf.DUMMYFUNCTION("""COMPUTED_VALUE"""),"Potts, Lana")</f>
        <v>Potts, Lana</v>
      </c>
      <c r="B9951" s="3">
        <f ca="1">IFERROR(__xludf.DUMMYFUNCTION("""COMPUTED_VALUE"""),2)</f>
        <v>2</v>
      </c>
      <c r="C9951" s="7">
        <f ca="1">IFERROR(__xludf.DUMMYFUNCTION("""COMPUTED_VALUE"""),2)</f>
        <v>2</v>
      </c>
      <c r="D9951" s="8">
        <f ca="1">IFERROR(__xludf.DUMMYFUNCTION("""COMPUTED_VALUE"""),2)</f>
        <v>2</v>
      </c>
      <c r="E9951" s="2">
        <f ca="1">IFERROR(__xludf.DUMMYFUNCTION("""COMPUTED_VALUE"""),1)</f>
        <v>1</v>
      </c>
    </row>
    <row r="9952" spans="1:5" ht="13">
      <c r="A9952" s="2" t="str">
        <f ca="1">IFERROR(__xludf.DUMMYFUNCTION("""COMPUTED_VALUE"""),"Poulschock, Barbara")</f>
        <v>Poulschock, Barbara</v>
      </c>
      <c r="B9952" s="3">
        <f ca="1">IFERROR(__xludf.DUMMYFUNCTION("""COMPUTED_VALUE"""),2)</f>
        <v>2</v>
      </c>
      <c r="C9952" s="7">
        <f ca="1">IFERROR(__xludf.DUMMYFUNCTION("""COMPUTED_VALUE"""),2)</f>
        <v>2</v>
      </c>
      <c r="D9952" s="8">
        <f ca="1">IFERROR(__xludf.DUMMYFUNCTION("""COMPUTED_VALUE"""),6)</f>
        <v>6</v>
      </c>
      <c r="E9952" s="2">
        <f ca="1">IFERROR(__xludf.DUMMYFUNCTION("""COMPUTED_VALUE"""),2)</f>
        <v>2</v>
      </c>
    </row>
    <row r="9953" spans="1:5" ht="13">
      <c r="A9953" s="2" t="str">
        <f ca="1">IFERROR(__xludf.DUMMYFUNCTION("""COMPUTED_VALUE"""),"Prestini, Paola")</f>
        <v>Prestini, Paola</v>
      </c>
      <c r="B9953" s="3">
        <f ca="1">IFERROR(__xludf.DUMMYFUNCTION("""COMPUTED_VALUE"""),2)</f>
        <v>2</v>
      </c>
      <c r="C9953" s="7">
        <f ca="1">IFERROR(__xludf.DUMMYFUNCTION("""COMPUTED_VALUE"""),2)</f>
        <v>2</v>
      </c>
      <c r="D9953" s="8">
        <f ca="1">IFERROR(__xludf.DUMMYFUNCTION("""COMPUTED_VALUE"""),2)</f>
        <v>2</v>
      </c>
      <c r="E9953" s="2">
        <f ca="1">IFERROR(__xludf.DUMMYFUNCTION("""COMPUTED_VALUE"""),1)</f>
        <v>1</v>
      </c>
    </row>
    <row r="9954" spans="1:5" ht="13">
      <c r="A9954" s="2" t="str">
        <f ca="1">IFERROR(__xludf.DUMMYFUNCTION("""COMPUTED_VALUE"""),"Price, Deon Nielsen")</f>
        <v>Price, Deon Nielsen</v>
      </c>
      <c r="B9954" s="3">
        <f ca="1">IFERROR(__xludf.DUMMYFUNCTION("""COMPUTED_VALUE"""),2)</f>
        <v>2</v>
      </c>
      <c r="C9954" s="7">
        <f ca="1">IFERROR(__xludf.DUMMYFUNCTION("""COMPUTED_VALUE"""),2)</f>
        <v>2</v>
      </c>
      <c r="D9954" s="8">
        <f ca="1">IFERROR(__xludf.DUMMYFUNCTION("""COMPUTED_VALUE"""),2)</f>
        <v>2</v>
      </c>
      <c r="E9954" s="2">
        <f ca="1">IFERROR(__xludf.DUMMYFUNCTION("""COMPUTED_VALUE"""),1)</f>
        <v>1</v>
      </c>
    </row>
    <row r="9955" spans="1:5" ht="13">
      <c r="A9955" s="8" t="str">
        <f ca="1">IFERROR(__xludf.DUMMYFUNCTION("""COMPUTED_VALUE"""),"Prieto, María Teresa")</f>
        <v>Prieto, María Teresa</v>
      </c>
      <c r="B9955" s="3">
        <f ca="1">IFERROR(__xludf.DUMMYFUNCTION("""COMPUTED_VALUE"""),2)</f>
        <v>2</v>
      </c>
      <c r="C9955" s="7">
        <f ca="1">IFERROR(__xludf.DUMMYFUNCTION("""COMPUTED_VALUE"""),2)</f>
        <v>2</v>
      </c>
      <c r="D9955" s="8">
        <f ca="1">IFERROR(__xludf.DUMMYFUNCTION("""COMPUTED_VALUE"""),6)</f>
        <v>6</v>
      </c>
      <c r="E9955" s="2">
        <f ca="1">IFERROR(__xludf.DUMMYFUNCTION("""COMPUTED_VALUE"""),2)</f>
        <v>2</v>
      </c>
    </row>
    <row r="9956" spans="1:5" ht="13">
      <c r="A9956" s="2" t="str">
        <f ca="1">IFERROR(__xludf.DUMMYFUNCTION("""COMPUTED_VALUE"""),"Primiani, Leanna")</f>
        <v>Primiani, Leanna</v>
      </c>
      <c r="B9956" s="3">
        <f ca="1">IFERROR(__xludf.DUMMYFUNCTION("""COMPUTED_VALUE"""),2)</f>
        <v>2</v>
      </c>
      <c r="C9956" s="7">
        <f ca="1">IFERROR(__xludf.DUMMYFUNCTION("""COMPUTED_VALUE"""),2)</f>
        <v>2</v>
      </c>
      <c r="D9956" s="8">
        <f ca="1">IFERROR(__xludf.DUMMYFUNCTION("""COMPUTED_VALUE"""),2)</f>
        <v>2</v>
      </c>
      <c r="E9956" s="2">
        <f ca="1">IFERROR(__xludf.DUMMYFUNCTION("""COMPUTED_VALUE"""),1)</f>
        <v>1</v>
      </c>
    </row>
    <row r="9957" spans="1:5" ht="13">
      <c r="A9957" s="2" t="str">
        <f ca="1">IFERROR(__xludf.DUMMYFUNCTION("""COMPUTED_VALUE"""),"Pukinskis, Katherine")</f>
        <v>Pukinskis, Katherine</v>
      </c>
      <c r="B9957" s="3">
        <f ca="1">IFERROR(__xludf.DUMMYFUNCTION("""COMPUTED_VALUE"""),2)</f>
        <v>2</v>
      </c>
      <c r="C9957" s="7">
        <f ca="1">IFERROR(__xludf.DUMMYFUNCTION("""COMPUTED_VALUE"""),2)</f>
        <v>2</v>
      </c>
      <c r="D9957" s="8">
        <f ca="1">IFERROR(__xludf.DUMMYFUNCTION("""COMPUTED_VALUE"""),2)</f>
        <v>2</v>
      </c>
      <c r="E9957" s="2">
        <f ca="1">IFERROR(__xludf.DUMMYFUNCTION("""COMPUTED_VALUE"""),1)</f>
        <v>1</v>
      </c>
    </row>
    <row r="9958" spans="1:5" ht="13">
      <c r="A9958" s="2" t="str">
        <f ca="1">IFERROR(__xludf.DUMMYFUNCTION("""COMPUTED_VALUE"""),"Pulley, Laura")</f>
        <v>Pulley, Laura</v>
      </c>
      <c r="B9958" s="2">
        <f ca="1">IFERROR(__xludf.DUMMYFUNCTION("""COMPUTED_VALUE"""),2)</f>
        <v>2</v>
      </c>
      <c r="C9958" s="7">
        <f ca="1">IFERROR(__xludf.DUMMYFUNCTION("""COMPUTED_VALUE"""),2)</f>
        <v>2</v>
      </c>
      <c r="D9958" s="8">
        <f ca="1">IFERROR(__xludf.DUMMYFUNCTION("""COMPUTED_VALUE"""),2)</f>
        <v>2</v>
      </c>
      <c r="E9958" s="2">
        <f ca="1">IFERROR(__xludf.DUMMYFUNCTION("""COMPUTED_VALUE"""),1)</f>
        <v>1</v>
      </c>
    </row>
    <row r="9959" spans="1:5" ht="13">
      <c r="A9959" s="2" t="str">
        <f ca="1">IFERROR(__xludf.DUMMYFUNCTION("""COMPUTED_VALUE"""),"Pummill, Janet Whitcomb")</f>
        <v>Pummill, Janet Whitcomb</v>
      </c>
      <c r="B9959" s="2">
        <f ca="1">IFERROR(__xludf.DUMMYFUNCTION("""COMPUTED_VALUE"""),2)</f>
        <v>2</v>
      </c>
      <c r="C9959" s="2">
        <f ca="1">IFERROR(__xludf.DUMMYFUNCTION("""COMPUTED_VALUE"""),2)</f>
        <v>2</v>
      </c>
      <c r="D9959" s="8">
        <f ca="1">IFERROR(__xludf.DUMMYFUNCTION("""COMPUTED_VALUE"""),2)</f>
        <v>2</v>
      </c>
      <c r="E9959" s="2">
        <f ca="1">IFERROR(__xludf.DUMMYFUNCTION("""COMPUTED_VALUE"""),1)</f>
        <v>1</v>
      </c>
    </row>
    <row r="9960" spans="1:5" ht="13">
      <c r="A9960" s="2" t="str">
        <f ca="1">IFERROR(__xludf.DUMMYFUNCTION("""COMPUTED_VALUE"""),"Punwar, Katherine J.")</f>
        <v>Punwar, Katherine J.</v>
      </c>
      <c r="B9960" s="3">
        <f ca="1">IFERROR(__xludf.DUMMYFUNCTION("""COMPUTED_VALUE"""),2)</f>
        <v>2</v>
      </c>
      <c r="C9960" s="7">
        <f ca="1">IFERROR(__xludf.DUMMYFUNCTION("""COMPUTED_VALUE"""),2)</f>
        <v>2</v>
      </c>
      <c r="D9960" s="8">
        <f ca="1">IFERROR(__xludf.DUMMYFUNCTION("""COMPUTED_VALUE"""),2)</f>
        <v>2</v>
      </c>
      <c r="E9960" s="2">
        <f ca="1">IFERROR(__xludf.DUMMYFUNCTION("""COMPUTED_VALUE"""),1)</f>
        <v>1</v>
      </c>
    </row>
    <row r="9961" spans="1:5" ht="13">
      <c r="A9961" s="2" t="str">
        <f ca="1">IFERROR(__xludf.DUMMYFUNCTION("""COMPUTED_VALUE"""),"Purrington, Hilary")</f>
        <v>Purrington, Hilary</v>
      </c>
      <c r="B9961" s="3">
        <f ca="1">IFERROR(__xludf.DUMMYFUNCTION("""COMPUTED_VALUE"""),2)</f>
        <v>2</v>
      </c>
      <c r="C9961" s="7">
        <f ca="1">IFERROR(__xludf.DUMMYFUNCTION("""COMPUTED_VALUE"""),2)</f>
        <v>2</v>
      </c>
      <c r="D9961" s="8">
        <f ca="1">IFERROR(__xludf.DUMMYFUNCTION("""COMPUTED_VALUE"""),2)</f>
        <v>2</v>
      </c>
      <c r="E9961" s="2">
        <f ca="1">IFERROR(__xludf.DUMMYFUNCTION("""COMPUTED_VALUE"""),1)</f>
        <v>1</v>
      </c>
    </row>
    <row r="9962" spans="1:5" ht="13">
      <c r="A9962" s="2" t="str">
        <f ca="1">IFERROR(__xludf.DUMMYFUNCTION("""COMPUTED_VALUE"""),"Purrington, Hillary")</f>
        <v>Purrington, Hillary</v>
      </c>
      <c r="B9962" s="3">
        <f ca="1">IFERROR(__xludf.DUMMYFUNCTION("""COMPUTED_VALUE"""),2)</f>
        <v>2</v>
      </c>
      <c r="C9962" s="7">
        <f ca="1">IFERROR(__xludf.DUMMYFUNCTION("""COMPUTED_VALUE"""),2)</f>
        <v>2</v>
      </c>
      <c r="D9962" s="8">
        <f ca="1">IFERROR(__xludf.DUMMYFUNCTION("""COMPUTED_VALUE"""),2)</f>
        <v>2</v>
      </c>
      <c r="E9962" s="2">
        <f ca="1">IFERROR(__xludf.DUMMYFUNCTION("""COMPUTED_VALUE"""),1)</f>
        <v>1</v>
      </c>
    </row>
    <row r="9963" spans="1:5" ht="13">
      <c r="A9963" s="2" t="str">
        <f ca="1">IFERROR(__xludf.DUMMYFUNCTION("""COMPUTED_VALUE"""),"Pyle, Carol")</f>
        <v>Pyle, Carol</v>
      </c>
      <c r="B9963" s="3">
        <f ca="1">IFERROR(__xludf.DUMMYFUNCTION("""COMPUTED_VALUE"""),2)</f>
        <v>2</v>
      </c>
      <c r="C9963" s="7">
        <f ca="1">IFERROR(__xludf.DUMMYFUNCTION("""COMPUTED_VALUE"""),2)</f>
        <v>2</v>
      </c>
      <c r="D9963" s="8">
        <f ca="1">IFERROR(__xludf.DUMMYFUNCTION("""COMPUTED_VALUE"""),6)</f>
        <v>6</v>
      </c>
      <c r="E9963" s="2">
        <f ca="1">IFERROR(__xludf.DUMMYFUNCTION("""COMPUTED_VALUE"""),2)</f>
        <v>2</v>
      </c>
    </row>
    <row r="9964" spans="1:5" ht="13">
      <c r="A9964" s="2" t="str">
        <f ca="1">IFERROR(__xludf.DUMMYFUNCTION("""COMPUTED_VALUE"""),"Pyrtle, Marcy")</f>
        <v>Pyrtle, Marcy</v>
      </c>
      <c r="B9964" s="3">
        <f ca="1">IFERROR(__xludf.DUMMYFUNCTION("""COMPUTED_VALUE"""),2)</f>
        <v>2</v>
      </c>
      <c r="C9964" s="7">
        <f ca="1">IFERROR(__xludf.DUMMYFUNCTION("""COMPUTED_VALUE"""),2)</f>
        <v>2</v>
      </c>
      <c r="D9964" s="8">
        <f ca="1">IFERROR(__xludf.DUMMYFUNCTION("""COMPUTED_VALUE"""),2)</f>
        <v>2</v>
      </c>
      <c r="E9964" s="2">
        <f ca="1">IFERROR(__xludf.DUMMYFUNCTION("""COMPUTED_VALUE"""),1)</f>
        <v>1</v>
      </c>
    </row>
    <row r="9965" spans="1:5" ht="13">
      <c r="A9965" s="2" t="str">
        <f ca="1">IFERROR(__xludf.DUMMYFUNCTION("""COMPUTED_VALUE"""),"Quartel, Sarah")</f>
        <v>Quartel, Sarah</v>
      </c>
      <c r="B9965" s="3">
        <f ca="1">IFERROR(__xludf.DUMMYFUNCTION("""COMPUTED_VALUE"""),2)</f>
        <v>2</v>
      </c>
      <c r="C9965" s="7">
        <f ca="1">IFERROR(__xludf.DUMMYFUNCTION("""COMPUTED_VALUE"""),2)</f>
        <v>2</v>
      </c>
      <c r="D9965" s="8">
        <f ca="1">IFERROR(__xludf.DUMMYFUNCTION("""COMPUTED_VALUE"""),2)</f>
        <v>2</v>
      </c>
      <c r="E9965" s="2">
        <f ca="1">IFERROR(__xludf.DUMMYFUNCTION("""COMPUTED_VALUE"""),1)</f>
        <v>1</v>
      </c>
    </row>
    <row r="9966" spans="1:5" ht="13">
      <c r="A9966" s="2" t="str">
        <f ca="1">IFERROR(__xludf.DUMMYFUNCTION("""COMPUTED_VALUE"""),"Quick, Carolyn")</f>
        <v>Quick, Carolyn</v>
      </c>
      <c r="B9966" s="3">
        <f ca="1">IFERROR(__xludf.DUMMYFUNCTION("""COMPUTED_VALUE"""),2)</f>
        <v>2</v>
      </c>
      <c r="C9966" s="7">
        <f ca="1">IFERROR(__xludf.DUMMYFUNCTION("""COMPUTED_VALUE"""),2)</f>
        <v>2</v>
      </c>
      <c r="D9966" s="8">
        <f ca="1">IFERROR(__xludf.DUMMYFUNCTION("""COMPUTED_VALUE"""),2)</f>
        <v>2</v>
      </c>
      <c r="E9966" s="2">
        <f ca="1">IFERROR(__xludf.DUMMYFUNCTION("""COMPUTED_VALUE"""),1)</f>
        <v>1</v>
      </c>
    </row>
    <row r="9967" spans="1:5" ht="13">
      <c r="A9967" s="8" t="str">
        <f ca="1">IFERROR(__xludf.DUMMYFUNCTION("""COMPUTED_VALUE"""),"Quinlan, Meghan")</f>
        <v>Quinlan, Meghan</v>
      </c>
      <c r="B9967" s="3">
        <f ca="1">IFERROR(__xludf.DUMMYFUNCTION("""COMPUTED_VALUE"""),2)</f>
        <v>2</v>
      </c>
      <c r="C9967" s="7">
        <f ca="1">IFERROR(__xludf.DUMMYFUNCTION("""COMPUTED_VALUE"""),2)</f>
        <v>2</v>
      </c>
      <c r="D9967" s="8">
        <f ca="1">IFERROR(__xludf.DUMMYFUNCTION("""COMPUTED_VALUE"""),2)</f>
        <v>2</v>
      </c>
      <c r="E9967" s="2">
        <f ca="1">IFERROR(__xludf.DUMMYFUNCTION("""COMPUTED_VALUE"""),1)</f>
        <v>1</v>
      </c>
    </row>
    <row r="9968" spans="1:5" ht="13">
      <c r="A9968" s="8" t="str">
        <f ca="1">IFERROR(__xludf.DUMMYFUNCTION("""COMPUTED_VALUE"""),"Quinn, Trish")</f>
        <v>Quinn, Trish</v>
      </c>
      <c r="B9968" s="3">
        <f ca="1">IFERROR(__xludf.DUMMYFUNCTION("""COMPUTED_VALUE"""),2)</f>
        <v>2</v>
      </c>
      <c r="C9968" s="7">
        <f ca="1">IFERROR(__xludf.DUMMYFUNCTION("""COMPUTED_VALUE"""),2)</f>
        <v>2</v>
      </c>
      <c r="D9968" s="8">
        <f ca="1">IFERROR(__xludf.DUMMYFUNCTION("""COMPUTED_VALUE"""),2)</f>
        <v>2</v>
      </c>
      <c r="E9968" s="2">
        <f ca="1">IFERROR(__xludf.DUMMYFUNCTION("""COMPUTED_VALUE"""),1)</f>
        <v>1</v>
      </c>
    </row>
    <row r="9969" spans="1:5" ht="13">
      <c r="A9969" s="8" t="str">
        <f ca="1">IFERROR(__xludf.DUMMYFUNCTION("""COMPUTED_VALUE"""),"Rabinowitz, Carole")</f>
        <v>Rabinowitz, Carole</v>
      </c>
      <c r="B9969" s="3">
        <f ca="1">IFERROR(__xludf.DUMMYFUNCTION("""COMPUTED_VALUE"""),2)</f>
        <v>2</v>
      </c>
      <c r="C9969" s="7">
        <f ca="1">IFERROR(__xludf.DUMMYFUNCTION("""COMPUTED_VALUE"""),2)</f>
        <v>2</v>
      </c>
      <c r="D9969" s="8">
        <f ca="1">IFERROR(__xludf.DUMMYFUNCTION("""COMPUTED_VALUE"""),2)</f>
        <v>2</v>
      </c>
      <c r="E9969" s="2">
        <f ca="1">IFERROR(__xludf.DUMMYFUNCTION("""COMPUTED_VALUE"""),1)</f>
        <v>1</v>
      </c>
    </row>
    <row r="9970" spans="1:5" ht="13">
      <c r="A9970" s="8" t="str">
        <f ca="1">IFERROR(__xludf.DUMMYFUNCTION("""COMPUTED_VALUE"""),"Rae, Sammy")</f>
        <v>Rae, Sammy</v>
      </c>
      <c r="B9970" s="3">
        <f ca="1">IFERROR(__xludf.DUMMYFUNCTION("""COMPUTED_VALUE"""),2)</f>
        <v>2</v>
      </c>
      <c r="C9970" s="7">
        <f ca="1">IFERROR(__xludf.DUMMYFUNCTION("""COMPUTED_VALUE"""),2)</f>
        <v>2</v>
      </c>
      <c r="D9970" s="8">
        <f ca="1">IFERROR(__xludf.DUMMYFUNCTION("""COMPUTED_VALUE"""),2)</f>
        <v>2</v>
      </c>
      <c r="E9970" s="2">
        <f ca="1">IFERROR(__xludf.DUMMYFUNCTION("""COMPUTED_VALUE"""),1)</f>
        <v>1</v>
      </c>
    </row>
    <row r="9971" spans="1:5" ht="13">
      <c r="A9971" s="2" t="str">
        <f ca="1">IFERROR(__xludf.DUMMYFUNCTION("""COMPUTED_VALUE"""),"Rambo, Dottie")</f>
        <v>Rambo, Dottie</v>
      </c>
      <c r="B9971" s="3">
        <f ca="1">IFERROR(__xludf.DUMMYFUNCTION("""COMPUTED_VALUE"""),2)</f>
        <v>2</v>
      </c>
      <c r="C9971" s="7">
        <f ca="1">IFERROR(__xludf.DUMMYFUNCTION("""COMPUTED_VALUE"""),2)</f>
        <v>2</v>
      </c>
      <c r="D9971" s="8">
        <f ca="1">IFERROR(__xludf.DUMMYFUNCTION("""COMPUTED_VALUE"""),2)</f>
        <v>2</v>
      </c>
      <c r="E9971" s="2">
        <f ca="1">IFERROR(__xludf.DUMMYFUNCTION("""COMPUTED_VALUE"""),1)</f>
        <v>1</v>
      </c>
    </row>
    <row r="9972" spans="1:5" ht="13">
      <c r="A9972" s="8" t="str">
        <f ca="1">IFERROR(__xludf.DUMMYFUNCTION("""COMPUTED_VALUE"""),"Ramsey, Andrea")</f>
        <v>Ramsey, Andrea</v>
      </c>
      <c r="B9972" s="3">
        <f ca="1">IFERROR(__xludf.DUMMYFUNCTION("""COMPUTED_VALUE"""),2)</f>
        <v>2</v>
      </c>
      <c r="C9972" s="7">
        <f ca="1">IFERROR(__xludf.DUMMYFUNCTION("""COMPUTED_VALUE"""),2)</f>
        <v>2</v>
      </c>
      <c r="D9972" s="8">
        <f ca="1">IFERROR(__xludf.DUMMYFUNCTION("""COMPUTED_VALUE"""),2)</f>
        <v>2</v>
      </c>
      <c r="E9972" s="2">
        <f ca="1">IFERROR(__xludf.DUMMYFUNCTION("""COMPUTED_VALUE"""),1)</f>
        <v>1</v>
      </c>
    </row>
    <row r="9973" spans="1:5" ht="13">
      <c r="A9973" s="2" t="str">
        <f ca="1">IFERROR(__xludf.DUMMYFUNCTION("""COMPUTED_VALUE"""),"Raney, Carolyn")</f>
        <v>Raney, Carolyn</v>
      </c>
      <c r="B9973" s="3">
        <f ca="1">IFERROR(__xludf.DUMMYFUNCTION("""COMPUTED_VALUE"""),2)</f>
        <v>2</v>
      </c>
      <c r="C9973" s="7">
        <f ca="1">IFERROR(__xludf.DUMMYFUNCTION("""COMPUTED_VALUE"""),2)</f>
        <v>2</v>
      </c>
      <c r="D9973" s="8">
        <f ca="1">IFERROR(__xludf.DUMMYFUNCTION("""COMPUTED_VALUE"""),6)</f>
        <v>6</v>
      </c>
      <c r="E9973" s="2">
        <f ca="1">IFERROR(__xludf.DUMMYFUNCTION("""COMPUTED_VALUE"""),2)</f>
        <v>2</v>
      </c>
    </row>
    <row r="9974" spans="1:5" ht="13">
      <c r="A9974" s="8" t="str">
        <f ca="1">IFERROR(__xludf.DUMMYFUNCTION("""COMPUTED_VALUE"""),"Rao, Doreen")</f>
        <v>Rao, Doreen</v>
      </c>
      <c r="B9974" s="3">
        <f ca="1">IFERROR(__xludf.DUMMYFUNCTION("""COMPUTED_VALUE"""),2)</f>
        <v>2</v>
      </c>
      <c r="C9974" s="7">
        <f ca="1">IFERROR(__xludf.DUMMYFUNCTION("""COMPUTED_VALUE"""),2)</f>
        <v>2</v>
      </c>
      <c r="D9974" s="8">
        <f ca="1">IFERROR(__xludf.DUMMYFUNCTION("""COMPUTED_VALUE"""),2)</f>
        <v>2</v>
      </c>
      <c r="E9974" s="2">
        <f ca="1">IFERROR(__xludf.DUMMYFUNCTION("""COMPUTED_VALUE"""),1)</f>
        <v>1</v>
      </c>
    </row>
    <row r="9975" spans="1:5" ht="13">
      <c r="A9975" s="8" t="str">
        <f ca="1">IFERROR(__xludf.DUMMYFUNCTION("""COMPUTED_VALUE"""),"Rasmussen, Kirstina")</f>
        <v>Rasmussen, Kirstina</v>
      </c>
      <c r="B9975" s="2">
        <f ca="1">IFERROR(__xludf.DUMMYFUNCTION("""COMPUTED_VALUE"""),2)</f>
        <v>2</v>
      </c>
      <c r="C9975" s="7">
        <f ca="1">IFERROR(__xludf.DUMMYFUNCTION("""COMPUTED_VALUE"""),2)</f>
        <v>2</v>
      </c>
      <c r="D9975" s="8">
        <f ca="1">IFERROR(__xludf.DUMMYFUNCTION("""COMPUTED_VALUE"""),2)</f>
        <v>2</v>
      </c>
      <c r="E9975" s="2">
        <f ca="1">IFERROR(__xludf.DUMMYFUNCTION("""COMPUTED_VALUE"""),1)</f>
        <v>1</v>
      </c>
    </row>
    <row r="9976" spans="1:5" ht="13">
      <c r="A9976" s="2" t="str">
        <f ca="1">IFERROR(__xludf.DUMMYFUNCTION("""COMPUTED_VALUE"""),"Ratay, Beth")</f>
        <v>Ratay, Beth</v>
      </c>
      <c r="B9976" s="3">
        <f ca="1">IFERROR(__xludf.DUMMYFUNCTION("""COMPUTED_VALUE"""),2)</f>
        <v>2</v>
      </c>
      <c r="C9976" s="7">
        <f ca="1">IFERROR(__xludf.DUMMYFUNCTION("""COMPUTED_VALUE"""),2)</f>
        <v>2</v>
      </c>
      <c r="D9976" s="8">
        <f ca="1">IFERROR(__xludf.DUMMYFUNCTION("""COMPUTED_VALUE"""),2)</f>
        <v>2</v>
      </c>
      <c r="E9976" s="2">
        <f ca="1">IFERROR(__xludf.DUMMYFUNCTION("""COMPUTED_VALUE"""),1)</f>
        <v>1</v>
      </c>
    </row>
    <row r="9977" spans="1:5" ht="13">
      <c r="A9977" s="2" t="str">
        <f ca="1">IFERROR(__xludf.DUMMYFUNCTION("""COMPUTED_VALUE"""),"Raum, Elizabeth")</f>
        <v>Raum, Elizabeth</v>
      </c>
      <c r="B9977" s="2">
        <f ca="1">IFERROR(__xludf.DUMMYFUNCTION("""COMPUTED_VALUE"""),2)</f>
        <v>2</v>
      </c>
      <c r="C9977" s="7">
        <f ca="1">IFERROR(__xludf.DUMMYFUNCTION("""COMPUTED_VALUE"""),2)</f>
        <v>2</v>
      </c>
      <c r="D9977" s="8">
        <f ca="1">IFERROR(__xludf.DUMMYFUNCTION("""COMPUTED_VALUE"""),2)</f>
        <v>2</v>
      </c>
      <c r="E9977" s="2">
        <f ca="1">IFERROR(__xludf.DUMMYFUNCTION("""COMPUTED_VALUE"""),1)</f>
        <v>1</v>
      </c>
    </row>
    <row r="9978" spans="1:5" ht="13">
      <c r="A9978" s="2" t="str">
        <f ca="1">IFERROR(__xludf.DUMMYFUNCTION("""COMPUTED_VALUE"""),"Reason, Dana")</f>
        <v>Reason, Dana</v>
      </c>
      <c r="B9978" s="3">
        <f ca="1">IFERROR(__xludf.DUMMYFUNCTION("""COMPUTED_VALUE"""),2)</f>
        <v>2</v>
      </c>
      <c r="C9978" s="7">
        <f ca="1">IFERROR(__xludf.DUMMYFUNCTION("""COMPUTED_VALUE"""),2)</f>
        <v>2</v>
      </c>
      <c r="D9978" s="8">
        <f ca="1">IFERROR(__xludf.DUMMYFUNCTION("""COMPUTED_VALUE"""),2)</f>
        <v>2</v>
      </c>
      <c r="E9978" s="2">
        <f ca="1">IFERROR(__xludf.DUMMYFUNCTION("""COMPUTED_VALUE"""),1)</f>
        <v>1</v>
      </c>
    </row>
    <row r="9979" spans="1:5" ht="13">
      <c r="A9979" s="2" t="str">
        <f ca="1">IFERROR(__xludf.DUMMYFUNCTION("""COMPUTED_VALUE"""),"Reese, Mona Lyn")</f>
        <v>Reese, Mona Lyn</v>
      </c>
      <c r="B9979" s="3">
        <f ca="1">IFERROR(__xludf.DUMMYFUNCTION("""COMPUTED_VALUE"""),2)</f>
        <v>2</v>
      </c>
      <c r="C9979" s="7">
        <f ca="1">IFERROR(__xludf.DUMMYFUNCTION("""COMPUTED_VALUE"""),2)</f>
        <v>2</v>
      </c>
      <c r="D9979" s="8">
        <f ca="1">IFERROR(__xludf.DUMMYFUNCTION("""COMPUTED_VALUE"""),2)</f>
        <v>2</v>
      </c>
      <c r="E9979" s="2">
        <f ca="1">IFERROR(__xludf.DUMMYFUNCTION("""COMPUTED_VALUE"""),1)</f>
        <v>1</v>
      </c>
    </row>
    <row r="9980" spans="1:5" ht="13">
      <c r="A9980" s="2" t="str">
        <f ca="1">IFERROR(__xludf.DUMMYFUNCTION("""COMPUTED_VALUE"""),"Reichardt, Louise")</f>
        <v>Reichardt, Louise</v>
      </c>
      <c r="B9980" s="3">
        <f ca="1">IFERROR(__xludf.DUMMYFUNCTION("""COMPUTED_VALUE"""),2)</f>
        <v>2</v>
      </c>
      <c r="C9980" s="7">
        <f ca="1">IFERROR(__xludf.DUMMYFUNCTION("""COMPUTED_VALUE"""),2)</f>
        <v>2</v>
      </c>
      <c r="D9980" s="8">
        <f ca="1">IFERROR(__xludf.DUMMYFUNCTION("""COMPUTED_VALUE"""),6)</f>
        <v>6</v>
      </c>
      <c r="E9980" s="2">
        <f ca="1">IFERROR(__xludf.DUMMYFUNCTION("""COMPUTED_VALUE"""),2)</f>
        <v>2</v>
      </c>
    </row>
    <row r="9981" spans="1:5" ht="13">
      <c r="A9981" s="2" t="str">
        <f ca="1">IFERROR(__xludf.DUMMYFUNCTION("""COMPUTED_VALUE"""),"Reid, Ellen")</f>
        <v>Reid, Ellen</v>
      </c>
      <c r="B9981" s="3">
        <f ca="1">IFERROR(__xludf.DUMMYFUNCTION("""COMPUTED_VALUE"""),2)</f>
        <v>2</v>
      </c>
      <c r="C9981" s="7">
        <f ca="1">IFERROR(__xludf.DUMMYFUNCTION("""COMPUTED_VALUE"""),2)</f>
        <v>2</v>
      </c>
      <c r="D9981" s="8">
        <f ca="1">IFERROR(__xludf.DUMMYFUNCTION("""COMPUTED_VALUE"""),2)</f>
        <v>2</v>
      </c>
      <c r="E9981" s="2">
        <f ca="1">IFERROR(__xludf.DUMMYFUNCTION("""COMPUTED_VALUE"""),1)</f>
        <v>1</v>
      </c>
    </row>
    <row r="9982" spans="1:5" ht="13">
      <c r="A9982" s="2" t="str">
        <f ca="1">IFERROR(__xludf.DUMMYFUNCTION("""COMPUTED_VALUE"""),"Reigh, Allyson")</f>
        <v>Reigh, Allyson</v>
      </c>
      <c r="B9982" s="2">
        <f ca="1">IFERROR(__xludf.DUMMYFUNCTION("""COMPUTED_VALUE"""),2)</f>
        <v>2</v>
      </c>
      <c r="C9982" s="7">
        <f ca="1">IFERROR(__xludf.DUMMYFUNCTION("""COMPUTED_VALUE"""),2)</f>
        <v>2</v>
      </c>
      <c r="D9982" s="8">
        <f ca="1">IFERROR(__xludf.DUMMYFUNCTION("""COMPUTED_VALUE"""),2)</f>
        <v>2</v>
      </c>
      <c r="E9982" s="2">
        <f ca="1">IFERROR(__xludf.DUMMYFUNCTION("""COMPUTED_VALUE"""),1)</f>
        <v>1</v>
      </c>
    </row>
    <row r="9983" spans="1:5" ht="13">
      <c r="A9983" s="8" t="str">
        <f ca="1">IFERROR(__xludf.DUMMYFUNCTION("""COMPUTED_VALUE"""),"Reilly, Dadee")</f>
        <v>Reilly, Dadee</v>
      </c>
      <c r="B9983" s="3">
        <f ca="1">IFERROR(__xludf.DUMMYFUNCTION("""COMPUTED_VALUE"""),2)</f>
        <v>2</v>
      </c>
      <c r="C9983" s="7">
        <f ca="1">IFERROR(__xludf.DUMMYFUNCTION("""COMPUTED_VALUE"""),2)</f>
        <v>2</v>
      </c>
      <c r="D9983" s="8">
        <f ca="1">IFERROR(__xludf.DUMMYFUNCTION("""COMPUTED_VALUE"""),2)</f>
        <v>2</v>
      </c>
      <c r="E9983" s="2">
        <f ca="1">IFERROR(__xludf.DUMMYFUNCTION("""COMPUTED_VALUE"""),1)</f>
        <v>1</v>
      </c>
    </row>
    <row r="9984" spans="1:5" ht="13">
      <c r="A9984" s="2" t="str">
        <f ca="1">IFERROR(__xludf.DUMMYFUNCTION("""COMPUTED_VALUE"""),"Reinkemeyer, Andrea")</f>
        <v>Reinkemeyer, Andrea</v>
      </c>
      <c r="B9984" s="3">
        <f ca="1">IFERROR(__xludf.DUMMYFUNCTION("""COMPUTED_VALUE"""),2)</f>
        <v>2</v>
      </c>
      <c r="C9984" s="7">
        <f ca="1">IFERROR(__xludf.DUMMYFUNCTION("""COMPUTED_VALUE"""),2)</f>
        <v>2</v>
      </c>
      <c r="D9984" s="8">
        <f ca="1">IFERROR(__xludf.DUMMYFUNCTION("""COMPUTED_VALUE"""),2)</f>
        <v>2</v>
      </c>
      <c r="E9984" s="2">
        <f ca="1">IFERROR(__xludf.DUMMYFUNCTION("""COMPUTED_VALUE"""),1)</f>
        <v>1</v>
      </c>
    </row>
    <row r="9985" spans="1:5" ht="13">
      <c r="A9985" s="2" t="str">
        <f ca="1">IFERROR(__xludf.DUMMYFUNCTION("""COMPUTED_VALUE"""),"Reissner, Zollene")</f>
        <v>Reissner, Zollene</v>
      </c>
      <c r="B9985" s="3">
        <f ca="1">IFERROR(__xludf.DUMMYFUNCTION("""COMPUTED_VALUE"""),2)</f>
        <v>2</v>
      </c>
      <c r="C9985" s="7">
        <f ca="1">IFERROR(__xludf.DUMMYFUNCTION("""COMPUTED_VALUE"""),2)</f>
        <v>2</v>
      </c>
      <c r="D9985" s="8">
        <f ca="1">IFERROR(__xludf.DUMMYFUNCTION("""COMPUTED_VALUE"""),2)</f>
        <v>2</v>
      </c>
      <c r="E9985" s="2">
        <f ca="1">IFERROR(__xludf.DUMMYFUNCTION("""COMPUTED_VALUE"""),1)</f>
        <v>1</v>
      </c>
    </row>
    <row r="9986" spans="1:5" ht="13">
      <c r="A9986" s="2" t="str">
        <f ca="1">IFERROR(__xludf.DUMMYFUNCTION("""COMPUTED_VALUE"""),"Renié, Henriette")</f>
        <v>Renié, Henriette</v>
      </c>
      <c r="B9986" s="2">
        <f ca="1">IFERROR(__xludf.DUMMYFUNCTION("""COMPUTED_VALUE"""),2)</f>
        <v>2</v>
      </c>
      <c r="C9986" s="7">
        <f ca="1">IFERROR(__xludf.DUMMYFUNCTION("""COMPUTED_VALUE"""),2)</f>
        <v>2</v>
      </c>
      <c r="D9986" s="8">
        <f ca="1">IFERROR(__xludf.DUMMYFUNCTION("""COMPUTED_VALUE"""),6)</f>
        <v>6</v>
      </c>
      <c r="E9986" s="2">
        <f ca="1">IFERROR(__xludf.DUMMYFUNCTION("""COMPUTED_VALUE"""),2)</f>
        <v>2</v>
      </c>
    </row>
    <row r="9987" spans="1:5" ht="13">
      <c r="A9987" s="2" t="str">
        <f ca="1">IFERROR(__xludf.DUMMYFUNCTION("""COMPUTED_VALUE"""),"Renkmeyer, Andrea")</f>
        <v>Renkmeyer, Andrea</v>
      </c>
      <c r="B9987" s="3">
        <f ca="1">IFERROR(__xludf.DUMMYFUNCTION("""COMPUTED_VALUE"""),2)</f>
        <v>2</v>
      </c>
      <c r="C9987" s="7">
        <f ca="1">IFERROR(__xludf.DUMMYFUNCTION("""COMPUTED_VALUE"""),2)</f>
        <v>2</v>
      </c>
      <c r="D9987" s="8">
        <f ca="1">IFERROR(__xludf.DUMMYFUNCTION("""COMPUTED_VALUE"""),2)</f>
        <v>2</v>
      </c>
      <c r="E9987" s="2">
        <f ca="1">IFERROR(__xludf.DUMMYFUNCTION("""COMPUTED_VALUE"""),1)</f>
        <v>1</v>
      </c>
    </row>
    <row r="9988" spans="1:5" ht="13">
      <c r="A9988" s="8" t="str">
        <f ca="1">IFERROR(__xludf.DUMMYFUNCTION("""COMPUTED_VALUE"""),"Rentz, Earlene")</f>
        <v>Rentz, Earlene</v>
      </c>
      <c r="B9988" s="3">
        <f ca="1">IFERROR(__xludf.DUMMYFUNCTION("""COMPUTED_VALUE"""),2)</f>
        <v>2</v>
      </c>
      <c r="C9988" s="7">
        <f ca="1">IFERROR(__xludf.DUMMYFUNCTION("""COMPUTED_VALUE"""),2)</f>
        <v>2</v>
      </c>
      <c r="D9988" s="8">
        <f ca="1">IFERROR(__xludf.DUMMYFUNCTION("""COMPUTED_VALUE"""),2)</f>
        <v>2</v>
      </c>
      <c r="E9988" s="2">
        <f ca="1">IFERROR(__xludf.DUMMYFUNCTION("""COMPUTED_VALUE"""),1)</f>
        <v>1</v>
      </c>
    </row>
    <row r="9989" spans="1:5" ht="13">
      <c r="A9989" s="2" t="str">
        <f ca="1">IFERROR(__xludf.DUMMYFUNCTION("""COMPUTED_VALUE"""),"Rentz, Earlene / Byrnes, Suzanne Rita")</f>
        <v>Rentz, Earlene / Byrnes, Suzanne Rita</v>
      </c>
      <c r="B9989" s="2">
        <f ca="1">IFERROR(__xludf.DUMMYFUNCTION("""COMPUTED_VALUE"""),2)</f>
        <v>2</v>
      </c>
      <c r="C9989" s="2">
        <f ca="1">IFERROR(__xludf.DUMMYFUNCTION("""COMPUTED_VALUE"""),2)</f>
        <v>2</v>
      </c>
      <c r="D9989" s="8">
        <f ca="1">IFERROR(__xludf.DUMMYFUNCTION("""COMPUTED_VALUE"""),2)</f>
        <v>2</v>
      </c>
      <c r="E9989" s="2">
        <f ca="1">IFERROR(__xludf.DUMMYFUNCTION("""COMPUTED_VALUE"""),1)</f>
        <v>1</v>
      </c>
    </row>
    <row r="9990" spans="1:5" ht="13">
      <c r="A9990" s="8" t="str">
        <f ca="1">IFERROR(__xludf.DUMMYFUNCTION("""COMPUTED_VALUE"""),"Reussner, Tandy")</f>
        <v>Reussner, Tandy</v>
      </c>
      <c r="B9990" s="3">
        <f ca="1">IFERROR(__xludf.DUMMYFUNCTION("""COMPUTED_VALUE"""),2)</f>
        <v>2</v>
      </c>
      <c r="C9990" s="7">
        <f ca="1">IFERROR(__xludf.DUMMYFUNCTION("""COMPUTED_VALUE"""),2)</f>
        <v>2</v>
      </c>
      <c r="D9990" s="8">
        <f ca="1">IFERROR(__xludf.DUMMYFUNCTION("""COMPUTED_VALUE"""),2)</f>
        <v>2</v>
      </c>
      <c r="E9990" s="2">
        <f ca="1">IFERROR(__xludf.DUMMYFUNCTION("""COMPUTED_VALUE"""),1)</f>
        <v>1</v>
      </c>
    </row>
    <row r="9991" spans="1:5" ht="13">
      <c r="A9991" s="2" t="str">
        <f ca="1">IFERROR(__xludf.DUMMYFUNCTION("""COMPUTED_VALUE"""),"Rexroth, Randi Grundahl")</f>
        <v>Rexroth, Randi Grundahl</v>
      </c>
      <c r="B9991" s="3">
        <f ca="1">IFERROR(__xludf.DUMMYFUNCTION("""COMPUTED_VALUE"""),2)</f>
        <v>2</v>
      </c>
      <c r="C9991" s="7">
        <f ca="1">IFERROR(__xludf.DUMMYFUNCTION("""COMPUTED_VALUE"""),2)</f>
        <v>2</v>
      </c>
      <c r="D9991" s="8">
        <f ca="1">IFERROR(__xludf.DUMMYFUNCTION("""COMPUTED_VALUE"""),2)</f>
        <v>2</v>
      </c>
      <c r="E9991" s="2">
        <f ca="1">IFERROR(__xludf.DUMMYFUNCTION("""COMPUTED_VALUE"""),1)</f>
        <v>1</v>
      </c>
    </row>
    <row r="9992" spans="1:5" ht="13">
      <c r="A9992" s="2" t="str">
        <f ca="1">IFERROR(__xludf.DUMMYFUNCTION("""COMPUTED_VALUE"""),"Reynolds, Belinda")</f>
        <v>Reynolds, Belinda</v>
      </c>
      <c r="B9992" s="3">
        <f ca="1">IFERROR(__xludf.DUMMYFUNCTION("""COMPUTED_VALUE"""),2)</f>
        <v>2</v>
      </c>
      <c r="C9992" s="7">
        <f ca="1">IFERROR(__xludf.DUMMYFUNCTION("""COMPUTED_VALUE"""),2)</f>
        <v>2</v>
      </c>
      <c r="D9992" s="8">
        <f ca="1">IFERROR(__xludf.DUMMYFUNCTION("""COMPUTED_VALUE"""),2)</f>
        <v>2</v>
      </c>
      <c r="E9992" s="2">
        <f ca="1">IFERROR(__xludf.DUMMYFUNCTION("""COMPUTED_VALUE"""),1)</f>
        <v>1</v>
      </c>
    </row>
    <row r="9993" spans="1:5" ht="13">
      <c r="A9993" s="2" t="str">
        <f ca="1">IFERROR(__xludf.DUMMYFUNCTION("""COMPUTED_VALUE"""),"Reynolds, Malvina")</f>
        <v>Reynolds, Malvina</v>
      </c>
      <c r="B9993" s="3">
        <f ca="1">IFERROR(__xludf.DUMMYFUNCTION("""COMPUTED_VALUE"""),2)</f>
        <v>2</v>
      </c>
      <c r="C9993" s="7">
        <f ca="1">IFERROR(__xludf.DUMMYFUNCTION("""COMPUTED_VALUE"""),2)</f>
        <v>2</v>
      </c>
      <c r="D9993" s="8">
        <f ca="1">IFERROR(__xludf.DUMMYFUNCTION("""COMPUTED_VALUE"""),6)</f>
        <v>6</v>
      </c>
      <c r="E9993" s="2">
        <f ca="1">IFERROR(__xludf.DUMMYFUNCTION("""COMPUTED_VALUE"""),2)</f>
        <v>2</v>
      </c>
    </row>
    <row r="9994" spans="1:5" ht="13">
      <c r="A9994" s="8" t="str">
        <f ca="1">IFERROR(__xludf.DUMMYFUNCTION("""COMPUTED_VALUE"""),"Rhodes, Jennifer")</f>
        <v>Rhodes, Jennifer</v>
      </c>
      <c r="B9994" s="3">
        <f ca="1">IFERROR(__xludf.DUMMYFUNCTION("""COMPUTED_VALUE"""),2)</f>
        <v>2</v>
      </c>
      <c r="C9994" s="7">
        <f ca="1">IFERROR(__xludf.DUMMYFUNCTION("""COMPUTED_VALUE"""),2)</f>
        <v>2</v>
      </c>
      <c r="D9994" s="8">
        <f ca="1">IFERROR(__xludf.DUMMYFUNCTION("""COMPUTED_VALUE"""),2)</f>
        <v>2</v>
      </c>
      <c r="E9994" s="2">
        <f ca="1">IFERROR(__xludf.DUMMYFUNCTION("""COMPUTED_VALUE"""),1)</f>
        <v>1</v>
      </c>
    </row>
    <row r="9995" spans="1:5" ht="13">
      <c r="A9995" s="2" t="str">
        <f ca="1">IFERROR(__xludf.DUMMYFUNCTION("""COMPUTED_VALUE"""),"Rich, Mary Alice")</f>
        <v>Rich, Mary Alice</v>
      </c>
      <c r="B9995" s="3">
        <f ca="1">IFERROR(__xludf.DUMMYFUNCTION("""COMPUTED_VALUE"""),2)</f>
        <v>2</v>
      </c>
      <c r="C9995" s="7">
        <f ca="1">IFERROR(__xludf.DUMMYFUNCTION("""COMPUTED_VALUE"""),2)</f>
        <v>2</v>
      </c>
      <c r="D9995" s="8">
        <f ca="1">IFERROR(__xludf.DUMMYFUNCTION("""COMPUTED_VALUE"""),2)</f>
        <v>2</v>
      </c>
      <c r="E9995" s="2">
        <f ca="1">IFERROR(__xludf.DUMMYFUNCTION("""COMPUTED_VALUE"""),1)</f>
        <v>1</v>
      </c>
    </row>
    <row r="9996" spans="1:5" ht="13">
      <c r="A9996" s="8" t="str">
        <f ca="1">IFERROR(__xludf.DUMMYFUNCTION("""COMPUTED_VALUE"""),"Richards, Julia")</f>
        <v>Richards, Julia</v>
      </c>
      <c r="B9996" s="3">
        <f ca="1">IFERROR(__xludf.DUMMYFUNCTION("""COMPUTED_VALUE"""),2)</f>
        <v>2</v>
      </c>
      <c r="C9996" s="7">
        <f ca="1">IFERROR(__xludf.DUMMYFUNCTION("""COMPUTED_VALUE"""),2)</f>
        <v>2</v>
      </c>
      <c r="D9996" s="8">
        <f ca="1">IFERROR(__xludf.DUMMYFUNCTION("""COMPUTED_VALUE"""),2)</f>
        <v>2</v>
      </c>
      <c r="E9996" s="2">
        <f ca="1">IFERROR(__xludf.DUMMYFUNCTION("""COMPUTED_VALUE"""),1)</f>
        <v>1</v>
      </c>
    </row>
    <row r="9997" spans="1:5" ht="13">
      <c r="A9997" s="2" t="str">
        <f ca="1">IFERROR(__xludf.DUMMYFUNCTION("""COMPUTED_VALUE"""),"Richardson-Schulte, Abigail")</f>
        <v>Richardson-Schulte, Abigail</v>
      </c>
      <c r="B9997" s="3">
        <f ca="1">IFERROR(__xludf.DUMMYFUNCTION("""COMPUTED_VALUE"""),2)</f>
        <v>2</v>
      </c>
      <c r="C9997" s="7">
        <f ca="1">IFERROR(__xludf.DUMMYFUNCTION("""COMPUTED_VALUE"""),2)</f>
        <v>2</v>
      </c>
      <c r="D9997" s="8">
        <f ca="1">IFERROR(__xludf.DUMMYFUNCTION("""COMPUTED_VALUE"""),2)</f>
        <v>2</v>
      </c>
      <c r="E9997" s="2">
        <f ca="1">IFERROR(__xludf.DUMMYFUNCTION("""COMPUTED_VALUE"""),1)</f>
        <v>1</v>
      </c>
    </row>
    <row r="9998" spans="1:5" ht="13">
      <c r="A9998" s="2" t="str">
        <f ca="1">IFERROR(__xludf.DUMMYFUNCTION("""COMPUTED_VALUE"""),"Riebs Mills, Amy")</f>
        <v>Riebs Mills, Amy</v>
      </c>
      <c r="B9998" s="2">
        <f ca="1">IFERROR(__xludf.DUMMYFUNCTION("""COMPUTED_VALUE"""),2)</f>
        <v>2</v>
      </c>
      <c r="C9998" s="7">
        <f ca="1">IFERROR(__xludf.DUMMYFUNCTION("""COMPUTED_VALUE"""),2)</f>
        <v>2</v>
      </c>
      <c r="D9998" s="8">
        <f ca="1">IFERROR(__xludf.DUMMYFUNCTION("""COMPUTED_VALUE"""),2)</f>
        <v>2</v>
      </c>
      <c r="E9998" s="2">
        <f ca="1">IFERROR(__xludf.DUMMYFUNCTION("""COMPUTED_VALUE"""),1)</f>
        <v>1</v>
      </c>
    </row>
    <row r="9999" spans="1:5" ht="13">
      <c r="A9999" s="2" t="str">
        <f ca="1">IFERROR(__xludf.DUMMYFUNCTION("""COMPUTED_VALUE"""),"Riley, Shari")</f>
        <v>Riley, Shari</v>
      </c>
      <c r="B9999" s="3">
        <f ca="1">IFERROR(__xludf.DUMMYFUNCTION("""COMPUTED_VALUE"""),2)</f>
        <v>2</v>
      </c>
      <c r="C9999" s="7">
        <f ca="1">IFERROR(__xludf.DUMMYFUNCTION("""COMPUTED_VALUE"""),2)</f>
        <v>2</v>
      </c>
      <c r="D9999" s="8">
        <f ca="1">IFERROR(__xludf.DUMMYFUNCTION("""COMPUTED_VALUE"""),2)</f>
        <v>2</v>
      </c>
      <c r="E9999" s="2">
        <f ca="1">IFERROR(__xludf.DUMMYFUNCTION("""COMPUTED_VALUE"""),1)</f>
        <v>1</v>
      </c>
    </row>
    <row r="10000" spans="1:5" ht="13">
      <c r="A10000" s="2" t="str">
        <f ca="1">IFERROR(__xludf.DUMMYFUNCTION("""COMPUTED_VALUE"""),"Rimkus, Sarah")</f>
        <v>Rimkus, Sarah</v>
      </c>
      <c r="B10000" s="3">
        <f ca="1">IFERROR(__xludf.DUMMYFUNCTION("""COMPUTED_VALUE"""),2)</f>
        <v>2</v>
      </c>
      <c r="C10000" s="7">
        <f ca="1">IFERROR(__xludf.DUMMYFUNCTION("""COMPUTED_VALUE"""),2)</f>
        <v>2</v>
      </c>
      <c r="D10000" s="8">
        <f ca="1">IFERROR(__xludf.DUMMYFUNCTION("""COMPUTED_VALUE"""),2)</f>
        <v>2</v>
      </c>
      <c r="E10000" s="2">
        <f ca="1">IFERROR(__xludf.DUMMYFUNCTION("""COMPUTED_VALUE"""),1)</f>
        <v>1</v>
      </c>
    </row>
    <row r="10001" spans="1:5" ht="13">
      <c r="A10001" s="2" t="str">
        <f ca="1">IFERROR(__xludf.DUMMYFUNCTION("""COMPUTED_VALUE"""),"Rippentrop, Denice")</f>
        <v>Rippentrop, Denice</v>
      </c>
      <c r="B10001" s="3">
        <f ca="1">IFERROR(__xludf.DUMMYFUNCTION("""COMPUTED_VALUE"""),2)</f>
        <v>2</v>
      </c>
      <c r="C10001" s="7">
        <f ca="1">IFERROR(__xludf.DUMMYFUNCTION("""COMPUTED_VALUE"""),2)</f>
        <v>2</v>
      </c>
      <c r="D10001" s="8">
        <f ca="1">IFERROR(__xludf.DUMMYFUNCTION("""COMPUTED_VALUE"""),2)</f>
        <v>2</v>
      </c>
      <c r="E10001" s="2">
        <f ca="1">IFERROR(__xludf.DUMMYFUNCTION("""COMPUTED_VALUE"""),1)</f>
        <v>1</v>
      </c>
    </row>
    <row r="10002" spans="1:5" ht="13">
      <c r="A10002" s="2" t="str">
        <f ca="1">IFERROR(__xludf.DUMMYFUNCTION("""COMPUTED_VALUE"""),"Ritmanis, Lolita")</f>
        <v>Ritmanis, Lolita</v>
      </c>
      <c r="B10002" s="3">
        <f ca="1">IFERROR(__xludf.DUMMYFUNCTION("""COMPUTED_VALUE"""),2)</f>
        <v>2</v>
      </c>
      <c r="C10002" s="7">
        <f ca="1">IFERROR(__xludf.DUMMYFUNCTION("""COMPUTED_VALUE"""),2)</f>
        <v>2</v>
      </c>
      <c r="D10002" s="8">
        <f ca="1">IFERROR(__xludf.DUMMYFUNCTION("""COMPUTED_VALUE"""),2)</f>
        <v>2</v>
      </c>
      <c r="E10002" s="2">
        <f ca="1">IFERROR(__xludf.DUMMYFUNCTION("""COMPUTED_VALUE"""),1)</f>
        <v>1</v>
      </c>
    </row>
    <row r="10003" spans="1:5" ht="13">
      <c r="A10003" s="2" t="str">
        <f ca="1">IFERROR(__xludf.DUMMYFUNCTION("""COMPUTED_VALUE"""),"Robert, Lucie")</f>
        <v>Robert, Lucie</v>
      </c>
      <c r="B10003" s="3">
        <f ca="1">IFERROR(__xludf.DUMMYFUNCTION("""COMPUTED_VALUE"""),2)</f>
        <v>2</v>
      </c>
      <c r="C10003" s="7">
        <f ca="1">IFERROR(__xludf.DUMMYFUNCTION("""COMPUTED_VALUE"""),2)</f>
        <v>2</v>
      </c>
      <c r="D10003" s="8">
        <f ca="1">IFERROR(__xludf.DUMMYFUNCTION("""COMPUTED_VALUE"""),2)</f>
        <v>2</v>
      </c>
      <c r="E10003" s="2">
        <f ca="1">IFERROR(__xludf.DUMMYFUNCTION("""COMPUTED_VALUE"""),1)</f>
        <v>1</v>
      </c>
    </row>
    <row r="10004" spans="1:5" ht="13">
      <c r="A10004" s="2" t="str">
        <f ca="1">IFERROR(__xludf.DUMMYFUNCTION("""COMPUTED_VALUE"""),"Roberts, Ruth / Piller, Gene / Katz, William")</f>
        <v>Roberts, Ruth / Piller, Gene / Katz, William</v>
      </c>
      <c r="B10004" s="3">
        <f ca="1">IFERROR(__xludf.DUMMYFUNCTION("""COMPUTED_VALUE"""),2)</f>
        <v>2</v>
      </c>
      <c r="C10004" s="7">
        <f ca="1">IFERROR(__xludf.DUMMYFUNCTION("""COMPUTED_VALUE"""),2)</f>
        <v>2</v>
      </c>
      <c r="D10004" s="8">
        <f ca="1">IFERROR(__xludf.DUMMYFUNCTION("""COMPUTED_VALUE"""),6)</f>
        <v>6</v>
      </c>
      <c r="E10004" s="2">
        <f ca="1">IFERROR(__xludf.DUMMYFUNCTION("""COMPUTED_VALUE"""),2)</f>
        <v>2</v>
      </c>
    </row>
    <row r="10005" spans="1:5" ht="13">
      <c r="A10005" s="2" t="str">
        <f ca="1">IFERROR(__xludf.DUMMYFUNCTION("""COMPUTED_VALUE"""),"Robertson, Gail")</f>
        <v>Robertson, Gail</v>
      </c>
      <c r="B10005" s="2">
        <f ca="1">IFERROR(__xludf.DUMMYFUNCTION("""COMPUTED_VALUE"""),2)</f>
        <v>2</v>
      </c>
      <c r="C10005" s="7">
        <f ca="1">IFERROR(__xludf.DUMMYFUNCTION("""COMPUTED_VALUE"""),2)</f>
        <v>2</v>
      </c>
      <c r="D10005" s="8">
        <f ca="1">IFERROR(__xludf.DUMMYFUNCTION("""COMPUTED_VALUE"""),2)</f>
        <v>2</v>
      </c>
      <c r="E10005" s="2">
        <f ca="1">IFERROR(__xludf.DUMMYFUNCTION("""COMPUTED_VALUE"""),1)</f>
        <v>1</v>
      </c>
    </row>
    <row r="10006" spans="1:5" ht="13">
      <c r="A10006" s="2" t="str">
        <f ca="1">IFERROR(__xludf.DUMMYFUNCTION("""COMPUTED_VALUE"""),"Robertson, Karen K.")</f>
        <v>Robertson, Karen K.</v>
      </c>
      <c r="B10006" s="2">
        <f ca="1">IFERROR(__xludf.DUMMYFUNCTION("""COMPUTED_VALUE"""),2)</f>
        <v>2</v>
      </c>
      <c r="C10006" s="7">
        <f ca="1">IFERROR(__xludf.DUMMYFUNCTION("""COMPUTED_VALUE"""),2)</f>
        <v>2</v>
      </c>
      <c r="D10006" s="8">
        <f ca="1">IFERROR(__xludf.DUMMYFUNCTION("""COMPUTED_VALUE"""),2)</f>
        <v>2</v>
      </c>
      <c r="E10006" s="2">
        <f ca="1">IFERROR(__xludf.DUMMYFUNCTION("""COMPUTED_VALUE"""),1)</f>
        <v>1</v>
      </c>
    </row>
    <row r="10007" spans="1:5" ht="13">
      <c r="A10007" s="2" t="str">
        <f ca="1">IFERROR(__xludf.DUMMYFUNCTION("""COMPUTED_VALUE"""),"Robertson, Karen Kachelmeier")</f>
        <v>Robertson, Karen Kachelmeier</v>
      </c>
      <c r="B10007" s="3">
        <f ca="1">IFERROR(__xludf.DUMMYFUNCTION("""COMPUTED_VALUE"""),2)</f>
        <v>2</v>
      </c>
      <c r="C10007" s="7">
        <f ca="1">IFERROR(__xludf.DUMMYFUNCTION("""COMPUTED_VALUE"""),2)</f>
        <v>2</v>
      </c>
      <c r="D10007" s="8">
        <f ca="1">IFERROR(__xludf.DUMMYFUNCTION("""COMPUTED_VALUE"""),2)</f>
        <v>2</v>
      </c>
      <c r="E10007" s="2">
        <f ca="1">IFERROR(__xludf.DUMMYFUNCTION("""COMPUTED_VALUE"""),1)</f>
        <v>1</v>
      </c>
    </row>
    <row r="10008" spans="1:5" ht="13">
      <c r="A10008" s="2" t="str">
        <f ca="1">IFERROR(__xludf.DUMMYFUNCTION("""COMPUTED_VALUE"""),"Robinson, Karen")</f>
        <v>Robinson, Karen</v>
      </c>
      <c r="B10008" s="3">
        <f ca="1">IFERROR(__xludf.DUMMYFUNCTION("""COMPUTED_VALUE"""),2)</f>
        <v>2</v>
      </c>
      <c r="C10008" s="7">
        <f ca="1">IFERROR(__xludf.DUMMYFUNCTION("""COMPUTED_VALUE"""),2)</f>
        <v>2</v>
      </c>
      <c r="D10008" s="8">
        <f ca="1">IFERROR(__xludf.DUMMYFUNCTION("""COMPUTED_VALUE"""),2)</f>
        <v>2</v>
      </c>
      <c r="E10008" s="2">
        <f ca="1">IFERROR(__xludf.DUMMYFUNCTION("""COMPUTED_VALUE"""),1)</f>
        <v>1</v>
      </c>
    </row>
    <row r="10009" spans="1:5" ht="13">
      <c r="A10009" s="2" t="str">
        <f ca="1">IFERROR(__xludf.DUMMYFUNCTION("""COMPUTED_VALUE"""),"Robinson, Karen Linford")</f>
        <v>Robinson, Karen Linford</v>
      </c>
      <c r="B10009" s="2">
        <f ca="1">IFERROR(__xludf.DUMMYFUNCTION("""COMPUTED_VALUE"""),2)</f>
        <v>2</v>
      </c>
      <c r="C10009" s="7">
        <f ca="1">IFERROR(__xludf.DUMMYFUNCTION("""COMPUTED_VALUE"""),2)</f>
        <v>2</v>
      </c>
      <c r="D10009" s="8">
        <f ca="1">IFERROR(__xludf.DUMMYFUNCTION("""COMPUTED_VALUE"""),2)</f>
        <v>2</v>
      </c>
      <c r="E10009" s="2">
        <f ca="1">IFERROR(__xludf.DUMMYFUNCTION("""COMPUTED_VALUE"""),1)</f>
        <v>1</v>
      </c>
    </row>
    <row r="10010" spans="1:5" ht="13">
      <c r="A10010" s="2" t="str">
        <f ca="1">IFERROR(__xludf.DUMMYFUNCTION("""COMPUTED_VALUE"""),"Robison, Addie")</f>
        <v>Robison, Addie</v>
      </c>
      <c r="B10010" s="3">
        <f ca="1">IFERROR(__xludf.DUMMYFUNCTION("""COMPUTED_VALUE"""),2)</f>
        <v>2</v>
      </c>
      <c r="C10010" s="7">
        <f ca="1">IFERROR(__xludf.DUMMYFUNCTION("""COMPUTED_VALUE"""),2)</f>
        <v>2</v>
      </c>
      <c r="D10010" s="8">
        <f ca="1">IFERROR(__xludf.DUMMYFUNCTION("""COMPUTED_VALUE"""),2)</f>
        <v>2</v>
      </c>
      <c r="E10010" s="2">
        <f ca="1">IFERROR(__xludf.DUMMYFUNCTION("""COMPUTED_VALUE"""),1)</f>
        <v>1</v>
      </c>
    </row>
    <row r="10011" spans="1:5" ht="13">
      <c r="A10011" s="2" t="str">
        <f ca="1">IFERROR(__xludf.DUMMYFUNCTION("""COMPUTED_VALUE"""),"Robison, Jennaya")</f>
        <v>Robison, Jennaya</v>
      </c>
      <c r="B10011" s="3">
        <f ca="1">IFERROR(__xludf.DUMMYFUNCTION("""COMPUTED_VALUE"""),2)</f>
        <v>2</v>
      </c>
      <c r="C10011" s="7">
        <f ca="1">IFERROR(__xludf.DUMMYFUNCTION("""COMPUTED_VALUE"""),2)</f>
        <v>2</v>
      </c>
      <c r="D10011" s="8">
        <f ca="1">IFERROR(__xludf.DUMMYFUNCTION("""COMPUTED_VALUE"""),2)</f>
        <v>2</v>
      </c>
      <c r="E10011" s="2">
        <f ca="1">IFERROR(__xludf.DUMMYFUNCTION("""COMPUTED_VALUE"""),1)</f>
        <v>1</v>
      </c>
    </row>
    <row r="10012" spans="1:5" ht="13">
      <c r="A10012" s="2" t="str">
        <f ca="1">IFERROR(__xludf.DUMMYFUNCTION("""COMPUTED_VALUE"""),"Rocha, Sofia")</f>
        <v>Rocha, Sofia</v>
      </c>
      <c r="B10012" s="3">
        <f ca="1">IFERROR(__xludf.DUMMYFUNCTION("""COMPUTED_VALUE"""),2)</f>
        <v>2</v>
      </c>
      <c r="C10012" s="7">
        <f ca="1">IFERROR(__xludf.DUMMYFUNCTION("""COMPUTED_VALUE"""),2)</f>
        <v>2</v>
      </c>
      <c r="D10012" s="8">
        <f ca="1">IFERROR(__xludf.DUMMYFUNCTION("""COMPUTED_VALUE"""),2)</f>
        <v>2</v>
      </c>
      <c r="E10012" s="2">
        <f ca="1">IFERROR(__xludf.DUMMYFUNCTION("""COMPUTED_VALUE"""),1)</f>
        <v>1</v>
      </c>
    </row>
    <row r="10013" spans="1:5" ht="13">
      <c r="A10013" s="2" t="str">
        <f ca="1">IFERROR(__xludf.DUMMYFUNCTION("""COMPUTED_VALUE"""),"Rochefort, Lorraine")</f>
        <v>Rochefort, Lorraine</v>
      </c>
      <c r="B10013" s="3">
        <f ca="1">IFERROR(__xludf.DUMMYFUNCTION("""COMPUTED_VALUE"""),2)</f>
        <v>2</v>
      </c>
      <c r="C10013" s="7">
        <f ca="1">IFERROR(__xludf.DUMMYFUNCTION("""COMPUTED_VALUE"""),2)</f>
        <v>2</v>
      </c>
      <c r="D10013" s="8">
        <f ca="1">IFERROR(__xludf.DUMMYFUNCTION("""COMPUTED_VALUE"""),2)</f>
        <v>2</v>
      </c>
      <c r="E10013" s="2">
        <f ca="1">IFERROR(__xludf.DUMMYFUNCTION("""COMPUTED_VALUE"""),1)</f>
        <v>1</v>
      </c>
    </row>
    <row r="10014" spans="1:5" ht="13">
      <c r="A10014" s="8" t="str">
        <f ca="1">IFERROR(__xludf.DUMMYFUNCTION("""COMPUTED_VALUE"""),"Rocherelle, Eugénie")</f>
        <v>Rocherelle, Eugénie</v>
      </c>
      <c r="B10014" s="3">
        <f ca="1">IFERROR(__xludf.DUMMYFUNCTION("""COMPUTED_VALUE"""),2)</f>
        <v>2</v>
      </c>
      <c r="C10014" s="7">
        <f ca="1">IFERROR(__xludf.DUMMYFUNCTION("""COMPUTED_VALUE"""),2)</f>
        <v>2</v>
      </c>
      <c r="D10014" s="8">
        <f ca="1">IFERROR(__xludf.DUMMYFUNCTION("""COMPUTED_VALUE"""),2)</f>
        <v>2</v>
      </c>
      <c r="E10014" s="2">
        <f ca="1">IFERROR(__xludf.DUMMYFUNCTION("""COMPUTED_VALUE"""),1)</f>
        <v>1</v>
      </c>
    </row>
    <row r="10015" spans="1:5" ht="13">
      <c r="A10015" s="8" t="str">
        <f ca="1">IFERROR(__xludf.DUMMYFUNCTION("""COMPUTED_VALUE"""),"Rocherolle, Eugénie Ricau")</f>
        <v>Rocherolle, Eugénie Ricau</v>
      </c>
      <c r="B10015" s="3">
        <f ca="1">IFERROR(__xludf.DUMMYFUNCTION("""COMPUTED_VALUE"""),2)</f>
        <v>2</v>
      </c>
      <c r="C10015" s="7">
        <f ca="1">IFERROR(__xludf.DUMMYFUNCTION("""COMPUTED_VALUE"""),2)</f>
        <v>2</v>
      </c>
      <c r="D10015" s="8">
        <f ca="1">IFERROR(__xludf.DUMMYFUNCTION("""COMPUTED_VALUE"""),2)</f>
        <v>2</v>
      </c>
      <c r="E10015" s="2">
        <f ca="1">IFERROR(__xludf.DUMMYFUNCTION("""COMPUTED_VALUE"""),1)</f>
        <v>1</v>
      </c>
    </row>
    <row r="10016" spans="1:5" ht="13">
      <c r="A10016" s="8" t="str">
        <f ca="1">IFERROR(__xludf.DUMMYFUNCTION("""COMPUTED_VALUE"""),"Rodde, Kathleen")</f>
        <v>Rodde, Kathleen</v>
      </c>
      <c r="B10016" s="3">
        <f ca="1">IFERROR(__xludf.DUMMYFUNCTION("""COMPUTED_VALUE"""),2)</f>
        <v>2</v>
      </c>
      <c r="C10016" s="7">
        <f ca="1">IFERROR(__xludf.DUMMYFUNCTION("""COMPUTED_VALUE"""),2)</f>
        <v>2</v>
      </c>
      <c r="D10016" s="8">
        <f ca="1">IFERROR(__xludf.DUMMYFUNCTION("""COMPUTED_VALUE"""),2)</f>
        <v>2</v>
      </c>
      <c r="E10016" s="2">
        <f ca="1">IFERROR(__xludf.DUMMYFUNCTION("""COMPUTED_VALUE"""),1)</f>
        <v>1</v>
      </c>
    </row>
    <row r="10017" spans="1:5" ht="13">
      <c r="A10017" s="2" t="str">
        <f ca="1">IFERROR(__xludf.DUMMYFUNCTION("""COMPUTED_VALUE"""),"Rodriguez, Penny")</f>
        <v>Rodriguez, Penny</v>
      </c>
      <c r="B10017" s="3">
        <f ca="1">IFERROR(__xludf.DUMMYFUNCTION("""COMPUTED_VALUE"""),2)</f>
        <v>2</v>
      </c>
      <c r="C10017" s="7">
        <f ca="1">IFERROR(__xludf.DUMMYFUNCTION("""COMPUTED_VALUE"""),2)</f>
        <v>2</v>
      </c>
      <c r="D10017" s="8">
        <f ca="1">IFERROR(__xludf.DUMMYFUNCTION("""COMPUTED_VALUE"""),2)</f>
        <v>2</v>
      </c>
      <c r="E10017" s="2">
        <f ca="1">IFERROR(__xludf.DUMMYFUNCTION("""COMPUTED_VALUE"""),1)</f>
        <v>1</v>
      </c>
    </row>
    <row r="10018" spans="1:5" ht="13">
      <c r="A10018" s="2" t="str">
        <f ca="1">IFERROR(__xludf.DUMMYFUNCTION("""COMPUTED_VALUE"""),"Romero, Brenda")</f>
        <v>Romero, Brenda</v>
      </c>
      <c r="B10018" s="3">
        <f ca="1">IFERROR(__xludf.DUMMYFUNCTION("""COMPUTED_VALUE"""),2)</f>
        <v>2</v>
      </c>
      <c r="C10018" s="7">
        <f ca="1">IFERROR(__xludf.DUMMYFUNCTION("""COMPUTED_VALUE"""),2)</f>
        <v>2</v>
      </c>
      <c r="D10018" s="8">
        <f ca="1">IFERROR(__xludf.DUMMYFUNCTION("""COMPUTED_VALUE"""),2)</f>
        <v>2</v>
      </c>
      <c r="E10018" s="2">
        <f ca="1">IFERROR(__xludf.DUMMYFUNCTION("""COMPUTED_VALUE"""),1)</f>
        <v>1</v>
      </c>
    </row>
    <row r="10019" spans="1:5" ht="13">
      <c r="A10019" s="2" t="str">
        <f ca="1">IFERROR(__xludf.DUMMYFUNCTION("""COMPUTED_VALUE"""),"Ronchetti, Lucia")</f>
        <v>Ronchetti, Lucia</v>
      </c>
      <c r="B10019" s="3">
        <f ca="1">IFERROR(__xludf.DUMMYFUNCTION("""COMPUTED_VALUE"""),2)</f>
        <v>2</v>
      </c>
      <c r="C10019" s="7">
        <f ca="1">IFERROR(__xludf.DUMMYFUNCTION("""COMPUTED_VALUE"""),2)</f>
        <v>2</v>
      </c>
      <c r="D10019" s="8">
        <f ca="1">IFERROR(__xludf.DUMMYFUNCTION("""COMPUTED_VALUE"""),2)</f>
        <v>2</v>
      </c>
      <c r="E10019" s="2">
        <f ca="1">IFERROR(__xludf.DUMMYFUNCTION("""COMPUTED_VALUE"""),1)</f>
        <v>1</v>
      </c>
    </row>
    <row r="10020" spans="1:5" ht="13">
      <c r="A10020" s="2" t="str">
        <f ca="1">IFERROR(__xludf.DUMMYFUNCTION("""COMPUTED_VALUE"""),"Ronnel, Ann")</f>
        <v>Ronnel, Ann</v>
      </c>
      <c r="B10020" s="3">
        <f ca="1">IFERROR(__xludf.DUMMYFUNCTION("""COMPUTED_VALUE"""),2)</f>
        <v>2</v>
      </c>
      <c r="C10020" s="7">
        <f ca="1">IFERROR(__xludf.DUMMYFUNCTION("""COMPUTED_VALUE"""),2)</f>
        <v>2</v>
      </c>
      <c r="D10020" s="8">
        <f ca="1">IFERROR(__xludf.DUMMYFUNCTION("""COMPUTED_VALUE"""),6)</f>
        <v>6</v>
      </c>
      <c r="E10020" s="2">
        <f ca="1">IFERROR(__xludf.DUMMYFUNCTION("""COMPUTED_VALUE"""),2)</f>
        <v>2</v>
      </c>
    </row>
    <row r="10021" spans="1:5" ht="13">
      <c r="A10021" s="2" t="str">
        <f ca="1">IFERROR(__xludf.DUMMYFUNCTION("""COMPUTED_VALUE"""),"Rorabaugh, Katherine")</f>
        <v>Rorabaugh, Katherine</v>
      </c>
      <c r="B10021" s="2">
        <f ca="1">IFERROR(__xludf.DUMMYFUNCTION("""COMPUTED_VALUE"""),2)</f>
        <v>2</v>
      </c>
      <c r="C10021" s="7">
        <f ca="1">IFERROR(__xludf.DUMMYFUNCTION("""COMPUTED_VALUE"""),2)</f>
        <v>2</v>
      </c>
      <c r="D10021" s="8">
        <f ca="1">IFERROR(__xludf.DUMMYFUNCTION("""COMPUTED_VALUE"""),2)</f>
        <v>2</v>
      </c>
      <c r="E10021" s="2">
        <f ca="1">IFERROR(__xludf.DUMMYFUNCTION("""COMPUTED_VALUE"""),1)</f>
        <v>1</v>
      </c>
    </row>
    <row r="10022" spans="1:5" ht="13">
      <c r="A10022" s="2" t="str">
        <f ca="1">IFERROR(__xludf.DUMMYFUNCTION("""COMPUTED_VALUE"""),"Rose, Jennifer E.")</f>
        <v>Rose, Jennifer E.</v>
      </c>
      <c r="B10022" s="2">
        <f ca="1">IFERROR(__xludf.DUMMYFUNCTION("""COMPUTED_VALUE"""),2)</f>
        <v>2</v>
      </c>
      <c r="C10022" s="7">
        <f ca="1">IFERROR(__xludf.DUMMYFUNCTION("""COMPUTED_VALUE"""),2)</f>
        <v>2</v>
      </c>
      <c r="D10022" s="8">
        <f ca="1">IFERROR(__xludf.DUMMYFUNCTION("""COMPUTED_VALUE"""),2)</f>
        <v>2</v>
      </c>
      <c r="E10022" s="2">
        <f ca="1">IFERROR(__xludf.DUMMYFUNCTION("""COMPUTED_VALUE"""),1)</f>
        <v>1</v>
      </c>
    </row>
    <row r="10023" spans="1:5" ht="13">
      <c r="A10023" s="8" t="str">
        <f ca="1">IFERROR(__xludf.DUMMYFUNCTION("""COMPUTED_VALUE"""),"Rosen, Amy")</f>
        <v>Rosen, Amy</v>
      </c>
      <c r="B10023" s="3">
        <f ca="1">IFERROR(__xludf.DUMMYFUNCTION("""COMPUTED_VALUE"""),2)</f>
        <v>2</v>
      </c>
      <c r="C10023" s="7">
        <f ca="1">IFERROR(__xludf.DUMMYFUNCTION("""COMPUTED_VALUE"""),2)</f>
        <v>2</v>
      </c>
      <c r="D10023" s="8">
        <f ca="1">IFERROR(__xludf.DUMMYFUNCTION("""COMPUTED_VALUE"""),2)</f>
        <v>2</v>
      </c>
      <c r="E10023" s="2">
        <f ca="1">IFERROR(__xludf.DUMMYFUNCTION("""COMPUTED_VALUE"""),1)</f>
        <v>1</v>
      </c>
    </row>
    <row r="10024" spans="1:5" ht="13">
      <c r="A10024" s="2" t="str">
        <f ca="1">IFERROR(__xludf.DUMMYFUNCTION("""COMPUTED_VALUE"""),"Ross, Elaine")</f>
        <v>Ross, Elaine</v>
      </c>
      <c r="B10024" s="2">
        <f ca="1">IFERROR(__xludf.DUMMYFUNCTION("""COMPUTED_VALUE"""),2)</f>
        <v>2</v>
      </c>
      <c r="C10024" s="7">
        <f ca="1">IFERROR(__xludf.DUMMYFUNCTION("""COMPUTED_VALUE"""),2)</f>
        <v>2</v>
      </c>
      <c r="D10024" s="8">
        <f ca="1">IFERROR(__xludf.DUMMYFUNCTION("""COMPUTED_VALUE"""),2)</f>
        <v>2</v>
      </c>
      <c r="E10024" s="2">
        <f ca="1">IFERROR(__xludf.DUMMYFUNCTION("""COMPUTED_VALUE"""),1)</f>
        <v>1</v>
      </c>
    </row>
    <row r="10025" spans="1:5" ht="13">
      <c r="A10025" s="2" t="str">
        <f ca="1">IFERROR(__xludf.DUMMYFUNCTION("""COMPUTED_VALUE"""),"Rosselli, Susan")</f>
        <v>Rosselli, Susan</v>
      </c>
      <c r="B10025" s="3">
        <f ca="1">IFERROR(__xludf.DUMMYFUNCTION("""COMPUTED_VALUE"""),2)</f>
        <v>2</v>
      </c>
      <c r="C10025" s="7">
        <f ca="1">IFERROR(__xludf.DUMMYFUNCTION("""COMPUTED_VALUE"""),2)</f>
        <v>2</v>
      </c>
      <c r="D10025" s="8">
        <f ca="1">IFERROR(__xludf.DUMMYFUNCTION("""COMPUTED_VALUE"""),2)</f>
        <v>2</v>
      </c>
      <c r="E10025" s="2">
        <f ca="1">IFERROR(__xludf.DUMMYFUNCTION("""COMPUTED_VALUE"""),1)</f>
        <v>1</v>
      </c>
    </row>
    <row r="10026" spans="1:5" ht="13">
      <c r="A10026" s="2" t="str">
        <f ca="1">IFERROR(__xludf.DUMMYFUNCTION("""COMPUTED_VALUE"""),"Rossetti, Christina")</f>
        <v>Rossetti, Christina</v>
      </c>
      <c r="B10026" s="3">
        <f ca="1">IFERROR(__xludf.DUMMYFUNCTION("""COMPUTED_VALUE"""),2)</f>
        <v>2</v>
      </c>
      <c r="C10026" s="7">
        <f ca="1">IFERROR(__xludf.DUMMYFUNCTION("""COMPUTED_VALUE"""),2)</f>
        <v>2</v>
      </c>
      <c r="D10026" s="8">
        <f ca="1">IFERROR(__xludf.DUMMYFUNCTION("""COMPUTED_VALUE"""),6)</f>
        <v>6</v>
      </c>
      <c r="E10026" s="2">
        <f ca="1">IFERROR(__xludf.DUMMYFUNCTION("""COMPUTED_VALUE"""),2)</f>
        <v>2</v>
      </c>
    </row>
    <row r="10027" spans="1:5" ht="13">
      <c r="A10027" s="2" t="str">
        <f ca="1">IFERROR(__xludf.DUMMYFUNCTION("""COMPUTED_VALUE"""),"Rossiter, Rebecca")</f>
        <v>Rossiter, Rebecca</v>
      </c>
      <c r="B10027" s="3">
        <f ca="1">IFERROR(__xludf.DUMMYFUNCTION("""COMPUTED_VALUE"""),2)</f>
        <v>2</v>
      </c>
      <c r="C10027" s="7">
        <f ca="1">IFERROR(__xludf.DUMMYFUNCTION("""COMPUTED_VALUE"""),2)</f>
        <v>2</v>
      </c>
      <c r="D10027" s="8">
        <f ca="1">IFERROR(__xludf.DUMMYFUNCTION("""COMPUTED_VALUE"""),2)</f>
        <v>2</v>
      </c>
      <c r="E10027" s="2">
        <f ca="1">IFERROR(__xludf.DUMMYFUNCTION("""COMPUTED_VALUE"""),1)</f>
        <v>1</v>
      </c>
    </row>
    <row r="10028" spans="1:5" ht="13">
      <c r="A10028" s="2" t="str">
        <f ca="1">IFERROR(__xludf.DUMMYFUNCTION("""COMPUTED_VALUE"""),"Roth, Melissa")</f>
        <v>Roth, Melissa</v>
      </c>
      <c r="B10028" s="3">
        <f ca="1">IFERROR(__xludf.DUMMYFUNCTION("""COMPUTED_VALUE"""),2)</f>
        <v>2</v>
      </c>
      <c r="C10028" s="7">
        <f ca="1">IFERROR(__xludf.DUMMYFUNCTION("""COMPUTED_VALUE"""),2)</f>
        <v>2</v>
      </c>
      <c r="D10028" s="8">
        <f ca="1">IFERROR(__xludf.DUMMYFUNCTION("""COMPUTED_VALUE"""),2)</f>
        <v>2</v>
      </c>
      <c r="E10028" s="2">
        <f ca="1">IFERROR(__xludf.DUMMYFUNCTION("""COMPUTED_VALUE"""),1)</f>
        <v>1</v>
      </c>
    </row>
    <row r="10029" spans="1:5" ht="13">
      <c r="A10029" s="8" t="str">
        <f ca="1">IFERROR(__xludf.DUMMYFUNCTION("""COMPUTED_VALUE"""),"Rottsolk, Rebecca")</f>
        <v>Rottsolk, Rebecca</v>
      </c>
      <c r="B10029" s="3">
        <f ca="1">IFERROR(__xludf.DUMMYFUNCTION("""COMPUTED_VALUE"""),2)</f>
        <v>2</v>
      </c>
      <c r="C10029" s="7">
        <f ca="1">IFERROR(__xludf.DUMMYFUNCTION("""COMPUTED_VALUE"""),2)</f>
        <v>2</v>
      </c>
      <c r="D10029" s="8">
        <f ca="1">IFERROR(__xludf.DUMMYFUNCTION("""COMPUTED_VALUE"""),2)</f>
        <v>2</v>
      </c>
      <c r="E10029" s="2">
        <f ca="1">IFERROR(__xludf.DUMMYFUNCTION("""COMPUTED_VALUE"""),1)</f>
        <v>1</v>
      </c>
    </row>
    <row r="10030" spans="1:5" ht="13">
      <c r="A10030" s="2" t="str">
        <f ca="1">IFERROR(__xludf.DUMMYFUNCTION("""COMPUTED_VALUE"""),"Roueche, Michelle")</f>
        <v>Roueche, Michelle</v>
      </c>
      <c r="B10030" s="2">
        <f ca="1">IFERROR(__xludf.DUMMYFUNCTION("""COMPUTED_VALUE"""),2)</f>
        <v>2</v>
      </c>
      <c r="C10030" s="7">
        <f ca="1">IFERROR(__xludf.DUMMYFUNCTION("""COMPUTED_VALUE"""),2)</f>
        <v>2</v>
      </c>
      <c r="D10030" s="8">
        <f ca="1">IFERROR(__xludf.DUMMYFUNCTION("""COMPUTED_VALUE"""),2)</f>
        <v>2</v>
      </c>
      <c r="E10030" s="2">
        <f ca="1">IFERROR(__xludf.DUMMYFUNCTION("""COMPUTED_VALUE"""),1)</f>
        <v>1</v>
      </c>
    </row>
    <row r="10031" spans="1:5" ht="13">
      <c r="A10031" s="2" t="str">
        <f ca="1">IFERROR(__xludf.DUMMYFUNCTION("""COMPUTED_VALUE"""),"Rouse, Joyce Johnson")</f>
        <v>Rouse, Joyce Johnson</v>
      </c>
      <c r="B10031" s="3">
        <f ca="1">IFERROR(__xludf.DUMMYFUNCTION("""COMPUTED_VALUE"""),2)</f>
        <v>2</v>
      </c>
      <c r="C10031" s="7">
        <f ca="1">IFERROR(__xludf.DUMMYFUNCTION("""COMPUTED_VALUE"""),2)</f>
        <v>2</v>
      </c>
      <c r="D10031" s="8">
        <f ca="1">IFERROR(__xludf.DUMMYFUNCTION("""COMPUTED_VALUE"""),2)</f>
        <v>2</v>
      </c>
      <c r="E10031" s="2">
        <f ca="1">IFERROR(__xludf.DUMMYFUNCTION("""COMPUTED_VALUE"""),1)</f>
        <v>1</v>
      </c>
    </row>
    <row r="10032" spans="1:5" ht="13">
      <c r="A10032" s="2" t="str">
        <f ca="1">IFERROR(__xludf.DUMMYFUNCTION("""COMPUTED_VALUE"""),"Roussanova, Elena")</f>
        <v>Roussanova, Elena</v>
      </c>
      <c r="B10032" s="3">
        <f ca="1">IFERROR(__xludf.DUMMYFUNCTION("""COMPUTED_VALUE"""),2)</f>
        <v>2</v>
      </c>
      <c r="C10032" s="7">
        <f ca="1">IFERROR(__xludf.DUMMYFUNCTION("""COMPUTED_VALUE"""),2)</f>
        <v>2</v>
      </c>
      <c r="D10032" s="8">
        <f ca="1">IFERROR(__xludf.DUMMYFUNCTION("""COMPUTED_VALUE"""),2)</f>
        <v>2</v>
      </c>
      <c r="E10032" s="2">
        <f ca="1">IFERROR(__xludf.DUMMYFUNCTION("""COMPUTED_VALUE"""),1)</f>
        <v>1</v>
      </c>
    </row>
    <row r="10033" spans="1:5" ht="13">
      <c r="A10033" s="2" t="str">
        <f ca="1">IFERROR(__xludf.DUMMYFUNCTION("""COMPUTED_VALUE"""),"Rowe, Ellen")</f>
        <v>Rowe, Ellen</v>
      </c>
      <c r="B10033" s="2">
        <f ca="1">IFERROR(__xludf.DUMMYFUNCTION("""COMPUTED_VALUE"""),2)</f>
        <v>2</v>
      </c>
      <c r="C10033" s="7">
        <f ca="1">IFERROR(__xludf.DUMMYFUNCTION("""COMPUTED_VALUE"""),2)</f>
        <v>2</v>
      </c>
      <c r="D10033" s="8">
        <f ca="1">IFERROR(__xludf.DUMMYFUNCTION("""COMPUTED_VALUE"""),2)</f>
        <v>2</v>
      </c>
      <c r="E10033" s="2">
        <f ca="1">IFERROR(__xludf.DUMMYFUNCTION("""COMPUTED_VALUE"""),1)</f>
        <v>1</v>
      </c>
    </row>
    <row r="10034" spans="1:5" ht="13">
      <c r="A10034" s="2" t="str">
        <f ca="1">IFERROR(__xludf.DUMMYFUNCTION("""COMPUTED_VALUE"""),"Rowe, Phyllis")</f>
        <v>Rowe, Phyllis</v>
      </c>
      <c r="B10034" s="2">
        <f ca="1">IFERROR(__xludf.DUMMYFUNCTION("""COMPUTED_VALUE"""),2)</f>
        <v>2</v>
      </c>
      <c r="C10034" s="7">
        <f ca="1">IFERROR(__xludf.DUMMYFUNCTION("""COMPUTED_VALUE"""),2)</f>
        <v>2</v>
      </c>
      <c r="D10034" s="8">
        <f ca="1">IFERROR(__xludf.DUMMYFUNCTION("""COMPUTED_VALUE"""),6)</f>
        <v>6</v>
      </c>
      <c r="E10034" s="2">
        <f ca="1">IFERROR(__xludf.DUMMYFUNCTION("""COMPUTED_VALUE"""),2)</f>
        <v>2</v>
      </c>
    </row>
    <row r="10035" spans="1:5" ht="13">
      <c r="A10035" s="2" t="str">
        <f ca="1">IFERROR(__xludf.DUMMYFUNCTION("""COMPUTED_VALUE"""),"Rudman, Jessica")</f>
        <v>Rudman, Jessica</v>
      </c>
      <c r="B10035" s="3">
        <f ca="1">IFERROR(__xludf.DUMMYFUNCTION("""COMPUTED_VALUE"""),2)</f>
        <v>2</v>
      </c>
      <c r="C10035" s="7">
        <f ca="1">IFERROR(__xludf.DUMMYFUNCTION("""COMPUTED_VALUE"""),2)</f>
        <v>2</v>
      </c>
      <c r="D10035" s="8">
        <f ca="1">IFERROR(__xludf.DUMMYFUNCTION("""COMPUTED_VALUE"""),2)</f>
        <v>2</v>
      </c>
      <c r="E10035" s="2">
        <f ca="1">IFERROR(__xludf.DUMMYFUNCTION("""COMPUTED_VALUE"""),1)</f>
        <v>1</v>
      </c>
    </row>
    <row r="10036" spans="1:5" ht="13">
      <c r="A10036" s="2" t="str">
        <f ca="1">IFERROR(__xludf.DUMMYFUNCTION("""COMPUTED_VALUE"""),"Rudow, Vivian Adelberg")</f>
        <v>Rudow, Vivian Adelberg</v>
      </c>
      <c r="B10036" s="3">
        <f ca="1">IFERROR(__xludf.DUMMYFUNCTION("""COMPUTED_VALUE"""),2)</f>
        <v>2</v>
      </c>
      <c r="C10036" s="7">
        <f ca="1">IFERROR(__xludf.DUMMYFUNCTION("""COMPUTED_VALUE"""),2)</f>
        <v>2</v>
      </c>
      <c r="D10036" s="8">
        <f ca="1">IFERROR(__xludf.DUMMYFUNCTION("""COMPUTED_VALUE"""),2)</f>
        <v>2</v>
      </c>
      <c r="E10036" s="2">
        <f ca="1">IFERROR(__xludf.DUMMYFUNCTION("""COMPUTED_VALUE"""),1)</f>
        <v>1</v>
      </c>
    </row>
    <row r="10037" spans="1:5" ht="13">
      <c r="A10037" s="2" t="str">
        <f ca="1">IFERROR(__xludf.DUMMYFUNCTION("""COMPUTED_VALUE"""),"Ruehr, Elena")</f>
        <v>Ruehr, Elena</v>
      </c>
      <c r="B10037" s="3">
        <f ca="1">IFERROR(__xludf.DUMMYFUNCTION("""COMPUTED_VALUE"""),2)</f>
        <v>2</v>
      </c>
      <c r="C10037" s="7">
        <f ca="1">IFERROR(__xludf.DUMMYFUNCTION("""COMPUTED_VALUE"""),2)</f>
        <v>2</v>
      </c>
      <c r="D10037" s="8">
        <f ca="1">IFERROR(__xludf.DUMMYFUNCTION("""COMPUTED_VALUE"""),2)</f>
        <v>2</v>
      </c>
      <c r="E10037" s="2">
        <f ca="1">IFERROR(__xludf.DUMMYFUNCTION("""COMPUTED_VALUE"""),1)</f>
        <v>1</v>
      </c>
    </row>
    <row r="10038" spans="1:5" ht="13">
      <c r="A10038" s="2" t="str">
        <f ca="1">IFERROR(__xludf.DUMMYFUNCTION("""COMPUTED_VALUE"""),"Runkle, Patricia McKernon")</f>
        <v>Runkle, Patricia McKernon</v>
      </c>
      <c r="B10038" s="3">
        <f ca="1">IFERROR(__xludf.DUMMYFUNCTION("""COMPUTED_VALUE"""),2)</f>
        <v>2</v>
      </c>
      <c r="C10038" s="7">
        <f ca="1">IFERROR(__xludf.DUMMYFUNCTION("""COMPUTED_VALUE"""),2)</f>
        <v>2</v>
      </c>
      <c r="D10038" s="8">
        <f ca="1">IFERROR(__xludf.DUMMYFUNCTION("""COMPUTED_VALUE"""),2)</f>
        <v>2</v>
      </c>
      <c r="E10038" s="2">
        <f ca="1">IFERROR(__xludf.DUMMYFUNCTION("""COMPUTED_VALUE"""),1)</f>
        <v>1</v>
      </c>
    </row>
    <row r="10039" spans="1:5" ht="13">
      <c r="A10039" s="2" t="str">
        <f ca="1">IFERROR(__xludf.DUMMYFUNCTION("""COMPUTED_VALUE"""),"Rusby, Kate")</f>
        <v>Rusby, Kate</v>
      </c>
      <c r="B10039" s="2">
        <f ca="1">IFERROR(__xludf.DUMMYFUNCTION("""COMPUTED_VALUE"""),2)</f>
        <v>2</v>
      </c>
      <c r="C10039" s="7">
        <f ca="1">IFERROR(__xludf.DUMMYFUNCTION("""COMPUTED_VALUE"""),2)</f>
        <v>2</v>
      </c>
      <c r="D10039" s="8">
        <f ca="1">IFERROR(__xludf.DUMMYFUNCTION("""COMPUTED_VALUE"""),2)</f>
        <v>2</v>
      </c>
      <c r="E10039" s="2">
        <f ca="1">IFERROR(__xludf.DUMMYFUNCTION("""COMPUTED_VALUE"""),1)</f>
        <v>1</v>
      </c>
    </row>
    <row r="10040" spans="1:5" ht="13">
      <c r="A10040" s="8" t="str">
        <f ca="1">IFERROR(__xludf.DUMMYFUNCTION("""COMPUTED_VALUE"""),"Rush, Tracy")</f>
        <v>Rush, Tracy</v>
      </c>
      <c r="B10040" s="3">
        <f ca="1">IFERROR(__xludf.DUMMYFUNCTION("""COMPUTED_VALUE"""),2)</f>
        <v>2</v>
      </c>
      <c r="C10040" s="7">
        <f ca="1">IFERROR(__xludf.DUMMYFUNCTION("""COMPUTED_VALUE"""),2)</f>
        <v>2</v>
      </c>
      <c r="D10040" s="8">
        <f ca="1">IFERROR(__xludf.DUMMYFUNCTION("""COMPUTED_VALUE"""),2)</f>
        <v>2</v>
      </c>
      <c r="E10040" s="2">
        <f ca="1">IFERROR(__xludf.DUMMYFUNCTION("""COMPUTED_VALUE"""),1)</f>
        <v>1</v>
      </c>
    </row>
    <row r="10041" spans="1:5" ht="13">
      <c r="A10041" s="2" t="str">
        <f ca="1">IFERROR(__xludf.DUMMYFUNCTION("""COMPUTED_VALUE"""),"Rusnak, Christina")</f>
        <v>Rusnak, Christina</v>
      </c>
      <c r="B10041" s="3">
        <f ca="1">IFERROR(__xludf.DUMMYFUNCTION("""COMPUTED_VALUE"""),2)</f>
        <v>2</v>
      </c>
      <c r="C10041" s="7">
        <f ca="1">IFERROR(__xludf.DUMMYFUNCTION("""COMPUTED_VALUE"""),2)</f>
        <v>2</v>
      </c>
      <c r="D10041" s="8">
        <f ca="1">IFERROR(__xludf.DUMMYFUNCTION("""COMPUTED_VALUE"""),2)</f>
        <v>2</v>
      </c>
      <c r="E10041" s="2">
        <f ca="1">IFERROR(__xludf.DUMMYFUNCTION("""COMPUTED_VALUE"""),1)</f>
        <v>1</v>
      </c>
    </row>
    <row r="10042" spans="1:5" ht="13">
      <c r="A10042" s="2" t="str">
        <f ca="1">IFERROR(__xludf.DUMMYFUNCTION("""COMPUTED_VALUE"""),"Rykova, Elena")</f>
        <v>Rykova, Elena</v>
      </c>
      <c r="B10042" s="3">
        <f ca="1">IFERROR(__xludf.DUMMYFUNCTION("""COMPUTED_VALUE"""),2)</f>
        <v>2</v>
      </c>
      <c r="C10042" s="7">
        <f ca="1">IFERROR(__xludf.DUMMYFUNCTION("""COMPUTED_VALUE"""),2)</f>
        <v>2</v>
      </c>
      <c r="D10042" s="8">
        <f ca="1">IFERROR(__xludf.DUMMYFUNCTION("""COMPUTED_VALUE"""),2)</f>
        <v>2</v>
      </c>
      <c r="E10042" s="2">
        <f ca="1">IFERROR(__xludf.DUMMYFUNCTION("""COMPUTED_VALUE"""),1)</f>
        <v>1</v>
      </c>
    </row>
    <row r="10043" spans="1:5" ht="13">
      <c r="A10043" s="2" t="str">
        <f ca="1">IFERROR(__xludf.DUMMYFUNCTION("""COMPUTED_VALUE"""),"Saariaho, Kaija")</f>
        <v>Saariaho, Kaija</v>
      </c>
      <c r="B10043" s="3">
        <f ca="1">IFERROR(__xludf.DUMMYFUNCTION("""COMPUTED_VALUE"""),2)</f>
        <v>2</v>
      </c>
      <c r="C10043" s="7">
        <f ca="1">IFERROR(__xludf.DUMMYFUNCTION("""COMPUTED_VALUE"""),2)</f>
        <v>2</v>
      </c>
      <c r="D10043" s="8">
        <f ca="1">IFERROR(__xludf.DUMMYFUNCTION("""COMPUTED_VALUE"""),2)</f>
        <v>2</v>
      </c>
      <c r="E10043" s="2">
        <f ca="1">IFERROR(__xludf.DUMMYFUNCTION("""COMPUTED_VALUE"""),1)</f>
        <v>1</v>
      </c>
    </row>
    <row r="10044" spans="1:5" ht="13">
      <c r="A10044" s="8" t="str">
        <f ca="1">IFERROR(__xludf.DUMMYFUNCTION("""COMPUTED_VALUE"""),"Sadlier, Lelia")</f>
        <v>Sadlier, Lelia</v>
      </c>
      <c r="B10044" s="3">
        <f ca="1">IFERROR(__xludf.DUMMYFUNCTION("""COMPUTED_VALUE"""),2)</f>
        <v>2</v>
      </c>
      <c r="C10044" s="7">
        <f ca="1">IFERROR(__xludf.DUMMYFUNCTION("""COMPUTED_VALUE"""),2)</f>
        <v>2</v>
      </c>
      <c r="D10044" s="8">
        <f ca="1">IFERROR(__xludf.DUMMYFUNCTION("""COMPUTED_VALUE"""),2)</f>
        <v>2</v>
      </c>
      <c r="E10044" s="2">
        <f ca="1">IFERROR(__xludf.DUMMYFUNCTION("""COMPUTED_VALUE"""),1)</f>
        <v>1</v>
      </c>
    </row>
    <row r="10045" spans="1:5" ht="13">
      <c r="A10045" s="2" t="str">
        <f ca="1">IFERROR(__xludf.DUMMYFUNCTION("""COMPUTED_VALUE"""),"Saindon, Marie-Claire")</f>
        <v>Saindon, Marie-Claire</v>
      </c>
      <c r="B10045" s="2">
        <f ca="1">IFERROR(__xludf.DUMMYFUNCTION("""COMPUTED_VALUE"""),2)</f>
        <v>2</v>
      </c>
      <c r="C10045" s="7">
        <f ca="1">IFERROR(__xludf.DUMMYFUNCTION("""COMPUTED_VALUE"""),2)</f>
        <v>2</v>
      </c>
      <c r="D10045" s="8">
        <f ca="1">IFERROR(__xludf.DUMMYFUNCTION("""COMPUTED_VALUE"""),2)</f>
        <v>2</v>
      </c>
      <c r="E10045" s="2">
        <f ca="1">IFERROR(__xludf.DUMMYFUNCTION("""COMPUTED_VALUE"""),1)</f>
        <v>1</v>
      </c>
    </row>
    <row r="10046" spans="1:5" ht="13">
      <c r="A10046" s="2" t="str">
        <f ca="1">IFERROR(__xludf.DUMMYFUNCTION("""COMPUTED_VALUE"""),"Salfelder, Kate")</f>
        <v>Salfelder, Kate</v>
      </c>
      <c r="B10046" s="3">
        <f ca="1">IFERROR(__xludf.DUMMYFUNCTION("""COMPUTED_VALUE"""),2)</f>
        <v>2</v>
      </c>
      <c r="C10046" s="7">
        <f ca="1">IFERROR(__xludf.DUMMYFUNCTION("""COMPUTED_VALUE"""),2)</f>
        <v>2</v>
      </c>
      <c r="D10046" s="8">
        <f ca="1">IFERROR(__xludf.DUMMYFUNCTION("""COMPUTED_VALUE"""),2)</f>
        <v>2</v>
      </c>
      <c r="E10046" s="2">
        <f ca="1">IFERROR(__xludf.DUMMYFUNCTION("""COMPUTED_VALUE"""),1)</f>
        <v>1</v>
      </c>
    </row>
    <row r="10047" spans="1:5" ht="13">
      <c r="A10047" s="2" t="str">
        <f ca="1">IFERROR(__xludf.DUMMYFUNCTION("""COMPUTED_VALUE"""),"Salfelder, Kathryn")</f>
        <v>Salfelder, Kathryn</v>
      </c>
      <c r="B10047" s="3">
        <f ca="1">IFERROR(__xludf.DUMMYFUNCTION("""COMPUTED_VALUE"""),2)</f>
        <v>2</v>
      </c>
      <c r="C10047" s="7">
        <f ca="1">IFERROR(__xludf.DUMMYFUNCTION("""COMPUTED_VALUE"""),2)</f>
        <v>2</v>
      </c>
      <c r="D10047" s="8">
        <f ca="1">IFERROR(__xludf.DUMMYFUNCTION("""COMPUTED_VALUE"""),2)</f>
        <v>2</v>
      </c>
      <c r="E10047" s="2">
        <f ca="1">IFERROR(__xludf.DUMMYFUNCTION("""COMPUTED_VALUE"""),1)</f>
        <v>1</v>
      </c>
    </row>
    <row r="10048" spans="1:5" ht="13">
      <c r="A10048" s="2" t="str">
        <f ca="1">IFERROR(__xludf.DUMMYFUNCTION("""COMPUTED_VALUE"""),"Sampson, Jamie Leigh")</f>
        <v>Sampson, Jamie Leigh</v>
      </c>
      <c r="B10048" s="3">
        <f ca="1">IFERROR(__xludf.DUMMYFUNCTION("""COMPUTED_VALUE"""),2)</f>
        <v>2</v>
      </c>
      <c r="C10048" s="7">
        <f ca="1">IFERROR(__xludf.DUMMYFUNCTION("""COMPUTED_VALUE"""),2)</f>
        <v>2</v>
      </c>
      <c r="D10048" s="8">
        <f ca="1">IFERROR(__xludf.DUMMYFUNCTION("""COMPUTED_VALUE"""),2)</f>
        <v>2</v>
      </c>
      <c r="E10048" s="2">
        <f ca="1">IFERROR(__xludf.DUMMYFUNCTION("""COMPUTED_VALUE"""),1)</f>
        <v>1</v>
      </c>
    </row>
    <row r="10049" spans="1:5" ht="13">
      <c r="A10049" s="2" t="str">
        <f ca="1">IFERROR(__xludf.DUMMYFUNCTION("""COMPUTED_VALUE"""),"Samuel, Rhian")</f>
        <v>Samuel, Rhian</v>
      </c>
      <c r="B10049" s="2">
        <f ca="1">IFERROR(__xludf.DUMMYFUNCTION("""COMPUTED_VALUE"""),2)</f>
        <v>2</v>
      </c>
      <c r="C10049" s="2">
        <f ca="1">IFERROR(__xludf.DUMMYFUNCTION("""COMPUTED_VALUE"""),2)</f>
        <v>2</v>
      </c>
      <c r="D10049" s="8">
        <f ca="1">IFERROR(__xludf.DUMMYFUNCTION("""COMPUTED_VALUE"""),2)</f>
        <v>2</v>
      </c>
      <c r="E10049" s="2">
        <f ca="1">IFERROR(__xludf.DUMMYFUNCTION("""COMPUTED_VALUE"""),1)</f>
        <v>1</v>
      </c>
    </row>
    <row r="10050" spans="1:5" ht="13">
      <c r="A10050" s="2" t="str">
        <f ca="1">IFERROR(__xludf.DUMMYFUNCTION("""COMPUTED_VALUE"""),"San Martin, Laurie")</f>
        <v>San Martin, Laurie</v>
      </c>
      <c r="B10050" s="3">
        <f ca="1">IFERROR(__xludf.DUMMYFUNCTION("""COMPUTED_VALUE"""),2)</f>
        <v>2</v>
      </c>
      <c r="C10050" s="7">
        <f ca="1">IFERROR(__xludf.DUMMYFUNCTION("""COMPUTED_VALUE"""),2)</f>
        <v>2</v>
      </c>
      <c r="D10050" s="8">
        <f ca="1">IFERROR(__xludf.DUMMYFUNCTION("""COMPUTED_VALUE"""),2)</f>
        <v>2</v>
      </c>
      <c r="E10050" s="2">
        <f ca="1">IFERROR(__xludf.DUMMYFUNCTION("""COMPUTED_VALUE"""),1)</f>
        <v>1</v>
      </c>
    </row>
    <row r="10051" spans="1:5" ht="13">
      <c r="A10051" s="8" t="str">
        <f ca="1">IFERROR(__xludf.DUMMYFUNCTION("""COMPUTED_VALUE"""),"Sanborn, Jan")</f>
        <v>Sanborn, Jan</v>
      </c>
      <c r="B10051" s="3">
        <f ca="1">IFERROR(__xludf.DUMMYFUNCTION("""COMPUTED_VALUE"""),2)</f>
        <v>2</v>
      </c>
      <c r="C10051" s="7">
        <f ca="1">IFERROR(__xludf.DUMMYFUNCTION("""COMPUTED_VALUE"""),2)</f>
        <v>2</v>
      </c>
      <c r="D10051" s="8">
        <f ca="1">IFERROR(__xludf.DUMMYFUNCTION("""COMPUTED_VALUE"""),2)</f>
        <v>2</v>
      </c>
      <c r="E10051" s="2">
        <f ca="1">IFERROR(__xludf.DUMMYFUNCTION("""COMPUTED_VALUE"""),1)</f>
        <v>1</v>
      </c>
    </row>
    <row r="10052" spans="1:5" ht="13">
      <c r="A10052" s="8" t="str">
        <f ca="1">IFERROR(__xludf.DUMMYFUNCTION("""COMPUTED_VALUE"""),"Sandberg, Rhonda")</f>
        <v>Sandberg, Rhonda</v>
      </c>
      <c r="B10052" s="3">
        <f ca="1">IFERROR(__xludf.DUMMYFUNCTION("""COMPUTED_VALUE"""),2)</f>
        <v>2</v>
      </c>
      <c r="C10052" s="7">
        <f ca="1">IFERROR(__xludf.DUMMYFUNCTION("""COMPUTED_VALUE"""),2)</f>
        <v>2</v>
      </c>
      <c r="D10052" s="8">
        <f ca="1">IFERROR(__xludf.DUMMYFUNCTION("""COMPUTED_VALUE"""),2)</f>
        <v>2</v>
      </c>
      <c r="E10052" s="2">
        <f ca="1">IFERROR(__xludf.DUMMYFUNCTION("""COMPUTED_VALUE"""),1)</f>
        <v>1</v>
      </c>
    </row>
    <row r="10053" spans="1:5" ht="13">
      <c r="A10053" s="2" t="str">
        <f ca="1">IFERROR(__xludf.DUMMYFUNCTION("""COMPUTED_VALUE"""),"Sandbert, Rhonda")</f>
        <v>Sandbert, Rhonda</v>
      </c>
      <c r="B10053" s="3">
        <f ca="1">IFERROR(__xludf.DUMMYFUNCTION("""COMPUTED_VALUE"""),2)</f>
        <v>2</v>
      </c>
      <c r="C10053" s="7">
        <f ca="1">IFERROR(__xludf.DUMMYFUNCTION("""COMPUTED_VALUE"""),2)</f>
        <v>2</v>
      </c>
      <c r="D10053" s="8">
        <f ca="1">IFERROR(__xludf.DUMMYFUNCTION("""COMPUTED_VALUE"""),2)</f>
        <v>2</v>
      </c>
      <c r="E10053" s="2">
        <f ca="1">IFERROR(__xludf.DUMMYFUNCTION("""COMPUTED_VALUE"""),1)</f>
        <v>1</v>
      </c>
    </row>
    <row r="10054" spans="1:5" ht="13">
      <c r="A10054" s="2" t="str">
        <f ca="1">IFERROR(__xludf.DUMMYFUNCTION("""COMPUTED_VALUE"""),"Sandler, Felicia")</f>
        <v>Sandler, Felicia</v>
      </c>
      <c r="B10054" s="3">
        <f ca="1">IFERROR(__xludf.DUMMYFUNCTION("""COMPUTED_VALUE"""),2)</f>
        <v>2</v>
      </c>
      <c r="C10054" s="7">
        <f ca="1">IFERROR(__xludf.DUMMYFUNCTION("""COMPUTED_VALUE"""),2)</f>
        <v>2</v>
      </c>
      <c r="D10054" s="8">
        <f ca="1">IFERROR(__xludf.DUMMYFUNCTION("""COMPUTED_VALUE"""),2)</f>
        <v>2</v>
      </c>
      <c r="E10054" s="2">
        <f ca="1">IFERROR(__xludf.DUMMYFUNCTION("""COMPUTED_VALUE"""),1)</f>
        <v>1</v>
      </c>
    </row>
    <row r="10055" spans="1:5" ht="13">
      <c r="A10055" s="2" t="str">
        <f ca="1">IFERROR(__xludf.DUMMYFUNCTION("""COMPUTED_VALUE"""),"Sandresky, Margaret")</f>
        <v>Sandresky, Margaret</v>
      </c>
      <c r="B10055" s="3">
        <f ca="1">IFERROR(__xludf.DUMMYFUNCTION("""COMPUTED_VALUE"""),2)</f>
        <v>2</v>
      </c>
      <c r="C10055" s="7">
        <f ca="1">IFERROR(__xludf.DUMMYFUNCTION("""COMPUTED_VALUE"""),2)</f>
        <v>2</v>
      </c>
      <c r="D10055" s="8">
        <f ca="1">IFERROR(__xludf.DUMMYFUNCTION("""COMPUTED_VALUE"""),2)</f>
        <v>2</v>
      </c>
      <c r="E10055" s="2">
        <f ca="1">IFERROR(__xludf.DUMMYFUNCTION("""COMPUTED_VALUE"""),1)</f>
        <v>1</v>
      </c>
    </row>
    <row r="10056" spans="1:5" ht="13">
      <c r="A10056" s="8" t="str">
        <f ca="1">IFERROR(__xludf.DUMMYFUNCTION("""COMPUTED_VALUE"""),"Sanfilippo, Margaret")</f>
        <v>Sanfilippo, Margaret</v>
      </c>
      <c r="B10056" s="3">
        <f ca="1">IFERROR(__xludf.DUMMYFUNCTION("""COMPUTED_VALUE"""),2)</f>
        <v>2</v>
      </c>
      <c r="C10056" s="7">
        <f ca="1">IFERROR(__xludf.DUMMYFUNCTION("""COMPUTED_VALUE"""),2)</f>
        <v>2</v>
      </c>
      <c r="D10056" s="8">
        <f ca="1">IFERROR(__xludf.DUMMYFUNCTION("""COMPUTED_VALUE"""),6)</f>
        <v>6</v>
      </c>
      <c r="E10056" s="2">
        <f ca="1">IFERROR(__xludf.DUMMYFUNCTION("""COMPUTED_VALUE"""),2)</f>
        <v>2</v>
      </c>
    </row>
    <row r="10057" spans="1:5" ht="13">
      <c r="A10057" s="2" t="str">
        <f ca="1">IFERROR(__xludf.DUMMYFUNCTION("""COMPUTED_VALUE"""),"Santa Cruz, Sarah")</f>
        <v>Santa Cruz, Sarah</v>
      </c>
      <c r="B10057" s="3">
        <f ca="1">IFERROR(__xludf.DUMMYFUNCTION("""COMPUTED_VALUE"""),2)</f>
        <v>2</v>
      </c>
      <c r="C10057" s="7">
        <f ca="1">IFERROR(__xludf.DUMMYFUNCTION("""COMPUTED_VALUE"""),2)</f>
        <v>2</v>
      </c>
      <c r="D10057" s="8">
        <f ca="1">IFERROR(__xludf.DUMMYFUNCTION("""COMPUTED_VALUE"""),2)</f>
        <v>2</v>
      </c>
      <c r="E10057" s="2">
        <f ca="1">IFERROR(__xludf.DUMMYFUNCTION("""COMPUTED_VALUE"""),1)</f>
        <v>1</v>
      </c>
    </row>
    <row r="10058" spans="1:5" ht="13">
      <c r="A10058" s="2" t="str">
        <f ca="1">IFERROR(__xludf.DUMMYFUNCTION("""COMPUTED_VALUE"""),"Scarcella, Janet")</f>
        <v>Scarcella, Janet</v>
      </c>
      <c r="B10058" s="3">
        <f ca="1">IFERROR(__xludf.DUMMYFUNCTION("""COMPUTED_VALUE"""),2)</f>
        <v>2</v>
      </c>
      <c r="C10058" s="7">
        <f ca="1">IFERROR(__xludf.DUMMYFUNCTION("""COMPUTED_VALUE"""),2)</f>
        <v>2</v>
      </c>
      <c r="D10058" s="8">
        <f ca="1">IFERROR(__xludf.DUMMYFUNCTION("""COMPUTED_VALUE"""),2)</f>
        <v>2</v>
      </c>
      <c r="E10058" s="2">
        <f ca="1">IFERROR(__xludf.DUMMYFUNCTION("""COMPUTED_VALUE"""),1)</f>
        <v>1</v>
      </c>
    </row>
    <row r="10059" spans="1:5" ht="13">
      <c r="A10059" s="8" t="str">
        <f ca="1">IFERROR(__xludf.DUMMYFUNCTION("""COMPUTED_VALUE"""),"Schiffer, Sophia")</f>
        <v>Schiffer, Sophia</v>
      </c>
      <c r="B10059" s="3">
        <f ca="1">IFERROR(__xludf.DUMMYFUNCTION("""COMPUTED_VALUE"""),2)</f>
        <v>2</v>
      </c>
      <c r="C10059" s="7">
        <f ca="1">IFERROR(__xludf.DUMMYFUNCTION("""COMPUTED_VALUE"""),2)</f>
        <v>2</v>
      </c>
      <c r="D10059" s="8">
        <f ca="1">IFERROR(__xludf.DUMMYFUNCTION("""COMPUTED_VALUE"""),2)</f>
        <v>2</v>
      </c>
      <c r="E10059" s="2">
        <f ca="1">IFERROR(__xludf.DUMMYFUNCTION("""COMPUTED_VALUE"""),1)</f>
        <v>1</v>
      </c>
    </row>
    <row r="10060" spans="1:5" ht="13">
      <c r="A10060" s="2" t="str">
        <f ca="1">IFERROR(__xludf.DUMMYFUNCTION("""COMPUTED_VALUE"""),"Schmidt, Carolyn / Wright, David")</f>
        <v>Schmidt, Carolyn / Wright, David</v>
      </c>
      <c r="B10060" s="3">
        <f ca="1">IFERROR(__xludf.DUMMYFUNCTION("""COMPUTED_VALUE"""),2)</f>
        <v>2</v>
      </c>
      <c r="C10060" s="7">
        <f ca="1">IFERROR(__xludf.DUMMYFUNCTION("""COMPUTED_VALUE"""),2)</f>
        <v>2</v>
      </c>
      <c r="D10060" s="8">
        <f ca="1">IFERROR(__xludf.DUMMYFUNCTION("""COMPUTED_VALUE"""),2)</f>
        <v>2</v>
      </c>
      <c r="E10060" s="2">
        <f ca="1">IFERROR(__xludf.DUMMYFUNCTION("""COMPUTED_VALUE"""),1)</f>
        <v>1</v>
      </c>
    </row>
    <row r="10061" spans="1:5" ht="13">
      <c r="A10061" s="2" t="str">
        <f ca="1">IFERROR(__xludf.DUMMYFUNCTION("""COMPUTED_VALUE"""),"Schmidt, Heather")</f>
        <v>Schmidt, Heather</v>
      </c>
      <c r="B10061" s="3">
        <f ca="1">IFERROR(__xludf.DUMMYFUNCTION("""COMPUTED_VALUE"""),2)</f>
        <v>2</v>
      </c>
      <c r="C10061" s="7">
        <f ca="1">IFERROR(__xludf.DUMMYFUNCTION("""COMPUTED_VALUE"""),2)</f>
        <v>2</v>
      </c>
      <c r="D10061" s="8">
        <f ca="1">IFERROR(__xludf.DUMMYFUNCTION("""COMPUTED_VALUE"""),2)</f>
        <v>2</v>
      </c>
      <c r="E10061" s="2">
        <f ca="1">IFERROR(__xludf.DUMMYFUNCTION("""COMPUTED_VALUE"""),1)</f>
        <v>1</v>
      </c>
    </row>
    <row r="10062" spans="1:5" ht="13">
      <c r="A10062" s="2" t="str">
        <f ca="1">IFERROR(__xludf.DUMMYFUNCTION("""COMPUTED_VALUE"""),"Schneckenburger, Lissa")</f>
        <v>Schneckenburger, Lissa</v>
      </c>
      <c r="B10062" s="2">
        <f ca="1">IFERROR(__xludf.DUMMYFUNCTION("""COMPUTED_VALUE"""),2)</f>
        <v>2</v>
      </c>
      <c r="C10062" s="7">
        <f ca="1">IFERROR(__xludf.DUMMYFUNCTION("""COMPUTED_VALUE"""),2)</f>
        <v>2</v>
      </c>
      <c r="D10062" s="8">
        <f ca="1">IFERROR(__xludf.DUMMYFUNCTION("""COMPUTED_VALUE"""),2)</f>
        <v>2</v>
      </c>
      <c r="E10062" s="2">
        <f ca="1">IFERROR(__xludf.DUMMYFUNCTION("""COMPUTED_VALUE"""),1)</f>
        <v>1</v>
      </c>
    </row>
    <row r="10063" spans="1:5" ht="13">
      <c r="A10063" s="2" t="str">
        <f ca="1">IFERROR(__xludf.DUMMYFUNCTION("""COMPUTED_VALUE"""),"Schneider, Maria")</f>
        <v>Schneider, Maria</v>
      </c>
      <c r="B10063" s="3">
        <f ca="1">IFERROR(__xludf.DUMMYFUNCTION("""COMPUTED_VALUE"""),2)</f>
        <v>2</v>
      </c>
      <c r="C10063" s="7">
        <f ca="1">IFERROR(__xludf.DUMMYFUNCTION("""COMPUTED_VALUE"""),2)</f>
        <v>2</v>
      </c>
      <c r="D10063" s="8">
        <f ca="1">IFERROR(__xludf.DUMMYFUNCTION("""COMPUTED_VALUE"""),2)</f>
        <v>2</v>
      </c>
      <c r="E10063" s="2">
        <f ca="1">IFERROR(__xludf.DUMMYFUNCTION("""COMPUTED_VALUE"""),1)</f>
        <v>1</v>
      </c>
    </row>
    <row r="10064" spans="1:5" ht="13">
      <c r="A10064" s="2" t="str">
        <f ca="1">IFERROR(__xludf.DUMMYFUNCTION("""COMPUTED_VALUE"""),"Schram, Ruth")</f>
        <v>Schram, Ruth</v>
      </c>
      <c r="B10064" s="2">
        <f ca="1">IFERROR(__xludf.DUMMYFUNCTION("""COMPUTED_VALUE"""),2)</f>
        <v>2</v>
      </c>
      <c r="C10064" s="7">
        <f ca="1">IFERROR(__xludf.DUMMYFUNCTION("""COMPUTED_VALUE"""),2)</f>
        <v>2</v>
      </c>
      <c r="D10064" s="8">
        <f ca="1">IFERROR(__xludf.DUMMYFUNCTION("""COMPUTED_VALUE"""),2)</f>
        <v>2</v>
      </c>
      <c r="E10064" s="2">
        <f ca="1">IFERROR(__xludf.DUMMYFUNCTION("""COMPUTED_VALUE"""),1)</f>
        <v>1</v>
      </c>
    </row>
    <row r="10065" spans="1:5" ht="13">
      <c r="A10065" s="8" t="str">
        <f ca="1">IFERROR(__xludf.DUMMYFUNCTION("""COMPUTED_VALUE"""),"Schramm, Betsy")</f>
        <v>Schramm, Betsy</v>
      </c>
      <c r="B10065" s="3">
        <f ca="1">IFERROR(__xludf.DUMMYFUNCTION("""COMPUTED_VALUE"""),2)</f>
        <v>2</v>
      </c>
      <c r="C10065" s="7">
        <f ca="1">IFERROR(__xludf.DUMMYFUNCTION("""COMPUTED_VALUE"""),2)</f>
        <v>2</v>
      </c>
      <c r="D10065" s="8">
        <f ca="1">IFERROR(__xludf.DUMMYFUNCTION("""COMPUTED_VALUE"""),2)</f>
        <v>2</v>
      </c>
      <c r="E10065" s="2">
        <f ca="1">IFERROR(__xludf.DUMMYFUNCTION("""COMPUTED_VALUE"""),1)</f>
        <v>1</v>
      </c>
    </row>
    <row r="10066" spans="1:5" ht="13">
      <c r="A10066" s="8" t="str">
        <f ca="1">IFERROR(__xludf.DUMMYFUNCTION("""COMPUTED_VALUE"""),"Schubring, Karalyn")</f>
        <v>Schubring, Karalyn</v>
      </c>
      <c r="B10066" s="3">
        <f ca="1">IFERROR(__xludf.DUMMYFUNCTION("""COMPUTED_VALUE"""),2)</f>
        <v>2</v>
      </c>
      <c r="C10066" s="7">
        <f ca="1">IFERROR(__xludf.DUMMYFUNCTION("""COMPUTED_VALUE"""),2)</f>
        <v>2</v>
      </c>
      <c r="D10066" s="8">
        <f ca="1">IFERROR(__xludf.DUMMYFUNCTION("""COMPUTED_VALUE"""),2)</f>
        <v>2</v>
      </c>
      <c r="E10066" s="2">
        <f ca="1">IFERROR(__xludf.DUMMYFUNCTION("""COMPUTED_VALUE"""),1)</f>
        <v>1</v>
      </c>
    </row>
    <row r="10067" spans="1:5" ht="13">
      <c r="A10067" s="8" t="str">
        <f ca="1">IFERROR(__xludf.DUMMYFUNCTION("""COMPUTED_VALUE"""),"Schulmeister, Kathryn")</f>
        <v>Schulmeister, Kathryn</v>
      </c>
      <c r="B10067" s="3">
        <f ca="1">IFERROR(__xludf.DUMMYFUNCTION("""COMPUTED_VALUE"""),2)</f>
        <v>2</v>
      </c>
      <c r="C10067" s="7">
        <f ca="1">IFERROR(__xludf.DUMMYFUNCTION("""COMPUTED_VALUE"""),2)</f>
        <v>2</v>
      </c>
      <c r="D10067" s="8">
        <f ca="1">IFERROR(__xludf.DUMMYFUNCTION("""COMPUTED_VALUE"""),2)</f>
        <v>2</v>
      </c>
      <c r="E10067" s="2">
        <f ca="1">IFERROR(__xludf.DUMMYFUNCTION("""COMPUTED_VALUE"""),1)</f>
        <v>1</v>
      </c>
    </row>
    <row r="10068" spans="1:5" ht="13">
      <c r="A10068" s="8" t="str">
        <f ca="1">IFERROR(__xludf.DUMMYFUNCTION("""COMPUTED_VALUE"""),"Schultz, Donna Gartman")</f>
        <v>Schultz, Donna Gartman</v>
      </c>
      <c r="B10068" s="3">
        <f ca="1">IFERROR(__xludf.DUMMYFUNCTION("""COMPUTED_VALUE"""),2)</f>
        <v>2</v>
      </c>
      <c r="C10068" s="7">
        <f ca="1">IFERROR(__xludf.DUMMYFUNCTION("""COMPUTED_VALUE"""),2)</f>
        <v>2</v>
      </c>
      <c r="D10068" s="8">
        <f ca="1">IFERROR(__xludf.DUMMYFUNCTION("""COMPUTED_VALUE"""),2)</f>
        <v>2</v>
      </c>
      <c r="E10068" s="2">
        <f ca="1">IFERROR(__xludf.DUMMYFUNCTION("""COMPUTED_VALUE"""),1)</f>
        <v>1</v>
      </c>
    </row>
    <row r="10069" spans="1:5" ht="13">
      <c r="A10069" s="2" t="str">
        <f ca="1">IFERROR(__xludf.DUMMYFUNCTION("""COMPUTED_VALUE"""),"Schumann, Clara")</f>
        <v>Schumann, Clara</v>
      </c>
      <c r="B10069" s="3">
        <f ca="1">IFERROR(__xludf.DUMMYFUNCTION("""COMPUTED_VALUE"""),2)</f>
        <v>2</v>
      </c>
      <c r="C10069" s="7">
        <f ca="1">IFERROR(__xludf.DUMMYFUNCTION("""COMPUTED_VALUE"""),2)</f>
        <v>2</v>
      </c>
      <c r="D10069" s="8">
        <f ca="1">IFERROR(__xludf.DUMMYFUNCTION("""COMPUTED_VALUE"""),6)</f>
        <v>6</v>
      </c>
      <c r="E10069" s="2">
        <f ca="1">IFERROR(__xludf.DUMMYFUNCTION("""COMPUTED_VALUE"""),2)</f>
        <v>2</v>
      </c>
    </row>
    <row r="10070" spans="1:5" ht="13">
      <c r="A10070" s="8" t="str">
        <f ca="1">IFERROR(__xludf.DUMMYFUNCTION("""COMPUTED_VALUE"""),"Schwartz, Julia")</f>
        <v>Schwartz, Julia</v>
      </c>
      <c r="B10070" s="3">
        <f ca="1">IFERROR(__xludf.DUMMYFUNCTION("""COMPUTED_VALUE"""),2)</f>
        <v>2</v>
      </c>
      <c r="C10070" s="7">
        <f ca="1">IFERROR(__xludf.DUMMYFUNCTION("""COMPUTED_VALUE"""),2)</f>
        <v>2</v>
      </c>
      <c r="D10070" s="8">
        <f ca="1">IFERROR(__xludf.DUMMYFUNCTION("""COMPUTED_VALUE"""),2)</f>
        <v>2</v>
      </c>
      <c r="E10070" s="2">
        <f ca="1">IFERROR(__xludf.DUMMYFUNCTION("""COMPUTED_VALUE"""),1)</f>
        <v>1</v>
      </c>
    </row>
    <row r="10071" spans="1:5" ht="13">
      <c r="A10071" s="2" t="str">
        <f ca="1">IFERROR(__xludf.DUMMYFUNCTION("""COMPUTED_VALUE"""),"Schwartz, Nan")</f>
        <v>Schwartz, Nan</v>
      </c>
      <c r="B10071" s="3">
        <f ca="1">IFERROR(__xludf.DUMMYFUNCTION("""COMPUTED_VALUE"""),2)</f>
        <v>2</v>
      </c>
      <c r="C10071" s="7">
        <f ca="1">IFERROR(__xludf.DUMMYFUNCTION("""COMPUTED_VALUE"""),2)</f>
        <v>2</v>
      </c>
      <c r="D10071" s="8">
        <f ca="1">IFERROR(__xludf.DUMMYFUNCTION("""COMPUTED_VALUE"""),2)</f>
        <v>2</v>
      </c>
      <c r="E10071" s="2">
        <f ca="1">IFERROR(__xludf.DUMMYFUNCTION("""COMPUTED_VALUE"""),1)</f>
        <v>1</v>
      </c>
    </row>
    <row r="10072" spans="1:5" ht="13">
      <c r="A10072" s="2" t="str">
        <f ca="1">IFERROR(__xludf.DUMMYFUNCTION("""COMPUTED_VALUE"""),"Schwendinger, Laura")</f>
        <v>Schwendinger, Laura</v>
      </c>
      <c r="B10072" s="3">
        <f ca="1">IFERROR(__xludf.DUMMYFUNCTION("""COMPUTED_VALUE"""),2)</f>
        <v>2</v>
      </c>
      <c r="C10072" s="7">
        <f ca="1">IFERROR(__xludf.DUMMYFUNCTION("""COMPUTED_VALUE"""),2)</f>
        <v>2</v>
      </c>
      <c r="D10072" s="8">
        <f ca="1">IFERROR(__xludf.DUMMYFUNCTION("""COMPUTED_VALUE"""),2)</f>
        <v>2</v>
      </c>
      <c r="E10072" s="2">
        <f ca="1">IFERROR(__xludf.DUMMYFUNCTION("""COMPUTED_VALUE"""),1)</f>
        <v>1</v>
      </c>
    </row>
    <row r="10073" spans="1:5" ht="13">
      <c r="A10073" s="2" t="str">
        <f ca="1">IFERROR(__xludf.DUMMYFUNCTION("""COMPUTED_VALUE"""),"Scoggin, Jennifer")</f>
        <v>Scoggin, Jennifer</v>
      </c>
      <c r="B10073" s="3">
        <f ca="1">IFERROR(__xludf.DUMMYFUNCTION("""COMPUTED_VALUE"""),2)</f>
        <v>2</v>
      </c>
      <c r="C10073" s="7">
        <f ca="1">IFERROR(__xludf.DUMMYFUNCTION("""COMPUTED_VALUE"""),2)</f>
        <v>2</v>
      </c>
      <c r="D10073" s="8">
        <f ca="1">IFERROR(__xludf.DUMMYFUNCTION("""COMPUTED_VALUE"""),2)</f>
        <v>2</v>
      </c>
      <c r="E10073" s="2">
        <f ca="1">IFERROR(__xludf.DUMMYFUNCTION("""COMPUTED_VALUE"""),1)</f>
        <v>1</v>
      </c>
    </row>
    <row r="10074" spans="1:5" ht="13">
      <c r="A10074" s="2" t="str">
        <f ca="1">IFERROR(__xludf.DUMMYFUNCTION("""COMPUTED_VALUE"""),"Scogin, Aurelia")</f>
        <v>Scogin, Aurelia</v>
      </c>
      <c r="B10074" s="3">
        <f ca="1">IFERROR(__xludf.DUMMYFUNCTION("""COMPUTED_VALUE"""),2)</f>
        <v>2</v>
      </c>
      <c r="C10074" s="7">
        <f ca="1">IFERROR(__xludf.DUMMYFUNCTION("""COMPUTED_VALUE"""),2)</f>
        <v>2</v>
      </c>
      <c r="D10074" s="8">
        <f ca="1">IFERROR(__xludf.DUMMYFUNCTION("""COMPUTED_VALUE"""),6)</f>
        <v>6</v>
      </c>
      <c r="E10074" s="2">
        <f ca="1">IFERROR(__xludf.DUMMYFUNCTION("""COMPUTED_VALUE"""),2)</f>
        <v>2</v>
      </c>
    </row>
    <row r="10075" spans="1:5" ht="13">
      <c r="A10075" s="2" t="str">
        <f ca="1">IFERROR(__xludf.DUMMYFUNCTION("""COMPUTED_VALUE"""),"Scott, Alicia Ann (aka Alicia Ann Spottiswoode)")</f>
        <v>Scott, Alicia Ann (aka Alicia Ann Spottiswoode)</v>
      </c>
      <c r="B10075" s="3">
        <f ca="1">IFERROR(__xludf.DUMMYFUNCTION("""COMPUTED_VALUE"""),2)</f>
        <v>2</v>
      </c>
      <c r="C10075" s="7">
        <f ca="1">IFERROR(__xludf.DUMMYFUNCTION("""COMPUTED_VALUE"""),2)</f>
        <v>2</v>
      </c>
      <c r="D10075" s="8">
        <f ca="1">IFERROR(__xludf.DUMMYFUNCTION("""COMPUTED_VALUE"""),6)</f>
        <v>6</v>
      </c>
      <c r="E10075" s="2">
        <f ca="1">IFERROR(__xludf.DUMMYFUNCTION("""COMPUTED_VALUE"""),2)</f>
        <v>2</v>
      </c>
    </row>
    <row r="10076" spans="1:5" ht="13">
      <c r="A10076" s="2" t="str">
        <f ca="1">IFERROR(__xludf.DUMMYFUNCTION("""COMPUTED_VALUE"""),"Scott, Allison")</f>
        <v>Scott, Allison</v>
      </c>
      <c r="B10076" s="3">
        <f ca="1">IFERROR(__xludf.DUMMYFUNCTION("""COMPUTED_VALUE"""),2)</f>
        <v>2</v>
      </c>
      <c r="C10076" s="7">
        <f ca="1">IFERROR(__xludf.DUMMYFUNCTION("""COMPUTED_VALUE"""),2)</f>
        <v>2</v>
      </c>
      <c r="D10076" s="8">
        <f ca="1">IFERROR(__xludf.DUMMYFUNCTION("""COMPUTED_VALUE"""),2)</f>
        <v>2</v>
      </c>
      <c r="E10076" s="2">
        <f ca="1">IFERROR(__xludf.DUMMYFUNCTION("""COMPUTED_VALUE"""),1)</f>
        <v>1</v>
      </c>
    </row>
    <row r="10077" spans="1:5" ht="13">
      <c r="A10077" s="2" t="str">
        <f ca="1">IFERROR(__xludf.DUMMYFUNCTION("""COMPUTED_VALUE"""),"Scott, Julie")</f>
        <v>Scott, Julie</v>
      </c>
      <c r="B10077" s="3">
        <f ca="1">IFERROR(__xludf.DUMMYFUNCTION("""COMPUTED_VALUE"""),2)</f>
        <v>2</v>
      </c>
      <c r="C10077" s="7">
        <f ca="1">IFERROR(__xludf.DUMMYFUNCTION("""COMPUTED_VALUE"""),2)</f>
        <v>2</v>
      </c>
      <c r="D10077" s="8">
        <f ca="1">IFERROR(__xludf.DUMMYFUNCTION("""COMPUTED_VALUE"""),2)</f>
        <v>2</v>
      </c>
      <c r="E10077" s="2">
        <f ca="1">IFERROR(__xludf.DUMMYFUNCTION("""COMPUTED_VALUE"""),1)</f>
        <v>1</v>
      </c>
    </row>
    <row r="10078" spans="1:5" ht="13">
      <c r="A10078" s="2" t="str">
        <f ca="1">IFERROR(__xludf.DUMMYFUNCTION("""COMPUTED_VALUE"""),"Scott, Lady John")</f>
        <v>Scott, Lady John</v>
      </c>
      <c r="B10078" s="3">
        <f ca="1">IFERROR(__xludf.DUMMYFUNCTION("""COMPUTED_VALUE"""),2)</f>
        <v>2</v>
      </c>
      <c r="C10078" s="7">
        <f ca="1">IFERROR(__xludf.DUMMYFUNCTION("""COMPUTED_VALUE"""),2)</f>
        <v>2</v>
      </c>
      <c r="D10078" s="8">
        <f ca="1">IFERROR(__xludf.DUMMYFUNCTION("""COMPUTED_VALUE"""),6)</f>
        <v>6</v>
      </c>
      <c r="E10078" s="2">
        <f ca="1">IFERROR(__xludf.DUMMYFUNCTION("""COMPUTED_VALUE"""),2)</f>
        <v>2</v>
      </c>
    </row>
    <row r="10079" spans="1:5" ht="13">
      <c r="A10079" s="8" t="str">
        <f ca="1">IFERROR(__xludf.DUMMYFUNCTION("""COMPUTED_VALUE"""),"Scott, Marilyn")</f>
        <v>Scott, Marilyn</v>
      </c>
      <c r="B10079" s="3">
        <f ca="1">IFERROR(__xludf.DUMMYFUNCTION("""COMPUTED_VALUE"""),2)</f>
        <v>2</v>
      </c>
      <c r="C10079" s="7">
        <f ca="1">IFERROR(__xludf.DUMMYFUNCTION("""COMPUTED_VALUE"""),2)</f>
        <v>2</v>
      </c>
      <c r="D10079" s="8">
        <f ca="1">IFERROR(__xludf.DUMMYFUNCTION("""COMPUTED_VALUE"""),6)</f>
        <v>6</v>
      </c>
      <c r="E10079" s="2">
        <f ca="1">IFERROR(__xludf.DUMMYFUNCTION("""COMPUTED_VALUE"""),2)</f>
        <v>2</v>
      </c>
    </row>
    <row r="10080" spans="1:5" ht="13">
      <c r="A10080" s="2" t="str">
        <f ca="1">IFERROR(__xludf.DUMMYFUNCTION("""COMPUTED_VALUE"""),"Scroggins, Debra")</f>
        <v>Scroggins, Debra</v>
      </c>
      <c r="B10080" s="2">
        <f ca="1">IFERROR(__xludf.DUMMYFUNCTION("""COMPUTED_VALUE"""),2)</f>
        <v>2</v>
      </c>
      <c r="C10080" s="7">
        <f ca="1">IFERROR(__xludf.DUMMYFUNCTION("""COMPUTED_VALUE"""),2)</f>
        <v>2</v>
      </c>
      <c r="D10080" s="8">
        <f ca="1">IFERROR(__xludf.DUMMYFUNCTION("""COMPUTED_VALUE"""),2)</f>
        <v>2</v>
      </c>
      <c r="E10080" s="2">
        <f ca="1">IFERROR(__xludf.DUMMYFUNCTION("""COMPUTED_VALUE"""),1)</f>
        <v>1</v>
      </c>
    </row>
    <row r="10081" spans="1:5" ht="13">
      <c r="A10081" s="8" t="str">
        <f ca="1">IFERROR(__xludf.DUMMYFUNCTION("""COMPUTED_VALUE"""),"Scurria, Amy")</f>
        <v>Scurria, Amy</v>
      </c>
      <c r="B10081" s="3">
        <f ca="1">IFERROR(__xludf.DUMMYFUNCTION("""COMPUTED_VALUE"""),2)</f>
        <v>2</v>
      </c>
      <c r="C10081" s="7">
        <f ca="1">IFERROR(__xludf.DUMMYFUNCTION("""COMPUTED_VALUE"""),2)</f>
        <v>2</v>
      </c>
      <c r="D10081" s="8">
        <f ca="1">IFERROR(__xludf.DUMMYFUNCTION("""COMPUTED_VALUE"""),2)</f>
        <v>2</v>
      </c>
      <c r="E10081" s="2">
        <f ca="1">IFERROR(__xludf.DUMMYFUNCTION("""COMPUTED_VALUE"""),1)</f>
        <v>1</v>
      </c>
    </row>
    <row r="10082" spans="1:5" ht="13">
      <c r="A10082" s="2" t="str">
        <f ca="1">IFERROR(__xludf.DUMMYFUNCTION("""COMPUTED_VALUE"""),"Seals, Karen")</f>
        <v>Seals, Karen</v>
      </c>
      <c r="B10082" s="3">
        <f ca="1">IFERROR(__xludf.DUMMYFUNCTION("""COMPUTED_VALUE"""),2)</f>
        <v>2</v>
      </c>
      <c r="C10082" s="7">
        <f ca="1">IFERROR(__xludf.DUMMYFUNCTION("""COMPUTED_VALUE"""),2)</f>
        <v>2</v>
      </c>
      <c r="D10082" s="8">
        <f ca="1">IFERROR(__xludf.DUMMYFUNCTION("""COMPUTED_VALUE"""),2)</f>
        <v>2</v>
      </c>
      <c r="E10082" s="2">
        <f ca="1">IFERROR(__xludf.DUMMYFUNCTION("""COMPUTED_VALUE"""),1)</f>
        <v>1</v>
      </c>
    </row>
    <row r="10083" spans="1:5" ht="13">
      <c r="A10083" s="2" t="str">
        <f ca="1">IFERROR(__xludf.DUMMYFUNCTION("""COMPUTED_VALUE"""),"Seeger, Ruth Crawford")</f>
        <v>Seeger, Ruth Crawford</v>
      </c>
      <c r="B10083" s="3">
        <f ca="1">IFERROR(__xludf.DUMMYFUNCTION("""COMPUTED_VALUE"""),2)</f>
        <v>2</v>
      </c>
      <c r="C10083" s="7">
        <f ca="1">IFERROR(__xludf.DUMMYFUNCTION("""COMPUTED_VALUE"""),2)</f>
        <v>2</v>
      </c>
      <c r="D10083" s="8">
        <f ca="1">IFERROR(__xludf.DUMMYFUNCTION("""COMPUTED_VALUE"""),6)</f>
        <v>6</v>
      </c>
      <c r="E10083" s="2">
        <f ca="1">IFERROR(__xludf.DUMMYFUNCTION("""COMPUTED_VALUE"""),2)</f>
        <v>2</v>
      </c>
    </row>
    <row r="10084" spans="1:5" ht="13">
      <c r="A10084" s="2" t="str">
        <f ca="1">IFERROR(__xludf.DUMMYFUNCTION("""COMPUTED_VALUE"""),"Seeman, Faye")</f>
        <v>Seeman, Faye</v>
      </c>
      <c r="B10084" s="3">
        <f ca="1">IFERROR(__xludf.DUMMYFUNCTION("""COMPUTED_VALUE"""),2)</f>
        <v>2</v>
      </c>
      <c r="C10084" s="7">
        <f ca="1">IFERROR(__xludf.DUMMYFUNCTION("""COMPUTED_VALUE"""),2)</f>
        <v>2</v>
      </c>
      <c r="D10084" s="8">
        <f ca="1">IFERROR(__xludf.DUMMYFUNCTION("""COMPUTED_VALUE"""),2)</f>
        <v>2</v>
      </c>
      <c r="E10084" s="2">
        <f ca="1">IFERROR(__xludf.DUMMYFUNCTION("""COMPUTED_VALUE"""),1)</f>
        <v>1</v>
      </c>
    </row>
    <row r="10085" spans="1:5" ht="13">
      <c r="A10085" s="2" t="str">
        <f ca="1">IFERROR(__xludf.DUMMYFUNCTION("""COMPUTED_VALUE"""),"Selin, Hannah")</f>
        <v>Selin, Hannah</v>
      </c>
      <c r="B10085" s="3">
        <f ca="1">IFERROR(__xludf.DUMMYFUNCTION("""COMPUTED_VALUE"""),2)</f>
        <v>2</v>
      </c>
      <c r="C10085" s="7">
        <f ca="1">IFERROR(__xludf.DUMMYFUNCTION("""COMPUTED_VALUE"""),2)</f>
        <v>2</v>
      </c>
      <c r="D10085" s="8">
        <f ca="1">IFERROR(__xludf.DUMMYFUNCTION("""COMPUTED_VALUE"""),2)</f>
        <v>2</v>
      </c>
      <c r="E10085" s="2">
        <f ca="1">IFERROR(__xludf.DUMMYFUNCTION("""COMPUTED_VALUE"""),1)</f>
        <v>1</v>
      </c>
    </row>
    <row r="10086" spans="1:5" ht="13">
      <c r="A10086" s="2" t="str">
        <f ca="1">IFERROR(__xludf.DUMMYFUNCTION("""COMPUTED_VALUE"""),"Sellers, Bev")</f>
        <v>Sellers, Bev</v>
      </c>
      <c r="B10086" s="3">
        <f ca="1">IFERROR(__xludf.DUMMYFUNCTION("""COMPUTED_VALUE"""),2)</f>
        <v>2</v>
      </c>
      <c r="C10086" s="7">
        <f ca="1">IFERROR(__xludf.DUMMYFUNCTION("""COMPUTED_VALUE"""),2)</f>
        <v>2</v>
      </c>
      <c r="D10086" s="8">
        <f ca="1">IFERROR(__xludf.DUMMYFUNCTION("""COMPUTED_VALUE"""),2)</f>
        <v>2</v>
      </c>
      <c r="E10086" s="2">
        <f ca="1">IFERROR(__xludf.DUMMYFUNCTION("""COMPUTED_VALUE"""),1)</f>
        <v>1</v>
      </c>
    </row>
    <row r="10087" spans="1:5" ht="13">
      <c r="A10087" s="2" t="str">
        <f ca="1">IFERROR(__xludf.DUMMYFUNCTION("""COMPUTED_VALUE"""),"Sellers, Bev / Schmidt, Carolyn")</f>
        <v>Sellers, Bev / Schmidt, Carolyn</v>
      </c>
      <c r="B10087" s="3">
        <f ca="1">IFERROR(__xludf.DUMMYFUNCTION("""COMPUTED_VALUE"""),2)</f>
        <v>2</v>
      </c>
      <c r="C10087" s="7">
        <f ca="1">IFERROR(__xludf.DUMMYFUNCTION("""COMPUTED_VALUE"""),2)</f>
        <v>2</v>
      </c>
      <c r="D10087" s="8">
        <f ca="1">IFERROR(__xludf.DUMMYFUNCTION("""COMPUTED_VALUE"""),2)</f>
        <v>2</v>
      </c>
      <c r="E10087" s="2">
        <f ca="1">IFERROR(__xludf.DUMMYFUNCTION("""COMPUTED_VALUE"""),1)</f>
        <v>1</v>
      </c>
    </row>
    <row r="10088" spans="1:5" ht="13">
      <c r="A10088" s="2" t="str">
        <f ca="1">IFERROR(__xludf.DUMMYFUNCTION("""COMPUTED_VALUE"""),"Šerkšnytė, Raminta")</f>
        <v>Šerkšnytė, Raminta</v>
      </c>
      <c r="B10088" s="3">
        <f ca="1">IFERROR(__xludf.DUMMYFUNCTION("""COMPUTED_VALUE"""),2)</f>
        <v>2</v>
      </c>
      <c r="C10088" s="7">
        <f ca="1">IFERROR(__xludf.DUMMYFUNCTION("""COMPUTED_VALUE"""),2)</f>
        <v>2</v>
      </c>
      <c r="D10088" s="8">
        <f ca="1">IFERROR(__xludf.DUMMYFUNCTION("""COMPUTED_VALUE"""),2)</f>
        <v>2</v>
      </c>
      <c r="E10088" s="2">
        <f ca="1">IFERROR(__xludf.DUMMYFUNCTION("""COMPUTED_VALUE"""),1)</f>
        <v>1</v>
      </c>
    </row>
    <row r="10089" spans="1:5" ht="13">
      <c r="A10089" s="2" t="str">
        <f ca="1">IFERROR(__xludf.DUMMYFUNCTION("""COMPUTED_VALUE"""),"Seward, Nancy")</f>
        <v>Seward, Nancy</v>
      </c>
      <c r="B10089" s="3">
        <f ca="1">IFERROR(__xludf.DUMMYFUNCTION("""COMPUTED_VALUE"""),2)</f>
        <v>2</v>
      </c>
      <c r="C10089" s="7">
        <f ca="1">IFERROR(__xludf.DUMMYFUNCTION("""COMPUTED_VALUE"""),2)</f>
        <v>2</v>
      </c>
      <c r="D10089" s="8">
        <f ca="1">IFERROR(__xludf.DUMMYFUNCTION("""COMPUTED_VALUE"""),6)</f>
        <v>6</v>
      </c>
      <c r="E10089" s="2">
        <f ca="1">IFERROR(__xludf.DUMMYFUNCTION("""COMPUTED_VALUE"""),2)</f>
        <v>2</v>
      </c>
    </row>
    <row r="10090" spans="1:5" ht="13">
      <c r="A10090" s="2" t="str">
        <f ca="1">IFERROR(__xludf.DUMMYFUNCTION("""COMPUTED_VALUE"""),"Shacklock, Constance")</f>
        <v>Shacklock, Constance</v>
      </c>
      <c r="B10090" s="2">
        <f ca="1">IFERROR(__xludf.DUMMYFUNCTION("""COMPUTED_VALUE"""),2)</f>
        <v>2</v>
      </c>
      <c r="C10090" s="2">
        <f ca="1">IFERROR(__xludf.DUMMYFUNCTION("""COMPUTED_VALUE"""),2)</f>
        <v>2</v>
      </c>
      <c r="D10090" s="8">
        <f ca="1">IFERROR(__xludf.DUMMYFUNCTION("""COMPUTED_VALUE"""),6)</f>
        <v>6</v>
      </c>
      <c r="E10090" s="2">
        <f ca="1">IFERROR(__xludf.DUMMYFUNCTION("""COMPUTED_VALUE"""),2)</f>
        <v>2</v>
      </c>
    </row>
    <row r="10091" spans="1:5" ht="13">
      <c r="A10091" s="2" t="str">
        <f ca="1">IFERROR(__xludf.DUMMYFUNCTION("""COMPUTED_VALUE"""),"Shafferman, Jean Anne")</f>
        <v>Shafferman, Jean Anne</v>
      </c>
      <c r="B10091" s="3">
        <f ca="1">IFERROR(__xludf.DUMMYFUNCTION("""COMPUTED_VALUE"""),2)</f>
        <v>2</v>
      </c>
      <c r="C10091" s="7">
        <f ca="1">IFERROR(__xludf.DUMMYFUNCTION("""COMPUTED_VALUE"""),2)</f>
        <v>2</v>
      </c>
      <c r="D10091" s="8">
        <f ca="1">IFERROR(__xludf.DUMMYFUNCTION("""COMPUTED_VALUE"""),2)</f>
        <v>2</v>
      </c>
      <c r="E10091" s="2">
        <f ca="1">IFERROR(__xludf.DUMMYFUNCTION("""COMPUTED_VALUE"""),1)</f>
        <v>1</v>
      </c>
    </row>
    <row r="10092" spans="1:5" ht="13">
      <c r="A10092" s="8" t="str">
        <f ca="1">IFERROR(__xludf.DUMMYFUNCTION("""COMPUTED_VALUE"""),"Shakliyan, Sara")</f>
        <v>Shakliyan, Sara</v>
      </c>
      <c r="B10092" s="3">
        <f ca="1">IFERROR(__xludf.DUMMYFUNCTION("""COMPUTED_VALUE"""),2)</f>
        <v>2</v>
      </c>
      <c r="C10092" s="7">
        <f ca="1">IFERROR(__xludf.DUMMYFUNCTION("""COMPUTED_VALUE"""),2)</f>
        <v>2</v>
      </c>
      <c r="D10092" s="8">
        <f ca="1">IFERROR(__xludf.DUMMYFUNCTION("""COMPUTED_VALUE"""),2)</f>
        <v>2</v>
      </c>
      <c r="E10092" s="2">
        <f ca="1">IFERROR(__xludf.DUMMYFUNCTION("""COMPUTED_VALUE"""),1)</f>
        <v>1</v>
      </c>
    </row>
    <row r="10093" spans="1:5" ht="13">
      <c r="A10093" s="2" t="str">
        <f ca="1">IFERROR(__xludf.DUMMYFUNCTION("""COMPUTED_VALUE"""),"Shapiro, Alex")</f>
        <v>Shapiro, Alex</v>
      </c>
      <c r="B10093" s="3">
        <f ca="1">IFERROR(__xludf.DUMMYFUNCTION("""COMPUTED_VALUE"""),2)</f>
        <v>2</v>
      </c>
      <c r="C10093" s="7">
        <f ca="1">IFERROR(__xludf.DUMMYFUNCTION("""COMPUTED_VALUE"""),2)</f>
        <v>2</v>
      </c>
      <c r="D10093" s="8">
        <f ca="1">IFERROR(__xludf.DUMMYFUNCTION("""COMPUTED_VALUE"""),2)</f>
        <v>2</v>
      </c>
      <c r="E10093" s="2">
        <f ca="1">IFERROR(__xludf.DUMMYFUNCTION("""COMPUTED_VALUE"""),1)</f>
        <v>1</v>
      </c>
    </row>
    <row r="10094" spans="1:5" ht="13">
      <c r="A10094" s="2" t="str">
        <f ca="1">IFERROR(__xludf.DUMMYFUNCTION("""COMPUTED_VALUE"""),"Shapiro, Marsha")</f>
        <v>Shapiro, Marsha</v>
      </c>
      <c r="B10094" s="2">
        <f ca="1">IFERROR(__xludf.DUMMYFUNCTION("""COMPUTED_VALUE"""),2)</f>
        <v>2</v>
      </c>
      <c r="C10094" s="7">
        <f ca="1">IFERROR(__xludf.DUMMYFUNCTION("""COMPUTED_VALUE"""),2)</f>
        <v>2</v>
      </c>
      <c r="D10094" s="8">
        <f ca="1">IFERROR(__xludf.DUMMYFUNCTION("""COMPUTED_VALUE"""),2)</f>
        <v>2</v>
      </c>
      <c r="E10094" s="2">
        <f ca="1">IFERROR(__xludf.DUMMYFUNCTION("""COMPUTED_VALUE"""),1)</f>
        <v>1</v>
      </c>
    </row>
    <row r="10095" spans="1:5" ht="13">
      <c r="A10095" s="2" t="str">
        <f ca="1">IFERROR(__xludf.DUMMYFUNCTION("""COMPUTED_VALUE"""),"Shapiro, Marsha Chusmir")</f>
        <v>Shapiro, Marsha Chusmir</v>
      </c>
      <c r="B10095" s="3">
        <f ca="1">IFERROR(__xludf.DUMMYFUNCTION("""COMPUTED_VALUE"""),2)</f>
        <v>2</v>
      </c>
      <c r="C10095" s="7">
        <f ca="1">IFERROR(__xludf.DUMMYFUNCTION("""COMPUTED_VALUE"""),2)</f>
        <v>2</v>
      </c>
      <c r="D10095" s="8">
        <f ca="1">IFERROR(__xludf.DUMMYFUNCTION("""COMPUTED_VALUE"""),2)</f>
        <v>2</v>
      </c>
      <c r="E10095" s="2">
        <f ca="1">IFERROR(__xludf.DUMMYFUNCTION("""COMPUTED_VALUE"""),1)</f>
        <v>1</v>
      </c>
    </row>
    <row r="10096" spans="1:5" ht="13">
      <c r="A10096" s="8" t="str">
        <f ca="1">IFERROR(__xludf.DUMMYFUNCTION("""COMPUTED_VALUE"""),"Sharkova, Elena")</f>
        <v>Sharkova, Elena</v>
      </c>
      <c r="B10096" s="3">
        <f ca="1">IFERROR(__xludf.DUMMYFUNCTION("""COMPUTED_VALUE"""),2)</f>
        <v>2</v>
      </c>
      <c r="C10096" s="7">
        <f ca="1">IFERROR(__xludf.DUMMYFUNCTION("""COMPUTED_VALUE"""),2)</f>
        <v>2</v>
      </c>
      <c r="D10096" s="8">
        <f ca="1">IFERROR(__xludf.DUMMYFUNCTION("""COMPUTED_VALUE"""),2)</f>
        <v>2</v>
      </c>
      <c r="E10096" s="2">
        <f ca="1">IFERROR(__xludf.DUMMYFUNCTION("""COMPUTED_VALUE"""),1)</f>
        <v>1</v>
      </c>
    </row>
    <row r="10097" spans="1:5" ht="13">
      <c r="A10097" s="8" t="str">
        <f ca="1">IFERROR(__xludf.DUMMYFUNCTION("""COMPUTED_VALUE"""),"Sharp, Sue Roberts")</f>
        <v>Sharp, Sue Roberts</v>
      </c>
      <c r="B10097" s="3">
        <f ca="1">IFERROR(__xludf.DUMMYFUNCTION("""COMPUTED_VALUE"""),2)</f>
        <v>2</v>
      </c>
      <c r="C10097" s="7">
        <f ca="1">IFERROR(__xludf.DUMMYFUNCTION("""COMPUTED_VALUE"""),2)</f>
        <v>2</v>
      </c>
      <c r="D10097" s="8">
        <f ca="1">IFERROR(__xludf.DUMMYFUNCTION("""COMPUTED_VALUE"""),2)</f>
        <v>2</v>
      </c>
      <c r="E10097" s="2">
        <f ca="1">IFERROR(__xludf.DUMMYFUNCTION("""COMPUTED_VALUE"""),1)</f>
        <v>1</v>
      </c>
    </row>
    <row r="10098" spans="1:5" ht="13">
      <c r="A10098" s="2" t="str">
        <f ca="1">IFERROR(__xludf.DUMMYFUNCTION("""COMPUTED_VALUE"""),"Shatin, Judith")</f>
        <v>Shatin, Judith</v>
      </c>
      <c r="B10098" s="3">
        <f ca="1">IFERROR(__xludf.DUMMYFUNCTION("""COMPUTED_VALUE"""),2)</f>
        <v>2</v>
      </c>
      <c r="C10098" s="7">
        <f ca="1">IFERROR(__xludf.DUMMYFUNCTION("""COMPUTED_VALUE"""),2)</f>
        <v>2</v>
      </c>
      <c r="D10098" s="8">
        <f ca="1">IFERROR(__xludf.DUMMYFUNCTION("""COMPUTED_VALUE"""),2)</f>
        <v>2</v>
      </c>
      <c r="E10098" s="2">
        <f ca="1">IFERROR(__xludf.DUMMYFUNCTION("""COMPUTED_VALUE"""),1)</f>
        <v>1</v>
      </c>
    </row>
    <row r="10099" spans="1:5" ht="13">
      <c r="A10099" s="2" t="str">
        <f ca="1">IFERROR(__xludf.DUMMYFUNCTION("""COMPUTED_VALUE"""),"Shaw Cohen, Nell")</f>
        <v>Shaw Cohen, Nell</v>
      </c>
      <c r="B10099" s="3">
        <f ca="1">IFERROR(__xludf.DUMMYFUNCTION("""COMPUTED_VALUE"""),2)</f>
        <v>2</v>
      </c>
      <c r="C10099" s="7">
        <f ca="1">IFERROR(__xludf.DUMMYFUNCTION("""COMPUTED_VALUE"""),2)</f>
        <v>2</v>
      </c>
      <c r="D10099" s="8">
        <f ca="1">IFERROR(__xludf.DUMMYFUNCTION("""COMPUTED_VALUE"""),2)</f>
        <v>2</v>
      </c>
      <c r="E10099" s="2">
        <f ca="1">IFERROR(__xludf.DUMMYFUNCTION("""COMPUTED_VALUE"""),1)</f>
        <v>1</v>
      </c>
    </row>
    <row r="10100" spans="1:5" ht="13">
      <c r="A10100" s="2" t="str">
        <f ca="1">IFERROR(__xludf.DUMMYFUNCTION("""COMPUTED_VALUE"""),"Shaw, Caroline")</f>
        <v>Shaw, Caroline</v>
      </c>
      <c r="B10100" s="3">
        <f ca="1">IFERROR(__xludf.DUMMYFUNCTION("""COMPUTED_VALUE"""),2)</f>
        <v>2</v>
      </c>
      <c r="C10100" s="7">
        <f ca="1">IFERROR(__xludf.DUMMYFUNCTION("""COMPUTED_VALUE"""),2)</f>
        <v>2</v>
      </c>
      <c r="D10100" s="8">
        <f ca="1">IFERROR(__xludf.DUMMYFUNCTION("""COMPUTED_VALUE"""),2)</f>
        <v>2</v>
      </c>
      <c r="E10100" s="2">
        <f ca="1">IFERROR(__xludf.DUMMYFUNCTION("""COMPUTED_VALUE"""),1)</f>
        <v>1</v>
      </c>
    </row>
    <row r="10101" spans="1:5" ht="13">
      <c r="A10101" s="2" t="str">
        <f ca="1">IFERROR(__xludf.DUMMYFUNCTION("""COMPUTED_VALUE"""),"Shaw, Linda")</f>
        <v>Shaw, Linda</v>
      </c>
      <c r="B10101" s="3">
        <f ca="1">IFERROR(__xludf.DUMMYFUNCTION("""COMPUTED_VALUE"""),2)</f>
        <v>2</v>
      </c>
      <c r="C10101" s="7">
        <f ca="1">IFERROR(__xludf.DUMMYFUNCTION("""COMPUTED_VALUE"""),2)</f>
        <v>2</v>
      </c>
      <c r="D10101" s="8">
        <f ca="1">IFERROR(__xludf.DUMMYFUNCTION("""COMPUTED_VALUE"""),2)</f>
        <v>2</v>
      </c>
      <c r="E10101" s="2">
        <f ca="1">IFERROR(__xludf.DUMMYFUNCTION("""COMPUTED_VALUE"""),1)</f>
        <v>1</v>
      </c>
    </row>
    <row r="10102" spans="1:5" ht="13">
      <c r="A10102" s="2" t="str">
        <f ca="1">IFERROR(__xludf.DUMMYFUNCTION("""COMPUTED_VALUE"""),"Shayne, Gloria / Regney, Noël")</f>
        <v>Shayne, Gloria / Regney, Noël</v>
      </c>
      <c r="B10102" s="3">
        <f ca="1">IFERROR(__xludf.DUMMYFUNCTION("""COMPUTED_VALUE"""),2)</f>
        <v>2</v>
      </c>
      <c r="C10102" s="7">
        <f ca="1">IFERROR(__xludf.DUMMYFUNCTION("""COMPUTED_VALUE"""),2)</f>
        <v>2</v>
      </c>
      <c r="D10102" s="8">
        <f ca="1">IFERROR(__xludf.DUMMYFUNCTION("""COMPUTED_VALUE"""),6)</f>
        <v>6</v>
      </c>
      <c r="E10102" s="2">
        <f ca="1">IFERROR(__xludf.DUMMYFUNCTION("""COMPUTED_VALUE"""),2)</f>
        <v>2</v>
      </c>
    </row>
    <row r="10103" spans="1:5" ht="13">
      <c r="A10103" s="2" t="str">
        <f ca="1">IFERROR(__xludf.DUMMYFUNCTION("""COMPUTED_VALUE"""),"Sheeran, Amber")</f>
        <v>Sheeran, Amber</v>
      </c>
      <c r="B10103" s="2">
        <f ca="1">IFERROR(__xludf.DUMMYFUNCTION("""COMPUTED_VALUE"""),2)</f>
        <v>2</v>
      </c>
      <c r="C10103" s="7">
        <f ca="1">IFERROR(__xludf.DUMMYFUNCTION("""COMPUTED_VALUE"""),2)</f>
        <v>2</v>
      </c>
      <c r="D10103" s="8">
        <f ca="1">IFERROR(__xludf.DUMMYFUNCTION("""COMPUTED_VALUE"""),2)</f>
        <v>2</v>
      </c>
      <c r="E10103" s="2">
        <f ca="1">IFERROR(__xludf.DUMMYFUNCTION("""COMPUTED_VALUE"""),1)</f>
        <v>1</v>
      </c>
    </row>
    <row r="10104" spans="1:5" ht="13">
      <c r="A10104" s="2" t="str">
        <f ca="1">IFERROR(__xludf.DUMMYFUNCTION("""COMPUTED_VALUE"""),"Sheilds, Valerie")</f>
        <v>Sheilds, Valerie</v>
      </c>
      <c r="B10104" s="3">
        <f ca="1">IFERROR(__xludf.DUMMYFUNCTION("""COMPUTED_VALUE"""),2)</f>
        <v>2</v>
      </c>
      <c r="C10104" s="7">
        <f ca="1">IFERROR(__xludf.DUMMYFUNCTION("""COMPUTED_VALUE"""),2)</f>
        <v>2</v>
      </c>
      <c r="D10104" s="8">
        <f ca="1">IFERROR(__xludf.DUMMYFUNCTION("""COMPUTED_VALUE"""),2)</f>
        <v>2</v>
      </c>
      <c r="E10104" s="2">
        <f ca="1">IFERROR(__xludf.DUMMYFUNCTION("""COMPUTED_VALUE"""),1)</f>
        <v>1</v>
      </c>
    </row>
    <row r="10105" spans="1:5" ht="13">
      <c r="A10105" s="2" t="str">
        <f ca="1">IFERROR(__xludf.DUMMYFUNCTION("""COMPUTED_VALUE"""),"Sherman, Joy")</f>
        <v>Sherman, Joy</v>
      </c>
      <c r="B10105" s="3">
        <f ca="1">IFERROR(__xludf.DUMMYFUNCTION("""COMPUTED_VALUE"""),2)</f>
        <v>2</v>
      </c>
      <c r="C10105" s="7">
        <f ca="1">IFERROR(__xludf.DUMMYFUNCTION("""COMPUTED_VALUE"""),2)</f>
        <v>2</v>
      </c>
      <c r="D10105" s="8">
        <f ca="1">IFERROR(__xludf.DUMMYFUNCTION("""COMPUTED_VALUE"""),2)</f>
        <v>2</v>
      </c>
      <c r="E10105" s="2">
        <f ca="1">IFERROR(__xludf.DUMMYFUNCTION("""COMPUTED_VALUE"""),1)</f>
        <v>1</v>
      </c>
    </row>
    <row r="10106" spans="1:5" ht="13">
      <c r="A10106" s="2" t="str">
        <f ca="1">IFERROR(__xludf.DUMMYFUNCTION("""COMPUTED_VALUE"""),"Sherman, Kim")</f>
        <v>Sherman, Kim</v>
      </c>
      <c r="B10106" s="3">
        <f ca="1">IFERROR(__xludf.DUMMYFUNCTION("""COMPUTED_VALUE"""),2)</f>
        <v>2</v>
      </c>
      <c r="C10106" s="7">
        <f ca="1">IFERROR(__xludf.DUMMYFUNCTION("""COMPUTED_VALUE"""),2)</f>
        <v>2</v>
      </c>
      <c r="D10106" s="8">
        <f ca="1">IFERROR(__xludf.DUMMYFUNCTION("""COMPUTED_VALUE"""),2)</f>
        <v>2</v>
      </c>
      <c r="E10106" s="2">
        <f ca="1">IFERROR(__xludf.DUMMYFUNCTION("""COMPUTED_VALUE"""),1)</f>
        <v>1</v>
      </c>
    </row>
    <row r="10107" spans="1:5" ht="13">
      <c r="A10107" s="8" t="str">
        <f ca="1">IFERROR(__xludf.DUMMYFUNCTION("""COMPUTED_VALUE"""),"Shields, Alice")</f>
        <v>Shields, Alice</v>
      </c>
      <c r="B10107" s="3">
        <f ca="1">IFERROR(__xludf.DUMMYFUNCTION("""COMPUTED_VALUE"""),2)</f>
        <v>2</v>
      </c>
      <c r="C10107" s="7">
        <f ca="1">IFERROR(__xludf.DUMMYFUNCTION("""COMPUTED_VALUE"""),2)</f>
        <v>2</v>
      </c>
      <c r="D10107" s="8">
        <f ca="1">IFERROR(__xludf.DUMMYFUNCTION("""COMPUTED_VALUE"""),2)</f>
        <v>2</v>
      </c>
      <c r="E10107" s="2">
        <f ca="1">IFERROR(__xludf.DUMMYFUNCTION("""COMPUTED_VALUE"""),1)</f>
        <v>1</v>
      </c>
    </row>
    <row r="10108" spans="1:5" ht="13">
      <c r="A10108" s="8" t="str">
        <f ca="1">IFERROR(__xludf.DUMMYFUNCTION("""COMPUTED_VALUE"""),"Shields, Valerie")</f>
        <v>Shields, Valerie</v>
      </c>
      <c r="B10108" s="3">
        <f ca="1">IFERROR(__xludf.DUMMYFUNCTION("""COMPUTED_VALUE"""),2)</f>
        <v>2</v>
      </c>
      <c r="C10108" s="7">
        <f ca="1">IFERROR(__xludf.DUMMYFUNCTION("""COMPUTED_VALUE"""),2)</f>
        <v>2</v>
      </c>
      <c r="D10108" s="8">
        <f ca="1">IFERROR(__xludf.DUMMYFUNCTION("""COMPUTED_VALUE"""),2)</f>
        <v>2</v>
      </c>
      <c r="E10108" s="2">
        <f ca="1">IFERROR(__xludf.DUMMYFUNCTION("""COMPUTED_VALUE"""),1)</f>
        <v>1</v>
      </c>
    </row>
    <row r="10109" spans="1:5" ht="13">
      <c r="A10109" s="8" t="str">
        <f ca="1">IFERROR(__xludf.DUMMYFUNCTION("""COMPUTED_VALUE"""),"Shiner, Kristen")</f>
        <v>Shiner, Kristen</v>
      </c>
      <c r="B10109" s="3">
        <f ca="1">IFERROR(__xludf.DUMMYFUNCTION("""COMPUTED_VALUE"""),2)</f>
        <v>2</v>
      </c>
      <c r="C10109" s="7">
        <f ca="1">IFERROR(__xludf.DUMMYFUNCTION("""COMPUTED_VALUE"""),2)</f>
        <v>2</v>
      </c>
      <c r="D10109" s="8">
        <f ca="1">IFERROR(__xludf.DUMMYFUNCTION("""COMPUTED_VALUE"""),2)</f>
        <v>2</v>
      </c>
      <c r="E10109" s="2">
        <f ca="1">IFERROR(__xludf.DUMMYFUNCTION("""COMPUTED_VALUE"""),1)</f>
        <v>1</v>
      </c>
    </row>
    <row r="10110" spans="1:5" ht="13">
      <c r="A10110" s="2" t="str">
        <f ca="1">IFERROR(__xludf.DUMMYFUNCTION("""COMPUTED_VALUE"""),"Shore, Melanie")</f>
        <v>Shore, Melanie</v>
      </c>
      <c r="B10110" s="3">
        <f ca="1">IFERROR(__xludf.DUMMYFUNCTION("""COMPUTED_VALUE"""),2)</f>
        <v>2</v>
      </c>
      <c r="C10110" s="7">
        <f ca="1">IFERROR(__xludf.DUMMYFUNCTION("""COMPUTED_VALUE"""),2)</f>
        <v>2</v>
      </c>
      <c r="D10110" s="8">
        <f ca="1">IFERROR(__xludf.DUMMYFUNCTION("""COMPUTED_VALUE"""),2)</f>
        <v>2</v>
      </c>
      <c r="E10110" s="2">
        <f ca="1">IFERROR(__xludf.DUMMYFUNCTION("""COMPUTED_VALUE"""),1)</f>
        <v>1</v>
      </c>
    </row>
    <row r="10111" spans="1:5" ht="13">
      <c r="A10111" s="2" t="str">
        <f ca="1">IFERROR(__xludf.DUMMYFUNCTION("""COMPUTED_VALUE"""),"Shrude, Marilyn")</f>
        <v>Shrude, Marilyn</v>
      </c>
      <c r="B10111" s="3">
        <f ca="1">IFERROR(__xludf.DUMMYFUNCTION("""COMPUTED_VALUE"""),2)</f>
        <v>2</v>
      </c>
      <c r="C10111" s="7">
        <f ca="1">IFERROR(__xludf.DUMMYFUNCTION("""COMPUTED_VALUE"""),2)</f>
        <v>2</v>
      </c>
      <c r="D10111" s="8">
        <f ca="1">IFERROR(__xludf.DUMMYFUNCTION("""COMPUTED_VALUE"""),2)</f>
        <v>2</v>
      </c>
      <c r="E10111" s="2">
        <f ca="1">IFERROR(__xludf.DUMMYFUNCTION("""COMPUTED_VALUE"""),1)</f>
        <v>1</v>
      </c>
    </row>
    <row r="10112" spans="1:5" ht="13">
      <c r="A10112" s="2" t="str">
        <f ca="1">IFERROR(__xludf.DUMMYFUNCTION("""COMPUTED_VALUE"""),"Sia")</f>
        <v>Sia</v>
      </c>
      <c r="B10112" s="3">
        <f ca="1">IFERROR(__xludf.DUMMYFUNCTION("""COMPUTED_VALUE"""),2)</f>
        <v>2</v>
      </c>
      <c r="C10112" s="7">
        <f ca="1">IFERROR(__xludf.DUMMYFUNCTION("""COMPUTED_VALUE"""),2)</f>
        <v>2</v>
      </c>
      <c r="D10112" s="8">
        <f ca="1">IFERROR(__xludf.DUMMYFUNCTION("""COMPUTED_VALUE"""),2)</f>
        <v>2</v>
      </c>
      <c r="E10112" s="2">
        <f ca="1">IFERROR(__xludf.DUMMYFUNCTION("""COMPUTED_VALUE"""),1)</f>
        <v>1</v>
      </c>
    </row>
    <row r="10113" spans="1:5" ht="13">
      <c r="A10113" s="8" t="str">
        <f ca="1">IFERROR(__xludf.DUMMYFUNCTION("""COMPUTED_VALUE"""),"Siegler, Ruth")</f>
        <v>Siegler, Ruth</v>
      </c>
      <c r="B10113" s="3">
        <f ca="1">IFERROR(__xludf.DUMMYFUNCTION("""COMPUTED_VALUE"""),2)</f>
        <v>2</v>
      </c>
      <c r="C10113" s="7">
        <f ca="1">IFERROR(__xludf.DUMMYFUNCTION("""COMPUTED_VALUE"""),2)</f>
        <v>2</v>
      </c>
      <c r="D10113" s="8">
        <f ca="1">IFERROR(__xludf.DUMMYFUNCTION("""COMPUTED_VALUE"""),6)</f>
        <v>6</v>
      </c>
      <c r="E10113" s="2">
        <f ca="1">IFERROR(__xludf.DUMMYFUNCTION("""COMPUTED_VALUE"""),2)</f>
        <v>2</v>
      </c>
    </row>
    <row r="10114" spans="1:5" ht="13">
      <c r="A10114" s="2" t="str">
        <f ca="1">IFERROR(__xludf.DUMMYFUNCTION("""COMPUTED_VALUE"""),"Siegler, Sarah")</f>
        <v>Siegler, Sarah</v>
      </c>
      <c r="B10114" s="2">
        <f ca="1">IFERROR(__xludf.DUMMYFUNCTION("""COMPUTED_VALUE"""),2)</f>
        <v>2</v>
      </c>
      <c r="C10114" s="7">
        <f ca="1">IFERROR(__xludf.DUMMYFUNCTION("""COMPUTED_VALUE"""),2)</f>
        <v>2</v>
      </c>
      <c r="D10114" s="8">
        <f ca="1">IFERROR(__xludf.DUMMYFUNCTION("""COMPUTED_VALUE"""),2)</f>
        <v>2</v>
      </c>
      <c r="E10114" s="2">
        <f ca="1">IFERROR(__xludf.DUMMYFUNCTION("""COMPUTED_VALUE"""),1)</f>
        <v>1</v>
      </c>
    </row>
    <row r="10115" spans="1:5" ht="13">
      <c r="A10115" s="2" t="str">
        <f ca="1">IFERROR(__xludf.DUMMYFUNCTION("""COMPUTED_VALUE"""),"Sierra, Arlene")</f>
        <v>Sierra, Arlene</v>
      </c>
      <c r="B10115" s="3">
        <f ca="1">IFERROR(__xludf.DUMMYFUNCTION("""COMPUTED_VALUE"""),2)</f>
        <v>2</v>
      </c>
      <c r="C10115" s="7">
        <f ca="1">IFERROR(__xludf.DUMMYFUNCTION("""COMPUTED_VALUE"""),2)</f>
        <v>2</v>
      </c>
      <c r="D10115" s="8">
        <f ca="1">IFERROR(__xludf.DUMMYFUNCTION("""COMPUTED_VALUE"""),2)</f>
        <v>2</v>
      </c>
      <c r="E10115" s="2">
        <f ca="1">IFERROR(__xludf.DUMMYFUNCTION("""COMPUTED_VALUE"""),1)</f>
        <v>1</v>
      </c>
    </row>
    <row r="10116" spans="1:5" ht="13">
      <c r="A10116" s="2" t="str">
        <f ca="1">IFERROR(__xludf.DUMMYFUNCTION("""COMPUTED_VALUE"""),"Sigfúsdóttir, María")</f>
        <v>Sigfúsdóttir, María</v>
      </c>
      <c r="B10116" s="3">
        <f ca="1">IFERROR(__xludf.DUMMYFUNCTION("""COMPUTED_VALUE"""),2)</f>
        <v>2</v>
      </c>
      <c r="C10116" s="7">
        <f ca="1">IFERROR(__xludf.DUMMYFUNCTION("""COMPUTED_VALUE"""),2)</f>
        <v>2</v>
      </c>
      <c r="D10116" s="8">
        <f ca="1">IFERROR(__xludf.DUMMYFUNCTION("""COMPUTED_VALUE"""),2)</f>
        <v>2</v>
      </c>
      <c r="E10116" s="2">
        <f ca="1">IFERROR(__xludf.DUMMYFUNCTION("""COMPUTED_VALUE"""),1)</f>
        <v>1</v>
      </c>
    </row>
    <row r="10117" spans="1:5" ht="13">
      <c r="A10117" s="2" t="str">
        <f ca="1">IFERROR(__xludf.DUMMYFUNCTION("""COMPUTED_VALUE"""),"Sigfúsdóttir, Maria Huld Markan")</f>
        <v>Sigfúsdóttir, Maria Huld Markan</v>
      </c>
      <c r="B10117" s="3">
        <f ca="1">IFERROR(__xludf.DUMMYFUNCTION("""COMPUTED_VALUE"""),2)</f>
        <v>2</v>
      </c>
      <c r="C10117" s="7">
        <f ca="1">IFERROR(__xludf.DUMMYFUNCTION("""COMPUTED_VALUE"""),2)</f>
        <v>2</v>
      </c>
      <c r="D10117" s="8">
        <f ca="1">IFERROR(__xludf.DUMMYFUNCTION("""COMPUTED_VALUE"""),2)</f>
        <v>2</v>
      </c>
      <c r="E10117" s="2">
        <f ca="1">IFERROR(__xludf.DUMMYFUNCTION("""COMPUTED_VALUE"""),1)</f>
        <v>1</v>
      </c>
    </row>
    <row r="10118" spans="1:5" ht="13">
      <c r="A10118" s="8" t="str">
        <f ca="1">IFERROR(__xludf.DUMMYFUNCTION("""COMPUTED_VALUE"""),"Silversteen, Rosemary")</f>
        <v>Silversteen, Rosemary</v>
      </c>
      <c r="B10118" s="3">
        <f ca="1">IFERROR(__xludf.DUMMYFUNCTION("""COMPUTED_VALUE"""),2)</f>
        <v>2</v>
      </c>
      <c r="C10118" s="7">
        <f ca="1">IFERROR(__xludf.DUMMYFUNCTION("""COMPUTED_VALUE"""),2)</f>
        <v>2</v>
      </c>
      <c r="D10118" s="8">
        <f ca="1">IFERROR(__xludf.DUMMYFUNCTION("""COMPUTED_VALUE"""),2)</f>
        <v>2</v>
      </c>
      <c r="E10118" s="2">
        <f ca="1">IFERROR(__xludf.DUMMYFUNCTION("""COMPUTED_VALUE"""),1)</f>
        <v>1</v>
      </c>
    </row>
    <row r="10119" spans="1:5" ht="13">
      <c r="A10119" s="2" t="str">
        <f ca="1">IFERROR(__xludf.DUMMYFUNCTION("""COMPUTED_VALUE"""),"Simms, Bekah")</f>
        <v>Simms, Bekah</v>
      </c>
      <c r="B10119" s="2">
        <f ca="1">IFERROR(__xludf.DUMMYFUNCTION("""COMPUTED_VALUE"""),2)</f>
        <v>2</v>
      </c>
      <c r="C10119" s="7">
        <f ca="1">IFERROR(__xludf.DUMMYFUNCTION("""COMPUTED_VALUE"""),2)</f>
        <v>2</v>
      </c>
      <c r="D10119" s="8">
        <f ca="1">IFERROR(__xludf.DUMMYFUNCTION("""COMPUTED_VALUE"""),2)</f>
        <v>2</v>
      </c>
      <c r="E10119" s="2">
        <f ca="1">IFERROR(__xludf.DUMMYFUNCTION("""COMPUTED_VALUE"""),1)</f>
        <v>1</v>
      </c>
    </row>
    <row r="10120" spans="1:5" ht="13">
      <c r="A10120" s="8" t="str">
        <f ca="1">IFERROR(__xludf.DUMMYFUNCTION("""COMPUTED_VALUE"""),"Simms, Patsy Ford")</f>
        <v>Simms, Patsy Ford</v>
      </c>
      <c r="B10120" s="3">
        <f ca="1">IFERROR(__xludf.DUMMYFUNCTION("""COMPUTED_VALUE"""),2)</f>
        <v>2</v>
      </c>
      <c r="C10120" s="7">
        <f ca="1">IFERROR(__xludf.DUMMYFUNCTION("""COMPUTED_VALUE"""),2)</f>
        <v>2</v>
      </c>
      <c r="D10120" s="8">
        <f ca="1">IFERROR(__xludf.DUMMYFUNCTION("""COMPUTED_VALUE"""),2)</f>
        <v>2</v>
      </c>
      <c r="E10120" s="2">
        <f ca="1">IFERROR(__xludf.DUMMYFUNCTION("""COMPUTED_VALUE"""),1)</f>
        <v>1</v>
      </c>
    </row>
    <row r="10121" spans="1:5" ht="13">
      <c r="A10121" s="2" t="str">
        <f ca="1">IFERROR(__xludf.DUMMYFUNCTION("""COMPUTED_VALUE"""),"Simon, Carly")</f>
        <v>Simon, Carly</v>
      </c>
      <c r="B10121" s="2">
        <f ca="1">IFERROR(__xludf.DUMMYFUNCTION("""COMPUTED_VALUE"""),2)</f>
        <v>2</v>
      </c>
      <c r="C10121" s="7">
        <f ca="1">IFERROR(__xludf.DUMMYFUNCTION("""COMPUTED_VALUE"""),2)</f>
        <v>2</v>
      </c>
      <c r="D10121" s="8">
        <f ca="1">IFERROR(__xludf.DUMMYFUNCTION("""COMPUTED_VALUE"""),2)</f>
        <v>2</v>
      </c>
      <c r="E10121" s="2">
        <f ca="1">IFERROR(__xludf.DUMMYFUNCTION("""COMPUTED_VALUE"""),1)</f>
        <v>1</v>
      </c>
    </row>
    <row r="10122" spans="1:5" ht="13">
      <c r="A10122" s="2" t="str">
        <f ca="1">IFERROR(__xludf.DUMMYFUNCTION("""COMPUTED_VALUE"""),"Simon, Lucy")</f>
        <v>Simon, Lucy</v>
      </c>
      <c r="B10122" s="3">
        <f ca="1">IFERROR(__xludf.DUMMYFUNCTION("""COMPUTED_VALUE"""),2)</f>
        <v>2</v>
      </c>
      <c r="C10122" s="7">
        <f ca="1">IFERROR(__xludf.DUMMYFUNCTION("""COMPUTED_VALUE"""),2)</f>
        <v>2</v>
      </c>
      <c r="D10122" s="8">
        <f ca="1">IFERROR(__xludf.DUMMYFUNCTION("""COMPUTED_VALUE"""),2)</f>
        <v>2</v>
      </c>
      <c r="E10122" s="2">
        <f ca="1">IFERROR(__xludf.DUMMYFUNCTION("""COMPUTED_VALUE"""),1)</f>
        <v>1</v>
      </c>
    </row>
    <row r="10123" spans="1:5" ht="13">
      <c r="A10123" s="2" t="str">
        <f ca="1">IFERROR(__xludf.DUMMYFUNCTION("""COMPUTED_VALUE"""),"Simpson-Curenton, Evelyn")</f>
        <v>Simpson-Curenton, Evelyn</v>
      </c>
      <c r="B10123" s="3">
        <f ca="1">IFERROR(__xludf.DUMMYFUNCTION("""COMPUTED_VALUE"""),2)</f>
        <v>2</v>
      </c>
      <c r="C10123" s="7">
        <f ca="1">IFERROR(__xludf.DUMMYFUNCTION("""COMPUTED_VALUE"""),2)</f>
        <v>2</v>
      </c>
      <c r="D10123" s="8">
        <f ca="1">IFERROR(__xludf.DUMMYFUNCTION("""COMPUTED_VALUE"""),2)</f>
        <v>2</v>
      </c>
      <c r="E10123" s="2">
        <f ca="1">IFERROR(__xludf.DUMMYFUNCTION("""COMPUTED_VALUE"""),1)</f>
        <v>1</v>
      </c>
    </row>
    <row r="10124" spans="1:5" ht="13">
      <c r="A10124" s="2" t="str">
        <f ca="1">IFERROR(__xludf.DUMMYFUNCTION("""COMPUTED_VALUE"""),"Sinclair, Sue")</f>
        <v>Sinclair, Sue</v>
      </c>
      <c r="B10124" s="3">
        <f ca="1">IFERROR(__xludf.DUMMYFUNCTION("""COMPUTED_VALUE"""),2)</f>
        <v>2</v>
      </c>
      <c r="C10124" s="7">
        <f ca="1">IFERROR(__xludf.DUMMYFUNCTION("""COMPUTED_VALUE"""),2)</f>
        <v>2</v>
      </c>
      <c r="D10124" s="8">
        <f ca="1">IFERROR(__xludf.DUMMYFUNCTION("""COMPUTED_VALUE"""),2)</f>
        <v>2</v>
      </c>
      <c r="E10124" s="2">
        <f ca="1">IFERROR(__xludf.DUMMYFUNCTION("""COMPUTED_VALUE"""),1)</f>
        <v>1</v>
      </c>
    </row>
    <row r="10125" spans="1:5" ht="13">
      <c r="A10125" s="2" t="str">
        <f ca="1">IFERROR(__xludf.DUMMYFUNCTION("""COMPUTED_VALUE"""),"Sinclair, Terri")</f>
        <v>Sinclair, Terri</v>
      </c>
      <c r="B10125" s="3">
        <f ca="1">IFERROR(__xludf.DUMMYFUNCTION("""COMPUTED_VALUE"""),2)</f>
        <v>2</v>
      </c>
      <c r="C10125" s="7">
        <f ca="1">IFERROR(__xludf.DUMMYFUNCTION("""COMPUTED_VALUE"""),2)</f>
        <v>2</v>
      </c>
      <c r="D10125" s="8">
        <f ca="1">IFERROR(__xludf.DUMMYFUNCTION("""COMPUTED_VALUE"""),2)</f>
        <v>2</v>
      </c>
      <c r="E10125" s="2">
        <f ca="1">IFERROR(__xludf.DUMMYFUNCTION("""COMPUTED_VALUE"""),1)</f>
        <v>1</v>
      </c>
    </row>
    <row r="10126" spans="1:5" ht="13">
      <c r="A10126" s="2" t="str">
        <f ca="1">IFERROR(__xludf.DUMMYFUNCTION("""COMPUTED_VALUE"""),"Singleton, Emily")</f>
        <v>Singleton, Emily</v>
      </c>
      <c r="B10126" s="3">
        <f ca="1">IFERROR(__xludf.DUMMYFUNCTION("""COMPUTED_VALUE"""),2)</f>
        <v>2</v>
      </c>
      <c r="C10126" s="7">
        <f ca="1">IFERROR(__xludf.DUMMYFUNCTION("""COMPUTED_VALUE"""),2)</f>
        <v>2</v>
      </c>
      <c r="D10126" s="8">
        <f ca="1">IFERROR(__xludf.DUMMYFUNCTION("""COMPUTED_VALUE"""),2)</f>
        <v>2</v>
      </c>
      <c r="E10126" s="2">
        <f ca="1">IFERROR(__xludf.DUMMYFUNCTION("""COMPUTED_VALUE"""),1)</f>
        <v>1</v>
      </c>
    </row>
    <row r="10127" spans="1:5" ht="13">
      <c r="A10127" s="8" t="str">
        <f ca="1">IFERROR(__xludf.DUMMYFUNCTION("""COMPUTED_VALUE"""),"Sirmen, Maddalena Laura Lombardini")</f>
        <v>Sirmen, Maddalena Laura Lombardini</v>
      </c>
      <c r="B10127" s="3">
        <f ca="1">IFERROR(__xludf.DUMMYFUNCTION("""COMPUTED_VALUE"""),2)</f>
        <v>2</v>
      </c>
      <c r="C10127" s="7">
        <f ca="1">IFERROR(__xludf.DUMMYFUNCTION("""COMPUTED_VALUE"""),2)</f>
        <v>2</v>
      </c>
      <c r="D10127" s="8">
        <f ca="1">IFERROR(__xludf.DUMMYFUNCTION("""COMPUTED_VALUE"""),6)</f>
        <v>6</v>
      </c>
      <c r="E10127" s="2">
        <f ca="1">IFERROR(__xludf.DUMMYFUNCTION("""COMPUTED_VALUE"""),2)</f>
        <v>2</v>
      </c>
    </row>
    <row r="10128" spans="1:5" ht="13">
      <c r="A10128" s="2" t="str">
        <f ca="1">IFERROR(__xludf.DUMMYFUNCTION("""COMPUTED_VALUE"""),"Sister M Elaine")</f>
        <v>Sister M Elaine</v>
      </c>
      <c r="B10128" s="3">
        <f ca="1">IFERROR(__xludf.DUMMYFUNCTION("""COMPUTED_VALUE"""),2)</f>
        <v>2</v>
      </c>
      <c r="C10128" s="7">
        <f ca="1">IFERROR(__xludf.DUMMYFUNCTION("""COMPUTED_VALUE"""),2)</f>
        <v>2</v>
      </c>
      <c r="D10128" s="8">
        <f ca="1">IFERROR(__xludf.DUMMYFUNCTION("""COMPUTED_VALUE"""),6)</f>
        <v>6</v>
      </c>
      <c r="E10128" s="2">
        <f ca="1">IFERROR(__xludf.DUMMYFUNCTION("""COMPUTED_VALUE"""),2)</f>
        <v>2</v>
      </c>
    </row>
    <row r="10129" spans="1:5" ht="13">
      <c r="A10129" s="2" t="str">
        <f ca="1">IFERROR(__xludf.DUMMYFUNCTION("""COMPUTED_VALUE"""),"Sister Mary Aloyse")</f>
        <v>Sister Mary Aloyse</v>
      </c>
      <c r="B10129" s="3">
        <f ca="1">IFERROR(__xludf.DUMMYFUNCTION("""COMPUTED_VALUE"""),2)</f>
        <v>2</v>
      </c>
      <c r="C10129" s="7">
        <f ca="1">IFERROR(__xludf.DUMMYFUNCTION("""COMPUTED_VALUE"""),2)</f>
        <v>2</v>
      </c>
      <c r="D10129" s="8">
        <f ca="1">IFERROR(__xludf.DUMMYFUNCTION("""COMPUTED_VALUE"""),6)</f>
        <v>6</v>
      </c>
      <c r="E10129" s="2">
        <f ca="1">IFERROR(__xludf.DUMMYFUNCTION("""COMPUTED_VALUE"""),2)</f>
        <v>2</v>
      </c>
    </row>
    <row r="10130" spans="1:5" ht="13">
      <c r="A10130" s="8" t="str">
        <f ca="1">IFERROR(__xludf.DUMMYFUNCTION("""COMPUTED_VALUE"""),"Sköld, Agneta")</f>
        <v>Sköld, Agneta</v>
      </c>
      <c r="B10130" s="3">
        <f ca="1">IFERROR(__xludf.DUMMYFUNCTION("""COMPUTED_VALUE"""),2)</f>
        <v>2</v>
      </c>
      <c r="C10130" s="7">
        <f ca="1">IFERROR(__xludf.DUMMYFUNCTION("""COMPUTED_VALUE"""),2)</f>
        <v>2</v>
      </c>
      <c r="D10130" s="8">
        <f ca="1">IFERROR(__xludf.DUMMYFUNCTION("""COMPUTED_VALUE"""),2)</f>
        <v>2</v>
      </c>
      <c r="E10130" s="2">
        <f ca="1">IFERROR(__xludf.DUMMYFUNCTION("""COMPUTED_VALUE"""),1)</f>
        <v>1</v>
      </c>
    </row>
    <row r="10131" spans="1:5" ht="13">
      <c r="A10131" s="8" t="str">
        <f ca="1">IFERROR(__xludf.DUMMYFUNCTION("""COMPUTED_VALUE"""),"Slater, Angela")</f>
        <v>Slater, Angela</v>
      </c>
      <c r="B10131" s="3">
        <f ca="1">IFERROR(__xludf.DUMMYFUNCTION("""COMPUTED_VALUE"""),2)</f>
        <v>2</v>
      </c>
      <c r="C10131" s="7">
        <f ca="1">IFERROR(__xludf.DUMMYFUNCTION("""COMPUTED_VALUE"""),2)</f>
        <v>2</v>
      </c>
      <c r="D10131" s="8">
        <f ca="1">IFERROR(__xludf.DUMMYFUNCTION("""COMPUTED_VALUE"""),2)</f>
        <v>2</v>
      </c>
      <c r="E10131" s="2">
        <f ca="1">IFERROR(__xludf.DUMMYFUNCTION("""COMPUTED_VALUE"""),1)</f>
        <v>1</v>
      </c>
    </row>
    <row r="10132" spans="1:5" ht="13">
      <c r="A10132" s="2" t="str">
        <f ca="1">IFERROR(__xludf.DUMMYFUNCTION("""COMPUTED_VALUE"""),"Sleeth, Natalie")</f>
        <v>Sleeth, Natalie</v>
      </c>
      <c r="B10132" s="3">
        <f ca="1">IFERROR(__xludf.DUMMYFUNCTION("""COMPUTED_VALUE"""),2)</f>
        <v>2</v>
      </c>
      <c r="C10132" s="7">
        <f ca="1">IFERROR(__xludf.DUMMYFUNCTION("""COMPUTED_VALUE"""),2)</f>
        <v>2</v>
      </c>
      <c r="D10132" s="8">
        <f ca="1">IFERROR(__xludf.DUMMYFUNCTION("""COMPUTED_VALUE"""),6)</f>
        <v>6</v>
      </c>
      <c r="E10132" s="2">
        <f ca="1">IFERROR(__xludf.DUMMYFUNCTION("""COMPUTED_VALUE"""),2)</f>
        <v>2</v>
      </c>
    </row>
    <row r="10133" spans="1:5" ht="13">
      <c r="A10133" s="2" t="str">
        <f ca="1">IFERROR(__xludf.DUMMYFUNCTION("""COMPUTED_VALUE"""),"Sletto, Barbara")</f>
        <v>Sletto, Barbara</v>
      </c>
      <c r="B10133" s="3">
        <f ca="1">IFERROR(__xludf.DUMMYFUNCTION("""COMPUTED_VALUE"""),2)</f>
        <v>2</v>
      </c>
      <c r="C10133" s="7">
        <f ca="1">IFERROR(__xludf.DUMMYFUNCTION("""COMPUTED_VALUE"""),2)</f>
        <v>2</v>
      </c>
      <c r="D10133" s="8">
        <f ca="1">IFERROR(__xludf.DUMMYFUNCTION("""COMPUTED_VALUE"""),2)</f>
        <v>2</v>
      </c>
      <c r="E10133" s="2">
        <f ca="1">IFERROR(__xludf.DUMMYFUNCTION("""COMPUTED_VALUE"""),1)</f>
        <v>1</v>
      </c>
    </row>
    <row r="10134" spans="1:5" ht="13">
      <c r="A10134" s="2" t="str">
        <f ca="1">IFERROR(__xludf.DUMMYFUNCTION("""COMPUTED_VALUE"""),"Smart, Elizabeth")</f>
        <v>Smart, Elizabeth</v>
      </c>
      <c r="B10134" s="2">
        <f ca="1">IFERROR(__xludf.DUMMYFUNCTION("""COMPUTED_VALUE"""),2)</f>
        <v>2</v>
      </c>
      <c r="C10134" s="7">
        <f ca="1">IFERROR(__xludf.DUMMYFUNCTION("""COMPUTED_VALUE"""),2)</f>
        <v>2</v>
      </c>
      <c r="D10134" s="8">
        <f ca="1">IFERROR(__xludf.DUMMYFUNCTION("""COMPUTED_VALUE"""),2)</f>
        <v>2</v>
      </c>
      <c r="E10134" s="2">
        <f ca="1">IFERROR(__xludf.DUMMYFUNCTION("""COMPUTED_VALUE"""),1)</f>
        <v>1</v>
      </c>
    </row>
    <row r="10135" spans="1:5" ht="13">
      <c r="A10135" s="2" t="str">
        <f ca="1">IFERROR(__xludf.DUMMYFUNCTION("""COMPUTED_VALUE"""),"Smiley, Moira")</f>
        <v>Smiley, Moira</v>
      </c>
      <c r="B10135" s="3">
        <f ca="1">IFERROR(__xludf.DUMMYFUNCTION("""COMPUTED_VALUE"""),2)</f>
        <v>2</v>
      </c>
      <c r="C10135" s="7">
        <f ca="1">IFERROR(__xludf.DUMMYFUNCTION("""COMPUTED_VALUE"""),2)</f>
        <v>2</v>
      </c>
      <c r="D10135" s="8">
        <f ca="1">IFERROR(__xludf.DUMMYFUNCTION("""COMPUTED_VALUE"""),2)</f>
        <v>2</v>
      </c>
      <c r="E10135" s="2">
        <f ca="1">IFERROR(__xludf.DUMMYFUNCTION("""COMPUTED_VALUE"""),1)</f>
        <v>1</v>
      </c>
    </row>
    <row r="10136" spans="1:5" ht="13">
      <c r="A10136" s="8" t="str">
        <f ca="1">IFERROR(__xludf.DUMMYFUNCTION("""COMPUTED_VALUE"""),"Smisek, Anita")</f>
        <v>Smisek, Anita</v>
      </c>
      <c r="B10136" s="3">
        <f ca="1">IFERROR(__xludf.DUMMYFUNCTION("""COMPUTED_VALUE"""),2)</f>
        <v>2</v>
      </c>
      <c r="C10136" s="7">
        <f ca="1">IFERROR(__xludf.DUMMYFUNCTION("""COMPUTED_VALUE"""),2)</f>
        <v>2</v>
      </c>
      <c r="D10136" s="8">
        <f ca="1">IFERROR(__xludf.DUMMYFUNCTION("""COMPUTED_VALUE"""),2)</f>
        <v>2</v>
      </c>
      <c r="E10136" s="2">
        <f ca="1">IFERROR(__xludf.DUMMYFUNCTION("""COMPUTED_VALUE"""),1)</f>
        <v>1</v>
      </c>
    </row>
    <row r="10137" spans="1:5" ht="13">
      <c r="A10137" s="2" t="str">
        <f ca="1">IFERROR(__xludf.DUMMYFUNCTION("""COMPUTED_VALUE"""),"Smisek, Anita / Blahnik, Joel")</f>
        <v>Smisek, Anita / Blahnik, Joel</v>
      </c>
      <c r="B10137" s="3">
        <f ca="1">IFERROR(__xludf.DUMMYFUNCTION("""COMPUTED_VALUE"""),2)</f>
        <v>2</v>
      </c>
      <c r="C10137" s="7">
        <f ca="1">IFERROR(__xludf.DUMMYFUNCTION("""COMPUTED_VALUE"""),2)</f>
        <v>2</v>
      </c>
      <c r="D10137" s="8">
        <f ca="1">IFERROR(__xludf.DUMMYFUNCTION("""COMPUTED_VALUE"""),2)</f>
        <v>2</v>
      </c>
      <c r="E10137" s="2">
        <f ca="1">IFERROR(__xludf.DUMMYFUNCTION("""COMPUTED_VALUE"""),1)</f>
        <v>1</v>
      </c>
    </row>
    <row r="10138" spans="1:5" ht="13">
      <c r="A10138" s="8" t="str">
        <f ca="1">IFERROR(__xludf.DUMMYFUNCTION("""COMPUTED_VALUE"""),"Smith, Alice Mary")</f>
        <v>Smith, Alice Mary</v>
      </c>
      <c r="B10138" s="3">
        <f ca="1">IFERROR(__xludf.DUMMYFUNCTION("""COMPUTED_VALUE"""),2)</f>
        <v>2</v>
      </c>
      <c r="C10138" s="7">
        <f ca="1">IFERROR(__xludf.DUMMYFUNCTION("""COMPUTED_VALUE"""),2)</f>
        <v>2</v>
      </c>
      <c r="D10138" s="8">
        <f ca="1">IFERROR(__xludf.DUMMYFUNCTION("""COMPUTED_VALUE"""),6)</f>
        <v>6</v>
      </c>
      <c r="E10138" s="2">
        <f ca="1">IFERROR(__xludf.DUMMYFUNCTION("""COMPUTED_VALUE"""),2)</f>
        <v>2</v>
      </c>
    </row>
    <row r="10139" spans="1:5" ht="13">
      <c r="A10139" s="2" t="str">
        <f ca="1">IFERROR(__xludf.DUMMYFUNCTION("""COMPUTED_VALUE"""),"Smith, Dorothy")</f>
        <v>Smith, Dorothy</v>
      </c>
      <c r="B10139" s="3">
        <f ca="1">IFERROR(__xludf.DUMMYFUNCTION("""COMPUTED_VALUE"""),2)</f>
        <v>2</v>
      </c>
      <c r="C10139" s="7">
        <f ca="1">IFERROR(__xludf.DUMMYFUNCTION("""COMPUTED_VALUE"""),2)</f>
        <v>2</v>
      </c>
      <c r="D10139" s="8">
        <f ca="1">IFERROR(__xludf.DUMMYFUNCTION("""COMPUTED_VALUE"""),6)</f>
        <v>6</v>
      </c>
      <c r="E10139" s="2">
        <f ca="1">IFERROR(__xludf.DUMMYFUNCTION("""COMPUTED_VALUE"""),2)</f>
        <v>2</v>
      </c>
    </row>
    <row r="10140" spans="1:5" ht="13">
      <c r="A10140" s="2" t="str">
        <f ca="1">IFERROR(__xludf.DUMMYFUNCTION("""COMPUTED_VALUE"""),"Smith, Gabriella")</f>
        <v>Smith, Gabriella</v>
      </c>
      <c r="B10140" s="3">
        <f ca="1">IFERROR(__xludf.DUMMYFUNCTION("""COMPUTED_VALUE"""),2)</f>
        <v>2</v>
      </c>
      <c r="C10140" s="7">
        <f ca="1">IFERROR(__xludf.DUMMYFUNCTION("""COMPUTED_VALUE"""),2)</f>
        <v>2</v>
      </c>
      <c r="D10140" s="8">
        <f ca="1">IFERROR(__xludf.DUMMYFUNCTION("""COMPUTED_VALUE"""),2)</f>
        <v>2</v>
      </c>
      <c r="E10140" s="2">
        <f ca="1">IFERROR(__xludf.DUMMYFUNCTION("""COMPUTED_VALUE"""),1)</f>
        <v>1</v>
      </c>
    </row>
    <row r="10141" spans="1:5" ht="13">
      <c r="A10141" s="2" t="str">
        <f ca="1">IFERROR(__xludf.DUMMYFUNCTION("""COMPUTED_VALUE"""),"Smith, Jessie")</f>
        <v>Smith, Jessie</v>
      </c>
      <c r="B10141" s="3">
        <f ca="1">IFERROR(__xludf.DUMMYFUNCTION("""COMPUTED_VALUE"""),2)</f>
        <v>2</v>
      </c>
      <c r="C10141" s="7">
        <f ca="1">IFERROR(__xludf.DUMMYFUNCTION("""COMPUTED_VALUE"""),2)</f>
        <v>2</v>
      </c>
      <c r="D10141" s="8">
        <f ca="1">IFERROR(__xludf.DUMMYFUNCTION("""COMPUTED_VALUE"""),2)</f>
        <v>2</v>
      </c>
      <c r="E10141" s="2">
        <f ca="1">IFERROR(__xludf.DUMMYFUNCTION("""COMPUTED_VALUE"""),1)</f>
        <v>1</v>
      </c>
    </row>
    <row r="10142" spans="1:5" ht="13">
      <c r="A10142" s="2" t="str">
        <f ca="1">IFERROR(__xludf.DUMMYFUNCTION("""COMPUTED_VALUE"""),"Smith, Linda Catlin")</f>
        <v>Smith, Linda Catlin</v>
      </c>
      <c r="B10142" s="3">
        <f ca="1">IFERROR(__xludf.DUMMYFUNCTION("""COMPUTED_VALUE"""),2)</f>
        <v>2</v>
      </c>
      <c r="C10142" s="7">
        <f ca="1">IFERROR(__xludf.DUMMYFUNCTION("""COMPUTED_VALUE"""),2)</f>
        <v>2</v>
      </c>
      <c r="D10142" s="8">
        <f ca="1">IFERROR(__xludf.DUMMYFUNCTION("""COMPUTED_VALUE"""),2)</f>
        <v>2</v>
      </c>
      <c r="E10142" s="2">
        <f ca="1">IFERROR(__xludf.DUMMYFUNCTION("""COMPUTED_VALUE"""),1)</f>
        <v>1</v>
      </c>
    </row>
    <row r="10143" spans="1:5" ht="13">
      <c r="A10143" s="2" t="str">
        <f ca="1">IFERROR(__xludf.DUMMYFUNCTION("""COMPUTED_VALUE"""),"Smith, Sarah A.")</f>
        <v>Smith, Sarah A.</v>
      </c>
      <c r="B10143" s="3">
        <f ca="1">IFERROR(__xludf.DUMMYFUNCTION("""COMPUTED_VALUE"""),2)</f>
        <v>2</v>
      </c>
      <c r="C10143" s="7">
        <f ca="1">IFERROR(__xludf.DUMMYFUNCTION("""COMPUTED_VALUE"""),2)</f>
        <v>2</v>
      </c>
      <c r="D10143" s="8">
        <f ca="1">IFERROR(__xludf.DUMMYFUNCTION("""COMPUTED_VALUE"""),2)</f>
        <v>2</v>
      </c>
      <c r="E10143" s="2">
        <f ca="1">IFERROR(__xludf.DUMMYFUNCTION("""COMPUTED_VALUE"""),1)</f>
        <v>1</v>
      </c>
    </row>
    <row r="10144" spans="1:5" ht="13">
      <c r="A10144" s="2" t="str">
        <f ca="1">IFERROR(__xludf.DUMMYFUNCTION("""COMPUTED_VALUE"""),"Smyth, Dame Ethel")</f>
        <v>Smyth, Dame Ethel</v>
      </c>
      <c r="B10144" s="3">
        <f ca="1">IFERROR(__xludf.DUMMYFUNCTION("""COMPUTED_VALUE"""),2)</f>
        <v>2</v>
      </c>
      <c r="C10144" s="7">
        <f ca="1">IFERROR(__xludf.DUMMYFUNCTION("""COMPUTED_VALUE"""),2)</f>
        <v>2</v>
      </c>
      <c r="D10144" s="8">
        <f ca="1">IFERROR(__xludf.DUMMYFUNCTION("""COMPUTED_VALUE"""),6)</f>
        <v>6</v>
      </c>
      <c r="E10144" s="2">
        <f ca="1">IFERROR(__xludf.DUMMYFUNCTION("""COMPUTED_VALUE"""),2)</f>
        <v>2</v>
      </c>
    </row>
    <row r="10145" spans="1:5" ht="13">
      <c r="A10145" s="2" t="str">
        <f ca="1">IFERROR(__xludf.DUMMYFUNCTION("""COMPUTED_VALUE"""),"Smyth, Ethel")</f>
        <v>Smyth, Ethel</v>
      </c>
      <c r="B10145" s="3">
        <f ca="1">IFERROR(__xludf.DUMMYFUNCTION("""COMPUTED_VALUE"""),2)</f>
        <v>2</v>
      </c>
      <c r="C10145" s="7">
        <f ca="1">IFERROR(__xludf.DUMMYFUNCTION("""COMPUTED_VALUE"""),2)</f>
        <v>2</v>
      </c>
      <c r="D10145" s="8">
        <f ca="1">IFERROR(__xludf.DUMMYFUNCTION("""COMPUTED_VALUE"""),6)</f>
        <v>6</v>
      </c>
      <c r="E10145" s="2">
        <f ca="1">IFERROR(__xludf.DUMMYFUNCTION("""COMPUTED_VALUE"""),2)</f>
        <v>2</v>
      </c>
    </row>
    <row r="10146" spans="1:5" ht="13">
      <c r="A10146" s="2" t="str">
        <f ca="1">IFERROR(__xludf.DUMMYFUNCTION("""COMPUTED_VALUE"""),"Sneed, Bonnie")</f>
        <v>Sneed, Bonnie</v>
      </c>
      <c r="B10146" s="2">
        <f ca="1">IFERROR(__xludf.DUMMYFUNCTION("""COMPUTED_VALUE"""),2)</f>
        <v>2</v>
      </c>
      <c r="C10146" s="2">
        <f ca="1">IFERROR(__xludf.DUMMYFUNCTION("""COMPUTED_VALUE"""),2)</f>
        <v>2</v>
      </c>
      <c r="D10146" s="8">
        <f ca="1">IFERROR(__xludf.DUMMYFUNCTION("""COMPUTED_VALUE"""),2)</f>
        <v>2</v>
      </c>
      <c r="E10146" s="2">
        <f ca="1">IFERROR(__xludf.DUMMYFUNCTION("""COMPUTED_VALUE"""),1)</f>
        <v>1</v>
      </c>
    </row>
    <row r="10147" spans="1:5" ht="13">
      <c r="A10147" s="2" t="str">
        <f ca="1">IFERROR(__xludf.DUMMYFUNCTION("""COMPUTED_VALUE"""),"Snider, Sarah Kirkland")</f>
        <v>Snider, Sarah Kirkland</v>
      </c>
      <c r="B10147" s="3">
        <f ca="1">IFERROR(__xludf.DUMMYFUNCTION("""COMPUTED_VALUE"""),2)</f>
        <v>2</v>
      </c>
      <c r="C10147" s="7">
        <f ca="1">IFERROR(__xludf.DUMMYFUNCTION("""COMPUTED_VALUE"""),2)</f>
        <v>2</v>
      </c>
      <c r="D10147" s="8">
        <f ca="1">IFERROR(__xludf.DUMMYFUNCTION("""COMPUTED_VALUE"""),2)</f>
        <v>2</v>
      </c>
      <c r="E10147" s="2">
        <f ca="1">IFERROR(__xludf.DUMMYFUNCTION("""COMPUTED_VALUE"""),1)</f>
        <v>1</v>
      </c>
    </row>
    <row r="10148" spans="1:5" ht="13">
      <c r="A10148" s="8" t="str">
        <f ca="1">IFERROR(__xludf.DUMMYFUNCTION("""COMPUTED_VALUE"""),"Snyder, Audrey")</f>
        <v>Snyder, Audrey</v>
      </c>
      <c r="B10148" s="3">
        <f ca="1">IFERROR(__xludf.DUMMYFUNCTION("""COMPUTED_VALUE"""),2)</f>
        <v>2</v>
      </c>
      <c r="C10148" s="7">
        <f ca="1">IFERROR(__xludf.DUMMYFUNCTION("""COMPUTED_VALUE"""),2)</f>
        <v>2</v>
      </c>
      <c r="D10148" s="8">
        <f ca="1">IFERROR(__xludf.DUMMYFUNCTION("""COMPUTED_VALUE"""),2)</f>
        <v>2</v>
      </c>
      <c r="E10148" s="2">
        <f ca="1">IFERROR(__xludf.DUMMYFUNCTION("""COMPUTED_VALUE"""),1)</f>
        <v>1</v>
      </c>
    </row>
    <row r="10149" spans="1:5" ht="13">
      <c r="A10149" s="2" t="str">
        <f ca="1">IFERROR(__xludf.DUMMYFUNCTION("""COMPUTED_VALUE"""),"Snyder, Audrey / Larson, Steve")</f>
        <v>Snyder, Audrey / Larson, Steve</v>
      </c>
      <c r="B10149" s="2">
        <f ca="1">IFERROR(__xludf.DUMMYFUNCTION("""COMPUTED_VALUE"""),2)</f>
        <v>2</v>
      </c>
      <c r="C10149" s="2">
        <f ca="1">IFERROR(__xludf.DUMMYFUNCTION("""COMPUTED_VALUE"""),2)</f>
        <v>2</v>
      </c>
      <c r="D10149" s="8">
        <f ca="1">IFERROR(__xludf.DUMMYFUNCTION("""COMPUTED_VALUE"""),2)</f>
        <v>2</v>
      </c>
      <c r="E10149" s="2">
        <f ca="1">IFERROR(__xludf.DUMMYFUNCTION("""COMPUTED_VALUE"""),1)</f>
        <v>1</v>
      </c>
    </row>
    <row r="10150" spans="1:5" ht="13">
      <c r="A10150" s="2" t="str">
        <f ca="1">IFERROR(__xludf.DUMMYFUNCTION("""COMPUTED_VALUE"""),"Sokolovic, Ana")</f>
        <v>Sokolovic, Ana</v>
      </c>
      <c r="B10150" s="3">
        <f ca="1">IFERROR(__xludf.DUMMYFUNCTION("""COMPUTED_VALUE"""),2)</f>
        <v>2</v>
      </c>
      <c r="C10150" s="7">
        <f ca="1">IFERROR(__xludf.DUMMYFUNCTION("""COMPUTED_VALUE"""),2)</f>
        <v>2</v>
      </c>
      <c r="D10150" s="8">
        <f ca="1">IFERROR(__xludf.DUMMYFUNCTION("""COMPUTED_VALUE"""),2)</f>
        <v>2</v>
      </c>
      <c r="E10150" s="2">
        <f ca="1">IFERROR(__xludf.DUMMYFUNCTION("""COMPUTED_VALUE"""),1)</f>
        <v>1</v>
      </c>
    </row>
    <row r="10151" spans="1:5" ht="13">
      <c r="A10151" s="2" t="str">
        <f ca="1">IFERROR(__xludf.DUMMYFUNCTION("""COMPUTED_VALUE"""),"Solomon, Maribeth")</f>
        <v>Solomon, Maribeth</v>
      </c>
      <c r="B10151" s="3">
        <f ca="1">IFERROR(__xludf.DUMMYFUNCTION("""COMPUTED_VALUE"""),2)</f>
        <v>2</v>
      </c>
      <c r="C10151" s="7">
        <f ca="1">IFERROR(__xludf.DUMMYFUNCTION("""COMPUTED_VALUE"""),2)</f>
        <v>2</v>
      </c>
      <c r="D10151" s="8">
        <f ca="1">IFERROR(__xludf.DUMMYFUNCTION("""COMPUTED_VALUE"""),2)</f>
        <v>2</v>
      </c>
      <c r="E10151" s="2">
        <f ca="1">IFERROR(__xludf.DUMMYFUNCTION("""COMPUTED_VALUE"""),1)</f>
        <v>1</v>
      </c>
    </row>
    <row r="10152" spans="1:5" ht="13">
      <c r="A10152" s="2" t="str">
        <f ca="1">IFERROR(__xludf.DUMMYFUNCTION("""COMPUTED_VALUE"""),"Sonntag, Dawn")</f>
        <v>Sonntag, Dawn</v>
      </c>
      <c r="B10152" s="3">
        <f ca="1">IFERROR(__xludf.DUMMYFUNCTION("""COMPUTED_VALUE"""),2)</f>
        <v>2</v>
      </c>
      <c r="C10152" s="7">
        <f ca="1">IFERROR(__xludf.DUMMYFUNCTION("""COMPUTED_VALUE"""),2)</f>
        <v>2</v>
      </c>
      <c r="D10152" s="8">
        <f ca="1">IFERROR(__xludf.DUMMYFUNCTION("""COMPUTED_VALUE"""),2)</f>
        <v>2</v>
      </c>
      <c r="E10152" s="2">
        <f ca="1">IFERROR(__xludf.DUMMYFUNCTION("""COMPUTED_VALUE"""),1)</f>
        <v>1</v>
      </c>
    </row>
    <row r="10153" spans="1:5" ht="13">
      <c r="A10153" s="2" t="str">
        <f ca="1">IFERROR(__xludf.DUMMYFUNCTION("""COMPUTED_VALUE"""),"Soper, Kate")</f>
        <v>Soper, Kate</v>
      </c>
      <c r="B10153" s="3">
        <f ca="1">IFERROR(__xludf.DUMMYFUNCTION("""COMPUTED_VALUE"""),2)</f>
        <v>2</v>
      </c>
      <c r="C10153" s="7">
        <f ca="1">IFERROR(__xludf.DUMMYFUNCTION("""COMPUTED_VALUE"""),2)</f>
        <v>2</v>
      </c>
      <c r="D10153" s="8">
        <f ca="1">IFERROR(__xludf.DUMMYFUNCTION("""COMPUTED_VALUE"""),2)</f>
        <v>2</v>
      </c>
      <c r="E10153" s="2">
        <f ca="1">IFERROR(__xludf.DUMMYFUNCTION("""COMPUTED_VALUE"""),1)</f>
        <v>1</v>
      </c>
    </row>
    <row r="10154" spans="1:5" ht="13">
      <c r="A10154" s="2" t="str">
        <f ca="1">IFERROR(__xludf.DUMMYFUNCTION("""COMPUTED_VALUE"""),"Sorensen, Sophia")</f>
        <v>Sorensen, Sophia</v>
      </c>
      <c r="B10154" s="3">
        <f ca="1">IFERROR(__xludf.DUMMYFUNCTION("""COMPUTED_VALUE"""),2)</f>
        <v>2</v>
      </c>
      <c r="C10154" s="7">
        <f ca="1">IFERROR(__xludf.DUMMYFUNCTION("""COMPUTED_VALUE"""),2)</f>
        <v>2</v>
      </c>
      <c r="D10154" s="8">
        <f ca="1">IFERROR(__xludf.DUMMYFUNCTION("""COMPUTED_VALUE"""),2)</f>
        <v>2</v>
      </c>
      <c r="E10154" s="2">
        <f ca="1">IFERROR(__xludf.DUMMYFUNCTION("""COMPUTED_VALUE"""),1)</f>
        <v>1</v>
      </c>
    </row>
    <row r="10155" spans="1:5" ht="13">
      <c r="A10155" s="2" t="str">
        <f ca="1">IFERROR(__xludf.DUMMYFUNCTION("""COMPUTED_VALUE"""),"Sorenson, Heather")</f>
        <v>Sorenson, Heather</v>
      </c>
      <c r="B10155" s="3">
        <f ca="1">IFERROR(__xludf.DUMMYFUNCTION("""COMPUTED_VALUE"""),2)</f>
        <v>2</v>
      </c>
      <c r="C10155" s="7">
        <f ca="1">IFERROR(__xludf.DUMMYFUNCTION("""COMPUTED_VALUE"""),2)</f>
        <v>2</v>
      </c>
      <c r="D10155" s="8">
        <f ca="1">IFERROR(__xludf.DUMMYFUNCTION("""COMPUTED_VALUE"""),2)</f>
        <v>2</v>
      </c>
      <c r="E10155" s="2">
        <f ca="1">IFERROR(__xludf.DUMMYFUNCTION("""COMPUTED_VALUE"""),1)</f>
        <v>1</v>
      </c>
    </row>
    <row r="10156" spans="1:5" ht="13">
      <c r="A10156" s="2" t="str">
        <f ca="1">IFERROR(__xludf.DUMMYFUNCTION("""COMPUTED_VALUE"""),"Sorkin, Suzanne")</f>
        <v>Sorkin, Suzanne</v>
      </c>
      <c r="B10156" s="3">
        <f ca="1">IFERROR(__xludf.DUMMYFUNCTION("""COMPUTED_VALUE"""),2)</f>
        <v>2</v>
      </c>
      <c r="C10156" s="7">
        <f ca="1">IFERROR(__xludf.DUMMYFUNCTION("""COMPUTED_VALUE"""),2)</f>
        <v>2</v>
      </c>
      <c r="D10156" s="8">
        <f ca="1">IFERROR(__xludf.DUMMYFUNCTION("""COMPUTED_VALUE"""),2)</f>
        <v>2</v>
      </c>
      <c r="E10156" s="2">
        <f ca="1">IFERROR(__xludf.DUMMYFUNCTION("""COMPUTED_VALUE"""),1)</f>
        <v>1</v>
      </c>
    </row>
    <row r="10157" spans="1:5" ht="13">
      <c r="A10157" s="2" t="str">
        <f ca="1">IFERROR(__xludf.DUMMYFUNCTION("""COMPUTED_VALUE"""),"Sparkhall, Olivia")</f>
        <v>Sparkhall, Olivia</v>
      </c>
      <c r="B10157" s="3">
        <f ca="1">IFERROR(__xludf.DUMMYFUNCTION("""COMPUTED_VALUE"""),2)</f>
        <v>2</v>
      </c>
      <c r="C10157" s="7">
        <f ca="1">IFERROR(__xludf.DUMMYFUNCTION("""COMPUTED_VALUE"""),2)</f>
        <v>2</v>
      </c>
      <c r="D10157" s="8">
        <f ca="1">IFERROR(__xludf.DUMMYFUNCTION("""COMPUTED_VALUE"""),2)</f>
        <v>2</v>
      </c>
      <c r="E10157" s="2">
        <f ca="1">IFERROR(__xludf.DUMMYFUNCTION("""COMPUTED_VALUE"""),1)</f>
        <v>1</v>
      </c>
    </row>
    <row r="10158" spans="1:5" ht="13">
      <c r="A10158" s="2" t="str">
        <f ca="1">IFERROR(__xludf.DUMMYFUNCTION("""COMPUTED_VALUE"""),"Spavelko, Lauren")</f>
        <v>Spavelko, Lauren</v>
      </c>
      <c r="B10158" s="3">
        <f ca="1">IFERROR(__xludf.DUMMYFUNCTION("""COMPUTED_VALUE"""),2)</f>
        <v>2</v>
      </c>
      <c r="C10158" s="7">
        <f ca="1">IFERROR(__xludf.DUMMYFUNCTION("""COMPUTED_VALUE"""),2)</f>
        <v>2</v>
      </c>
      <c r="D10158" s="8">
        <f ca="1">IFERROR(__xludf.DUMMYFUNCTION("""COMPUTED_VALUE"""),2)</f>
        <v>2</v>
      </c>
      <c r="E10158" s="2">
        <f ca="1">IFERROR(__xludf.DUMMYFUNCTION("""COMPUTED_VALUE"""),1)</f>
        <v>1</v>
      </c>
    </row>
    <row r="10159" spans="1:5" ht="13">
      <c r="A10159" s="2" t="str">
        <f ca="1">IFERROR(__xludf.DUMMYFUNCTION("""COMPUTED_VALUE"""),"Spears, Gay Holmes")</f>
        <v>Spears, Gay Holmes</v>
      </c>
      <c r="B10159" s="3">
        <f ca="1">IFERROR(__xludf.DUMMYFUNCTION("""COMPUTED_VALUE"""),2)</f>
        <v>2</v>
      </c>
      <c r="C10159" s="7">
        <f ca="1">IFERROR(__xludf.DUMMYFUNCTION("""COMPUTED_VALUE"""),2)</f>
        <v>2</v>
      </c>
      <c r="D10159" s="8">
        <f ca="1">IFERROR(__xludf.DUMMYFUNCTION("""COMPUTED_VALUE"""),2)</f>
        <v>2</v>
      </c>
      <c r="E10159" s="2">
        <f ca="1">IFERROR(__xludf.DUMMYFUNCTION("""COMPUTED_VALUE"""),1)</f>
        <v>1</v>
      </c>
    </row>
    <row r="10160" spans="1:5" ht="13">
      <c r="A10160" s="2" t="str">
        <f ca="1">IFERROR(__xludf.DUMMYFUNCTION("""COMPUTED_VALUE"""),"Specht, Elena")</f>
        <v>Specht, Elena</v>
      </c>
      <c r="B10160" s="3">
        <f ca="1">IFERROR(__xludf.DUMMYFUNCTION("""COMPUTED_VALUE"""),2)</f>
        <v>2</v>
      </c>
      <c r="C10160" s="7">
        <f ca="1">IFERROR(__xludf.DUMMYFUNCTION("""COMPUTED_VALUE"""),2)</f>
        <v>2</v>
      </c>
      <c r="D10160" s="8">
        <f ca="1">IFERROR(__xludf.DUMMYFUNCTION("""COMPUTED_VALUE"""),2)</f>
        <v>2</v>
      </c>
      <c r="E10160" s="2">
        <f ca="1">IFERROR(__xludf.DUMMYFUNCTION("""COMPUTED_VALUE"""),1)</f>
        <v>1</v>
      </c>
    </row>
    <row r="10161" spans="1:5" ht="13">
      <c r="A10161" s="2" t="str">
        <f ca="1">IFERROR(__xludf.DUMMYFUNCTION("""COMPUTED_VALUE"""),"Specht, Judy")</f>
        <v>Specht, Judy</v>
      </c>
      <c r="B10161" s="3">
        <f ca="1">IFERROR(__xludf.DUMMYFUNCTION("""COMPUTED_VALUE"""),2)</f>
        <v>2</v>
      </c>
      <c r="C10161" s="7">
        <f ca="1">IFERROR(__xludf.DUMMYFUNCTION("""COMPUTED_VALUE"""),2)</f>
        <v>2</v>
      </c>
      <c r="D10161" s="8">
        <f ca="1">IFERROR(__xludf.DUMMYFUNCTION("""COMPUTED_VALUE"""),2)</f>
        <v>2</v>
      </c>
      <c r="E10161" s="2">
        <f ca="1">IFERROR(__xludf.DUMMYFUNCTION("""COMPUTED_VALUE"""),1)</f>
        <v>1</v>
      </c>
    </row>
    <row r="10162" spans="1:5" ht="13">
      <c r="A10162" s="8" t="str">
        <f ca="1">IFERROR(__xludf.DUMMYFUNCTION("""COMPUTED_VALUE"""),"Spencer, Williametta")</f>
        <v>Spencer, Williametta</v>
      </c>
      <c r="B10162" s="3">
        <f ca="1">IFERROR(__xludf.DUMMYFUNCTION("""COMPUTED_VALUE"""),2)</f>
        <v>2</v>
      </c>
      <c r="C10162" s="7">
        <f ca="1">IFERROR(__xludf.DUMMYFUNCTION("""COMPUTED_VALUE"""),2)</f>
        <v>2</v>
      </c>
      <c r="D10162" s="8">
        <f ca="1">IFERROR(__xludf.DUMMYFUNCTION("""COMPUTED_VALUE"""),2)</f>
        <v>2</v>
      </c>
      <c r="E10162" s="2">
        <f ca="1">IFERROR(__xludf.DUMMYFUNCTION("""COMPUTED_VALUE"""),1)</f>
        <v>1</v>
      </c>
    </row>
    <row r="10163" spans="1:5" ht="13">
      <c r="A10163" s="8" t="str">
        <f ca="1">IFERROR(__xludf.DUMMYFUNCTION("""COMPUTED_VALUE"""),"Speta, Jarmela")</f>
        <v>Speta, Jarmela</v>
      </c>
      <c r="B10163" s="3">
        <f ca="1">IFERROR(__xludf.DUMMYFUNCTION("""COMPUTED_VALUE"""),2)</f>
        <v>2</v>
      </c>
      <c r="C10163" s="7">
        <f ca="1">IFERROR(__xludf.DUMMYFUNCTION("""COMPUTED_VALUE"""),2)</f>
        <v>2</v>
      </c>
      <c r="D10163" s="8">
        <f ca="1">IFERROR(__xludf.DUMMYFUNCTION("""COMPUTED_VALUE"""),6)</f>
        <v>6</v>
      </c>
      <c r="E10163" s="2">
        <f ca="1">IFERROR(__xludf.DUMMYFUNCTION("""COMPUTED_VALUE"""),2)</f>
        <v>2</v>
      </c>
    </row>
    <row r="10164" spans="1:5" ht="13">
      <c r="A10164" s="8" t="str">
        <f ca="1">IFERROR(__xludf.DUMMYFUNCTION("""COMPUTED_VALUE"""),"Spevacek, Linda")</f>
        <v>Spevacek, Linda</v>
      </c>
      <c r="B10164" s="3">
        <f ca="1">IFERROR(__xludf.DUMMYFUNCTION("""COMPUTED_VALUE"""),2)</f>
        <v>2</v>
      </c>
      <c r="C10164" s="7">
        <f ca="1">IFERROR(__xludf.DUMMYFUNCTION("""COMPUTED_VALUE"""),2)</f>
        <v>2</v>
      </c>
      <c r="D10164" s="8">
        <f ca="1">IFERROR(__xludf.DUMMYFUNCTION("""COMPUTED_VALUE"""),2)</f>
        <v>2</v>
      </c>
      <c r="E10164" s="2">
        <f ca="1">IFERROR(__xludf.DUMMYFUNCTION("""COMPUTED_VALUE"""),1)</f>
        <v>1</v>
      </c>
    </row>
    <row r="10165" spans="1:5" ht="13">
      <c r="A10165" s="2" t="str">
        <f ca="1">IFERROR(__xludf.DUMMYFUNCTION("""COMPUTED_VALUE"""),"Spinei, Cristina")</f>
        <v>Spinei, Cristina</v>
      </c>
      <c r="B10165" s="3">
        <f ca="1">IFERROR(__xludf.DUMMYFUNCTION("""COMPUTED_VALUE"""),2)</f>
        <v>2</v>
      </c>
      <c r="C10165" s="7">
        <f ca="1">IFERROR(__xludf.DUMMYFUNCTION("""COMPUTED_VALUE"""),2)</f>
        <v>2</v>
      </c>
      <c r="D10165" s="8">
        <f ca="1">IFERROR(__xludf.DUMMYFUNCTION("""COMPUTED_VALUE"""),2)</f>
        <v>2</v>
      </c>
      <c r="E10165" s="2">
        <f ca="1">IFERROR(__xludf.DUMMYFUNCTION("""COMPUTED_VALUE"""),1)</f>
        <v>1</v>
      </c>
    </row>
    <row r="10166" spans="1:5" ht="13">
      <c r="A10166" s="2" t="str">
        <f ca="1">IFERROR(__xludf.DUMMYFUNCTION("""COMPUTED_VALUE"""),"Stacy, Kara")</f>
        <v>Stacy, Kara</v>
      </c>
      <c r="B10166" s="3">
        <f ca="1">IFERROR(__xludf.DUMMYFUNCTION("""COMPUTED_VALUE"""),2)</f>
        <v>2</v>
      </c>
      <c r="C10166" s="7">
        <f ca="1">IFERROR(__xludf.DUMMYFUNCTION("""COMPUTED_VALUE"""),2)</f>
        <v>2</v>
      </c>
      <c r="D10166" s="8">
        <f ca="1">IFERROR(__xludf.DUMMYFUNCTION("""COMPUTED_VALUE"""),2)</f>
        <v>2</v>
      </c>
      <c r="E10166" s="2">
        <f ca="1">IFERROR(__xludf.DUMMYFUNCTION("""COMPUTED_VALUE"""),1)</f>
        <v>1</v>
      </c>
    </row>
    <row r="10167" spans="1:5" ht="13">
      <c r="A10167" s="2" t="str">
        <f ca="1">IFERROR(__xludf.DUMMYFUNCTION("""COMPUTED_VALUE"""),"Staggers, Celsie")</f>
        <v>Staggers, Celsie</v>
      </c>
      <c r="B10167" s="2">
        <f ca="1">IFERROR(__xludf.DUMMYFUNCTION("""COMPUTED_VALUE"""),2)</f>
        <v>2</v>
      </c>
      <c r="C10167" s="2">
        <f ca="1">IFERROR(__xludf.DUMMYFUNCTION("""COMPUTED_VALUE"""),2)</f>
        <v>2</v>
      </c>
      <c r="D10167" s="8">
        <f ca="1">IFERROR(__xludf.DUMMYFUNCTION("""COMPUTED_VALUE"""),2)</f>
        <v>2</v>
      </c>
      <c r="E10167" s="2">
        <f ca="1">IFERROR(__xludf.DUMMYFUNCTION("""COMPUTED_VALUE"""),1)</f>
        <v>1</v>
      </c>
    </row>
    <row r="10168" spans="1:5" ht="13">
      <c r="A10168" s="8" t="str">
        <f ca="1">IFERROR(__xludf.DUMMYFUNCTION("""COMPUTED_VALUE"""),"Stahl, Sonya Leonore")</f>
        <v>Stahl, Sonya Leonore</v>
      </c>
      <c r="B10168" s="3">
        <f ca="1">IFERROR(__xludf.DUMMYFUNCTION("""COMPUTED_VALUE"""),2)</f>
        <v>2</v>
      </c>
      <c r="C10168" s="7">
        <f ca="1">IFERROR(__xludf.DUMMYFUNCTION("""COMPUTED_VALUE"""),2)</f>
        <v>2</v>
      </c>
      <c r="D10168" s="8">
        <f ca="1">IFERROR(__xludf.DUMMYFUNCTION("""COMPUTED_VALUE"""),2)</f>
        <v>2</v>
      </c>
      <c r="E10168" s="2">
        <f ca="1">IFERROR(__xludf.DUMMYFUNCTION("""COMPUTED_VALUE"""),1)</f>
        <v>1</v>
      </c>
    </row>
    <row r="10169" spans="1:5" ht="13">
      <c r="A10169" s="2" t="str">
        <f ca="1">IFERROR(__xludf.DUMMYFUNCTION("""COMPUTED_VALUE"""),"Start, Elizabeth")</f>
        <v>Start, Elizabeth</v>
      </c>
      <c r="B10169" s="3">
        <f ca="1">IFERROR(__xludf.DUMMYFUNCTION("""COMPUTED_VALUE"""),2)</f>
        <v>2</v>
      </c>
      <c r="C10169" s="7">
        <f ca="1">IFERROR(__xludf.DUMMYFUNCTION("""COMPUTED_VALUE"""),2)</f>
        <v>2</v>
      </c>
      <c r="D10169" s="8">
        <f ca="1">IFERROR(__xludf.DUMMYFUNCTION("""COMPUTED_VALUE"""),2)</f>
        <v>2</v>
      </c>
      <c r="E10169" s="2">
        <f ca="1">IFERROR(__xludf.DUMMYFUNCTION("""COMPUTED_VALUE"""),1)</f>
        <v>1</v>
      </c>
    </row>
    <row r="10170" spans="1:5" ht="13">
      <c r="A10170" s="2" t="str">
        <f ca="1">IFERROR(__xludf.DUMMYFUNCTION("""COMPUTED_VALUE"""),"Stead, Louisa")</f>
        <v>Stead, Louisa</v>
      </c>
      <c r="B10170" s="3">
        <f ca="1">IFERROR(__xludf.DUMMYFUNCTION("""COMPUTED_VALUE"""),2)</f>
        <v>2</v>
      </c>
      <c r="C10170" s="7">
        <f ca="1">IFERROR(__xludf.DUMMYFUNCTION("""COMPUTED_VALUE"""),2)</f>
        <v>2</v>
      </c>
      <c r="D10170" s="8">
        <f ca="1">IFERROR(__xludf.DUMMYFUNCTION("""COMPUTED_VALUE"""),6)</f>
        <v>6</v>
      </c>
      <c r="E10170" s="2">
        <f ca="1">IFERROR(__xludf.DUMMYFUNCTION("""COMPUTED_VALUE"""),2)</f>
        <v>2</v>
      </c>
    </row>
    <row r="10171" spans="1:5" ht="13">
      <c r="A10171" s="2" t="str">
        <f ca="1">IFERROR(__xludf.DUMMYFUNCTION("""COMPUTED_VALUE"""),"Steckman, Elizabeth (Martin)")</f>
        <v>Steckman, Elizabeth (Martin)</v>
      </c>
      <c r="B10171" s="3">
        <f ca="1">IFERROR(__xludf.DUMMYFUNCTION("""COMPUTED_VALUE"""),2)</f>
        <v>2</v>
      </c>
      <c r="C10171" s="7">
        <f ca="1">IFERROR(__xludf.DUMMYFUNCTION("""COMPUTED_VALUE"""),2)</f>
        <v>2</v>
      </c>
      <c r="D10171" s="8">
        <f ca="1">IFERROR(__xludf.DUMMYFUNCTION("""COMPUTED_VALUE"""),2)</f>
        <v>2</v>
      </c>
      <c r="E10171" s="2">
        <f ca="1">IFERROR(__xludf.DUMMYFUNCTION("""COMPUTED_VALUE"""),1)</f>
        <v>1</v>
      </c>
    </row>
    <row r="10172" spans="1:5" ht="13">
      <c r="A10172" s="2" t="str">
        <f ca="1">IFERROR(__xludf.DUMMYFUNCTION("""COMPUTED_VALUE"""),"Steele, Helen")</f>
        <v>Steele, Helen</v>
      </c>
      <c r="B10172" s="3">
        <f ca="1">IFERROR(__xludf.DUMMYFUNCTION("""COMPUTED_VALUE"""),2)</f>
        <v>2</v>
      </c>
      <c r="C10172" s="7">
        <f ca="1">IFERROR(__xludf.DUMMYFUNCTION("""COMPUTED_VALUE"""),2)</f>
        <v>2</v>
      </c>
      <c r="D10172" s="8">
        <f ca="1">IFERROR(__xludf.DUMMYFUNCTION("""COMPUTED_VALUE"""),6)</f>
        <v>6</v>
      </c>
      <c r="E10172" s="2">
        <f ca="1">IFERROR(__xludf.DUMMYFUNCTION("""COMPUTED_VALUE"""),2)</f>
        <v>2</v>
      </c>
    </row>
    <row r="10173" spans="1:5" ht="13">
      <c r="A10173" s="2" t="str">
        <f ca="1">IFERROR(__xludf.DUMMYFUNCTION("""COMPUTED_VALUE"""),"Stein, Arlene C.")</f>
        <v>Stein, Arlene C.</v>
      </c>
      <c r="B10173" s="3">
        <f ca="1">IFERROR(__xludf.DUMMYFUNCTION("""COMPUTED_VALUE"""),2)</f>
        <v>2</v>
      </c>
      <c r="C10173" s="7">
        <f ca="1">IFERROR(__xludf.DUMMYFUNCTION("""COMPUTED_VALUE"""),2)</f>
        <v>2</v>
      </c>
      <c r="D10173" s="8">
        <f ca="1">IFERROR(__xludf.DUMMYFUNCTION("""COMPUTED_VALUE"""),2)</f>
        <v>2</v>
      </c>
      <c r="E10173" s="2">
        <f ca="1">IFERROR(__xludf.DUMMYFUNCTION("""COMPUTED_VALUE"""),1)</f>
        <v>1</v>
      </c>
    </row>
    <row r="10174" spans="1:5" ht="13">
      <c r="A10174" s="8" t="str">
        <f ca="1">IFERROR(__xludf.DUMMYFUNCTION("""COMPUTED_VALUE"""),"Steinke, Harriet")</f>
        <v>Steinke, Harriet</v>
      </c>
      <c r="B10174" s="3">
        <f ca="1">IFERROR(__xludf.DUMMYFUNCTION("""COMPUTED_VALUE"""),2)</f>
        <v>2</v>
      </c>
      <c r="C10174" s="7">
        <f ca="1">IFERROR(__xludf.DUMMYFUNCTION("""COMPUTED_VALUE"""),2)</f>
        <v>2</v>
      </c>
      <c r="D10174" s="8">
        <f ca="1">IFERROR(__xludf.DUMMYFUNCTION("""COMPUTED_VALUE"""),2)</f>
        <v>2</v>
      </c>
      <c r="E10174" s="2">
        <f ca="1">IFERROR(__xludf.DUMMYFUNCTION("""COMPUTED_VALUE"""),1)</f>
        <v>1</v>
      </c>
    </row>
    <row r="10175" spans="1:5" ht="13">
      <c r="A10175" s="2" t="str">
        <f ca="1">IFERROR(__xludf.DUMMYFUNCTION("""COMPUTED_VALUE"""),"Stensaas, Janet Williams")</f>
        <v>Stensaas, Janet Williams</v>
      </c>
      <c r="B10175" s="3">
        <f ca="1">IFERROR(__xludf.DUMMYFUNCTION("""COMPUTED_VALUE"""),2)</f>
        <v>2</v>
      </c>
      <c r="C10175" s="7">
        <f ca="1">IFERROR(__xludf.DUMMYFUNCTION("""COMPUTED_VALUE"""),2)</f>
        <v>2</v>
      </c>
      <c r="D10175" s="8">
        <f ca="1">IFERROR(__xludf.DUMMYFUNCTION("""COMPUTED_VALUE"""),2)</f>
        <v>2</v>
      </c>
      <c r="E10175" s="2">
        <f ca="1">IFERROR(__xludf.DUMMYFUNCTION("""COMPUTED_VALUE"""),1)</f>
        <v>1</v>
      </c>
    </row>
    <row r="10176" spans="1:5" ht="13">
      <c r="A10176" s="2" t="str">
        <f ca="1">IFERROR(__xludf.DUMMYFUNCTION("""COMPUTED_VALUE"""),"Stenson, Rachel")</f>
        <v>Stenson, Rachel</v>
      </c>
      <c r="B10176" s="2">
        <f ca="1">IFERROR(__xludf.DUMMYFUNCTION("""COMPUTED_VALUE"""),2)</f>
        <v>2</v>
      </c>
      <c r="C10176" s="2">
        <f ca="1">IFERROR(__xludf.DUMMYFUNCTION("""COMPUTED_VALUE"""),2)</f>
        <v>2</v>
      </c>
      <c r="D10176" s="8">
        <f ca="1">IFERROR(__xludf.DUMMYFUNCTION("""COMPUTED_VALUE"""),2)</f>
        <v>2</v>
      </c>
      <c r="E10176" s="2">
        <f ca="1">IFERROR(__xludf.DUMMYFUNCTION("""COMPUTED_VALUE"""),1)</f>
        <v>1</v>
      </c>
    </row>
    <row r="10177" spans="1:5" ht="13">
      <c r="A10177" s="2" t="str">
        <f ca="1">IFERROR(__xludf.DUMMYFUNCTION("""COMPUTED_VALUE"""),"Stephens, Carole")</f>
        <v>Stephens, Carole</v>
      </c>
      <c r="B10177" s="3">
        <f ca="1">IFERROR(__xludf.DUMMYFUNCTION("""COMPUTED_VALUE"""),2)</f>
        <v>2</v>
      </c>
      <c r="C10177" s="7">
        <f ca="1">IFERROR(__xludf.DUMMYFUNCTION("""COMPUTED_VALUE"""),2)</f>
        <v>2</v>
      </c>
      <c r="D10177" s="8">
        <f ca="1">IFERROR(__xludf.DUMMYFUNCTION("""COMPUTED_VALUE"""),2)</f>
        <v>2</v>
      </c>
      <c r="E10177" s="2">
        <f ca="1">IFERROR(__xludf.DUMMYFUNCTION("""COMPUTED_VALUE"""),1)</f>
        <v>1</v>
      </c>
    </row>
    <row r="10178" spans="1:5" ht="13">
      <c r="A10178" s="2" t="str">
        <f ca="1">IFERROR(__xludf.DUMMYFUNCTION("""COMPUTED_VALUE"""),"Stephens, Christie Smith")</f>
        <v>Stephens, Christie Smith</v>
      </c>
      <c r="B10178" s="3">
        <f ca="1">IFERROR(__xludf.DUMMYFUNCTION("""COMPUTED_VALUE"""),2)</f>
        <v>2</v>
      </c>
      <c r="C10178" s="7">
        <f ca="1">IFERROR(__xludf.DUMMYFUNCTION("""COMPUTED_VALUE"""),2)</f>
        <v>2</v>
      </c>
      <c r="D10178" s="8">
        <f ca="1">IFERROR(__xludf.DUMMYFUNCTION("""COMPUTED_VALUE"""),2)</f>
        <v>2</v>
      </c>
      <c r="E10178" s="2">
        <f ca="1">IFERROR(__xludf.DUMMYFUNCTION("""COMPUTED_VALUE"""),1)</f>
        <v>1</v>
      </c>
    </row>
    <row r="10179" spans="1:5" ht="13">
      <c r="A10179" s="2" t="str">
        <f ca="1">IFERROR(__xludf.DUMMYFUNCTION("""COMPUTED_VALUE"""),"Stetner, Lindsay")</f>
        <v>Stetner, Lindsay</v>
      </c>
      <c r="B10179" s="2">
        <f ca="1">IFERROR(__xludf.DUMMYFUNCTION("""COMPUTED_VALUE"""),2)</f>
        <v>2</v>
      </c>
      <c r="C10179" s="7">
        <f ca="1">IFERROR(__xludf.DUMMYFUNCTION("""COMPUTED_VALUE"""),2)</f>
        <v>2</v>
      </c>
      <c r="D10179" s="8">
        <f ca="1">IFERROR(__xludf.DUMMYFUNCTION("""COMPUTED_VALUE"""),2)</f>
        <v>2</v>
      </c>
      <c r="E10179" s="2">
        <f ca="1">IFERROR(__xludf.DUMMYFUNCTION("""COMPUTED_VALUE"""),1)</f>
        <v>1</v>
      </c>
    </row>
    <row r="10180" spans="1:5" ht="13">
      <c r="A10180" s="2" t="str">
        <f ca="1">IFERROR(__xludf.DUMMYFUNCTION("""COMPUTED_VALUE"""),"Stockton, Marcia")</f>
        <v>Stockton, Marcia</v>
      </c>
      <c r="B10180" s="3">
        <f ca="1">IFERROR(__xludf.DUMMYFUNCTION("""COMPUTED_VALUE"""),2)</f>
        <v>2</v>
      </c>
      <c r="C10180" s="7">
        <f ca="1">IFERROR(__xludf.DUMMYFUNCTION("""COMPUTED_VALUE"""),2)</f>
        <v>2</v>
      </c>
      <c r="D10180" s="8">
        <f ca="1">IFERROR(__xludf.DUMMYFUNCTION("""COMPUTED_VALUE"""),2)</f>
        <v>2</v>
      </c>
      <c r="E10180" s="2">
        <f ca="1">IFERROR(__xludf.DUMMYFUNCTION("""COMPUTED_VALUE"""),1)</f>
        <v>1</v>
      </c>
    </row>
    <row r="10181" spans="1:5" ht="13">
      <c r="A10181" s="2" t="str">
        <f ca="1">IFERROR(__xludf.DUMMYFUNCTION("""COMPUTED_VALUE"""),"Stölzel, Ingrid")</f>
        <v>Stölzel, Ingrid</v>
      </c>
      <c r="B10181" s="3">
        <f ca="1">IFERROR(__xludf.DUMMYFUNCTION("""COMPUTED_VALUE"""),2)</f>
        <v>2</v>
      </c>
      <c r="C10181" s="7">
        <f ca="1">IFERROR(__xludf.DUMMYFUNCTION("""COMPUTED_VALUE"""),2)</f>
        <v>2</v>
      </c>
      <c r="D10181" s="8">
        <f ca="1">IFERROR(__xludf.DUMMYFUNCTION("""COMPUTED_VALUE"""),2)</f>
        <v>2</v>
      </c>
      <c r="E10181" s="2">
        <f ca="1">IFERROR(__xludf.DUMMYFUNCTION("""COMPUTED_VALUE"""),1)</f>
        <v>1</v>
      </c>
    </row>
    <row r="10182" spans="1:5" ht="13">
      <c r="A10182" s="8" t="str">
        <f ca="1">IFERROR(__xludf.DUMMYFUNCTION("""COMPUTED_VALUE"""),"Stone, Molly")</f>
        <v>Stone, Molly</v>
      </c>
      <c r="B10182" s="3">
        <f ca="1">IFERROR(__xludf.DUMMYFUNCTION("""COMPUTED_VALUE"""),2)</f>
        <v>2</v>
      </c>
      <c r="C10182" s="7">
        <f ca="1">IFERROR(__xludf.DUMMYFUNCTION("""COMPUTED_VALUE"""),2)</f>
        <v>2</v>
      </c>
      <c r="D10182" s="8">
        <f ca="1">IFERROR(__xludf.DUMMYFUNCTION("""COMPUTED_VALUE"""),2)</f>
        <v>2</v>
      </c>
      <c r="E10182" s="2">
        <f ca="1">IFERROR(__xludf.DUMMYFUNCTION("""COMPUTED_VALUE"""),1)</f>
        <v>1</v>
      </c>
    </row>
    <row r="10183" spans="1:5" ht="13">
      <c r="A10183" s="2" t="str">
        <f ca="1">IFERROR(__xludf.DUMMYFUNCTION("""COMPUTED_VALUE"""),"Stoyanova, Vessela")</f>
        <v>Stoyanova, Vessela</v>
      </c>
      <c r="B10183" s="3">
        <f ca="1">IFERROR(__xludf.DUMMYFUNCTION("""COMPUTED_VALUE"""),2)</f>
        <v>2</v>
      </c>
      <c r="C10183" s="7">
        <f ca="1">IFERROR(__xludf.DUMMYFUNCTION("""COMPUTED_VALUE"""),2)</f>
        <v>2</v>
      </c>
      <c r="D10183" s="8">
        <f ca="1">IFERROR(__xludf.DUMMYFUNCTION("""COMPUTED_VALUE"""),2)</f>
        <v>2</v>
      </c>
      <c r="E10183" s="2">
        <f ca="1">IFERROR(__xludf.DUMMYFUNCTION("""COMPUTED_VALUE"""),1)</f>
        <v>1</v>
      </c>
    </row>
    <row r="10184" spans="1:5" ht="13">
      <c r="A10184" s="2" t="str">
        <f ca="1">IFERROR(__xludf.DUMMYFUNCTION("""COMPUTED_VALUE"""),"Straub, Dorothy")</f>
        <v>Straub, Dorothy</v>
      </c>
      <c r="B10184" s="3">
        <f ca="1">IFERROR(__xludf.DUMMYFUNCTION("""COMPUTED_VALUE"""),2)</f>
        <v>2</v>
      </c>
      <c r="C10184" s="7">
        <f ca="1">IFERROR(__xludf.DUMMYFUNCTION("""COMPUTED_VALUE"""),2)</f>
        <v>2</v>
      </c>
      <c r="D10184" s="8">
        <f ca="1">IFERROR(__xludf.DUMMYFUNCTION("""COMPUTED_VALUE"""),6)</f>
        <v>6</v>
      </c>
      <c r="E10184" s="2">
        <f ca="1">IFERROR(__xludf.DUMMYFUNCTION("""COMPUTED_VALUE"""),2)</f>
        <v>2</v>
      </c>
    </row>
    <row r="10185" spans="1:5" ht="13">
      <c r="A10185" s="2" t="str">
        <f ca="1">IFERROR(__xludf.DUMMYFUNCTION("""COMPUTED_VALUE"""),"Strickland, Lily")</f>
        <v>Strickland, Lily</v>
      </c>
      <c r="B10185" s="3">
        <f ca="1">IFERROR(__xludf.DUMMYFUNCTION("""COMPUTED_VALUE"""),2)</f>
        <v>2</v>
      </c>
      <c r="C10185" s="7">
        <f ca="1">IFERROR(__xludf.DUMMYFUNCTION("""COMPUTED_VALUE"""),2)</f>
        <v>2</v>
      </c>
      <c r="D10185" s="8">
        <f ca="1">IFERROR(__xludf.DUMMYFUNCTION("""COMPUTED_VALUE"""),6)</f>
        <v>6</v>
      </c>
      <c r="E10185" s="2">
        <f ca="1">IFERROR(__xludf.DUMMYFUNCTION("""COMPUTED_VALUE"""),2)</f>
        <v>2</v>
      </c>
    </row>
    <row r="10186" spans="1:5" ht="13">
      <c r="A10186" s="8" t="str">
        <f ca="1">IFERROR(__xludf.DUMMYFUNCTION("""COMPUTED_VALUE"""),"Stringer, Julie")</f>
        <v>Stringer, Julie</v>
      </c>
      <c r="B10186" s="3">
        <f ca="1">IFERROR(__xludf.DUMMYFUNCTION("""COMPUTED_VALUE"""),2)</f>
        <v>2</v>
      </c>
      <c r="C10186" s="7">
        <f ca="1">IFERROR(__xludf.DUMMYFUNCTION("""COMPUTED_VALUE"""),2)</f>
        <v>2</v>
      </c>
      <c r="D10186" s="8">
        <f ca="1">IFERROR(__xludf.DUMMYFUNCTION("""COMPUTED_VALUE"""),2)</f>
        <v>2</v>
      </c>
      <c r="E10186" s="2">
        <f ca="1">IFERROR(__xludf.DUMMYFUNCTION("""COMPUTED_VALUE"""),1)</f>
        <v>1</v>
      </c>
    </row>
    <row r="10187" spans="1:5" ht="13">
      <c r="A10187" s="2" t="str">
        <f ca="1">IFERROR(__xludf.DUMMYFUNCTION("""COMPUTED_VALUE"""),"Strozzi, Barbara")</f>
        <v>Strozzi, Barbara</v>
      </c>
      <c r="B10187" s="3">
        <f ca="1">IFERROR(__xludf.DUMMYFUNCTION("""COMPUTED_VALUE"""),2)</f>
        <v>2</v>
      </c>
      <c r="C10187" s="7">
        <f ca="1">IFERROR(__xludf.DUMMYFUNCTION("""COMPUTED_VALUE"""),2)</f>
        <v>2</v>
      </c>
      <c r="D10187" s="8">
        <f ca="1">IFERROR(__xludf.DUMMYFUNCTION("""COMPUTED_VALUE"""),6)</f>
        <v>6</v>
      </c>
      <c r="E10187" s="2">
        <f ca="1">IFERROR(__xludf.DUMMYFUNCTION("""COMPUTED_VALUE"""),2)</f>
        <v>2</v>
      </c>
    </row>
    <row r="10188" spans="1:5" ht="13">
      <c r="A10188" s="2" t="str">
        <f ca="1">IFERROR(__xludf.DUMMYFUNCTION("""COMPUTED_VALUE"""),"Stuart, A.")</f>
        <v>Stuart, A.</v>
      </c>
      <c r="B10188" s="3">
        <f ca="1">IFERROR(__xludf.DUMMYFUNCTION("""COMPUTED_VALUE"""),2)</f>
        <v>2</v>
      </c>
      <c r="C10188" s="7">
        <f ca="1">IFERROR(__xludf.DUMMYFUNCTION("""COMPUTED_VALUE"""),2)</f>
        <v>2</v>
      </c>
      <c r="D10188" s="8">
        <f ca="1">IFERROR(__xludf.DUMMYFUNCTION("""COMPUTED_VALUE"""),2)</f>
        <v>2</v>
      </c>
      <c r="E10188" s="2">
        <f ca="1">IFERROR(__xludf.DUMMYFUNCTION("""COMPUTED_VALUE"""),1)</f>
        <v>1</v>
      </c>
    </row>
    <row r="10189" spans="1:5" ht="13">
      <c r="A10189" s="2" t="str">
        <f ca="1">IFERROR(__xludf.DUMMYFUNCTION("""COMPUTED_VALUE"""),"Stuart, Wendy")</f>
        <v>Stuart, Wendy</v>
      </c>
      <c r="B10189" s="3">
        <f ca="1">IFERROR(__xludf.DUMMYFUNCTION("""COMPUTED_VALUE"""),2)</f>
        <v>2</v>
      </c>
      <c r="C10189" s="7">
        <f ca="1">IFERROR(__xludf.DUMMYFUNCTION("""COMPUTED_VALUE"""),2)</f>
        <v>2</v>
      </c>
      <c r="D10189" s="8">
        <f ca="1">IFERROR(__xludf.DUMMYFUNCTION("""COMPUTED_VALUE"""),2)</f>
        <v>2</v>
      </c>
      <c r="E10189" s="2">
        <f ca="1">IFERROR(__xludf.DUMMYFUNCTION("""COMPUTED_VALUE"""),1)</f>
        <v>1</v>
      </c>
    </row>
    <row r="10190" spans="1:5" ht="13">
      <c r="A10190" s="2" t="str">
        <f ca="1">IFERROR(__xludf.DUMMYFUNCTION("""COMPUTED_VALUE"""),"Stultz, Marie")</f>
        <v>Stultz, Marie</v>
      </c>
      <c r="B10190" s="3">
        <f ca="1">IFERROR(__xludf.DUMMYFUNCTION("""COMPUTED_VALUE"""),2)</f>
        <v>2</v>
      </c>
      <c r="C10190" s="7">
        <f ca="1">IFERROR(__xludf.DUMMYFUNCTION("""COMPUTED_VALUE"""),2)</f>
        <v>2</v>
      </c>
      <c r="D10190" s="8">
        <f ca="1">IFERROR(__xludf.DUMMYFUNCTION("""COMPUTED_VALUE"""),6)</f>
        <v>6</v>
      </c>
      <c r="E10190" s="2">
        <f ca="1">IFERROR(__xludf.DUMMYFUNCTION("""COMPUTED_VALUE"""),2)</f>
        <v>2</v>
      </c>
    </row>
    <row r="10191" spans="1:5" ht="13">
      <c r="A10191" s="2" t="str">
        <f ca="1">IFERROR(__xludf.DUMMYFUNCTION("""COMPUTED_VALUE"""),"Styskal, Madeline")</f>
        <v>Styskal, Madeline</v>
      </c>
      <c r="B10191" s="3">
        <f ca="1">IFERROR(__xludf.DUMMYFUNCTION("""COMPUTED_VALUE"""),2)</f>
        <v>2</v>
      </c>
      <c r="C10191" s="7">
        <f ca="1">IFERROR(__xludf.DUMMYFUNCTION("""COMPUTED_VALUE"""),2)</f>
        <v>2</v>
      </c>
      <c r="D10191" s="8">
        <f ca="1">IFERROR(__xludf.DUMMYFUNCTION("""COMPUTED_VALUE"""),2)</f>
        <v>2</v>
      </c>
      <c r="E10191" s="2">
        <f ca="1">IFERROR(__xludf.DUMMYFUNCTION("""COMPUTED_VALUE"""),1)</f>
        <v>1</v>
      </c>
    </row>
    <row r="10192" spans="1:5" ht="13">
      <c r="A10192" s="2" t="str">
        <f ca="1">IFERROR(__xludf.DUMMYFUNCTION("""COMPUTED_VALUE"""),"Suesse, Danna")</f>
        <v>Suesse, Danna</v>
      </c>
      <c r="B10192" s="2">
        <f ca="1">IFERROR(__xludf.DUMMYFUNCTION("""COMPUTED_VALUE"""),2)</f>
        <v>2</v>
      </c>
      <c r="C10192" s="2">
        <f ca="1">IFERROR(__xludf.DUMMYFUNCTION("""COMPUTED_VALUE"""),2)</f>
        <v>2</v>
      </c>
      <c r="D10192" s="8">
        <f ca="1">IFERROR(__xludf.DUMMYFUNCTION("""COMPUTED_VALUE"""),6)</f>
        <v>6</v>
      </c>
      <c r="E10192" s="2">
        <f ca="1">IFERROR(__xludf.DUMMYFUNCTION("""COMPUTED_VALUE"""),2)</f>
        <v>2</v>
      </c>
    </row>
    <row r="10193" spans="1:5" ht="13">
      <c r="A10193" s="8" t="str">
        <f ca="1">IFERROR(__xludf.DUMMYFUNCTION("""COMPUTED_VALUE"""),"Sunshine, Marion")</f>
        <v>Sunshine, Marion</v>
      </c>
      <c r="B10193" s="3">
        <f ca="1">IFERROR(__xludf.DUMMYFUNCTION("""COMPUTED_VALUE"""),2)</f>
        <v>2</v>
      </c>
      <c r="C10193" s="7">
        <f ca="1">IFERROR(__xludf.DUMMYFUNCTION("""COMPUTED_VALUE"""),2)</f>
        <v>2</v>
      </c>
      <c r="D10193" s="8">
        <f ca="1">IFERROR(__xludf.DUMMYFUNCTION("""COMPUTED_VALUE"""),6)</f>
        <v>6</v>
      </c>
      <c r="E10193" s="2">
        <f ca="1">IFERROR(__xludf.DUMMYFUNCTION("""COMPUTED_VALUE"""),2)</f>
        <v>2</v>
      </c>
    </row>
    <row r="10194" spans="1:5" ht="13">
      <c r="A10194" s="2" t="str">
        <f ca="1">IFERROR(__xludf.DUMMYFUNCTION("""COMPUTED_VALUE"""),"Sutherland, Lori Archer")</f>
        <v>Sutherland, Lori Archer</v>
      </c>
      <c r="B10194" s="3">
        <f ca="1">IFERROR(__xludf.DUMMYFUNCTION("""COMPUTED_VALUE"""),2)</f>
        <v>2</v>
      </c>
      <c r="C10194" s="7">
        <f ca="1">IFERROR(__xludf.DUMMYFUNCTION("""COMPUTED_VALUE"""),2)</f>
        <v>2</v>
      </c>
      <c r="D10194" s="8">
        <f ca="1">IFERROR(__xludf.DUMMYFUNCTION("""COMPUTED_VALUE"""),2)</f>
        <v>2</v>
      </c>
      <c r="E10194" s="2">
        <f ca="1">IFERROR(__xludf.DUMMYFUNCTION("""COMPUTED_VALUE"""),1)</f>
        <v>1</v>
      </c>
    </row>
    <row r="10195" spans="1:5" ht="13">
      <c r="A10195" s="2" t="str">
        <f ca="1">IFERROR(__xludf.DUMMYFUNCTION("""COMPUTED_VALUE"""),"Svanoe, Erika")</f>
        <v>Svanoe, Erika</v>
      </c>
      <c r="B10195" s="3">
        <f ca="1">IFERROR(__xludf.DUMMYFUNCTION("""COMPUTED_VALUE"""),2)</f>
        <v>2</v>
      </c>
      <c r="C10195" s="7">
        <f ca="1">IFERROR(__xludf.DUMMYFUNCTION("""COMPUTED_VALUE"""),2)</f>
        <v>2</v>
      </c>
      <c r="D10195" s="8">
        <f ca="1">IFERROR(__xludf.DUMMYFUNCTION("""COMPUTED_VALUE"""),2)</f>
        <v>2</v>
      </c>
      <c r="E10195" s="2">
        <f ca="1">IFERROR(__xludf.DUMMYFUNCTION("""COMPUTED_VALUE"""),1)</f>
        <v>1</v>
      </c>
    </row>
    <row r="10196" spans="1:5" ht="13">
      <c r="A10196" s="2" t="str">
        <f ca="1">IFERROR(__xludf.DUMMYFUNCTION("""COMPUTED_VALUE"""),"Svendsen, R. Anne")</f>
        <v>Svendsen, R. Anne</v>
      </c>
      <c r="B10196" s="3">
        <f ca="1">IFERROR(__xludf.DUMMYFUNCTION("""COMPUTED_VALUE"""),2)</f>
        <v>2</v>
      </c>
      <c r="C10196" s="7">
        <f ca="1">IFERROR(__xludf.DUMMYFUNCTION("""COMPUTED_VALUE"""),2)</f>
        <v>2</v>
      </c>
      <c r="D10196" s="8">
        <f ca="1">IFERROR(__xludf.DUMMYFUNCTION("""COMPUTED_VALUE"""),2)</f>
        <v>2</v>
      </c>
      <c r="E10196" s="2">
        <f ca="1">IFERROR(__xludf.DUMMYFUNCTION("""COMPUTED_VALUE"""),1)</f>
        <v>1</v>
      </c>
    </row>
    <row r="10197" spans="1:5" ht="13">
      <c r="A10197" s="8" t="str">
        <f ca="1">IFERROR(__xludf.DUMMYFUNCTION("""COMPUTED_VALUE"""),"Swayze, Kathleen")</f>
        <v>Swayze, Kathleen</v>
      </c>
      <c r="B10197" s="3">
        <f ca="1">IFERROR(__xludf.DUMMYFUNCTION("""COMPUTED_VALUE"""),2)</f>
        <v>2</v>
      </c>
      <c r="C10197" s="7">
        <f ca="1">IFERROR(__xludf.DUMMYFUNCTION("""COMPUTED_VALUE"""),2)</f>
        <v>2</v>
      </c>
      <c r="D10197" s="8">
        <f ca="1">IFERROR(__xludf.DUMMYFUNCTION("""COMPUTED_VALUE"""),2)</f>
        <v>2</v>
      </c>
      <c r="E10197" s="2">
        <f ca="1">IFERROR(__xludf.DUMMYFUNCTION("""COMPUTED_VALUE"""),1)</f>
        <v>1</v>
      </c>
    </row>
    <row r="10198" spans="1:5" ht="13">
      <c r="A10198" s="2" t="str">
        <f ca="1">IFERROR(__xludf.DUMMYFUNCTION("""COMPUTED_VALUE"""),"Swears, Linda")</f>
        <v>Swears, Linda</v>
      </c>
      <c r="B10198" s="3">
        <f ca="1">IFERROR(__xludf.DUMMYFUNCTION("""COMPUTED_VALUE"""),2)</f>
        <v>2</v>
      </c>
      <c r="C10198" s="7">
        <f ca="1">IFERROR(__xludf.DUMMYFUNCTION("""COMPUTED_VALUE"""),2)</f>
        <v>2</v>
      </c>
      <c r="D10198" s="8">
        <f ca="1">IFERROR(__xludf.DUMMYFUNCTION("""COMPUTED_VALUE"""),2)</f>
        <v>2</v>
      </c>
      <c r="E10198" s="2">
        <f ca="1">IFERROR(__xludf.DUMMYFUNCTION("""COMPUTED_VALUE"""),1)</f>
        <v>1</v>
      </c>
    </row>
    <row r="10199" spans="1:5" ht="13">
      <c r="A10199" s="8" t="str">
        <f ca="1">IFERROR(__xludf.DUMMYFUNCTION("""COMPUTED_VALUE"""),"Sweeney, Aileen")</f>
        <v>Sweeney, Aileen</v>
      </c>
      <c r="B10199" s="3">
        <f ca="1">IFERROR(__xludf.DUMMYFUNCTION("""COMPUTED_VALUE"""),2)</f>
        <v>2</v>
      </c>
      <c r="C10199" s="7">
        <f ca="1">IFERROR(__xludf.DUMMYFUNCTION("""COMPUTED_VALUE"""),2)</f>
        <v>2</v>
      </c>
      <c r="D10199" s="8">
        <f ca="1">IFERROR(__xludf.DUMMYFUNCTION("""COMPUTED_VALUE"""),2)</f>
        <v>2</v>
      </c>
      <c r="E10199" s="2">
        <f ca="1">IFERROR(__xludf.DUMMYFUNCTION("""COMPUTED_VALUE"""),1)</f>
        <v>1</v>
      </c>
    </row>
    <row r="10200" spans="1:5" ht="13">
      <c r="A10200" s="2" t="str">
        <f ca="1">IFERROR(__xludf.DUMMYFUNCTION("""COMPUTED_VALUE"""),"Swift, Katherine")</f>
        <v>Swift, Katherine</v>
      </c>
      <c r="B10200" s="2">
        <f ca="1">IFERROR(__xludf.DUMMYFUNCTION("""COMPUTED_VALUE"""),2)</f>
        <v>2</v>
      </c>
      <c r="C10200" s="7">
        <f ca="1">IFERROR(__xludf.DUMMYFUNCTION("""COMPUTED_VALUE"""),2)</f>
        <v>2</v>
      </c>
      <c r="D10200" s="8">
        <f ca="1">IFERROR(__xludf.DUMMYFUNCTION("""COMPUTED_VALUE"""),6)</f>
        <v>6</v>
      </c>
      <c r="E10200" s="2">
        <f ca="1">IFERROR(__xludf.DUMMYFUNCTION("""COMPUTED_VALUE"""),2)</f>
        <v>2</v>
      </c>
    </row>
    <row r="10201" spans="1:5" ht="13">
      <c r="A10201" s="8" t="str">
        <f ca="1">IFERROR(__xludf.DUMMYFUNCTION("""COMPUTED_VALUE"""),"Sycamore, Amanda")</f>
        <v>Sycamore, Amanda</v>
      </c>
      <c r="B10201" s="3">
        <f ca="1">IFERROR(__xludf.DUMMYFUNCTION("""COMPUTED_VALUE"""),2)</f>
        <v>2</v>
      </c>
      <c r="C10201" s="7">
        <f ca="1">IFERROR(__xludf.DUMMYFUNCTION("""COMPUTED_VALUE"""),2)</f>
        <v>2</v>
      </c>
      <c r="D10201" s="8">
        <f ca="1">IFERROR(__xludf.DUMMYFUNCTION("""COMPUTED_VALUE"""),2)</f>
        <v>2</v>
      </c>
      <c r="E10201" s="2">
        <f ca="1">IFERROR(__xludf.DUMMYFUNCTION("""COMPUTED_VALUE"""),1)</f>
        <v>1</v>
      </c>
    </row>
    <row r="10202" spans="1:5" ht="13">
      <c r="A10202" s="2" t="str">
        <f ca="1">IFERROR(__xludf.DUMMYFUNCTION("""COMPUTED_VALUE"""),"Syrse, Diana")</f>
        <v>Syrse, Diana</v>
      </c>
      <c r="B10202" s="3">
        <f ca="1">IFERROR(__xludf.DUMMYFUNCTION("""COMPUTED_VALUE"""),2)</f>
        <v>2</v>
      </c>
      <c r="C10202" s="7">
        <f ca="1">IFERROR(__xludf.DUMMYFUNCTION("""COMPUTED_VALUE"""),2)</f>
        <v>2</v>
      </c>
      <c r="D10202" s="8">
        <f ca="1">IFERROR(__xludf.DUMMYFUNCTION("""COMPUTED_VALUE"""),2)</f>
        <v>2</v>
      </c>
      <c r="E10202" s="2">
        <f ca="1">IFERROR(__xludf.DUMMYFUNCTION("""COMPUTED_VALUE"""),1)</f>
        <v>1</v>
      </c>
    </row>
    <row r="10203" spans="1:5" ht="13">
      <c r="A10203" s="2" t="str">
        <f ca="1">IFERROR(__xludf.DUMMYFUNCTION("""COMPUTED_VALUE"""),"Szymko, Joan")</f>
        <v>Szymko, Joan</v>
      </c>
      <c r="B10203" s="3">
        <f ca="1">IFERROR(__xludf.DUMMYFUNCTION("""COMPUTED_VALUE"""),2)</f>
        <v>2</v>
      </c>
      <c r="C10203" s="7">
        <f ca="1">IFERROR(__xludf.DUMMYFUNCTION("""COMPUTED_VALUE"""),2)</f>
        <v>2</v>
      </c>
      <c r="D10203" s="8">
        <f ca="1">IFERROR(__xludf.DUMMYFUNCTION("""COMPUTED_VALUE"""),2)</f>
        <v>2</v>
      </c>
      <c r="E10203" s="2">
        <f ca="1">IFERROR(__xludf.DUMMYFUNCTION("""COMPUTED_VALUE"""),1)</f>
        <v>1</v>
      </c>
    </row>
    <row r="10204" spans="1:5" ht="13">
      <c r="A10204" s="2" t="str">
        <f ca="1">IFERROR(__xludf.DUMMYFUNCTION("""COMPUTED_VALUE"""),"Tabakova, Dobrinka")</f>
        <v>Tabakova, Dobrinka</v>
      </c>
      <c r="B10204" s="3">
        <f ca="1">IFERROR(__xludf.DUMMYFUNCTION("""COMPUTED_VALUE"""),2)</f>
        <v>2</v>
      </c>
      <c r="C10204" s="7">
        <f ca="1">IFERROR(__xludf.DUMMYFUNCTION("""COMPUTED_VALUE"""),2)</f>
        <v>2</v>
      </c>
      <c r="D10204" s="8">
        <f ca="1">IFERROR(__xludf.DUMMYFUNCTION("""COMPUTED_VALUE"""),2)</f>
        <v>2</v>
      </c>
      <c r="E10204" s="2">
        <f ca="1">IFERROR(__xludf.DUMMYFUNCTION("""COMPUTED_VALUE"""),1)</f>
        <v>1</v>
      </c>
    </row>
    <row r="10205" spans="1:5" ht="13">
      <c r="A10205" s="2" t="str">
        <f ca="1">IFERROR(__xludf.DUMMYFUNCTION("""COMPUTED_VALUE"""),"Tailleferre, Germaine")</f>
        <v>Tailleferre, Germaine</v>
      </c>
      <c r="B10205" s="3">
        <f ca="1">IFERROR(__xludf.DUMMYFUNCTION("""COMPUTED_VALUE"""),2)</f>
        <v>2</v>
      </c>
      <c r="C10205" s="7">
        <f ca="1">IFERROR(__xludf.DUMMYFUNCTION("""COMPUTED_VALUE"""),2)</f>
        <v>2</v>
      </c>
      <c r="D10205" s="8">
        <f ca="1">IFERROR(__xludf.DUMMYFUNCTION("""COMPUTED_VALUE"""),6)</f>
        <v>6</v>
      </c>
      <c r="E10205" s="2">
        <f ca="1">IFERROR(__xludf.DUMMYFUNCTION("""COMPUTED_VALUE"""),2)</f>
        <v>2</v>
      </c>
    </row>
    <row r="10206" spans="1:5" ht="13">
      <c r="A10206" s="2" t="str">
        <f ca="1">IFERROR(__xludf.DUMMYFUNCTION("""COMPUTED_VALUE"""),"Talbot, Laura")</f>
        <v>Talbot, Laura</v>
      </c>
      <c r="B10206" s="3">
        <f ca="1">IFERROR(__xludf.DUMMYFUNCTION("""COMPUTED_VALUE"""),2)</f>
        <v>2</v>
      </c>
      <c r="C10206" s="7">
        <f ca="1">IFERROR(__xludf.DUMMYFUNCTION("""COMPUTED_VALUE"""),2)</f>
        <v>2</v>
      </c>
      <c r="D10206" s="8">
        <f ca="1">IFERROR(__xludf.DUMMYFUNCTION("""COMPUTED_VALUE"""),2)</f>
        <v>2</v>
      </c>
      <c r="E10206" s="2">
        <f ca="1">IFERROR(__xludf.DUMMYFUNCTION("""COMPUTED_VALUE"""),1)</f>
        <v>1</v>
      </c>
    </row>
    <row r="10207" spans="1:5" ht="13">
      <c r="A10207" s="2" t="str">
        <f ca="1">IFERROR(__xludf.DUMMYFUNCTION("""COMPUTED_VALUE"""),"Tallon, Tina")</f>
        <v>Tallon, Tina</v>
      </c>
      <c r="B10207" s="3">
        <f ca="1">IFERROR(__xludf.DUMMYFUNCTION("""COMPUTED_VALUE"""),2)</f>
        <v>2</v>
      </c>
      <c r="C10207" s="7">
        <f ca="1">IFERROR(__xludf.DUMMYFUNCTION("""COMPUTED_VALUE"""),2)</f>
        <v>2</v>
      </c>
      <c r="D10207" s="8">
        <f ca="1">IFERROR(__xludf.DUMMYFUNCTION("""COMPUTED_VALUE"""),2)</f>
        <v>2</v>
      </c>
      <c r="E10207" s="2">
        <f ca="1">IFERROR(__xludf.DUMMYFUNCTION("""COMPUTED_VALUE"""),1)</f>
        <v>1</v>
      </c>
    </row>
    <row r="10208" spans="1:5" ht="13">
      <c r="A10208" s="2" t="str">
        <f ca="1">IFERROR(__xludf.DUMMYFUNCTION("""COMPUTED_VALUE"""),"Tann, Hilary")</f>
        <v>Tann, Hilary</v>
      </c>
      <c r="B10208" s="3">
        <f ca="1">IFERROR(__xludf.DUMMYFUNCTION("""COMPUTED_VALUE"""),2)</f>
        <v>2</v>
      </c>
      <c r="C10208" s="7">
        <f ca="1">IFERROR(__xludf.DUMMYFUNCTION("""COMPUTED_VALUE"""),2)</f>
        <v>2</v>
      </c>
      <c r="D10208" s="8">
        <f ca="1">IFERROR(__xludf.DUMMYFUNCTION("""COMPUTED_VALUE"""),2)</f>
        <v>2</v>
      </c>
      <c r="E10208" s="2">
        <f ca="1">IFERROR(__xludf.DUMMYFUNCTION("""COMPUTED_VALUE"""),1)</f>
        <v>1</v>
      </c>
    </row>
    <row r="10209" spans="1:5" ht="13">
      <c r="A10209" s="2" t="str">
        <f ca="1">IFERROR(__xludf.DUMMYFUNCTION("""COMPUTED_VALUE"""),"Tarkiainen, Outi")</f>
        <v>Tarkiainen, Outi</v>
      </c>
      <c r="B10209" s="3">
        <f ca="1">IFERROR(__xludf.DUMMYFUNCTION("""COMPUTED_VALUE"""),2)</f>
        <v>2</v>
      </c>
      <c r="C10209" s="7">
        <f ca="1">IFERROR(__xludf.DUMMYFUNCTION("""COMPUTED_VALUE"""),2)</f>
        <v>2</v>
      </c>
      <c r="D10209" s="8">
        <f ca="1">IFERROR(__xludf.DUMMYFUNCTION("""COMPUTED_VALUE"""),2)</f>
        <v>2</v>
      </c>
      <c r="E10209" s="2">
        <f ca="1">IFERROR(__xludf.DUMMYFUNCTION("""COMPUTED_VALUE"""),1)</f>
        <v>1</v>
      </c>
    </row>
    <row r="10210" spans="1:5" ht="13">
      <c r="A10210" s="2" t="str">
        <f ca="1">IFERROR(__xludf.DUMMYFUNCTION("""COMPUTED_VALUE"""),"Tarrodi, Andrea")</f>
        <v>Tarrodi, Andrea</v>
      </c>
      <c r="B10210" s="3">
        <f ca="1">IFERROR(__xludf.DUMMYFUNCTION("""COMPUTED_VALUE"""),2)</f>
        <v>2</v>
      </c>
      <c r="C10210" s="7">
        <f ca="1">IFERROR(__xludf.DUMMYFUNCTION("""COMPUTED_VALUE"""),2)</f>
        <v>2</v>
      </c>
      <c r="D10210" s="8">
        <f ca="1">IFERROR(__xludf.DUMMYFUNCTION("""COMPUTED_VALUE"""),2)</f>
        <v>2</v>
      </c>
      <c r="E10210" s="2">
        <f ca="1">IFERROR(__xludf.DUMMYFUNCTION("""COMPUTED_VALUE"""),1)</f>
        <v>1</v>
      </c>
    </row>
    <row r="10211" spans="1:5" ht="13">
      <c r="A10211" s="2" t="str">
        <f ca="1">IFERROR(__xludf.DUMMYFUNCTION("""COMPUTED_VALUE"""),"Tate, Phyllis")</f>
        <v>Tate, Phyllis</v>
      </c>
      <c r="B10211" s="3">
        <f ca="1">IFERROR(__xludf.DUMMYFUNCTION("""COMPUTED_VALUE"""),2)</f>
        <v>2</v>
      </c>
      <c r="C10211" s="7">
        <f ca="1">IFERROR(__xludf.DUMMYFUNCTION("""COMPUTED_VALUE"""),2)</f>
        <v>2</v>
      </c>
      <c r="D10211" s="8">
        <f ca="1">IFERROR(__xludf.DUMMYFUNCTION("""COMPUTED_VALUE"""),6)</f>
        <v>6</v>
      </c>
      <c r="E10211" s="2">
        <f ca="1">IFERROR(__xludf.DUMMYFUNCTION("""COMPUTED_VALUE"""),2)</f>
        <v>2</v>
      </c>
    </row>
    <row r="10212" spans="1:5" ht="13">
      <c r="A10212" s="2" t="str">
        <f ca="1">IFERROR(__xludf.DUMMYFUNCTION("""COMPUTED_VALUE"""),"Taurman, Mikanna")</f>
        <v>Taurman, Mikanna</v>
      </c>
      <c r="B10212" s="2">
        <f ca="1">IFERROR(__xludf.DUMMYFUNCTION("""COMPUTED_VALUE"""),2)</f>
        <v>2</v>
      </c>
      <c r="C10212" s="2">
        <f ca="1">IFERROR(__xludf.DUMMYFUNCTION("""COMPUTED_VALUE"""),2)</f>
        <v>2</v>
      </c>
      <c r="D10212" s="8">
        <f ca="1">IFERROR(__xludf.DUMMYFUNCTION("""COMPUTED_VALUE"""),2)</f>
        <v>2</v>
      </c>
      <c r="E10212" s="2">
        <f ca="1">IFERROR(__xludf.DUMMYFUNCTION("""COMPUTED_VALUE"""),1)</f>
        <v>1</v>
      </c>
    </row>
    <row r="10213" spans="1:5" ht="13">
      <c r="A10213" s="2" t="str">
        <f ca="1">IFERROR(__xludf.DUMMYFUNCTION("""COMPUTED_VALUE"""),"Taylor-Howell, Susan")</f>
        <v>Taylor-Howell, Susan</v>
      </c>
      <c r="B10213" s="3">
        <f ca="1">IFERROR(__xludf.DUMMYFUNCTION("""COMPUTED_VALUE"""),2)</f>
        <v>2</v>
      </c>
      <c r="C10213" s="7">
        <f ca="1">IFERROR(__xludf.DUMMYFUNCTION("""COMPUTED_VALUE"""),2)</f>
        <v>2</v>
      </c>
      <c r="D10213" s="8">
        <f ca="1">IFERROR(__xludf.DUMMYFUNCTION("""COMPUTED_VALUE"""),6)</f>
        <v>6</v>
      </c>
      <c r="E10213" s="2">
        <f ca="1">IFERROR(__xludf.DUMMYFUNCTION("""COMPUTED_VALUE"""),2)</f>
        <v>2</v>
      </c>
    </row>
    <row r="10214" spans="1:5" ht="13">
      <c r="A10214" s="2" t="str">
        <f ca="1">IFERROR(__xludf.DUMMYFUNCTION("""COMPUTED_VALUE"""),"Taylor, Lauren")</f>
        <v>Taylor, Lauren</v>
      </c>
      <c r="B10214" s="2">
        <f ca="1">IFERROR(__xludf.DUMMYFUNCTION("""COMPUTED_VALUE"""),2)</f>
        <v>2</v>
      </c>
      <c r="C10214" s="7">
        <f ca="1">IFERROR(__xludf.DUMMYFUNCTION("""COMPUTED_VALUE"""),2)</f>
        <v>2</v>
      </c>
      <c r="D10214" s="8">
        <f ca="1">IFERROR(__xludf.DUMMYFUNCTION("""COMPUTED_VALUE"""),2)</f>
        <v>2</v>
      </c>
      <c r="E10214" s="2">
        <f ca="1">IFERROR(__xludf.DUMMYFUNCTION("""COMPUTED_VALUE"""),1)</f>
        <v>1</v>
      </c>
    </row>
    <row r="10215" spans="1:5" ht="13">
      <c r="A10215" s="2" t="str">
        <f ca="1">IFERROR(__xludf.DUMMYFUNCTION("""COMPUTED_VALUE"""),"Telfer, Nancy")</f>
        <v>Telfer, Nancy</v>
      </c>
      <c r="B10215" s="3">
        <f ca="1">IFERROR(__xludf.DUMMYFUNCTION("""COMPUTED_VALUE"""),2)</f>
        <v>2</v>
      </c>
      <c r="C10215" s="7">
        <f ca="1">IFERROR(__xludf.DUMMYFUNCTION("""COMPUTED_VALUE"""),2)</f>
        <v>2</v>
      </c>
      <c r="D10215" s="8">
        <f ca="1">IFERROR(__xludf.DUMMYFUNCTION("""COMPUTED_VALUE"""),2)</f>
        <v>2</v>
      </c>
      <c r="E10215" s="2">
        <f ca="1">IFERROR(__xludf.DUMMYFUNCTION("""COMPUTED_VALUE"""),1)</f>
        <v>1</v>
      </c>
    </row>
    <row r="10216" spans="1:5" ht="13">
      <c r="A10216" s="2" t="str">
        <f ca="1">IFERROR(__xludf.DUMMYFUNCTION("""COMPUTED_VALUE"""),"Temple-Evans, Cristine")</f>
        <v>Temple-Evans, Cristine</v>
      </c>
      <c r="B10216" s="3">
        <f ca="1">IFERROR(__xludf.DUMMYFUNCTION("""COMPUTED_VALUE"""),2)</f>
        <v>2</v>
      </c>
      <c r="C10216" s="7">
        <f ca="1">IFERROR(__xludf.DUMMYFUNCTION("""COMPUTED_VALUE"""),2)</f>
        <v>2</v>
      </c>
      <c r="D10216" s="8">
        <f ca="1">IFERROR(__xludf.DUMMYFUNCTION("""COMPUTED_VALUE"""),2)</f>
        <v>2</v>
      </c>
      <c r="E10216" s="2">
        <f ca="1">IFERROR(__xludf.DUMMYFUNCTION("""COMPUTED_VALUE"""),1)</f>
        <v>1</v>
      </c>
    </row>
    <row r="10217" spans="1:5" ht="13">
      <c r="A10217" s="2" t="str">
        <f ca="1">IFERROR(__xludf.DUMMYFUNCTION("""COMPUTED_VALUE"""),"Temple, Alex")</f>
        <v>Temple, Alex</v>
      </c>
      <c r="B10217" s="3">
        <f ca="1">IFERROR(__xludf.DUMMYFUNCTION("""COMPUTED_VALUE"""),2)</f>
        <v>2</v>
      </c>
      <c r="C10217" s="7">
        <f ca="1">IFERROR(__xludf.DUMMYFUNCTION("""COMPUTED_VALUE"""),2)</f>
        <v>2</v>
      </c>
      <c r="D10217" s="8">
        <f ca="1">IFERROR(__xludf.DUMMYFUNCTION("""COMPUTED_VALUE"""),2)</f>
        <v>2</v>
      </c>
      <c r="E10217" s="2">
        <f ca="1">IFERROR(__xludf.DUMMYFUNCTION("""COMPUTED_VALUE"""),1)</f>
        <v>1</v>
      </c>
    </row>
    <row r="10218" spans="1:5" ht="13">
      <c r="A10218" s="2" t="str">
        <f ca="1">IFERROR(__xludf.DUMMYFUNCTION("""COMPUTED_VALUE"""),"Tennenhouse, Lori")</f>
        <v>Tennenhouse, Lori</v>
      </c>
      <c r="B10218" s="3">
        <f ca="1">IFERROR(__xludf.DUMMYFUNCTION("""COMPUTED_VALUE"""),2)</f>
        <v>2</v>
      </c>
      <c r="C10218" s="7">
        <f ca="1">IFERROR(__xludf.DUMMYFUNCTION("""COMPUTED_VALUE"""),2)</f>
        <v>2</v>
      </c>
      <c r="D10218" s="8">
        <f ca="1">IFERROR(__xludf.DUMMYFUNCTION("""COMPUTED_VALUE"""),2)</f>
        <v>2</v>
      </c>
      <c r="E10218" s="2">
        <f ca="1">IFERROR(__xludf.DUMMYFUNCTION("""COMPUTED_VALUE"""),1)</f>
        <v>1</v>
      </c>
    </row>
    <row r="10219" spans="1:5" ht="13">
      <c r="A10219" s="8" t="str">
        <f ca="1">IFERROR(__xludf.DUMMYFUNCTION("""COMPUTED_VALUE"""),"Terri, Salli")</f>
        <v>Terri, Salli</v>
      </c>
      <c r="B10219" s="3">
        <f ca="1">IFERROR(__xludf.DUMMYFUNCTION("""COMPUTED_VALUE"""),2)</f>
        <v>2</v>
      </c>
      <c r="C10219" s="7">
        <f ca="1">IFERROR(__xludf.DUMMYFUNCTION("""COMPUTED_VALUE"""),2)</f>
        <v>2</v>
      </c>
      <c r="D10219" s="8">
        <f ca="1">IFERROR(__xludf.DUMMYFUNCTION("""COMPUTED_VALUE"""),6)</f>
        <v>6</v>
      </c>
      <c r="E10219" s="2">
        <f ca="1">IFERROR(__xludf.DUMMYFUNCTION("""COMPUTED_VALUE"""),2)</f>
        <v>2</v>
      </c>
    </row>
    <row r="10220" spans="1:5" ht="13">
      <c r="A10220" s="2" t="str">
        <f ca="1">IFERROR(__xludf.DUMMYFUNCTION("""COMPUTED_VALUE"""),"Terzian, Alicia")</f>
        <v>Terzian, Alicia</v>
      </c>
      <c r="B10220" s="2">
        <f ca="1">IFERROR(__xludf.DUMMYFUNCTION("""COMPUTED_VALUE"""),2)</f>
        <v>2</v>
      </c>
      <c r="C10220" s="7">
        <f ca="1">IFERROR(__xludf.DUMMYFUNCTION("""COMPUTED_VALUE"""),2)</f>
        <v>2</v>
      </c>
      <c r="D10220" s="8">
        <f ca="1">IFERROR(__xludf.DUMMYFUNCTION("""COMPUTED_VALUE"""),2)</f>
        <v>2</v>
      </c>
      <c r="E10220" s="2">
        <f ca="1">IFERROR(__xludf.DUMMYFUNCTION("""COMPUTED_VALUE"""),1)</f>
        <v>1</v>
      </c>
    </row>
    <row r="10221" spans="1:5" ht="13">
      <c r="A10221" s="8" t="str">
        <f ca="1">IFERROR(__xludf.DUMMYFUNCTION("""COMPUTED_VALUE"""),"The Go-Gos")</f>
        <v>The Go-Gos</v>
      </c>
      <c r="B10221" s="3">
        <f ca="1">IFERROR(__xludf.DUMMYFUNCTION("""COMPUTED_VALUE"""),2)</f>
        <v>2</v>
      </c>
      <c r="C10221" s="7">
        <f ca="1">IFERROR(__xludf.DUMMYFUNCTION("""COMPUTED_VALUE"""),2)</f>
        <v>2</v>
      </c>
      <c r="D10221" s="8">
        <f ca="1">IFERROR(__xludf.DUMMYFUNCTION("""COMPUTED_VALUE"""),2)</f>
        <v>2</v>
      </c>
      <c r="E10221" s="2">
        <f ca="1">IFERROR(__xludf.DUMMYFUNCTION("""COMPUTED_VALUE"""),1)</f>
        <v>1</v>
      </c>
    </row>
    <row r="10222" spans="1:5" ht="13">
      <c r="A10222" s="8" t="str">
        <f ca="1">IFERROR(__xludf.DUMMYFUNCTION("""COMPUTED_VALUE"""),"The Wailin' Jennys")</f>
        <v>The Wailin' Jennys</v>
      </c>
      <c r="B10222" s="3">
        <f ca="1">IFERROR(__xludf.DUMMYFUNCTION("""COMPUTED_VALUE"""),2)</f>
        <v>2</v>
      </c>
      <c r="C10222" s="7">
        <f ca="1">IFERROR(__xludf.DUMMYFUNCTION("""COMPUTED_VALUE"""),2)</f>
        <v>2</v>
      </c>
      <c r="D10222" s="8">
        <f ca="1">IFERROR(__xludf.DUMMYFUNCTION("""COMPUTED_VALUE"""),2)</f>
        <v>2</v>
      </c>
      <c r="E10222" s="2">
        <f ca="1">IFERROR(__xludf.DUMMYFUNCTION("""COMPUTED_VALUE"""),1)</f>
        <v>1</v>
      </c>
    </row>
    <row r="10223" spans="1:5" ht="13">
      <c r="A10223" s="2" t="str">
        <f ca="1">IFERROR(__xludf.DUMMYFUNCTION("""COMPUTED_VALUE"""),"Thierman, Jamie")</f>
        <v>Thierman, Jamie</v>
      </c>
      <c r="B10223" s="2">
        <f ca="1">IFERROR(__xludf.DUMMYFUNCTION("""COMPUTED_VALUE"""),2)</f>
        <v>2</v>
      </c>
      <c r="C10223" s="7">
        <f ca="1">IFERROR(__xludf.DUMMYFUNCTION("""COMPUTED_VALUE"""),2)</f>
        <v>2</v>
      </c>
      <c r="D10223" s="8">
        <f ca="1">IFERROR(__xludf.DUMMYFUNCTION("""COMPUTED_VALUE"""),2)</f>
        <v>2</v>
      </c>
      <c r="E10223" s="2">
        <f ca="1">IFERROR(__xludf.DUMMYFUNCTION("""COMPUTED_VALUE"""),1)</f>
        <v>1</v>
      </c>
    </row>
    <row r="10224" spans="1:5" ht="13">
      <c r="A10224" s="2" t="str">
        <f ca="1">IFERROR(__xludf.DUMMYFUNCTION("""COMPUTED_VALUE"""),"Thomas, Augusta Read")</f>
        <v>Thomas, Augusta Read</v>
      </c>
      <c r="B10224" s="3">
        <f ca="1">IFERROR(__xludf.DUMMYFUNCTION("""COMPUTED_VALUE"""),2)</f>
        <v>2</v>
      </c>
      <c r="C10224" s="7">
        <f ca="1">IFERROR(__xludf.DUMMYFUNCTION("""COMPUTED_VALUE"""),2)</f>
        <v>2</v>
      </c>
      <c r="D10224" s="8">
        <f ca="1">IFERROR(__xludf.DUMMYFUNCTION("""COMPUTED_VALUE"""),2)</f>
        <v>2</v>
      </c>
      <c r="E10224" s="2">
        <f ca="1">IFERROR(__xludf.DUMMYFUNCTION("""COMPUTED_VALUE"""),1)</f>
        <v>1</v>
      </c>
    </row>
    <row r="10225" spans="1:5" ht="13">
      <c r="A10225" s="2" t="str">
        <f ca="1">IFERROR(__xludf.DUMMYFUNCTION("""COMPUTED_VALUE"""),"Thomas, Christina Whitten")</f>
        <v>Thomas, Christina Whitten</v>
      </c>
      <c r="B10225" s="3">
        <f ca="1">IFERROR(__xludf.DUMMYFUNCTION("""COMPUTED_VALUE"""),2)</f>
        <v>2</v>
      </c>
      <c r="C10225" s="7">
        <f ca="1">IFERROR(__xludf.DUMMYFUNCTION("""COMPUTED_VALUE"""),2)</f>
        <v>2</v>
      </c>
      <c r="D10225" s="8">
        <f ca="1">IFERROR(__xludf.DUMMYFUNCTION("""COMPUTED_VALUE"""),2)</f>
        <v>2</v>
      </c>
      <c r="E10225" s="2">
        <f ca="1">IFERROR(__xludf.DUMMYFUNCTION("""COMPUTED_VALUE"""),1)</f>
        <v>1</v>
      </c>
    </row>
    <row r="10226" spans="1:5" ht="13">
      <c r="A10226" s="2" t="str">
        <f ca="1">IFERROR(__xludf.DUMMYFUNCTION("""COMPUTED_VALUE"""),"Thompson, Dana")</f>
        <v>Thompson, Dana</v>
      </c>
      <c r="B10226" s="2">
        <f ca="1">IFERROR(__xludf.DUMMYFUNCTION("""COMPUTED_VALUE"""),2)</f>
        <v>2</v>
      </c>
      <c r="C10226" s="2">
        <f ca="1">IFERROR(__xludf.DUMMYFUNCTION("""COMPUTED_VALUE"""),2)</f>
        <v>2</v>
      </c>
      <c r="D10226" s="8">
        <f ca="1">IFERROR(__xludf.DUMMYFUNCTION("""COMPUTED_VALUE"""),2)</f>
        <v>2</v>
      </c>
      <c r="E10226" s="2">
        <f ca="1">IFERROR(__xludf.DUMMYFUNCTION("""COMPUTED_VALUE"""),1)</f>
        <v>1</v>
      </c>
    </row>
    <row r="10227" spans="1:5" ht="13">
      <c r="A10227" s="2" t="str">
        <f ca="1">IFERROR(__xludf.DUMMYFUNCTION("""COMPUTED_VALUE"""),"Thompson, Rebecca")</f>
        <v>Thompson, Rebecca</v>
      </c>
      <c r="B10227" s="3">
        <f ca="1">IFERROR(__xludf.DUMMYFUNCTION("""COMPUTED_VALUE"""),2)</f>
        <v>2</v>
      </c>
      <c r="C10227" s="7">
        <f ca="1">IFERROR(__xludf.DUMMYFUNCTION("""COMPUTED_VALUE"""),2)</f>
        <v>2</v>
      </c>
      <c r="D10227" s="8">
        <f ca="1">IFERROR(__xludf.DUMMYFUNCTION("""COMPUTED_VALUE"""),2)</f>
        <v>2</v>
      </c>
      <c r="E10227" s="2">
        <f ca="1">IFERROR(__xludf.DUMMYFUNCTION("""COMPUTED_VALUE"""),1)</f>
        <v>1</v>
      </c>
    </row>
    <row r="10228" spans="1:5" ht="13">
      <c r="A10228" s="2" t="str">
        <f ca="1">IFERROR(__xludf.DUMMYFUNCTION("""COMPUTED_VALUE"""),"Thorne, Melanie")</f>
        <v>Thorne, Melanie</v>
      </c>
      <c r="B10228" s="2">
        <f ca="1">IFERROR(__xludf.DUMMYFUNCTION("""COMPUTED_VALUE"""),2)</f>
        <v>2</v>
      </c>
      <c r="C10228" s="7">
        <f ca="1">IFERROR(__xludf.DUMMYFUNCTION("""COMPUTED_VALUE"""),2)</f>
        <v>2</v>
      </c>
      <c r="D10228" s="8">
        <f ca="1">IFERROR(__xludf.DUMMYFUNCTION("""COMPUTED_VALUE"""),2)</f>
        <v>2</v>
      </c>
      <c r="E10228" s="2">
        <f ca="1">IFERROR(__xludf.DUMMYFUNCTION("""COMPUTED_VALUE"""),1)</f>
        <v>1</v>
      </c>
    </row>
    <row r="10229" spans="1:5" ht="13">
      <c r="A10229" s="2" t="str">
        <f ca="1">IFERROR(__xludf.DUMMYFUNCTION("""COMPUTED_VALUE"""),"Thorvaldsdottir, Anna")</f>
        <v>Thorvaldsdottir, Anna</v>
      </c>
      <c r="B10229" s="3">
        <f ca="1">IFERROR(__xludf.DUMMYFUNCTION("""COMPUTED_VALUE"""),2)</f>
        <v>2</v>
      </c>
      <c r="C10229" s="7">
        <f ca="1">IFERROR(__xludf.DUMMYFUNCTION("""COMPUTED_VALUE"""),2)</f>
        <v>2</v>
      </c>
      <c r="D10229" s="8">
        <f ca="1">IFERROR(__xludf.DUMMYFUNCTION("""COMPUTED_VALUE"""),2)</f>
        <v>2</v>
      </c>
      <c r="E10229" s="2">
        <f ca="1">IFERROR(__xludf.DUMMYFUNCTION("""COMPUTED_VALUE"""),1)</f>
        <v>1</v>
      </c>
    </row>
    <row r="10230" spans="1:5" ht="13">
      <c r="A10230" s="2" t="str">
        <f ca="1">IFERROR(__xludf.DUMMYFUNCTION("""COMPUTED_VALUE"""),"Thrift, Susan")</f>
        <v>Thrift, Susan</v>
      </c>
      <c r="B10230" s="3">
        <f ca="1">IFERROR(__xludf.DUMMYFUNCTION("""COMPUTED_VALUE"""),2)</f>
        <v>2</v>
      </c>
      <c r="C10230" s="7">
        <f ca="1">IFERROR(__xludf.DUMMYFUNCTION("""COMPUTED_VALUE"""),2)</f>
        <v>2</v>
      </c>
      <c r="D10230" s="8">
        <f ca="1">IFERROR(__xludf.DUMMYFUNCTION("""COMPUTED_VALUE"""),2)</f>
        <v>2</v>
      </c>
      <c r="E10230" s="2">
        <f ca="1">IFERROR(__xludf.DUMMYFUNCTION("""COMPUTED_VALUE"""),1)</f>
        <v>1</v>
      </c>
    </row>
    <row r="10231" spans="1:5" ht="13">
      <c r="A10231" s="2" t="str">
        <f ca="1">IFERROR(__xludf.DUMMYFUNCTION("""COMPUTED_VALUE"""),"Tietz, Dacey")</f>
        <v>Tietz, Dacey</v>
      </c>
      <c r="B10231" s="3">
        <f ca="1">IFERROR(__xludf.DUMMYFUNCTION("""COMPUTED_VALUE"""),2)</f>
        <v>2</v>
      </c>
      <c r="C10231" s="7">
        <f ca="1">IFERROR(__xludf.DUMMYFUNCTION("""COMPUTED_VALUE"""),2)</f>
        <v>2</v>
      </c>
      <c r="D10231" s="8">
        <f ca="1">IFERROR(__xludf.DUMMYFUNCTION("""COMPUTED_VALUE"""),2)</f>
        <v>2</v>
      </c>
      <c r="E10231" s="2">
        <f ca="1">IFERROR(__xludf.DUMMYFUNCTION("""COMPUTED_VALUE"""),1)</f>
        <v>1</v>
      </c>
    </row>
    <row r="10232" spans="1:5" ht="13">
      <c r="A10232" s="2" t="str">
        <f ca="1">IFERROR(__xludf.DUMMYFUNCTION("""COMPUTED_VALUE"""),"Tillen, Paula Foley")</f>
        <v>Tillen, Paula Foley</v>
      </c>
      <c r="B10232" s="3">
        <f ca="1">IFERROR(__xludf.DUMMYFUNCTION("""COMPUTED_VALUE"""),2)</f>
        <v>2</v>
      </c>
      <c r="C10232" s="7">
        <f ca="1">IFERROR(__xludf.DUMMYFUNCTION("""COMPUTED_VALUE"""),2)</f>
        <v>2</v>
      </c>
      <c r="D10232" s="8">
        <f ca="1">IFERROR(__xludf.DUMMYFUNCTION("""COMPUTED_VALUE"""),2)</f>
        <v>2</v>
      </c>
      <c r="E10232" s="2">
        <f ca="1">IFERROR(__xludf.DUMMYFUNCTION("""COMPUTED_VALUE"""),1)</f>
        <v>1</v>
      </c>
    </row>
    <row r="10233" spans="1:5" ht="13">
      <c r="A10233" s="2" t="str">
        <f ca="1">IFERROR(__xludf.DUMMYFUNCTION("""COMPUTED_VALUE"""),"Tillinghast, Clara")</f>
        <v>Tillinghast, Clara</v>
      </c>
      <c r="B10233" s="3">
        <f ca="1">IFERROR(__xludf.DUMMYFUNCTION("""COMPUTED_VALUE"""),2)</f>
        <v>2</v>
      </c>
      <c r="C10233" s="7">
        <f ca="1">IFERROR(__xludf.DUMMYFUNCTION("""COMPUTED_VALUE"""),2)</f>
        <v>2</v>
      </c>
      <c r="D10233" s="8">
        <f ca="1">IFERROR(__xludf.DUMMYFUNCTION("""COMPUTED_VALUE"""),6)</f>
        <v>6</v>
      </c>
      <c r="E10233" s="2">
        <f ca="1">IFERROR(__xludf.DUMMYFUNCTION("""COMPUTED_VALUE"""),2)</f>
        <v>2</v>
      </c>
    </row>
    <row r="10234" spans="1:5" ht="13">
      <c r="A10234" s="8" t="str">
        <f ca="1">IFERROR(__xludf.DUMMYFUNCTION("""COMPUTED_VALUE"""),"Timofeyeva, Natalia")</f>
        <v>Timofeyeva, Natalia</v>
      </c>
      <c r="B10234" s="3">
        <f ca="1">IFERROR(__xludf.DUMMYFUNCTION("""COMPUTED_VALUE"""),2)</f>
        <v>2</v>
      </c>
      <c r="C10234" s="7">
        <f ca="1">IFERROR(__xludf.DUMMYFUNCTION("""COMPUTED_VALUE"""),2)</f>
        <v>2</v>
      </c>
      <c r="D10234" s="8">
        <f ca="1">IFERROR(__xludf.DUMMYFUNCTION("""COMPUTED_VALUE"""),6)</f>
        <v>6</v>
      </c>
      <c r="E10234" s="2">
        <f ca="1">IFERROR(__xludf.DUMMYFUNCTION("""COMPUTED_VALUE"""),2)</f>
        <v>2</v>
      </c>
    </row>
    <row r="10235" spans="1:5" ht="13">
      <c r="A10235" s="2" t="str">
        <f ca="1">IFERROR(__xludf.DUMMYFUNCTION("""COMPUTED_VALUE"""),"Tompkins, Meredith")</f>
        <v>Tompkins, Meredith</v>
      </c>
      <c r="B10235" s="3">
        <f ca="1">IFERROR(__xludf.DUMMYFUNCTION("""COMPUTED_VALUE"""),2)</f>
        <v>2</v>
      </c>
      <c r="C10235" s="7">
        <f ca="1">IFERROR(__xludf.DUMMYFUNCTION("""COMPUTED_VALUE"""),2)</f>
        <v>2</v>
      </c>
      <c r="D10235" s="8">
        <f ca="1">IFERROR(__xludf.DUMMYFUNCTION("""COMPUTED_VALUE"""),2)</f>
        <v>2</v>
      </c>
      <c r="E10235" s="2">
        <f ca="1">IFERROR(__xludf.DUMMYFUNCTION("""COMPUTED_VALUE"""),1)</f>
        <v>1</v>
      </c>
    </row>
    <row r="10236" spans="1:5" ht="13">
      <c r="A10236" s="8" t="str">
        <f ca="1">IFERROR(__xludf.DUMMYFUNCTION("""COMPUTED_VALUE"""),"Tompkins, Rebecca")</f>
        <v>Tompkins, Rebecca</v>
      </c>
      <c r="B10236" s="3">
        <f ca="1">IFERROR(__xludf.DUMMYFUNCTION("""COMPUTED_VALUE"""),2)</f>
        <v>2</v>
      </c>
      <c r="C10236" s="7">
        <f ca="1">IFERROR(__xludf.DUMMYFUNCTION("""COMPUTED_VALUE"""),2)</f>
        <v>2</v>
      </c>
      <c r="D10236" s="8">
        <f ca="1">IFERROR(__xludf.DUMMYFUNCTION("""COMPUTED_VALUE"""),2)</f>
        <v>2</v>
      </c>
      <c r="E10236" s="2">
        <f ca="1">IFERROR(__xludf.DUMMYFUNCTION("""COMPUTED_VALUE"""),1)</f>
        <v>1</v>
      </c>
    </row>
    <row r="10237" spans="1:5" ht="13">
      <c r="A10237" s="8" t="str">
        <f ca="1">IFERROR(__xludf.DUMMYFUNCTION("""COMPUTED_VALUE"""),"Toskana, Luise Von (Archduchess Louise of Austria)")</f>
        <v>Toskana, Luise Von (Archduchess Louise of Austria)</v>
      </c>
      <c r="B10237" s="3">
        <f ca="1">IFERROR(__xludf.DUMMYFUNCTION("""COMPUTED_VALUE"""),2)</f>
        <v>2</v>
      </c>
      <c r="C10237" s="7">
        <f ca="1">IFERROR(__xludf.DUMMYFUNCTION("""COMPUTED_VALUE"""),2)</f>
        <v>2</v>
      </c>
      <c r="D10237" s="8">
        <f ca="1">IFERROR(__xludf.DUMMYFUNCTION("""COMPUTED_VALUE"""),6)</f>
        <v>6</v>
      </c>
      <c r="E10237" s="2">
        <f ca="1">IFERROR(__xludf.DUMMYFUNCTION("""COMPUTED_VALUE"""),2)</f>
        <v>2</v>
      </c>
    </row>
    <row r="10238" spans="1:5" ht="13">
      <c r="A10238" s="2" t="str">
        <f ca="1">IFERROR(__xludf.DUMMYFUNCTION("""COMPUTED_VALUE"""),"Tower, Joan")</f>
        <v>Tower, Joan</v>
      </c>
      <c r="B10238" s="3">
        <f ca="1">IFERROR(__xludf.DUMMYFUNCTION("""COMPUTED_VALUE"""),2)</f>
        <v>2</v>
      </c>
      <c r="C10238" s="7">
        <f ca="1">IFERROR(__xludf.DUMMYFUNCTION("""COMPUTED_VALUE"""),2)</f>
        <v>2</v>
      </c>
      <c r="D10238" s="8">
        <f ca="1">IFERROR(__xludf.DUMMYFUNCTION("""COMPUTED_VALUE"""),2)</f>
        <v>2</v>
      </c>
      <c r="E10238" s="2">
        <f ca="1">IFERROR(__xludf.DUMMYFUNCTION("""COMPUTED_VALUE"""),1)</f>
        <v>1</v>
      </c>
    </row>
    <row r="10239" spans="1:5" ht="13">
      <c r="A10239" s="8" t="str">
        <f ca="1">IFERROR(__xludf.DUMMYFUNCTION("""COMPUTED_VALUE"""),"Townsend, Jill")</f>
        <v>Townsend, Jill</v>
      </c>
      <c r="B10239" s="3">
        <f ca="1">IFERROR(__xludf.DUMMYFUNCTION("""COMPUTED_VALUE"""),2)</f>
        <v>2</v>
      </c>
      <c r="C10239" s="7">
        <f ca="1">IFERROR(__xludf.DUMMYFUNCTION("""COMPUTED_VALUE"""),2)</f>
        <v>2</v>
      </c>
      <c r="D10239" s="8">
        <f ca="1">IFERROR(__xludf.DUMMYFUNCTION("""COMPUTED_VALUE"""),2)</f>
        <v>2</v>
      </c>
      <c r="E10239" s="2">
        <f ca="1">IFERROR(__xludf.DUMMYFUNCTION("""COMPUTED_VALUE"""),1)</f>
        <v>1</v>
      </c>
    </row>
    <row r="10240" spans="1:5" ht="13">
      <c r="A10240" s="2" t="str">
        <f ca="1">IFERROR(__xludf.DUMMYFUNCTION("""COMPUTED_VALUE"""),"Trimble, Joan")</f>
        <v>Trimble, Joan</v>
      </c>
      <c r="B10240" s="3">
        <f ca="1">IFERROR(__xludf.DUMMYFUNCTION("""COMPUTED_VALUE"""),2)</f>
        <v>2</v>
      </c>
      <c r="C10240" s="7">
        <f ca="1">IFERROR(__xludf.DUMMYFUNCTION("""COMPUTED_VALUE"""),2)</f>
        <v>2</v>
      </c>
      <c r="D10240" s="8">
        <f ca="1">IFERROR(__xludf.DUMMYFUNCTION("""COMPUTED_VALUE"""),6)</f>
        <v>6</v>
      </c>
      <c r="E10240" s="2">
        <f ca="1">IFERROR(__xludf.DUMMYFUNCTION("""COMPUTED_VALUE"""),2)</f>
        <v>2</v>
      </c>
    </row>
    <row r="10241" spans="1:5" ht="13">
      <c r="A10241" s="2" t="str">
        <f ca="1">IFERROR(__xludf.DUMMYFUNCTION("""COMPUTED_VALUE"""),"Trumbore, Dale")</f>
        <v>Trumbore, Dale</v>
      </c>
      <c r="B10241" s="3">
        <f ca="1">IFERROR(__xludf.DUMMYFUNCTION("""COMPUTED_VALUE"""),2)</f>
        <v>2</v>
      </c>
      <c r="C10241" s="7">
        <f ca="1">IFERROR(__xludf.DUMMYFUNCTION("""COMPUTED_VALUE"""),2)</f>
        <v>2</v>
      </c>
      <c r="D10241" s="8">
        <f ca="1">IFERROR(__xludf.DUMMYFUNCTION("""COMPUTED_VALUE"""),2)</f>
        <v>2</v>
      </c>
      <c r="E10241" s="2">
        <f ca="1">IFERROR(__xludf.DUMMYFUNCTION("""COMPUTED_VALUE"""),1)</f>
        <v>1</v>
      </c>
    </row>
    <row r="10242" spans="1:5" ht="13">
      <c r="A10242" s="2" t="str">
        <f ca="1">IFERROR(__xludf.DUMMYFUNCTION("""COMPUTED_VALUE"""),"Tucker, Judith")</f>
        <v>Tucker, Judith</v>
      </c>
      <c r="B10242" s="3">
        <f ca="1">IFERROR(__xludf.DUMMYFUNCTION("""COMPUTED_VALUE"""),2)</f>
        <v>2</v>
      </c>
      <c r="C10242" s="7">
        <f ca="1">IFERROR(__xludf.DUMMYFUNCTION("""COMPUTED_VALUE"""),2)</f>
        <v>2</v>
      </c>
      <c r="D10242" s="8">
        <f ca="1">IFERROR(__xludf.DUMMYFUNCTION("""COMPUTED_VALUE"""),2)</f>
        <v>2</v>
      </c>
      <c r="E10242" s="2">
        <f ca="1">IFERROR(__xludf.DUMMYFUNCTION("""COMPUTED_VALUE"""),1)</f>
        <v>1</v>
      </c>
    </row>
    <row r="10243" spans="1:5" ht="13">
      <c r="A10243" s="2" t="str">
        <f ca="1">IFERROR(__xludf.DUMMYFUNCTION("""COMPUTED_VALUE"""),"Tucker, Margaret")</f>
        <v>Tucker, Margaret</v>
      </c>
      <c r="B10243" s="3">
        <f ca="1">IFERROR(__xludf.DUMMYFUNCTION("""COMPUTED_VALUE"""),2)</f>
        <v>2</v>
      </c>
      <c r="C10243" s="7">
        <f ca="1">IFERROR(__xludf.DUMMYFUNCTION("""COMPUTED_VALUE"""),2)</f>
        <v>2</v>
      </c>
      <c r="D10243" s="8">
        <f ca="1">IFERROR(__xludf.DUMMYFUNCTION("""COMPUTED_VALUE"""),2)</f>
        <v>2</v>
      </c>
      <c r="E10243" s="2">
        <f ca="1">IFERROR(__xludf.DUMMYFUNCTION("""COMPUTED_VALUE"""),1)</f>
        <v>1</v>
      </c>
    </row>
    <row r="10244" spans="1:5" ht="13">
      <c r="A10244" s="2" t="str">
        <f ca="1">IFERROR(__xludf.DUMMYFUNCTION("""COMPUTED_VALUE"""),"Tucker, Vicki")</f>
        <v>Tucker, Vicki</v>
      </c>
      <c r="B10244" s="3">
        <f ca="1">IFERROR(__xludf.DUMMYFUNCTION("""COMPUTED_VALUE"""),2)</f>
        <v>2</v>
      </c>
      <c r="C10244" s="7">
        <f ca="1">IFERROR(__xludf.DUMMYFUNCTION("""COMPUTED_VALUE"""),2)</f>
        <v>2</v>
      </c>
      <c r="D10244" s="8">
        <f ca="1">IFERROR(__xludf.DUMMYFUNCTION("""COMPUTED_VALUE"""),2)</f>
        <v>2</v>
      </c>
      <c r="E10244" s="2">
        <f ca="1">IFERROR(__xludf.DUMMYFUNCTION("""COMPUTED_VALUE"""),1)</f>
        <v>1</v>
      </c>
    </row>
    <row r="10245" spans="1:5" ht="13">
      <c r="A10245" s="2" t="str">
        <f ca="1">IFERROR(__xludf.DUMMYFUNCTION("""COMPUTED_VALUE"""),"Tullock, Penny")</f>
        <v>Tullock, Penny</v>
      </c>
      <c r="B10245" s="3">
        <f ca="1">IFERROR(__xludf.DUMMYFUNCTION("""COMPUTED_VALUE"""),2)</f>
        <v>2</v>
      </c>
      <c r="C10245" s="7">
        <f ca="1">IFERROR(__xludf.DUMMYFUNCTION("""COMPUTED_VALUE"""),2)</f>
        <v>2</v>
      </c>
      <c r="D10245" s="8">
        <f ca="1">IFERROR(__xludf.DUMMYFUNCTION("""COMPUTED_VALUE"""),2)</f>
        <v>2</v>
      </c>
      <c r="E10245" s="2">
        <f ca="1">IFERROR(__xludf.DUMMYFUNCTION("""COMPUTED_VALUE"""),1)</f>
        <v>1</v>
      </c>
    </row>
    <row r="10246" spans="1:5" ht="13">
      <c r="A10246" s="2" t="str">
        <f ca="1">IFERROR(__xludf.DUMMYFUNCTION("""COMPUTED_VALUE"""),"Turner, Debra")</f>
        <v>Turner, Debra</v>
      </c>
      <c r="B10246" s="3">
        <f ca="1">IFERROR(__xludf.DUMMYFUNCTION("""COMPUTED_VALUE"""),2)</f>
        <v>2</v>
      </c>
      <c r="C10246" s="7">
        <f ca="1">IFERROR(__xludf.DUMMYFUNCTION("""COMPUTED_VALUE"""),2)</f>
        <v>2</v>
      </c>
      <c r="D10246" s="8">
        <f ca="1">IFERROR(__xludf.DUMMYFUNCTION("""COMPUTED_VALUE"""),2)</f>
        <v>2</v>
      </c>
      <c r="E10246" s="2">
        <f ca="1">IFERROR(__xludf.DUMMYFUNCTION("""COMPUTED_VALUE"""),1)</f>
        <v>1</v>
      </c>
    </row>
    <row r="10247" spans="1:5" ht="13">
      <c r="A10247" s="2" t="str">
        <f ca="1">IFERROR(__xludf.DUMMYFUNCTION("""COMPUTED_VALUE"""),"Turner, Kerry")</f>
        <v>Turner, Kerry</v>
      </c>
      <c r="B10247" s="3">
        <f ca="1">IFERROR(__xludf.DUMMYFUNCTION("""COMPUTED_VALUE"""),2)</f>
        <v>2</v>
      </c>
      <c r="C10247" s="7">
        <f ca="1">IFERROR(__xludf.DUMMYFUNCTION("""COMPUTED_VALUE"""),2)</f>
        <v>2</v>
      </c>
      <c r="D10247" s="8">
        <f ca="1">IFERROR(__xludf.DUMMYFUNCTION("""COMPUTED_VALUE"""),2)</f>
        <v>2</v>
      </c>
      <c r="E10247" s="2">
        <f ca="1">IFERROR(__xludf.DUMMYFUNCTION("""COMPUTED_VALUE"""),1)</f>
        <v>1</v>
      </c>
    </row>
    <row r="10248" spans="1:5" ht="13">
      <c r="A10248" s="2" t="str">
        <f ca="1">IFERROR(__xludf.DUMMYFUNCTION("""COMPUTED_VALUE"""),"Twine, Linda")</f>
        <v>Twine, Linda</v>
      </c>
      <c r="B10248" s="3">
        <f ca="1">IFERROR(__xludf.DUMMYFUNCTION("""COMPUTED_VALUE"""),2)</f>
        <v>2</v>
      </c>
      <c r="C10248" s="7">
        <f ca="1">IFERROR(__xludf.DUMMYFUNCTION("""COMPUTED_VALUE"""),2)</f>
        <v>2</v>
      </c>
      <c r="D10248" s="8">
        <f ca="1">IFERROR(__xludf.DUMMYFUNCTION("""COMPUTED_VALUE"""),2)</f>
        <v>2</v>
      </c>
      <c r="E10248" s="2">
        <f ca="1">IFERROR(__xludf.DUMMYFUNCTION("""COMPUTED_VALUE"""),1)</f>
        <v>1</v>
      </c>
    </row>
    <row r="10249" spans="1:5" ht="13">
      <c r="A10249" s="2" t="str">
        <f ca="1">IFERROR(__xludf.DUMMYFUNCTION("""COMPUTED_VALUE"""),"Uallacháin, Pádraigín Ní")</f>
        <v>Uallacháin, Pádraigín Ní</v>
      </c>
      <c r="B10249" s="3">
        <f ca="1">IFERROR(__xludf.DUMMYFUNCTION("""COMPUTED_VALUE"""),2)</f>
        <v>2</v>
      </c>
      <c r="C10249" s="7">
        <f ca="1">IFERROR(__xludf.DUMMYFUNCTION("""COMPUTED_VALUE"""),2)</f>
        <v>2</v>
      </c>
      <c r="D10249" s="8">
        <f ca="1">IFERROR(__xludf.DUMMYFUNCTION("""COMPUTED_VALUE"""),2)</f>
        <v>2</v>
      </c>
      <c r="E10249" s="3">
        <f ca="1">IFERROR(__xludf.DUMMYFUNCTION("""COMPUTED_VALUE"""),1)</f>
        <v>1</v>
      </c>
    </row>
    <row r="10250" spans="1:5" ht="13">
      <c r="A10250" s="2" t="str">
        <f ca="1">IFERROR(__xludf.DUMMYFUNCTION("""COMPUTED_VALUE"""),"Underwood, Idona")</f>
        <v>Underwood, Idona</v>
      </c>
      <c r="B10250" s="3">
        <f ca="1">IFERROR(__xludf.DUMMYFUNCTION("""COMPUTED_VALUE"""),2)</f>
        <v>2</v>
      </c>
      <c r="C10250" s="7">
        <f ca="1">IFERROR(__xludf.DUMMYFUNCTION("""COMPUTED_VALUE"""),2)</f>
        <v>2</v>
      </c>
      <c r="D10250" s="8">
        <f ca="1">IFERROR(__xludf.DUMMYFUNCTION("""COMPUTED_VALUE"""),2)</f>
        <v>2</v>
      </c>
      <c r="E10250" s="2">
        <f ca="1">IFERROR(__xludf.DUMMYFUNCTION("""COMPUTED_VALUE"""),1)</f>
        <v>1</v>
      </c>
    </row>
    <row r="10251" spans="1:5" ht="13">
      <c r="A10251" s="2" t="str">
        <f ca="1">IFERROR(__xludf.DUMMYFUNCTION("""COMPUTED_VALUE"""),"Ustvolskaya, Galina")</f>
        <v>Ustvolskaya, Galina</v>
      </c>
      <c r="B10251" s="3">
        <f ca="1">IFERROR(__xludf.DUMMYFUNCTION("""COMPUTED_VALUE"""),2)</f>
        <v>2</v>
      </c>
      <c r="C10251" s="7">
        <f ca="1">IFERROR(__xludf.DUMMYFUNCTION("""COMPUTED_VALUE"""),2)</f>
        <v>2</v>
      </c>
      <c r="D10251" s="8">
        <f ca="1">IFERROR(__xludf.DUMMYFUNCTION("""COMPUTED_VALUE"""),6)</f>
        <v>6</v>
      </c>
      <c r="E10251" s="2">
        <f ca="1">IFERROR(__xludf.DUMMYFUNCTION("""COMPUTED_VALUE"""),2)</f>
        <v>2</v>
      </c>
    </row>
    <row r="10252" spans="1:5" ht="13">
      <c r="A10252" s="2" t="str">
        <f ca="1">IFERROR(__xludf.DUMMYFUNCTION("""COMPUTED_VALUE"""),"Valerio, Sandy")</f>
        <v>Valerio, Sandy</v>
      </c>
      <c r="B10252" s="3">
        <f ca="1">IFERROR(__xludf.DUMMYFUNCTION("""COMPUTED_VALUE"""),2)</f>
        <v>2</v>
      </c>
      <c r="C10252" s="7">
        <f ca="1">IFERROR(__xludf.DUMMYFUNCTION("""COMPUTED_VALUE"""),2)</f>
        <v>2</v>
      </c>
      <c r="D10252" s="8">
        <f ca="1">IFERROR(__xludf.DUMMYFUNCTION("""COMPUTED_VALUE"""),2)</f>
        <v>2</v>
      </c>
      <c r="E10252" s="2">
        <f ca="1">IFERROR(__xludf.DUMMYFUNCTION("""COMPUTED_VALUE"""),1)</f>
        <v>1</v>
      </c>
    </row>
    <row r="10253" spans="1:5" ht="13">
      <c r="A10253" s="2" t="str">
        <f ca="1">IFERROR(__xludf.DUMMYFUNCTION("""COMPUTED_VALUE"""),"van Dijk, Charlotte")</f>
        <v>van Dijk, Charlotte</v>
      </c>
      <c r="B10253" s="2">
        <f ca="1">IFERROR(__xludf.DUMMYFUNCTION("""COMPUTED_VALUE"""),2)</f>
        <v>2</v>
      </c>
      <c r="C10253" s="7">
        <f ca="1">IFERROR(__xludf.DUMMYFUNCTION("""COMPUTED_VALUE"""),2)</f>
        <v>2</v>
      </c>
      <c r="D10253" s="8">
        <f ca="1">IFERROR(__xludf.DUMMYFUNCTION("""COMPUTED_VALUE"""),2)</f>
        <v>2</v>
      </c>
      <c r="E10253" s="2">
        <f ca="1">IFERROR(__xludf.DUMMYFUNCTION("""COMPUTED_VALUE"""),1)</f>
        <v>1</v>
      </c>
    </row>
    <row r="10254" spans="1:5" ht="13">
      <c r="A10254" s="2" t="str">
        <f ca="1">IFERROR(__xludf.DUMMYFUNCTION("""COMPUTED_VALUE"""),"Van Gils, Mari")</f>
        <v>Van Gils, Mari</v>
      </c>
      <c r="B10254" s="3">
        <f ca="1">IFERROR(__xludf.DUMMYFUNCTION("""COMPUTED_VALUE"""),2)</f>
        <v>2</v>
      </c>
      <c r="C10254" s="7">
        <f ca="1">IFERROR(__xludf.DUMMYFUNCTION("""COMPUTED_VALUE"""),2)</f>
        <v>2</v>
      </c>
      <c r="D10254" s="8">
        <f ca="1">IFERROR(__xludf.DUMMYFUNCTION("""COMPUTED_VALUE"""),2)</f>
        <v>2</v>
      </c>
      <c r="E10254" s="2">
        <f ca="1">IFERROR(__xludf.DUMMYFUNCTION("""COMPUTED_VALUE"""),1)</f>
        <v>1</v>
      </c>
    </row>
    <row r="10255" spans="1:5" ht="13">
      <c r="A10255" s="2" t="str">
        <f ca="1">IFERROR(__xludf.DUMMYFUNCTION("""COMPUTED_VALUE"""),"Van Maanen, Cynthia")</f>
        <v>Van Maanen, Cynthia</v>
      </c>
      <c r="B10255" s="3">
        <f ca="1">IFERROR(__xludf.DUMMYFUNCTION("""COMPUTED_VALUE"""),2)</f>
        <v>2</v>
      </c>
      <c r="C10255" s="7">
        <f ca="1">IFERROR(__xludf.DUMMYFUNCTION("""COMPUTED_VALUE"""),2)</f>
        <v>2</v>
      </c>
      <c r="D10255" s="8">
        <f ca="1">IFERROR(__xludf.DUMMYFUNCTION("""COMPUTED_VALUE"""),2)</f>
        <v>2</v>
      </c>
      <c r="E10255" s="2">
        <f ca="1">IFERROR(__xludf.DUMMYFUNCTION("""COMPUTED_VALUE"""),1)</f>
        <v>1</v>
      </c>
    </row>
    <row r="10256" spans="1:5" ht="13">
      <c r="A10256" s="2" t="str">
        <f ca="1">IFERROR(__xludf.DUMMYFUNCTION("""COMPUTED_VALUE"""),"Van Ness, Patricia")</f>
        <v>Van Ness, Patricia</v>
      </c>
      <c r="B10256" s="3">
        <f ca="1">IFERROR(__xludf.DUMMYFUNCTION("""COMPUTED_VALUE"""),2)</f>
        <v>2</v>
      </c>
      <c r="C10256" s="7">
        <f ca="1">IFERROR(__xludf.DUMMYFUNCTION("""COMPUTED_VALUE"""),2)</f>
        <v>2</v>
      </c>
      <c r="D10256" s="8">
        <f ca="1">IFERROR(__xludf.DUMMYFUNCTION("""COMPUTED_VALUE"""),2)</f>
        <v>2</v>
      </c>
      <c r="E10256" s="2">
        <f ca="1">IFERROR(__xludf.DUMMYFUNCTION("""COMPUTED_VALUE"""),1)</f>
        <v>1</v>
      </c>
    </row>
    <row r="10257" spans="1:5" ht="13">
      <c r="A10257" s="2" t="str">
        <f ca="1">IFERROR(__xludf.DUMMYFUNCTION("""COMPUTED_VALUE"""),"Vance, Margaret")</f>
        <v>Vance, Margaret</v>
      </c>
      <c r="B10257" s="3">
        <f ca="1">IFERROR(__xludf.DUMMYFUNCTION("""COMPUTED_VALUE"""),2)</f>
        <v>2</v>
      </c>
      <c r="C10257" s="7">
        <f ca="1">IFERROR(__xludf.DUMMYFUNCTION("""COMPUTED_VALUE"""),2)</f>
        <v>2</v>
      </c>
      <c r="D10257" s="8">
        <f ca="1">IFERROR(__xludf.DUMMYFUNCTION("""COMPUTED_VALUE"""),6)</f>
        <v>6</v>
      </c>
      <c r="E10257" s="2">
        <f ca="1">IFERROR(__xludf.DUMMYFUNCTION("""COMPUTED_VALUE"""),2)</f>
        <v>2</v>
      </c>
    </row>
    <row r="10258" spans="1:5" ht="13">
      <c r="A10258" s="2" t="str">
        <f ca="1">IFERROR(__xludf.DUMMYFUNCTION("""COMPUTED_VALUE"""),"Vandervelde, Janika")</f>
        <v>Vandervelde, Janika</v>
      </c>
      <c r="B10258" s="3">
        <f ca="1">IFERROR(__xludf.DUMMYFUNCTION("""COMPUTED_VALUE"""),2)</f>
        <v>2</v>
      </c>
      <c r="C10258" s="7">
        <f ca="1">IFERROR(__xludf.DUMMYFUNCTION("""COMPUTED_VALUE"""),2)</f>
        <v>2</v>
      </c>
      <c r="D10258" s="8">
        <f ca="1">IFERROR(__xludf.DUMMYFUNCTION("""COMPUTED_VALUE"""),2)</f>
        <v>2</v>
      </c>
      <c r="E10258" s="2">
        <f ca="1">IFERROR(__xludf.DUMMYFUNCTION("""COMPUTED_VALUE"""),1)</f>
        <v>1</v>
      </c>
    </row>
    <row r="10259" spans="1:5" ht="13">
      <c r="A10259" s="2" t="str">
        <f ca="1">IFERROR(__xludf.DUMMYFUNCTION("""COMPUTED_VALUE"""),"Vardanega, Barbara")</f>
        <v>Vardanega, Barbara</v>
      </c>
      <c r="B10259" s="3">
        <f ca="1">IFERROR(__xludf.DUMMYFUNCTION("""COMPUTED_VALUE"""),2)</f>
        <v>2</v>
      </c>
      <c r="C10259" s="7">
        <f ca="1">IFERROR(__xludf.DUMMYFUNCTION("""COMPUTED_VALUE"""),2)</f>
        <v>2</v>
      </c>
      <c r="D10259" s="8">
        <f ca="1">IFERROR(__xludf.DUMMYFUNCTION("""COMPUTED_VALUE"""),2)</f>
        <v>2</v>
      </c>
      <c r="E10259" s="2">
        <f ca="1">IFERROR(__xludf.DUMMYFUNCTION("""COMPUTED_VALUE"""),1)</f>
        <v>1</v>
      </c>
    </row>
    <row r="10260" spans="1:5" ht="13">
      <c r="A10260" s="2" t="str">
        <f ca="1">IFERROR(__xludf.DUMMYFUNCTION("""COMPUTED_VALUE"""),"Varga, Judit")</f>
        <v>Varga, Judit</v>
      </c>
      <c r="B10260" s="3">
        <f ca="1">IFERROR(__xludf.DUMMYFUNCTION("""COMPUTED_VALUE"""),2)</f>
        <v>2</v>
      </c>
      <c r="C10260" s="7">
        <f ca="1">IFERROR(__xludf.DUMMYFUNCTION("""COMPUTED_VALUE"""),2)</f>
        <v>2</v>
      </c>
      <c r="D10260" s="8">
        <f ca="1">IFERROR(__xludf.DUMMYFUNCTION("""COMPUTED_VALUE"""),2)</f>
        <v>2</v>
      </c>
      <c r="E10260" s="2">
        <f ca="1">IFERROR(__xludf.DUMMYFUNCTION("""COMPUTED_VALUE"""),1)</f>
        <v>1</v>
      </c>
    </row>
    <row r="10261" spans="1:5" ht="13">
      <c r="A10261" s="2" t="str">
        <f ca="1">IFERROR(__xludf.DUMMYFUNCTION("""COMPUTED_VALUE"""),"Varner, Joan")</f>
        <v>Varner, Joan</v>
      </c>
      <c r="B10261" s="3">
        <f ca="1">IFERROR(__xludf.DUMMYFUNCTION("""COMPUTED_VALUE"""),2)</f>
        <v>2</v>
      </c>
      <c r="C10261" s="7">
        <f ca="1">IFERROR(__xludf.DUMMYFUNCTION("""COMPUTED_VALUE"""),2)</f>
        <v>2</v>
      </c>
      <c r="D10261" s="8">
        <f ca="1">IFERROR(__xludf.DUMMYFUNCTION("""COMPUTED_VALUE"""),2)</f>
        <v>2</v>
      </c>
      <c r="E10261" s="2">
        <f ca="1">IFERROR(__xludf.DUMMYFUNCTION("""COMPUTED_VALUE"""),1)</f>
        <v>1</v>
      </c>
    </row>
    <row r="10262" spans="1:5" ht="13">
      <c r="A10262" s="2" t="str">
        <f ca="1">IFERROR(__xludf.DUMMYFUNCTION("""COMPUTED_VALUE"""),"Vasiliauskaite, Kristina")</f>
        <v>Vasiliauskaite, Kristina</v>
      </c>
      <c r="B10262" s="3">
        <f ca="1">IFERROR(__xludf.DUMMYFUNCTION("""COMPUTED_VALUE"""),2)</f>
        <v>2</v>
      </c>
      <c r="C10262" s="7">
        <f ca="1">IFERROR(__xludf.DUMMYFUNCTION("""COMPUTED_VALUE"""),2)</f>
        <v>2</v>
      </c>
      <c r="D10262" s="8">
        <f ca="1">IFERROR(__xludf.DUMMYFUNCTION("""COMPUTED_VALUE"""),2)</f>
        <v>2</v>
      </c>
      <c r="E10262" s="2">
        <f ca="1">IFERROR(__xludf.DUMMYFUNCTION("""COMPUTED_VALUE"""),1)</f>
        <v>1</v>
      </c>
    </row>
    <row r="10263" spans="1:5" ht="13">
      <c r="A10263" s="2" t="str">
        <f ca="1">IFERROR(__xludf.DUMMYFUNCTION("""COMPUTED_VALUE"""),"Vega, Laura")</f>
        <v>Vega, Laura</v>
      </c>
      <c r="B10263" s="2">
        <f ca="1">IFERROR(__xludf.DUMMYFUNCTION("""COMPUTED_VALUE"""),2)</f>
        <v>2</v>
      </c>
      <c r="C10263" s="2">
        <f ca="1">IFERROR(__xludf.DUMMYFUNCTION("""COMPUTED_VALUE"""),2)</f>
        <v>2</v>
      </c>
      <c r="D10263" s="8">
        <f ca="1">IFERROR(__xludf.DUMMYFUNCTION("""COMPUTED_VALUE"""),2)</f>
        <v>2</v>
      </c>
      <c r="E10263" s="2">
        <f ca="1">IFERROR(__xludf.DUMMYFUNCTION("""COMPUTED_VALUE"""),1)</f>
        <v>1</v>
      </c>
    </row>
    <row r="10264" spans="1:5" ht="13">
      <c r="A10264" s="2" t="str">
        <f ca="1">IFERROR(__xludf.DUMMYFUNCTION("""COMPUTED_VALUE"""),"Vehar, Persis Parshall")</f>
        <v>Vehar, Persis Parshall</v>
      </c>
      <c r="B10264" s="3">
        <f ca="1">IFERROR(__xludf.DUMMYFUNCTION("""COMPUTED_VALUE"""),2)</f>
        <v>2</v>
      </c>
      <c r="C10264" s="7">
        <f ca="1">IFERROR(__xludf.DUMMYFUNCTION("""COMPUTED_VALUE"""),2)</f>
        <v>2</v>
      </c>
      <c r="D10264" s="8">
        <f ca="1">IFERROR(__xludf.DUMMYFUNCTION("""COMPUTED_VALUE"""),2)</f>
        <v>2</v>
      </c>
      <c r="E10264" s="2">
        <f ca="1">IFERROR(__xludf.DUMMYFUNCTION("""COMPUTED_VALUE"""),1)</f>
        <v>1</v>
      </c>
    </row>
    <row r="10265" spans="1:5" ht="13">
      <c r="A10265" s="2" t="str">
        <f ca="1">IFERROR(__xludf.DUMMYFUNCTION("""COMPUTED_VALUE"""),"Veitch, Leanne Daharja")</f>
        <v>Veitch, Leanne Daharja</v>
      </c>
      <c r="B10265" s="3">
        <f ca="1">IFERROR(__xludf.DUMMYFUNCTION("""COMPUTED_VALUE"""),2)</f>
        <v>2</v>
      </c>
      <c r="C10265" s="7">
        <f ca="1">IFERROR(__xludf.DUMMYFUNCTION("""COMPUTED_VALUE"""),2)</f>
        <v>2</v>
      </c>
      <c r="D10265" s="8">
        <f ca="1">IFERROR(__xludf.DUMMYFUNCTION("""COMPUTED_VALUE"""),2)</f>
        <v>2</v>
      </c>
      <c r="E10265" s="2">
        <f ca="1">IFERROR(__xludf.DUMMYFUNCTION("""COMPUTED_VALUE"""),1)</f>
        <v>1</v>
      </c>
    </row>
    <row r="10266" spans="1:5" ht="13">
      <c r="A10266" s="2" t="str">
        <f ca="1">IFERROR(__xludf.DUMMYFUNCTION("""COMPUTED_VALUE"""),"Venet, Andrea")</f>
        <v>Venet, Andrea</v>
      </c>
      <c r="B10266" s="3">
        <f ca="1">IFERROR(__xludf.DUMMYFUNCTION("""COMPUTED_VALUE"""),2)</f>
        <v>2</v>
      </c>
      <c r="C10266" s="7">
        <f ca="1">IFERROR(__xludf.DUMMYFUNCTION("""COMPUTED_VALUE"""),2)</f>
        <v>2</v>
      </c>
      <c r="D10266" s="8">
        <f ca="1">IFERROR(__xludf.DUMMYFUNCTION("""COMPUTED_VALUE"""),2)</f>
        <v>2</v>
      </c>
      <c r="E10266" s="2">
        <f ca="1">IFERROR(__xludf.DUMMYFUNCTION("""COMPUTED_VALUE"""),1)</f>
        <v>1</v>
      </c>
    </row>
    <row r="10267" spans="1:5" ht="13">
      <c r="A10267" s="2" t="str">
        <f ca="1">IFERROR(__xludf.DUMMYFUNCTION("""COMPUTED_VALUE"""),"Verhaalen, Marion")</f>
        <v>Verhaalen, Marion</v>
      </c>
      <c r="B10267" s="3">
        <f ca="1">IFERROR(__xludf.DUMMYFUNCTION("""COMPUTED_VALUE"""),2)</f>
        <v>2</v>
      </c>
      <c r="C10267" s="7">
        <f ca="1">IFERROR(__xludf.DUMMYFUNCTION("""COMPUTED_VALUE"""),2)</f>
        <v>2</v>
      </c>
      <c r="D10267" s="8">
        <f ca="1">IFERROR(__xludf.DUMMYFUNCTION("""COMPUTED_VALUE"""),6)</f>
        <v>6</v>
      </c>
      <c r="E10267" s="2">
        <f ca="1">IFERROR(__xludf.DUMMYFUNCTION("""COMPUTED_VALUE"""),2)</f>
        <v>2</v>
      </c>
    </row>
    <row r="10268" spans="1:5" ht="13">
      <c r="A10268" s="8" t="str">
        <f ca="1">IFERROR(__xludf.DUMMYFUNCTION("""COMPUTED_VALUE"""),"Verne, Mary (pseudonym for Sister Marion Verhaalen)")</f>
        <v>Verne, Mary (pseudonym for Sister Marion Verhaalen)</v>
      </c>
      <c r="B10268" s="3">
        <f ca="1">IFERROR(__xludf.DUMMYFUNCTION("""COMPUTED_VALUE"""),2)</f>
        <v>2</v>
      </c>
      <c r="C10268" s="7">
        <f ca="1">IFERROR(__xludf.DUMMYFUNCTION("""COMPUTED_VALUE"""),2)</f>
        <v>2</v>
      </c>
      <c r="D10268" s="8">
        <f ca="1">IFERROR(__xludf.DUMMYFUNCTION("""COMPUTED_VALUE"""),6)</f>
        <v>6</v>
      </c>
      <c r="E10268" s="2">
        <f ca="1">IFERROR(__xludf.DUMMYFUNCTION("""COMPUTED_VALUE"""),2)</f>
        <v>2</v>
      </c>
    </row>
    <row r="10269" spans="1:5" ht="13">
      <c r="A10269" s="2" t="str">
        <f ca="1">IFERROR(__xludf.DUMMYFUNCTION("""COMPUTED_VALUE"""),"Verunelli, Francesca")</f>
        <v>Verunelli, Francesca</v>
      </c>
      <c r="B10269" s="3">
        <f ca="1">IFERROR(__xludf.DUMMYFUNCTION("""COMPUTED_VALUE"""),2)</f>
        <v>2</v>
      </c>
      <c r="C10269" s="7">
        <f ca="1">IFERROR(__xludf.DUMMYFUNCTION("""COMPUTED_VALUE"""),2)</f>
        <v>2</v>
      </c>
      <c r="D10269" s="8">
        <f ca="1">IFERROR(__xludf.DUMMYFUNCTION("""COMPUTED_VALUE"""),2)</f>
        <v>2</v>
      </c>
      <c r="E10269" s="2">
        <f ca="1">IFERROR(__xludf.DUMMYFUNCTION("""COMPUTED_VALUE"""),1)</f>
        <v>1</v>
      </c>
    </row>
    <row r="10270" spans="1:5" ht="13">
      <c r="A10270" s="8" t="str">
        <f ca="1">IFERROR(__xludf.DUMMYFUNCTION("""COMPUTED_VALUE"""),"Viardot, Pauline")</f>
        <v>Viardot, Pauline</v>
      </c>
      <c r="B10270" s="3">
        <f ca="1">IFERROR(__xludf.DUMMYFUNCTION("""COMPUTED_VALUE"""),2)</f>
        <v>2</v>
      </c>
      <c r="C10270" s="7">
        <f ca="1">IFERROR(__xludf.DUMMYFUNCTION("""COMPUTED_VALUE"""),2)</f>
        <v>2</v>
      </c>
      <c r="D10270" s="8">
        <f ca="1">IFERROR(__xludf.DUMMYFUNCTION("""COMPUTED_VALUE"""),2)</f>
        <v>2</v>
      </c>
      <c r="E10270" s="2">
        <f ca="1">IFERROR(__xludf.DUMMYFUNCTION("""COMPUTED_VALUE"""),1)</f>
        <v>1</v>
      </c>
    </row>
    <row r="10271" spans="1:5" ht="13">
      <c r="A10271" s="2" t="str">
        <f ca="1">IFERROR(__xludf.DUMMYFUNCTION("""COMPUTED_VALUE"""),"VIDA")</f>
        <v>VIDA</v>
      </c>
      <c r="B10271" s="3">
        <f ca="1">IFERROR(__xludf.DUMMYFUNCTION("""COMPUTED_VALUE"""),2)</f>
        <v>2</v>
      </c>
      <c r="C10271" s="7">
        <f ca="1">IFERROR(__xludf.DUMMYFUNCTION("""COMPUTED_VALUE"""),2)</f>
        <v>2</v>
      </c>
      <c r="D10271" s="8">
        <f ca="1">IFERROR(__xludf.DUMMYFUNCTION("""COMPUTED_VALUE"""),2)</f>
        <v>2</v>
      </c>
      <c r="E10271" s="2">
        <f ca="1">IFERROR(__xludf.DUMMYFUNCTION("""COMPUTED_VALUE"""),1)</f>
        <v>1</v>
      </c>
    </row>
    <row r="10272" spans="1:5" ht="13">
      <c r="A10272" s="2" t="str">
        <f ca="1">IFERROR(__xludf.DUMMYFUNCTION("""COMPUTED_VALUE"""),"Vierk, Lois V.")</f>
        <v>Vierk, Lois V.</v>
      </c>
      <c r="B10272" s="3">
        <f ca="1">IFERROR(__xludf.DUMMYFUNCTION("""COMPUTED_VALUE"""),2)</f>
        <v>2</v>
      </c>
      <c r="C10272" s="7">
        <f ca="1">IFERROR(__xludf.DUMMYFUNCTION("""COMPUTED_VALUE"""),2)</f>
        <v>2</v>
      </c>
      <c r="D10272" s="8">
        <f ca="1">IFERROR(__xludf.DUMMYFUNCTION("""COMPUTED_VALUE"""),2)</f>
        <v>2</v>
      </c>
      <c r="E10272" s="2">
        <f ca="1">IFERROR(__xludf.DUMMYFUNCTION("""COMPUTED_VALUE"""),1)</f>
        <v>1</v>
      </c>
    </row>
    <row r="10273" spans="1:5" ht="13">
      <c r="A10273" s="2" t="str">
        <f ca="1">IFERROR(__xludf.DUMMYFUNCTION("""COMPUTED_VALUE"""),"Vinther, Megan")</f>
        <v>Vinther, Megan</v>
      </c>
      <c r="B10273" s="2">
        <f ca="1">IFERROR(__xludf.DUMMYFUNCTION("""COMPUTED_VALUE"""),2)</f>
        <v>2</v>
      </c>
      <c r="C10273" s="7">
        <f ca="1">IFERROR(__xludf.DUMMYFUNCTION("""COMPUTED_VALUE"""),2)</f>
        <v>2</v>
      </c>
      <c r="D10273" s="8">
        <f ca="1">IFERROR(__xludf.DUMMYFUNCTION("""COMPUTED_VALUE"""),2)</f>
        <v>2</v>
      </c>
      <c r="E10273" s="2">
        <f ca="1">IFERROR(__xludf.DUMMYFUNCTION("""COMPUTED_VALUE"""),1)</f>
        <v>1</v>
      </c>
    </row>
    <row r="10274" spans="1:5" ht="13">
      <c r="A10274" s="2" t="str">
        <f ca="1">IFERROR(__xludf.DUMMYFUNCTION("""COMPUTED_VALUE"""),"Volk, Elizabeth")</f>
        <v>Volk, Elizabeth</v>
      </c>
      <c r="B10274" s="3">
        <f ca="1">IFERROR(__xludf.DUMMYFUNCTION("""COMPUTED_VALUE"""),2)</f>
        <v>2</v>
      </c>
      <c r="C10274" s="7">
        <f ca="1">IFERROR(__xludf.DUMMYFUNCTION("""COMPUTED_VALUE"""),2)</f>
        <v>2</v>
      </c>
      <c r="D10274" s="8">
        <f ca="1">IFERROR(__xludf.DUMMYFUNCTION("""COMPUTED_VALUE"""),6)</f>
        <v>6</v>
      </c>
      <c r="E10274" s="2">
        <f ca="1">IFERROR(__xludf.DUMMYFUNCTION("""COMPUTED_VALUE"""),2)</f>
        <v>2</v>
      </c>
    </row>
    <row r="10275" spans="1:5" ht="13">
      <c r="A10275" s="2" t="str">
        <f ca="1">IFERROR(__xludf.DUMMYFUNCTION("""COMPUTED_VALUE"""),"Volpini, Christina")</f>
        <v>Volpini, Christina</v>
      </c>
      <c r="B10275" s="3">
        <f ca="1">IFERROR(__xludf.DUMMYFUNCTION("""COMPUTED_VALUE"""),2)</f>
        <v>2</v>
      </c>
      <c r="C10275" s="7">
        <f ca="1">IFERROR(__xludf.DUMMYFUNCTION("""COMPUTED_VALUE"""),2)</f>
        <v>2</v>
      </c>
      <c r="D10275" s="8">
        <f ca="1">IFERROR(__xludf.DUMMYFUNCTION("""COMPUTED_VALUE"""),2)</f>
        <v>2</v>
      </c>
      <c r="E10275" s="2">
        <f ca="1">IFERROR(__xludf.DUMMYFUNCTION("""COMPUTED_VALUE"""),1)</f>
        <v>1</v>
      </c>
    </row>
    <row r="10276" spans="1:5" ht="13">
      <c r="A10276" s="2" t="str">
        <f ca="1">IFERROR(__xludf.DUMMYFUNCTION("""COMPUTED_VALUE"""),"von Bingen, Hildegard")</f>
        <v>von Bingen, Hildegard</v>
      </c>
      <c r="B10276" s="3">
        <f ca="1">IFERROR(__xludf.DUMMYFUNCTION("""COMPUTED_VALUE"""),2)</f>
        <v>2</v>
      </c>
      <c r="C10276" s="7">
        <f ca="1">IFERROR(__xludf.DUMMYFUNCTION("""COMPUTED_VALUE"""),2)</f>
        <v>2</v>
      </c>
      <c r="D10276" s="8">
        <f ca="1">IFERROR(__xludf.DUMMYFUNCTION("""COMPUTED_VALUE"""),6)</f>
        <v>6</v>
      </c>
      <c r="E10276" s="2">
        <f ca="1">IFERROR(__xludf.DUMMYFUNCTION("""COMPUTED_VALUE"""),2)</f>
        <v>2</v>
      </c>
    </row>
    <row r="10277" spans="1:5" ht="13">
      <c r="A10277" s="2" t="str">
        <f ca="1">IFERROR(__xludf.DUMMYFUNCTION("""COMPUTED_VALUE"""),"von Schleicher-Krähmer, Caroline")</f>
        <v>von Schleicher-Krähmer, Caroline</v>
      </c>
      <c r="B10277" s="3">
        <f ca="1">IFERROR(__xludf.DUMMYFUNCTION("""COMPUTED_VALUE"""),2)</f>
        <v>2</v>
      </c>
      <c r="C10277" s="7">
        <f ca="1">IFERROR(__xludf.DUMMYFUNCTION("""COMPUTED_VALUE"""),2)</f>
        <v>2</v>
      </c>
      <c r="D10277" s="8">
        <f ca="1">IFERROR(__xludf.DUMMYFUNCTION("""COMPUTED_VALUE"""),6)</f>
        <v>6</v>
      </c>
      <c r="E10277" s="2">
        <f ca="1">IFERROR(__xludf.DUMMYFUNCTION("""COMPUTED_VALUE"""),2)</f>
        <v>2</v>
      </c>
    </row>
    <row r="10278" spans="1:5" ht="13">
      <c r="A10278" s="2" t="str">
        <f ca="1">IFERROR(__xludf.DUMMYFUNCTION("""COMPUTED_VALUE"""),"Voth, Ellen Gibson")</f>
        <v>Voth, Ellen Gibson</v>
      </c>
      <c r="B10278" s="3">
        <f ca="1">IFERROR(__xludf.DUMMYFUNCTION("""COMPUTED_VALUE"""),2)</f>
        <v>2</v>
      </c>
      <c r="C10278" s="7">
        <f ca="1">IFERROR(__xludf.DUMMYFUNCTION("""COMPUTED_VALUE"""),2)</f>
        <v>2</v>
      </c>
      <c r="D10278" s="8">
        <f ca="1">IFERROR(__xludf.DUMMYFUNCTION("""COMPUTED_VALUE"""),2)</f>
        <v>2</v>
      </c>
      <c r="E10278" s="2">
        <f ca="1">IFERROR(__xludf.DUMMYFUNCTION("""COMPUTED_VALUE"""),1)</f>
        <v>1</v>
      </c>
    </row>
    <row r="10279" spans="1:5" ht="13">
      <c r="A10279" s="2" t="str">
        <f ca="1">IFERROR(__xludf.DUMMYFUNCTION("""COMPUTED_VALUE"""),"Vrebalov, Aleksandra")</f>
        <v>Vrebalov, Aleksandra</v>
      </c>
      <c r="B10279" s="3">
        <f ca="1">IFERROR(__xludf.DUMMYFUNCTION("""COMPUTED_VALUE"""),2)</f>
        <v>2</v>
      </c>
      <c r="C10279" s="7">
        <f ca="1">IFERROR(__xludf.DUMMYFUNCTION("""COMPUTED_VALUE"""),2)</f>
        <v>2</v>
      </c>
      <c r="D10279" s="8">
        <f ca="1">IFERROR(__xludf.DUMMYFUNCTION("""COMPUTED_VALUE"""),2)</f>
        <v>2</v>
      </c>
      <c r="E10279" s="2">
        <f ca="1">IFERROR(__xludf.DUMMYFUNCTION("""COMPUTED_VALUE"""),1)</f>
        <v>1</v>
      </c>
    </row>
    <row r="10280" spans="1:5" ht="13">
      <c r="A10280" s="2" t="str">
        <f ca="1">IFERROR(__xludf.DUMMYFUNCTION("""COMPUTED_VALUE"""),"Vree, Marion")</f>
        <v>Vree, Marion</v>
      </c>
      <c r="B10280" s="3">
        <f ca="1">IFERROR(__xludf.DUMMYFUNCTION("""COMPUTED_VALUE"""),2)</f>
        <v>2</v>
      </c>
      <c r="C10280" s="7">
        <f ca="1">IFERROR(__xludf.DUMMYFUNCTION("""COMPUTED_VALUE"""),2)</f>
        <v>2</v>
      </c>
      <c r="D10280" s="8">
        <f ca="1">IFERROR(__xludf.DUMMYFUNCTION("""COMPUTED_VALUE"""),6)</f>
        <v>6</v>
      </c>
      <c r="E10280" s="2">
        <f ca="1">IFERROR(__xludf.DUMMYFUNCTION("""COMPUTED_VALUE"""),2)</f>
        <v>2</v>
      </c>
    </row>
    <row r="10281" spans="1:5" ht="13">
      <c r="A10281" s="2" t="str">
        <f ca="1">IFERROR(__xludf.DUMMYFUNCTION("""COMPUTED_VALUE"""),"Vulc, Tadeja")</f>
        <v>Vulc, Tadeja</v>
      </c>
      <c r="B10281" s="2">
        <f ca="1">IFERROR(__xludf.DUMMYFUNCTION("""COMPUTED_VALUE"""),2)</f>
        <v>2</v>
      </c>
      <c r="C10281" s="7">
        <f ca="1">IFERROR(__xludf.DUMMYFUNCTION("""COMPUTED_VALUE"""),2)</f>
        <v>2</v>
      </c>
      <c r="D10281" s="8">
        <f ca="1">IFERROR(__xludf.DUMMYFUNCTION("""COMPUTED_VALUE"""),2)</f>
        <v>2</v>
      </c>
      <c r="E10281" s="2">
        <f ca="1">IFERROR(__xludf.DUMMYFUNCTION("""COMPUTED_VALUE"""),1)</f>
        <v>1</v>
      </c>
    </row>
    <row r="10282" spans="1:5" ht="13">
      <c r="A10282" s="2" t="str">
        <f ca="1">IFERROR(__xludf.DUMMYFUNCTION("""COMPUTED_VALUE"""),"Vultaggio, Jeanne")</f>
        <v>Vultaggio, Jeanne</v>
      </c>
      <c r="B10282" s="3">
        <f ca="1">IFERROR(__xludf.DUMMYFUNCTION("""COMPUTED_VALUE"""),2)</f>
        <v>2</v>
      </c>
      <c r="C10282" s="7">
        <f ca="1">IFERROR(__xludf.DUMMYFUNCTION("""COMPUTED_VALUE"""),2)</f>
        <v>2</v>
      </c>
      <c r="D10282" s="8">
        <f ca="1">IFERROR(__xludf.DUMMYFUNCTION("""COMPUTED_VALUE"""),2)</f>
        <v>2</v>
      </c>
      <c r="E10282" s="2">
        <f ca="1">IFERROR(__xludf.DUMMYFUNCTION("""COMPUTED_VALUE"""),1)</f>
        <v>1</v>
      </c>
    </row>
    <row r="10283" spans="1:5" ht="13">
      <c r="A10283" s="2" t="str">
        <f ca="1">IFERROR(__xludf.DUMMYFUNCTION("""COMPUTED_VALUE"""),"Wagner, Melinda")</f>
        <v>Wagner, Melinda</v>
      </c>
      <c r="B10283" s="3">
        <f ca="1">IFERROR(__xludf.DUMMYFUNCTION("""COMPUTED_VALUE"""),2)</f>
        <v>2</v>
      </c>
      <c r="C10283" s="7">
        <f ca="1">IFERROR(__xludf.DUMMYFUNCTION("""COMPUTED_VALUE"""),2)</f>
        <v>2</v>
      </c>
      <c r="D10283" s="8">
        <f ca="1">IFERROR(__xludf.DUMMYFUNCTION("""COMPUTED_VALUE"""),2)</f>
        <v>2</v>
      </c>
      <c r="E10283" s="2">
        <f ca="1">IFERROR(__xludf.DUMMYFUNCTION("""COMPUTED_VALUE"""),1)</f>
        <v>1</v>
      </c>
    </row>
    <row r="10284" spans="1:5" ht="13">
      <c r="A10284" s="2" t="str">
        <f ca="1">IFERROR(__xludf.DUMMYFUNCTION("""COMPUTED_VALUE"""),"Walker, Gwyneth")</f>
        <v>Walker, Gwyneth</v>
      </c>
      <c r="B10284" s="3">
        <f ca="1">IFERROR(__xludf.DUMMYFUNCTION("""COMPUTED_VALUE"""),2)</f>
        <v>2</v>
      </c>
      <c r="C10284" s="7">
        <f ca="1">IFERROR(__xludf.DUMMYFUNCTION("""COMPUTED_VALUE"""),2)</f>
        <v>2</v>
      </c>
      <c r="D10284" s="8">
        <f ca="1">IFERROR(__xludf.DUMMYFUNCTION("""COMPUTED_VALUE"""),2)</f>
        <v>2</v>
      </c>
      <c r="E10284" s="2">
        <f ca="1">IFERROR(__xludf.DUMMYFUNCTION("""COMPUTED_VALUE"""),1)</f>
        <v>1</v>
      </c>
    </row>
    <row r="10285" spans="1:5" ht="13">
      <c r="A10285" s="8" t="str">
        <f ca="1">IFERROR(__xludf.DUMMYFUNCTION("""COMPUTED_VALUE"""),"Walter, Lana")</f>
        <v>Walter, Lana</v>
      </c>
      <c r="B10285" s="3">
        <f ca="1">IFERROR(__xludf.DUMMYFUNCTION("""COMPUTED_VALUE"""),2)</f>
        <v>2</v>
      </c>
      <c r="C10285" s="7">
        <f ca="1">IFERROR(__xludf.DUMMYFUNCTION("""COMPUTED_VALUE"""),2)</f>
        <v>2</v>
      </c>
      <c r="D10285" s="8">
        <f ca="1">IFERROR(__xludf.DUMMYFUNCTION("""COMPUTED_VALUE"""),2)</f>
        <v>2</v>
      </c>
      <c r="E10285" s="2">
        <f ca="1">IFERROR(__xludf.DUMMYFUNCTION("""COMPUTED_VALUE"""),1)</f>
        <v>1</v>
      </c>
    </row>
    <row r="10286" spans="1:5" ht="13">
      <c r="A10286" s="2" t="str">
        <f ca="1">IFERROR(__xludf.DUMMYFUNCTION("""COMPUTED_VALUE"""),"Waltzer, Rosemary Sugden")</f>
        <v>Waltzer, Rosemary Sugden</v>
      </c>
      <c r="B10286" s="3">
        <f ca="1">IFERROR(__xludf.DUMMYFUNCTION("""COMPUTED_VALUE"""),2)</f>
        <v>2</v>
      </c>
      <c r="C10286" s="7">
        <f ca="1">IFERROR(__xludf.DUMMYFUNCTION("""COMPUTED_VALUE"""),2)</f>
        <v>2</v>
      </c>
      <c r="D10286" s="8">
        <f ca="1">IFERROR(__xludf.DUMMYFUNCTION("""COMPUTED_VALUE"""),2)</f>
        <v>2</v>
      </c>
      <c r="E10286" s="2">
        <f ca="1">IFERROR(__xludf.DUMMYFUNCTION("""COMPUTED_VALUE"""),1)</f>
        <v>1</v>
      </c>
    </row>
    <row r="10287" spans="1:5" ht="13">
      <c r="A10287" s="8" t="str">
        <f ca="1">IFERROR(__xludf.DUMMYFUNCTION("""COMPUTED_VALUE"""),"Wantenaar, Mathilde")</f>
        <v>Wantenaar, Mathilde</v>
      </c>
      <c r="B10287" s="3">
        <f ca="1">IFERROR(__xludf.DUMMYFUNCTION("""COMPUTED_VALUE"""),2)</f>
        <v>2</v>
      </c>
      <c r="C10287" s="7">
        <f ca="1">IFERROR(__xludf.DUMMYFUNCTION("""COMPUTED_VALUE"""),2)</f>
        <v>2</v>
      </c>
      <c r="D10287" s="8">
        <f ca="1">IFERROR(__xludf.DUMMYFUNCTION("""COMPUTED_VALUE"""),2)</f>
        <v>2</v>
      </c>
      <c r="E10287" s="2">
        <f ca="1">IFERROR(__xludf.DUMMYFUNCTION("""COMPUTED_VALUE"""),1)</f>
        <v>1</v>
      </c>
    </row>
    <row r="10288" spans="1:5" ht="13">
      <c r="A10288" s="2" t="str">
        <f ca="1">IFERROR(__xludf.DUMMYFUNCTION("""COMPUTED_VALUE"""),"Warren-Davis, Betsy")</f>
        <v>Warren-Davis, Betsy</v>
      </c>
      <c r="B10288" s="3">
        <f ca="1">IFERROR(__xludf.DUMMYFUNCTION("""COMPUTED_VALUE"""),2)</f>
        <v>2</v>
      </c>
      <c r="C10288" s="7">
        <f ca="1">IFERROR(__xludf.DUMMYFUNCTION("""COMPUTED_VALUE"""),2)</f>
        <v>2</v>
      </c>
      <c r="D10288" s="8">
        <f ca="1">IFERROR(__xludf.DUMMYFUNCTION("""COMPUTED_VALUE"""),6)</f>
        <v>6</v>
      </c>
      <c r="E10288" s="2">
        <f ca="1">IFERROR(__xludf.DUMMYFUNCTION("""COMPUTED_VALUE"""),2)</f>
        <v>2</v>
      </c>
    </row>
    <row r="10289" spans="1:5" ht="13">
      <c r="A10289" s="2" t="str">
        <f ca="1">IFERROR(__xludf.DUMMYFUNCTION("""COMPUTED_VALUE"""),"Warren, Elinor Remick")</f>
        <v>Warren, Elinor Remick</v>
      </c>
      <c r="B10289" s="3">
        <f ca="1">IFERROR(__xludf.DUMMYFUNCTION("""COMPUTED_VALUE"""),2)</f>
        <v>2</v>
      </c>
      <c r="C10289" s="7">
        <f ca="1">IFERROR(__xludf.DUMMYFUNCTION("""COMPUTED_VALUE"""),2)</f>
        <v>2</v>
      </c>
      <c r="D10289" s="8">
        <f ca="1">IFERROR(__xludf.DUMMYFUNCTION("""COMPUTED_VALUE"""),6)</f>
        <v>6</v>
      </c>
      <c r="E10289" s="2">
        <f ca="1">IFERROR(__xludf.DUMMYFUNCTION("""COMPUTED_VALUE"""),2)</f>
        <v>2</v>
      </c>
    </row>
    <row r="10290" spans="1:5" ht="13">
      <c r="A10290" s="2" t="str">
        <f ca="1">IFERROR(__xludf.DUMMYFUNCTION("""COMPUTED_VALUE"""),"Warshauer, Meira (Maxine)")</f>
        <v>Warshauer, Meira (Maxine)</v>
      </c>
      <c r="B10290" s="3">
        <f ca="1">IFERROR(__xludf.DUMMYFUNCTION("""COMPUTED_VALUE"""),2)</f>
        <v>2</v>
      </c>
      <c r="C10290" s="7">
        <f ca="1">IFERROR(__xludf.DUMMYFUNCTION("""COMPUTED_VALUE"""),2)</f>
        <v>2</v>
      </c>
      <c r="D10290" s="8">
        <f ca="1">IFERROR(__xludf.DUMMYFUNCTION("""COMPUTED_VALUE"""),2)</f>
        <v>2</v>
      </c>
      <c r="E10290" s="2">
        <f ca="1">IFERROR(__xludf.DUMMYFUNCTION("""COMPUTED_VALUE"""),1)</f>
        <v>1</v>
      </c>
    </row>
    <row r="10291" spans="1:5" ht="13">
      <c r="A10291" s="2" t="str">
        <f ca="1">IFERROR(__xludf.DUMMYFUNCTION("""COMPUTED_VALUE"""),"Warshaw, Dalit")</f>
        <v>Warshaw, Dalit</v>
      </c>
      <c r="B10291" s="3">
        <f ca="1">IFERROR(__xludf.DUMMYFUNCTION("""COMPUTED_VALUE"""),2)</f>
        <v>2</v>
      </c>
      <c r="C10291" s="7">
        <f ca="1">IFERROR(__xludf.DUMMYFUNCTION("""COMPUTED_VALUE"""),2)</f>
        <v>2</v>
      </c>
      <c r="D10291" s="8">
        <f ca="1">IFERROR(__xludf.DUMMYFUNCTION("""COMPUTED_VALUE"""),2)</f>
        <v>2</v>
      </c>
      <c r="E10291" s="2">
        <f ca="1">IFERROR(__xludf.DUMMYFUNCTION("""COMPUTED_VALUE"""),1)</f>
        <v>1</v>
      </c>
    </row>
    <row r="10292" spans="1:5" ht="13">
      <c r="A10292" s="2" t="str">
        <f ca="1">IFERROR(__xludf.DUMMYFUNCTION("""COMPUTED_VALUE"""),"Waterman, Frances")</f>
        <v>Waterman, Frances</v>
      </c>
      <c r="B10292" s="3">
        <f ca="1">IFERROR(__xludf.DUMMYFUNCTION("""COMPUTED_VALUE"""),2)</f>
        <v>2</v>
      </c>
      <c r="C10292" s="7">
        <f ca="1">IFERROR(__xludf.DUMMYFUNCTION("""COMPUTED_VALUE"""),2)</f>
        <v>2</v>
      </c>
      <c r="D10292" s="8">
        <f ca="1">IFERROR(__xludf.DUMMYFUNCTION("""COMPUTED_VALUE"""),6)</f>
        <v>6</v>
      </c>
      <c r="E10292" s="2">
        <f ca="1">IFERROR(__xludf.DUMMYFUNCTION("""COMPUTED_VALUE"""),2)</f>
        <v>2</v>
      </c>
    </row>
    <row r="10293" spans="1:5" ht="13">
      <c r="A10293" s="2" t="str">
        <f ca="1">IFERROR(__xludf.DUMMYFUNCTION("""COMPUTED_VALUE"""),"Waters, Renee")</f>
        <v>Waters, Renee</v>
      </c>
      <c r="B10293" s="3">
        <f ca="1">IFERROR(__xludf.DUMMYFUNCTION("""COMPUTED_VALUE"""),2)</f>
        <v>2</v>
      </c>
      <c r="C10293" s="7">
        <f ca="1">IFERROR(__xludf.DUMMYFUNCTION("""COMPUTED_VALUE"""),2)</f>
        <v>2</v>
      </c>
      <c r="D10293" s="8">
        <f ca="1">IFERROR(__xludf.DUMMYFUNCTION("""COMPUTED_VALUE"""),2)</f>
        <v>2</v>
      </c>
      <c r="E10293" s="2">
        <f ca="1">IFERROR(__xludf.DUMMYFUNCTION("""COMPUTED_VALUE"""),1)</f>
        <v>1</v>
      </c>
    </row>
    <row r="10294" spans="1:5" ht="13">
      <c r="A10294" s="2" t="str">
        <f ca="1">IFERROR(__xludf.DUMMYFUNCTION("""COMPUTED_VALUE"""),"Watkins-Stevens, Anita")</f>
        <v>Watkins-Stevens, Anita</v>
      </c>
      <c r="B10294" s="3">
        <f ca="1">IFERROR(__xludf.DUMMYFUNCTION("""COMPUTED_VALUE"""),2)</f>
        <v>2</v>
      </c>
      <c r="C10294" s="7">
        <f ca="1">IFERROR(__xludf.DUMMYFUNCTION("""COMPUTED_VALUE"""),2)</f>
        <v>2</v>
      </c>
      <c r="D10294" s="8">
        <f ca="1">IFERROR(__xludf.DUMMYFUNCTION("""COMPUTED_VALUE"""),2)</f>
        <v>2</v>
      </c>
      <c r="E10294" s="2">
        <f ca="1">IFERROR(__xludf.DUMMYFUNCTION("""COMPUTED_VALUE"""),1)</f>
        <v>1</v>
      </c>
    </row>
    <row r="10295" spans="1:5" ht="13">
      <c r="A10295" s="8" t="str">
        <f ca="1">IFERROR(__xludf.DUMMYFUNCTION("""COMPUTED_VALUE"""),"Watson, Judith")</f>
        <v>Watson, Judith</v>
      </c>
      <c r="B10295" s="3">
        <f ca="1">IFERROR(__xludf.DUMMYFUNCTION("""COMPUTED_VALUE"""),2)</f>
        <v>2</v>
      </c>
      <c r="C10295" s="7">
        <f ca="1">IFERROR(__xludf.DUMMYFUNCTION("""COMPUTED_VALUE"""),2)</f>
        <v>2</v>
      </c>
      <c r="D10295" s="8">
        <f ca="1">IFERROR(__xludf.DUMMYFUNCTION("""COMPUTED_VALUE"""),2)</f>
        <v>2</v>
      </c>
      <c r="E10295" s="2">
        <f ca="1">IFERROR(__xludf.DUMMYFUNCTION("""COMPUTED_VALUE"""),1)</f>
        <v>1</v>
      </c>
    </row>
    <row r="10296" spans="1:5" ht="13">
      <c r="A10296" s="8" t="str">
        <f ca="1">IFERROR(__xludf.DUMMYFUNCTION("""COMPUTED_VALUE"""),"Watters, Lorrain")</f>
        <v>Watters, Lorrain</v>
      </c>
      <c r="B10296" s="3">
        <f ca="1">IFERROR(__xludf.DUMMYFUNCTION("""COMPUTED_VALUE"""),2)</f>
        <v>2</v>
      </c>
      <c r="C10296" s="7">
        <f ca="1">IFERROR(__xludf.DUMMYFUNCTION("""COMPUTED_VALUE"""),2)</f>
        <v>2</v>
      </c>
      <c r="D10296" s="8">
        <f ca="1">IFERROR(__xludf.DUMMYFUNCTION("""COMPUTED_VALUE"""),6)</f>
        <v>6</v>
      </c>
      <c r="E10296" s="2">
        <f ca="1">IFERROR(__xludf.DUMMYFUNCTION("""COMPUTED_VALUE"""),2)</f>
        <v>2</v>
      </c>
    </row>
    <row r="10297" spans="1:5" ht="13">
      <c r="A10297" s="2" t="str">
        <f ca="1">IFERROR(__xludf.DUMMYFUNCTION("""COMPUTED_VALUE"""),"Watters, Lorrain / Gates, Jerry")</f>
        <v>Watters, Lorrain / Gates, Jerry</v>
      </c>
      <c r="B10297" s="2">
        <f ca="1">IFERROR(__xludf.DUMMYFUNCTION("""COMPUTED_VALUE"""),2)</f>
        <v>2</v>
      </c>
      <c r="C10297" s="7">
        <f ca="1">IFERROR(__xludf.DUMMYFUNCTION("""COMPUTED_VALUE"""),2)</f>
        <v>2</v>
      </c>
      <c r="D10297" s="8">
        <f ca="1">IFERROR(__xludf.DUMMYFUNCTION("""COMPUTED_VALUE"""),6)</f>
        <v>6</v>
      </c>
      <c r="E10297" s="2">
        <f ca="1">IFERROR(__xludf.DUMMYFUNCTION("""COMPUTED_VALUE"""),2)</f>
        <v>2</v>
      </c>
    </row>
    <row r="10298" spans="1:5" ht="13">
      <c r="A10298" s="2" t="str">
        <f ca="1">IFERROR(__xludf.DUMMYFUNCTION("""COMPUTED_VALUE"""),"Webb, Amy")</f>
        <v>Webb, Amy</v>
      </c>
      <c r="B10298" s="2">
        <f ca="1">IFERROR(__xludf.DUMMYFUNCTION("""COMPUTED_VALUE"""),2)</f>
        <v>2</v>
      </c>
      <c r="C10298" s="7">
        <f ca="1">IFERROR(__xludf.DUMMYFUNCTION("""COMPUTED_VALUE"""),2)</f>
        <v>2</v>
      </c>
      <c r="D10298" s="8">
        <f ca="1">IFERROR(__xludf.DUMMYFUNCTION("""COMPUTED_VALUE"""),2)</f>
        <v>2</v>
      </c>
      <c r="E10298" s="2">
        <f ca="1">IFERROR(__xludf.DUMMYFUNCTION("""COMPUTED_VALUE"""),1)</f>
        <v>1</v>
      </c>
    </row>
    <row r="10299" spans="1:5" ht="13">
      <c r="A10299" s="8" t="str">
        <f ca="1">IFERROR(__xludf.DUMMYFUNCTION("""COMPUTED_VALUE"""),"Webb, Evelyn")</f>
        <v>Webb, Evelyn</v>
      </c>
      <c r="B10299" s="3">
        <f ca="1">IFERROR(__xludf.DUMMYFUNCTION("""COMPUTED_VALUE"""),2)</f>
        <v>2</v>
      </c>
      <c r="C10299" s="7">
        <f ca="1">IFERROR(__xludf.DUMMYFUNCTION("""COMPUTED_VALUE"""),2)</f>
        <v>2</v>
      </c>
      <c r="D10299" s="8">
        <f ca="1">IFERROR(__xludf.DUMMYFUNCTION("""COMPUTED_VALUE"""),6)</f>
        <v>6</v>
      </c>
      <c r="E10299" s="2">
        <f ca="1">IFERROR(__xludf.DUMMYFUNCTION("""COMPUTED_VALUE"""),2)</f>
        <v>2</v>
      </c>
    </row>
    <row r="10300" spans="1:5" ht="13">
      <c r="A10300" s="2" t="str">
        <f ca="1">IFERROR(__xludf.DUMMYFUNCTION("""COMPUTED_VALUE"""),"Webb, Joy")</f>
        <v>Webb, Joy</v>
      </c>
      <c r="B10300" s="3">
        <f ca="1">IFERROR(__xludf.DUMMYFUNCTION("""COMPUTED_VALUE"""),2)</f>
        <v>2</v>
      </c>
      <c r="C10300" s="7">
        <f ca="1">IFERROR(__xludf.DUMMYFUNCTION("""COMPUTED_VALUE"""),2)</f>
        <v>2</v>
      </c>
      <c r="D10300" s="8">
        <f ca="1">IFERROR(__xludf.DUMMYFUNCTION("""COMPUTED_VALUE"""),6)</f>
        <v>6</v>
      </c>
      <c r="E10300" s="2">
        <f ca="1">IFERROR(__xludf.DUMMYFUNCTION("""COMPUTED_VALUE"""),2)</f>
        <v>2</v>
      </c>
    </row>
    <row r="10301" spans="1:5" ht="13">
      <c r="A10301" s="2" t="str">
        <f ca="1">IFERROR(__xludf.DUMMYFUNCTION("""COMPUTED_VALUE"""),"Webb, Merrilee")</f>
        <v>Webb, Merrilee</v>
      </c>
      <c r="B10301" s="3">
        <f ca="1">IFERROR(__xludf.DUMMYFUNCTION("""COMPUTED_VALUE"""),2)</f>
        <v>2</v>
      </c>
      <c r="C10301" s="7">
        <f ca="1">IFERROR(__xludf.DUMMYFUNCTION("""COMPUTED_VALUE"""),2)</f>
        <v>2</v>
      </c>
      <c r="D10301" s="8">
        <f ca="1">IFERROR(__xludf.DUMMYFUNCTION("""COMPUTED_VALUE"""),2)</f>
        <v>2</v>
      </c>
      <c r="E10301" s="2">
        <f ca="1">IFERROR(__xludf.DUMMYFUNCTION("""COMPUTED_VALUE"""),1)</f>
        <v>1</v>
      </c>
    </row>
    <row r="10302" spans="1:5" ht="13">
      <c r="A10302" s="2" t="str">
        <f ca="1">IFERROR(__xludf.DUMMYFUNCTION("""COMPUTED_VALUE"""),"Webdell, Valerie")</f>
        <v>Webdell, Valerie</v>
      </c>
      <c r="B10302" s="3">
        <f ca="1">IFERROR(__xludf.DUMMYFUNCTION("""COMPUTED_VALUE"""),2)</f>
        <v>2</v>
      </c>
      <c r="C10302" s="7">
        <f ca="1">IFERROR(__xludf.DUMMYFUNCTION("""COMPUTED_VALUE"""),2)</f>
        <v>2</v>
      </c>
      <c r="D10302" s="8">
        <f ca="1">IFERROR(__xludf.DUMMYFUNCTION("""COMPUTED_VALUE"""),2)</f>
        <v>2</v>
      </c>
      <c r="E10302" s="2">
        <f ca="1">IFERROR(__xludf.DUMMYFUNCTION("""COMPUTED_VALUE"""),1)</f>
        <v>1</v>
      </c>
    </row>
    <row r="10303" spans="1:5" ht="13">
      <c r="A10303" s="2" t="str">
        <f ca="1">IFERROR(__xludf.DUMMYFUNCTION("""COMPUTED_VALUE"""),"Weber, Beth")</f>
        <v>Weber, Beth</v>
      </c>
      <c r="B10303" s="3">
        <f ca="1">IFERROR(__xludf.DUMMYFUNCTION("""COMPUTED_VALUE"""),2)</f>
        <v>2</v>
      </c>
      <c r="C10303" s="7">
        <f ca="1">IFERROR(__xludf.DUMMYFUNCTION("""COMPUTED_VALUE"""),2)</f>
        <v>2</v>
      </c>
      <c r="D10303" s="8">
        <f ca="1">IFERROR(__xludf.DUMMYFUNCTION("""COMPUTED_VALUE"""),2)</f>
        <v>2</v>
      </c>
      <c r="E10303" s="2">
        <f ca="1">IFERROR(__xludf.DUMMYFUNCTION("""COMPUTED_VALUE"""),1)</f>
        <v>1</v>
      </c>
    </row>
    <row r="10304" spans="1:5" ht="13">
      <c r="A10304" s="2" t="str">
        <f ca="1">IFERROR(__xludf.DUMMYFUNCTION("""COMPUTED_VALUE"""),"Weber, Betsy Cook")</f>
        <v>Weber, Betsy Cook</v>
      </c>
      <c r="B10304" s="2">
        <f ca="1">IFERROR(__xludf.DUMMYFUNCTION("""COMPUTED_VALUE"""),2)</f>
        <v>2</v>
      </c>
      <c r="C10304" s="2">
        <f ca="1">IFERROR(__xludf.DUMMYFUNCTION("""COMPUTED_VALUE"""),2)</f>
        <v>2</v>
      </c>
      <c r="D10304" s="8">
        <f ca="1">IFERROR(__xludf.DUMMYFUNCTION("""COMPUTED_VALUE"""),2)</f>
        <v>2</v>
      </c>
      <c r="E10304" s="2">
        <f ca="1">IFERROR(__xludf.DUMMYFUNCTION("""COMPUTED_VALUE"""),1)</f>
        <v>1</v>
      </c>
    </row>
    <row r="10305" spans="1:5" ht="13">
      <c r="A10305" s="2" t="str">
        <f ca="1">IFERROR(__xludf.DUMMYFUNCTION("""COMPUTED_VALUE"""),"Wehrspann, Deanna")</f>
        <v>Wehrspann, Deanna</v>
      </c>
      <c r="B10305" s="3">
        <f ca="1">IFERROR(__xludf.DUMMYFUNCTION("""COMPUTED_VALUE"""),2)</f>
        <v>2</v>
      </c>
      <c r="C10305" s="7">
        <f ca="1">IFERROR(__xludf.DUMMYFUNCTION("""COMPUTED_VALUE"""),2)</f>
        <v>2</v>
      </c>
      <c r="D10305" s="8">
        <f ca="1">IFERROR(__xludf.DUMMYFUNCTION("""COMPUTED_VALUE"""),2)</f>
        <v>2</v>
      </c>
      <c r="E10305" s="2">
        <f ca="1">IFERROR(__xludf.DUMMYFUNCTION("""COMPUTED_VALUE"""),1)</f>
        <v>1</v>
      </c>
    </row>
    <row r="10306" spans="1:5" ht="13">
      <c r="A10306" s="2" t="str">
        <f ca="1">IFERROR(__xludf.DUMMYFUNCTION("""COMPUTED_VALUE"""),"Weir, Judith")</f>
        <v>Weir, Judith</v>
      </c>
      <c r="B10306" s="3">
        <f ca="1">IFERROR(__xludf.DUMMYFUNCTION("""COMPUTED_VALUE"""),2)</f>
        <v>2</v>
      </c>
      <c r="C10306" s="7">
        <f ca="1">IFERROR(__xludf.DUMMYFUNCTION("""COMPUTED_VALUE"""),2)</f>
        <v>2</v>
      </c>
      <c r="D10306" s="8">
        <f ca="1">IFERROR(__xludf.DUMMYFUNCTION("""COMPUTED_VALUE"""),2)</f>
        <v>2</v>
      </c>
      <c r="E10306" s="2">
        <f ca="1">IFERROR(__xludf.DUMMYFUNCTION("""COMPUTED_VALUE"""),1)</f>
        <v>1</v>
      </c>
    </row>
    <row r="10307" spans="1:5" ht="13">
      <c r="A10307" s="2" t="str">
        <f ca="1">IFERROR(__xludf.DUMMYFUNCTION("""COMPUTED_VALUE"""),"Weir, Michele")</f>
        <v>Weir, Michele</v>
      </c>
      <c r="B10307" s="2">
        <f ca="1">IFERROR(__xludf.DUMMYFUNCTION("""COMPUTED_VALUE"""),2)</f>
        <v>2</v>
      </c>
      <c r="C10307" s="7">
        <f ca="1">IFERROR(__xludf.DUMMYFUNCTION("""COMPUTED_VALUE"""),2)</f>
        <v>2</v>
      </c>
      <c r="D10307" s="8">
        <f ca="1">IFERROR(__xludf.DUMMYFUNCTION("""COMPUTED_VALUE"""),2)</f>
        <v>2</v>
      </c>
      <c r="E10307" s="2">
        <f ca="1">IFERROR(__xludf.DUMMYFUNCTION("""COMPUTED_VALUE"""),1)</f>
        <v>1</v>
      </c>
    </row>
    <row r="10308" spans="1:5" ht="13">
      <c r="A10308" s="8" t="str">
        <f ca="1">IFERROR(__xludf.DUMMYFUNCTION("""COMPUTED_VALUE"""),"Weisman, Carol")</f>
        <v>Weisman, Carol</v>
      </c>
      <c r="B10308" s="3">
        <f ca="1">IFERROR(__xludf.DUMMYFUNCTION("""COMPUTED_VALUE"""),2)</f>
        <v>2</v>
      </c>
      <c r="C10308" s="7">
        <f ca="1">IFERROR(__xludf.DUMMYFUNCTION("""COMPUTED_VALUE"""),2)</f>
        <v>2</v>
      </c>
      <c r="D10308" s="8">
        <f ca="1">IFERROR(__xludf.DUMMYFUNCTION("""COMPUTED_VALUE"""),2)</f>
        <v>2</v>
      </c>
      <c r="E10308" s="2">
        <f ca="1">IFERROR(__xludf.DUMMYFUNCTION("""COMPUTED_VALUE"""),1)</f>
        <v>1</v>
      </c>
    </row>
    <row r="10309" spans="1:5" ht="13">
      <c r="A10309" s="2" t="str">
        <f ca="1">IFERROR(__xludf.DUMMYFUNCTION("""COMPUTED_VALUE"""),"Weisman, Carol / Fox, Jeremy")</f>
        <v>Weisman, Carol / Fox, Jeremy</v>
      </c>
      <c r="B10309" s="3">
        <f ca="1">IFERROR(__xludf.DUMMYFUNCTION("""COMPUTED_VALUE"""),2)</f>
        <v>2</v>
      </c>
      <c r="C10309" s="7">
        <f ca="1">IFERROR(__xludf.DUMMYFUNCTION("""COMPUTED_VALUE"""),2)</f>
        <v>2</v>
      </c>
      <c r="D10309" s="8">
        <f ca="1">IFERROR(__xludf.DUMMYFUNCTION("""COMPUTED_VALUE"""),2)</f>
        <v>2</v>
      </c>
      <c r="E10309" s="2">
        <f ca="1">IFERROR(__xludf.DUMMYFUNCTION("""COMPUTED_VALUE"""),1)</f>
        <v>1</v>
      </c>
    </row>
    <row r="10310" spans="1:5" ht="13">
      <c r="A10310" s="2" t="str">
        <f ca="1">IFERROR(__xludf.DUMMYFUNCTION("""COMPUTED_VALUE"""),"Welch, Carolyn")</f>
        <v>Welch, Carolyn</v>
      </c>
      <c r="B10310" s="3">
        <f ca="1">IFERROR(__xludf.DUMMYFUNCTION("""COMPUTED_VALUE"""),2)</f>
        <v>2</v>
      </c>
      <c r="C10310" s="7">
        <f ca="1">IFERROR(__xludf.DUMMYFUNCTION("""COMPUTED_VALUE"""),2)</f>
        <v>2</v>
      </c>
      <c r="D10310" s="8">
        <f ca="1">IFERROR(__xludf.DUMMYFUNCTION("""COMPUTED_VALUE"""),2)</f>
        <v>2</v>
      </c>
      <c r="E10310" s="2">
        <f ca="1">IFERROR(__xludf.DUMMYFUNCTION("""COMPUTED_VALUE"""),1)</f>
        <v>1</v>
      </c>
    </row>
    <row r="10311" spans="1:5" ht="13">
      <c r="A10311" s="2" t="str">
        <f ca="1">IFERROR(__xludf.DUMMYFUNCTION("""COMPUTED_VALUE"""),"Wennäkoski, Lotta")</f>
        <v>Wennäkoski, Lotta</v>
      </c>
      <c r="B10311" s="3">
        <f ca="1">IFERROR(__xludf.DUMMYFUNCTION("""COMPUTED_VALUE"""),2)</f>
        <v>2</v>
      </c>
      <c r="C10311" s="7">
        <f ca="1">IFERROR(__xludf.DUMMYFUNCTION("""COMPUTED_VALUE"""),2)</f>
        <v>2</v>
      </c>
      <c r="D10311" s="8">
        <f ca="1">IFERROR(__xludf.DUMMYFUNCTION("""COMPUTED_VALUE"""),2)</f>
        <v>2</v>
      </c>
      <c r="E10311" s="2">
        <f ca="1">IFERROR(__xludf.DUMMYFUNCTION("""COMPUTED_VALUE"""),1)</f>
        <v>1</v>
      </c>
    </row>
    <row r="10312" spans="1:5" ht="13">
      <c r="A10312" s="2" t="str">
        <f ca="1">IFERROR(__xludf.DUMMYFUNCTION("""COMPUTED_VALUE"""),"Wertsch, Nancy")</f>
        <v>Wertsch, Nancy</v>
      </c>
      <c r="B10312" s="3">
        <f ca="1">IFERROR(__xludf.DUMMYFUNCTION("""COMPUTED_VALUE"""),2)</f>
        <v>2</v>
      </c>
      <c r="C10312" s="7">
        <f ca="1">IFERROR(__xludf.DUMMYFUNCTION("""COMPUTED_VALUE"""),2)</f>
        <v>2</v>
      </c>
      <c r="D10312" s="8">
        <f ca="1">IFERROR(__xludf.DUMMYFUNCTION("""COMPUTED_VALUE"""),2)</f>
        <v>2</v>
      </c>
      <c r="E10312" s="2">
        <f ca="1">IFERROR(__xludf.DUMMYFUNCTION("""COMPUTED_VALUE"""),1)</f>
        <v>1</v>
      </c>
    </row>
    <row r="10313" spans="1:5" ht="13">
      <c r="A10313" s="8" t="str">
        <f ca="1">IFERROR(__xludf.DUMMYFUNCTION("""COMPUTED_VALUE"""),"Wheeler, Janet")</f>
        <v>Wheeler, Janet</v>
      </c>
      <c r="B10313" s="3">
        <f ca="1">IFERROR(__xludf.DUMMYFUNCTION("""COMPUTED_VALUE"""),2)</f>
        <v>2</v>
      </c>
      <c r="C10313" s="7">
        <f ca="1">IFERROR(__xludf.DUMMYFUNCTION("""COMPUTED_VALUE"""),2)</f>
        <v>2</v>
      </c>
      <c r="D10313" s="8">
        <f ca="1">IFERROR(__xludf.DUMMYFUNCTION("""COMPUTED_VALUE"""),2)</f>
        <v>2</v>
      </c>
      <c r="E10313" s="2">
        <f ca="1">IFERROR(__xludf.DUMMYFUNCTION("""COMPUTED_VALUE"""),1)</f>
        <v>1</v>
      </c>
    </row>
    <row r="10314" spans="1:5" ht="13">
      <c r="A10314" s="2" t="str">
        <f ca="1">IFERROR(__xludf.DUMMYFUNCTION("""COMPUTED_VALUE"""),"Wheeler, Julie")</f>
        <v>Wheeler, Julie</v>
      </c>
      <c r="B10314" s="3">
        <f ca="1">IFERROR(__xludf.DUMMYFUNCTION("""COMPUTED_VALUE"""),2)</f>
        <v>2</v>
      </c>
      <c r="C10314" s="7">
        <f ca="1">IFERROR(__xludf.DUMMYFUNCTION("""COMPUTED_VALUE"""),2)</f>
        <v>2</v>
      </c>
      <c r="D10314" s="8">
        <f ca="1">IFERROR(__xludf.DUMMYFUNCTION("""COMPUTED_VALUE"""),2)</f>
        <v>2</v>
      </c>
      <c r="E10314" s="2">
        <f ca="1">IFERROR(__xludf.DUMMYFUNCTION("""COMPUTED_VALUE"""),1)</f>
        <v>1</v>
      </c>
    </row>
    <row r="10315" spans="1:5" ht="13">
      <c r="A10315" s="2" t="str">
        <f ca="1">IFERROR(__xludf.DUMMYFUNCTION("""COMPUTED_VALUE"""),"Wheeler, Teresa")</f>
        <v>Wheeler, Teresa</v>
      </c>
      <c r="B10315" s="2">
        <f ca="1">IFERROR(__xludf.DUMMYFUNCTION("""COMPUTED_VALUE"""),2)</f>
        <v>2</v>
      </c>
      <c r="C10315" s="2">
        <f ca="1">IFERROR(__xludf.DUMMYFUNCTION("""COMPUTED_VALUE"""),2)</f>
        <v>2</v>
      </c>
      <c r="D10315" s="8">
        <f ca="1">IFERROR(__xludf.DUMMYFUNCTION("""COMPUTED_VALUE"""),2)</f>
        <v>2</v>
      </c>
      <c r="E10315" s="2">
        <f ca="1">IFERROR(__xludf.DUMMYFUNCTION("""COMPUTED_VALUE"""),1)</f>
        <v>1</v>
      </c>
    </row>
    <row r="10316" spans="1:5" ht="13">
      <c r="A10316" s="2" t="str">
        <f ca="1">IFERROR(__xludf.DUMMYFUNCTION("""COMPUTED_VALUE"""),"Whelan, Rachel")</f>
        <v>Whelan, Rachel</v>
      </c>
      <c r="B10316" s="3">
        <f ca="1">IFERROR(__xludf.DUMMYFUNCTION("""COMPUTED_VALUE"""),2)</f>
        <v>2</v>
      </c>
      <c r="C10316" s="7">
        <f ca="1">IFERROR(__xludf.DUMMYFUNCTION("""COMPUTED_VALUE"""),2)</f>
        <v>2</v>
      </c>
      <c r="D10316" s="8">
        <f ca="1">IFERROR(__xludf.DUMMYFUNCTION("""COMPUTED_VALUE"""),2)</f>
        <v>2</v>
      </c>
      <c r="E10316" s="2">
        <f ca="1">IFERROR(__xludf.DUMMYFUNCTION("""COMPUTED_VALUE"""),1)</f>
        <v>1</v>
      </c>
    </row>
    <row r="10317" spans="1:5" ht="13">
      <c r="A10317" s="2" t="str">
        <f ca="1">IFERROR(__xludf.DUMMYFUNCTION("""COMPUTED_VALUE"""),"Whitacre, Diane")</f>
        <v>Whitacre, Diane</v>
      </c>
      <c r="B10317" s="2">
        <f ca="1">IFERROR(__xludf.DUMMYFUNCTION("""COMPUTED_VALUE"""),2)</f>
        <v>2</v>
      </c>
      <c r="C10317" s="7">
        <f ca="1">IFERROR(__xludf.DUMMYFUNCTION("""COMPUTED_VALUE"""),2)</f>
        <v>2</v>
      </c>
      <c r="D10317" s="8">
        <f ca="1">IFERROR(__xludf.DUMMYFUNCTION("""COMPUTED_VALUE"""),2)</f>
        <v>2</v>
      </c>
      <c r="E10317" s="2">
        <f ca="1">IFERROR(__xludf.DUMMYFUNCTION("""COMPUTED_VALUE"""),1)</f>
        <v>1</v>
      </c>
    </row>
    <row r="10318" spans="1:5" ht="13">
      <c r="A10318" s="2" t="str">
        <f ca="1">IFERROR(__xludf.DUMMYFUNCTION("""COMPUTED_VALUE"""),"Whitecotton, Shirley")</f>
        <v>Whitecotton, Shirley</v>
      </c>
      <c r="B10318" s="3">
        <f ca="1">IFERROR(__xludf.DUMMYFUNCTION("""COMPUTED_VALUE"""),2)</f>
        <v>2</v>
      </c>
      <c r="C10318" s="7">
        <f ca="1">IFERROR(__xludf.DUMMYFUNCTION("""COMPUTED_VALUE"""),2)</f>
        <v>2</v>
      </c>
      <c r="D10318" s="8">
        <f ca="1">IFERROR(__xludf.DUMMYFUNCTION("""COMPUTED_VALUE"""),6)</f>
        <v>6</v>
      </c>
      <c r="E10318" s="2">
        <f ca="1">IFERROR(__xludf.DUMMYFUNCTION("""COMPUTED_VALUE"""),2)</f>
        <v>2</v>
      </c>
    </row>
    <row r="10319" spans="1:5" ht="13">
      <c r="A10319" s="2" t="str">
        <f ca="1">IFERROR(__xludf.DUMMYFUNCTION("""COMPUTED_VALUE"""),"Whitsett, Eleanor")</f>
        <v>Whitsett, Eleanor</v>
      </c>
      <c r="B10319" s="3">
        <f ca="1">IFERROR(__xludf.DUMMYFUNCTION("""COMPUTED_VALUE"""),2)</f>
        <v>2</v>
      </c>
      <c r="C10319" s="7">
        <f ca="1">IFERROR(__xludf.DUMMYFUNCTION("""COMPUTED_VALUE"""),2)</f>
        <v>2</v>
      </c>
      <c r="D10319" s="8">
        <f ca="1">IFERROR(__xludf.DUMMYFUNCTION("""COMPUTED_VALUE"""),2)</f>
        <v>2</v>
      </c>
      <c r="E10319" s="2">
        <f ca="1">IFERROR(__xludf.DUMMYFUNCTION("""COMPUTED_VALUE"""),1)</f>
        <v>1</v>
      </c>
    </row>
    <row r="10320" spans="1:5" ht="13">
      <c r="A10320" s="2" t="str">
        <f ca="1">IFERROR(__xludf.DUMMYFUNCTION("""COMPUTED_VALUE"""),"Whittemore, Joan")</f>
        <v>Whittemore, Joan</v>
      </c>
      <c r="B10320" s="2">
        <f ca="1">IFERROR(__xludf.DUMMYFUNCTION("""COMPUTED_VALUE"""),2)</f>
        <v>2</v>
      </c>
      <c r="C10320" s="2">
        <f ca="1">IFERROR(__xludf.DUMMYFUNCTION("""COMPUTED_VALUE"""),2)</f>
        <v>2</v>
      </c>
      <c r="D10320" s="8">
        <f ca="1">IFERROR(__xludf.DUMMYFUNCTION("""COMPUTED_VALUE"""),2)</f>
        <v>2</v>
      </c>
      <c r="E10320" s="2">
        <f ca="1">IFERROR(__xludf.DUMMYFUNCTION("""COMPUTED_VALUE"""),1)</f>
        <v>1</v>
      </c>
    </row>
    <row r="10321" spans="1:5" ht="13">
      <c r="A10321" s="8" t="str">
        <f ca="1">IFERROR(__xludf.DUMMYFUNCTION("""COMPUTED_VALUE"""),"Wieland, Cassie")</f>
        <v>Wieland, Cassie</v>
      </c>
      <c r="B10321" s="3">
        <f ca="1">IFERROR(__xludf.DUMMYFUNCTION("""COMPUTED_VALUE"""),2)</f>
        <v>2</v>
      </c>
      <c r="C10321" s="7">
        <f ca="1">IFERROR(__xludf.DUMMYFUNCTION("""COMPUTED_VALUE"""),2)</f>
        <v>2</v>
      </c>
      <c r="D10321" s="8">
        <f ca="1">IFERROR(__xludf.DUMMYFUNCTION("""COMPUTED_VALUE"""),2)</f>
        <v>2</v>
      </c>
      <c r="E10321" s="2">
        <f ca="1">IFERROR(__xludf.DUMMYFUNCTION("""COMPUTED_VALUE"""),1)</f>
        <v>1</v>
      </c>
    </row>
    <row r="10322" spans="1:5" ht="13">
      <c r="A10322" s="2" t="str">
        <f ca="1">IFERROR(__xludf.DUMMYFUNCTION("""COMPUTED_VALUE"""),"Wieland, Suzanne")</f>
        <v>Wieland, Suzanne</v>
      </c>
      <c r="B10322" s="2">
        <f ca="1">IFERROR(__xludf.DUMMYFUNCTION("""COMPUTED_VALUE"""),2)</f>
        <v>2</v>
      </c>
      <c r="C10322" s="7">
        <f ca="1">IFERROR(__xludf.DUMMYFUNCTION("""COMPUTED_VALUE"""),2)</f>
        <v>2</v>
      </c>
      <c r="D10322" s="8">
        <f ca="1">IFERROR(__xludf.DUMMYFUNCTION("""COMPUTED_VALUE"""),2)</f>
        <v>2</v>
      </c>
      <c r="E10322" s="2">
        <f ca="1">IFERROR(__xludf.DUMMYFUNCTION("""COMPUTED_VALUE"""),1)</f>
        <v>1</v>
      </c>
    </row>
    <row r="10323" spans="1:5" ht="13">
      <c r="A10323" s="2" t="str">
        <f ca="1">IFERROR(__xludf.DUMMYFUNCTION("""COMPUTED_VALUE"""),"Wiemann, Beth")</f>
        <v>Wiemann, Beth</v>
      </c>
      <c r="B10323" s="3">
        <f ca="1">IFERROR(__xludf.DUMMYFUNCTION("""COMPUTED_VALUE"""),2)</f>
        <v>2</v>
      </c>
      <c r="C10323" s="7">
        <f ca="1">IFERROR(__xludf.DUMMYFUNCTION("""COMPUTED_VALUE"""),2)</f>
        <v>2</v>
      </c>
      <c r="D10323" s="8">
        <f ca="1">IFERROR(__xludf.DUMMYFUNCTION("""COMPUTED_VALUE"""),2)</f>
        <v>2</v>
      </c>
      <c r="E10323" s="2">
        <f ca="1">IFERROR(__xludf.DUMMYFUNCTION("""COMPUTED_VALUE"""),1)</f>
        <v>1</v>
      </c>
    </row>
    <row r="10324" spans="1:5" ht="13">
      <c r="A10324" s="2" t="str">
        <f ca="1">IFERROR(__xludf.DUMMYFUNCTION("""COMPUTED_VALUE"""),"Wilcox, Felicity")</f>
        <v>Wilcox, Felicity</v>
      </c>
      <c r="B10324" s="3">
        <f ca="1">IFERROR(__xludf.DUMMYFUNCTION("""COMPUTED_VALUE"""),2)</f>
        <v>2</v>
      </c>
      <c r="C10324" s="7">
        <f ca="1">IFERROR(__xludf.DUMMYFUNCTION("""COMPUTED_VALUE"""),2)</f>
        <v>2</v>
      </c>
      <c r="D10324" s="8">
        <f ca="1">IFERROR(__xludf.DUMMYFUNCTION("""COMPUTED_VALUE"""),2)</f>
        <v>2</v>
      </c>
      <c r="E10324" s="2">
        <f ca="1">IFERROR(__xludf.DUMMYFUNCTION("""COMPUTED_VALUE"""),1)</f>
        <v>1</v>
      </c>
    </row>
    <row r="10325" spans="1:5" ht="13">
      <c r="A10325" s="2" t="str">
        <f ca="1">IFERROR(__xludf.DUMMYFUNCTION("""COMPUTED_VALUE"""),"Wiley, Jane")</f>
        <v>Wiley, Jane</v>
      </c>
      <c r="B10325" s="3">
        <f ca="1">IFERROR(__xludf.DUMMYFUNCTION("""COMPUTED_VALUE"""),2)</f>
        <v>2</v>
      </c>
      <c r="C10325" s="7">
        <f ca="1">IFERROR(__xludf.DUMMYFUNCTION("""COMPUTED_VALUE"""),2)</f>
        <v>2</v>
      </c>
      <c r="D10325" s="8">
        <f ca="1">IFERROR(__xludf.DUMMYFUNCTION("""COMPUTED_VALUE"""),6)</f>
        <v>6</v>
      </c>
      <c r="E10325" s="2">
        <f ca="1">IFERROR(__xludf.DUMMYFUNCTION("""COMPUTED_VALUE"""),2)</f>
        <v>2</v>
      </c>
    </row>
    <row r="10326" spans="1:5" ht="13">
      <c r="A10326" s="8" t="str">
        <f ca="1">IFERROR(__xludf.DUMMYFUNCTION("""COMPUTED_VALUE"""),"Wilhemine Margravine of Bayrueth")</f>
        <v>Wilhemine Margravine of Bayrueth</v>
      </c>
      <c r="B10326" s="3">
        <f ca="1">IFERROR(__xludf.DUMMYFUNCTION("""COMPUTED_VALUE"""),2)</f>
        <v>2</v>
      </c>
      <c r="C10326" s="7">
        <f ca="1">IFERROR(__xludf.DUMMYFUNCTION("""COMPUTED_VALUE"""),2)</f>
        <v>2</v>
      </c>
      <c r="D10326" s="8">
        <f ca="1">IFERROR(__xludf.DUMMYFUNCTION("""COMPUTED_VALUE"""),6)</f>
        <v>6</v>
      </c>
      <c r="E10326" s="2">
        <f ca="1">IFERROR(__xludf.DUMMYFUNCTION("""COMPUTED_VALUE"""),2)</f>
        <v>2</v>
      </c>
    </row>
    <row r="10327" spans="1:5" ht="13">
      <c r="A10327" s="2" t="str">
        <f ca="1">IFERROR(__xludf.DUMMYFUNCTION("""COMPUTED_VALUE"""),"Williams-Wimberly, Lou")</f>
        <v>Williams-Wimberly, Lou</v>
      </c>
      <c r="B10327" s="3">
        <f ca="1">IFERROR(__xludf.DUMMYFUNCTION("""COMPUTED_VALUE"""),2)</f>
        <v>2</v>
      </c>
      <c r="C10327" s="7">
        <f ca="1">IFERROR(__xludf.DUMMYFUNCTION("""COMPUTED_VALUE"""),2)</f>
        <v>2</v>
      </c>
      <c r="D10327" s="8">
        <f ca="1">IFERROR(__xludf.DUMMYFUNCTION("""COMPUTED_VALUE"""),2)</f>
        <v>2</v>
      </c>
      <c r="E10327" s="2">
        <f ca="1">IFERROR(__xludf.DUMMYFUNCTION("""COMPUTED_VALUE"""),1)</f>
        <v>1</v>
      </c>
    </row>
    <row r="10328" spans="1:5" ht="13">
      <c r="A10328" s="2" t="str">
        <f ca="1">IFERROR(__xludf.DUMMYFUNCTION("""COMPUTED_VALUE"""),"Williams, Frances")</f>
        <v>Williams, Frances</v>
      </c>
      <c r="B10328" s="3">
        <f ca="1">IFERROR(__xludf.DUMMYFUNCTION("""COMPUTED_VALUE"""),2)</f>
        <v>2</v>
      </c>
      <c r="C10328" s="7">
        <f ca="1">IFERROR(__xludf.DUMMYFUNCTION("""COMPUTED_VALUE"""),2)</f>
        <v>2</v>
      </c>
      <c r="D10328" s="8">
        <f ca="1">IFERROR(__xludf.DUMMYFUNCTION("""COMPUTED_VALUE"""),2)</f>
        <v>2</v>
      </c>
      <c r="E10328" s="2">
        <f ca="1">IFERROR(__xludf.DUMMYFUNCTION("""COMPUTED_VALUE"""),1)</f>
        <v>1</v>
      </c>
    </row>
    <row r="10329" spans="1:5" ht="13">
      <c r="A10329" s="2" t="str">
        <f ca="1">IFERROR(__xludf.DUMMYFUNCTION("""COMPUTED_VALUE"""),"Williams, Grace")</f>
        <v>Williams, Grace</v>
      </c>
      <c r="B10329" s="3">
        <f ca="1">IFERROR(__xludf.DUMMYFUNCTION("""COMPUTED_VALUE"""),2)</f>
        <v>2</v>
      </c>
      <c r="C10329" s="7">
        <f ca="1">IFERROR(__xludf.DUMMYFUNCTION("""COMPUTED_VALUE"""),2)</f>
        <v>2</v>
      </c>
      <c r="D10329" s="8">
        <f ca="1">IFERROR(__xludf.DUMMYFUNCTION("""COMPUTED_VALUE"""),6)</f>
        <v>6</v>
      </c>
      <c r="E10329" s="2">
        <f ca="1">IFERROR(__xludf.DUMMYFUNCTION("""COMPUTED_VALUE"""),2)</f>
        <v>2</v>
      </c>
    </row>
    <row r="10330" spans="1:5" ht="13">
      <c r="A10330" s="2" t="str">
        <f ca="1">IFERROR(__xludf.DUMMYFUNCTION("""COMPUTED_VALUE"""),"Williams, Kara")</f>
        <v>Williams, Kara</v>
      </c>
      <c r="B10330" s="2">
        <f ca="1">IFERROR(__xludf.DUMMYFUNCTION("""COMPUTED_VALUE"""),2)</f>
        <v>2</v>
      </c>
      <c r="C10330" s="7">
        <f ca="1">IFERROR(__xludf.DUMMYFUNCTION("""COMPUTED_VALUE"""),2)</f>
        <v>2</v>
      </c>
      <c r="D10330" s="8">
        <f ca="1">IFERROR(__xludf.DUMMYFUNCTION("""COMPUTED_VALUE"""),2)</f>
        <v>2</v>
      </c>
      <c r="E10330" s="2">
        <f ca="1">IFERROR(__xludf.DUMMYFUNCTION("""COMPUTED_VALUE"""),1)</f>
        <v>1</v>
      </c>
    </row>
    <row r="10331" spans="1:5" ht="13">
      <c r="A10331" s="2" t="str">
        <f ca="1">IFERROR(__xludf.DUMMYFUNCTION("""COMPUTED_VALUE"""),"Williamson, Chelsea")</f>
        <v>Williamson, Chelsea</v>
      </c>
      <c r="B10331" s="3">
        <f ca="1">IFERROR(__xludf.DUMMYFUNCTION("""COMPUTED_VALUE"""),2)</f>
        <v>2</v>
      </c>
      <c r="C10331" s="7">
        <f ca="1">IFERROR(__xludf.DUMMYFUNCTION("""COMPUTED_VALUE"""),2)</f>
        <v>2</v>
      </c>
      <c r="D10331" s="8">
        <f ca="1">IFERROR(__xludf.DUMMYFUNCTION("""COMPUTED_VALUE"""),2)</f>
        <v>2</v>
      </c>
      <c r="E10331" s="2">
        <f ca="1">IFERROR(__xludf.DUMMYFUNCTION("""COMPUTED_VALUE"""),1)</f>
        <v>1</v>
      </c>
    </row>
    <row r="10332" spans="1:5" ht="13">
      <c r="A10332" s="2" t="str">
        <f ca="1">IFERROR(__xludf.DUMMYFUNCTION("""COMPUTED_VALUE"""),"Wiseman, Debbie")</f>
        <v>Wiseman, Debbie</v>
      </c>
      <c r="B10332" s="3">
        <f ca="1">IFERROR(__xludf.DUMMYFUNCTION("""COMPUTED_VALUE"""),2)</f>
        <v>2</v>
      </c>
      <c r="C10332" s="7">
        <f ca="1">IFERROR(__xludf.DUMMYFUNCTION("""COMPUTED_VALUE"""),2)</f>
        <v>2</v>
      </c>
      <c r="D10332" s="8">
        <f ca="1">IFERROR(__xludf.DUMMYFUNCTION("""COMPUTED_VALUE"""),2)</f>
        <v>2</v>
      </c>
      <c r="E10332" s="2">
        <f ca="1">IFERROR(__xludf.DUMMYFUNCTION("""COMPUTED_VALUE"""),1)</f>
        <v>1</v>
      </c>
    </row>
    <row r="10333" spans="1:5" ht="13">
      <c r="A10333" s="2" t="str">
        <f ca="1">IFERROR(__xludf.DUMMYFUNCTION("""COMPUTED_VALUE"""),"Wittry, Diane")</f>
        <v>Wittry, Diane</v>
      </c>
      <c r="B10333" s="3">
        <f ca="1">IFERROR(__xludf.DUMMYFUNCTION("""COMPUTED_VALUE"""),2)</f>
        <v>2</v>
      </c>
      <c r="C10333" s="7">
        <f ca="1">IFERROR(__xludf.DUMMYFUNCTION("""COMPUTED_VALUE"""),2)</f>
        <v>2</v>
      </c>
      <c r="D10333" s="8">
        <f ca="1">IFERROR(__xludf.DUMMYFUNCTION("""COMPUTED_VALUE"""),2)</f>
        <v>2</v>
      </c>
      <c r="E10333" s="2">
        <f ca="1">IFERROR(__xludf.DUMMYFUNCTION("""COMPUTED_VALUE"""),1)</f>
        <v>1</v>
      </c>
    </row>
    <row r="10334" spans="1:5" ht="13">
      <c r="A10334" s="2" t="str">
        <f ca="1">IFERROR(__xludf.DUMMYFUNCTION("""COMPUTED_VALUE"""),"Wojcik, G.")</f>
        <v>Wojcik, G.</v>
      </c>
      <c r="B10334" s="3">
        <f ca="1">IFERROR(__xludf.DUMMYFUNCTION("""COMPUTED_VALUE"""),2)</f>
        <v>2</v>
      </c>
      <c r="C10334" s="7">
        <f ca="1">IFERROR(__xludf.DUMMYFUNCTION("""COMPUTED_VALUE"""),2)</f>
        <v>2</v>
      </c>
      <c r="D10334" s="8">
        <f ca="1">IFERROR(__xludf.DUMMYFUNCTION("""COMPUTED_VALUE"""),2)</f>
        <v>2</v>
      </c>
      <c r="E10334" s="2">
        <f ca="1">IFERROR(__xludf.DUMMYFUNCTION("""COMPUTED_VALUE"""),1)</f>
        <v>1</v>
      </c>
    </row>
    <row r="10335" spans="1:5" ht="13">
      <c r="A10335" s="2" t="str">
        <f ca="1">IFERROR(__xludf.DUMMYFUNCTION("""COMPUTED_VALUE"""),"Wojcik, Gabrielle")</f>
        <v>Wojcik, Gabrielle</v>
      </c>
      <c r="B10335" s="2">
        <f ca="1">IFERROR(__xludf.DUMMYFUNCTION("""COMPUTED_VALUE"""),2)</f>
        <v>2</v>
      </c>
      <c r="C10335" s="7">
        <f ca="1">IFERROR(__xludf.DUMMYFUNCTION("""COMPUTED_VALUE"""),2)</f>
        <v>2</v>
      </c>
      <c r="D10335" s="8">
        <f ca="1">IFERROR(__xludf.DUMMYFUNCTION("""COMPUTED_VALUE"""),2)</f>
        <v>2</v>
      </c>
      <c r="E10335" s="2">
        <f ca="1">IFERROR(__xludf.DUMMYFUNCTION("""COMPUTED_VALUE"""),1)</f>
        <v>1</v>
      </c>
    </row>
    <row r="10336" spans="1:5" ht="13">
      <c r="A10336" s="2" t="str">
        <f ca="1">IFERROR(__xludf.DUMMYFUNCTION("""COMPUTED_VALUE"""),"Wolfe White, Phyllis")</f>
        <v>Wolfe White, Phyllis</v>
      </c>
      <c r="B10336" s="3">
        <f ca="1">IFERROR(__xludf.DUMMYFUNCTION("""COMPUTED_VALUE"""),2)</f>
        <v>2</v>
      </c>
      <c r="C10336" s="7">
        <f ca="1">IFERROR(__xludf.DUMMYFUNCTION("""COMPUTED_VALUE"""),2)</f>
        <v>2</v>
      </c>
      <c r="D10336" s="8">
        <f ca="1">IFERROR(__xludf.DUMMYFUNCTION("""COMPUTED_VALUE"""),2)</f>
        <v>2</v>
      </c>
      <c r="E10336" s="2">
        <f ca="1">IFERROR(__xludf.DUMMYFUNCTION("""COMPUTED_VALUE"""),1)</f>
        <v>1</v>
      </c>
    </row>
    <row r="10337" spans="1:5" ht="13">
      <c r="A10337" s="2" t="str">
        <f ca="1">IFERROR(__xludf.DUMMYFUNCTION("""COMPUTED_VALUE"""),"Wolfe, Julia")</f>
        <v>Wolfe, Julia</v>
      </c>
      <c r="B10337" s="3">
        <f ca="1">IFERROR(__xludf.DUMMYFUNCTION("""COMPUTED_VALUE"""),2)</f>
        <v>2</v>
      </c>
      <c r="C10337" s="7">
        <f ca="1">IFERROR(__xludf.DUMMYFUNCTION("""COMPUTED_VALUE"""),2)</f>
        <v>2</v>
      </c>
      <c r="D10337" s="8">
        <f ca="1">IFERROR(__xludf.DUMMYFUNCTION("""COMPUTED_VALUE"""),2)</f>
        <v>2</v>
      </c>
      <c r="E10337" s="2">
        <f ca="1">IFERROR(__xludf.DUMMYFUNCTION("""COMPUTED_VALUE"""),1)</f>
        <v>1</v>
      </c>
    </row>
    <row r="10338" spans="1:5" ht="13">
      <c r="A10338" s="8" t="str">
        <f ca="1">IFERROR(__xludf.DUMMYFUNCTION("""COMPUTED_VALUE"""),"Wolfe, Margretta A.")</f>
        <v>Wolfe, Margretta A.</v>
      </c>
      <c r="B10338" s="3">
        <f ca="1">IFERROR(__xludf.DUMMYFUNCTION("""COMPUTED_VALUE"""),2)</f>
        <v>2</v>
      </c>
      <c r="C10338" s="7">
        <f ca="1">IFERROR(__xludf.DUMMYFUNCTION("""COMPUTED_VALUE"""),2)</f>
        <v>2</v>
      </c>
      <c r="D10338" s="8">
        <f ca="1">IFERROR(__xludf.DUMMYFUNCTION("""COMPUTED_VALUE"""),6)</f>
        <v>6</v>
      </c>
      <c r="E10338" s="2">
        <f ca="1">IFERROR(__xludf.DUMMYFUNCTION("""COMPUTED_VALUE"""),2)</f>
        <v>2</v>
      </c>
    </row>
    <row r="10339" spans="1:5" ht="13">
      <c r="A10339" s="2" t="str">
        <f ca="1">IFERROR(__xludf.DUMMYFUNCTION("""COMPUTED_VALUE"""),"Wolfman, Barbara")</f>
        <v>Wolfman, Barbara</v>
      </c>
      <c r="B10339" s="3">
        <f ca="1">IFERROR(__xludf.DUMMYFUNCTION("""COMPUTED_VALUE"""),2)</f>
        <v>2</v>
      </c>
      <c r="C10339" s="7">
        <f ca="1">IFERROR(__xludf.DUMMYFUNCTION("""COMPUTED_VALUE"""),2)</f>
        <v>2</v>
      </c>
      <c r="D10339" s="8">
        <f ca="1">IFERROR(__xludf.DUMMYFUNCTION("""COMPUTED_VALUE"""),2)</f>
        <v>2</v>
      </c>
      <c r="E10339" s="2">
        <f ca="1">IFERROR(__xludf.DUMMYFUNCTION("""COMPUTED_VALUE"""),1)</f>
        <v>1</v>
      </c>
    </row>
    <row r="10340" spans="1:5" ht="13">
      <c r="A10340" s="2" t="str">
        <f ca="1">IFERROR(__xludf.DUMMYFUNCTION("""COMPUTED_VALUE"""),"Woodrow, Haley")</f>
        <v>Woodrow, Haley</v>
      </c>
      <c r="B10340" s="3">
        <f ca="1">IFERROR(__xludf.DUMMYFUNCTION("""COMPUTED_VALUE"""),2)</f>
        <v>2</v>
      </c>
      <c r="C10340" s="7">
        <f ca="1">IFERROR(__xludf.DUMMYFUNCTION("""COMPUTED_VALUE"""),2)</f>
        <v>2</v>
      </c>
      <c r="D10340" s="8">
        <f ca="1">IFERROR(__xludf.DUMMYFUNCTION("""COMPUTED_VALUE"""),2)</f>
        <v>2</v>
      </c>
      <c r="E10340" s="2">
        <f ca="1">IFERROR(__xludf.DUMMYFUNCTION("""COMPUTED_VALUE"""),1)</f>
        <v>1</v>
      </c>
    </row>
    <row r="10341" spans="1:5" ht="13">
      <c r="A10341" s="2" t="str">
        <f ca="1">IFERROR(__xludf.DUMMYFUNCTION("""COMPUTED_VALUE"""),"Woodside, Gail / Herrington, Judith")</f>
        <v>Woodside, Gail / Herrington, Judith</v>
      </c>
      <c r="B10341" s="3">
        <f ca="1">IFERROR(__xludf.DUMMYFUNCTION("""COMPUTED_VALUE"""),2)</f>
        <v>2</v>
      </c>
      <c r="C10341" s="7">
        <f ca="1">IFERROR(__xludf.DUMMYFUNCTION("""COMPUTED_VALUE"""),2)</f>
        <v>2</v>
      </c>
      <c r="D10341" s="8">
        <f ca="1">IFERROR(__xludf.DUMMYFUNCTION("""COMPUTED_VALUE"""),2)</f>
        <v>2</v>
      </c>
      <c r="E10341" s="2">
        <f ca="1">IFERROR(__xludf.DUMMYFUNCTION("""COMPUTED_VALUE"""),1)</f>
        <v>1</v>
      </c>
    </row>
    <row r="10342" spans="1:5" ht="13">
      <c r="A10342" s="8" t="str">
        <f ca="1">IFERROR(__xludf.DUMMYFUNCTION("""COMPUTED_VALUE"""),"Wright, Carla")</f>
        <v>Wright, Carla</v>
      </c>
      <c r="B10342" s="3">
        <f ca="1">IFERROR(__xludf.DUMMYFUNCTION("""COMPUTED_VALUE"""),2)</f>
        <v>2</v>
      </c>
      <c r="C10342" s="7">
        <f ca="1">IFERROR(__xludf.DUMMYFUNCTION("""COMPUTED_VALUE"""),2)</f>
        <v>2</v>
      </c>
      <c r="D10342" s="8">
        <f ca="1">IFERROR(__xludf.DUMMYFUNCTION("""COMPUTED_VALUE"""),2)</f>
        <v>2</v>
      </c>
      <c r="E10342" s="2">
        <f ca="1">IFERROR(__xludf.DUMMYFUNCTION("""COMPUTED_VALUE"""),1)</f>
        <v>1</v>
      </c>
    </row>
    <row r="10343" spans="1:5" ht="13">
      <c r="A10343" s="2" t="str">
        <f ca="1">IFERROR(__xludf.DUMMYFUNCTION("""COMPUTED_VALUE"""),"Wright, Leola")</f>
        <v>Wright, Leola</v>
      </c>
      <c r="B10343" s="3">
        <f ca="1">IFERROR(__xludf.DUMMYFUNCTION("""COMPUTED_VALUE"""),2)</f>
        <v>2</v>
      </c>
      <c r="C10343" s="7">
        <f ca="1">IFERROR(__xludf.DUMMYFUNCTION("""COMPUTED_VALUE"""),2)</f>
        <v>2</v>
      </c>
      <c r="D10343" s="8">
        <f ca="1">IFERROR(__xludf.DUMMYFUNCTION("""COMPUTED_VALUE"""),6)</f>
        <v>6</v>
      </c>
      <c r="E10343" s="2">
        <f ca="1">IFERROR(__xludf.DUMMYFUNCTION("""COMPUTED_VALUE"""),2)</f>
        <v>2</v>
      </c>
    </row>
    <row r="10344" spans="1:5" ht="13">
      <c r="A10344" s="2" t="str">
        <f ca="1">IFERROR(__xludf.DUMMYFUNCTION("""COMPUTED_VALUE"""),"Wyers, Giselle")</f>
        <v>Wyers, Giselle</v>
      </c>
      <c r="B10344" s="2">
        <f ca="1">IFERROR(__xludf.DUMMYFUNCTION("""COMPUTED_VALUE"""),2)</f>
        <v>2</v>
      </c>
      <c r="C10344" s="7">
        <f ca="1">IFERROR(__xludf.DUMMYFUNCTION("""COMPUTED_VALUE"""),2)</f>
        <v>2</v>
      </c>
      <c r="D10344" s="8">
        <f ca="1">IFERROR(__xludf.DUMMYFUNCTION("""COMPUTED_VALUE"""),2)</f>
        <v>2</v>
      </c>
      <c r="E10344" s="2">
        <f ca="1">IFERROR(__xludf.DUMMYFUNCTION("""COMPUTED_VALUE"""),1)</f>
        <v>1</v>
      </c>
    </row>
    <row r="10345" spans="1:5" ht="13">
      <c r="A10345" s="2" t="str">
        <f ca="1">IFERROR(__xludf.DUMMYFUNCTION("""COMPUTED_VALUE"""),"Yarnell, Carolyn")</f>
        <v>Yarnell, Carolyn</v>
      </c>
      <c r="B10345" s="3">
        <f ca="1">IFERROR(__xludf.DUMMYFUNCTION("""COMPUTED_VALUE"""),2)</f>
        <v>2</v>
      </c>
      <c r="C10345" s="7">
        <f ca="1">IFERROR(__xludf.DUMMYFUNCTION("""COMPUTED_VALUE"""),2)</f>
        <v>2</v>
      </c>
      <c r="D10345" s="8">
        <f ca="1">IFERROR(__xludf.DUMMYFUNCTION("""COMPUTED_VALUE"""),2)</f>
        <v>2</v>
      </c>
      <c r="E10345" s="2">
        <f ca="1">IFERROR(__xludf.DUMMYFUNCTION("""COMPUTED_VALUE"""),1)</f>
        <v>1</v>
      </c>
    </row>
    <row r="10346" spans="1:5" ht="13">
      <c r="A10346" s="8" t="str">
        <f ca="1">IFERROR(__xludf.DUMMYFUNCTION("""COMPUTED_VALUE"""),"Ydstie, Arlene")</f>
        <v>Ydstie, Arlene</v>
      </c>
      <c r="B10346" s="3">
        <f ca="1">IFERROR(__xludf.DUMMYFUNCTION("""COMPUTED_VALUE"""),2)</f>
        <v>2</v>
      </c>
      <c r="C10346" s="7">
        <f ca="1">IFERROR(__xludf.DUMMYFUNCTION("""COMPUTED_VALUE"""),2)</f>
        <v>2</v>
      </c>
      <c r="D10346" s="8">
        <f ca="1">IFERROR(__xludf.DUMMYFUNCTION("""COMPUTED_VALUE"""),2)</f>
        <v>2</v>
      </c>
      <c r="E10346" s="2">
        <f ca="1">IFERROR(__xludf.DUMMYFUNCTION("""COMPUTED_VALUE"""),1)</f>
        <v>1</v>
      </c>
    </row>
    <row r="10347" spans="1:5" ht="13">
      <c r="A10347" s="8" t="str">
        <f ca="1">IFERROR(__xludf.DUMMYFUNCTION("""COMPUTED_VALUE"""),"Yon, Kirsten A.")</f>
        <v>Yon, Kirsten A.</v>
      </c>
      <c r="B10347" s="3">
        <f ca="1">IFERROR(__xludf.DUMMYFUNCTION("""COMPUTED_VALUE"""),2)</f>
        <v>2</v>
      </c>
      <c r="C10347" s="7">
        <f ca="1">IFERROR(__xludf.DUMMYFUNCTION("""COMPUTED_VALUE"""),2)</f>
        <v>2</v>
      </c>
      <c r="D10347" s="8">
        <f ca="1">IFERROR(__xludf.DUMMYFUNCTION("""COMPUTED_VALUE"""),2)</f>
        <v>2</v>
      </c>
      <c r="E10347" s="2">
        <f ca="1">IFERROR(__xludf.DUMMYFUNCTION("""COMPUTED_VALUE"""),1)</f>
        <v>1</v>
      </c>
    </row>
    <row r="10348" spans="1:5" ht="13">
      <c r="A10348" s="2" t="str">
        <f ca="1">IFERROR(__xludf.DUMMYFUNCTION("""COMPUTED_VALUE"""),"York, Barbara")</f>
        <v>York, Barbara</v>
      </c>
      <c r="B10348" s="3">
        <f ca="1">IFERROR(__xludf.DUMMYFUNCTION("""COMPUTED_VALUE"""),2)</f>
        <v>2</v>
      </c>
      <c r="C10348" s="7">
        <f ca="1">IFERROR(__xludf.DUMMYFUNCTION("""COMPUTED_VALUE"""),2)</f>
        <v>2</v>
      </c>
      <c r="D10348" s="8">
        <f ca="1">IFERROR(__xludf.DUMMYFUNCTION("""COMPUTED_VALUE"""),6)</f>
        <v>6</v>
      </c>
      <c r="E10348" s="2">
        <f ca="1">IFERROR(__xludf.DUMMYFUNCTION("""COMPUTED_VALUE"""),2)</f>
        <v>2</v>
      </c>
    </row>
    <row r="10349" spans="1:5" ht="13">
      <c r="A10349" s="2" t="str">
        <f ca="1">IFERROR(__xludf.DUMMYFUNCTION("""COMPUTED_VALUE"""),"Young, Katherine")</f>
        <v>Young, Katherine</v>
      </c>
      <c r="B10349" s="3">
        <f ca="1">IFERROR(__xludf.DUMMYFUNCTION("""COMPUTED_VALUE"""),2)</f>
        <v>2</v>
      </c>
      <c r="C10349" s="7">
        <f ca="1">IFERROR(__xludf.DUMMYFUNCTION("""COMPUTED_VALUE"""),2)</f>
        <v>2</v>
      </c>
      <c r="D10349" s="8">
        <f ca="1">IFERROR(__xludf.DUMMYFUNCTION("""COMPUTED_VALUE"""),2)</f>
        <v>2</v>
      </c>
      <c r="E10349" s="2">
        <f ca="1">IFERROR(__xludf.DUMMYFUNCTION("""COMPUTED_VALUE"""),1)</f>
        <v>1</v>
      </c>
    </row>
    <row r="10350" spans="1:5" ht="13">
      <c r="A10350" s="2" t="str">
        <f ca="1">IFERROR(__xludf.DUMMYFUNCTION("""COMPUTED_VALUE"""),"Young, Lisa")</f>
        <v>Young, Lisa</v>
      </c>
      <c r="B10350" s="3">
        <f ca="1">IFERROR(__xludf.DUMMYFUNCTION("""COMPUTED_VALUE"""),2)</f>
        <v>2</v>
      </c>
      <c r="C10350" s="7">
        <f ca="1">IFERROR(__xludf.DUMMYFUNCTION("""COMPUTED_VALUE"""),2)</f>
        <v>2</v>
      </c>
      <c r="D10350" s="8">
        <f ca="1">IFERROR(__xludf.DUMMYFUNCTION("""COMPUTED_VALUE"""),2)</f>
        <v>2</v>
      </c>
      <c r="E10350" s="2">
        <f ca="1">IFERROR(__xludf.DUMMYFUNCTION("""COMPUTED_VALUE"""),1)</f>
        <v>1</v>
      </c>
    </row>
    <row r="10351" spans="1:5" ht="13">
      <c r="A10351" s="2" t="str">
        <f ca="1">IFERROR(__xludf.DUMMYFUNCTION("""COMPUTED_VALUE"""),"Young, Melissa Roth")</f>
        <v>Young, Melissa Roth</v>
      </c>
      <c r="B10351" s="3">
        <f ca="1">IFERROR(__xludf.DUMMYFUNCTION("""COMPUTED_VALUE"""),2)</f>
        <v>2</v>
      </c>
      <c r="C10351" s="7">
        <f ca="1">IFERROR(__xludf.DUMMYFUNCTION("""COMPUTED_VALUE"""),2)</f>
        <v>2</v>
      </c>
      <c r="D10351" s="8">
        <f ca="1">IFERROR(__xludf.DUMMYFUNCTION("""COMPUTED_VALUE"""),2)</f>
        <v>2</v>
      </c>
      <c r="E10351" s="2">
        <f ca="1">IFERROR(__xludf.DUMMYFUNCTION("""COMPUTED_VALUE"""),1)</f>
        <v>1</v>
      </c>
    </row>
    <row r="10352" spans="1:5" ht="13">
      <c r="A10352" s="2" t="str">
        <f ca="1">IFERROR(__xludf.DUMMYFUNCTION("""COMPUTED_VALUE"""),"Younge, Bethany")</f>
        <v>Younge, Bethany</v>
      </c>
      <c r="B10352" s="3">
        <f ca="1">IFERROR(__xludf.DUMMYFUNCTION("""COMPUTED_VALUE"""),2)</f>
        <v>2</v>
      </c>
      <c r="C10352" s="7">
        <f ca="1">IFERROR(__xludf.DUMMYFUNCTION("""COMPUTED_VALUE"""),2)</f>
        <v>2</v>
      </c>
      <c r="D10352" s="8">
        <f ca="1">IFERROR(__xludf.DUMMYFUNCTION("""COMPUTED_VALUE"""),2)</f>
        <v>2</v>
      </c>
      <c r="E10352" s="2">
        <f ca="1">IFERROR(__xludf.DUMMYFUNCTION("""COMPUTED_VALUE"""),1)</f>
        <v>1</v>
      </c>
    </row>
    <row r="10353" spans="1:5" ht="13">
      <c r="A10353" s="2" t="str">
        <f ca="1">IFERROR(__xludf.DUMMYFUNCTION("""COMPUTED_VALUE"""),"Youngs, Marisa")</f>
        <v>Youngs, Marisa</v>
      </c>
      <c r="B10353" s="3">
        <f ca="1">IFERROR(__xludf.DUMMYFUNCTION("""COMPUTED_VALUE"""),2)</f>
        <v>2</v>
      </c>
      <c r="C10353" s="7">
        <f ca="1">IFERROR(__xludf.DUMMYFUNCTION("""COMPUTED_VALUE"""),2)</f>
        <v>2</v>
      </c>
      <c r="D10353" s="8">
        <f ca="1">IFERROR(__xludf.DUMMYFUNCTION("""COMPUTED_VALUE"""),2)</f>
        <v>2</v>
      </c>
      <c r="E10353" s="2">
        <f ca="1">IFERROR(__xludf.DUMMYFUNCTION("""COMPUTED_VALUE"""),1)</f>
        <v>1</v>
      </c>
    </row>
    <row r="10354" spans="1:5" ht="13">
      <c r="A10354" s="2" t="str">
        <f ca="1">IFERROR(__xludf.DUMMYFUNCTION("""COMPUTED_VALUE"""),"Youse, Gladys Robinson")</f>
        <v>Youse, Gladys Robinson</v>
      </c>
      <c r="B10354" s="3">
        <f ca="1">IFERROR(__xludf.DUMMYFUNCTION("""COMPUTED_VALUE"""),2)</f>
        <v>2</v>
      </c>
      <c r="C10354" s="7">
        <f ca="1">IFERROR(__xludf.DUMMYFUNCTION("""COMPUTED_VALUE"""),2)</f>
        <v>2</v>
      </c>
      <c r="D10354" s="8">
        <f ca="1">IFERROR(__xludf.DUMMYFUNCTION("""COMPUTED_VALUE"""),6)</f>
        <v>6</v>
      </c>
      <c r="E10354" s="2">
        <f ca="1">IFERROR(__xludf.DUMMYFUNCTION("""COMPUTED_VALUE"""),2)</f>
        <v>2</v>
      </c>
    </row>
    <row r="10355" spans="1:5" ht="13">
      <c r="A10355" s="2" t="str">
        <f ca="1">IFERROR(__xludf.DUMMYFUNCTION("""COMPUTED_VALUE"""),"Zaimont, Judith Lang")</f>
        <v>Zaimont, Judith Lang</v>
      </c>
      <c r="B10355" s="2">
        <f ca="1">IFERROR(__xludf.DUMMYFUNCTION("""COMPUTED_VALUE"""),2)</f>
        <v>2</v>
      </c>
      <c r="C10355" s="7">
        <f ca="1">IFERROR(__xludf.DUMMYFUNCTION("""COMPUTED_VALUE"""),2)</f>
        <v>2</v>
      </c>
      <c r="D10355" s="8">
        <f ca="1">IFERROR(__xludf.DUMMYFUNCTION("""COMPUTED_VALUE"""),2)</f>
        <v>2</v>
      </c>
      <c r="E10355" s="2">
        <f ca="1">IFERROR(__xludf.DUMMYFUNCTION("""COMPUTED_VALUE"""),1)</f>
        <v>1</v>
      </c>
    </row>
    <row r="10356" spans="1:5" ht="13">
      <c r="A10356" s="2" t="str">
        <f ca="1">IFERROR(__xludf.DUMMYFUNCTION("""COMPUTED_VALUE"""),"Zebejan, Isadora")</f>
        <v>Zebejan, Isadora</v>
      </c>
      <c r="B10356" s="3">
        <f ca="1">IFERROR(__xludf.DUMMYFUNCTION("""COMPUTED_VALUE"""),2)</f>
        <v>2</v>
      </c>
      <c r="C10356" s="7">
        <f ca="1">IFERROR(__xludf.DUMMYFUNCTION("""COMPUTED_VALUE"""),2)</f>
        <v>2</v>
      </c>
      <c r="D10356" s="8">
        <f ca="1">IFERROR(__xludf.DUMMYFUNCTION("""COMPUTED_VALUE"""),6)</f>
        <v>6</v>
      </c>
      <c r="E10356" s="2">
        <f ca="1">IFERROR(__xludf.DUMMYFUNCTION("""COMPUTED_VALUE"""),2)</f>
        <v>2</v>
      </c>
    </row>
    <row r="10357" spans="1:5" ht="13">
      <c r="A10357" s="2" t="str">
        <f ca="1">IFERROR(__xludf.DUMMYFUNCTION("""COMPUTED_VALUE"""),"Zettlemoyer, Lynn")</f>
        <v>Zettlemoyer, Lynn</v>
      </c>
      <c r="B10357" s="3">
        <f ca="1">IFERROR(__xludf.DUMMYFUNCTION("""COMPUTED_VALUE"""),2)</f>
        <v>2</v>
      </c>
      <c r="C10357" s="7">
        <f ca="1">IFERROR(__xludf.DUMMYFUNCTION("""COMPUTED_VALUE"""),2)</f>
        <v>2</v>
      </c>
      <c r="D10357" s="8">
        <f ca="1">IFERROR(__xludf.DUMMYFUNCTION("""COMPUTED_VALUE"""),2)</f>
        <v>2</v>
      </c>
      <c r="E10357" s="2">
        <f ca="1">IFERROR(__xludf.DUMMYFUNCTION("""COMPUTED_VALUE"""),1)</f>
        <v>1</v>
      </c>
    </row>
    <row r="10358" spans="1:5" ht="13">
      <c r="A10358" s="2" t="str">
        <f ca="1">IFERROR(__xludf.DUMMYFUNCTION("""COMPUTED_VALUE"""),"Ziegenhals, Harriet")</f>
        <v>Ziegenhals, Harriet</v>
      </c>
      <c r="B10358" s="3">
        <f ca="1">IFERROR(__xludf.DUMMYFUNCTION("""COMPUTED_VALUE"""),2)</f>
        <v>2</v>
      </c>
      <c r="C10358" s="7">
        <f ca="1">IFERROR(__xludf.DUMMYFUNCTION("""COMPUTED_VALUE"""),2)</f>
        <v>2</v>
      </c>
      <c r="D10358" s="8">
        <f ca="1">IFERROR(__xludf.DUMMYFUNCTION("""COMPUTED_VALUE"""),6)</f>
        <v>6</v>
      </c>
      <c r="E10358" s="2">
        <f ca="1">IFERROR(__xludf.DUMMYFUNCTION("""COMPUTED_VALUE"""),2)</f>
        <v>2</v>
      </c>
    </row>
    <row r="10359" spans="1:5" ht="13">
      <c r="A10359" s="2" t="str">
        <f ca="1">IFERROR(__xludf.DUMMYFUNCTION("""COMPUTED_VALUE"""),"Ziman, Elizabeth")</f>
        <v>Ziman, Elizabeth</v>
      </c>
      <c r="B10359" s="3">
        <f ca="1">IFERROR(__xludf.DUMMYFUNCTION("""COMPUTED_VALUE"""),2)</f>
        <v>2</v>
      </c>
      <c r="C10359" s="7">
        <f ca="1">IFERROR(__xludf.DUMMYFUNCTION("""COMPUTED_VALUE"""),2)</f>
        <v>2</v>
      </c>
      <c r="D10359" s="8">
        <f ca="1">IFERROR(__xludf.DUMMYFUNCTION("""COMPUTED_VALUE"""),2)</f>
        <v>2</v>
      </c>
      <c r="E10359" s="2">
        <f ca="1">IFERROR(__xludf.DUMMYFUNCTION("""COMPUTED_VALUE"""),1)</f>
        <v>1</v>
      </c>
    </row>
    <row r="10360" spans="1:5" ht="13">
      <c r="A10360" s="2" t="str">
        <f ca="1">IFERROR(__xludf.DUMMYFUNCTION("""COMPUTED_VALUE"""),"Zimmerman, Phyllis")</f>
        <v>Zimmerman, Phyllis</v>
      </c>
      <c r="B10360" s="3">
        <f ca="1">IFERROR(__xludf.DUMMYFUNCTION("""COMPUTED_VALUE"""),2)</f>
        <v>2</v>
      </c>
      <c r="C10360" s="7">
        <f ca="1">IFERROR(__xludf.DUMMYFUNCTION("""COMPUTED_VALUE"""),2)</f>
        <v>2</v>
      </c>
      <c r="D10360" s="8">
        <f ca="1">IFERROR(__xludf.DUMMYFUNCTION("""COMPUTED_VALUE"""),6)</f>
        <v>6</v>
      </c>
      <c r="E10360" s="2">
        <f ca="1">IFERROR(__xludf.DUMMYFUNCTION("""COMPUTED_VALUE"""),2)</f>
        <v>2</v>
      </c>
    </row>
    <row r="10361" spans="1:5" ht="13">
      <c r="A10361" s="8" t="str">
        <f ca="1">IFERROR(__xludf.DUMMYFUNCTION("""COMPUTED_VALUE"""),"Zimmerman, Ruth")</f>
        <v>Zimmerman, Ruth</v>
      </c>
      <c r="B10361" s="3">
        <f ca="1">IFERROR(__xludf.DUMMYFUNCTION("""COMPUTED_VALUE"""),2)</f>
        <v>2</v>
      </c>
      <c r="C10361" s="7">
        <f ca="1">IFERROR(__xludf.DUMMYFUNCTION("""COMPUTED_VALUE"""),2)</f>
        <v>2</v>
      </c>
      <c r="D10361" s="8">
        <f ca="1">IFERROR(__xludf.DUMMYFUNCTION("""COMPUTED_VALUE"""),6)</f>
        <v>6</v>
      </c>
      <c r="E10361" s="2">
        <f ca="1">IFERROR(__xludf.DUMMYFUNCTION("""COMPUTED_VALUE"""),2)</f>
        <v>2</v>
      </c>
    </row>
    <row r="10362" spans="1:5" ht="13">
      <c r="A10362" s="2" t="str">
        <f ca="1">IFERROR(__xludf.DUMMYFUNCTION("""COMPUTED_VALUE"""),"Zook, Janelle")</f>
        <v>Zook, Janelle</v>
      </c>
      <c r="B10362" s="2">
        <f ca="1">IFERROR(__xludf.DUMMYFUNCTION("""COMPUTED_VALUE"""),2)</f>
        <v>2</v>
      </c>
      <c r="C10362" s="7">
        <f ca="1">IFERROR(__xludf.DUMMYFUNCTION("""COMPUTED_VALUE"""),2)</f>
        <v>2</v>
      </c>
      <c r="D10362" s="8">
        <f ca="1">IFERROR(__xludf.DUMMYFUNCTION("""COMPUTED_VALUE"""),2)</f>
        <v>2</v>
      </c>
      <c r="E10362" s="2">
        <f ca="1">IFERROR(__xludf.DUMMYFUNCTION("""COMPUTED_VALUE"""),1)</f>
        <v>1</v>
      </c>
    </row>
    <row r="10363" spans="1:5" ht="13">
      <c r="A10363" s="2" t="str">
        <f ca="1">IFERROR(__xludf.DUMMYFUNCTION("""COMPUTED_VALUE"""),"Zubel, Agata")</f>
        <v>Zubel, Agata</v>
      </c>
      <c r="B10363" s="3">
        <f ca="1">IFERROR(__xludf.DUMMYFUNCTION("""COMPUTED_VALUE"""),2)</f>
        <v>2</v>
      </c>
      <c r="C10363" s="7">
        <f ca="1">IFERROR(__xludf.DUMMYFUNCTION("""COMPUTED_VALUE"""),2)</f>
        <v>2</v>
      </c>
      <c r="D10363" s="8">
        <f ca="1">IFERROR(__xludf.DUMMYFUNCTION("""COMPUTED_VALUE"""),2)</f>
        <v>2</v>
      </c>
      <c r="E10363" s="2">
        <f ca="1">IFERROR(__xludf.DUMMYFUNCTION("""COMPUTED_VALUE"""),1)</f>
        <v>1</v>
      </c>
    </row>
    <row r="10364" spans="1:5" ht="13">
      <c r="A10364" s="2" t="str">
        <f ca="1">IFERROR(__xludf.DUMMYFUNCTION("""COMPUTED_VALUE"""),"Zwicker, Marsha")</f>
        <v>Zwicker, Marsha</v>
      </c>
      <c r="B10364" s="3">
        <f ca="1">IFERROR(__xludf.DUMMYFUNCTION("""COMPUTED_VALUE"""),2)</f>
        <v>2</v>
      </c>
      <c r="C10364" s="7">
        <f ca="1">IFERROR(__xludf.DUMMYFUNCTION("""COMPUTED_VALUE"""),2)</f>
        <v>2</v>
      </c>
      <c r="D10364" s="8">
        <f ca="1">IFERROR(__xludf.DUMMYFUNCTION("""COMPUTED_VALUE"""),2)</f>
        <v>2</v>
      </c>
      <c r="E10364" s="2">
        <f ca="1">IFERROR(__xludf.DUMMYFUNCTION("""COMPUTED_VALUE"""),1)</f>
        <v>1</v>
      </c>
    </row>
    <row r="10365" spans="1:5" ht="13">
      <c r="A10365" s="2" t="str">
        <f ca="1">IFERROR(__xludf.DUMMYFUNCTION("""COMPUTED_VALUE"""),"Zwilich, Ellen Taaffe")</f>
        <v>Zwilich, Ellen Taaffe</v>
      </c>
      <c r="B10365" s="3">
        <f ca="1">IFERROR(__xludf.DUMMYFUNCTION("""COMPUTED_VALUE"""),2)</f>
        <v>2</v>
      </c>
      <c r="C10365" s="7">
        <f ca="1">IFERROR(__xludf.DUMMYFUNCTION("""COMPUTED_VALUE"""),2)</f>
        <v>2</v>
      </c>
      <c r="D10365" s="8">
        <f ca="1">IFERROR(__xludf.DUMMYFUNCTION("""COMPUTED_VALUE"""),2)</f>
        <v>2</v>
      </c>
      <c r="E10365" s="2">
        <f ca="1">IFERROR(__xludf.DUMMYFUNCTION("""COMPUTED_VALUE"""),1)</f>
        <v>1</v>
      </c>
    </row>
    <row r="10366" spans="1:5" ht="13">
      <c r="A10366" s="8" t="str">
        <f ca="1">IFERROR(__xludf.DUMMYFUNCTION("""COMPUTED_VALUE"""),"“Mike” Velarde, Miguel")</f>
        <v>“Mike” Velarde, Miguel</v>
      </c>
      <c r="B10366" s="3">
        <f ca="1">IFERROR(__xludf.DUMMYFUNCTION("""COMPUTED_VALUE"""),3)</f>
        <v>3</v>
      </c>
      <c r="C10366" s="7">
        <f ca="1">IFERROR(__xludf.DUMMYFUNCTION("""COMPUTED_VALUE"""),3.3)</f>
        <v>3.3</v>
      </c>
      <c r="D10366" s="8">
        <f ca="1">IFERROR(__xludf.DUMMYFUNCTION("""COMPUTED_VALUE"""),7)</f>
        <v>7</v>
      </c>
      <c r="E10366" s="2">
        <f ca="1">IFERROR(__xludf.DUMMYFUNCTION("""COMPUTED_VALUE"""),2)</f>
        <v>2</v>
      </c>
    </row>
    <row r="10367" spans="1:5" ht="13">
      <c r="A10367" s="2" t="str">
        <f ca="1">IFERROR(__xludf.DUMMYFUNCTION("""COMPUTED_VALUE"""),"Abe, Shunsuke")</f>
        <v>Abe, Shunsuke</v>
      </c>
      <c r="B10367" s="3">
        <f ca="1">IFERROR(__xludf.DUMMYFUNCTION("""COMPUTED_VALUE"""),3)</f>
        <v>3</v>
      </c>
      <c r="C10367" s="7">
        <f ca="1">IFERROR(__xludf.DUMMYFUNCTION("""COMPUTED_VALUE"""),3.3)</f>
        <v>3.3</v>
      </c>
      <c r="D10367" s="8">
        <f ca="1">IFERROR(__xludf.DUMMYFUNCTION("""COMPUTED_VALUE"""),3)</f>
        <v>3</v>
      </c>
      <c r="E10367" s="2">
        <f ca="1">IFERROR(__xludf.DUMMYFUNCTION("""COMPUTED_VALUE"""),1)</f>
        <v>1</v>
      </c>
    </row>
    <row r="10368" spans="1:5" ht="13">
      <c r="A10368" s="2" t="str">
        <f ca="1">IFERROR(__xludf.DUMMYFUNCTION("""COMPUTED_VALUE"""),"Abels, Michael")</f>
        <v>Abels, Michael</v>
      </c>
      <c r="B10368" s="3">
        <f ca="1">IFERROR(__xludf.DUMMYFUNCTION("""COMPUTED_VALUE"""),3)</f>
        <v>3</v>
      </c>
      <c r="C10368" s="7">
        <f ca="1">IFERROR(__xludf.DUMMYFUNCTION("""COMPUTED_VALUE"""),3.1)</f>
        <v>3.1</v>
      </c>
      <c r="D10368" s="8">
        <f ca="1">IFERROR(__xludf.DUMMYFUNCTION("""COMPUTED_VALUE"""),3)</f>
        <v>3</v>
      </c>
      <c r="E10368" s="2">
        <f ca="1">IFERROR(__xludf.DUMMYFUNCTION("""COMPUTED_VALUE"""),1)</f>
        <v>1</v>
      </c>
    </row>
    <row r="10369" spans="1:5" ht="13">
      <c r="A10369" s="2" t="str">
        <f ca="1">IFERROR(__xludf.DUMMYFUNCTION("""COMPUTED_VALUE"""),"Abhishek, Cecil V.")</f>
        <v>Abhishek, Cecil V.</v>
      </c>
      <c r="B10369" s="2">
        <f ca="1">IFERROR(__xludf.DUMMYFUNCTION("""COMPUTED_VALUE"""),3)</f>
        <v>3</v>
      </c>
      <c r="C10369" s="7">
        <f ca="1">IFERROR(__xludf.DUMMYFUNCTION("""COMPUTED_VALUE"""),3.5)</f>
        <v>3.5</v>
      </c>
      <c r="D10369" s="8">
        <f ca="1">IFERROR(__xludf.DUMMYFUNCTION("""COMPUTED_VALUE"""),3)</f>
        <v>3</v>
      </c>
      <c r="E10369" s="2">
        <f ca="1">IFERROR(__xludf.DUMMYFUNCTION("""COMPUTED_VALUE"""),1)</f>
        <v>1</v>
      </c>
    </row>
    <row r="10370" spans="1:5" ht="13">
      <c r="A10370" s="2" t="str">
        <f ca="1">IFERROR(__xludf.DUMMYFUNCTION("""COMPUTED_VALUE"""),"Abreu, José Antonio")</f>
        <v>Abreu, José Antonio</v>
      </c>
      <c r="B10370" s="2">
        <f ca="1">IFERROR(__xludf.DUMMYFUNCTION("""COMPUTED_VALUE"""),3)</f>
        <v>3</v>
      </c>
      <c r="C10370" s="7">
        <f ca="1">IFERROR(__xludf.DUMMYFUNCTION("""COMPUTED_VALUE"""),3.2)</f>
        <v>3.2</v>
      </c>
      <c r="D10370" s="8">
        <f ca="1">IFERROR(__xludf.DUMMYFUNCTION("""COMPUTED_VALUE"""),7)</f>
        <v>7</v>
      </c>
      <c r="E10370" s="2">
        <f ca="1">IFERROR(__xludf.DUMMYFUNCTION("""COMPUTED_VALUE"""),2)</f>
        <v>2</v>
      </c>
    </row>
    <row r="10371" spans="1:5" ht="13">
      <c r="A10371" s="8" t="str">
        <f ca="1">IFERROR(__xludf.DUMMYFUNCTION("""COMPUTED_VALUE"""),"Abreu, José Gomes")</f>
        <v>Abreu, José Gomes</v>
      </c>
      <c r="B10371" s="3">
        <f ca="1">IFERROR(__xludf.DUMMYFUNCTION("""COMPUTED_VALUE"""),3)</f>
        <v>3</v>
      </c>
      <c r="C10371" s="7">
        <f ca="1">IFERROR(__xludf.DUMMYFUNCTION("""COMPUTED_VALUE"""),3.2)</f>
        <v>3.2</v>
      </c>
      <c r="D10371" s="8">
        <f ca="1">IFERROR(__xludf.DUMMYFUNCTION("""COMPUTED_VALUE"""),7)</f>
        <v>7</v>
      </c>
      <c r="E10371" s="2">
        <f ca="1">IFERROR(__xludf.DUMMYFUNCTION("""COMPUTED_VALUE"""),2)</f>
        <v>2</v>
      </c>
    </row>
    <row r="10372" spans="1:5" ht="13">
      <c r="A10372" s="2" t="str">
        <f ca="1">IFERROR(__xludf.DUMMYFUNCTION("""COMPUTED_VALUE"""),"Abreu, Zequinha de")</f>
        <v>Abreu, Zequinha de</v>
      </c>
      <c r="B10372" s="3">
        <f ca="1">IFERROR(__xludf.DUMMYFUNCTION("""COMPUTED_VALUE"""),3)</f>
        <v>3</v>
      </c>
      <c r="C10372" s="7">
        <f ca="1">IFERROR(__xludf.DUMMYFUNCTION("""COMPUTED_VALUE"""),3.2)</f>
        <v>3.2</v>
      </c>
      <c r="D10372" s="8">
        <f ca="1">IFERROR(__xludf.DUMMYFUNCTION("""COMPUTED_VALUE"""),7)</f>
        <v>7</v>
      </c>
      <c r="E10372" s="2">
        <f ca="1">IFERROR(__xludf.DUMMYFUNCTION("""COMPUTED_VALUE"""),2)</f>
        <v>2</v>
      </c>
    </row>
    <row r="10373" spans="1:5" ht="13">
      <c r="A10373" s="2" t="str">
        <f ca="1">IFERROR(__xludf.DUMMYFUNCTION("""COMPUTED_VALUE"""),"Abril, Carlos")</f>
        <v>Abril, Carlos</v>
      </c>
      <c r="B10373" s="3">
        <f ca="1">IFERROR(__xludf.DUMMYFUNCTION("""COMPUTED_VALUE"""),3)</f>
        <v>3</v>
      </c>
      <c r="C10373" s="7">
        <f ca="1">IFERROR(__xludf.DUMMYFUNCTION("""COMPUTED_VALUE"""),3.2)</f>
        <v>3.2</v>
      </c>
      <c r="D10373" s="8">
        <f ca="1">IFERROR(__xludf.DUMMYFUNCTION("""COMPUTED_VALUE"""),3)</f>
        <v>3</v>
      </c>
      <c r="E10373" s="2">
        <f ca="1">IFERROR(__xludf.DUMMYFUNCTION("""COMPUTED_VALUE"""),1)</f>
        <v>1</v>
      </c>
    </row>
    <row r="10374" spans="1:5" ht="13">
      <c r="A10374" s="2" t="str">
        <f ca="1">IFERROR(__xludf.DUMMYFUNCTION("""COMPUTED_VALUE"""),"Abujamra, Andre")</f>
        <v>Abujamra, Andre</v>
      </c>
      <c r="B10374" s="3">
        <f ca="1">IFERROR(__xludf.DUMMYFUNCTION("""COMPUTED_VALUE"""),3)</f>
        <v>3</v>
      </c>
      <c r="C10374" s="7">
        <f ca="1">IFERROR(__xludf.DUMMYFUNCTION("""COMPUTED_VALUE"""),3.2)</f>
        <v>3.2</v>
      </c>
      <c r="D10374" s="8">
        <f ca="1">IFERROR(__xludf.DUMMYFUNCTION("""COMPUTED_VALUE"""),3)</f>
        <v>3</v>
      </c>
      <c r="E10374" s="2">
        <f ca="1">IFERROR(__xludf.DUMMYFUNCTION("""COMPUTED_VALUE"""),1)</f>
        <v>1</v>
      </c>
    </row>
    <row r="10375" spans="1:5" ht="13">
      <c r="A10375" s="8" t="str">
        <f ca="1">IFERROR(__xludf.DUMMYFUNCTION("""COMPUTED_VALUE"""),"Adams, Alton")</f>
        <v>Adams, Alton</v>
      </c>
      <c r="B10375" s="3">
        <f ca="1">IFERROR(__xludf.DUMMYFUNCTION("""COMPUTED_VALUE"""),3)</f>
        <v>3</v>
      </c>
      <c r="C10375" s="7">
        <f ca="1">IFERROR(__xludf.DUMMYFUNCTION("""COMPUTED_VALUE"""),3.1)</f>
        <v>3.1</v>
      </c>
      <c r="D10375" s="8">
        <f ca="1">IFERROR(__xludf.DUMMYFUNCTION("""COMPUTED_VALUE"""),7)</f>
        <v>7</v>
      </c>
      <c r="E10375" s="2">
        <f ca="1">IFERROR(__xludf.DUMMYFUNCTION("""COMPUTED_VALUE"""),2)</f>
        <v>2</v>
      </c>
    </row>
    <row r="10376" spans="1:5" ht="13">
      <c r="A10376" s="8" t="str">
        <f ca="1">IFERROR(__xludf.DUMMYFUNCTION("""COMPUTED_VALUE"""),"Adams, H. Leslie")</f>
        <v>Adams, H. Leslie</v>
      </c>
      <c r="B10376" s="3">
        <f ca="1">IFERROR(__xludf.DUMMYFUNCTION("""COMPUTED_VALUE"""),3)</f>
        <v>3</v>
      </c>
      <c r="C10376" s="7">
        <f ca="1">IFERROR(__xludf.DUMMYFUNCTION("""COMPUTED_VALUE"""),3.1)</f>
        <v>3.1</v>
      </c>
      <c r="D10376" s="8">
        <f ca="1">IFERROR(__xludf.DUMMYFUNCTION("""COMPUTED_VALUE"""),3)</f>
        <v>3</v>
      </c>
      <c r="E10376" s="2">
        <f ca="1">IFERROR(__xludf.DUMMYFUNCTION("""COMPUTED_VALUE"""),1)</f>
        <v>1</v>
      </c>
    </row>
    <row r="10377" spans="1:5" ht="13">
      <c r="A10377" s="2" t="str">
        <f ca="1">IFERROR(__xludf.DUMMYFUNCTION("""COMPUTED_VALUE"""),"Adams, Nathaniel")</f>
        <v>Adams, Nathaniel</v>
      </c>
      <c r="B10377" s="3">
        <f ca="1">IFERROR(__xludf.DUMMYFUNCTION("""COMPUTED_VALUE"""),3)</f>
        <v>3</v>
      </c>
      <c r="C10377" s="7">
        <f ca="1">IFERROR(__xludf.DUMMYFUNCTION("""COMPUTED_VALUE"""),3.1)</f>
        <v>3.1</v>
      </c>
      <c r="D10377" s="8">
        <f ca="1">IFERROR(__xludf.DUMMYFUNCTION("""COMPUTED_VALUE"""),7)</f>
        <v>7</v>
      </c>
      <c r="E10377" s="2">
        <f ca="1">IFERROR(__xludf.DUMMYFUNCTION("""COMPUTED_VALUE"""),2)</f>
        <v>2</v>
      </c>
    </row>
    <row r="10378" spans="1:5" ht="13">
      <c r="A10378" s="8" t="str">
        <f ca="1">IFERROR(__xludf.DUMMYFUNCTION("""COMPUTED_VALUE"""),"Adams, Timothy")</f>
        <v>Adams, Timothy</v>
      </c>
      <c r="B10378" s="3">
        <f ca="1">IFERROR(__xludf.DUMMYFUNCTION("""COMPUTED_VALUE"""),3)</f>
        <v>3</v>
      </c>
      <c r="C10378" s="7">
        <f ca="1">IFERROR(__xludf.DUMMYFUNCTION("""COMPUTED_VALUE"""),3.1)</f>
        <v>3.1</v>
      </c>
      <c r="D10378" s="8">
        <f ca="1">IFERROR(__xludf.DUMMYFUNCTION("""COMPUTED_VALUE"""),3)</f>
        <v>3</v>
      </c>
      <c r="E10378" s="2">
        <f ca="1">IFERROR(__xludf.DUMMYFUNCTION("""COMPUTED_VALUE"""),1)</f>
        <v>1</v>
      </c>
    </row>
    <row r="10379" spans="1:5" ht="13">
      <c r="A10379" s="8" t="str">
        <f ca="1">IFERROR(__xludf.DUMMYFUNCTION("""COMPUTED_VALUE"""),"Adderley, Cedric")</f>
        <v>Adderley, Cedric</v>
      </c>
      <c r="B10379" s="3">
        <f ca="1">IFERROR(__xludf.DUMMYFUNCTION("""COMPUTED_VALUE"""),3)</f>
        <v>3</v>
      </c>
      <c r="C10379" s="7">
        <f ca="1">IFERROR(__xludf.DUMMYFUNCTION("""COMPUTED_VALUE"""),3.1)</f>
        <v>3.1</v>
      </c>
      <c r="D10379" s="8">
        <f ca="1">IFERROR(__xludf.DUMMYFUNCTION("""COMPUTED_VALUE"""),3)</f>
        <v>3</v>
      </c>
      <c r="E10379" s="2">
        <f ca="1">IFERROR(__xludf.DUMMYFUNCTION("""COMPUTED_VALUE"""),1)</f>
        <v>1</v>
      </c>
    </row>
    <row r="10380" spans="1:5" ht="13">
      <c r="A10380" s="2" t="str">
        <f ca="1">IFERROR(__xludf.DUMMYFUNCTION("""COMPUTED_VALUE"""),"Adderley, Cleophus")</f>
        <v>Adderley, Cleophus</v>
      </c>
      <c r="B10380" s="3">
        <f ca="1">IFERROR(__xludf.DUMMYFUNCTION("""COMPUTED_VALUE"""),3)</f>
        <v>3</v>
      </c>
      <c r="C10380" s="7">
        <f ca="1">IFERROR(__xludf.DUMMYFUNCTION("""COMPUTED_VALUE"""),3.1)</f>
        <v>3.1</v>
      </c>
      <c r="D10380" s="8">
        <f ca="1">IFERROR(__xludf.DUMMYFUNCTION("""COMPUTED_VALUE"""),3)</f>
        <v>3</v>
      </c>
      <c r="E10380" s="2">
        <f ca="1">IFERROR(__xludf.DUMMYFUNCTION("""COMPUTED_VALUE"""),1)</f>
        <v>1</v>
      </c>
    </row>
    <row r="10381" spans="1:5" ht="13">
      <c r="A10381" s="2" t="str">
        <f ca="1">IFERROR(__xludf.DUMMYFUNCTION("""COMPUTED_VALUE"""),"Adderley, Julian ""Cannonball""")</f>
        <v>Adderley, Julian "Cannonball"</v>
      </c>
      <c r="B10381" s="3">
        <f ca="1">IFERROR(__xludf.DUMMYFUNCTION("""COMPUTED_VALUE"""),3)</f>
        <v>3</v>
      </c>
      <c r="C10381" s="7">
        <f ca="1">IFERROR(__xludf.DUMMYFUNCTION("""COMPUTED_VALUE"""),3.1)</f>
        <v>3.1</v>
      </c>
      <c r="D10381" s="8">
        <f ca="1">IFERROR(__xludf.DUMMYFUNCTION("""COMPUTED_VALUE"""),7)</f>
        <v>7</v>
      </c>
      <c r="E10381" s="2">
        <f ca="1">IFERROR(__xludf.DUMMYFUNCTION("""COMPUTED_VALUE"""),2)</f>
        <v>2</v>
      </c>
    </row>
    <row r="10382" spans="1:5" ht="13">
      <c r="A10382" s="2" t="str">
        <f ca="1">IFERROR(__xludf.DUMMYFUNCTION("""COMPUTED_VALUE"""),"Adderley, Nat")</f>
        <v>Adderley, Nat</v>
      </c>
      <c r="B10382" s="3">
        <f ca="1">IFERROR(__xludf.DUMMYFUNCTION("""COMPUTED_VALUE"""),3)</f>
        <v>3</v>
      </c>
      <c r="C10382" s="7">
        <f ca="1">IFERROR(__xludf.DUMMYFUNCTION("""COMPUTED_VALUE"""),3.1)</f>
        <v>3.1</v>
      </c>
      <c r="D10382" s="8">
        <f ca="1">IFERROR(__xludf.DUMMYFUNCTION("""COMPUTED_VALUE"""),7)</f>
        <v>7</v>
      </c>
      <c r="E10382" s="2">
        <f ca="1">IFERROR(__xludf.DUMMYFUNCTION("""COMPUTED_VALUE"""),2)</f>
        <v>2</v>
      </c>
    </row>
    <row r="10383" spans="1:5" ht="13">
      <c r="A10383" s="2" t="str">
        <f ca="1">IFERROR(__xludf.DUMMYFUNCTION("""COMPUTED_VALUE"""),"Adderley, Nat / Lewis, Curtis")</f>
        <v>Adderley, Nat / Lewis, Curtis</v>
      </c>
      <c r="B10383" s="3">
        <f ca="1">IFERROR(__xludf.DUMMYFUNCTION("""COMPUTED_VALUE"""),3)</f>
        <v>3</v>
      </c>
      <c r="C10383" s="7">
        <f ca="1">IFERROR(__xludf.DUMMYFUNCTION("""COMPUTED_VALUE"""),3.1)</f>
        <v>3.1</v>
      </c>
      <c r="D10383" s="8">
        <f ca="1">IFERROR(__xludf.DUMMYFUNCTION("""COMPUTED_VALUE"""),7)</f>
        <v>7</v>
      </c>
      <c r="E10383" s="2">
        <f ca="1">IFERROR(__xludf.DUMMYFUNCTION("""COMPUTED_VALUE"""),2)</f>
        <v>2</v>
      </c>
    </row>
    <row r="10384" spans="1:5" ht="13">
      <c r="A10384" s="2" t="str">
        <f ca="1">IFERROR(__xludf.DUMMYFUNCTION("""COMPUTED_VALUE"""),"Afonso, Daniel")</f>
        <v>Afonso, Daniel</v>
      </c>
      <c r="B10384" s="2">
        <f ca="1">IFERROR(__xludf.DUMMYFUNCTION("""COMPUTED_VALUE"""),3)</f>
        <v>3</v>
      </c>
      <c r="C10384" s="7">
        <f ca="1">IFERROR(__xludf.DUMMYFUNCTION("""COMPUTED_VALUE"""),3.2)</f>
        <v>3.2</v>
      </c>
      <c r="D10384" s="8">
        <f ca="1">IFERROR(__xludf.DUMMYFUNCTION("""COMPUTED_VALUE"""),3)</f>
        <v>3</v>
      </c>
      <c r="E10384" s="2">
        <f ca="1">IFERROR(__xludf.DUMMYFUNCTION("""COMPUTED_VALUE"""),1)</f>
        <v>1</v>
      </c>
    </row>
    <row r="10385" spans="1:5" ht="13">
      <c r="A10385" s="8" t="str">
        <f ca="1">IFERROR(__xludf.DUMMYFUNCTION("""COMPUTED_VALUE"""),"Afonso, Jr., Daniel")</f>
        <v>Afonso, Jr., Daniel</v>
      </c>
      <c r="B10385" s="3">
        <f ca="1">IFERROR(__xludf.DUMMYFUNCTION("""COMPUTED_VALUE"""),3)</f>
        <v>3</v>
      </c>
      <c r="C10385" s="7">
        <f ca="1">IFERROR(__xludf.DUMMYFUNCTION("""COMPUTED_VALUE"""),3.2)</f>
        <v>3.2</v>
      </c>
      <c r="D10385" s="8">
        <f ca="1">IFERROR(__xludf.DUMMYFUNCTION("""COMPUTED_VALUE"""),3)</f>
        <v>3</v>
      </c>
      <c r="E10385" s="2">
        <f ca="1">IFERROR(__xludf.DUMMYFUNCTION("""COMPUTED_VALUE"""),1)</f>
        <v>1</v>
      </c>
    </row>
    <row r="10386" spans="1:5" ht="13">
      <c r="A10386" s="8" t="str">
        <f ca="1">IFERROR(__xludf.DUMMYFUNCTION("""COMPUTED_VALUE"""),"Aghaei, Siamak")</f>
        <v>Aghaei, Siamak</v>
      </c>
      <c r="B10386" s="3">
        <f ca="1">IFERROR(__xludf.DUMMYFUNCTION("""COMPUTED_VALUE"""),3)</f>
        <v>3</v>
      </c>
      <c r="C10386" s="7">
        <f ca="1">IFERROR(__xludf.DUMMYFUNCTION("""COMPUTED_VALUE"""),3.5)</f>
        <v>3.5</v>
      </c>
      <c r="D10386" s="8">
        <f ca="1">IFERROR(__xludf.DUMMYFUNCTION("""COMPUTED_VALUE"""),3)</f>
        <v>3</v>
      </c>
      <c r="E10386" s="2">
        <f ca="1">IFERROR(__xludf.DUMMYFUNCTION("""COMPUTED_VALUE"""),1)</f>
        <v>1</v>
      </c>
    </row>
    <row r="10387" spans="1:5" ht="13">
      <c r="A10387" s="8" t="str">
        <f ca="1">IFERROR(__xludf.DUMMYFUNCTION("""COMPUTED_VALUE"""),"Agudelo, Victor")</f>
        <v>Agudelo, Victor</v>
      </c>
      <c r="B10387" s="3">
        <f ca="1">IFERROR(__xludf.DUMMYFUNCTION("""COMPUTED_VALUE"""),3)</f>
        <v>3</v>
      </c>
      <c r="C10387" s="7">
        <f ca="1">IFERROR(__xludf.DUMMYFUNCTION("""COMPUTED_VALUE"""),3.2)</f>
        <v>3.2</v>
      </c>
      <c r="D10387" s="8">
        <f ca="1">IFERROR(__xludf.DUMMYFUNCTION("""COMPUTED_VALUE"""),3)</f>
        <v>3</v>
      </c>
      <c r="E10387" s="2">
        <f ca="1">IFERROR(__xludf.DUMMYFUNCTION("""COMPUTED_VALUE"""),1)</f>
        <v>1</v>
      </c>
    </row>
    <row r="10388" spans="1:5" ht="13">
      <c r="A10388" s="8" t="str">
        <f ca="1">IFERROR(__xludf.DUMMYFUNCTION("""COMPUTED_VALUE"""),"Aguiar, Ernani")</f>
        <v>Aguiar, Ernani</v>
      </c>
      <c r="B10388" s="3">
        <f ca="1">IFERROR(__xludf.DUMMYFUNCTION("""COMPUTED_VALUE"""),3)</f>
        <v>3</v>
      </c>
      <c r="C10388" s="7">
        <f ca="1">IFERROR(__xludf.DUMMYFUNCTION("""COMPUTED_VALUE"""),3.2)</f>
        <v>3.2</v>
      </c>
      <c r="D10388" s="8">
        <f ca="1">IFERROR(__xludf.DUMMYFUNCTION("""COMPUTED_VALUE"""),3)</f>
        <v>3</v>
      </c>
      <c r="E10388" s="2">
        <f ca="1">IFERROR(__xludf.DUMMYFUNCTION("""COMPUTED_VALUE"""),1)</f>
        <v>1</v>
      </c>
    </row>
    <row r="10389" spans="1:5" ht="13">
      <c r="A10389" s="8" t="str">
        <f ca="1">IFERROR(__xludf.DUMMYFUNCTION("""COMPUTED_VALUE"""),"Aguila, Miguel del")</f>
        <v>Aguila, Miguel del</v>
      </c>
      <c r="B10389" s="3">
        <f ca="1">IFERROR(__xludf.DUMMYFUNCTION("""COMPUTED_VALUE"""),3)</f>
        <v>3</v>
      </c>
      <c r="C10389" s="7">
        <f ca="1">IFERROR(__xludf.DUMMYFUNCTION("""COMPUTED_VALUE"""),3.2)</f>
        <v>3.2</v>
      </c>
      <c r="D10389" s="8">
        <f ca="1">IFERROR(__xludf.DUMMYFUNCTION("""COMPUTED_VALUE"""),3)</f>
        <v>3</v>
      </c>
      <c r="E10389" s="2">
        <f ca="1">IFERROR(__xludf.DUMMYFUNCTION("""COMPUTED_VALUE"""),1)</f>
        <v>1</v>
      </c>
    </row>
    <row r="10390" spans="1:5" ht="13">
      <c r="A10390" s="2" t="str">
        <f ca="1">IFERROR(__xludf.DUMMYFUNCTION("""COMPUTED_VALUE"""),"Ah Sam, Opeloge")</f>
        <v>Ah Sam, Opeloge</v>
      </c>
      <c r="B10390" s="2">
        <f ca="1">IFERROR(__xludf.DUMMYFUNCTION("""COMPUTED_VALUE"""),3)</f>
        <v>3</v>
      </c>
      <c r="C10390" s="7">
        <f ca="1">IFERROR(__xludf.DUMMYFUNCTION("""COMPUTED_VALUE"""),3.7)</f>
        <v>3.7</v>
      </c>
      <c r="D10390" s="8">
        <f ca="1">IFERROR(__xludf.DUMMYFUNCTION("""COMPUTED_VALUE"""),3)</f>
        <v>3</v>
      </c>
      <c r="E10390" s="2">
        <f ca="1">IFERROR(__xludf.DUMMYFUNCTION("""COMPUTED_VALUE"""),1)</f>
        <v>1</v>
      </c>
    </row>
    <row r="10391" spans="1:5" ht="13">
      <c r="A10391" s="8" t="str">
        <f ca="1">IFERROR(__xludf.DUMMYFUNCTION("""COMPUTED_VALUE"""),"Akiho, Andy")</f>
        <v>Akiho, Andy</v>
      </c>
      <c r="B10391" s="3">
        <f ca="1">IFERROR(__xludf.DUMMYFUNCTION("""COMPUTED_VALUE"""),3)</f>
        <v>3</v>
      </c>
      <c r="C10391" s="7">
        <f ca="1">IFERROR(__xludf.DUMMYFUNCTION("""COMPUTED_VALUE"""),3.3)</f>
        <v>3.3</v>
      </c>
      <c r="D10391" s="8">
        <f ca="1">IFERROR(__xludf.DUMMYFUNCTION("""COMPUTED_VALUE"""),3)</f>
        <v>3</v>
      </c>
      <c r="E10391" s="2">
        <f ca="1">IFERROR(__xludf.DUMMYFUNCTION("""COMPUTED_VALUE"""),1)</f>
        <v>1</v>
      </c>
    </row>
    <row r="10392" spans="1:5" ht="13">
      <c r="A10392" s="8" t="str">
        <f ca="1">IFERROR(__xludf.DUMMYFUNCTION("""COMPUTED_VALUE"""),"Akinmusire, Ambrose")</f>
        <v>Akinmusire, Ambrose</v>
      </c>
      <c r="B10392" s="3">
        <f ca="1">IFERROR(__xludf.DUMMYFUNCTION("""COMPUTED_VALUE"""),3)</f>
        <v>3</v>
      </c>
      <c r="C10392" s="7">
        <f ca="1">IFERROR(__xludf.DUMMYFUNCTION("""COMPUTED_VALUE"""),3.1)</f>
        <v>3.1</v>
      </c>
      <c r="D10392" s="8">
        <f ca="1">IFERROR(__xludf.DUMMYFUNCTION("""COMPUTED_VALUE"""),3)</f>
        <v>3</v>
      </c>
      <c r="E10392" s="2">
        <f ca="1">IFERROR(__xludf.DUMMYFUNCTION("""COMPUTED_VALUE"""),1)</f>
        <v>1</v>
      </c>
    </row>
    <row r="10393" spans="1:5" ht="13">
      <c r="A10393" s="8" t="str">
        <f ca="1">IFERROR(__xludf.DUMMYFUNCTION("""COMPUTED_VALUE"""),"Akiyama, Toshio")</f>
        <v>Akiyama, Toshio</v>
      </c>
      <c r="B10393" s="3">
        <f ca="1">IFERROR(__xludf.DUMMYFUNCTION("""COMPUTED_VALUE"""),3)</f>
        <v>3</v>
      </c>
      <c r="C10393" s="7">
        <f ca="1">IFERROR(__xludf.DUMMYFUNCTION("""COMPUTED_VALUE"""),3.3)</f>
        <v>3.3</v>
      </c>
      <c r="D10393" s="8">
        <f ca="1">IFERROR(__xludf.DUMMYFUNCTION("""COMPUTED_VALUE"""),3)</f>
        <v>3</v>
      </c>
      <c r="E10393" s="2">
        <f ca="1">IFERROR(__xludf.DUMMYFUNCTION("""COMPUTED_VALUE"""),1)</f>
        <v>1</v>
      </c>
    </row>
    <row r="10394" spans="1:5" ht="13">
      <c r="A10394" s="2" t="str">
        <f ca="1">IFERROR(__xludf.DUMMYFUNCTION("""COMPUTED_VALUE"""),"Akpabot, Samuel")</f>
        <v>Akpabot, Samuel</v>
      </c>
      <c r="B10394" s="3">
        <f ca="1">IFERROR(__xludf.DUMMYFUNCTION("""COMPUTED_VALUE"""),3)</f>
        <v>3</v>
      </c>
      <c r="C10394" s="7">
        <f ca="1">IFERROR(__xludf.DUMMYFUNCTION("""COMPUTED_VALUE"""),3.1)</f>
        <v>3.1</v>
      </c>
      <c r="D10394" s="8">
        <f ca="1">IFERROR(__xludf.DUMMYFUNCTION("""COMPUTED_VALUE"""),7)</f>
        <v>7</v>
      </c>
      <c r="E10394" s="2">
        <f ca="1">IFERROR(__xludf.DUMMYFUNCTION("""COMPUTED_VALUE"""),2)</f>
        <v>2</v>
      </c>
    </row>
    <row r="10395" spans="1:5" ht="13">
      <c r="A10395" s="2" t="str">
        <f ca="1">IFERROR(__xludf.DUMMYFUNCTION("""COMPUTED_VALUE"""),"Akutagawa, Yasushi")</f>
        <v>Akutagawa, Yasushi</v>
      </c>
      <c r="B10395" s="3">
        <f ca="1">IFERROR(__xludf.DUMMYFUNCTION("""COMPUTED_VALUE"""),3)</f>
        <v>3</v>
      </c>
      <c r="C10395" s="7">
        <f ca="1">IFERROR(__xludf.DUMMYFUNCTION("""COMPUTED_VALUE"""),3.3)</f>
        <v>3.3</v>
      </c>
      <c r="D10395" s="8">
        <f ca="1">IFERROR(__xludf.DUMMYFUNCTION("""COMPUTED_VALUE"""),7)</f>
        <v>7</v>
      </c>
      <c r="E10395" s="2">
        <f ca="1">IFERROR(__xludf.DUMMYFUNCTION("""COMPUTED_VALUE"""),2)</f>
        <v>2</v>
      </c>
    </row>
    <row r="10396" spans="1:5" ht="13">
      <c r="A10396" s="2" t="str">
        <f ca="1">IFERROR(__xludf.DUMMYFUNCTION("""COMPUTED_VALUE"""),"Al Abaca, Ahmed")</f>
        <v>Al Abaca, Ahmed</v>
      </c>
      <c r="B10396" s="2">
        <f ca="1">IFERROR(__xludf.DUMMYFUNCTION("""COMPUTED_VALUE"""),3)</f>
        <v>3</v>
      </c>
      <c r="C10396" s="2">
        <f ca="1">IFERROR(__xludf.DUMMYFUNCTION("""COMPUTED_VALUE"""),3.1)</f>
        <v>3.1</v>
      </c>
      <c r="D10396" s="8">
        <f ca="1">IFERROR(__xludf.DUMMYFUNCTION("""COMPUTED_VALUE"""),3)</f>
        <v>3</v>
      </c>
      <c r="E10396" s="2">
        <f ca="1">IFERROR(__xludf.DUMMYFUNCTION("""COMPUTED_VALUE"""),1)</f>
        <v>1</v>
      </c>
    </row>
    <row r="10397" spans="1:5" ht="13">
      <c r="A10397" s="8" t="str">
        <f ca="1">IFERROR(__xludf.DUMMYFUNCTION("""COMPUTED_VALUE"""),"Al-Zand, Karim")</f>
        <v>Al-Zand, Karim</v>
      </c>
      <c r="B10397" s="3">
        <f ca="1">IFERROR(__xludf.DUMMYFUNCTION("""COMPUTED_VALUE"""),3)</f>
        <v>3</v>
      </c>
      <c r="C10397" s="7">
        <f ca="1">IFERROR(__xludf.DUMMYFUNCTION("""COMPUTED_VALUE"""),3.5)</f>
        <v>3.5</v>
      </c>
      <c r="D10397" s="8">
        <f ca="1">IFERROR(__xludf.DUMMYFUNCTION("""COMPUTED_VALUE"""),3)</f>
        <v>3</v>
      </c>
      <c r="E10397" s="2">
        <f ca="1">IFERROR(__xludf.DUMMYFUNCTION("""COMPUTED_VALUE"""),1)</f>
        <v>1</v>
      </c>
    </row>
    <row r="10398" spans="1:5" ht="13">
      <c r="A10398" s="2" t="str">
        <f ca="1">IFERROR(__xludf.DUMMYFUNCTION("""COMPUTED_VALUE"""),"Alarcon, Rolando")</f>
        <v>Alarcon, Rolando</v>
      </c>
      <c r="B10398" s="3">
        <f ca="1">IFERROR(__xludf.DUMMYFUNCTION("""COMPUTED_VALUE"""),3)</f>
        <v>3</v>
      </c>
      <c r="C10398" s="7">
        <f ca="1">IFERROR(__xludf.DUMMYFUNCTION("""COMPUTED_VALUE"""),3.2)</f>
        <v>3.2</v>
      </c>
      <c r="D10398" s="8">
        <f ca="1">IFERROR(__xludf.DUMMYFUNCTION("""COMPUTED_VALUE"""),7)</f>
        <v>7</v>
      </c>
      <c r="E10398" s="2">
        <f ca="1">IFERROR(__xludf.DUMMYFUNCTION("""COMPUTED_VALUE"""),2)</f>
        <v>2</v>
      </c>
    </row>
    <row r="10399" spans="1:5" ht="13">
      <c r="A10399" s="2" t="str">
        <f ca="1">IFERROR(__xludf.DUMMYFUNCTION("""COMPUTED_VALUE"""),"Alberto Aguilera, Valadez,")</f>
        <v>Alberto Aguilera, Valadez,</v>
      </c>
      <c r="B10399" s="3">
        <f ca="1">IFERROR(__xludf.DUMMYFUNCTION("""COMPUTED_VALUE"""),3)</f>
        <v>3</v>
      </c>
      <c r="C10399" s="7">
        <f ca="1">IFERROR(__xludf.DUMMYFUNCTION("""COMPUTED_VALUE"""),3.2)</f>
        <v>3.2</v>
      </c>
      <c r="D10399" s="8">
        <f ca="1">IFERROR(__xludf.DUMMYFUNCTION("""COMPUTED_VALUE"""),7)</f>
        <v>7</v>
      </c>
      <c r="E10399" s="2">
        <f ca="1">IFERROR(__xludf.DUMMYFUNCTION("""COMPUTED_VALUE"""),2)</f>
        <v>2</v>
      </c>
    </row>
    <row r="10400" spans="1:5" ht="13">
      <c r="A10400" s="2" t="str">
        <f ca="1">IFERROR(__xludf.DUMMYFUNCTION("""COMPUTED_VALUE"""),"Alcalá, Macedonio")</f>
        <v>Alcalá, Macedonio</v>
      </c>
      <c r="B10400" s="2">
        <f ca="1">IFERROR(__xludf.DUMMYFUNCTION("""COMPUTED_VALUE"""),3)</f>
        <v>3</v>
      </c>
      <c r="C10400" s="7">
        <f ca="1">IFERROR(__xludf.DUMMYFUNCTION("""COMPUTED_VALUE"""),3.2)</f>
        <v>3.2</v>
      </c>
      <c r="D10400" s="8">
        <f ca="1">IFERROR(__xludf.DUMMYFUNCTION("""COMPUTED_VALUE"""),7)</f>
        <v>7</v>
      </c>
      <c r="E10400" s="2">
        <f ca="1">IFERROR(__xludf.DUMMYFUNCTION("""COMPUTED_VALUE"""),2)</f>
        <v>2</v>
      </c>
    </row>
    <row r="10401" spans="1:5" ht="13">
      <c r="A10401" s="2" t="str">
        <f ca="1">IFERROR(__xludf.DUMMYFUNCTION("""COMPUTED_VALUE"""),"Alday, Angel")</f>
        <v>Alday, Angel</v>
      </c>
      <c r="B10401" s="2">
        <f ca="1">IFERROR(__xludf.DUMMYFUNCTION("""COMPUTED_VALUE"""),3)</f>
        <v>3</v>
      </c>
      <c r="C10401" s="2">
        <f ca="1">IFERROR(__xludf.DUMMYFUNCTION("""COMPUTED_VALUE"""),3.2)</f>
        <v>3.2</v>
      </c>
      <c r="D10401" s="8">
        <f ca="1">IFERROR(__xludf.DUMMYFUNCTION("""COMPUTED_VALUE"""),3)</f>
        <v>3</v>
      </c>
      <c r="E10401" s="2">
        <f ca="1">IFERROR(__xludf.DUMMYFUNCTION("""COMPUTED_VALUE"""),1)</f>
        <v>1</v>
      </c>
    </row>
    <row r="10402" spans="1:5" ht="13">
      <c r="A10402" s="2" t="str">
        <f ca="1">IFERROR(__xludf.DUMMYFUNCTION("""COMPUTED_VALUE"""),"Aldema, Gil")</f>
        <v>Aldema, Gil</v>
      </c>
      <c r="B10402" s="2">
        <f ca="1">IFERROR(__xludf.DUMMYFUNCTION("""COMPUTED_VALUE"""),3)</f>
        <v>3</v>
      </c>
      <c r="C10402" s="2">
        <f ca="1">IFERROR(__xludf.DUMMYFUNCTION("""COMPUTED_VALUE"""),3.5)</f>
        <v>3.5</v>
      </c>
      <c r="D10402" s="8">
        <f ca="1">IFERROR(__xludf.DUMMYFUNCTION("""COMPUTED_VALUE"""),7)</f>
        <v>7</v>
      </c>
      <c r="E10402" s="2">
        <f ca="1">IFERROR(__xludf.DUMMYFUNCTION("""COMPUTED_VALUE"""),2)</f>
        <v>2</v>
      </c>
    </row>
    <row r="10403" spans="1:5" ht="13">
      <c r="A10403" s="2" t="str">
        <f ca="1">IFERROR(__xludf.DUMMYFUNCTION("""COMPUTED_VALUE"""),"Alfaro, Rigoberto")</f>
        <v>Alfaro, Rigoberto</v>
      </c>
      <c r="B10403" s="3">
        <f ca="1">IFERROR(__xludf.DUMMYFUNCTION("""COMPUTED_VALUE"""),3)</f>
        <v>3</v>
      </c>
      <c r="C10403" s="7">
        <f ca="1">IFERROR(__xludf.DUMMYFUNCTION("""COMPUTED_VALUE"""),3.2)</f>
        <v>3.2</v>
      </c>
      <c r="D10403" s="8">
        <f ca="1">IFERROR(__xludf.DUMMYFUNCTION("""COMPUTED_VALUE"""),7)</f>
        <v>7</v>
      </c>
      <c r="E10403" s="2">
        <f ca="1">IFERROR(__xludf.DUMMYFUNCTION("""COMPUTED_VALUE"""),2)</f>
        <v>2</v>
      </c>
    </row>
    <row r="10404" spans="1:5" ht="13">
      <c r="A10404" s="2" t="str">
        <f ca="1">IFERROR(__xludf.DUMMYFUNCTION("""COMPUTED_VALUE"""),"Allan, Yara")</f>
        <v>Allan, Yara</v>
      </c>
      <c r="B10404" s="2">
        <f ca="1">IFERROR(__xludf.DUMMYFUNCTION("""COMPUTED_VALUE"""),3)</f>
        <v>3</v>
      </c>
      <c r="C10404" s="7">
        <f ca="1">IFERROR(__xludf.DUMMYFUNCTION("""COMPUTED_VALUE"""),3.1)</f>
        <v>3.1</v>
      </c>
      <c r="D10404" s="8">
        <f ca="1">IFERROR(__xludf.DUMMYFUNCTION("""COMPUTED_VALUE"""),3)</f>
        <v>3</v>
      </c>
      <c r="E10404" s="2">
        <f ca="1">IFERROR(__xludf.DUMMYFUNCTION("""COMPUTED_VALUE"""),1)</f>
        <v>1</v>
      </c>
    </row>
    <row r="10405" spans="1:5" ht="13">
      <c r="A10405" s="2" t="str">
        <f ca="1">IFERROR(__xludf.DUMMYFUNCTION("""COMPUTED_VALUE"""),"Allen, Jr., Omar")</f>
        <v>Allen, Jr., Omar</v>
      </c>
      <c r="B10405" s="2">
        <f ca="1">IFERROR(__xludf.DUMMYFUNCTION("""COMPUTED_VALUE"""),3)</f>
        <v>3</v>
      </c>
      <c r="C10405" s="7">
        <f ca="1">IFERROR(__xludf.DUMMYFUNCTION("""COMPUTED_VALUE"""),3.1)</f>
        <v>3.1</v>
      </c>
      <c r="D10405" s="8">
        <f ca="1">IFERROR(__xludf.DUMMYFUNCTION("""COMPUTED_VALUE"""),3)</f>
        <v>3</v>
      </c>
      <c r="E10405" s="2">
        <f ca="1">IFERROR(__xludf.DUMMYFUNCTION("""COMPUTED_VALUE"""),1)</f>
        <v>1</v>
      </c>
    </row>
    <row r="10406" spans="1:5" ht="13">
      <c r="A10406" s="2" t="str">
        <f ca="1">IFERROR(__xludf.DUMMYFUNCTION("""COMPUTED_VALUE"""),"Allen, Kevin")</f>
        <v>Allen, Kevin</v>
      </c>
      <c r="B10406" s="3">
        <f ca="1">IFERROR(__xludf.DUMMYFUNCTION("""COMPUTED_VALUE"""),3)</f>
        <v>3</v>
      </c>
      <c r="C10406" s="7">
        <f ca="1">IFERROR(__xludf.DUMMYFUNCTION("""COMPUTED_VALUE"""),3.1)</f>
        <v>3.1</v>
      </c>
      <c r="D10406" s="8">
        <f ca="1">IFERROR(__xludf.DUMMYFUNCTION("""COMPUTED_VALUE"""),3)</f>
        <v>3</v>
      </c>
      <c r="E10406" s="2">
        <f ca="1">IFERROR(__xludf.DUMMYFUNCTION("""COMPUTED_VALUE"""),1)</f>
        <v>1</v>
      </c>
    </row>
    <row r="10407" spans="1:5" ht="13">
      <c r="A10407" s="2" t="str">
        <f ca="1">IFERROR(__xludf.DUMMYFUNCTION("""COMPUTED_VALUE"""),"Amado, Jorge")</f>
        <v>Amado, Jorge</v>
      </c>
      <c r="B10407" s="3">
        <f ca="1">IFERROR(__xludf.DUMMYFUNCTION("""COMPUTED_VALUE"""),3)</f>
        <v>3</v>
      </c>
      <c r="C10407" s="7">
        <f ca="1">IFERROR(__xludf.DUMMYFUNCTION("""COMPUTED_VALUE"""),3.2)</f>
        <v>3.2</v>
      </c>
      <c r="D10407" s="8">
        <f ca="1">IFERROR(__xludf.DUMMYFUNCTION("""COMPUTED_VALUE"""),3)</f>
        <v>3</v>
      </c>
      <c r="E10407" s="2">
        <f ca="1">IFERROR(__xludf.DUMMYFUNCTION("""COMPUTED_VALUE"""),1)</f>
        <v>1</v>
      </c>
    </row>
    <row r="10408" spans="1:5" ht="13">
      <c r="A10408" s="8" t="str">
        <f ca="1">IFERROR(__xludf.DUMMYFUNCTION("""COMPUTED_VALUE"""),"Amano, Masamichi")</f>
        <v>Amano, Masamichi</v>
      </c>
      <c r="B10408" s="3">
        <f ca="1">IFERROR(__xludf.DUMMYFUNCTION("""COMPUTED_VALUE"""),3)</f>
        <v>3</v>
      </c>
      <c r="C10408" s="7">
        <f ca="1">IFERROR(__xludf.DUMMYFUNCTION("""COMPUTED_VALUE"""),3.3)</f>
        <v>3.3</v>
      </c>
      <c r="D10408" s="8">
        <f ca="1">IFERROR(__xludf.DUMMYFUNCTION("""COMPUTED_VALUE"""),3)</f>
        <v>3</v>
      </c>
      <c r="E10408" s="2">
        <f ca="1">IFERROR(__xludf.DUMMYFUNCTION("""COMPUTED_VALUE"""),1)</f>
        <v>1</v>
      </c>
    </row>
    <row r="10409" spans="1:5" ht="13">
      <c r="A10409" s="8" t="str">
        <f ca="1">IFERROR(__xludf.DUMMYFUNCTION("""COMPUTED_VALUE"""),"Amaya, Efraín")</f>
        <v>Amaya, Efraín</v>
      </c>
      <c r="B10409" s="3">
        <f ca="1">IFERROR(__xludf.DUMMYFUNCTION("""COMPUTED_VALUE"""),3)</f>
        <v>3</v>
      </c>
      <c r="C10409" s="7">
        <f ca="1">IFERROR(__xludf.DUMMYFUNCTION("""COMPUTED_VALUE"""),3.2)</f>
        <v>3.2</v>
      </c>
      <c r="D10409" s="8">
        <f ca="1">IFERROR(__xludf.DUMMYFUNCTION("""COMPUTED_VALUE"""),3)</f>
        <v>3</v>
      </c>
      <c r="E10409" s="2">
        <f ca="1">IFERROR(__xludf.DUMMYFUNCTION("""COMPUTED_VALUE"""),1)</f>
        <v>1</v>
      </c>
    </row>
    <row r="10410" spans="1:5" ht="13">
      <c r="A10410" s="8" t="str">
        <f ca="1">IFERROR(__xludf.DUMMYFUNCTION("""COMPUTED_VALUE"""),"Ames, Jeffery")</f>
        <v>Ames, Jeffery</v>
      </c>
      <c r="B10410" s="3">
        <f ca="1">IFERROR(__xludf.DUMMYFUNCTION("""COMPUTED_VALUE"""),3)</f>
        <v>3</v>
      </c>
      <c r="C10410" s="7">
        <f ca="1">IFERROR(__xludf.DUMMYFUNCTION("""COMPUTED_VALUE"""),3.1)</f>
        <v>3.1</v>
      </c>
      <c r="D10410" s="8">
        <f ca="1">IFERROR(__xludf.DUMMYFUNCTION("""COMPUTED_VALUE"""),3)</f>
        <v>3</v>
      </c>
      <c r="E10410" s="2">
        <f ca="1">IFERROR(__xludf.DUMMYFUNCTION("""COMPUTED_VALUE"""),1)</f>
        <v>1</v>
      </c>
    </row>
    <row r="10411" spans="1:5" ht="13">
      <c r="A10411" s="8" t="str">
        <f ca="1">IFERROR(__xludf.DUMMYFUNCTION("""COMPUTED_VALUE"""),"Aminikia, Sahba")</f>
        <v>Aminikia, Sahba</v>
      </c>
      <c r="B10411" s="3">
        <f ca="1">IFERROR(__xludf.DUMMYFUNCTION("""COMPUTED_VALUE"""),3)</f>
        <v>3</v>
      </c>
      <c r="C10411" s="7">
        <f ca="1">IFERROR(__xludf.DUMMYFUNCTION("""COMPUTED_VALUE"""),3.5)</f>
        <v>3.5</v>
      </c>
      <c r="D10411" s="8">
        <f ca="1">IFERROR(__xludf.DUMMYFUNCTION("""COMPUTED_VALUE"""),3)</f>
        <v>3</v>
      </c>
      <c r="E10411" s="2">
        <f ca="1">IFERROR(__xludf.DUMMYFUNCTION("""COMPUTED_VALUE"""),1)</f>
        <v>1</v>
      </c>
    </row>
    <row r="10412" spans="1:5" ht="13">
      <c r="A10412" s="8" t="str">
        <f ca="1">IFERROR(__xludf.DUMMYFUNCTION("""COMPUTED_VALUE"""),"Amis, Kenneth")</f>
        <v>Amis, Kenneth</v>
      </c>
      <c r="B10412" s="3">
        <f ca="1">IFERROR(__xludf.DUMMYFUNCTION("""COMPUTED_VALUE"""),3)</f>
        <v>3</v>
      </c>
      <c r="C10412" s="7">
        <f ca="1">IFERROR(__xludf.DUMMYFUNCTION("""COMPUTED_VALUE"""),3.1)</f>
        <v>3.1</v>
      </c>
      <c r="D10412" s="8">
        <f ca="1">IFERROR(__xludf.DUMMYFUNCTION("""COMPUTED_VALUE"""),3)</f>
        <v>3</v>
      </c>
      <c r="E10412" s="2">
        <f ca="1">IFERROR(__xludf.DUMMYFUNCTION("""COMPUTED_VALUE"""),1)</f>
        <v>1</v>
      </c>
    </row>
    <row r="10413" spans="1:5" ht="13">
      <c r="A10413" s="2" t="str">
        <f ca="1">IFERROR(__xludf.DUMMYFUNCTION("""COMPUTED_VALUE"""),"Amjad Ali Khan")</f>
        <v>Amjad Ali Khan</v>
      </c>
      <c r="B10413" s="3">
        <f ca="1">IFERROR(__xludf.DUMMYFUNCTION("""COMPUTED_VALUE"""),3)</f>
        <v>3</v>
      </c>
      <c r="C10413" s="7">
        <f ca="1">IFERROR(__xludf.DUMMYFUNCTION("""COMPUTED_VALUE"""),3.5)</f>
        <v>3.5</v>
      </c>
      <c r="D10413" s="8">
        <f ca="1">IFERROR(__xludf.DUMMYFUNCTION("""COMPUTED_VALUE"""),3)</f>
        <v>3</v>
      </c>
      <c r="E10413" s="2">
        <f ca="1">IFERROR(__xludf.DUMMYFUNCTION("""COMPUTED_VALUE"""),1)</f>
        <v>1</v>
      </c>
    </row>
    <row r="10414" spans="1:5" ht="13">
      <c r="A10414" s="2" t="str">
        <f ca="1">IFERROR(__xludf.DUMMYFUNCTION("""COMPUTED_VALUE"""),"An-Lun Huang")</f>
        <v>An-Lun Huang</v>
      </c>
      <c r="B10414" s="3">
        <f ca="1">IFERROR(__xludf.DUMMYFUNCTION("""COMPUTED_VALUE"""),3)</f>
        <v>3</v>
      </c>
      <c r="C10414" s="7">
        <f ca="1">IFERROR(__xludf.DUMMYFUNCTION("""COMPUTED_VALUE"""),3.3)</f>
        <v>3.3</v>
      </c>
      <c r="D10414" s="8">
        <f ca="1">IFERROR(__xludf.DUMMYFUNCTION("""COMPUTED_VALUE"""),3)</f>
        <v>3</v>
      </c>
      <c r="E10414" s="2">
        <f ca="1">IFERROR(__xludf.DUMMYFUNCTION("""COMPUTED_VALUE"""),1)</f>
        <v>1</v>
      </c>
    </row>
    <row r="10415" spans="1:5" ht="13">
      <c r="A10415" s="8" t="str">
        <f ca="1">IFERROR(__xludf.DUMMYFUNCTION("""COMPUTED_VALUE"""),"Anderson, Robert")</f>
        <v>Anderson, Robert</v>
      </c>
      <c r="B10415" s="3">
        <f ca="1">IFERROR(__xludf.DUMMYFUNCTION("""COMPUTED_VALUE"""),3)</f>
        <v>3</v>
      </c>
      <c r="C10415" s="7">
        <f ca="1">IFERROR(__xludf.DUMMYFUNCTION("""COMPUTED_VALUE"""),3.1)</f>
        <v>3.1</v>
      </c>
      <c r="D10415" s="8">
        <f ca="1">IFERROR(__xludf.DUMMYFUNCTION("""COMPUTED_VALUE"""),7)</f>
        <v>7</v>
      </c>
      <c r="E10415" s="2">
        <f ca="1">IFERROR(__xludf.DUMMYFUNCTION("""COMPUTED_VALUE"""),2)</f>
        <v>2</v>
      </c>
    </row>
    <row r="10416" spans="1:5" ht="13">
      <c r="A10416" s="8" t="str">
        <f ca="1">IFERROR(__xludf.DUMMYFUNCTION("""COMPUTED_VALUE"""),"Anderson, T. J.")</f>
        <v>Anderson, T. J.</v>
      </c>
      <c r="B10416" s="2">
        <f ca="1">IFERROR(__xludf.DUMMYFUNCTION("""COMPUTED_VALUE"""),3)</f>
        <v>3</v>
      </c>
      <c r="C10416" s="2">
        <f ca="1">IFERROR(__xludf.DUMMYFUNCTION("""COMPUTED_VALUE"""),3.1)</f>
        <v>3.1</v>
      </c>
      <c r="D10416" s="8">
        <f ca="1">IFERROR(__xludf.DUMMYFUNCTION("""COMPUTED_VALUE"""),3)</f>
        <v>3</v>
      </c>
      <c r="E10416" s="2">
        <f ca="1">IFERROR(__xludf.DUMMYFUNCTION("""COMPUTED_VALUE"""),1)</f>
        <v>1</v>
      </c>
    </row>
    <row r="10417" spans="1:5" ht="13">
      <c r="A10417" s="8" t="str">
        <f ca="1">IFERROR(__xludf.DUMMYFUNCTION("""COMPUTED_VALUE"""),"Andrews, J.")</f>
        <v>Andrews, J.</v>
      </c>
      <c r="B10417" s="3">
        <f ca="1">IFERROR(__xludf.DUMMYFUNCTION("""COMPUTED_VALUE"""),3)</f>
        <v>3</v>
      </c>
      <c r="C10417" s="7">
        <f ca="1">IFERROR(__xludf.DUMMYFUNCTION("""COMPUTED_VALUE"""),3.1)</f>
        <v>3.1</v>
      </c>
      <c r="D10417" s="8">
        <f ca="1">IFERROR(__xludf.DUMMYFUNCTION("""COMPUTED_VALUE"""),3)</f>
        <v>3</v>
      </c>
      <c r="E10417" s="2">
        <f ca="1">IFERROR(__xludf.DUMMYFUNCTION("""COMPUTED_VALUE"""),1)</f>
        <v>1</v>
      </c>
    </row>
    <row r="10418" spans="1:5" ht="13">
      <c r="A10418" s="2" t="str">
        <f ca="1">IFERROR(__xludf.DUMMYFUNCTION("""COMPUTED_VALUE"""),"Antonio Solís, Marco")</f>
        <v>Antonio Solís, Marco</v>
      </c>
      <c r="B10418" s="3">
        <f ca="1">IFERROR(__xludf.DUMMYFUNCTION("""COMPUTED_VALUE"""),3)</f>
        <v>3</v>
      </c>
      <c r="C10418" s="7">
        <f ca="1">IFERROR(__xludf.DUMMYFUNCTION("""COMPUTED_VALUE"""),3.2)</f>
        <v>3.2</v>
      </c>
      <c r="D10418" s="8">
        <f ca="1">IFERROR(__xludf.DUMMYFUNCTION("""COMPUTED_VALUE"""),3)</f>
        <v>3</v>
      </c>
      <c r="E10418" s="2">
        <f ca="1">IFERROR(__xludf.DUMMYFUNCTION("""COMPUTED_VALUE"""),1)</f>
        <v>1</v>
      </c>
    </row>
    <row r="10419" spans="1:5" ht="13">
      <c r="A10419" s="2" t="str">
        <f ca="1">IFERROR(__xludf.DUMMYFUNCTION("""COMPUTED_VALUE"""),"Appling, William")</f>
        <v>Appling, William</v>
      </c>
      <c r="B10419" s="3">
        <f ca="1">IFERROR(__xludf.DUMMYFUNCTION("""COMPUTED_VALUE"""),3)</f>
        <v>3</v>
      </c>
      <c r="C10419" s="7">
        <f ca="1">IFERROR(__xludf.DUMMYFUNCTION("""COMPUTED_VALUE"""),3.1)</f>
        <v>3.1</v>
      </c>
      <c r="D10419" s="8">
        <f ca="1">IFERROR(__xludf.DUMMYFUNCTION("""COMPUTED_VALUE"""),7)</f>
        <v>7</v>
      </c>
      <c r="E10419" s="2">
        <f ca="1">IFERROR(__xludf.DUMMYFUNCTION("""COMPUTED_VALUE"""),2)</f>
        <v>2</v>
      </c>
    </row>
    <row r="10420" spans="1:5" ht="13">
      <c r="A10420" s="2" t="str">
        <f ca="1">IFERROR(__xludf.DUMMYFUNCTION("""COMPUTED_VALUE"""),"Araque, Luis")</f>
        <v>Araque, Luis</v>
      </c>
      <c r="B10420" s="2">
        <f ca="1">IFERROR(__xludf.DUMMYFUNCTION("""COMPUTED_VALUE"""),3)</f>
        <v>3</v>
      </c>
      <c r="C10420" s="7">
        <f ca="1">IFERROR(__xludf.DUMMYFUNCTION("""COMPUTED_VALUE"""),3.2)</f>
        <v>3.2</v>
      </c>
      <c r="D10420" s="8">
        <f ca="1">IFERROR(__xludf.DUMMYFUNCTION("""COMPUTED_VALUE"""),7)</f>
        <v>7</v>
      </c>
      <c r="E10420" s="2">
        <f ca="1">IFERROR(__xludf.DUMMYFUNCTION("""COMPUTED_VALUE"""),2)</f>
        <v>2</v>
      </c>
    </row>
    <row r="10421" spans="1:5" ht="13">
      <c r="A10421" s="2" t="str">
        <f ca="1">IFERROR(__xludf.DUMMYFUNCTION("""COMPUTED_VALUE"""),"Araujo, Juan de")</f>
        <v>Araujo, Juan de</v>
      </c>
      <c r="B10421" s="2">
        <f ca="1">IFERROR(__xludf.DUMMYFUNCTION("""COMPUTED_VALUE"""),3)</f>
        <v>3</v>
      </c>
      <c r="C10421" s="2">
        <f ca="1">IFERROR(__xludf.DUMMYFUNCTION("""COMPUTED_VALUE"""),3.2)</f>
        <v>3.2</v>
      </c>
      <c r="D10421" s="8">
        <f ca="1">IFERROR(__xludf.DUMMYFUNCTION("""COMPUTED_VALUE"""),7)</f>
        <v>7</v>
      </c>
      <c r="E10421" s="2">
        <f ca="1">IFERROR(__xludf.DUMMYFUNCTION("""COMPUTED_VALUE"""),2)</f>
        <v>2</v>
      </c>
    </row>
    <row r="10422" spans="1:5" ht="13">
      <c r="A10422" s="8" t="str">
        <f ca="1">IFERROR(__xludf.DUMMYFUNCTION("""COMPUTED_VALUE"""),"Araujo, Yani")</f>
        <v>Araujo, Yani</v>
      </c>
      <c r="B10422" s="3">
        <f ca="1">IFERROR(__xludf.DUMMYFUNCTION("""COMPUTED_VALUE"""),3)</f>
        <v>3</v>
      </c>
      <c r="C10422" s="7">
        <f ca="1">IFERROR(__xludf.DUMMYFUNCTION("""COMPUTED_VALUE"""),3.2)</f>
        <v>3.2</v>
      </c>
      <c r="D10422" s="8">
        <f ca="1">IFERROR(__xludf.DUMMYFUNCTION("""COMPUTED_VALUE"""),3)</f>
        <v>3</v>
      </c>
      <c r="E10422" s="2">
        <f ca="1">IFERROR(__xludf.DUMMYFUNCTION("""COMPUTED_VALUE"""),1)</f>
        <v>1</v>
      </c>
    </row>
    <row r="10423" spans="1:5" ht="13">
      <c r="A10423" s="2" t="str">
        <f ca="1">IFERROR(__xludf.DUMMYFUNCTION("""COMPUTED_VALUE"""),"Archila, Fernando")</f>
        <v>Archila, Fernando</v>
      </c>
      <c r="B10423" s="2">
        <f ca="1">IFERROR(__xludf.DUMMYFUNCTION("""COMPUTED_VALUE"""),3)</f>
        <v>3</v>
      </c>
      <c r="C10423" s="2">
        <f ca="1">IFERROR(__xludf.DUMMYFUNCTION("""COMPUTED_VALUE"""),3.2)</f>
        <v>3.2</v>
      </c>
      <c r="D10423" s="8">
        <f ca="1">IFERROR(__xludf.DUMMYFUNCTION("""COMPUTED_VALUE"""),3)</f>
        <v>3</v>
      </c>
      <c r="E10423" s="2">
        <f ca="1">IFERROR(__xludf.DUMMYFUNCTION("""COMPUTED_VALUE"""),1)</f>
        <v>1</v>
      </c>
    </row>
    <row r="10424" spans="1:5" ht="13">
      <c r="A10424" s="2" t="str">
        <f ca="1">IFERROR(__xludf.DUMMYFUNCTION("""COMPUTED_VALUE"""),"Arellano, Martín Alexander")</f>
        <v>Arellano, Martín Alexander</v>
      </c>
      <c r="B10424" s="2">
        <f ca="1">IFERROR(__xludf.DUMMYFUNCTION("""COMPUTED_VALUE"""),3)</f>
        <v>3</v>
      </c>
      <c r="C10424" s="7">
        <f ca="1">IFERROR(__xludf.DUMMYFUNCTION("""COMPUTED_VALUE"""),3.2)</f>
        <v>3.2</v>
      </c>
      <c r="D10424" s="8">
        <f ca="1">IFERROR(__xludf.DUMMYFUNCTION("""COMPUTED_VALUE"""),3)</f>
        <v>3</v>
      </c>
      <c r="E10424" s="2">
        <f ca="1">IFERROR(__xludf.DUMMYFUNCTION("""COMPUTED_VALUE"""),1)</f>
        <v>1</v>
      </c>
    </row>
    <row r="10425" spans="1:5" ht="13">
      <c r="A10425" s="2" t="str">
        <f ca="1">IFERROR(__xludf.DUMMYFUNCTION("""COMPUTED_VALUE"""),"Armengol, Mario Ruiz")</f>
        <v>Armengol, Mario Ruiz</v>
      </c>
      <c r="B10425" s="2">
        <f ca="1">IFERROR(__xludf.DUMMYFUNCTION("""COMPUTED_VALUE"""),3)</f>
        <v>3</v>
      </c>
      <c r="C10425" s="7">
        <f ca="1">IFERROR(__xludf.DUMMYFUNCTION("""COMPUTED_VALUE"""),3.2)</f>
        <v>3.2</v>
      </c>
      <c r="D10425" s="8">
        <f ca="1">IFERROR(__xludf.DUMMYFUNCTION("""COMPUTED_VALUE"""),7)</f>
        <v>7</v>
      </c>
      <c r="E10425" s="2">
        <f ca="1">IFERROR(__xludf.DUMMYFUNCTION("""COMPUTED_VALUE"""),2)</f>
        <v>2</v>
      </c>
    </row>
    <row r="10426" spans="1:5" ht="13">
      <c r="A10426" s="8" t="str">
        <f ca="1">IFERROR(__xludf.DUMMYFUNCTION("""COMPUTED_VALUE"""),"Armienta, Hector")</f>
        <v>Armienta, Hector</v>
      </c>
      <c r="B10426" s="3">
        <f ca="1">IFERROR(__xludf.DUMMYFUNCTION("""COMPUTED_VALUE"""),3)</f>
        <v>3</v>
      </c>
      <c r="C10426" s="7">
        <f ca="1">IFERROR(__xludf.DUMMYFUNCTION("""COMPUTED_VALUE"""),3.2)</f>
        <v>3.2</v>
      </c>
      <c r="D10426" s="8">
        <f ca="1">IFERROR(__xludf.DUMMYFUNCTION("""COMPUTED_VALUE"""),3)</f>
        <v>3</v>
      </c>
      <c r="E10426" s="2">
        <f ca="1">IFERROR(__xludf.DUMMYFUNCTION("""COMPUTED_VALUE"""),1)</f>
        <v>1</v>
      </c>
    </row>
    <row r="10427" spans="1:5" ht="13">
      <c r="A10427" s="2" t="str">
        <f ca="1">IFERROR(__xludf.DUMMYFUNCTION("""COMPUTED_VALUE"""),"Armstrong, Louis")</f>
        <v>Armstrong, Louis</v>
      </c>
      <c r="B10427" s="2">
        <f ca="1">IFERROR(__xludf.DUMMYFUNCTION("""COMPUTED_VALUE"""),3)</f>
        <v>3</v>
      </c>
      <c r="C10427" s="7">
        <f ca="1">IFERROR(__xludf.DUMMYFUNCTION("""COMPUTED_VALUE"""),3.1)</f>
        <v>3.1</v>
      </c>
      <c r="D10427" s="8">
        <f ca="1">IFERROR(__xludf.DUMMYFUNCTION("""COMPUTED_VALUE"""),7)</f>
        <v>7</v>
      </c>
      <c r="E10427" s="2">
        <f ca="1">IFERROR(__xludf.DUMMYFUNCTION("""COMPUTED_VALUE"""),2)</f>
        <v>2</v>
      </c>
    </row>
    <row r="10428" spans="1:5" ht="13">
      <c r="A10428" s="8" t="str">
        <f ca="1">IFERROR(__xludf.DUMMYFUNCTION("""COMPUTED_VALUE"""),"Arroyo, Fernando")</f>
        <v>Arroyo, Fernando</v>
      </c>
      <c r="B10428" s="3">
        <f ca="1">IFERROR(__xludf.DUMMYFUNCTION("""COMPUTED_VALUE"""),3)</f>
        <v>3</v>
      </c>
      <c r="C10428" s="7">
        <f ca="1">IFERROR(__xludf.DUMMYFUNCTION("""COMPUTED_VALUE"""),3.2)</f>
        <v>3.2</v>
      </c>
      <c r="D10428" s="8">
        <f ca="1">IFERROR(__xludf.DUMMYFUNCTION("""COMPUTED_VALUE"""),3)</f>
        <v>3</v>
      </c>
      <c r="E10428" s="2">
        <f ca="1">IFERROR(__xludf.DUMMYFUNCTION("""COMPUTED_VALUE"""),1)</f>
        <v>1</v>
      </c>
    </row>
    <row r="10429" spans="1:5" ht="13">
      <c r="A10429" s="2" t="str">
        <f ca="1">IFERROR(__xludf.DUMMYFUNCTION("""COMPUTED_VALUE"""),"Artau, Christopher")</f>
        <v>Artau, Christopher</v>
      </c>
      <c r="B10429" s="2">
        <f ca="1">IFERROR(__xludf.DUMMYFUNCTION("""COMPUTED_VALUE"""),3)</f>
        <v>3</v>
      </c>
      <c r="C10429" s="7">
        <f ca="1">IFERROR(__xludf.DUMMYFUNCTION("""COMPUTED_VALUE"""),3.2)</f>
        <v>3.2</v>
      </c>
      <c r="D10429" s="8">
        <f ca="1">IFERROR(__xludf.DUMMYFUNCTION("""COMPUTED_VALUE"""),3)</f>
        <v>3</v>
      </c>
      <c r="E10429" s="2">
        <f ca="1">IFERROR(__xludf.DUMMYFUNCTION("""COMPUTED_VALUE"""),1)</f>
        <v>1</v>
      </c>
    </row>
    <row r="10430" spans="1:5" ht="13">
      <c r="A10430" s="2" t="str">
        <f ca="1">IFERROR(__xludf.DUMMYFUNCTION("""COMPUTED_VALUE"""),"Asaka, Mitsuru")</f>
        <v>Asaka, Mitsuru</v>
      </c>
      <c r="B10430" s="2">
        <f ca="1">IFERROR(__xludf.DUMMYFUNCTION("""COMPUTED_VALUE"""),3)</f>
        <v>3</v>
      </c>
      <c r="C10430" s="2">
        <f ca="1">IFERROR(__xludf.DUMMYFUNCTION("""COMPUTED_VALUE"""),3.3)</f>
        <v>3.3</v>
      </c>
      <c r="D10430" s="8">
        <f ca="1">IFERROR(__xludf.DUMMYFUNCTION("""COMPUTED_VALUE"""),3)</f>
        <v>3</v>
      </c>
      <c r="E10430" s="2">
        <f ca="1">IFERROR(__xludf.DUMMYFUNCTION("""COMPUTED_VALUE"""),1)</f>
        <v>1</v>
      </c>
    </row>
    <row r="10431" spans="1:5" ht="13">
      <c r="A10431" s="2" t="str">
        <f ca="1">IFERROR(__xludf.DUMMYFUNCTION("""COMPUTED_VALUE"""),"Asari, Makoto")</f>
        <v>Asari, Makoto</v>
      </c>
      <c r="B10431" s="2">
        <f ca="1">IFERROR(__xludf.DUMMYFUNCTION("""COMPUTED_VALUE"""),3)</f>
        <v>3</v>
      </c>
      <c r="C10431" s="7">
        <f ca="1">IFERROR(__xludf.DUMMYFUNCTION("""COMPUTED_VALUE"""),3.3)</f>
        <v>3.3</v>
      </c>
      <c r="D10431" s="8">
        <f ca="1">IFERROR(__xludf.DUMMYFUNCTION("""COMPUTED_VALUE"""),3)</f>
        <v>3</v>
      </c>
      <c r="E10431" s="2">
        <f ca="1">IFERROR(__xludf.DUMMYFUNCTION("""COMPUTED_VALUE"""),1)</f>
        <v>1</v>
      </c>
    </row>
    <row r="10432" spans="1:5" ht="13">
      <c r="A10432" s="2" t="str">
        <f ca="1">IFERROR(__xludf.DUMMYFUNCTION("""COMPUTED_VALUE"""),"Ashbourne, Peter")</f>
        <v>Ashbourne, Peter</v>
      </c>
      <c r="B10432" s="2">
        <f ca="1">IFERROR(__xludf.DUMMYFUNCTION("""COMPUTED_VALUE"""),3)</f>
        <v>3</v>
      </c>
      <c r="C10432" s="7">
        <f ca="1">IFERROR(__xludf.DUMMYFUNCTION("""COMPUTED_VALUE"""),3.1)</f>
        <v>3.1</v>
      </c>
      <c r="D10432" s="8">
        <f ca="1">IFERROR(__xludf.DUMMYFUNCTION("""COMPUTED_VALUE"""),3)</f>
        <v>3</v>
      </c>
      <c r="E10432" s="2">
        <f ca="1">IFERROR(__xludf.DUMMYFUNCTION("""COMPUTED_VALUE"""),1)</f>
        <v>1</v>
      </c>
    </row>
    <row r="10433" spans="1:5" ht="13">
      <c r="A10433" s="8" t="str">
        <f ca="1">IFERROR(__xludf.DUMMYFUNCTION("""COMPUTED_VALUE"""),"Assad, Sergio")</f>
        <v>Assad, Sergio</v>
      </c>
      <c r="B10433" s="3">
        <f ca="1">IFERROR(__xludf.DUMMYFUNCTION("""COMPUTED_VALUE"""),3)</f>
        <v>3</v>
      </c>
      <c r="C10433" s="7">
        <f ca="1">IFERROR(__xludf.DUMMYFUNCTION("""COMPUTED_VALUE"""),3.2)</f>
        <v>3.2</v>
      </c>
      <c r="D10433" s="8">
        <f ca="1">IFERROR(__xludf.DUMMYFUNCTION("""COMPUTED_VALUE"""),3)</f>
        <v>3</v>
      </c>
      <c r="E10433" s="2">
        <f ca="1">IFERROR(__xludf.DUMMYFUNCTION("""COMPUTED_VALUE"""),1)</f>
        <v>1</v>
      </c>
    </row>
    <row r="10434" spans="1:5" ht="13">
      <c r="A10434" s="2" t="str">
        <f ca="1">IFERROR(__xludf.DUMMYFUNCTION("""COMPUTED_VALUE"""),"Astor, Muro")</f>
        <v>Astor, Muro</v>
      </c>
      <c r="B10434" s="3">
        <f ca="1">IFERROR(__xludf.DUMMYFUNCTION("""COMPUTED_VALUE"""),3)</f>
        <v>3</v>
      </c>
      <c r="C10434" s="7">
        <f ca="1">IFERROR(__xludf.DUMMYFUNCTION("""COMPUTED_VALUE"""),3.2)</f>
        <v>3.2</v>
      </c>
      <c r="D10434" s="8">
        <f ca="1">IFERROR(__xludf.DUMMYFUNCTION("""COMPUTED_VALUE"""),3)</f>
        <v>3</v>
      </c>
      <c r="E10434" s="2">
        <f ca="1">IFERROR(__xludf.DUMMYFUNCTION("""COMPUTED_VALUE"""),1)</f>
        <v>1</v>
      </c>
    </row>
    <row r="10435" spans="1:5" ht="13">
      <c r="A10435" s="2" t="str">
        <f ca="1">IFERROR(__xludf.DUMMYFUNCTION("""COMPUTED_VALUE"""),"Atehortúa, Blas Emilio")</f>
        <v>Atehortúa, Blas Emilio</v>
      </c>
      <c r="B10435" s="2">
        <f ca="1">IFERROR(__xludf.DUMMYFUNCTION("""COMPUTED_VALUE"""),3)</f>
        <v>3</v>
      </c>
      <c r="C10435" s="7">
        <f ca="1">IFERROR(__xludf.DUMMYFUNCTION("""COMPUTED_VALUE"""),3.2)</f>
        <v>3.2</v>
      </c>
      <c r="D10435" s="8">
        <f ca="1">IFERROR(__xludf.DUMMYFUNCTION("""COMPUTED_VALUE"""),3)</f>
        <v>3</v>
      </c>
      <c r="E10435" s="2">
        <f ca="1">IFERROR(__xludf.DUMMYFUNCTION("""COMPUTED_VALUE"""),1)</f>
        <v>1</v>
      </c>
    </row>
    <row r="10436" spans="1:5" ht="13">
      <c r="A10436" s="2" t="str">
        <f ca="1">IFERROR(__xludf.DUMMYFUNCTION("""COMPUTED_VALUE"""),"Azevedo, Waldir")</f>
        <v>Azevedo, Waldir</v>
      </c>
      <c r="B10436" s="2">
        <f ca="1">IFERROR(__xludf.DUMMYFUNCTION("""COMPUTED_VALUE"""),3)</f>
        <v>3</v>
      </c>
      <c r="C10436" s="2">
        <f ca="1">IFERROR(__xludf.DUMMYFUNCTION("""COMPUTED_VALUE"""),3.2)</f>
        <v>3.2</v>
      </c>
      <c r="D10436" s="8">
        <f ca="1">IFERROR(__xludf.DUMMYFUNCTION("""COMPUTED_VALUE"""),7)</f>
        <v>7</v>
      </c>
      <c r="E10436" s="2">
        <f ca="1">IFERROR(__xludf.DUMMYFUNCTION("""COMPUTED_VALUE"""),2)</f>
        <v>2</v>
      </c>
    </row>
    <row r="10437" spans="1:5" ht="13">
      <c r="A10437" s="8" t="str">
        <f ca="1">IFERROR(__xludf.DUMMYFUNCTION("""COMPUTED_VALUE"""),"Azmeh, Kinan")</f>
        <v>Azmeh, Kinan</v>
      </c>
      <c r="B10437" s="3">
        <f ca="1">IFERROR(__xludf.DUMMYFUNCTION("""COMPUTED_VALUE"""),3)</f>
        <v>3</v>
      </c>
      <c r="C10437" s="7">
        <f ca="1">IFERROR(__xludf.DUMMYFUNCTION("""COMPUTED_VALUE"""),3.5)</f>
        <v>3.5</v>
      </c>
      <c r="D10437" s="8">
        <f ca="1">IFERROR(__xludf.DUMMYFUNCTION("""COMPUTED_VALUE"""),3)</f>
        <v>3</v>
      </c>
      <c r="E10437" s="2">
        <f ca="1">IFERROR(__xludf.DUMMYFUNCTION("""COMPUTED_VALUE"""),1)</f>
        <v>1</v>
      </c>
    </row>
    <row r="10438" spans="1:5" ht="13">
      <c r="A10438" s="2" t="str">
        <f ca="1">IFERROR(__xludf.DUMMYFUNCTION("""COMPUTED_VALUE"""),"Bagley, Peter")</f>
        <v>Bagley, Peter</v>
      </c>
      <c r="B10438" s="3">
        <f ca="1">IFERROR(__xludf.DUMMYFUNCTION("""COMPUTED_VALUE"""),3)</f>
        <v>3</v>
      </c>
      <c r="C10438" s="7">
        <f ca="1">IFERROR(__xludf.DUMMYFUNCTION("""COMPUTED_VALUE"""),3.1)</f>
        <v>3.1</v>
      </c>
      <c r="D10438" s="8">
        <f ca="1">IFERROR(__xludf.DUMMYFUNCTION("""COMPUTED_VALUE"""),7)</f>
        <v>7</v>
      </c>
      <c r="E10438" s="2">
        <f ca="1">IFERROR(__xludf.DUMMYFUNCTION("""COMPUTED_VALUE"""),2)</f>
        <v>2</v>
      </c>
    </row>
    <row r="10439" spans="1:5" ht="13">
      <c r="A10439" s="2" t="str">
        <f ca="1">IFERROR(__xludf.DUMMYFUNCTION("""COMPUTED_VALUE"""),"Baker, Bob")</f>
        <v>Baker, Bob</v>
      </c>
      <c r="B10439" s="3">
        <f ca="1">IFERROR(__xludf.DUMMYFUNCTION("""COMPUTED_VALUE"""),3)</f>
        <v>3</v>
      </c>
      <c r="C10439" s="7">
        <f ca="1">IFERROR(__xludf.DUMMYFUNCTION("""COMPUTED_VALUE"""),3.7)</f>
        <v>3.7</v>
      </c>
      <c r="D10439" s="8">
        <f ca="1">IFERROR(__xludf.DUMMYFUNCTION("""COMPUTED_VALUE"""),3)</f>
        <v>3</v>
      </c>
      <c r="E10439" s="2">
        <f ca="1">IFERROR(__xludf.DUMMYFUNCTION("""COMPUTED_VALUE"""),1)</f>
        <v>1</v>
      </c>
    </row>
    <row r="10440" spans="1:5" ht="13">
      <c r="A10440" s="2" t="str">
        <f ca="1">IFERROR(__xludf.DUMMYFUNCTION("""COMPUTED_VALUE"""),"Baker, David")</f>
        <v>Baker, David</v>
      </c>
      <c r="B10440" s="3">
        <f ca="1">IFERROR(__xludf.DUMMYFUNCTION("""COMPUTED_VALUE"""),3)</f>
        <v>3</v>
      </c>
      <c r="C10440" s="7">
        <f ca="1">IFERROR(__xludf.DUMMYFUNCTION("""COMPUTED_VALUE"""),3.1)</f>
        <v>3.1</v>
      </c>
      <c r="D10440" s="8">
        <f ca="1">IFERROR(__xludf.DUMMYFUNCTION("""COMPUTED_VALUE"""),7)</f>
        <v>7</v>
      </c>
      <c r="E10440" s="2">
        <f ca="1">IFERROR(__xludf.DUMMYFUNCTION("""COMPUTED_VALUE"""),2)</f>
        <v>2</v>
      </c>
    </row>
    <row r="10441" spans="1:5" ht="13">
      <c r="A10441" s="2" t="str">
        <f ca="1">IFERROR(__xludf.DUMMYFUNCTION("""COMPUTED_VALUE"""),"Ballard, Louis")</f>
        <v>Ballard, Louis</v>
      </c>
      <c r="B10441" s="2">
        <f ca="1">IFERROR(__xludf.DUMMYFUNCTION("""COMPUTED_VALUE"""),3)</f>
        <v>3</v>
      </c>
      <c r="C10441" s="7">
        <f ca="1">IFERROR(__xludf.DUMMYFUNCTION("""COMPUTED_VALUE"""),3.7)</f>
        <v>3.7</v>
      </c>
      <c r="D10441" s="8">
        <f ca="1">IFERROR(__xludf.DUMMYFUNCTION("""COMPUTED_VALUE"""),7)</f>
        <v>7</v>
      </c>
      <c r="E10441" s="2">
        <f ca="1">IFERROR(__xludf.DUMMYFUNCTION("""COMPUTED_VALUE"""),2)</f>
        <v>2</v>
      </c>
    </row>
    <row r="10442" spans="1:5" ht="13">
      <c r="A10442" s="8" t="str">
        <f ca="1">IFERROR(__xludf.DUMMYFUNCTION("""COMPUTED_VALUE"""),"Balter, Marcos")</f>
        <v>Balter, Marcos</v>
      </c>
      <c r="B10442" s="3">
        <f ca="1">IFERROR(__xludf.DUMMYFUNCTION("""COMPUTED_VALUE"""),3)</f>
        <v>3</v>
      </c>
      <c r="C10442" s="7">
        <f ca="1">IFERROR(__xludf.DUMMYFUNCTION("""COMPUTED_VALUE"""),3.2)</f>
        <v>3.2</v>
      </c>
      <c r="D10442" s="8">
        <f ca="1">IFERROR(__xludf.DUMMYFUNCTION("""COMPUTED_VALUE"""),3)</f>
        <v>3</v>
      </c>
      <c r="E10442" s="2">
        <f ca="1">IFERROR(__xludf.DUMMYFUNCTION("""COMPUTED_VALUE"""),1)</f>
        <v>1</v>
      </c>
    </row>
    <row r="10443" spans="1:5" ht="13">
      <c r="A10443" s="8" t="str">
        <f ca="1">IFERROR(__xludf.DUMMYFUNCTION("""COMPUTED_VALUE"""),"Banfield, Bill")</f>
        <v>Banfield, Bill</v>
      </c>
      <c r="B10443" s="3">
        <f ca="1">IFERROR(__xludf.DUMMYFUNCTION("""COMPUTED_VALUE"""),3)</f>
        <v>3</v>
      </c>
      <c r="C10443" s="7">
        <f ca="1">IFERROR(__xludf.DUMMYFUNCTION("""COMPUTED_VALUE"""),3.1)</f>
        <v>3.1</v>
      </c>
      <c r="D10443" s="8">
        <f ca="1">IFERROR(__xludf.DUMMYFUNCTION("""COMPUTED_VALUE"""),3)</f>
        <v>3</v>
      </c>
      <c r="E10443" s="2">
        <f ca="1">IFERROR(__xludf.DUMMYFUNCTION("""COMPUTED_VALUE"""),1)</f>
        <v>1</v>
      </c>
    </row>
    <row r="10444" spans="1:5" ht="13">
      <c r="A10444" s="8" t="str">
        <f ca="1">IFERROR(__xludf.DUMMYFUNCTION("""COMPUTED_VALUE"""),"Bang, Samuel")</f>
        <v>Bang, Samuel</v>
      </c>
      <c r="B10444" s="3">
        <f ca="1">IFERROR(__xludf.DUMMYFUNCTION("""COMPUTED_VALUE"""),3)</f>
        <v>3</v>
      </c>
      <c r="C10444" s="7">
        <f ca="1">IFERROR(__xludf.DUMMYFUNCTION("""COMPUTED_VALUE"""),3.3)</f>
        <v>3.3</v>
      </c>
      <c r="D10444" s="8">
        <f ca="1">IFERROR(__xludf.DUMMYFUNCTION("""COMPUTED_VALUE"""),3)</f>
        <v>3</v>
      </c>
      <c r="E10444" s="2">
        <f ca="1">IFERROR(__xludf.DUMMYFUNCTION("""COMPUTED_VALUE"""),1)</f>
        <v>1</v>
      </c>
    </row>
    <row r="10445" spans="1:5" ht="13">
      <c r="A10445" s="8" t="str">
        <f ca="1">IFERROR(__xludf.DUMMYFUNCTION("""COMPUTED_VALUE"""),"Baosheng, Ning")</f>
        <v>Baosheng, Ning</v>
      </c>
      <c r="B10445" s="3">
        <f ca="1">IFERROR(__xludf.DUMMYFUNCTION("""COMPUTED_VALUE"""),3)</f>
        <v>3</v>
      </c>
      <c r="C10445" s="7">
        <f ca="1">IFERROR(__xludf.DUMMYFUNCTION("""COMPUTED_VALUE"""),3.3)</f>
        <v>3.3</v>
      </c>
      <c r="D10445" s="8">
        <f ca="1">IFERROR(__xludf.DUMMYFUNCTION("""COMPUTED_VALUE"""),7)</f>
        <v>7</v>
      </c>
      <c r="E10445" s="2">
        <f ca="1">IFERROR(__xludf.DUMMYFUNCTION("""COMPUTED_VALUE"""),2)</f>
        <v>2</v>
      </c>
    </row>
    <row r="10446" spans="1:5" ht="13">
      <c r="A10446" s="8" t="str">
        <f ca="1">IFERROR(__xludf.DUMMYFUNCTION("""COMPUTED_VALUE"""),"Barba, Enrico Chapela")</f>
        <v>Barba, Enrico Chapela</v>
      </c>
      <c r="B10446" s="3">
        <f ca="1">IFERROR(__xludf.DUMMYFUNCTION("""COMPUTED_VALUE"""),3)</f>
        <v>3</v>
      </c>
      <c r="C10446" s="7">
        <f ca="1">IFERROR(__xludf.DUMMYFUNCTION("""COMPUTED_VALUE"""),3.2)</f>
        <v>3.2</v>
      </c>
      <c r="D10446" s="8">
        <f ca="1">IFERROR(__xludf.DUMMYFUNCTION("""COMPUTED_VALUE"""),3)</f>
        <v>3</v>
      </c>
      <c r="E10446" s="2">
        <f ca="1">IFERROR(__xludf.DUMMYFUNCTION("""COMPUTED_VALUE"""),1)</f>
        <v>1</v>
      </c>
    </row>
    <row r="10447" spans="1:5" ht="13">
      <c r="A10447" s="2" t="str">
        <f ca="1">IFERROR(__xludf.DUMMYFUNCTION("""COMPUTED_VALUE"""),"Barer, Sergio")</f>
        <v>Barer, Sergio</v>
      </c>
      <c r="B10447" s="2">
        <f ca="1">IFERROR(__xludf.DUMMYFUNCTION("""COMPUTED_VALUE"""),3)</f>
        <v>3</v>
      </c>
      <c r="C10447" s="2">
        <f ca="1">IFERROR(__xludf.DUMMYFUNCTION("""COMPUTED_VALUE"""),3.2)</f>
        <v>3.2</v>
      </c>
      <c r="D10447" s="8">
        <f ca="1">IFERROR(__xludf.DUMMYFUNCTION("""COMPUTED_VALUE"""),3)</f>
        <v>3</v>
      </c>
      <c r="E10447" s="2">
        <f ca="1">IFERROR(__xludf.DUMMYFUNCTION("""COMPUTED_VALUE"""),1)</f>
        <v>1</v>
      </c>
    </row>
    <row r="10448" spans="1:5" ht="13">
      <c r="A10448" s="8" t="str">
        <f ca="1">IFERROR(__xludf.DUMMYFUNCTION("""COMPUTED_VALUE"""),"Barès, Basile")</f>
        <v>Barès, Basile</v>
      </c>
      <c r="B10448" s="3">
        <f ca="1">IFERROR(__xludf.DUMMYFUNCTION("""COMPUTED_VALUE"""),3)</f>
        <v>3</v>
      </c>
      <c r="C10448" s="7">
        <f ca="1">IFERROR(__xludf.DUMMYFUNCTION("""COMPUTED_VALUE"""),3.1)</f>
        <v>3.1</v>
      </c>
      <c r="D10448" s="8">
        <f ca="1">IFERROR(__xludf.DUMMYFUNCTION("""COMPUTED_VALUE"""),7)</f>
        <v>7</v>
      </c>
      <c r="E10448" s="2">
        <f ca="1">IFERROR(__xludf.DUMMYFUNCTION("""COMPUTED_VALUE"""),2)</f>
        <v>2</v>
      </c>
    </row>
    <row r="10449" spans="1:5" ht="13">
      <c r="A10449" s="8" t="str">
        <f ca="1">IFERROR(__xludf.DUMMYFUNCTION("""COMPUTED_VALUE"""),"Barfield, Anthony")</f>
        <v>Barfield, Anthony</v>
      </c>
      <c r="B10449" s="3">
        <f ca="1">IFERROR(__xludf.DUMMYFUNCTION("""COMPUTED_VALUE"""),3)</f>
        <v>3</v>
      </c>
      <c r="C10449" s="7">
        <f ca="1">IFERROR(__xludf.DUMMYFUNCTION("""COMPUTED_VALUE"""),3.1)</f>
        <v>3.1</v>
      </c>
      <c r="D10449" s="8">
        <f ca="1">IFERROR(__xludf.DUMMYFUNCTION("""COMPUTED_VALUE"""),3)</f>
        <v>3</v>
      </c>
      <c r="E10449" s="2">
        <f ca="1">IFERROR(__xludf.DUMMYFUNCTION("""COMPUTED_VALUE"""),1)</f>
        <v>1</v>
      </c>
    </row>
    <row r="10450" spans="1:5" ht="13">
      <c r="A10450" s="2" t="str">
        <f ca="1">IFERROR(__xludf.DUMMYFUNCTION("""COMPUTED_VALUE"""),"Barrak, Rony")</f>
        <v>Barrak, Rony</v>
      </c>
      <c r="B10450" s="3">
        <f ca="1">IFERROR(__xludf.DUMMYFUNCTION("""COMPUTED_VALUE"""),3)</f>
        <v>3</v>
      </c>
      <c r="C10450" s="7">
        <f ca="1">IFERROR(__xludf.DUMMYFUNCTION("""COMPUTED_VALUE"""),3.5)</f>
        <v>3.5</v>
      </c>
      <c r="D10450" s="8">
        <f ca="1">IFERROR(__xludf.DUMMYFUNCTION("""COMPUTED_VALUE"""),3)</f>
        <v>3</v>
      </c>
      <c r="E10450" s="2">
        <f ca="1">IFERROR(__xludf.DUMMYFUNCTION("""COMPUTED_VALUE"""),1)</f>
        <v>1</v>
      </c>
    </row>
    <row r="10451" spans="1:5" ht="13">
      <c r="A10451" s="2" t="str">
        <f ca="1">IFERROR(__xludf.DUMMYFUNCTION("""COMPUTED_VALUE"""),"Barreto, Nelson Gonzalez")</f>
        <v>Barreto, Nelson Gonzalez</v>
      </c>
      <c r="B10451" s="2">
        <f ca="1">IFERROR(__xludf.DUMMYFUNCTION("""COMPUTED_VALUE"""),3)</f>
        <v>3</v>
      </c>
      <c r="C10451" s="7">
        <f ca="1">IFERROR(__xludf.DUMMYFUNCTION("""COMPUTED_VALUE"""),3.2)</f>
        <v>3.2</v>
      </c>
      <c r="D10451" s="8">
        <f ca="1">IFERROR(__xludf.DUMMYFUNCTION("""COMPUTED_VALUE"""),3)</f>
        <v>3</v>
      </c>
      <c r="E10451" s="2">
        <f ca="1">IFERROR(__xludf.DUMMYFUNCTION("""COMPUTED_VALUE"""),1)</f>
        <v>1</v>
      </c>
    </row>
    <row r="10452" spans="1:5" ht="13">
      <c r="A10452" s="2" t="str">
        <f ca="1">IFERROR(__xludf.DUMMYFUNCTION("""COMPUTED_VALUE"""),"Barrios, Agustin")</f>
        <v>Barrios, Agustin</v>
      </c>
      <c r="B10452" s="2">
        <f ca="1">IFERROR(__xludf.DUMMYFUNCTION("""COMPUTED_VALUE"""),3)</f>
        <v>3</v>
      </c>
      <c r="C10452" s="2">
        <f ca="1">IFERROR(__xludf.DUMMYFUNCTION("""COMPUTED_VALUE"""),3.2)</f>
        <v>3.2</v>
      </c>
      <c r="D10452" s="8">
        <f ca="1">IFERROR(__xludf.DUMMYFUNCTION("""COMPUTED_VALUE"""),7)</f>
        <v>7</v>
      </c>
      <c r="E10452" s="2">
        <f ca="1">IFERROR(__xludf.DUMMYFUNCTION("""COMPUTED_VALUE"""),2)</f>
        <v>2</v>
      </c>
    </row>
    <row r="10453" spans="1:5" ht="13">
      <c r="A10453" s="2" t="str">
        <f ca="1">IFERROR(__xludf.DUMMYFUNCTION("""COMPUTED_VALUE"""),"Barroso, Ary")</f>
        <v>Barroso, Ary</v>
      </c>
      <c r="B10453" s="3">
        <f ca="1">IFERROR(__xludf.DUMMYFUNCTION("""COMPUTED_VALUE"""),3)</f>
        <v>3</v>
      </c>
      <c r="C10453" s="7">
        <f ca="1">IFERROR(__xludf.DUMMYFUNCTION("""COMPUTED_VALUE"""),3.2)</f>
        <v>3.2</v>
      </c>
      <c r="D10453" s="8">
        <f ca="1">IFERROR(__xludf.DUMMYFUNCTION("""COMPUTED_VALUE"""),7)</f>
        <v>7</v>
      </c>
      <c r="E10453" s="2">
        <f ca="1">IFERROR(__xludf.DUMMYFUNCTION("""COMPUTED_VALUE"""),2)</f>
        <v>2</v>
      </c>
    </row>
    <row r="10454" spans="1:5" ht="13">
      <c r="A10454" s="2" t="str">
        <f ca="1">IFERROR(__xludf.DUMMYFUNCTION("""COMPUTED_VALUE"""),"Barroso, Ary de Resende")</f>
        <v>Barroso, Ary de Resende</v>
      </c>
      <c r="B10454" s="3">
        <f ca="1">IFERROR(__xludf.DUMMYFUNCTION("""COMPUTED_VALUE"""),3)</f>
        <v>3</v>
      </c>
      <c r="C10454" s="7">
        <f ca="1">IFERROR(__xludf.DUMMYFUNCTION("""COMPUTED_VALUE"""),3.2)</f>
        <v>3.2</v>
      </c>
      <c r="D10454" s="8">
        <f ca="1">IFERROR(__xludf.DUMMYFUNCTION("""COMPUTED_VALUE"""),7)</f>
        <v>7</v>
      </c>
      <c r="E10454" s="2">
        <f ca="1">IFERROR(__xludf.DUMMYFUNCTION("""COMPUTED_VALUE"""),2)</f>
        <v>2</v>
      </c>
    </row>
    <row r="10455" spans="1:5" ht="13">
      <c r="A10455" s="2" t="str">
        <f ca="1">IFERROR(__xludf.DUMMYFUNCTION("""COMPUTED_VALUE"""),"Bartholomew-Poyser, Daniel")</f>
        <v>Bartholomew-Poyser, Daniel</v>
      </c>
      <c r="B10455" s="3">
        <f ca="1">IFERROR(__xludf.DUMMYFUNCTION("""COMPUTED_VALUE"""),3)</f>
        <v>3</v>
      </c>
      <c r="C10455" s="7">
        <f ca="1">IFERROR(__xludf.DUMMYFUNCTION("""COMPUTED_VALUE"""),3.1)</f>
        <v>3.1</v>
      </c>
      <c r="D10455" s="8">
        <f ca="1">IFERROR(__xludf.DUMMYFUNCTION("""COMPUTED_VALUE"""),3)</f>
        <v>3</v>
      </c>
      <c r="E10455" s="2">
        <f ca="1">IFERROR(__xludf.DUMMYFUNCTION("""COMPUTED_VALUE"""),1)</f>
        <v>1</v>
      </c>
    </row>
    <row r="10456" spans="1:5" ht="13">
      <c r="A10456" s="2" t="str">
        <f ca="1">IFERROR(__xludf.DUMMYFUNCTION("""COMPUTED_VALUE"""),"Barton, William")</f>
        <v>Barton, William</v>
      </c>
      <c r="B10456" s="3">
        <f ca="1">IFERROR(__xludf.DUMMYFUNCTION("""COMPUTED_VALUE"""),3)</f>
        <v>3</v>
      </c>
      <c r="C10456" s="7">
        <f ca="1">IFERROR(__xludf.DUMMYFUNCTION("""COMPUTED_VALUE"""),3.7)</f>
        <v>3.7</v>
      </c>
      <c r="D10456" s="8">
        <f ca="1">IFERROR(__xludf.DUMMYFUNCTION("""COMPUTED_VALUE"""),3)</f>
        <v>3</v>
      </c>
      <c r="E10456" s="2">
        <f ca="1">IFERROR(__xludf.DUMMYFUNCTION("""COMPUTED_VALUE"""),1)</f>
        <v>1</v>
      </c>
    </row>
    <row r="10457" spans="1:5" ht="13">
      <c r="A10457" s="2" t="str">
        <f ca="1">IFERROR(__xludf.DUMMYFUNCTION("""COMPUTED_VALUE"""),"Barton, William and others")</f>
        <v>Barton, William and others</v>
      </c>
      <c r="B10457" s="3">
        <f ca="1">IFERROR(__xludf.DUMMYFUNCTION("""COMPUTED_VALUE"""),3)</f>
        <v>3</v>
      </c>
      <c r="C10457" s="7">
        <f ca="1">IFERROR(__xludf.DUMMYFUNCTION("""COMPUTED_VALUE"""),3.6)</f>
        <v>3.6</v>
      </c>
      <c r="D10457" s="8">
        <f ca="1">IFERROR(__xludf.DUMMYFUNCTION("""COMPUTED_VALUE"""),3)</f>
        <v>3</v>
      </c>
      <c r="E10457" s="2">
        <f ca="1">IFERROR(__xludf.DUMMYFUNCTION("""COMPUTED_VALUE"""),1)</f>
        <v>1</v>
      </c>
    </row>
    <row r="10458" spans="1:5" ht="13">
      <c r="A10458" s="2" t="str">
        <f ca="1">IFERROR(__xludf.DUMMYFUNCTION("""COMPUTED_VALUE"""),"Basie, William ""Count""")</f>
        <v>Basie, William "Count"</v>
      </c>
      <c r="B10458" s="2">
        <f ca="1">IFERROR(__xludf.DUMMYFUNCTION("""COMPUTED_VALUE"""),3)</f>
        <v>3</v>
      </c>
      <c r="C10458" s="7">
        <f ca="1">IFERROR(__xludf.DUMMYFUNCTION("""COMPUTED_VALUE"""),3.1)</f>
        <v>3.1</v>
      </c>
      <c r="D10458" s="8">
        <f ca="1">IFERROR(__xludf.DUMMYFUNCTION("""COMPUTED_VALUE"""),7)</f>
        <v>7</v>
      </c>
      <c r="E10458" s="2">
        <f ca="1">IFERROR(__xludf.DUMMYFUNCTION("""COMPUTED_VALUE"""),2)</f>
        <v>2</v>
      </c>
    </row>
    <row r="10459" spans="1:5" ht="13">
      <c r="A10459" s="2" t="str">
        <f ca="1">IFERROR(__xludf.DUMMYFUNCTION("""COMPUTED_VALUE"""),"Basie, William ""Count"" / Foster, Frank")</f>
        <v>Basie, William "Count" / Foster, Frank</v>
      </c>
      <c r="B10459" s="2">
        <f ca="1">IFERROR(__xludf.DUMMYFUNCTION("""COMPUTED_VALUE"""),3)</f>
        <v>3</v>
      </c>
      <c r="C10459" s="7">
        <f ca="1">IFERROR(__xludf.DUMMYFUNCTION("""COMPUTED_VALUE"""),3.1)</f>
        <v>3.1</v>
      </c>
      <c r="D10459" s="8">
        <f ca="1">IFERROR(__xludf.DUMMYFUNCTION("""COMPUTED_VALUE"""),7)</f>
        <v>7</v>
      </c>
      <c r="E10459" s="2">
        <f ca="1">IFERROR(__xludf.DUMMYFUNCTION("""COMPUTED_VALUE"""),2)</f>
        <v>2</v>
      </c>
    </row>
    <row r="10460" spans="1:5" ht="13">
      <c r="A10460" s="8" t="str">
        <f ca="1">IFERROR(__xludf.DUMMYFUNCTION("""COMPUTED_VALUE"""),"Basulto, Alejandro")</f>
        <v>Basulto, Alejandro</v>
      </c>
      <c r="B10460" s="3">
        <f ca="1">IFERROR(__xludf.DUMMYFUNCTION("""COMPUTED_VALUE"""),3)</f>
        <v>3</v>
      </c>
      <c r="C10460" s="7">
        <f ca="1">IFERROR(__xludf.DUMMYFUNCTION("""COMPUTED_VALUE"""),3.2)</f>
        <v>3.2</v>
      </c>
      <c r="D10460" s="8">
        <f ca="1">IFERROR(__xludf.DUMMYFUNCTION("""COMPUTED_VALUE"""),3)</f>
        <v>3</v>
      </c>
      <c r="E10460" s="2">
        <f ca="1">IFERROR(__xludf.DUMMYFUNCTION("""COMPUTED_VALUE"""),1)</f>
        <v>1</v>
      </c>
    </row>
    <row r="10461" spans="1:5" ht="13">
      <c r="A10461" s="2" t="str">
        <f ca="1">IFERROR(__xludf.DUMMYFUNCTION("""COMPUTED_VALUE"""),"Battiste, Harold")</f>
        <v>Battiste, Harold</v>
      </c>
      <c r="B10461" s="3">
        <f ca="1">IFERROR(__xludf.DUMMYFUNCTION("""COMPUTED_VALUE"""),3)</f>
        <v>3</v>
      </c>
      <c r="C10461" s="7">
        <f ca="1">IFERROR(__xludf.DUMMYFUNCTION("""COMPUTED_VALUE"""),3.1)</f>
        <v>3.1</v>
      </c>
      <c r="D10461" s="8">
        <f ca="1">IFERROR(__xludf.DUMMYFUNCTION("""COMPUTED_VALUE"""),7)</f>
        <v>7</v>
      </c>
      <c r="E10461" s="2">
        <f ca="1">IFERROR(__xludf.DUMMYFUNCTION("""COMPUTED_VALUE"""),2)</f>
        <v>2</v>
      </c>
    </row>
    <row r="10462" spans="1:5" ht="13">
      <c r="A10462" s="2" t="str">
        <f ca="1">IFERROR(__xludf.DUMMYFUNCTION("""COMPUTED_VALUE"""),"Bavel, Zamir")</f>
        <v>Bavel, Zamir</v>
      </c>
      <c r="B10462" s="2">
        <f ca="1">IFERROR(__xludf.DUMMYFUNCTION("""COMPUTED_VALUE"""),3)</f>
        <v>3</v>
      </c>
      <c r="C10462" s="7">
        <f ca="1">IFERROR(__xludf.DUMMYFUNCTION("""COMPUTED_VALUE"""),3.5)</f>
        <v>3.5</v>
      </c>
      <c r="D10462" s="8">
        <f ca="1">IFERROR(__xludf.DUMMYFUNCTION("""COMPUTED_VALUE"""),7)</f>
        <v>7</v>
      </c>
      <c r="E10462" s="2">
        <f ca="1">IFERROR(__xludf.DUMMYFUNCTION("""COMPUTED_VALUE"""),2)</f>
        <v>2</v>
      </c>
    </row>
    <row r="10463" spans="1:5" ht="13">
      <c r="A10463" s="8" t="str">
        <f ca="1">IFERROR(__xludf.DUMMYFUNCTION("""COMPUTED_VALUE"""),"Bayolo, Armando")</f>
        <v>Bayolo, Armando</v>
      </c>
      <c r="B10463" s="3">
        <f ca="1">IFERROR(__xludf.DUMMYFUNCTION("""COMPUTED_VALUE"""),3)</f>
        <v>3</v>
      </c>
      <c r="C10463" s="7">
        <f ca="1">IFERROR(__xludf.DUMMYFUNCTION("""COMPUTED_VALUE"""),3.2)</f>
        <v>3.2</v>
      </c>
      <c r="D10463" s="8">
        <f ca="1">IFERROR(__xludf.DUMMYFUNCTION("""COMPUTED_VALUE"""),3)</f>
        <v>3</v>
      </c>
      <c r="E10463" s="2">
        <f ca="1">IFERROR(__xludf.DUMMYFUNCTION("""COMPUTED_VALUE"""),1)</f>
        <v>1</v>
      </c>
    </row>
    <row r="10464" spans="1:5" ht="13">
      <c r="A10464" s="8" t="str">
        <f ca="1">IFERROR(__xludf.DUMMYFUNCTION("""COMPUTED_VALUE"""),"Beau, Jared")</f>
        <v>Beau, Jared</v>
      </c>
      <c r="B10464" s="3">
        <f ca="1">IFERROR(__xludf.DUMMYFUNCTION("""COMPUTED_VALUE"""),3)</f>
        <v>3</v>
      </c>
      <c r="C10464" s="7">
        <f ca="1">IFERROR(__xludf.DUMMYFUNCTION("""COMPUTED_VALUE"""),3.6)</f>
        <v>3.6</v>
      </c>
      <c r="D10464" s="8">
        <f ca="1">IFERROR(__xludf.DUMMYFUNCTION("""COMPUTED_VALUE"""),3)</f>
        <v>3</v>
      </c>
      <c r="E10464" s="2">
        <f ca="1">IFERROR(__xludf.DUMMYFUNCTION("""COMPUTED_VALUE"""),1)</f>
        <v>1</v>
      </c>
    </row>
    <row r="10465" spans="1:5" ht="13">
      <c r="A10465" s="8" t="str">
        <f ca="1">IFERROR(__xludf.DUMMYFUNCTION("""COMPUTED_VALUE"""),"Becenti, Juanito")</f>
        <v>Becenti, Juanito</v>
      </c>
      <c r="B10465" s="3">
        <f ca="1">IFERROR(__xludf.DUMMYFUNCTION("""COMPUTED_VALUE"""),3)</f>
        <v>3</v>
      </c>
      <c r="C10465" s="7">
        <f ca="1">IFERROR(__xludf.DUMMYFUNCTION("""COMPUTED_VALUE"""),3.7)</f>
        <v>3.7</v>
      </c>
      <c r="D10465" s="8">
        <f ca="1">IFERROR(__xludf.DUMMYFUNCTION("""COMPUTED_VALUE"""),3)</f>
        <v>3</v>
      </c>
      <c r="E10465" s="2">
        <f ca="1">IFERROR(__xludf.DUMMYFUNCTION("""COMPUTED_VALUE"""),1)</f>
        <v>1</v>
      </c>
    </row>
    <row r="10466" spans="1:5" ht="13">
      <c r="A10466" s="2" t="str">
        <f ca="1">IFERROR(__xludf.DUMMYFUNCTION("""COMPUTED_VALUE"""),"Bechet, Sidney")</f>
        <v>Bechet, Sidney</v>
      </c>
      <c r="B10466" s="3">
        <f ca="1">IFERROR(__xludf.DUMMYFUNCTION("""COMPUTED_VALUE"""),3)</f>
        <v>3</v>
      </c>
      <c r="C10466" s="7">
        <f ca="1">IFERROR(__xludf.DUMMYFUNCTION("""COMPUTED_VALUE"""),3.1)</f>
        <v>3.1</v>
      </c>
      <c r="D10466" s="8">
        <f ca="1">IFERROR(__xludf.DUMMYFUNCTION("""COMPUTED_VALUE"""),7)</f>
        <v>7</v>
      </c>
      <c r="E10466" s="2">
        <f ca="1">IFERROR(__xludf.DUMMYFUNCTION("""COMPUTED_VALUE"""),2)</f>
        <v>2</v>
      </c>
    </row>
    <row r="10467" spans="1:5" ht="13">
      <c r="A10467" s="2" t="str">
        <f ca="1">IFERROR(__xludf.DUMMYFUNCTION("""COMPUTED_VALUE"""),"Begay, Michael")</f>
        <v>Begay, Michael</v>
      </c>
      <c r="B10467" s="2">
        <f ca="1">IFERROR(__xludf.DUMMYFUNCTION("""COMPUTED_VALUE"""),3)</f>
        <v>3</v>
      </c>
      <c r="C10467" s="2">
        <f ca="1">IFERROR(__xludf.DUMMYFUNCTION("""COMPUTED_VALUE"""),3.7)</f>
        <v>3.7</v>
      </c>
      <c r="D10467" s="8">
        <f ca="1">IFERROR(__xludf.DUMMYFUNCTION("""COMPUTED_VALUE"""),3)</f>
        <v>3</v>
      </c>
      <c r="E10467" s="2">
        <f ca="1">IFERROR(__xludf.DUMMYFUNCTION("""COMPUTED_VALUE"""),1)</f>
        <v>1</v>
      </c>
    </row>
    <row r="10468" spans="1:5" ht="13">
      <c r="A10468" s="8" t="str">
        <f ca="1">IFERROR(__xludf.DUMMYFUNCTION("""COMPUTED_VALUE"""),"Bekhon, Baljinder")</f>
        <v>Bekhon, Baljinder</v>
      </c>
      <c r="B10468" s="3">
        <f ca="1">IFERROR(__xludf.DUMMYFUNCTION("""COMPUTED_VALUE"""),3)</f>
        <v>3</v>
      </c>
      <c r="C10468" s="7">
        <f ca="1">IFERROR(__xludf.DUMMYFUNCTION("""COMPUTED_VALUE"""),3.4)</f>
        <v>3.4</v>
      </c>
      <c r="D10468" s="8">
        <f ca="1">IFERROR(__xludf.DUMMYFUNCTION("""COMPUTED_VALUE"""),3)</f>
        <v>3</v>
      </c>
      <c r="E10468" s="2">
        <f ca="1">IFERROR(__xludf.DUMMYFUNCTION("""COMPUTED_VALUE"""),1)</f>
        <v>1</v>
      </c>
    </row>
    <row r="10469" spans="1:5" ht="13">
      <c r="A10469" s="2" t="str">
        <f ca="1">IFERROR(__xludf.DUMMYFUNCTION("""COMPUTED_VALUE"""),"Belefonte, Harry")</f>
        <v>Belefonte, Harry</v>
      </c>
      <c r="B10469" s="2">
        <f ca="1">IFERROR(__xludf.DUMMYFUNCTION("""COMPUTED_VALUE"""),3)</f>
        <v>3</v>
      </c>
      <c r="C10469" s="7">
        <f ca="1">IFERROR(__xludf.DUMMYFUNCTION("""COMPUTED_VALUE"""),3.6)</f>
        <v>3.6</v>
      </c>
      <c r="D10469" s="8">
        <f ca="1">IFERROR(__xludf.DUMMYFUNCTION("""COMPUTED_VALUE"""),3)</f>
        <v>3</v>
      </c>
      <c r="E10469" s="2">
        <f ca="1">IFERROR(__xludf.DUMMYFUNCTION("""COMPUTED_VALUE"""),1)</f>
        <v>1</v>
      </c>
    </row>
    <row r="10470" spans="1:5" ht="13">
      <c r="A10470" s="8" t="str">
        <f ca="1">IFERROR(__xludf.DUMMYFUNCTION("""COMPUTED_VALUE"""),"Belfield, Roy L.")</f>
        <v>Belfield, Roy L.</v>
      </c>
      <c r="B10470" s="3">
        <f ca="1">IFERROR(__xludf.DUMMYFUNCTION("""COMPUTED_VALUE"""),3)</f>
        <v>3</v>
      </c>
      <c r="C10470" s="7">
        <f ca="1">IFERROR(__xludf.DUMMYFUNCTION("""COMPUTED_VALUE"""),3.1)</f>
        <v>3.1</v>
      </c>
      <c r="D10470" s="8">
        <f ca="1">IFERROR(__xludf.DUMMYFUNCTION("""COMPUTED_VALUE"""),3)</f>
        <v>3</v>
      </c>
      <c r="E10470" s="2">
        <f ca="1">IFERROR(__xludf.DUMMYFUNCTION("""COMPUTED_VALUE"""),1)</f>
        <v>1</v>
      </c>
    </row>
    <row r="10471" spans="1:5" ht="13">
      <c r="A10471" s="8" t="str">
        <f ca="1">IFERROR(__xludf.DUMMYFUNCTION("""COMPUTED_VALUE"""),"Bellido, Jimmy López")</f>
        <v>Bellido, Jimmy López</v>
      </c>
      <c r="B10471" s="3">
        <f ca="1">IFERROR(__xludf.DUMMYFUNCTION("""COMPUTED_VALUE"""),3)</f>
        <v>3</v>
      </c>
      <c r="C10471" s="7">
        <f ca="1">IFERROR(__xludf.DUMMYFUNCTION("""COMPUTED_VALUE"""),3.2)</f>
        <v>3.2</v>
      </c>
      <c r="D10471" s="8">
        <f ca="1">IFERROR(__xludf.DUMMYFUNCTION("""COMPUTED_VALUE"""),3)</f>
        <v>3</v>
      </c>
      <c r="E10471" s="2">
        <f ca="1">IFERROR(__xludf.DUMMYFUNCTION("""COMPUTED_VALUE"""),1)</f>
        <v>1</v>
      </c>
    </row>
    <row r="10472" spans="1:5" ht="13">
      <c r="A10472" s="8" t="str">
        <f ca="1">IFERROR(__xludf.DUMMYFUNCTION("""COMPUTED_VALUE"""),"Bellinati, Paulo")</f>
        <v>Bellinati, Paulo</v>
      </c>
      <c r="B10472" s="3">
        <f ca="1">IFERROR(__xludf.DUMMYFUNCTION("""COMPUTED_VALUE"""),3)</f>
        <v>3</v>
      </c>
      <c r="C10472" s="7">
        <f ca="1">IFERROR(__xludf.DUMMYFUNCTION("""COMPUTED_VALUE"""),3.2)</f>
        <v>3.2</v>
      </c>
      <c r="D10472" s="8">
        <f ca="1">IFERROR(__xludf.DUMMYFUNCTION("""COMPUTED_VALUE"""),3)</f>
        <v>3</v>
      </c>
      <c r="E10472" s="2">
        <f ca="1">IFERROR(__xludf.DUMMYFUNCTION("""COMPUTED_VALUE"""),1)</f>
        <v>1</v>
      </c>
    </row>
    <row r="10473" spans="1:5" ht="13">
      <c r="A10473" s="8" t="str">
        <f ca="1">IFERROR(__xludf.DUMMYFUNCTION("""COMPUTED_VALUE"""),"Ben-Amots, Ofer")</f>
        <v>Ben-Amots, Ofer</v>
      </c>
      <c r="B10473" s="3">
        <f ca="1">IFERROR(__xludf.DUMMYFUNCTION("""COMPUTED_VALUE"""),3)</f>
        <v>3</v>
      </c>
      <c r="C10473" s="7">
        <f ca="1">IFERROR(__xludf.DUMMYFUNCTION("""COMPUTED_VALUE"""),3.5)</f>
        <v>3.5</v>
      </c>
      <c r="D10473" s="8">
        <f ca="1">IFERROR(__xludf.DUMMYFUNCTION("""COMPUTED_VALUE"""),3)</f>
        <v>3</v>
      </c>
      <c r="E10473" s="2">
        <f ca="1">IFERROR(__xludf.DUMMYFUNCTION("""COMPUTED_VALUE"""),1)</f>
        <v>1</v>
      </c>
    </row>
    <row r="10474" spans="1:5" ht="13">
      <c r="A10474" s="8" t="str">
        <f ca="1">IFERROR(__xludf.DUMMYFUNCTION("""COMPUTED_VALUE"""),"Ben-Ari, Ohad")</f>
        <v>Ben-Ari, Ohad</v>
      </c>
      <c r="B10474" s="3">
        <f ca="1">IFERROR(__xludf.DUMMYFUNCTION("""COMPUTED_VALUE"""),3)</f>
        <v>3</v>
      </c>
      <c r="C10474" s="7">
        <f ca="1">IFERROR(__xludf.DUMMYFUNCTION("""COMPUTED_VALUE"""),3.5)</f>
        <v>3.5</v>
      </c>
      <c r="D10474" s="8">
        <f ca="1">IFERROR(__xludf.DUMMYFUNCTION("""COMPUTED_VALUE"""),3)</f>
        <v>3</v>
      </c>
      <c r="E10474" s="2">
        <f ca="1">IFERROR(__xludf.DUMMYFUNCTION("""COMPUTED_VALUE"""),1)</f>
        <v>1</v>
      </c>
    </row>
    <row r="10475" spans="1:5" ht="13">
      <c r="A10475" s="8" t="str">
        <f ca="1">IFERROR(__xludf.DUMMYFUNCTION("""COMPUTED_VALUE"""),"Benavides, Nicolás Lell")</f>
        <v>Benavides, Nicolás Lell</v>
      </c>
      <c r="B10475" s="3">
        <f ca="1">IFERROR(__xludf.DUMMYFUNCTION("""COMPUTED_VALUE"""),3)</f>
        <v>3</v>
      </c>
      <c r="C10475" s="7">
        <f ca="1">IFERROR(__xludf.DUMMYFUNCTION("""COMPUTED_VALUE"""),3.2)</f>
        <v>3.2</v>
      </c>
      <c r="D10475" s="8">
        <f ca="1">IFERROR(__xludf.DUMMYFUNCTION("""COMPUTED_VALUE"""),3)</f>
        <v>3</v>
      </c>
      <c r="E10475" s="2">
        <f ca="1">IFERROR(__xludf.DUMMYFUNCTION("""COMPUTED_VALUE"""),1)</f>
        <v>1</v>
      </c>
    </row>
    <row r="10476" spans="1:5" ht="13">
      <c r="A10476" s="2" t="str">
        <f ca="1">IFERROR(__xludf.DUMMYFUNCTION("""COMPUTED_VALUE"""),"Benitez, Noe")</f>
        <v>Benitez, Noe</v>
      </c>
      <c r="B10476" s="2">
        <f ca="1">IFERROR(__xludf.DUMMYFUNCTION("""COMPUTED_VALUE"""),3)</f>
        <v>3</v>
      </c>
      <c r="C10476" s="7">
        <f ca="1">IFERROR(__xludf.DUMMYFUNCTION("""COMPUTED_VALUE"""),3.2)</f>
        <v>3.2</v>
      </c>
      <c r="D10476" s="8">
        <f ca="1">IFERROR(__xludf.DUMMYFUNCTION("""COMPUTED_VALUE"""),3)</f>
        <v>3</v>
      </c>
      <c r="E10476" s="2">
        <f ca="1">IFERROR(__xludf.DUMMYFUNCTION("""COMPUTED_VALUE"""),1)</f>
        <v>1</v>
      </c>
    </row>
    <row r="10477" spans="1:5" ht="13">
      <c r="A10477" s="2" t="str">
        <f ca="1">IFERROR(__xludf.DUMMYFUNCTION("""COMPUTED_VALUE"""),"Benton, LeAndre")</f>
        <v>Benton, LeAndre</v>
      </c>
      <c r="B10477" s="3">
        <f ca="1">IFERROR(__xludf.DUMMYFUNCTION("""COMPUTED_VALUE"""),3)</f>
        <v>3</v>
      </c>
      <c r="C10477" s="7">
        <f ca="1">IFERROR(__xludf.DUMMYFUNCTION("""COMPUTED_VALUE"""),3.1)</f>
        <v>3.1</v>
      </c>
      <c r="D10477" s="8">
        <f ca="1">IFERROR(__xludf.DUMMYFUNCTION("""COMPUTED_VALUE"""),3)</f>
        <v>3</v>
      </c>
      <c r="E10477" s="2">
        <f ca="1">IFERROR(__xludf.DUMMYFUNCTION("""COMPUTED_VALUE"""),1)</f>
        <v>1</v>
      </c>
    </row>
    <row r="10478" spans="1:5" ht="13">
      <c r="A10478" s="2" t="str">
        <f ca="1">IFERROR(__xludf.DUMMYFUNCTION("""COMPUTED_VALUE"""),"Bernarducci, Anthony")</f>
        <v>Bernarducci, Anthony</v>
      </c>
      <c r="B10478" s="2">
        <f ca="1">IFERROR(__xludf.DUMMYFUNCTION("""COMPUTED_VALUE"""),3)</f>
        <v>3</v>
      </c>
      <c r="C10478" s="7">
        <f ca="1">IFERROR(__xludf.DUMMYFUNCTION("""COMPUTED_VALUE"""),3.6)</f>
        <v>3.6</v>
      </c>
      <c r="D10478" s="8">
        <f ca="1">IFERROR(__xludf.DUMMYFUNCTION("""COMPUTED_VALUE"""),3)</f>
        <v>3</v>
      </c>
      <c r="E10478" s="2">
        <f ca="1">IFERROR(__xludf.DUMMYFUNCTION("""COMPUTED_VALUE"""),1)</f>
        <v>1</v>
      </c>
    </row>
    <row r="10479" spans="1:5" ht="13">
      <c r="A10479" s="8" t="str">
        <f ca="1">IFERROR(__xludf.DUMMYFUNCTION("""COMPUTED_VALUE"""),"Berrido, Emmanuel")</f>
        <v>Berrido, Emmanuel</v>
      </c>
      <c r="B10479" s="3">
        <f ca="1">IFERROR(__xludf.DUMMYFUNCTION("""COMPUTED_VALUE"""),3)</f>
        <v>3</v>
      </c>
      <c r="C10479" s="7">
        <f ca="1">IFERROR(__xludf.DUMMYFUNCTION("""COMPUTED_VALUE"""),3.2)</f>
        <v>3.2</v>
      </c>
      <c r="D10479" s="8">
        <f ca="1">IFERROR(__xludf.DUMMYFUNCTION("""COMPUTED_VALUE"""),3)</f>
        <v>3</v>
      </c>
      <c r="E10479" s="2">
        <f ca="1">IFERROR(__xludf.DUMMYFUNCTION("""COMPUTED_VALUE"""),1)</f>
        <v>1</v>
      </c>
    </row>
    <row r="10480" spans="1:5" ht="13">
      <c r="A10480" s="8" t="str">
        <f ca="1">IFERROR(__xludf.DUMMYFUNCTION("""COMPUTED_VALUE"""),"Berry, Chuck")</f>
        <v>Berry, Chuck</v>
      </c>
      <c r="B10480" s="3">
        <f ca="1">IFERROR(__xludf.DUMMYFUNCTION("""COMPUTED_VALUE"""),3)</f>
        <v>3</v>
      </c>
      <c r="C10480" s="7">
        <f ca="1">IFERROR(__xludf.DUMMYFUNCTION("""COMPUTED_VALUE"""),3.1)</f>
        <v>3.1</v>
      </c>
      <c r="D10480" s="8">
        <f ca="1">IFERROR(__xludf.DUMMYFUNCTION("""COMPUTED_VALUE"""),7)</f>
        <v>7</v>
      </c>
      <c r="E10480" s="2">
        <f ca="1">IFERROR(__xludf.DUMMYFUNCTION("""COMPUTED_VALUE"""),2)</f>
        <v>2</v>
      </c>
    </row>
    <row r="10481" spans="1:5" ht="13">
      <c r="A10481" s="2" t="str">
        <f ca="1">IFERROR(__xludf.DUMMYFUNCTION("""COMPUTED_VALUE"""),"Beu, Jared")</f>
        <v>Beu, Jared</v>
      </c>
      <c r="B10481" s="3">
        <f ca="1">IFERROR(__xludf.DUMMYFUNCTION("""COMPUTED_VALUE"""),3)</f>
        <v>3</v>
      </c>
      <c r="C10481" s="7">
        <f ca="1">IFERROR(__xludf.DUMMYFUNCTION("""COMPUTED_VALUE"""),3.2)</f>
        <v>3.2</v>
      </c>
      <c r="D10481" s="8">
        <f ca="1">IFERROR(__xludf.DUMMYFUNCTION("""COMPUTED_VALUE"""),3)</f>
        <v>3</v>
      </c>
      <c r="E10481" s="2">
        <f ca="1">IFERROR(__xludf.DUMMYFUNCTION("""COMPUTED_VALUE"""),1)</f>
        <v>1</v>
      </c>
    </row>
    <row r="10482" spans="1:5" ht="13">
      <c r="A10482" s="2" t="str">
        <f ca="1">IFERROR(__xludf.DUMMYFUNCTION("""COMPUTED_VALUE"""),"Bhatia, Vanraj")</f>
        <v>Bhatia, Vanraj</v>
      </c>
      <c r="B10482" s="3">
        <f ca="1">IFERROR(__xludf.DUMMYFUNCTION("""COMPUTED_VALUE"""),3)</f>
        <v>3</v>
      </c>
      <c r="C10482" s="7">
        <f ca="1">IFERROR(__xludf.DUMMYFUNCTION("""COMPUTED_VALUE"""),3.4)</f>
        <v>3.4</v>
      </c>
      <c r="D10482" s="8">
        <f ca="1">IFERROR(__xludf.DUMMYFUNCTION("""COMPUTED_VALUE"""),3)</f>
        <v>3</v>
      </c>
      <c r="E10482" s="2">
        <f ca="1">IFERROR(__xludf.DUMMYFUNCTION("""COMPUTED_VALUE"""),1)</f>
        <v>1</v>
      </c>
    </row>
    <row r="10483" spans="1:5" ht="13">
      <c r="A10483" s="2" t="str">
        <f ca="1">IFERROR(__xludf.DUMMYFUNCTION("""COMPUTED_VALUE"""),"Bhumibol, H.M. King")</f>
        <v>Bhumibol, H.M. King</v>
      </c>
      <c r="B10483" s="3">
        <f ca="1">IFERROR(__xludf.DUMMYFUNCTION("""COMPUTED_VALUE"""),3)</f>
        <v>3</v>
      </c>
      <c r="C10483" s="7">
        <f ca="1">IFERROR(__xludf.DUMMYFUNCTION("""COMPUTED_VALUE"""),3.3)</f>
        <v>3.3</v>
      </c>
      <c r="D10483" s="8">
        <f ca="1">IFERROR(__xludf.DUMMYFUNCTION("""COMPUTED_VALUE"""),7)</f>
        <v>7</v>
      </c>
      <c r="E10483" s="2">
        <f ca="1">IFERROR(__xludf.DUMMYFUNCTION("""COMPUTED_VALUE"""),2)</f>
        <v>2</v>
      </c>
    </row>
    <row r="10484" spans="1:5" ht="13">
      <c r="A10484" s="2" t="str">
        <f ca="1">IFERROR(__xludf.DUMMYFUNCTION("""COMPUTED_VALUE"""),"Biggham, Milton")</f>
        <v>Biggham, Milton</v>
      </c>
      <c r="B10484" s="3">
        <f ca="1">IFERROR(__xludf.DUMMYFUNCTION("""COMPUTED_VALUE"""),3)</f>
        <v>3</v>
      </c>
      <c r="C10484" s="7">
        <f ca="1">IFERROR(__xludf.DUMMYFUNCTION("""COMPUTED_VALUE"""),3.1)</f>
        <v>3.1</v>
      </c>
      <c r="D10484" s="8">
        <f ca="1">IFERROR(__xludf.DUMMYFUNCTION("""COMPUTED_VALUE"""),3)</f>
        <v>3</v>
      </c>
      <c r="E10484" s="2">
        <f ca="1">IFERROR(__xludf.DUMMYFUNCTION("""COMPUTED_VALUE"""),1)</f>
        <v>1</v>
      </c>
    </row>
    <row r="10485" spans="1:5" ht="13">
      <c r="A10485" s="8" t="str">
        <f ca="1">IFERROR(__xludf.DUMMYFUNCTION("""COMPUTED_VALUE"""),"Bin Li")</f>
        <v>Bin Li</v>
      </c>
      <c r="B10485" s="3">
        <f ca="1">IFERROR(__xludf.DUMMYFUNCTION("""COMPUTED_VALUE"""),3)</f>
        <v>3</v>
      </c>
      <c r="C10485" s="7">
        <f ca="1">IFERROR(__xludf.DUMMYFUNCTION("""COMPUTED_VALUE"""),3.3)</f>
        <v>3.3</v>
      </c>
      <c r="D10485" s="8">
        <f ca="1">IFERROR(__xludf.DUMMYFUNCTION("""COMPUTED_VALUE"""),3)</f>
        <v>3</v>
      </c>
      <c r="E10485" s="2">
        <f ca="1">IFERROR(__xludf.DUMMYFUNCTION("""COMPUTED_VALUE"""),1)</f>
        <v>1</v>
      </c>
    </row>
    <row r="10486" spans="1:5" ht="13">
      <c r="A10486" s="2" t="str">
        <f ca="1">IFERROR(__xludf.DUMMYFUNCTION("""COMPUTED_VALUE"""),"Bingham, Jonathan")</f>
        <v>Bingham, Jonathan</v>
      </c>
      <c r="B10486" s="2">
        <f ca="1">IFERROR(__xludf.DUMMYFUNCTION("""COMPUTED_VALUE"""),3)</f>
        <v>3</v>
      </c>
      <c r="C10486" s="7">
        <f ca="1">IFERROR(__xludf.DUMMYFUNCTION("""COMPUTED_VALUE"""),3.1)</f>
        <v>3.1</v>
      </c>
      <c r="D10486" s="8">
        <f ca="1">IFERROR(__xludf.DUMMYFUNCTION("""COMPUTED_VALUE"""),3)</f>
        <v>3</v>
      </c>
      <c r="E10486" s="2">
        <f ca="1">IFERROR(__xludf.DUMMYFUNCTION("""COMPUTED_VALUE"""),1)</f>
        <v>1</v>
      </c>
    </row>
    <row r="10487" spans="1:5" ht="13">
      <c r="A10487" s="8" t="str">
        <f ca="1">IFERROR(__xludf.DUMMYFUNCTION("""COMPUTED_VALUE"""),"Blache, Quenton")</f>
        <v>Blache, Quenton</v>
      </c>
      <c r="B10487" s="3">
        <f ca="1">IFERROR(__xludf.DUMMYFUNCTION("""COMPUTED_VALUE"""),3)</f>
        <v>3</v>
      </c>
      <c r="C10487" s="7">
        <f ca="1">IFERROR(__xludf.DUMMYFUNCTION("""COMPUTED_VALUE"""),3.1)</f>
        <v>3.1</v>
      </c>
      <c r="D10487" s="8">
        <f ca="1">IFERROR(__xludf.DUMMYFUNCTION("""COMPUTED_VALUE"""),3)</f>
        <v>3</v>
      </c>
      <c r="E10487" s="2">
        <f ca="1">IFERROR(__xludf.DUMMYFUNCTION("""COMPUTED_VALUE"""),1)</f>
        <v>1</v>
      </c>
    </row>
    <row r="10488" spans="1:5" ht="13">
      <c r="A10488" s="2" t="str">
        <f ca="1">IFERROR(__xludf.DUMMYFUNCTION("""COMPUTED_VALUE"""),"Blache, Quenton Xavier")</f>
        <v>Blache, Quenton Xavier</v>
      </c>
      <c r="B10488" s="2">
        <f ca="1">IFERROR(__xludf.DUMMYFUNCTION("""COMPUTED_VALUE"""),3)</f>
        <v>3</v>
      </c>
      <c r="C10488" s="2">
        <f ca="1">IFERROR(__xludf.DUMMYFUNCTION("""COMPUTED_VALUE"""),3.1)</f>
        <v>3.1</v>
      </c>
      <c r="D10488" s="8">
        <f ca="1">IFERROR(__xludf.DUMMYFUNCTION("""COMPUTED_VALUE"""),3)</f>
        <v>3</v>
      </c>
      <c r="E10488" s="2">
        <f ca="1">IFERROR(__xludf.DUMMYFUNCTION("""COMPUTED_VALUE"""),1)</f>
        <v>1</v>
      </c>
    </row>
    <row r="10489" spans="1:5" ht="13">
      <c r="A10489" s="2" t="str">
        <f ca="1">IFERROR(__xludf.DUMMYFUNCTION("""COMPUTED_VALUE"""),"Black II, Bryon")</f>
        <v>Black II, Bryon</v>
      </c>
      <c r="B10489" s="2">
        <f ca="1">IFERROR(__xludf.DUMMYFUNCTION("""COMPUTED_VALUE"""),3)</f>
        <v>3</v>
      </c>
      <c r="C10489" s="2">
        <f ca="1">IFERROR(__xludf.DUMMYFUNCTION("""COMPUTED_VALUE"""),3.1)</f>
        <v>3.1</v>
      </c>
      <c r="D10489" s="8">
        <f ca="1">IFERROR(__xludf.DUMMYFUNCTION("""COMPUTED_VALUE"""),3)</f>
        <v>3</v>
      </c>
      <c r="E10489" s="2">
        <f ca="1">IFERROR(__xludf.DUMMYFUNCTION("""COMPUTED_VALUE"""),1)</f>
        <v>1</v>
      </c>
    </row>
    <row r="10490" spans="1:5" ht="13">
      <c r="A10490" s="2" t="str">
        <f ca="1">IFERROR(__xludf.DUMMYFUNCTION("""COMPUTED_VALUE"""),"Blackwell, Otis (aka Davenport, John / Cooley, Eddie")</f>
        <v>Blackwell, Otis (aka Davenport, John / Cooley, Eddie</v>
      </c>
      <c r="B10490" s="2">
        <f ca="1">IFERROR(__xludf.DUMMYFUNCTION("""COMPUTED_VALUE"""),3)</f>
        <v>3</v>
      </c>
      <c r="C10490" s="7">
        <f ca="1">IFERROR(__xludf.DUMMYFUNCTION("""COMPUTED_VALUE"""),3.1)</f>
        <v>3.1</v>
      </c>
      <c r="D10490" s="8">
        <f ca="1">IFERROR(__xludf.DUMMYFUNCTION("""COMPUTED_VALUE"""),7)</f>
        <v>7</v>
      </c>
      <c r="E10490" s="2">
        <f ca="1">IFERROR(__xludf.DUMMYFUNCTION("""COMPUTED_VALUE"""),2)</f>
        <v>2</v>
      </c>
    </row>
    <row r="10491" spans="1:5" ht="13">
      <c r="A10491" s="2" t="str">
        <f ca="1">IFERROR(__xludf.DUMMYFUNCTION("""COMPUTED_VALUE"""),"Blake, Eubie")</f>
        <v>Blake, Eubie</v>
      </c>
      <c r="B10491" s="2">
        <f ca="1">IFERROR(__xludf.DUMMYFUNCTION("""COMPUTED_VALUE"""),3)</f>
        <v>3</v>
      </c>
      <c r="C10491" s="7">
        <f ca="1">IFERROR(__xludf.DUMMYFUNCTION("""COMPUTED_VALUE"""),3.1)</f>
        <v>3.1</v>
      </c>
      <c r="D10491" s="8">
        <f ca="1">IFERROR(__xludf.DUMMYFUNCTION("""COMPUTED_VALUE"""),7)</f>
        <v>7</v>
      </c>
      <c r="E10491" s="2">
        <f ca="1">IFERROR(__xludf.DUMMYFUNCTION("""COMPUTED_VALUE"""),2)</f>
        <v>2</v>
      </c>
    </row>
    <row r="10492" spans="1:5" ht="13">
      <c r="A10492" s="8" t="str">
        <f ca="1">IFERROR(__xludf.DUMMYFUNCTION("""COMPUTED_VALUE"""),"Blanchard, Terence")</f>
        <v>Blanchard, Terence</v>
      </c>
      <c r="B10492" s="3">
        <f ca="1">IFERROR(__xludf.DUMMYFUNCTION("""COMPUTED_VALUE"""),3)</f>
        <v>3</v>
      </c>
      <c r="C10492" s="7">
        <f ca="1">IFERROR(__xludf.DUMMYFUNCTION("""COMPUTED_VALUE"""),3.1)</f>
        <v>3.1</v>
      </c>
      <c r="D10492" s="8">
        <f ca="1">IFERROR(__xludf.DUMMYFUNCTION("""COMPUTED_VALUE"""),3)</f>
        <v>3</v>
      </c>
      <c r="E10492" s="2">
        <f ca="1">IFERROR(__xludf.DUMMYFUNCTION("""COMPUTED_VALUE"""),1)</f>
        <v>1</v>
      </c>
    </row>
    <row r="10493" spans="1:5" ht="13">
      <c r="A10493" s="2" t="str">
        <f ca="1">IFERROR(__xludf.DUMMYFUNCTION("""COMPUTED_VALUE"""),"Blesa-Lull, Jose Ignacio")</f>
        <v>Blesa-Lull, Jose Ignacio</v>
      </c>
      <c r="B10493" s="2">
        <f ca="1">IFERROR(__xludf.DUMMYFUNCTION("""COMPUTED_VALUE"""),3)</f>
        <v>3</v>
      </c>
      <c r="C10493" s="7">
        <f ca="1">IFERROR(__xludf.DUMMYFUNCTION("""COMPUTED_VALUE"""),3.2)</f>
        <v>3.2</v>
      </c>
      <c r="D10493" s="8">
        <f ca="1">IFERROR(__xludf.DUMMYFUNCTION("""COMPUTED_VALUE"""),3)</f>
        <v>3</v>
      </c>
      <c r="E10493" s="2">
        <f ca="1">IFERROR(__xludf.DUMMYFUNCTION("""COMPUTED_VALUE"""),1)</f>
        <v>1</v>
      </c>
    </row>
    <row r="10494" spans="1:5" ht="13">
      <c r="A10494" s="2" t="str">
        <f ca="1">IFERROR(__xludf.DUMMYFUNCTION("""COMPUTED_VALUE"""),"Bloomfield, Ty")</f>
        <v>Bloomfield, Ty</v>
      </c>
      <c r="B10494" s="2">
        <f ca="1">IFERROR(__xludf.DUMMYFUNCTION("""COMPUTED_VALUE"""),3)</f>
        <v>3</v>
      </c>
      <c r="C10494" s="7">
        <f ca="1">IFERROR(__xludf.DUMMYFUNCTION("""COMPUTED_VALUE"""),3.1)</f>
        <v>3.1</v>
      </c>
      <c r="D10494" s="8">
        <f ca="1">IFERROR(__xludf.DUMMYFUNCTION("""COMPUTED_VALUE"""),3)</f>
        <v>3</v>
      </c>
      <c r="E10494" s="2">
        <f ca="1">IFERROR(__xludf.DUMMYFUNCTION("""COMPUTED_VALUE"""),1)</f>
        <v>1</v>
      </c>
    </row>
    <row r="10495" spans="1:5" ht="13">
      <c r="A10495" s="2" t="str">
        <f ca="1">IFERROR(__xludf.DUMMYFUNCTION("""COMPUTED_VALUE"""),"Boatner, Edward")</f>
        <v>Boatner, Edward</v>
      </c>
      <c r="B10495" s="3">
        <f ca="1">IFERROR(__xludf.DUMMYFUNCTION("""COMPUTED_VALUE"""),3)</f>
        <v>3</v>
      </c>
      <c r="C10495" s="7">
        <f ca="1">IFERROR(__xludf.DUMMYFUNCTION("""COMPUTED_VALUE"""),3.1)</f>
        <v>3.1</v>
      </c>
      <c r="D10495" s="8">
        <f ca="1">IFERROR(__xludf.DUMMYFUNCTION("""COMPUTED_VALUE"""),3)</f>
        <v>3</v>
      </c>
      <c r="E10495" s="2">
        <f ca="1">IFERROR(__xludf.DUMMYFUNCTION("""COMPUTED_VALUE"""),1)</f>
        <v>1</v>
      </c>
    </row>
    <row r="10496" spans="1:5" ht="13">
      <c r="A10496" s="2" t="str">
        <f ca="1">IFERROR(__xludf.DUMMYFUNCTION("""COMPUTED_VALUE"""),"Bocanegra, Juan Perez")</f>
        <v>Bocanegra, Juan Perez</v>
      </c>
      <c r="B10496" s="2">
        <f ca="1">IFERROR(__xludf.DUMMYFUNCTION("""COMPUTED_VALUE"""),3)</f>
        <v>3</v>
      </c>
      <c r="C10496" s="7">
        <f ca="1">IFERROR(__xludf.DUMMYFUNCTION("""COMPUTED_VALUE"""),3.2)</f>
        <v>3.2</v>
      </c>
      <c r="D10496" s="8">
        <f ca="1">IFERROR(__xludf.DUMMYFUNCTION("""COMPUTED_VALUE"""),7)</f>
        <v>7</v>
      </c>
      <c r="E10496" s="2">
        <f ca="1">IFERROR(__xludf.DUMMYFUNCTION("""COMPUTED_VALUE"""),2)</f>
        <v>2</v>
      </c>
    </row>
    <row r="10497" spans="1:5" ht="13">
      <c r="A10497" s="2" t="str">
        <f ca="1">IFERROR(__xludf.DUMMYFUNCTION("""COMPUTED_VALUE"""),"Bologne, Chevalier de Saint-Georges, Joseph")</f>
        <v>Bologne, Chevalier de Saint-Georges, Joseph</v>
      </c>
      <c r="B10497" s="3">
        <f ca="1">IFERROR(__xludf.DUMMYFUNCTION("""COMPUTED_VALUE"""),3)</f>
        <v>3</v>
      </c>
      <c r="C10497" s="7">
        <f ca="1">IFERROR(__xludf.DUMMYFUNCTION("""COMPUTED_VALUE"""),3.1)</f>
        <v>3.1</v>
      </c>
      <c r="D10497" s="8">
        <f ca="1">IFERROR(__xludf.DUMMYFUNCTION("""COMPUTED_VALUE"""),7)</f>
        <v>7</v>
      </c>
      <c r="E10497" s="2">
        <f ca="1">IFERROR(__xludf.DUMMYFUNCTION("""COMPUTED_VALUE"""),2)</f>
        <v>2</v>
      </c>
    </row>
    <row r="10498" spans="1:5" ht="13">
      <c r="A10498" s="2" t="str">
        <f ca="1">IFERROR(__xludf.DUMMYFUNCTION("""COMPUTED_VALUE"""),"Bonfa, Luis")</f>
        <v>Bonfa, Luis</v>
      </c>
      <c r="B10498" s="3">
        <f ca="1">IFERROR(__xludf.DUMMYFUNCTION("""COMPUTED_VALUE"""),3)</f>
        <v>3</v>
      </c>
      <c r="C10498" s="7">
        <f ca="1">IFERROR(__xludf.DUMMYFUNCTION("""COMPUTED_VALUE"""),3.2)</f>
        <v>3.2</v>
      </c>
      <c r="D10498" s="8">
        <f ca="1">IFERROR(__xludf.DUMMYFUNCTION("""COMPUTED_VALUE"""),7)</f>
        <v>7</v>
      </c>
      <c r="E10498" s="2">
        <f ca="1">IFERROR(__xludf.DUMMYFUNCTION("""COMPUTED_VALUE"""),2)</f>
        <v>2</v>
      </c>
    </row>
    <row r="10499" spans="1:5" ht="13">
      <c r="A10499" s="2" t="str">
        <f ca="1">IFERROR(__xludf.DUMMYFUNCTION("""COMPUTED_VALUE"""),"Bonfá, Luis")</f>
        <v>Bonfá, Luis</v>
      </c>
      <c r="B10499" s="2">
        <f ca="1">IFERROR(__xludf.DUMMYFUNCTION("""COMPUTED_VALUE"""),3)</f>
        <v>3</v>
      </c>
      <c r="C10499" s="7">
        <f ca="1">IFERROR(__xludf.DUMMYFUNCTION("""COMPUTED_VALUE"""),3.2)</f>
        <v>3.2</v>
      </c>
      <c r="D10499" s="8">
        <f ca="1">IFERROR(__xludf.DUMMYFUNCTION("""COMPUTED_VALUE"""),7)</f>
        <v>7</v>
      </c>
      <c r="E10499" s="2">
        <f ca="1">IFERROR(__xludf.DUMMYFUNCTION("""COMPUTED_VALUE"""),2)</f>
        <v>2</v>
      </c>
    </row>
    <row r="10500" spans="1:5" ht="13">
      <c r="A10500" s="2" t="str">
        <f ca="1">IFERROR(__xludf.DUMMYFUNCTION("""COMPUTED_VALUE"""),"Bonfá, Luiz / Sigman, Carl")</f>
        <v>Bonfá, Luiz / Sigman, Carl</v>
      </c>
      <c r="B10500" s="3">
        <f ca="1">IFERROR(__xludf.DUMMYFUNCTION("""COMPUTED_VALUE"""),3)</f>
        <v>3</v>
      </c>
      <c r="C10500" s="7">
        <f ca="1">IFERROR(__xludf.DUMMYFUNCTION("""COMPUTED_VALUE"""),3.2)</f>
        <v>3.2</v>
      </c>
      <c r="D10500" s="8">
        <f ca="1">IFERROR(__xludf.DUMMYFUNCTION("""COMPUTED_VALUE"""),3)</f>
        <v>3</v>
      </c>
      <c r="E10500" s="2">
        <f ca="1">IFERROR(__xludf.DUMMYFUNCTION("""COMPUTED_VALUE"""),1)</f>
        <v>1</v>
      </c>
    </row>
    <row r="10501" spans="1:5" ht="13">
      <c r="A10501" s="2" t="str">
        <f ca="1">IFERROR(__xludf.DUMMYFUNCTION("""COMPUTED_VALUE"""),"Bonilla, Edwin")</f>
        <v>Bonilla, Edwin</v>
      </c>
      <c r="B10501" s="3">
        <f ca="1">IFERROR(__xludf.DUMMYFUNCTION("""COMPUTED_VALUE"""),3)</f>
        <v>3</v>
      </c>
      <c r="C10501" s="7">
        <f ca="1">IFERROR(__xludf.DUMMYFUNCTION("""COMPUTED_VALUE"""),3.2)</f>
        <v>3.2</v>
      </c>
      <c r="D10501" s="8">
        <f ca="1">IFERROR(__xludf.DUMMYFUNCTION("""COMPUTED_VALUE"""),3)</f>
        <v>3</v>
      </c>
      <c r="E10501" s="2">
        <f ca="1">IFERROR(__xludf.DUMMYFUNCTION("""COMPUTED_VALUE"""),1)</f>
        <v>1</v>
      </c>
    </row>
    <row r="10502" spans="1:5" ht="13">
      <c r="A10502" s="2" t="str">
        <f ca="1">IFERROR(__xludf.DUMMYFUNCTION("""COMPUTED_VALUE"""),"Botner, Elai")</f>
        <v>Botner, Elai</v>
      </c>
      <c r="B10502" s="3">
        <f ca="1">IFERROR(__xludf.DUMMYFUNCTION("""COMPUTED_VALUE"""),3)</f>
        <v>3</v>
      </c>
      <c r="C10502" s="7">
        <f ca="1">IFERROR(__xludf.DUMMYFUNCTION("""COMPUTED_VALUE"""),3.5)</f>
        <v>3.5</v>
      </c>
      <c r="D10502" s="8">
        <f ca="1">IFERROR(__xludf.DUMMYFUNCTION("""COMPUTED_VALUE"""),3)</f>
        <v>3</v>
      </c>
      <c r="E10502" s="2">
        <f ca="1">IFERROR(__xludf.DUMMYFUNCTION("""COMPUTED_VALUE"""),1)</f>
        <v>1</v>
      </c>
    </row>
    <row r="10503" spans="1:5" ht="13">
      <c r="A10503" s="8" t="str">
        <f ca="1">IFERROR(__xludf.DUMMYFUNCTION("""COMPUTED_VALUE"""),"Bowens, Jerbrel M.")</f>
        <v>Bowens, Jerbrel M.</v>
      </c>
      <c r="B10503" s="3">
        <f ca="1">IFERROR(__xludf.DUMMYFUNCTION("""COMPUTED_VALUE"""),3)</f>
        <v>3</v>
      </c>
      <c r="C10503" s="7">
        <f ca="1">IFERROR(__xludf.DUMMYFUNCTION("""COMPUTED_VALUE"""),3.1)</f>
        <v>3.1</v>
      </c>
      <c r="D10503" s="8">
        <f ca="1">IFERROR(__xludf.DUMMYFUNCTION("""COMPUTED_VALUE"""),3)</f>
        <v>3</v>
      </c>
      <c r="E10503" s="2">
        <f ca="1">IFERROR(__xludf.DUMMYFUNCTION("""COMPUTED_VALUE"""),1)</f>
        <v>1</v>
      </c>
    </row>
    <row r="10504" spans="1:5" ht="13">
      <c r="A10504" s="8" t="str">
        <f ca="1">IFERROR(__xludf.DUMMYFUNCTION("""COMPUTED_VALUE"""),"Bowers, Kris")</f>
        <v>Bowers, Kris</v>
      </c>
      <c r="B10504" s="3">
        <f ca="1">IFERROR(__xludf.DUMMYFUNCTION("""COMPUTED_VALUE"""),3)</f>
        <v>3</v>
      </c>
      <c r="C10504" s="7">
        <f ca="1">IFERROR(__xludf.DUMMYFUNCTION("""COMPUTED_VALUE"""),3.1)</f>
        <v>3.1</v>
      </c>
      <c r="D10504" s="8">
        <f ca="1">IFERROR(__xludf.DUMMYFUNCTION("""COMPUTED_VALUE"""),3)</f>
        <v>3</v>
      </c>
      <c r="E10504" s="2">
        <f ca="1">IFERROR(__xludf.DUMMYFUNCTION("""COMPUTED_VALUE"""),1)</f>
        <v>1</v>
      </c>
    </row>
    <row r="10505" spans="1:5" ht="13">
      <c r="A10505" s="2" t="str">
        <f ca="1">IFERROR(__xludf.DUMMYFUNCTION("""COMPUTED_VALUE"""),"Boxley, Ethan")</f>
        <v>Boxley, Ethan</v>
      </c>
      <c r="B10505" s="3">
        <f ca="1">IFERROR(__xludf.DUMMYFUNCTION("""COMPUTED_VALUE"""),3)</f>
        <v>3</v>
      </c>
      <c r="C10505" s="7">
        <f ca="1">IFERROR(__xludf.DUMMYFUNCTION("""COMPUTED_VALUE"""),3.8)</f>
        <v>3.8</v>
      </c>
      <c r="D10505" s="8">
        <f ca="1">IFERROR(__xludf.DUMMYFUNCTION("""COMPUTED_VALUE"""),3)</f>
        <v>3</v>
      </c>
      <c r="E10505" s="2">
        <f ca="1">IFERROR(__xludf.DUMMYFUNCTION("""COMPUTED_VALUE"""),1)</f>
        <v>1</v>
      </c>
    </row>
    <row r="10506" spans="1:5" ht="13">
      <c r="A10506" s="2" t="str">
        <f ca="1">IFERROR(__xludf.DUMMYFUNCTION("""COMPUTED_VALUE"""),"Boyd, Brandon")</f>
        <v>Boyd, Brandon</v>
      </c>
      <c r="B10506" s="3">
        <f ca="1">IFERROR(__xludf.DUMMYFUNCTION("""COMPUTED_VALUE"""),3)</f>
        <v>3</v>
      </c>
      <c r="C10506" s="7">
        <f ca="1">IFERROR(__xludf.DUMMYFUNCTION("""COMPUTED_VALUE"""),3.1)</f>
        <v>3.1</v>
      </c>
      <c r="D10506" s="8">
        <f ca="1">IFERROR(__xludf.DUMMYFUNCTION("""COMPUTED_VALUE"""),3)</f>
        <v>3</v>
      </c>
      <c r="E10506" s="2">
        <f ca="1">IFERROR(__xludf.DUMMYFUNCTION("""COMPUTED_VALUE"""),1)</f>
        <v>1</v>
      </c>
    </row>
    <row r="10507" spans="1:5" ht="13">
      <c r="A10507" s="8" t="str">
        <f ca="1">IFERROR(__xludf.DUMMYFUNCTION("""COMPUTED_VALUE"""),"Boyd, Michael")</f>
        <v>Boyd, Michael</v>
      </c>
      <c r="B10507" s="3">
        <f ca="1">IFERROR(__xludf.DUMMYFUNCTION("""COMPUTED_VALUE"""),3)</f>
        <v>3</v>
      </c>
      <c r="C10507" s="7">
        <f ca="1">IFERROR(__xludf.DUMMYFUNCTION("""COMPUTED_VALUE"""),3.4)</f>
        <v>3.4</v>
      </c>
      <c r="D10507" s="8">
        <f ca="1">IFERROR(__xludf.DUMMYFUNCTION("""COMPUTED_VALUE"""),3)</f>
        <v>3</v>
      </c>
      <c r="E10507" s="2">
        <f ca="1">IFERROR(__xludf.DUMMYFUNCTION("""COMPUTED_VALUE"""),1)</f>
        <v>1</v>
      </c>
    </row>
    <row r="10508" spans="1:5" ht="13">
      <c r="A10508" s="2" t="str">
        <f ca="1">IFERROR(__xludf.DUMMYFUNCTION("""COMPUTED_VALUE"""),"Braga, Francisco Ernani")</f>
        <v>Braga, Francisco Ernani</v>
      </c>
      <c r="B10508" s="2">
        <f ca="1">IFERROR(__xludf.DUMMYFUNCTION("""COMPUTED_VALUE"""),3)</f>
        <v>3</v>
      </c>
      <c r="C10508" s="7">
        <f ca="1">IFERROR(__xludf.DUMMYFUNCTION("""COMPUTED_VALUE"""),3.4)</f>
        <v>3.4</v>
      </c>
      <c r="D10508" s="8">
        <f ca="1">IFERROR(__xludf.DUMMYFUNCTION("""COMPUTED_VALUE"""),7)</f>
        <v>7</v>
      </c>
      <c r="E10508" s="2">
        <f ca="1">IFERROR(__xludf.DUMMYFUNCTION("""COMPUTED_VALUE"""),2)</f>
        <v>2</v>
      </c>
    </row>
    <row r="10509" spans="1:5" ht="13">
      <c r="A10509" s="8" t="str">
        <f ca="1">IFERROR(__xludf.DUMMYFUNCTION("""COMPUTED_VALUE"""),"Brandon, George")</f>
        <v>Brandon, George</v>
      </c>
      <c r="B10509" s="3">
        <f ca="1">IFERROR(__xludf.DUMMYFUNCTION("""COMPUTED_VALUE"""),3)</f>
        <v>3</v>
      </c>
      <c r="C10509" s="7">
        <f ca="1">IFERROR(__xludf.DUMMYFUNCTION("""COMPUTED_VALUE"""),3.1)</f>
        <v>3.1</v>
      </c>
      <c r="D10509" s="8">
        <f ca="1">IFERROR(__xludf.DUMMYFUNCTION("""COMPUTED_VALUE"""),3)</f>
        <v>3</v>
      </c>
      <c r="E10509" s="2">
        <f ca="1">IFERROR(__xludf.DUMMYFUNCTION("""COMPUTED_VALUE"""),1)</f>
        <v>1</v>
      </c>
    </row>
    <row r="10510" spans="1:5" ht="13">
      <c r="A10510" s="8" t="str">
        <f ca="1">IFERROR(__xludf.DUMMYFUNCTION("""COMPUTED_VALUE"""),"Braun, Yehezkel")</f>
        <v>Braun, Yehezkel</v>
      </c>
      <c r="B10510" s="3">
        <f ca="1">IFERROR(__xludf.DUMMYFUNCTION("""COMPUTED_VALUE"""),3)</f>
        <v>3</v>
      </c>
      <c r="C10510" s="7">
        <f ca="1">IFERROR(__xludf.DUMMYFUNCTION("""COMPUTED_VALUE"""),3.5)</f>
        <v>3.5</v>
      </c>
      <c r="D10510" s="8">
        <f ca="1">IFERROR(__xludf.DUMMYFUNCTION("""COMPUTED_VALUE"""),7)</f>
        <v>7</v>
      </c>
      <c r="E10510" s="2">
        <f ca="1">IFERROR(__xludf.DUMMYFUNCTION("""COMPUTED_VALUE"""),2)</f>
        <v>2</v>
      </c>
    </row>
    <row r="10511" spans="1:5" ht="13">
      <c r="A10511" s="8" t="str">
        <f ca="1">IFERROR(__xludf.DUMMYFUNCTION("""COMPUTED_VALUE"""),"Braxton, Anthony")</f>
        <v>Braxton, Anthony</v>
      </c>
      <c r="B10511" s="3">
        <f ca="1">IFERROR(__xludf.DUMMYFUNCTION("""COMPUTED_VALUE"""),3)</f>
        <v>3</v>
      </c>
      <c r="C10511" s="7">
        <f ca="1">IFERROR(__xludf.DUMMYFUNCTION("""COMPUTED_VALUE"""),3.1)</f>
        <v>3.1</v>
      </c>
      <c r="D10511" s="8">
        <f ca="1">IFERROR(__xludf.DUMMYFUNCTION("""COMPUTED_VALUE"""),3)</f>
        <v>3</v>
      </c>
      <c r="E10511" s="2">
        <f ca="1">IFERROR(__xludf.DUMMYFUNCTION("""COMPUTED_VALUE"""),1)</f>
        <v>1</v>
      </c>
    </row>
    <row r="10512" spans="1:5" ht="13">
      <c r="A10512" s="8" t="str">
        <f ca="1">IFERROR(__xludf.DUMMYFUNCTION("""COMPUTED_VALUE"""),"Bridgetower, George")</f>
        <v>Bridgetower, George</v>
      </c>
      <c r="B10512" s="3">
        <f ca="1">IFERROR(__xludf.DUMMYFUNCTION("""COMPUTED_VALUE"""),3)</f>
        <v>3</v>
      </c>
      <c r="C10512" s="7">
        <f ca="1">IFERROR(__xludf.DUMMYFUNCTION("""COMPUTED_VALUE"""),3.1)</f>
        <v>3.1</v>
      </c>
      <c r="D10512" s="8">
        <f ca="1">IFERROR(__xludf.DUMMYFUNCTION("""COMPUTED_VALUE"""),7)</f>
        <v>7</v>
      </c>
      <c r="E10512" s="2">
        <f ca="1">IFERROR(__xludf.DUMMYFUNCTION("""COMPUTED_VALUE"""),2)</f>
        <v>2</v>
      </c>
    </row>
    <row r="10513" spans="1:5" ht="13">
      <c r="A10513" s="2" t="str">
        <f ca="1">IFERROR(__xludf.DUMMYFUNCTION("""COMPUTED_VALUE"""),"Bright Sheng")</f>
        <v>Bright Sheng</v>
      </c>
      <c r="B10513" s="3">
        <f ca="1">IFERROR(__xludf.DUMMYFUNCTION("""COMPUTED_VALUE"""),3)</f>
        <v>3</v>
      </c>
      <c r="C10513" s="7">
        <f ca="1">IFERROR(__xludf.DUMMYFUNCTION("""COMPUTED_VALUE"""),3.3)</f>
        <v>3.3</v>
      </c>
      <c r="D10513" s="8">
        <f ca="1">IFERROR(__xludf.DUMMYFUNCTION("""COMPUTED_VALUE"""),3)</f>
        <v>3</v>
      </c>
      <c r="E10513" s="2">
        <f ca="1">IFERROR(__xludf.DUMMYFUNCTION("""COMPUTED_VALUE"""),1)</f>
        <v>1</v>
      </c>
    </row>
    <row r="10514" spans="1:5" ht="13">
      <c r="A10514" s="8" t="str">
        <f ca="1">IFERROR(__xludf.DUMMYFUNCTION("""COMPUTED_VALUE"""),"Brouwer, Leo")</f>
        <v>Brouwer, Leo</v>
      </c>
      <c r="B10514" s="3">
        <f ca="1">IFERROR(__xludf.DUMMYFUNCTION("""COMPUTED_VALUE"""),3)</f>
        <v>3</v>
      </c>
      <c r="C10514" s="7">
        <f ca="1">IFERROR(__xludf.DUMMYFUNCTION("""COMPUTED_VALUE"""),3.2)</f>
        <v>3.2</v>
      </c>
      <c r="D10514" s="8">
        <f ca="1">IFERROR(__xludf.DUMMYFUNCTION("""COMPUTED_VALUE"""),3)</f>
        <v>3</v>
      </c>
      <c r="E10514" s="2">
        <f ca="1">IFERROR(__xludf.DUMMYFUNCTION("""COMPUTED_VALUE"""),1)</f>
        <v>1</v>
      </c>
    </row>
    <row r="10515" spans="1:5" ht="13">
      <c r="A10515" s="2" t="str">
        <f ca="1">IFERROR(__xludf.DUMMYFUNCTION("""COMPUTED_VALUE"""),"Brown, Charles Samuel")</f>
        <v>Brown, Charles Samuel</v>
      </c>
      <c r="B10515" s="2">
        <f ca="1">IFERROR(__xludf.DUMMYFUNCTION("""COMPUTED_VALUE"""),3)</f>
        <v>3</v>
      </c>
      <c r="C10515" s="2">
        <f ca="1">IFERROR(__xludf.DUMMYFUNCTION("""COMPUTED_VALUE"""),3.1)</f>
        <v>3.1</v>
      </c>
      <c r="D10515" s="8">
        <f ca="1">IFERROR(__xludf.DUMMYFUNCTION("""COMPUTED_VALUE"""),7)</f>
        <v>7</v>
      </c>
      <c r="E10515" s="2">
        <f ca="1">IFERROR(__xludf.DUMMYFUNCTION("""COMPUTED_VALUE"""),2)</f>
        <v>2</v>
      </c>
    </row>
    <row r="10516" spans="1:5" ht="13">
      <c r="A10516" s="2" t="str">
        <f ca="1">IFERROR(__xludf.DUMMYFUNCTION("""COMPUTED_VALUE"""),"Brown, Clifford")</f>
        <v>Brown, Clifford</v>
      </c>
      <c r="B10516" s="3">
        <f ca="1">IFERROR(__xludf.DUMMYFUNCTION("""COMPUTED_VALUE"""),3)</f>
        <v>3</v>
      </c>
      <c r="C10516" s="7">
        <f ca="1">IFERROR(__xludf.DUMMYFUNCTION("""COMPUTED_VALUE"""),3.1)</f>
        <v>3.1</v>
      </c>
      <c r="D10516" s="8">
        <f ca="1">IFERROR(__xludf.DUMMYFUNCTION("""COMPUTED_VALUE"""),7)</f>
        <v>7</v>
      </c>
      <c r="E10516" s="2">
        <f ca="1">IFERROR(__xludf.DUMMYFUNCTION("""COMPUTED_VALUE"""),2)</f>
        <v>2</v>
      </c>
    </row>
    <row r="10517" spans="1:5" ht="13">
      <c r="A10517" s="2" t="str">
        <f ca="1">IFERROR(__xludf.DUMMYFUNCTION("""COMPUTED_VALUE"""),"Brown, Clliford")</f>
        <v>Brown, Clliford</v>
      </c>
      <c r="B10517" s="3">
        <f ca="1">IFERROR(__xludf.DUMMYFUNCTION("""COMPUTED_VALUE"""),3)</f>
        <v>3</v>
      </c>
      <c r="C10517" s="7">
        <f ca="1">IFERROR(__xludf.DUMMYFUNCTION("""COMPUTED_VALUE"""),3.1)</f>
        <v>3.1</v>
      </c>
      <c r="D10517" s="8">
        <f ca="1">IFERROR(__xludf.DUMMYFUNCTION("""COMPUTED_VALUE"""),7)</f>
        <v>7</v>
      </c>
      <c r="E10517" s="2">
        <f ca="1">IFERROR(__xludf.DUMMYFUNCTION("""COMPUTED_VALUE"""),2)</f>
        <v>2</v>
      </c>
    </row>
    <row r="10518" spans="1:5" ht="13">
      <c r="A10518" s="2" t="str">
        <f ca="1">IFERROR(__xludf.DUMMYFUNCTION("""COMPUTED_VALUE"""),"Brown, Donald")</f>
        <v>Brown, Donald</v>
      </c>
      <c r="B10518" s="3">
        <f ca="1">IFERROR(__xludf.DUMMYFUNCTION("""COMPUTED_VALUE"""),3)</f>
        <v>3</v>
      </c>
      <c r="C10518" s="7">
        <f ca="1">IFERROR(__xludf.DUMMYFUNCTION("""COMPUTED_VALUE"""),3.1)</f>
        <v>3.1</v>
      </c>
      <c r="D10518" s="8">
        <f ca="1">IFERROR(__xludf.DUMMYFUNCTION("""COMPUTED_VALUE"""),3)</f>
        <v>3</v>
      </c>
      <c r="E10518" s="2">
        <f ca="1">IFERROR(__xludf.DUMMYFUNCTION("""COMPUTED_VALUE"""),1)</f>
        <v>1</v>
      </c>
    </row>
    <row r="10519" spans="1:5" ht="13">
      <c r="A10519" s="2" t="str">
        <f ca="1">IFERROR(__xludf.DUMMYFUNCTION("""COMPUTED_VALUE"""),"Brown, Gary")</f>
        <v>Brown, Gary</v>
      </c>
      <c r="B10519" s="3">
        <f ca="1">IFERROR(__xludf.DUMMYFUNCTION("""COMPUTED_VALUE"""),3)</f>
        <v>3</v>
      </c>
      <c r="C10519" s="7">
        <f ca="1">IFERROR(__xludf.DUMMYFUNCTION("""COMPUTED_VALUE"""),3.1)</f>
        <v>3.1</v>
      </c>
      <c r="D10519" s="8">
        <f ca="1">IFERROR(__xludf.DUMMYFUNCTION("""COMPUTED_VALUE"""),3)</f>
        <v>3</v>
      </c>
      <c r="E10519" s="2">
        <f ca="1">IFERROR(__xludf.DUMMYFUNCTION("""COMPUTED_VALUE"""),1)</f>
        <v>1</v>
      </c>
    </row>
    <row r="10520" spans="1:5" ht="13">
      <c r="A10520" s="8" t="str">
        <f ca="1">IFERROR(__xludf.DUMMYFUNCTION("""COMPUTED_VALUE"""),"Brown, James")</f>
        <v>Brown, James</v>
      </c>
      <c r="B10520" s="3">
        <f ca="1">IFERROR(__xludf.DUMMYFUNCTION("""COMPUTED_VALUE"""),3)</f>
        <v>3</v>
      </c>
      <c r="C10520" s="7">
        <f ca="1">IFERROR(__xludf.DUMMYFUNCTION("""COMPUTED_VALUE"""),3.1)</f>
        <v>3.1</v>
      </c>
      <c r="D10520" s="8">
        <f ca="1">IFERROR(__xludf.DUMMYFUNCTION("""COMPUTED_VALUE"""),7)</f>
        <v>7</v>
      </c>
      <c r="E10520" s="2">
        <f ca="1">IFERROR(__xludf.DUMMYFUNCTION("""COMPUTED_VALUE"""),2)</f>
        <v>2</v>
      </c>
    </row>
    <row r="10521" spans="1:5" ht="13">
      <c r="A10521" s="2" t="str">
        <f ca="1">IFERROR(__xludf.DUMMYFUNCTION("""COMPUTED_VALUE"""),"Brown, Jelani")</f>
        <v>Brown, Jelani</v>
      </c>
      <c r="B10521" s="3">
        <f ca="1">IFERROR(__xludf.DUMMYFUNCTION("""COMPUTED_VALUE"""),3)</f>
        <v>3</v>
      </c>
      <c r="C10521" s="7">
        <f ca="1">IFERROR(__xludf.DUMMYFUNCTION("""COMPUTED_VALUE"""),3.1)</f>
        <v>3.1</v>
      </c>
      <c r="D10521" s="8">
        <f ca="1">IFERROR(__xludf.DUMMYFUNCTION("""COMPUTED_VALUE"""),3)</f>
        <v>3</v>
      </c>
      <c r="E10521" s="2">
        <f ca="1">IFERROR(__xludf.DUMMYFUNCTION("""COMPUTED_VALUE"""),1)</f>
        <v>1</v>
      </c>
    </row>
    <row r="10522" spans="1:5" ht="13">
      <c r="A10522" s="2" t="str">
        <f ca="1">IFERROR(__xludf.DUMMYFUNCTION("""COMPUTED_VALUE"""),"Brown, Jr., Uzee")</f>
        <v>Brown, Jr., Uzee</v>
      </c>
      <c r="B10522" s="3">
        <f ca="1">IFERROR(__xludf.DUMMYFUNCTION("""COMPUTED_VALUE"""),3)</f>
        <v>3</v>
      </c>
      <c r="C10522" s="7">
        <f ca="1">IFERROR(__xludf.DUMMYFUNCTION("""COMPUTED_VALUE"""),3.1)</f>
        <v>3.1</v>
      </c>
      <c r="D10522" s="8">
        <f ca="1">IFERROR(__xludf.DUMMYFUNCTION("""COMPUTED_VALUE"""),3)</f>
        <v>3</v>
      </c>
      <c r="E10522" s="2">
        <f ca="1">IFERROR(__xludf.DUMMYFUNCTION("""COMPUTED_VALUE"""),1)</f>
        <v>1</v>
      </c>
    </row>
    <row r="10523" spans="1:5" ht="13">
      <c r="A10523" s="8" t="str">
        <f ca="1">IFERROR(__xludf.DUMMYFUNCTION("""COMPUTED_VALUE"""),"Brown, Keith")</f>
        <v>Brown, Keith</v>
      </c>
      <c r="B10523" s="3">
        <f ca="1">IFERROR(__xludf.DUMMYFUNCTION("""COMPUTED_VALUE"""),3)</f>
        <v>3</v>
      </c>
      <c r="C10523" s="7">
        <f ca="1">IFERROR(__xludf.DUMMYFUNCTION("""COMPUTED_VALUE"""),3.1)</f>
        <v>3.1</v>
      </c>
      <c r="D10523" s="8">
        <f ca="1">IFERROR(__xludf.DUMMYFUNCTION("""COMPUTED_VALUE"""),3)</f>
        <v>3</v>
      </c>
      <c r="E10523" s="2">
        <f ca="1">IFERROR(__xludf.DUMMYFUNCTION("""COMPUTED_VALUE"""),1)</f>
        <v>1</v>
      </c>
    </row>
    <row r="10524" spans="1:5" ht="13">
      <c r="A10524" s="2" t="str">
        <f ca="1">IFERROR(__xludf.DUMMYFUNCTION("""COMPUTED_VALUE"""),"Brown, Kenneth")</f>
        <v>Brown, Kenneth</v>
      </c>
      <c r="B10524" s="2">
        <f ca="1">IFERROR(__xludf.DUMMYFUNCTION("""COMPUTED_VALUE"""),3)</f>
        <v>3</v>
      </c>
      <c r="C10524" s="2">
        <f ca="1">IFERROR(__xludf.DUMMYFUNCTION("""COMPUTED_VALUE"""),3.1)</f>
        <v>3.1</v>
      </c>
      <c r="D10524" s="8">
        <f ca="1">IFERROR(__xludf.DUMMYFUNCTION("""COMPUTED_VALUE"""),3)</f>
        <v>3</v>
      </c>
      <c r="E10524" s="2">
        <f ca="1">IFERROR(__xludf.DUMMYFUNCTION("""COMPUTED_VALUE"""),1)</f>
        <v>1</v>
      </c>
    </row>
    <row r="10525" spans="1:5" ht="13">
      <c r="A10525" s="8" t="str">
        <f ca="1">IFERROR(__xludf.DUMMYFUNCTION("""COMPUTED_VALUE"""),"Brown, Uzee")</f>
        <v>Brown, Uzee</v>
      </c>
      <c r="B10525" s="3">
        <f ca="1">IFERROR(__xludf.DUMMYFUNCTION("""COMPUTED_VALUE"""),3)</f>
        <v>3</v>
      </c>
      <c r="C10525" s="7">
        <f ca="1">IFERROR(__xludf.DUMMYFUNCTION("""COMPUTED_VALUE"""),3.1)</f>
        <v>3.1</v>
      </c>
      <c r="D10525" s="8">
        <f ca="1">IFERROR(__xludf.DUMMYFUNCTION("""COMPUTED_VALUE"""),3)</f>
        <v>3</v>
      </c>
      <c r="E10525" s="2">
        <f ca="1">IFERROR(__xludf.DUMMYFUNCTION("""COMPUTED_VALUE"""),1)</f>
        <v>1</v>
      </c>
    </row>
    <row r="10526" spans="1:5" ht="13">
      <c r="A10526" s="8" t="str">
        <f ca="1">IFERROR(__xludf.DUMMYFUNCTION("""COMPUTED_VALUE"""),"Brunson, Milton")</f>
        <v>Brunson, Milton</v>
      </c>
      <c r="B10526" s="3">
        <f ca="1">IFERROR(__xludf.DUMMYFUNCTION("""COMPUTED_VALUE"""),3)</f>
        <v>3</v>
      </c>
      <c r="C10526" s="7">
        <f ca="1">IFERROR(__xludf.DUMMYFUNCTION("""COMPUTED_VALUE"""),3.1)</f>
        <v>3.1</v>
      </c>
      <c r="D10526" s="8">
        <f ca="1">IFERROR(__xludf.DUMMYFUNCTION("""COMPUTED_VALUE"""),7)</f>
        <v>7</v>
      </c>
      <c r="E10526" s="2">
        <f ca="1">IFERROR(__xludf.DUMMYFUNCTION("""COMPUTED_VALUE"""),2)</f>
        <v>2</v>
      </c>
    </row>
    <row r="10527" spans="1:5" ht="13">
      <c r="A10527" s="8" t="str">
        <f ca="1">IFERROR(__xludf.DUMMYFUNCTION("""COMPUTED_VALUE"""),"Bryant, Ray")</f>
        <v>Bryant, Ray</v>
      </c>
      <c r="B10527" s="3">
        <f ca="1">IFERROR(__xludf.DUMMYFUNCTION("""COMPUTED_VALUE"""),3)</f>
        <v>3</v>
      </c>
      <c r="C10527" s="7">
        <f ca="1">IFERROR(__xludf.DUMMYFUNCTION("""COMPUTED_VALUE"""),3.1)</f>
        <v>3.1</v>
      </c>
      <c r="D10527" s="8">
        <f ca="1">IFERROR(__xludf.DUMMYFUNCTION("""COMPUTED_VALUE"""),7)</f>
        <v>7</v>
      </c>
      <c r="E10527" s="2">
        <f ca="1">IFERROR(__xludf.DUMMYFUNCTION("""COMPUTED_VALUE"""),2)</f>
        <v>2</v>
      </c>
    </row>
    <row r="10528" spans="1:5" ht="13">
      <c r="A10528" s="2" t="str">
        <f ca="1">IFERROR(__xludf.DUMMYFUNCTION("""COMPUTED_VALUE"""),"Budini, Rolando")</f>
        <v>Budini, Rolando</v>
      </c>
      <c r="B10528" s="3">
        <f ca="1">IFERROR(__xludf.DUMMYFUNCTION("""COMPUTED_VALUE"""),3)</f>
        <v>3</v>
      </c>
      <c r="C10528" s="7">
        <f ca="1">IFERROR(__xludf.DUMMYFUNCTION("""COMPUTED_VALUE"""),3.2)</f>
        <v>3.2</v>
      </c>
      <c r="D10528" s="8">
        <f ca="1">IFERROR(__xludf.DUMMYFUNCTION("""COMPUTED_VALUE"""),3)</f>
        <v>3</v>
      </c>
      <c r="E10528" s="2">
        <f ca="1">IFERROR(__xludf.DUMMYFUNCTION("""COMPUTED_VALUE"""),1)</f>
        <v>1</v>
      </c>
    </row>
    <row r="10529" spans="1:5" ht="13">
      <c r="A10529" s="2" t="str">
        <f ca="1">IFERROR(__xludf.DUMMYFUNCTION("""COMPUTED_VALUE"""),"Bùi, Brian")</f>
        <v>Bùi, Brian</v>
      </c>
      <c r="B10529" s="3">
        <f ca="1">IFERROR(__xludf.DUMMYFUNCTION("""COMPUTED_VALUE"""),3)</f>
        <v>3</v>
      </c>
      <c r="C10529" s="7">
        <f ca="1">IFERROR(__xludf.DUMMYFUNCTION("""COMPUTED_VALUE"""),3.9)</f>
        <v>3.9</v>
      </c>
      <c r="D10529" s="8">
        <f ca="1">IFERROR(__xludf.DUMMYFUNCTION("""COMPUTED_VALUE"""),3)</f>
        <v>3</v>
      </c>
      <c r="E10529" s="2">
        <f ca="1">IFERROR(__xludf.DUMMYFUNCTION("""COMPUTED_VALUE"""),1)</f>
        <v>1</v>
      </c>
    </row>
    <row r="10530" spans="1:5" ht="13">
      <c r="A10530" s="8" t="str">
        <f ca="1">IFERROR(__xludf.DUMMYFUNCTION("""COMPUTED_VALUE"""),"Bunch, Kenji")</f>
        <v>Bunch, Kenji</v>
      </c>
      <c r="B10530" s="3">
        <f ca="1">IFERROR(__xludf.DUMMYFUNCTION("""COMPUTED_VALUE"""),3)</f>
        <v>3</v>
      </c>
      <c r="C10530" s="7">
        <f ca="1">IFERROR(__xludf.DUMMYFUNCTION("""COMPUTED_VALUE"""),3.3)</f>
        <v>3.3</v>
      </c>
      <c r="D10530" s="8">
        <f ca="1">IFERROR(__xludf.DUMMYFUNCTION("""COMPUTED_VALUE"""),3)</f>
        <v>3</v>
      </c>
      <c r="E10530" s="2">
        <f ca="1">IFERROR(__xludf.DUMMYFUNCTION("""COMPUTED_VALUE"""),1)</f>
        <v>1</v>
      </c>
    </row>
    <row r="10531" spans="1:5" ht="13">
      <c r="A10531" s="8" t="str">
        <f ca="1">IFERROR(__xludf.DUMMYFUNCTION("""COMPUTED_VALUE"""),"Burleigh, Harry T.")</f>
        <v>Burleigh, Harry T.</v>
      </c>
      <c r="B10531" s="3">
        <f ca="1">IFERROR(__xludf.DUMMYFUNCTION("""COMPUTED_VALUE"""),3)</f>
        <v>3</v>
      </c>
      <c r="C10531" s="7">
        <f ca="1">IFERROR(__xludf.DUMMYFUNCTION("""COMPUTED_VALUE"""),3.1)</f>
        <v>3.1</v>
      </c>
      <c r="D10531" s="8">
        <f ca="1">IFERROR(__xludf.DUMMYFUNCTION("""COMPUTED_VALUE"""),7)</f>
        <v>7</v>
      </c>
      <c r="E10531" s="2">
        <f ca="1">IFERROR(__xludf.DUMMYFUNCTION("""COMPUTED_VALUE"""),2)</f>
        <v>2</v>
      </c>
    </row>
    <row r="10532" spans="1:5" ht="13">
      <c r="A10532" s="8" t="str">
        <f ca="1">IFERROR(__xludf.DUMMYFUNCTION("""COMPUTED_VALUE"""),"Burns, Reynard")</f>
        <v>Burns, Reynard</v>
      </c>
      <c r="B10532" s="3">
        <f ca="1">IFERROR(__xludf.DUMMYFUNCTION("""COMPUTED_VALUE"""),3)</f>
        <v>3</v>
      </c>
      <c r="C10532" s="7">
        <f ca="1">IFERROR(__xludf.DUMMYFUNCTION("""COMPUTED_VALUE"""),3.1)</f>
        <v>3.1</v>
      </c>
      <c r="D10532" s="8">
        <f ca="1">IFERROR(__xludf.DUMMYFUNCTION("""COMPUTED_VALUE"""),3)</f>
        <v>3</v>
      </c>
      <c r="E10532" s="2">
        <f ca="1">IFERROR(__xludf.DUMMYFUNCTION("""COMPUTED_VALUE"""),1)</f>
        <v>1</v>
      </c>
    </row>
    <row r="10533" spans="1:5" ht="13">
      <c r="A10533" s="2" t="str">
        <f ca="1">IFERROR(__xludf.DUMMYFUNCTION("""COMPUTED_VALUE"""),"Burton, Ken")</f>
        <v>Burton, Ken</v>
      </c>
      <c r="B10533" s="3">
        <f ca="1">IFERROR(__xludf.DUMMYFUNCTION("""COMPUTED_VALUE"""),3)</f>
        <v>3</v>
      </c>
      <c r="C10533" s="7">
        <f ca="1">IFERROR(__xludf.DUMMYFUNCTION("""COMPUTED_VALUE"""),3.1)</f>
        <v>3.1</v>
      </c>
      <c r="D10533" s="8">
        <f ca="1">IFERROR(__xludf.DUMMYFUNCTION("""COMPUTED_VALUE"""),3)</f>
        <v>3</v>
      </c>
      <c r="E10533" s="2">
        <f ca="1">IFERROR(__xludf.DUMMYFUNCTION("""COMPUTED_VALUE"""),1)</f>
        <v>1</v>
      </c>
    </row>
    <row r="10534" spans="1:5" ht="13">
      <c r="A10534" s="2" t="str">
        <f ca="1">IFERROR(__xludf.DUMMYFUNCTION("""COMPUTED_VALUE"""),"Buskila, Shimon")</f>
        <v>Buskila, Shimon</v>
      </c>
      <c r="B10534" s="2">
        <f ca="1">IFERROR(__xludf.DUMMYFUNCTION("""COMPUTED_VALUE"""),3)</f>
        <v>3</v>
      </c>
      <c r="C10534" s="7">
        <f ca="1">IFERROR(__xludf.DUMMYFUNCTION("""COMPUTED_VALUE"""),3.5)</f>
        <v>3.5</v>
      </c>
      <c r="D10534" s="8">
        <f ca="1">IFERROR(__xludf.DUMMYFUNCTION("""COMPUTED_VALUE"""),3)</f>
        <v>3</v>
      </c>
      <c r="E10534" s="2">
        <f ca="1">IFERROR(__xludf.DUMMYFUNCTION("""COMPUTED_VALUE"""),1)</f>
        <v>1</v>
      </c>
    </row>
    <row r="10535" spans="1:5" ht="13">
      <c r="A10535" s="2" t="str">
        <f ca="1">IFERROR(__xludf.DUMMYFUNCTION("""COMPUTED_VALUE"""),"Bustamante, José María")</f>
        <v>Bustamante, José María</v>
      </c>
      <c r="B10535" s="3">
        <f ca="1">IFERROR(__xludf.DUMMYFUNCTION("""COMPUTED_VALUE"""),3)</f>
        <v>3</v>
      </c>
      <c r="C10535" s="7">
        <f ca="1">IFERROR(__xludf.DUMMYFUNCTION("""COMPUTED_VALUE"""),3.2)</f>
        <v>3.2</v>
      </c>
      <c r="D10535" s="8">
        <f ca="1">IFERROR(__xludf.DUMMYFUNCTION("""COMPUTED_VALUE"""),7)</f>
        <v>7</v>
      </c>
      <c r="E10535" s="2">
        <f ca="1">IFERROR(__xludf.DUMMYFUNCTION("""COMPUTED_VALUE"""),2)</f>
        <v>2</v>
      </c>
    </row>
    <row r="10536" spans="1:5" ht="13">
      <c r="A10536" s="2" t="str">
        <f ca="1">IFERROR(__xludf.DUMMYFUNCTION("""COMPUTED_VALUE"""),"Butler, Mark")</f>
        <v>Butler, Mark</v>
      </c>
      <c r="B10536" s="2">
        <f ca="1">IFERROR(__xludf.DUMMYFUNCTION("""COMPUTED_VALUE"""),3)</f>
        <v>3</v>
      </c>
      <c r="C10536" s="7">
        <f ca="1">IFERROR(__xludf.DUMMYFUNCTION("""COMPUTED_VALUE"""),3.1)</f>
        <v>3.1</v>
      </c>
      <c r="D10536" s="8">
        <f ca="1">IFERROR(__xludf.DUMMYFUNCTION("""COMPUTED_VALUE"""),3)</f>
        <v>3</v>
      </c>
      <c r="E10536" s="2">
        <f ca="1">IFERROR(__xludf.DUMMYFUNCTION("""COMPUTED_VALUE"""),1)</f>
        <v>1</v>
      </c>
    </row>
    <row r="10537" spans="1:5" ht="13">
      <c r="A10537" s="2" t="str">
        <f ca="1">IFERROR(__xludf.DUMMYFUNCTION("""COMPUTED_VALUE"""),"Caballero, Manuel Fernández")</f>
        <v>Caballero, Manuel Fernández</v>
      </c>
      <c r="B10537" s="2">
        <f ca="1">IFERROR(__xludf.DUMMYFUNCTION("""COMPUTED_VALUE"""),3)</f>
        <v>3</v>
      </c>
      <c r="C10537" s="7">
        <f ca="1">IFERROR(__xludf.DUMMYFUNCTION("""COMPUTED_VALUE"""),3.2)</f>
        <v>3.2</v>
      </c>
      <c r="D10537" s="8">
        <f ca="1">IFERROR(__xludf.DUMMYFUNCTION("""COMPUTED_VALUE"""),7)</f>
        <v>7</v>
      </c>
      <c r="E10537" s="2">
        <f ca="1">IFERROR(__xludf.DUMMYFUNCTION("""COMPUTED_VALUE"""),2)</f>
        <v>2</v>
      </c>
    </row>
    <row r="10538" spans="1:5" ht="13">
      <c r="A10538" s="2" t="str">
        <f ca="1">IFERROR(__xludf.DUMMYFUNCTION("""COMPUTED_VALUE"""),"Calalang Jr, Fidel Gener")</f>
        <v>Calalang Jr, Fidel Gener</v>
      </c>
      <c r="B10538" s="3">
        <f ca="1">IFERROR(__xludf.DUMMYFUNCTION("""COMPUTED_VALUE"""),3)</f>
        <v>3</v>
      </c>
      <c r="C10538" s="7">
        <f ca="1">IFERROR(__xludf.DUMMYFUNCTION("""COMPUTED_VALUE"""),3.3)</f>
        <v>3.3</v>
      </c>
      <c r="D10538" s="8">
        <f ca="1">IFERROR(__xludf.DUMMYFUNCTION("""COMPUTED_VALUE"""),3)</f>
        <v>3</v>
      </c>
      <c r="E10538" s="2">
        <f ca="1">IFERROR(__xludf.DUMMYFUNCTION("""COMPUTED_VALUE"""),1)</f>
        <v>1</v>
      </c>
    </row>
    <row r="10539" spans="1:5" ht="13">
      <c r="A10539" s="2" t="str">
        <f ca="1">IFERROR(__xludf.DUMMYFUNCTION("""COMPUTED_VALUE"""),"Calhoun, Charles (aka Jesse Stone)")</f>
        <v>Calhoun, Charles (aka Jesse Stone)</v>
      </c>
      <c r="B10539" s="2">
        <f ca="1">IFERROR(__xludf.DUMMYFUNCTION("""COMPUTED_VALUE"""),3)</f>
        <v>3</v>
      </c>
      <c r="C10539" s="2">
        <f ca="1">IFERROR(__xludf.DUMMYFUNCTION("""COMPUTED_VALUE"""),3.1)</f>
        <v>3.1</v>
      </c>
      <c r="D10539" s="8">
        <f ca="1">IFERROR(__xludf.DUMMYFUNCTION("""COMPUTED_VALUE"""),7)</f>
        <v>7</v>
      </c>
      <c r="E10539" s="2">
        <f ca="1">IFERROR(__xludf.DUMMYFUNCTION("""COMPUTED_VALUE"""),2)</f>
        <v>2</v>
      </c>
    </row>
    <row r="10540" spans="1:5" ht="13">
      <c r="A10540" s="2" t="str">
        <f ca="1">IFERROR(__xludf.DUMMYFUNCTION("""COMPUTED_VALUE"""),"Calle, Ed")</f>
        <v>Calle, Ed</v>
      </c>
      <c r="B10540" s="3">
        <f ca="1">IFERROR(__xludf.DUMMYFUNCTION("""COMPUTED_VALUE"""),3)</f>
        <v>3</v>
      </c>
      <c r="C10540" s="7">
        <f ca="1">IFERROR(__xludf.DUMMYFUNCTION("""COMPUTED_VALUE"""),3.2)</f>
        <v>3.2</v>
      </c>
      <c r="D10540" s="8">
        <f ca="1">IFERROR(__xludf.DUMMYFUNCTION("""COMPUTED_VALUE"""),3)</f>
        <v>3</v>
      </c>
      <c r="E10540" s="2">
        <f ca="1">IFERROR(__xludf.DUMMYFUNCTION("""COMPUTED_VALUE"""),1)</f>
        <v>1</v>
      </c>
    </row>
    <row r="10541" spans="1:5" ht="13">
      <c r="A10541" s="8" t="str">
        <f ca="1">IFERROR(__xludf.DUMMYFUNCTION("""COMPUTED_VALUE"""),"Calleja, Jorge")</f>
        <v>Calleja, Jorge</v>
      </c>
      <c r="B10541" s="3">
        <f ca="1">IFERROR(__xludf.DUMMYFUNCTION("""COMPUTED_VALUE"""),3)</f>
        <v>3</v>
      </c>
      <c r="C10541" s="7">
        <f ca="1">IFERROR(__xludf.DUMMYFUNCTION("""COMPUTED_VALUE"""),3.2)</f>
        <v>3.2</v>
      </c>
      <c r="D10541" s="8">
        <f ca="1">IFERROR(__xludf.DUMMYFUNCTION("""COMPUTED_VALUE"""),3)</f>
        <v>3</v>
      </c>
      <c r="E10541" s="2">
        <f ca="1">IFERROR(__xludf.DUMMYFUNCTION("""COMPUTED_VALUE"""),1)</f>
        <v>1</v>
      </c>
    </row>
    <row r="10542" spans="1:5" ht="13">
      <c r="A10542" s="2" t="str">
        <f ca="1">IFERROR(__xludf.DUMMYFUNCTION("""COMPUTED_VALUE"""),"Calloway, Reginald")</f>
        <v>Calloway, Reginald</v>
      </c>
      <c r="B10542" s="3">
        <f ca="1">IFERROR(__xludf.DUMMYFUNCTION("""COMPUTED_VALUE"""),3)</f>
        <v>3</v>
      </c>
      <c r="C10542" s="7">
        <f ca="1">IFERROR(__xludf.DUMMYFUNCTION("""COMPUTED_VALUE"""),3.1)</f>
        <v>3.1</v>
      </c>
      <c r="D10542" s="8">
        <f ca="1">IFERROR(__xludf.DUMMYFUNCTION("""COMPUTED_VALUE"""),3)</f>
        <v>3</v>
      </c>
      <c r="E10542" s="2">
        <f ca="1">IFERROR(__xludf.DUMMYFUNCTION("""COMPUTED_VALUE"""),1)</f>
        <v>1</v>
      </c>
    </row>
    <row r="10543" spans="1:5" ht="13">
      <c r="A10543" s="2" t="str">
        <f ca="1">IFERROR(__xludf.DUMMYFUNCTION("""COMPUTED_VALUE"""),"Calvar, Peppie")</f>
        <v>Calvar, Peppie</v>
      </c>
      <c r="B10543" s="2">
        <f ca="1">IFERROR(__xludf.DUMMYFUNCTION("""COMPUTED_VALUE"""),3)</f>
        <v>3</v>
      </c>
      <c r="C10543" s="2">
        <f ca="1">IFERROR(__xludf.DUMMYFUNCTION("""COMPUTED_VALUE"""),3.2)</f>
        <v>3.2</v>
      </c>
      <c r="D10543" s="8">
        <f ca="1">IFERROR(__xludf.DUMMYFUNCTION("""COMPUTED_VALUE"""),3)</f>
        <v>3</v>
      </c>
      <c r="E10543" s="2">
        <f ca="1">IFERROR(__xludf.DUMMYFUNCTION("""COMPUTED_VALUE"""),1)</f>
        <v>1</v>
      </c>
    </row>
    <row r="10544" spans="1:5" ht="13">
      <c r="A10544" s="2" t="str">
        <f ca="1">IFERROR(__xludf.DUMMYFUNCTION("""COMPUTED_VALUE"""),"Camacho, Hermes")</f>
        <v>Camacho, Hermes</v>
      </c>
      <c r="B10544" s="3">
        <f ca="1">IFERROR(__xludf.DUMMYFUNCTION("""COMPUTED_VALUE"""),3)</f>
        <v>3</v>
      </c>
      <c r="C10544" s="7">
        <f ca="1">IFERROR(__xludf.DUMMYFUNCTION("""COMPUTED_VALUE"""),3.2)</f>
        <v>3.2</v>
      </c>
      <c r="D10544" s="8">
        <f ca="1">IFERROR(__xludf.DUMMYFUNCTION("""COMPUTED_VALUE"""),3)</f>
        <v>3</v>
      </c>
      <c r="E10544" s="2">
        <f ca="1">IFERROR(__xludf.DUMMYFUNCTION("""COMPUTED_VALUE"""),1)</f>
        <v>1</v>
      </c>
    </row>
    <row r="10545" spans="1:5" ht="13">
      <c r="A10545" s="8" t="str">
        <f ca="1">IFERROR(__xludf.DUMMYFUNCTION("""COMPUTED_VALUE"""),"Camilo, Michel")</f>
        <v>Camilo, Michel</v>
      </c>
      <c r="B10545" s="3">
        <f ca="1">IFERROR(__xludf.DUMMYFUNCTION("""COMPUTED_VALUE"""),3)</f>
        <v>3</v>
      </c>
      <c r="C10545" s="7">
        <f ca="1">IFERROR(__xludf.DUMMYFUNCTION("""COMPUTED_VALUE"""),3.2)</f>
        <v>3.2</v>
      </c>
      <c r="D10545" s="8">
        <f ca="1">IFERROR(__xludf.DUMMYFUNCTION("""COMPUTED_VALUE"""),3)</f>
        <v>3</v>
      </c>
      <c r="E10545" s="2">
        <f ca="1">IFERROR(__xludf.DUMMYFUNCTION("""COMPUTED_VALUE"""),1)</f>
        <v>1</v>
      </c>
    </row>
    <row r="10546" spans="1:5" ht="13">
      <c r="A10546" s="2" t="str">
        <f ca="1">IFERROR(__xludf.DUMMYFUNCTION("""COMPUTED_VALUE"""),"Campa, Gustavo")</f>
        <v>Campa, Gustavo</v>
      </c>
      <c r="B10546" s="3">
        <f ca="1">IFERROR(__xludf.DUMMYFUNCTION("""COMPUTED_VALUE"""),3)</f>
        <v>3</v>
      </c>
      <c r="C10546" s="7">
        <f ca="1">IFERROR(__xludf.DUMMYFUNCTION("""COMPUTED_VALUE"""),3.2)</f>
        <v>3.2</v>
      </c>
      <c r="D10546" s="8">
        <f ca="1">IFERROR(__xludf.DUMMYFUNCTION("""COMPUTED_VALUE"""),7)</f>
        <v>7</v>
      </c>
      <c r="E10546" s="2">
        <f ca="1">IFERROR(__xludf.DUMMYFUNCTION("""COMPUTED_VALUE"""),2)</f>
        <v>2</v>
      </c>
    </row>
    <row r="10547" spans="1:5" ht="13">
      <c r="A10547" s="2" t="str">
        <f ca="1">IFERROR(__xludf.DUMMYFUNCTION("""COMPUTED_VALUE"""),"Campbell, Mathew")</f>
        <v>Campbell, Mathew</v>
      </c>
      <c r="B10547" s="2">
        <f ca="1">IFERROR(__xludf.DUMMYFUNCTION("""COMPUTED_VALUE"""),3)</f>
        <v>3</v>
      </c>
      <c r="C10547" s="7">
        <f ca="1">IFERROR(__xludf.DUMMYFUNCTION("""COMPUTED_VALUE"""),3.2)</f>
        <v>3.2</v>
      </c>
      <c r="D10547" s="8">
        <f ca="1">IFERROR(__xludf.DUMMYFUNCTION("""COMPUTED_VALUE"""),3)</f>
        <v>3</v>
      </c>
      <c r="E10547" s="2">
        <f ca="1">IFERROR(__xludf.DUMMYFUNCTION("""COMPUTED_VALUE"""),1)</f>
        <v>1</v>
      </c>
    </row>
    <row r="10548" spans="1:5" ht="13">
      <c r="A10548" s="8" t="str">
        <f ca="1">IFERROR(__xludf.DUMMYFUNCTION("""COMPUTED_VALUE"""),"Campos Parsi, Héctor")</f>
        <v>Campos Parsi, Héctor</v>
      </c>
      <c r="B10548" s="3">
        <f ca="1">IFERROR(__xludf.DUMMYFUNCTION("""COMPUTED_VALUE"""),3)</f>
        <v>3</v>
      </c>
      <c r="C10548" s="7">
        <f ca="1">IFERROR(__xludf.DUMMYFUNCTION("""COMPUTED_VALUE"""),3.2)</f>
        <v>3.2</v>
      </c>
      <c r="D10548" s="8">
        <f ca="1">IFERROR(__xludf.DUMMYFUNCTION("""COMPUTED_VALUE"""),7)</f>
        <v>7</v>
      </c>
      <c r="E10548" s="2">
        <f ca="1">IFERROR(__xludf.DUMMYFUNCTION("""COMPUTED_VALUE"""),2)</f>
        <v>2</v>
      </c>
    </row>
    <row r="10549" spans="1:5" ht="13">
      <c r="A10549" s="8" t="str">
        <f ca="1">IFERROR(__xludf.DUMMYFUNCTION("""COMPUTED_VALUE"""),"Campos, Juan Morel")</f>
        <v>Campos, Juan Morel</v>
      </c>
      <c r="B10549" s="3">
        <f ca="1">IFERROR(__xludf.DUMMYFUNCTION("""COMPUTED_VALUE"""),3)</f>
        <v>3</v>
      </c>
      <c r="C10549" s="7">
        <f ca="1">IFERROR(__xludf.DUMMYFUNCTION("""COMPUTED_VALUE"""),3.2)</f>
        <v>3.2</v>
      </c>
      <c r="D10549" s="8">
        <f ca="1">IFERROR(__xludf.DUMMYFUNCTION("""COMPUTED_VALUE"""),7)</f>
        <v>7</v>
      </c>
      <c r="E10549" s="2">
        <f ca="1">IFERROR(__xludf.DUMMYFUNCTION("""COMPUTED_VALUE"""),2)</f>
        <v>2</v>
      </c>
    </row>
    <row r="10550" spans="1:5" ht="13">
      <c r="A10550" s="2" t="str">
        <f ca="1">IFERROR(__xludf.DUMMYFUNCTION("""COMPUTED_VALUE"""),"Cantoral, Robert")</f>
        <v>Cantoral, Robert</v>
      </c>
      <c r="B10550" s="3">
        <f ca="1">IFERROR(__xludf.DUMMYFUNCTION("""COMPUTED_VALUE"""),3)</f>
        <v>3</v>
      </c>
      <c r="C10550" s="7">
        <f ca="1">IFERROR(__xludf.DUMMYFUNCTION("""COMPUTED_VALUE"""),3.2)</f>
        <v>3.2</v>
      </c>
      <c r="D10550" s="8">
        <f ca="1">IFERROR(__xludf.DUMMYFUNCTION("""COMPUTED_VALUE"""),7)</f>
        <v>7</v>
      </c>
      <c r="E10550" s="2">
        <f ca="1">IFERROR(__xludf.DUMMYFUNCTION("""COMPUTED_VALUE"""),2)</f>
        <v>2</v>
      </c>
    </row>
    <row r="10551" spans="1:5" ht="13">
      <c r="A10551" s="2" t="str">
        <f ca="1">IFERROR(__xludf.DUMMYFUNCTION("""COMPUTED_VALUE"""),"Cantoral, Roberto")</f>
        <v>Cantoral, Roberto</v>
      </c>
      <c r="B10551" s="2">
        <f ca="1">IFERROR(__xludf.DUMMYFUNCTION("""COMPUTED_VALUE"""),3)</f>
        <v>3</v>
      </c>
      <c r="C10551" s="7">
        <f ca="1">IFERROR(__xludf.DUMMYFUNCTION("""COMPUTED_VALUE"""),3.2)</f>
        <v>3.2</v>
      </c>
      <c r="D10551" s="8">
        <f ca="1">IFERROR(__xludf.DUMMYFUNCTION("""COMPUTED_VALUE"""),7)</f>
        <v>7</v>
      </c>
      <c r="E10551" s="2">
        <f ca="1">IFERROR(__xludf.DUMMYFUNCTION("""COMPUTED_VALUE"""),2)</f>
        <v>2</v>
      </c>
    </row>
    <row r="10552" spans="1:5" ht="13">
      <c r="A10552" s="2" t="str">
        <f ca="1">IFERROR(__xludf.DUMMYFUNCTION("""COMPUTED_VALUE"""),"Capillas, Francisco López")</f>
        <v>Capillas, Francisco López</v>
      </c>
      <c r="B10552" s="3">
        <f ca="1">IFERROR(__xludf.DUMMYFUNCTION("""COMPUTED_VALUE"""),3)</f>
        <v>3</v>
      </c>
      <c r="C10552" s="7">
        <f ca="1">IFERROR(__xludf.DUMMYFUNCTION("""COMPUTED_VALUE"""),3.2)</f>
        <v>3.2</v>
      </c>
      <c r="D10552" s="8">
        <f ca="1">IFERROR(__xludf.DUMMYFUNCTION("""COMPUTED_VALUE"""),7)</f>
        <v>7</v>
      </c>
      <c r="E10552" s="2">
        <f ca="1">IFERROR(__xludf.DUMMYFUNCTION("""COMPUTED_VALUE"""),2)</f>
        <v>2</v>
      </c>
    </row>
    <row r="10553" spans="1:5" ht="13">
      <c r="A10553" s="2" t="str">
        <f ca="1">IFERROR(__xludf.DUMMYFUNCTION("""COMPUTED_VALUE"""),"Capó, Bobby")</f>
        <v>Capó, Bobby</v>
      </c>
      <c r="B10553" s="3">
        <f ca="1">IFERROR(__xludf.DUMMYFUNCTION("""COMPUTED_VALUE"""),3)</f>
        <v>3</v>
      </c>
      <c r="C10553" s="7">
        <f ca="1">IFERROR(__xludf.DUMMYFUNCTION("""COMPUTED_VALUE"""),3.2)</f>
        <v>3.2</v>
      </c>
      <c r="D10553" s="8">
        <f ca="1">IFERROR(__xludf.DUMMYFUNCTION("""COMPUTED_VALUE"""),3)</f>
        <v>3</v>
      </c>
      <c r="E10553" s="2">
        <f ca="1">IFERROR(__xludf.DUMMYFUNCTION("""COMPUTED_VALUE"""),1)</f>
        <v>1</v>
      </c>
    </row>
    <row r="10554" spans="1:5" ht="13">
      <c r="A10554" s="2" t="str">
        <f ca="1">IFERROR(__xludf.DUMMYFUNCTION("""COMPUTED_VALUE"""),"Cardona, Alejandro")</f>
        <v>Cardona, Alejandro</v>
      </c>
      <c r="B10554" s="2">
        <f ca="1">IFERROR(__xludf.DUMMYFUNCTION("""COMPUTED_VALUE"""),3)</f>
        <v>3</v>
      </c>
      <c r="C10554" s="7">
        <f ca="1">IFERROR(__xludf.DUMMYFUNCTION("""COMPUTED_VALUE"""),3.2)</f>
        <v>3.2</v>
      </c>
      <c r="D10554" s="8">
        <f ca="1">IFERROR(__xludf.DUMMYFUNCTION("""COMPUTED_VALUE"""),3)</f>
        <v>3</v>
      </c>
      <c r="E10554" s="2">
        <f ca="1">IFERROR(__xludf.DUMMYFUNCTION("""COMPUTED_VALUE"""),1)</f>
        <v>1</v>
      </c>
    </row>
    <row r="10555" spans="1:5" ht="13">
      <c r="A10555" s="8" t="str">
        <f ca="1">IFERROR(__xludf.DUMMYFUNCTION("""COMPUTED_VALUE"""),"Carlos Gomes, Antônio")</f>
        <v>Carlos Gomes, Antônio</v>
      </c>
      <c r="B10555" s="3">
        <f ca="1">IFERROR(__xludf.DUMMYFUNCTION("""COMPUTED_VALUE"""),3)</f>
        <v>3</v>
      </c>
      <c r="C10555" s="7">
        <f ca="1">IFERROR(__xludf.DUMMYFUNCTION("""COMPUTED_VALUE"""),3.2)</f>
        <v>3.2</v>
      </c>
      <c r="D10555" s="8">
        <f ca="1">IFERROR(__xludf.DUMMYFUNCTION("""COMPUTED_VALUE"""),7)</f>
        <v>7</v>
      </c>
      <c r="E10555" s="2">
        <f ca="1">IFERROR(__xludf.DUMMYFUNCTION("""COMPUTED_VALUE"""),2)</f>
        <v>2</v>
      </c>
    </row>
    <row r="10556" spans="1:5" ht="13">
      <c r="A10556" s="2" t="str">
        <f ca="1">IFERROR(__xludf.DUMMYFUNCTION("""COMPUTED_VALUE"""),"Carmenates, Omar")</f>
        <v>Carmenates, Omar</v>
      </c>
      <c r="B10556" s="3">
        <f ca="1">IFERROR(__xludf.DUMMYFUNCTION("""COMPUTED_VALUE"""),3)</f>
        <v>3</v>
      </c>
      <c r="C10556" s="7">
        <f ca="1">IFERROR(__xludf.DUMMYFUNCTION("""COMPUTED_VALUE"""),3.2)</f>
        <v>3.2</v>
      </c>
      <c r="D10556" s="8">
        <f ca="1">IFERROR(__xludf.DUMMYFUNCTION("""COMPUTED_VALUE"""),3)</f>
        <v>3</v>
      </c>
      <c r="E10556" s="2">
        <f ca="1">IFERROR(__xludf.DUMMYFUNCTION("""COMPUTED_VALUE"""),1)</f>
        <v>1</v>
      </c>
    </row>
    <row r="10557" spans="1:5" ht="13">
      <c r="A10557" s="8" t="str">
        <f ca="1">IFERROR(__xludf.DUMMYFUNCTION("""COMPUTED_VALUE"""),"Carpenter, Timothy")</f>
        <v>Carpenter, Timothy</v>
      </c>
      <c r="B10557" s="3">
        <f ca="1">IFERROR(__xludf.DUMMYFUNCTION("""COMPUTED_VALUE"""),3)</f>
        <v>3</v>
      </c>
      <c r="C10557" s="7">
        <f ca="1">IFERROR(__xludf.DUMMYFUNCTION("""COMPUTED_VALUE"""),3.1)</f>
        <v>3.1</v>
      </c>
      <c r="D10557" s="8">
        <f ca="1">IFERROR(__xludf.DUMMYFUNCTION("""COMPUTED_VALUE"""),3)</f>
        <v>3</v>
      </c>
      <c r="E10557" s="2">
        <f ca="1">IFERROR(__xludf.DUMMYFUNCTION("""COMPUTED_VALUE"""),1)</f>
        <v>1</v>
      </c>
    </row>
    <row r="10558" spans="1:5" ht="13">
      <c r="A10558" s="2" t="str">
        <f ca="1">IFERROR(__xludf.DUMMYFUNCTION("""COMPUTED_VALUE"""),"Carr, Kurt")</f>
        <v>Carr, Kurt</v>
      </c>
      <c r="B10558" s="3">
        <f ca="1">IFERROR(__xludf.DUMMYFUNCTION("""COMPUTED_VALUE"""),3)</f>
        <v>3</v>
      </c>
      <c r="C10558" s="7">
        <f ca="1">IFERROR(__xludf.DUMMYFUNCTION("""COMPUTED_VALUE"""),3.1)</f>
        <v>3.1</v>
      </c>
      <c r="D10558" s="8">
        <f ca="1">IFERROR(__xludf.DUMMYFUNCTION("""COMPUTED_VALUE"""),3)</f>
        <v>3</v>
      </c>
      <c r="E10558" s="2">
        <f ca="1">IFERROR(__xludf.DUMMYFUNCTION("""COMPUTED_VALUE"""),1)</f>
        <v>1</v>
      </c>
    </row>
    <row r="10559" spans="1:5" ht="13">
      <c r="A10559" s="2" t="str">
        <f ca="1">IFERROR(__xludf.DUMMYFUNCTION("""COMPUTED_VALUE"""),"Carrasco, José Gorgonio Cortés")</f>
        <v>Carrasco, José Gorgonio Cortés</v>
      </c>
      <c r="B10559" s="3">
        <f ca="1">IFERROR(__xludf.DUMMYFUNCTION("""COMPUTED_VALUE"""),3)</f>
        <v>3</v>
      </c>
      <c r="C10559" s="7">
        <f ca="1">IFERROR(__xludf.DUMMYFUNCTION("""COMPUTED_VALUE"""),3.2)</f>
        <v>3.2</v>
      </c>
      <c r="D10559" s="8">
        <f ca="1">IFERROR(__xludf.DUMMYFUNCTION("""COMPUTED_VALUE"""),7)</f>
        <v>7</v>
      </c>
      <c r="E10559" s="2">
        <f ca="1">IFERROR(__xludf.DUMMYFUNCTION("""COMPUTED_VALUE"""),2)</f>
        <v>2</v>
      </c>
    </row>
    <row r="10560" spans="1:5" ht="13">
      <c r="A10560" s="8" t="str">
        <f ca="1">IFERROR(__xludf.DUMMYFUNCTION("""COMPUTED_VALUE"""),"Carreño, Inocente")</f>
        <v>Carreño, Inocente</v>
      </c>
      <c r="B10560" s="3">
        <f ca="1">IFERROR(__xludf.DUMMYFUNCTION("""COMPUTED_VALUE"""),3)</f>
        <v>3</v>
      </c>
      <c r="C10560" s="7">
        <f ca="1">IFERROR(__xludf.DUMMYFUNCTION("""COMPUTED_VALUE"""),3.2)</f>
        <v>3.2</v>
      </c>
      <c r="D10560" s="8">
        <f ca="1">IFERROR(__xludf.DUMMYFUNCTION("""COMPUTED_VALUE"""),7)</f>
        <v>7</v>
      </c>
      <c r="E10560" s="2">
        <f ca="1">IFERROR(__xludf.DUMMYFUNCTION("""COMPUTED_VALUE"""),2)</f>
        <v>2</v>
      </c>
    </row>
    <row r="10561" spans="1:5" ht="13">
      <c r="A10561" s="2" t="str">
        <f ca="1">IFERROR(__xludf.DUMMYFUNCTION("""COMPUTED_VALUE"""),"Carrillo, César")</f>
        <v>Carrillo, César</v>
      </c>
      <c r="B10561" s="3">
        <f ca="1">IFERROR(__xludf.DUMMYFUNCTION("""COMPUTED_VALUE"""),3)</f>
        <v>3</v>
      </c>
      <c r="C10561" s="7">
        <f ca="1">IFERROR(__xludf.DUMMYFUNCTION("""COMPUTED_VALUE"""),3.2)</f>
        <v>3.2</v>
      </c>
      <c r="D10561" s="8">
        <f ca="1">IFERROR(__xludf.DUMMYFUNCTION("""COMPUTED_VALUE"""),3)</f>
        <v>3</v>
      </c>
      <c r="E10561" s="2">
        <f ca="1">IFERROR(__xludf.DUMMYFUNCTION("""COMPUTED_VALUE"""),1)</f>
        <v>1</v>
      </c>
    </row>
    <row r="10562" spans="1:5" ht="13">
      <c r="A10562" s="2" t="str">
        <f ca="1">IFERROR(__xludf.DUMMYFUNCTION("""COMPUTED_VALUE"""),"Carrillo, César Alejandro")</f>
        <v>Carrillo, César Alejandro</v>
      </c>
      <c r="B10562" s="3">
        <f ca="1">IFERROR(__xludf.DUMMYFUNCTION("""COMPUTED_VALUE"""),3)</f>
        <v>3</v>
      </c>
      <c r="C10562" s="7">
        <f ca="1">IFERROR(__xludf.DUMMYFUNCTION("""COMPUTED_VALUE"""),3.2)</f>
        <v>3.2</v>
      </c>
      <c r="D10562" s="8">
        <f ca="1">IFERROR(__xludf.DUMMYFUNCTION("""COMPUTED_VALUE"""),3)</f>
        <v>3</v>
      </c>
      <c r="E10562" s="2">
        <f ca="1">IFERROR(__xludf.DUMMYFUNCTION("""COMPUTED_VALUE"""),1)</f>
        <v>1</v>
      </c>
    </row>
    <row r="10563" spans="1:5" ht="13">
      <c r="A10563" s="2" t="str">
        <f ca="1">IFERROR(__xludf.DUMMYFUNCTION("""COMPUTED_VALUE"""),"Carrillo, Juan")</f>
        <v>Carrillo, Juan</v>
      </c>
      <c r="B10563" s="3">
        <f ca="1">IFERROR(__xludf.DUMMYFUNCTION("""COMPUTED_VALUE"""),3)</f>
        <v>3</v>
      </c>
      <c r="C10563" s="7">
        <f ca="1">IFERROR(__xludf.DUMMYFUNCTION("""COMPUTED_VALUE"""),3.2)</f>
        <v>3.2</v>
      </c>
      <c r="D10563" s="8">
        <f ca="1">IFERROR(__xludf.DUMMYFUNCTION("""COMPUTED_VALUE"""),3)</f>
        <v>3</v>
      </c>
      <c r="E10563" s="2">
        <f ca="1">IFERROR(__xludf.DUMMYFUNCTION("""COMPUTED_VALUE"""),1)</f>
        <v>1</v>
      </c>
    </row>
    <row r="10564" spans="1:5" ht="13">
      <c r="A10564" s="2" t="str">
        <f ca="1">IFERROR(__xludf.DUMMYFUNCTION("""COMPUTED_VALUE"""),"Carroll, Howard")</f>
        <v>Carroll, Howard</v>
      </c>
      <c r="B10564" s="3">
        <f ca="1">IFERROR(__xludf.DUMMYFUNCTION("""COMPUTED_VALUE"""),3)</f>
        <v>3</v>
      </c>
      <c r="C10564" s="7">
        <f ca="1">IFERROR(__xludf.DUMMYFUNCTION("""COMPUTED_VALUE"""),3.1)</f>
        <v>3.1</v>
      </c>
      <c r="D10564" s="8">
        <f ca="1">IFERROR(__xludf.DUMMYFUNCTION("""COMPUTED_VALUE"""),7)</f>
        <v>7</v>
      </c>
      <c r="E10564" s="2">
        <f ca="1">IFERROR(__xludf.DUMMYFUNCTION("""COMPUTED_VALUE"""),2)</f>
        <v>2</v>
      </c>
    </row>
    <row r="10565" spans="1:5" ht="13">
      <c r="A10565" s="8" t="str">
        <f ca="1">IFERROR(__xludf.DUMMYFUNCTION("""COMPUTED_VALUE"""),"Carroll, Raynor")</f>
        <v>Carroll, Raynor</v>
      </c>
      <c r="B10565" s="3">
        <f ca="1">IFERROR(__xludf.DUMMYFUNCTION("""COMPUTED_VALUE"""),3)</f>
        <v>3</v>
      </c>
      <c r="C10565" s="7">
        <f ca="1">IFERROR(__xludf.DUMMYFUNCTION("""COMPUTED_VALUE"""),3.1)</f>
        <v>3.1</v>
      </c>
      <c r="D10565" s="8">
        <f ca="1">IFERROR(__xludf.DUMMYFUNCTION("""COMPUTED_VALUE"""),3)</f>
        <v>3</v>
      </c>
      <c r="E10565" s="2">
        <f ca="1">IFERROR(__xludf.DUMMYFUNCTION("""COMPUTED_VALUE"""),1)</f>
        <v>1</v>
      </c>
    </row>
    <row r="10566" spans="1:5" ht="13">
      <c r="A10566" s="8" t="str">
        <f ca="1">IFERROR(__xludf.DUMMYFUNCTION("""COMPUTED_VALUE"""),"Carter, Benny")</f>
        <v>Carter, Benny</v>
      </c>
      <c r="B10566" s="3">
        <f ca="1">IFERROR(__xludf.DUMMYFUNCTION("""COMPUTED_VALUE"""),3)</f>
        <v>3</v>
      </c>
      <c r="C10566" s="7">
        <f ca="1">IFERROR(__xludf.DUMMYFUNCTION("""COMPUTED_VALUE"""),3.1)</f>
        <v>3.1</v>
      </c>
      <c r="D10566" s="8">
        <f ca="1">IFERROR(__xludf.DUMMYFUNCTION("""COMPUTED_VALUE"""),7)</f>
        <v>7</v>
      </c>
      <c r="E10566" s="2">
        <f ca="1">IFERROR(__xludf.DUMMYFUNCTION("""COMPUTED_VALUE"""),2)</f>
        <v>2</v>
      </c>
    </row>
    <row r="10567" spans="1:5" ht="13">
      <c r="A10567" s="8" t="str">
        <f ca="1">IFERROR(__xludf.DUMMYFUNCTION("""COMPUTED_VALUE"""),"Carter, Derek Douglas")</f>
        <v>Carter, Derek Douglas</v>
      </c>
      <c r="B10567" s="3">
        <f ca="1">IFERROR(__xludf.DUMMYFUNCTION("""COMPUTED_VALUE"""),3)</f>
        <v>3</v>
      </c>
      <c r="C10567" s="7">
        <f ca="1">IFERROR(__xludf.DUMMYFUNCTION("""COMPUTED_VALUE"""),3.1)</f>
        <v>3.1</v>
      </c>
      <c r="D10567" s="8">
        <f ca="1">IFERROR(__xludf.DUMMYFUNCTION("""COMPUTED_VALUE"""),3)</f>
        <v>3</v>
      </c>
      <c r="E10567" s="2">
        <f ca="1">IFERROR(__xludf.DUMMYFUNCTION("""COMPUTED_VALUE"""),1)</f>
        <v>1</v>
      </c>
    </row>
    <row r="10568" spans="1:5" ht="13">
      <c r="A10568" s="2" t="str">
        <f ca="1">IFERROR(__xludf.DUMMYFUNCTION("""COMPUTED_VALUE"""),"Carter, Jr., Nathan Mitchell")</f>
        <v>Carter, Jr., Nathan Mitchell</v>
      </c>
      <c r="B10568" s="3">
        <f ca="1">IFERROR(__xludf.DUMMYFUNCTION("""COMPUTED_VALUE"""),3)</f>
        <v>3</v>
      </c>
      <c r="C10568" s="7">
        <f ca="1">IFERROR(__xludf.DUMMYFUNCTION("""COMPUTED_VALUE"""),3.1)</f>
        <v>3.1</v>
      </c>
      <c r="D10568" s="8">
        <f ca="1">IFERROR(__xludf.DUMMYFUNCTION("""COMPUTED_VALUE"""),7)</f>
        <v>7</v>
      </c>
      <c r="E10568" s="2">
        <f ca="1">IFERROR(__xludf.DUMMYFUNCTION("""COMPUTED_VALUE"""),2)</f>
        <v>2</v>
      </c>
    </row>
    <row r="10569" spans="1:5" ht="13">
      <c r="A10569" s="2" t="str">
        <f ca="1">IFERROR(__xludf.DUMMYFUNCTION("""COMPUTED_VALUE"""),"Carter, Roland")</f>
        <v>Carter, Roland</v>
      </c>
      <c r="B10569" s="2">
        <f ca="1">IFERROR(__xludf.DUMMYFUNCTION("""COMPUTED_VALUE"""),3)</f>
        <v>3</v>
      </c>
      <c r="C10569" s="7">
        <f ca="1">IFERROR(__xludf.DUMMYFUNCTION("""COMPUTED_VALUE"""),3.1)</f>
        <v>3.1</v>
      </c>
      <c r="D10569" s="8">
        <f ca="1">IFERROR(__xludf.DUMMYFUNCTION("""COMPUTED_VALUE"""),3)</f>
        <v>3</v>
      </c>
      <c r="E10569" s="2">
        <f ca="1">IFERROR(__xludf.DUMMYFUNCTION("""COMPUTED_VALUE"""),1)</f>
        <v>1</v>
      </c>
    </row>
    <row r="10570" spans="1:5" ht="13">
      <c r="A10570" s="8" t="str">
        <f ca="1">IFERROR(__xludf.DUMMYFUNCTION("""COMPUTED_VALUE"""),"Carter, Ron")</f>
        <v>Carter, Ron</v>
      </c>
      <c r="B10570" s="3">
        <f ca="1">IFERROR(__xludf.DUMMYFUNCTION("""COMPUTED_VALUE"""),3)</f>
        <v>3</v>
      </c>
      <c r="C10570" s="7">
        <f ca="1">IFERROR(__xludf.DUMMYFUNCTION("""COMPUTED_VALUE"""),3.1)</f>
        <v>3.1</v>
      </c>
      <c r="D10570" s="8">
        <f ca="1">IFERROR(__xludf.DUMMYFUNCTION("""COMPUTED_VALUE"""),3)</f>
        <v>3</v>
      </c>
      <c r="E10570" s="2">
        <f ca="1">IFERROR(__xludf.DUMMYFUNCTION("""COMPUTED_VALUE"""),1)</f>
        <v>1</v>
      </c>
    </row>
    <row r="10571" spans="1:5" ht="13">
      <c r="A10571" s="8" t="str">
        <f ca="1">IFERROR(__xludf.DUMMYFUNCTION("""COMPUTED_VALUE"""),"Casellas, Stephen Vincent")</f>
        <v>Casellas, Stephen Vincent</v>
      </c>
      <c r="B10571" s="3">
        <f ca="1">IFERROR(__xludf.DUMMYFUNCTION("""COMPUTED_VALUE"""),3)</f>
        <v>3</v>
      </c>
      <c r="C10571" s="7">
        <f ca="1">IFERROR(__xludf.DUMMYFUNCTION("""COMPUTED_VALUE"""),3.2)</f>
        <v>3.2</v>
      </c>
      <c r="D10571" s="8">
        <f ca="1">IFERROR(__xludf.DUMMYFUNCTION("""COMPUTED_VALUE"""),3)</f>
        <v>3</v>
      </c>
      <c r="E10571" s="2">
        <f ca="1">IFERROR(__xludf.DUMMYFUNCTION("""COMPUTED_VALUE"""),1)</f>
        <v>1</v>
      </c>
    </row>
    <row r="10572" spans="1:5" ht="13">
      <c r="A10572" s="2" t="str">
        <f ca="1">IFERROR(__xludf.DUMMYFUNCTION("""COMPUTED_VALUE"""),"Castañeda, Edmar")</f>
        <v>Castañeda, Edmar</v>
      </c>
      <c r="B10572" s="2">
        <f ca="1">IFERROR(__xludf.DUMMYFUNCTION("""COMPUTED_VALUE"""),3)</f>
        <v>3</v>
      </c>
      <c r="C10572" s="2">
        <f ca="1">IFERROR(__xludf.DUMMYFUNCTION("""COMPUTED_VALUE"""),3.2)</f>
        <v>3.2</v>
      </c>
      <c r="D10572" s="8">
        <f ca="1">IFERROR(__xludf.DUMMYFUNCTION("""COMPUTED_VALUE"""),3)</f>
        <v>3</v>
      </c>
      <c r="E10572" s="2">
        <f ca="1">IFERROR(__xludf.DUMMYFUNCTION("""COMPUTED_VALUE"""),1)</f>
        <v>1</v>
      </c>
    </row>
    <row r="10573" spans="1:5" ht="13">
      <c r="A10573" s="8" t="str">
        <f ca="1">IFERROR(__xludf.DUMMYFUNCTION("""COMPUTED_VALUE"""),"Castaños, Alejandro")</f>
        <v>Castaños, Alejandro</v>
      </c>
      <c r="B10573" s="3">
        <f ca="1">IFERROR(__xludf.DUMMYFUNCTION("""COMPUTED_VALUE"""),3)</f>
        <v>3</v>
      </c>
      <c r="C10573" s="7">
        <f ca="1">IFERROR(__xludf.DUMMYFUNCTION("""COMPUTED_VALUE"""),3.2)</f>
        <v>3.2</v>
      </c>
      <c r="D10573" s="8">
        <f ca="1">IFERROR(__xludf.DUMMYFUNCTION("""COMPUTED_VALUE"""),3)</f>
        <v>3</v>
      </c>
      <c r="E10573" s="2">
        <f ca="1">IFERROR(__xludf.DUMMYFUNCTION("""COMPUTED_VALUE"""),1)</f>
        <v>1</v>
      </c>
    </row>
    <row r="10574" spans="1:5" ht="13">
      <c r="A10574" s="8" t="str">
        <f ca="1">IFERROR(__xludf.DUMMYFUNCTION("""COMPUTED_VALUE"""),"Castellanos, Evencio")</f>
        <v>Castellanos, Evencio</v>
      </c>
      <c r="B10574" s="3">
        <f ca="1">IFERROR(__xludf.DUMMYFUNCTION("""COMPUTED_VALUE"""),3)</f>
        <v>3</v>
      </c>
      <c r="C10574" s="7">
        <f ca="1">IFERROR(__xludf.DUMMYFUNCTION("""COMPUTED_VALUE"""),3.2)</f>
        <v>3.2</v>
      </c>
      <c r="D10574" s="8">
        <f ca="1">IFERROR(__xludf.DUMMYFUNCTION("""COMPUTED_VALUE"""),7)</f>
        <v>7</v>
      </c>
      <c r="E10574" s="2">
        <f ca="1">IFERROR(__xludf.DUMMYFUNCTION("""COMPUTED_VALUE"""),2)</f>
        <v>2</v>
      </c>
    </row>
    <row r="10575" spans="1:5" ht="13">
      <c r="A10575" s="2" t="str">
        <f ca="1">IFERROR(__xludf.DUMMYFUNCTION("""COMPUTED_VALUE"""),"Castillo, Nicandro")</f>
        <v>Castillo, Nicandro</v>
      </c>
      <c r="B10575" s="3">
        <f ca="1">IFERROR(__xludf.DUMMYFUNCTION("""COMPUTED_VALUE"""),3)</f>
        <v>3</v>
      </c>
      <c r="C10575" s="7">
        <f ca="1">IFERROR(__xludf.DUMMYFUNCTION("""COMPUTED_VALUE"""),3.2)</f>
        <v>3.2</v>
      </c>
      <c r="D10575" s="8">
        <f ca="1">IFERROR(__xludf.DUMMYFUNCTION("""COMPUTED_VALUE"""),7)</f>
        <v>7</v>
      </c>
      <c r="E10575" s="2">
        <f ca="1">IFERROR(__xludf.DUMMYFUNCTION("""COMPUTED_VALUE"""),2)</f>
        <v>2</v>
      </c>
    </row>
    <row r="10576" spans="1:5" ht="13">
      <c r="A10576" s="2" t="str">
        <f ca="1">IFERROR(__xludf.DUMMYFUNCTION("""COMPUTED_VALUE"""),"Castorena, Leo")</f>
        <v>Castorena, Leo</v>
      </c>
      <c r="B10576" s="3">
        <f ca="1">IFERROR(__xludf.DUMMYFUNCTION("""COMPUTED_VALUE"""),3)</f>
        <v>3</v>
      </c>
      <c r="C10576" s="7">
        <f ca="1">IFERROR(__xludf.DUMMYFUNCTION("""COMPUTED_VALUE"""),3.2)</f>
        <v>3.2</v>
      </c>
      <c r="D10576" s="8">
        <f ca="1">IFERROR(__xludf.DUMMYFUNCTION("""COMPUTED_VALUE"""),3)</f>
        <v>3</v>
      </c>
      <c r="E10576" s="2">
        <f ca="1">IFERROR(__xludf.DUMMYFUNCTION("""COMPUTED_VALUE"""),1)</f>
        <v>1</v>
      </c>
    </row>
    <row r="10577" spans="1:5" ht="13">
      <c r="A10577" s="2" t="str">
        <f ca="1">IFERROR(__xludf.DUMMYFUNCTION("""COMPUTED_VALUE"""),"Castro d'Addona, Giancarlo")</f>
        <v>Castro d'Addona, Giancarlo</v>
      </c>
      <c r="B10577" s="2">
        <f ca="1">IFERROR(__xludf.DUMMYFUNCTION("""COMPUTED_VALUE"""),3)</f>
        <v>3</v>
      </c>
      <c r="C10577" s="7">
        <f ca="1">IFERROR(__xludf.DUMMYFUNCTION("""COMPUTED_VALUE"""),3.2)</f>
        <v>3.2</v>
      </c>
      <c r="D10577" s="8">
        <f ca="1">IFERROR(__xludf.DUMMYFUNCTION("""COMPUTED_VALUE"""),3)</f>
        <v>3</v>
      </c>
      <c r="E10577" s="2">
        <f ca="1">IFERROR(__xludf.DUMMYFUNCTION("""COMPUTED_VALUE"""),1)</f>
        <v>1</v>
      </c>
    </row>
    <row r="10578" spans="1:5" ht="13">
      <c r="A10578" s="2" t="str">
        <f ca="1">IFERROR(__xludf.DUMMYFUNCTION("""COMPUTED_VALUE"""),"Castro, Ricardo")</f>
        <v>Castro, Ricardo</v>
      </c>
      <c r="B10578" s="3">
        <f ca="1">IFERROR(__xludf.DUMMYFUNCTION("""COMPUTED_VALUE"""),3)</f>
        <v>3</v>
      </c>
      <c r="C10578" s="7">
        <f ca="1">IFERROR(__xludf.DUMMYFUNCTION("""COMPUTED_VALUE"""),3.2)</f>
        <v>3.2</v>
      </c>
      <c r="D10578" s="8">
        <f ca="1">IFERROR(__xludf.DUMMYFUNCTION("""COMPUTED_VALUE"""),7)</f>
        <v>7</v>
      </c>
      <c r="E10578" s="2">
        <f ca="1">IFERROR(__xludf.DUMMYFUNCTION("""COMPUTED_VALUE"""),2)</f>
        <v>2</v>
      </c>
    </row>
    <row r="10579" spans="1:5" ht="13">
      <c r="A10579" s="8" t="str">
        <f ca="1">IFERROR(__xludf.DUMMYFUNCTION("""COMPUTED_VALUE"""),"Catalang, Fider Gener")</f>
        <v>Catalang, Fider Gener</v>
      </c>
      <c r="B10579" s="3">
        <f ca="1">IFERROR(__xludf.DUMMYFUNCTION("""COMPUTED_VALUE"""),3)</f>
        <v>3</v>
      </c>
      <c r="C10579" s="7">
        <f ca="1">IFERROR(__xludf.DUMMYFUNCTION("""COMPUTED_VALUE"""),3.3)</f>
        <v>3.3</v>
      </c>
      <c r="D10579" s="8">
        <f ca="1">IFERROR(__xludf.DUMMYFUNCTION("""COMPUTED_VALUE"""),3)</f>
        <v>3</v>
      </c>
      <c r="E10579" s="2">
        <f ca="1">IFERROR(__xludf.DUMMYFUNCTION("""COMPUTED_VALUE"""),1)</f>
        <v>1</v>
      </c>
    </row>
    <row r="10580" spans="1:5" ht="13">
      <c r="A10580" s="2" t="str">
        <f ca="1">IFERROR(__xludf.DUMMYFUNCTION("""COMPUTED_VALUE"""),"Catán, Daniel")</f>
        <v>Catán, Daniel</v>
      </c>
      <c r="B10580" s="3">
        <f ca="1">IFERROR(__xludf.DUMMYFUNCTION("""COMPUTED_VALUE"""),3)</f>
        <v>3</v>
      </c>
      <c r="C10580" s="7">
        <f ca="1">IFERROR(__xludf.DUMMYFUNCTION("""COMPUTED_VALUE"""),3.2)</f>
        <v>3.2</v>
      </c>
      <c r="D10580" s="8">
        <f ca="1">IFERROR(__xludf.DUMMYFUNCTION("""COMPUTED_VALUE"""),7)</f>
        <v>7</v>
      </c>
      <c r="E10580" s="2">
        <f ca="1">IFERROR(__xludf.DUMMYFUNCTION("""COMPUTED_VALUE"""),2)</f>
        <v>2</v>
      </c>
    </row>
    <row r="10581" spans="1:5" ht="13">
      <c r="A10581" s="2" t="str">
        <f ca="1">IFERROR(__xludf.DUMMYFUNCTION("""COMPUTED_VALUE"""),"Cayabyab, Ryan")</f>
        <v>Cayabyab, Ryan</v>
      </c>
      <c r="B10581" s="3">
        <f ca="1">IFERROR(__xludf.DUMMYFUNCTION("""COMPUTED_VALUE"""),3)</f>
        <v>3</v>
      </c>
      <c r="C10581" s="7">
        <f ca="1">IFERROR(__xludf.DUMMYFUNCTION("""COMPUTED_VALUE"""),3.9)</f>
        <v>3.9</v>
      </c>
      <c r="D10581" s="8">
        <f ca="1">IFERROR(__xludf.DUMMYFUNCTION("""COMPUTED_VALUE"""),3)</f>
        <v>3</v>
      </c>
      <c r="E10581" s="2">
        <f ca="1">IFERROR(__xludf.DUMMYFUNCTION("""COMPUTED_VALUE"""),1)</f>
        <v>1</v>
      </c>
    </row>
    <row r="10582" spans="1:5" ht="13">
      <c r="A10582" s="2" t="str">
        <f ca="1">IFERROR(__xludf.DUMMYFUNCTION("""COMPUTED_VALUE"""),"Celestin, Louis")</f>
        <v>Celestin, Louis</v>
      </c>
      <c r="B10582" s="3">
        <f ca="1">IFERROR(__xludf.DUMMYFUNCTION("""COMPUTED_VALUE"""),3)</f>
        <v>3</v>
      </c>
      <c r="C10582" s="7">
        <f ca="1">IFERROR(__xludf.DUMMYFUNCTION("""COMPUTED_VALUE"""),3.1)</f>
        <v>3.1</v>
      </c>
      <c r="D10582" s="8">
        <f ca="1">IFERROR(__xludf.DUMMYFUNCTION("""COMPUTED_VALUE"""),3)</f>
        <v>3</v>
      </c>
      <c r="E10582" s="2">
        <f ca="1">IFERROR(__xludf.DUMMYFUNCTION("""COMPUTED_VALUE"""),1)</f>
        <v>1</v>
      </c>
    </row>
    <row r="10583" spans="1:5" ht="13">
      <c r="A10583" s="8" t="str">
        <f ca="1">IFERROR(__xludf.DUMMYFUNCTION("""COMPUTED_VALUE"""),"Cerdenia, Joshua")</f>
        <v>Cerdenia, Joshua</v>
      </c>
      <c r="B10583" s="3">
        <f ca="1">IFERROR(__xludf.DUMMYFUNCTION("""COMPUTED_VALUE"""),3)</f>
        <v>3</v>
      </c>
      <c r="C10583" s="7">
        <f ca="1">IFERROR(__xludf.DUMMYFUNCTION("""COMPUTED_VALUE"""),3.3)</f>
        <v>3.3</v>
      </c>
      <c r="D10583" s="8">
        <f ca="1">IFERROR(__xludf.DUMMYFUNCTION("""COMPUTED_VALUE"""),3)</f>
        <v>3</v>
      </c>
      <c r="E10583" s="2">
        <f ca="1">IFERROR(__xludf.DUMMYFUNCTION("""COMPUTED_VALUE"""),1)</f>
        <v>1</v>
      </c>
    </row>
    <row r="10584" spans="1:5" ht="13">
      <c r="A10584" s="2" t="str">
        <f ca="1">IFERROR(__xludf.DUMMYFUNCTION("""COMPUTED_VALUE"""),"Cervantes, Ignacio")</f>
        <v>Cervantes, Ignacio</v>
      </c>
      <c r="B10584" s="3">
        <f ca="1">IFERROR(__xludf.DUMMYFUNCTION("""COMPUTED_VALUE"""),3)</f>
        <v>3</v>
      </c>
      <c r="C10584" s="7">
        <f ca="1">IFERROR(__xludf.DUMMYFUNCTION("""COMPUTED_VALUE"""),3.2)</f>
        <v>3.2</v>
      </c>
      <c r="D10584" s="8">
        <f ca="1">IFERROR(__xludf.DUMMYFUNCTION("""COMPUTED_VALUE"""),7)</f>
        <v>7</v>
      </c>
      <c r="E10584" s="2">
        <f ca="1">IFERROR(__xludf.DUMMYFUNCTION("""COMPUTED_VALUE"""),2)</f>
        <v>2</v>
      </c>
    </row>
    <row r="10585" spans="1:5" ht="13">
      <c r="A10585" s="8" t="str">
        <f ca="1">IFERROR(__xludf.DUMMYFUNCTION("""COMPUTED_VALUE"""),"Cervetti, Sergio")</f>
        <v>Cervetti, Sergio</v>
      </c>
      <c r="B10585" s="3">
        <f ca="1">IFERROR(__xludf.DUMMYFUNCTION("""COMPUTED_VALUE"""),3)</f>
        <v>3</v>
      </c>
      <c r="C10585" s="7">
        <f ca="1">IFERROR(__xludf.DUMMYFUNCTION("""COMPUTED_VALUE"""),3.2)</f>
        <v>3.2</v>
      </c>
      <c r="D10585" s="8">
        <f ca="1">IFERROR(__xludf.DUMMYFUNCTION("""COMPUTED_VALUE"""),3)</f>
        <v>3</v>
      </c>
      <c r="E10585" s="2">
        <f ca="1">IFERROR(__xludf.DUMMYFUNCTION("""COMPUTED_VALUE"""),1)</f>
        <v>1</v>
      </c>
    </row>
    <row r="10586" spans="1:5" ht="13">
      <c r="A10586" s="8" t="str">
        <f ca="1">IFERROR(__xludf.DUMMYFUNCTION("""COMPUTED_VALUE"""),"Chacon, Raven")</f>
        <v>Chacon, Raven</v>
      </c>
      <c r="B10586" s="3">
        <f ca="1">IFERROR(__xludf.DUMMYFUNCTION("""COMPUTED_VALUE"""),3)</f>
        <v>3</v>
      </c>
      <c r="C10586" s="7">
        <f ca="1">IFERROR(__xludf.DUMMYFUNCTION("""COMPUTED_VALUE"""),3.7)</f>
        <v>3.7</v>
      </c>
      <c r="D10586" s="8">
        <f ca="1">IFERROR(__xludf.DUMMYFUNCTION("""COMPUTED_VALUE"""),3)</f>
        <v>3</v>
      </c>
      <c r="E10586" s="2">
        <f ca="1">IFERROR(__xludf.DUMMYFUNCTION("""COMPUTED_VALUE"""),1)</f>
        <v>1</v>
      </c>
    </row>
    <row r="10587" spans="1:5" ht="13">
      <c r="A10587" s="8" t="str">
        <f ca="1">IFERROR(__xludf.DUMMYFUNCTION("""COMPUTED_VALUE"""),"Chagas, Paulo C.")</f>
        <v>Chagas, Paulo C.</v>
      </c>
      <c r="B10587" s="3">
        <f ca="1">IFERROR(__xludf.DUMMYFUNCTION("""COMPUTED_VALUE"""),3)</f>
        <v>3</v>
      </c>
      <c r="C10587" s="7">
        <f ca="1">IFERROR(__xludf.DUMMYFUNCTION("""COMPUTED_VALUE"""),3.2)</f>
        <v>3.2</v>
      </c>
      <c r="D10587" s="8">
        <f ca="1">IFERROR(__xludf.DUMMYFUNCTION("""COMPUTED_VALUE"""),3)</f>
        <v>3</v>
      </c>
      <c r="E10587" s="2">
        <f ca="1">IFERROR(__xludf.DUMMYFUNCTION("""COMPUTED_VALUE"""),1)</f>
        <v>1</v>
      </c>
    </row>
    <row r="10588" spans="1:5" ht="13">
      <c r="A10588" s="8" t="str">
        <f ca="1">IFERROR(__xludf.DUMMYFUNCTION("""COMPUTED_VALUE"""),"Chan, Chin Ting (Patrick)")</f>
        <v>Chan, Chin Ting (Patrick)</v>
      </c>
      <c r="B10588" s="3">
        <f ca="1">IFERROR(__xludf.DUMMYFUNCTION("""COMPUTED_VALUE"""),3)</f>
        <v>3</v>
      </c>
      <c r="C10588" s="7">
        <f ca="1">IFERROR(__xludf.DUMMYFUNCTION("""COMPUTED_VALUE"""),3.3)</f>
        <v>3.3</v>
      </c>
      <c r="D10588" s="8">
        <f ca="1">IFERROR(__xludf.DUMMYFUNCTION("""COMPUTED_VALUE"""),3)</f>
        <v>3</v>
      </c>
      <c r="E10588" s="2">
        <f ca="1">IFERROR(__xludf.DUMMYFUNCTION("""COMPUTED_VALUE"""),1)</f>
        <v>1</v>
      </c>
    </row>
    <row r="10589" spans="1:5" ht="13">
      <c r="A10589" s="8" t="str">
        <f ca="1">IFERROR(__xludf.DUMMYFUNCTION("""COMPUTED_VALUE"""),"Chan, Daniel James")</f>
        <v>Chan, Daniel James</v>
      </c>
      <c r="B10589" s="3">
        <f ca="1">IFERROR(__xludf.DUMMYFUNCTION("""COMPUTED_VALUE"""),3)</f>
        <v>3</v>
      </c>
      <c r="C10589" s="7">
        <f ca="1">IFERROR(__xludf.DUMMYFUNCTION("""COMPUTED_VALUE"""),3.2)</f>
        <v>3.2</v>
      </c>
      <c r="D10589" s="8">
        <f ca="1">IFERROR(__xludf.DUMMYFUNCTION("""COMPUTED_VALUE"""),3)</f>
        <v>3</v>
      </c>
      <c r="E10589" s="2">
        <f ca="1">IFERROR(__xludf.DUMMYFUNCTION("""COMPUTED_VALUE"""),1)</f>
        <v>1</v>
      </c>
    </row>
    <row r="10590" spans="1:5" ht="13">
      <c r="A10590" s="8" t="str">
        <f ca="1">IFERROR(__xludf.DUMMYFUNCTION("""COMPUTED_VALUE"""),"Chang Su Koh")</f>
        <v>Chang Su Koh</v>
      </c>
      <c r="B10590" s="3">
        <f ca="1">IFERROR(__xludf.DUMMYFUNCTION("""COMPUTED_VALUE"""),3)</f>
        <v>3</v>
      </c>
      <c r="C10590" s="7">
        <f ca="1">IFERROR(__xludf.DUMMYFUNCTION("""COMPUTED_VALUE"""),3.3)</f>
        <v>3.3</v>
      </c>
      <c r="D10590" s="8">
        <f ca="1">IFERROR(__xludf.DUMMYFUNCTION("""COMPUTED_VALUE"""),3)</f>
        <v>3</v>
      </c>
      <c r="E10590" s="2">
        <f ca="1">IFERROR(__xludf.DUMMYFUNCTION("""COMPUTED_VALUE"""),1)</f>
        <v>1</v>
      </c>
    </row>
    <row r="10591" spans="1:5" ht="13">
      <c r="A10591" s="8" t="str">
        <f ca="1">IFERROR(__xludf.DUMMYFUNCTION("""COMPUTED_VALUE"""),"Chang, Sebastian")</f>
        <v>Chang, Sebastian</v>
      </c>
      <c r="B10591" s="3">
        <f ca="1">IFERROR(__xludf.DUMMYFUNCTION("""COMPUTED_VALUE"""),3)</f>
        <v>3</v>
      </c>
      <c r="C10591" s="7">
        <f ca="1">IFERROR(__xludf.DUMMYFUNCTION("""COMPUTED_VALUE"""),3.3)</f>
        <v>3.3</v>
      </c>
      <c r="D10591" s="8">
        <f ca="1">IFERROR(__xludf.DUMMYFUNCTION("""COMPUTED_VALUE"""),3)</f>
        <v>3</v>
      </c>
      <c r="E10591" s="2">
        <f ca="1">IFERROR(__xludf.DUMMYFUNCTION("""COMPUTED_VALUE"""),1)</f>
        <v>1</v>
      </c>
    </row>
    <row r="10592" spans="1:5" ht="13">
      <c r="A10592" s="8" t="str">
        <f ca="1">IFERROR(__xludf.DUMMYFUNCTION("""COMPUTED_VALUE"""),"Chapela, Enrico")</f>
        <v>Chapela, Enrico</v>
      </c>
      <c r="B10592" s="3">
        <f ca="1">IFERROR(__xludf.DUMMYFUNCTION("""COMPUTED_VALUE"""),3)</f>
        <v>3</v>
      </c>
      <c r="C10592" s="7">
        <f ca="1">IFERROR(__xludf.DUMMYFUNCTION("""COMPUTED_VALUE"""),3.2)</f>
        <v>3.2</v>
      </c>
      <c r="D10592" s="8">
        <f ca="1">IFERROR(__xludf.DUMMYFUNCTION("""COMPUTED_VALUE"""),3)</f>
        <v>3</v>
      </c>
      <c r="E10592" s="2">
        <f ca="1">IFERROR(__xludf.DUMMYFUNCTION("""COMPUTED_VALUE"""),1)</f>
        <v>1</v>
      </c>
    </row>
    <row r="10593" spans="1:5" ht="13">
      <c r="A10593" s="2" t="str">
        <f ca="1">IFERROR(__xludf.DUMMYFUNCTION("""COMPUTED_VALUE"""),"Charles, Anton")</f>
        <v>Charles, Anton</v>
      </c>
      <c r="B10593" s="2">
        <f ca="1">IFERROR(__xludf.DUMMYFUNCTION("""COMPUTED_VALUE"""),3)</f>
        <v>3</v>
      </c>
      <c r="C10593" s="7">
        <f ca="1">IFERROR(__xludf.DUMMYFUNCTION("""COMPUTED_VALUE"""),3.1)</f>
        <v>3.1</v>
      </c>
      <c r="D10593" s="8">
        <f ca="1">IFERROR(__xludf.DUMMYFUNCTION("""COMPUTED_VALUE"""),3)</f>
        <v>3</v>
      </c>
      <c r="E10593" s="2">
        <f ca="1">IFERROR(__xludf.DUMMYFUNCTION("""COMPUTED_VALUE"""),1)</f>
        <v>1</v>
      </c>
    </row>
    <row r="10594" spans="1:5" ht="13">
      <c r="A10594" s="2" t="str">
        <f ca="1">IFERROR(__xludf.DUMMYFUNCTION("""COMPUTED_VALUE"""),"Charles, Etienne")</f>
        <v>Charles, Etienne</v>
      </c>
      <c r="B10594" s="3">
        <f ca="1">IFERROR(__xludf.DUMMYFUNCTION("""COMPUTED_VALUE"""),3)</f>
        <v>3</v>
      </c>
      <c r="C10594" s="7">
        <f ca="1">IFERROR(__xludf.DUMMYFUNCTION("""COMPUTED_VALUE"""),3.1)</f>
        <v>3.1</v>
      </c>
      <c r="D10594" s="8">
        <f ca="1">IFERROR(__xludf.DUMMYFUNCTION("""COMPUTED_VALUE"""),3)</f>
        <v>3</v>
      </c>
      <c r="E10594" s="2">
        <f ca="1">IFERROR(__xludf.DUMMYFUNCTION("""COMPUTED_VALUE"""),1)</f>
        <v>1</v>
      </c>
    </row>
    <row r="10595" spans="1:5" ht="13">
      <c r="A10595" s="2" t="str">
        <f ca="1">IFERROR(__xludf.DUMMYFUNCTION("""COMPUTED_VALUE"""),"Charles, Kebra-Seyoun")</f>
        <v>Charles, Kebra-Seyoun</v>
      </c>
      <c r="B10595" s="2">
        <f ca="1">IFERROR(__xludf.DUMMYFUNCTION("""COMPUTED_VALUE"""),3)</f>
        <v>3</v>
      </c>
      <c r="C10595" s="2">
        <f ca="1">IFERROR(__xludf.DUMMYFUNCTION("""COMPUTED_VALUE"""),3.1)</f>
        <v>3.1</v>
      </c>
      <c r="D10595" s="8">
        <f ca="1">IFERROR(__xludf.DUMMYFUNCTION("""COMPUTED_VALUE"""),3)</f>
        <v>3</v>
      </c>
      <c r="E10595" s="2">
        <f ca="1">IFERROR(__xludf.DUMMYFUNCTION("""COMPUTED_VALUE"""),1)</f>
        <v>1</v>
      </c>
    </row>
    <row r="10596" spans="1:5" ht="13">
      <c r="A10596" s="8" t="str">
        <f ca="1">IFERROR(__xludf.DUMMYFUNCTION("""COMPUTED_VALUE"""),"Charles, Orlan")</f>
        <v>Charles, Orlan</v>
      </c>
      <c r="B10596" s="3">
        <f ca="1">IFERROR(__xludf.DUMMYFUNCTION("""COMPUTED_VALUE"""),3)</f>
        <v>3</v>
      </c>
      <c r="C10596" s="7">
        <f ca="1">IFERROR(__xludf.DUMMYFUNCTION("""COMPUTED_VALUE"""),3.2)</f>
        <v>3.2</v>
      </c>
      <c r="D10596" s="8">
        <f ca="1">IFERROR(__xludf.DUMMYFUNCTION("""COMPUTED_VALUE"""),3)</f>
        <v>3</v>
      </c>
      <c r="E10596" s="2">
        <f ca="1">IFERROR(__xludf.DUMMYFUNCTION("""COMPUTED_VALUE"""),1)</f>
        <v>1</v>
      </c>
    </row>
    <row r="10597" spans="1:5" ht="13">
      <c r="A10597" s="2" t="str">
        <f ca="1">IFERROR(__xludf.DUMMYFUNCTION("""COMPUTED_VALUE"""),"Charles, Ray")</f>
        <v>Charles, Ray</v>
      </c>
      <c r="B10597" s="3">
        <f ca="1">IFERROR(__xludf.DUMMYFUNCTION("""COMPUTED_VALUE"""),3)</f>
        <v>3</v>
      </c>
      <c r="C10597" s="7">
        <f ca="1">IFERROR(__xludf.DUMMYFUNCTION("""COMPUTED_VALUE"""),3.1)</f>
        <v>3.1</v>
      </c>
      <c r="D10597" s="8">
        <f ca="1">IFERROR(__xludf.DUMMYFUNCTION("""COMPUTED_VALUE"""),7)</f>
        <v>7</v>
      </c>
      <c r="E10597" s="2">
        <f ca="1">IFERROR(__xludf.DUMMYFUNCTION("""COMPUTED_VALUE"""),2)</f>
        <v>2</v>
      </c>
    </row>
    <row r="10598" spans="1:5" ht="13">
      <c r="A10598" s="8" t="str">
        <f ca="1">IFERROR(__xludf.DUMMYFUNCTION("""COMPUTED_VALUE"""),"Charoensri, Kevin")</f>
        <v>Charoensri, Kevin</v>
      </c>
      <c r="B10598" s="3">
        <f ca="1">IFERROR(__xludf.DUMMYFUNCTION("""COMPUTED_VALUE"""),3)</f>
        <v>3</v>
      </c>
      <c r="C10598" s="7">
        <f ca="1">IFERROR(__xludf.DUMMYFUNCTION("""COMPUTED_VALUE"""),3.3)</f>
        <v>3.3</v>
      </c>
      <c r="D10598" s="8">
        <f ca="1">IFERROR(__xludf.DUMMYFUNCTION("""COMPUTED_VALUE"""),3)</f>
        <v>3</v>
      </c>
      <c r="E10598" s="2">
        <f ca="1">IFERROR(__xludf.DUMMYFUNCTION("""COMPUTED_VALUE"""),1)</f>
        <v>1</v>
      </c>
    </row>
    <row r="10599" spans="1:5" ht="13">
      <c r="A10599" s="2" t="str">
        <f ca="1">IFERROR(__xludf.DUMMYFUNCTION("""COMPUTED_VALUE"""),"Chavajay, David Par")</f>
        <v>Chavajay, David Par</v>
      </c>
      <c r="B10599" s="3">
        <f ca="1">IFERROR(__xludf.DUMMYFUNCTION("""COMPUTED_VALUE"""),3)</f>
        <v>3</v>
      </c>
      <c r="C10599" s="7">
        <f ca="1">IFERROR(__xludf.DUMMYFUNCTION("""COMPUTED_VALUE"""),3.2)</f>
        <v>3.2</v>
      </c>
      <c r="D10599" s="8">
        <f ca="1">IFERROR(__xludf.DUMMYFUNCTION("""COMPUTED_VALUE"""),3)</f>
        <v>3</v>
      </c>
      <c r="E10599" s="2">
        <f ca="1">IFERROR(__xludf.DUMMYFUNCTION("""COMPUTED_VALUE"""),1)</f>
        <v>1</v>
      </c>
    </row>
    <row r="10600" spans="1:5" ht="13">
      <c r="A10600" s="8" t="str">
        <f ca="1">IFERROR(__xludf.DUMMYFUNCTION("""COMPUTED_VALUE"""),"Chavez, Carlos")</f>
        <v>Chavez, Carlos</v>
      </c>
      <c r="B10600" s="3">
        <f ca="1">IFERROR(__xludf.DUMMYFUNCTION("""COMPUTED_VALUE"""),3)</f>
        <v>3</v>
      </c>
      <c r="C10600" s="7">
        <f ca="1">IFERROR(__xludf.DUMMYFUNCTION("""COMPUTED_VALUE"""),3.2)</f>
        <v>3.2</v>
      </c>
      <c r="D10600" s="8">
        <f ca="1">IFERROR(__xludf.DUMMYFUNCTION("""COMPUTED_VALUE"""),7)</f>
        <v>7</v>
      </c>
      <c r="E10600" s="2">
        <f ca="1">IFERROR(__xludf.DUMMYFUNCTION("""COMPUTED_VALUE"""),2)</f>
        <v>2</v>
      </c>
    </row>
    <row r="10601" spans="1:5" ht="13">
      <c r="A10601" s="8" t="str">
        <f ca="1">IFERROR(__xludf.DUMMYFUNCTION("""COMPUTED_VALUE"""),"Chávez, Carlos")</f>
        <v>Chávez, Carlos</v>
      </c>
      <c r="B10601" s="3">
        <f ca="1">IFERROR(__xludf.DUMMYFUNCTION("""COMPUTED_VALUE"""),3)</f>
        <v>3</v>
      </c>
      <c r="C10601" s="7">
        <f ca="1">IFERROR(__xludf.DUMMYFUNCTION("""COMPUTED_VALUE"""),3.2)</f>
        <v>3.2</v>
      </c>
      <c r="D10601" s="8">
        <f ca="1">IFERROR(__xludf.DUMMYFUNCTION("""COMPUTED_VALUE"""),7)</f>
        <v>7</v>
      </c>
      <c r="E10601" s="2">
        <f ca="1">IFERROR(__xludf.DUMMYFUNCTION("""COMPUTED_VALUE"""),2)</f>
        <v>2</v>
      </c>
    </row>
    <row r="10602" spans="1:5" ht="13">
      <c r="A10602" s="2" t="str">
        <f ca="1">IFERROR(__xludf.DUMMYFUNCTION("""COMPUTED_VALUE"""),"Che Chang")</f>
        <v>Che Chang</v>
      </c>
      <c r="B10602" s="2">
        <f ca="1">IFERROR(__xludf.DUMMYFUNCTION("""COMPUTED_VALUE"""),3)</f>
        <v>3</v>
      </c>
      <c r="C10602" s="2">
        <f ca="1">IFERROR(__xludf.DUMMYFUNCTION("""COMPUTED_VALUE"""),3.3)</f>
        <v>3.3</v>
      </c>
      <c r="D10602" s="8">
        <f ca="1">IFERROR(__xludf.DUMMYFUNCTION("""COMPUTED_VALUE"""),7)</f>
        <v>7</v>
      </c>
      <c r="E10602" s="2">
        <f ca="1">IFERROR(__xludf.DUMMYFUNCTION("""COMPUTED_VALUE"""),2)</f>
        <v>2</v>
      </c>
    </row>
    <row r="10603" spans="1:5" ht="13">
      <c r="A10603" s="8" t="str">
        <f ca="1">IFERROR(__xludf.DUMMYFUNCTION("""COMPUTED_VALUE"""),"Cheang, Wesley")</f>
        <v>Cheang, Wesley</v>
      </c>
      <c r="B10603" s="3">
        <f ca="1">IFERROR(__xludf.DUMMYFUNCTION("""COMPUTED_VALUE"""),3)</f>
        <v>3</v>
      </c>
      <c r="C10603" s="7">
        <f ca="1">IFERROR(__xludf.DUMMYFUNCTION("""COMPUTED_VALUE"""),3.3)</f>
        <v>3.3</v>
      </c>
      <c r="D10603" s="8">
        <f ca="1">IFERROR(__xludf.DUMMYFUNCTION("""COMPUTED_VALUE"""),3)</f>
        <v>3</v>
      </c>
      <c r="E10603" s="2">
        <f ca="1">IFERROR(__xludf.DUMMYFUNCTION("""COMPUTED_VALUE"""),1)</f>
        <v>1</v>
      </c>
    </row>
    <row r="10604" spans="1:5" ht="13">
      <c r="A10604" s="8" t="str">
        <f ca="1">IFERROR(__xludf.DUMMYFUNCTION("""COMPUTED_VALUE"""),"Chen Dan")</f>
        <v>Chen Dan</v>
      </c>
      <c r="B10604" s="3">
        <f ca="1">IFERROR(__xludf.DUMMYFUNCTION("""COMPUTED_VALUE"""),3)</f>
        <v>3</v>
      </c>
      <c r="C10604" s="7">
        <f ca="1">IFERROR(__xludf.DUMMYFUNCTION("""COMPUTED_VALUE"""),3.3)</f>
        <v>3.3</v>
      </c>
      <c r="D10604" s="8">
        <f ca="1">IFERROR(__xludf.DUMMYFUNCTION("""COMPUTED_VALUE"""),3)</f>
        <v>3</v>
      </c>
      <c r="E10604" s="2">
        <f ca="1">IFERROR(__xludf.DUMMYFUNCTION("""COMPUTED_VALUE"""),1)</f>
        <v>1</v>
      </c>
    </row>
    <row r="10605" spans="1:5" ht="13">
      <c r="A10605" s="2" t="str">
        <f ca="1">IFERROR(__xludf.DUMMYFUNCTION("""COMPUTED_VALUE"""),"Chen Gang")</f>
        <v>Chen Gang</v>
      </c>
      <c r="B10605" s="3">
        <f ca="1">IFERROR(__xludf.DUMMYFUNCTION("""COMPUTED_VALUE"""),3)</f>
        <v>3</v>
      </c>
      <c r="C10605" s="7">
        <f ca="1">IFERROR(__xludf.DUMMYFUNCTION("""COMPUTED_VALUE"""),3.3)</f>
        <v>3.3</v>
      </c>
      <c r="D10605" s="8">
        <f ca="1">IFERROR(__xludf.DUMMYFUNCTION("""COMPUTED_VALUE"""),3)</f>
        <v>3</v>
      </c>
      <c r="E10605" s="2">
        <f ca="1">IFERROR(__xludf.DUMMYFUNCTION("""COMPUTED_VALUE"""),1)</f>
        <v>1</v>
      </c>
    </row>
    <row r="10606" spans="1:5" ht="13">
      <c r="A10606" s="2" t="str">
        <f ca="1">IFERROR(__xludf.DUMMYFUNCTION("""COMPUTED_VALUE"""),"Chen Gang / He Zhanhao")</f>
        <v>Chen Gang / He Zhanhao</v>
      </c>
      <c r="B10606" s="3">
        <f ca="1">IFERROR(__xludf.DUMMYFUNCTION("""COMPUTED_VALUE"""),3)</f>
        <v>3</v>
      </c>
      <c r="C10606" s="7">
        <f ca="1">IFERROR(__xludf.DUMMYFUNCTION("""COMPUTED_VALUE"""),3.3)</f>
        <v>3.3</v>
      </c>
      <c r="D10606" s="8">
        <f ca="1">IFERROR(__xludf.DUMMYFUNCTION("""COMPUTED_VALUE"""),3)</f>
        <v>3</v>
      </c>
      <c r="E10606" s="2">
        <f ca="1">IFERROR(__xludf.DUMMYFUNCTION("""COMPUTED_VALUE"""),1)</f>
        <v>1</v>
      </c>
    </row>
    <row r="10607" spans="1:5" ht="13">
      <c r="A10607" s="8" t="str">
        <f ca="1">IFERROR(__xludf.DUMMYFUNCTION("""COMPUTED_VALUE"""),"Chen Qian")</f>
        <v>Chen Qian</v>
      </c>
      <c r="B10607" s="3">
        <f ca="1">IFERROR(__xludf.DUMMYFUNCTION("""COMPUTED_VALUE"""),3)</f>
        <v>3</v>
      </c>
      <c r="C10607" s="7">
        <f ca="1">IFERROR(__xludf.DUMMYFUNCTION("""COMPUTED_VALUE"""),3.3)</f>
        <v>3.3</v>
      </c>
      <c r="D10607" s="8">
        <f ca="1">IFERROR(__xludf.DUMMYFUNCTION("""COMPUTED_VALUE"""),3)</f>
        <v>3</v>
      </c>
      <c r="E10607" s="2">
        <f ca="1">IFERROR(__xludf.DUMMYFUNCTION("""COMPUTED_VALUE"""),1)</f>
        <v>1</v>
      </c>
    </row>
    <row r="10608" spans="1:5" ht="13">
      <c r="A10608" s="8" t="str">
        <f ca="1">IFERROR(__xludf.DUMMYFUNCTION("""COMPUTED_VALUE"""),"Chen Yu-Chou")</f>
        <v>Chen Yu-Chou</v>
      </c>
      <c r="B10608" s="3">
        <f ca="1">IFERROR(__xludf.DUMMYFUNCTION("""COMPUTED_VALUE"""),3)</f>
        <v>3</v>
      </c>
      <c r="C10608" s="7">
        <f ca="1">IFERROR(__xludf.DUMMYFUNCTION("""COMPUTED_VALUE"""),3.3)</f>
        <v>3.3</v>
      </c>
      <c r="D10608" s="8">
        <f ca="1">IFERROR(__xludf.DUMMYFUNCTION("""COMPUTED_VALUE"""),3)</f>
        <v>3</v>
      </c>
      <c r="E10608" s="2">
        <f ca="1">IFERROR(__xludf.DUMMYFUNCTION("""COMPUTED_VALUE"""),1)</f>
        <v>1</v>
      </c>
    </row>
    <row r="10609" spans="1:5" ht="13">
      <c r="A10609" s="2" t="str">
        <f ca="1">IFERROR(__xludf.DUMMYFUNCTION("""COMPUTED_VALUE"""),"Chen, Dan")</f>
        <v>Chen, Dan</v>
      </c>
      <c r="B10609" s="3">
        <f ca="1">IFERROR(__xludf.DUMMYFUNCTION("""COMPUTED_VALUE"""),3)</f>
        <v>3</v>
      </c>
      <c r="C10609" s="7">
        <f ca="1">IFERROR(__xludf.DUMMYFUNCTION("""COMPUTED_VALUE"""),3.3)</f>
        <v>3.3</v>
      </c>
      <c r="D10609" s="8">
        <f ca="1">IFERROR(__xludf.DUMMYFUNCTION("""COMPUTED_VALUE"""),3)</f>
        <v>3</v>
      </c>
      <c r="E10609" s="2">
        <f ca="1">IFERROR(__xludf.DUMMYFUNCTION("""COMPUTED_VALUE"""),1)</f>
        <v>1</v>
      </c>
    </row>
    <row r="10610" spans="1:5" ht="13">
      <c r="A10610" s="2" t="str">
        <f ca="1">IFERROR(__xludf.DUMMYFUNCTION("""COMPUTED_VALUE"""),"Chen, Qian")</f>
        <v>Chen, Qian</v>
      </c>
      <c r="B10610" s="2">
        <f ca="1">IFERROR(__xludf.DUMMYFUNCTION("""COMPUTED_VALUE"""),3)</f>
        <v>3</v>
      </c>
      <c r="C10610" s="7">
        <f ca="1">IFERROR(__xludf.DUMMYFUNCTION("""COMPUTED_VALUE"""),3.3)</f>
        <v>3.3</v>
      </c>
      <c r="D10610" s="8">
        <f ca="1">IFERROR(__xludf.DUMMYFUNCTION("""COMPUTED_VALUE"""),3)</f>
        <v>3</v>
      </c>
      <c r="E10610" s="2">
        <f ca="1">IFERROR(__xludf.DUMMYFUNCTION("""COMPUTED_VALUE"""),1)</f>
        <v>1</v>
      </c>
    </row>
    <row r="10611" spans="1:5" ht="13">
      <c r="A10611" s="8" t="str">
        <f ca="1">IFERROR(__xludf.DUMMYFUNCTION("""COMPUTED_VALUE"""),"Chen, Qigang")</f>
        <v>Chen, Qigang</v>
      </c>
      <c r="B10611" s="3">
        <f ca="1">IFERROR(__xludf.DUMMYFUNCTION("""COMPUTED_VALUE"""),3)</f>
        <v>3</v>
      </c>
      <c r="C10611" s="7">
        <f ca="1">IFERROR(__xludf.DUMMYFUNCTION("""COMPUTED_VALUE"""),3.3)</f>
        <v>3.3</v>
      </c>
      <c r="D10611" s="8">
        <f ca="1">IFERROR(__xludf.DUMMYFUNCTION("""COMPUTED_VALUE"""),3)</f>
        <v>3</v>
      </c>
      <c r="E10611" s="2">
        <f ca="1">IFERROR(__xludf.DUMMYFUNCTION("""COMPUTED_VALUE"""),1)</f>
        <v>1</v>
      </c>
    </row>
    <row r="10612" spans="1:5" ht="13">
      <c r="A10612" s="8" t="str">
        <f ca="1">IFERROR(__xludf.DUMMYFUNCTION("""COMPUTED_VALUE"""),"Chen, Shan-Hua")</f>
        <v>Chen, Shan-Hua</v>
      </c>
      <c r="B10612" s="3">
        <f ca="1">IFERROR(__xludf.DUMMYFUNCTION("""COMPUTED_VALUE"""),3)</f>
        <v>3</v>
      </c>
      <c r="C10612" s="7">
        <f ca="1">IFERROR(__xludf.DUMMYFUNCTION("""COMPUTED_VALUE"""),3.3)</f>
        <v>3.3</v>
      </c>
      <c r="D10612" s="8">
        <f ca="1">IFERROR(__xludf.DUMMYFUNCTION("""COMPUTED_VALUE"""),3)</f>
        <v>3</v>
      </c>
      <c r="E10612" s="2">
        <f ca="1">IFERROR(__xludf.DUMMYFUNCTION("""COMPUTED_VALUE"""),1)</f>
        <v>1</v>
      </c>
    </row>
    <row r="10613" spans="1:5" ht="13">
      <c r="A10613" s="8" t="str">
        <f ca="1">IFERROR(__xludf.DUMMYFUNCTION("""COMPUTED_VALUE"""),"Chettri, Navin")</f>
        <v>Chettri, Navin</v>
      </c>
      <c r="B10613" s="3">
        <f ca="1">IFERROR(__xludf.DUMMYFUNCTION("""COMPUTED_VALUE"""),3)</f>
        <v>3</v>
      </c>
      <c r="C10613" s="7">
        <f ca="1">IFERROR(__xludf.DUMMYFUNCTION("""COMPUTED_VALUE"""),3.5)</f>
        <v>3.5</v>
      </c>
      <c r="D10613" s="8">
        <f ca="1">IFERROR(__xludf.DUMMYFUNCTION("""COMPUTED_VALUE"""),3)</f>
        <v>3</v>
      </c>
      <c r="E10613" s="2">
        <f ca="1">IFERROR(__xludf.DUMMYFUNCTION("""COMPUTED_VALUE"""),1)</f>
        <v>1</v>
      </c>
    </row>
    <row r="10614" spans="1:5" ht="13">
      <c r="A10614" s="8" t="str">
        <f ca="1">IFERROR(__xludf.DUMMYFUNCTION("""COMPUTED_VALUE"""),"Cheung, Anthony")</f>
        <v>Cheung, Anthony</v>
      </c>
      <c r="B10614" s="3">
        <f ca="1">IFERROR(__xludf.DUMMYFUNCTION("""COMPUTED_VALUE"""),3)</f>
        <v>3</v>
      </c>
      <c r="C10614" s="7">
        <f ca="1">IFERROR(__xludf.DUMMYFUNCTION("""COMPUTED_VALUE"""),3.3)</f>
        <v>3.3</v>
      </c>
      <c r="D10614" s="8">
        <f ca="1">IFERROR(__xludf.DUMMYFUNCTION("""COMPUTED_VALUE"""),3)</f>
        <v>3</v>
      </c>
      <c r="E10614" s="2">
        <f ca="1">IFERROR(__xludf.DUMMYFUNCTION("""COMPUTED_VALUE"""),1)</f>
        <v>1</v>
      </c>
    </row>
    <row r="10615" spans="1:5" ht="13">
      <c r="A10615" s="2" t="str">
        <f ca="1">IFERROR(__xludf.DUMMYFUNCTION("""COMPUTED_VALUE"""),"Chien, Nan-chang")</f>
        <v>Chien, Nan-chang</v>
      </c>
      <c r="B10615" s="3">
        <f ca="1">IFERROR(__xludf.DUMMYFUNCTION("""COMPUTED_VALUE"""),3)</f>
        <v>3</v>
      </c>
      <c r="C10615" s="7">
        <f ca="1">IFERROR(__xludf.DUMMYFUNCTION("""COMPUTED_VALUE"""),3.3)</f>
        <v>3.3</v>
      </c>
      <c r="D10615" s="8">
        <f ca="1">IFERROR(__xludf.DUMMYFUNCTION("""COMPUTED_VALUE"""),3)</f>
        <v>3</v>
      </c>
      <c r="E10615" s="2">
        <f ca="1">IFERROR(__xludf.DUMMYFUNCTION("""COMPUTED_VALUE"""),1)</f>
        <v>1</v>
      </c>
    </row>
    <row r="10616" spans="1:5" ht="13">
      <c r="A10616" s="8" t="str">
        <f ca="1">IFERROR(__xludf.DUMMYFUNCTION("""COMPUTED_VALUE"""),"Chihara, Paul")</f>
        <v>Chihara, Paul</v>
      </c>
      <c r="B10616" s="3">
        <f ca="1">IFERROR(__xludf.DUMMYFUNCTION("""COMPUTED_VALUE"""),3)</f>
        <v>3</v>
      </c>
      <c r="C10616" s="7">
        <f ca="1">IFERROR(__xludf.DUMMYFUNCTION("""COMPUTED_VALUE"""),3.3)</f>
        <v>3.3</v>
      </c>
      <c r="D10616" s="8">
        <f ca="1">IFERROR(__xludf.DUMMYFUNCTION("""COMPUTED_VALUE"""),3)</f>
        <v>3</v>
      </c>
      <c r="E10616" s="2">
        <f ca="1">IFERROR(__xludf.DUMMYFUNCTION("""COMPUTED_VALUE"""),1)</f>
        <v>1</v>
      </c>
    </row>
    <row r="10617" spans="1:5" ht="13">
      <c r="A10617" s="2" t="str">
        <f ca="1">IFERROR(__xludf.DUMMYFUNCTION("""COMPUTED_VALUE"""),"Childs, Billy")</f>
        <v>Childs, Billy</v>
      </c>
      <c r="B10617" s="2">
        <f ca="1">IFERROR(__xludf.DUMMYFUNCTION("""COMPUTED_VALUE"""),3)</f>
        <v>3</v>
      </c>
      <c r="C10617" s="7">
        <f ca="1">IFERROR(__xludf.DUMMYFUNCTION("""COMPUTED_VALUE"""),3.1)</f>
        <v>3.1</v>
      </c>
      <c r="D10617" s="8">
        <f ca="1">IFERROR(__xludf.DUMMYFUNCTION("""COMPUTED_VALUE"""),3)</f>
        <v>3</v>
      </c>
      <c r="E10617" s="2">
        <f ca="1">IFERROR(__xludf.DUMMYFUNCTION("""COMPUTED_VALUE"""),1)</f>
        <v>1</v>
      </c>
    </row>
    <row r="10618" spans="1:5" ht="13">
      <c r="A10618" s="8" t="str">
        <f ca="1">IFERROR(__xludf.DUMMYFUNCTION("""COMPUTED_VALUE"""),"Chin Ting Chan")</f>
        <v>Chin Ting Chan</v>
      </c>
      <c r="B10618" s="3">
        <f ca="1">IFERROR(__xludf.DUMMYFUNCTION("""COMPUTED_VALUE"""),3)</f>
        <v>3</v>
      </c>
      <c r="C10618" s="7">
        <f ca="1">IFERROR(__xludf.DUMMYFUNCTION("""COMPUTED_VALUE"""),3.3)</f>
        <v>3.3</v>
      </c>
      <c r="D10618" s="8">
        <f ca="1">IFERROR(__xludf.DUMMYFUNCTION("""COMPUTED_VALUE"""),3)</f>
        <v>3</v>
      </c>
      <c r="E10618" s="2">
        <f ca="1">IFERROR(__xludf.DUMMYFUNCTION("""COMPUTED_VALUE"""),1)</f>
        <v>1</v>
      </c>
    </row>
    <row r="10619" spans="1:5" ht="13">
      <c r="A10619" s="8" t="str">
        <f ca="1">IFERROR(__xludf.DUMMYFUNCTION("""COMPUTED_VALUE"""),"Chin, Stephen")</f>
        <v>Chin, Stephen</v>
      </c>
      <c r="B10619" s="3">
        <f ca="1">IFERROR(__xludf.DUMMYFUNCTION("""COMPUTED_VALUE"""),3)</f>
        <v>3</v>
      </c>
      <c r="C10619" s="7">
        <f ca="1">IFERROR(__xludf.DUMMYFUNCTION("""COMPUTED_VALUE"""),3.3)</f>
        <v>3.3</v>
      </c>
      <c r="D10619" s="8">
        <f ca="1">IFERROR(__xludf.DUMMYFUNCTION("""COMPUTED_VALUE"""),3)</f>
        <v>3</v>
      </c>
      <c r="E10619" s="2">
        <f ca="1">IFERROR(__xludf.DUMMYFUNCTION("""COMPUTED_VALUE"""),1)</f>
        <v>1</v>
      </c>
    </row>
    <row r="10620" spans="1:5" ht="13">
      <c r="A10620" s="8" t="str">
        <f ca="1">IFERROR(__xludf.DUMMYFUNCTION("""COMPUTED_VALUE"""),"Ching-chu Hu")</f>
        <v>Ching-chu Hu</v>
      </c>
      <c r="B10620" s="3">
        <f ca="1">IFERROR(__xludf.DUMMYFUNCTION("""COMPUTED_VALUE"""),3)</f>
        <v>3</v>
      </c>
      <c r="C10620" s="7">
        <f ca="1">IFERROR(__xludf.DUMMYFUNCTION("""COMPUTED_VALUE"""),3.3)</f>
        <v>3.3</v>
      </c>
      <c r="D10620" s="8">
        <f ca="1">IFERROR(__xludf.DUMMYFUNCTION("""COMPUTED_VALUE"""),3)</f>
        <v>3</v>
      </c>
      <c r="E10620" s="2">
        <f ca="1">IFERROR(__xludf.DUMMYFUNCTION("""COMPUTED_VALUE"""),1)</f>
        <v>1</v>
      </c>
    </row>
    <row r="10621" spans="1:5" ht="13">
      <c r="A10621" s="2" t="str">
        <f ca="1">IFERROR(__xludf.DUMMYFUNCTION("""COMPUTED_VALUE"""),"Chipsy, Islam")</f>
        <v>Chipsy, Islam</v>
      </c>
      <c r="B10621" s="2">
        <f ca="1">IFERROR(__xludf.DUMMYFUNCTION("""COMPUTED_VALUE"""),3)</f>
        <v>3</v>
      </c>
      <c r="C10621" s="7">
        <f ca="1">IFERROR(__xludf.DUMMYFUNCTION("""COMPUTED_VALUE"""),3.5)</f>
        <v>3.5</v>
      </c>
      <c r="D10621" s="8">
        <f ca="1">IFERROR(__xludf.DUMMYFUNCTION("""COMPUTED_VALUE"""),3)</f>
        <v>3</v>
      </c>
      <c r="E10621" s="2">
        <f ca="1">IFERROR(__xludf.DUMMYFUNCTION("""COMPUTED_VALUE"""),1)</f>
        <v>1</v>
      </c>
    </row>
    <row r="10622" spans="1:5" ht="13">
      <c r="A10622" s="8" t="str">
        <f ca="1">IFERROR(__xludf.DUMMYFUNCTION("""COMPUTED_VALUE"""),"Chiu, Bryan")</f>
        <v>Chiu, Bryan</v>
      </c>
      <c r="B10622" s="3">
        <f ca="1">IFERROR(__xludf.DUMMYFUNCTION("""COMPUTED_VALUE"""),3)</f>
        <v>3</v>
      </c>
      <c r="C10622" s="7">
        <f ca="1">IFERROR(__xludf.DUMMYFUNCTION("""COMPUTED_VALUE"""),3.3)</f>
        <v>3.3</v>
      </c>
      <c r="D10622" s="8">
        <f ca="1">IFERROR(__xludf.DUMMYFUNCTION("""COMPUTED_VALUE"""),3)</f>
        <v>3</v>
      </c>
      <c r="E10622" s="2">
        <f ca="1">IFERROR(__xludf.DUMMYFUNCTION("""COMPUTED_VALUE"""),1)</f>
        <v>1</v>
      </c>
    </row>
    <row r="10623" spans="1:5" ht="13">
      <c r="A10623" s="2" t="str">
        <f ca="1">IFERROR(__xludf.DUMMYFUNCTION("""COMPUTED_VALUE"""),"Choi, D.I.D.")</f>
        <v>Choi, D.I.D.</v>
      </c>
      <c r="B10623" s="2">
        <f ca="1">IFERROR(__xludf.DUMMYFUNCTION("""COMPUTED_VALUE"""),3)</f>
        <v>3</v>
      </c>
      <c r="C10623" s="7">
        <f ca="1">IFERROR(__xludf.DUMMYFUNCTION("""COMPUTED_VALUE"""),3.3)</f>
        <v>3.3</v>
      </c>
      <c r="D10623" s="8">
        <f ca="1">IFERROR(__xludf.DUMMYFUNCTION("""COMPUTED_VALUE"""),3)</f>
        <v>3</v>
      </c>
      <c r="E10623" s="2">
        <f ca="1">IFERROR(__xludf.DUMMYFUNCTION("""COMPUTED_VALUE"""),1)</f>
        <v>1</v>
      </c>
    </row>
    <row r="10624" spans="1:5" ht="13">
      <c r="A10624" s="2" t="str">
        <f ca="1">IFERROR(__xludf.DUMMYFUNCTION("""COMPUTED_VALUE"""),"Choi, D.I.D. (Dong-In Danny)")</f>
        <v>Choi, D.I.D. (Dong-In Danny)</v>
      </c>
      <c r="B10624" s="2">
        <f ca="1">IFERROR(__xludf.DUMMYFUNCTION("""COMPUTED_VALUE"""),3)</f>
        <v>3</v>
      </c>
      <c r="C10624" s="7">
        <f ca="1">IFERROR(__xludf.DUMMYFUNCTION("""COMPUTED_VALUE"""),3.3)</f>
        <v>3.3</v>
      </c>
      <c r="D10624" s="8">
        <f ca="1">IFERROR(__xludf.DUMMYFUNCTION("""COMPUTED_VALUE"""),3)</f>
        <v>3</v>
      </c>
      <c r="E10624" s="2">
        <f ca="1">IFERROR(__xludf.DUMMYFUNCTION("""COMPUTED_VALUE"""),1)</f>
        <v>1</v>
      </c>
    </row>
    <row r="10625" spans="1:5" ht="13">
      <c r="A10625" s="2" t="str">
        <f ca="1">IFERROR(__xludf.DUMMYFUNCTION("""COMPUTED_VALUE"""),"Choi, Daniel")</f>
        <v>Choi, Daniel</v>
      </c>
      <c r="B10625" s="3">
        <f ca="1">IFERROR(__xludf.DUMMYFUNCTION("""COMPUTED_VALUE"""),3)</f>
        <v>3</v>
      </c>
      <c r="C10625" s="7">
        <f ca="1">IFERROR(__xludf.DUMMYFUNCTION("""COMPUTED_VALUE"""),3.3)</f>
        <v>3.3</v>
      </c>
      <c r="D10625" s="8">
        <f ca="1">IFERROR(__xludf.DUMMYFUNCTION("""COMPUTED_VALUE"""),3)</f>
        <v>3</v>
      </c>
      <c r="E10625" s="2">
        <f ca="1">IFERROR(__xludf.DUMMYFUNCTION("""COMPUTED_VALUE"""),1)</f>
        <v>1</v>
      </c>
    </row>
    <row r="10626" spans="1:5" ht="13">
      <c r="A10626" s="2" t="str">
        <f ca="1">IFERROR(__xludf.DUMMYFUNCTION("""COMPUTED_VALUE"""),"Choi, Daniel J.")</f>
        <v>Choi, Daniel J.</v>
      </c>
      <c r="B10626" s="2">
        <f ca="1">IFERROR(__xludf.DUMMYFUNCTION("""COMPUTED_VALUE"""),3)</f>
        <v>3</v>
      </c>
      <c r="C10626" s="7">
        <f ca="1">IFERROR(__xludf.DUMMYFUNCTION("""COMPUTED_VALUE"""),3.3)</f>
        <v>3.3</v>
      </c>
      <c r="D10626" s="8">
        <f ca="1">IFERROR(__xludf.DUMMYFUNCTION("""COMPUTED_VALUE"""),3)</f>
        <v>3</v>
      </c>
      <c r="E10626" s="2">
        <f ca="1">IFERROR(__xludf.DUMMYFUNCTION("""COMPUTED_VALUE"""),1)</f>
        <v>1</v>
      </c>
    </row>
    <row r="10627" spans="1:5" ht="13">
      <c r="A10627" s="2" t="str">
        <f ca="1">IFERROR(__xludf.DUMMYFUNCTION("""COMPUTED_VALUE"""),"Choi, Danny")</f>
        <v>Choi, Danny</v>
      </c>
      <c r="B10627" s="2">
        <f ca="1">IFERROR(__xludf.DUMMYFUNCTION("""COMPUTED_VALUE"""),3)</f>
        <v>3</v>
      </c>
      <c r="C10627" s="7">
        <f ca="1">IFERROR(__xludf.DUMMYFUNCTION("""COMPUTED_VALUE"""),3.3)</f>
        <v>3.3</v>
      </c>
      <c r="D10627" s="8">
        <f ca="1">IFERROR(__xludf.DUMMYFUNCTION("""COMPUTED_VALUE"""),3)</f>
        <v>3</v>
      </c>
      <c r="E10627" s="2">
        <f ca="1">IFERROR(__xludf.DUMMYFUNCTION("""COMPUTED_VALUE"""),1)</f>
        <v>1</v>
      </c>
    </row>
    <row r="10628" spans="1:5" ht="13">
      <c r="A10628" s="2" t="str">
        <f ca="1">IFERROR(__xludf.DUMMYFUNCTION("""COMPUTED_VALUE"""),"Choi, Saunder")</f>
        <v>Choi, Saunder</v>
      </c>
      <c r="B10628" s="2">
        <f ca="1">IFERROR(__xludf.DUMMYFUNCTION("""COMPUTED_VALUE"""),3)</f>
        <v>3</v>
      </c>
      <c r="C10628" s="7">
        <f ca="1">IFERROR(__xludf.DUMMYFUNCTION("""COMPUTED_VALUE"""),3.5)</f>
        <v>3.5</v>
      </c>
      <c r="D10628" s="8">
        <f ca="1">IFERROR(__xludf.DUMMYFUNCTION("""COMPUTED_VALUE"""),3)</f>
        <v>3</v>
      </c>
      <c r="E10628" s="2">
        <f ca="1">IFERROR(__xludf.DUMMYFUNCTION("""COMPUTED_VALUE"""),1)</f>
        <v>1</v>
      </c>
    </row>
    <row r="10629" spans="1:5" ht="13">
      <c r="A10629" s="8" t="str">
        <f ca="1">IFERROR(__xludf.DUMMYFUNCTION("""COMPUTED_VALUE"""),"Choice, Kev")</f>
        <v>Choice, Kev</v>
      </c>
      <c r="B10629" s="3">
        <f ca="1">IFERROR(__xludf.DUMMYFUNCTION("""COMPUTED_VALUE"""),3)</f>
        <v>3</v>
      </c>
      <c r="C10629" s="7">
        <f ca="1">IFERROR(__xludf.DUMMYFUNCTION("""COMPUTED_VALUE"""),3.1)</f>
        <v>3.1</v>
      </c>
      <c r="D10629" s="8">
        <f ca="1">IFERROR(__xludf.DUMMYFUNCTION("""COMPUTED_VALUE"""),3)</f>
        <v>3</v>
      </c>
      <c r="E10629" s="2">
        <f ca="1">IFERROR(__xludf.DUMMYFUNCTION("""COMPUTED_VALUE"""),1)</f>
        <v>1</v>
      </c>
    </row>
    <row r="10630" spans="1:5" ht="13">
      <c r="A10630" s="8" t="str">
        <f ca="1">IFERROR(__xludf.DUMMYFUNCTION("""COMPUTED_VALUE"""),"Chu, Arnor")</f>
        <v>Chu, Arnor</v>
      </c>
      <c r="B10630" s="3">
        <f ca="1">IFERROR(__xludf.DUMMYFUNCTION("""COMPUTED_VALUE"""),3)</f>
        <v>3</v>
      </c>
      <c r="C10630" s="7">
        <f ca="1">IFERROR(__xludf.DUMMYFUNCTION("""COMPUTED_VALUE"""),3.3)</f>
        <v>3.3</v>
      </c>
      <c r="D10630" s="8">
        <f ca="1">IFERROR(__xludf.DUMMYFUNCTION("""COMPUTED_VALUE"""),3)</f>
        <v>3</v>
      </c>
      <c r="E10630" s="2">
        <f ca="1">IFERROR(__xludf.DUMMYFUNCTION("""COMPUTED_VALUE"""),1)</f>
        <v>1</v>
      </c>
    </row>
    <row r="10631" spans="1:5" ht="13">
      <c r="A10631" s="2" t="str">
        <f ca="1">IFERROR(__xludf.DUMMYFUNCTION("""COMPUTED_VALUE"""),"Cifuentes, Santos")</f>
        <v>Cifuentes, Santos</v>
      </c>
      <c r="B10631" s="2">
        <f ca="1">IFERROR(__xludf.DUMMYFUNCTION("""COMPUTED_VALUE"""),3)</f>
        <v>3</v>
      </c>
      <c r="C10631" s="2">
        <f ca="1">IFERROR(__xludf.DUMMYFUNCTION("""COMPUTED_VALUE"""),3.2)</f>
        <v>3.2</v>
      </c>
      <c r="D10631" s="8">
        <f ca="1">IFERROR(__xludf.DUMMYFUNCTION("""COMPUTED_VALUE"""),7)</f>
        <v>7</v>
      </c>
      <c r="E10631" s="2">
        <f ca="1">IFERROR(__xludf.DUMMYFUNCTION("""COMPUTED_VALUE"""),2)</f>
        <v>2</v>
      </c>
    </row>
    <row r="10632" spans="1:5" ht="13">
      <c r="A10632" s="8" t="str">
        <f ca="1">IFERROR(__xludf.DUMMYFUNCTION("""COMPUTED_VALUE"""),"Clark, Sonny")</f>
        <v>Clark, Sonny</v>
      </c>
      <c r="B10632" s="3">
        <f ca="1">IFERROR(__xludf.DUMMYFUNCTION("""COMPUTED_VALUE"""),3)</f>
        <v>3</v>
      </c>
      <c r="C10632" s="7">
        <f ca="1">IFERROR(__xludf.DUMMYFUNCTION("""COMPUTED_VALUE"""),3.1)</f>
        <v>3.1</v>
      </c>
      <c r="D10632" s="8">
        <f ca="1">IFERROR(__xludf.DUMMYFUNCTION("""COMPUTED_VALUE"""),7)</f>
        <v>7</v>
      </c>
      <c r="E10632" s="2">
        <f ca="1">IFERROR(__xludf.DUMMYFUNCTION("""COMPUTED_VALUE"""),2)</f>
        <v>2</v>
      </c>
    </row>
    <row r="10633" spans="1:5" ht="13">
      <c r="A10633" s="2" t="str">
        <f ca="1">IFERROR(__xludf.DUMMYFUNCTION("""COMPUTED_VALUE"""),"Clark, Timothy")</f>
        <v>Clark, Timothy</v>
      </c>
      <c r="B10633" s="2">
        <f ca="1">IFERROR(__xludf.DUMMYFUNCTION("""COMPUTED_VALUE"""),3)</f>
        <v>3</v>
      </c>
      <c r="C10633" s="7">
        <f ca="1">IFERROR(__xludf.DUMMYFUNCTION("""COMPUTED_VALUE"""),3.1)</f>
        <v>3.1</v>
      </c>
      <c r="D10633" s="8">
        <f ca="1">IFERROR(__xludf.DUMMYFUNCTION("""COMPUTED_VALUE"""),7)</f>
        <v>7</v>
      </c>
      <c r="E10633" s="2">
        <f ca="1">IFERROR(__xludf.DUMMYFUNCTION("""COMPUTED_VALUE"""),2)</f>
        <v>2</v>
      </c>
    </row>
    <row r="10634" spans="1:5" ht="13">
      <c r="A10634" s="2" t="str">
        <f ca="1">IFERROR(__xludf.DUMMYFUNCTION("""COMPUTED_VALUE"""),"Clay, Aaron")</f>
        <v>Clay, Aaron</v>
      </c>
      <c r="B10634" s="2">
        <f ca="1">IFERROR(__xludf.DUMMYFUNCTION("""COMPUTED_VALUE"""),3)</f>
        <v>3</v>
      </c>
      <c r="C10634" s="7">
        <f ca="1">IFERROR(__xludf.DUMMYFUNCTION("""COMPUTED_VALUE"""),3.1)</f>
        <v>3.1</v>
      </c>
      <c r="D10634" s="8">
        <f ca="1">IFERROR(__xludf.DUMMYFUNCTION("""COMPUTED_VALUE"""),3)</f>
        <v>3</v>
      </c>
      <c r="E10634" s="2">
        <f ca="1">IFERROR(__xludf.DUMMYFUNCTION("""COMPUTED_VALUE"""),1)</f>
        <v>1</v>
      </c>
    </row>
    <row r="10635" spans="1:5" ht="13">
      <c r="A10635" s="2" t="str">
        <f ca="1">IFERROR(__xludf.DUMMYFUNCTION("""COMPUTED_VALUE"""),"Clayton a.k.a. DJ / rupture, Jace")</f>
        <v>Clayton a.k.a. DJ / rupture, Jace</v>
      </c>
      <c r="B10635" s="3">
        <f ca="1">IFERROR(__xludf.DUMMYFUNCTION("""COMPUTED_VALUE"""),3)</f>
        <v>3</v>
      </c>
      <c r="C10635" s="7">
        <f ca="1">IFERROR(__xludf.DUMMYFUNCTION("""COMPUTED_VALUE"""),3.1)</f>
        <v>3.1</v>
      </c>
      <c r="D10635" s="8">
        <f ca="1">IFERROR(__xludf.DUMMYFUNCTION("""COMPUTED_VALUE"""),3)</f>
        <v>3</v>
      </c>
      <c r="E10635" s="2">
        <f ca="1">IFERROR(__xludf.DUMMYFUNCTION("""COMPUTED_VALUE"""),1)</f>
        <v>1</v>
      </c>
    </row>
    <row r="10636" spans="1:5" ht="13">
      <c r="A10636" s="2" t="str">
        <f ca="1">IFERROR(__xludf.DUMMYFUNCTION("""COMPUTED_VALUE"""),"Clayton, Buck")</f>
        <v>Clayton, Buck</v>
      </c>
      <c r="B10636" s="2">
        <f ca="1">IFERROR(__xludf.DUMMYFUNCTION("""COMPUTED_VALUE"""),3)</f>
        <v>3</v>
      </c>
      <c r="C10636" s="7">
        <f ca="1">IFERROR(__xludf.DUMMYFUNCTION("""COMPUTED_VALUE"""),3.1)</f>
        <v>3.1</v>
      </c>
      <c r="D10636" s="8">
        <f ca="1">IFERROR(__xludf.DUMMYFUNCTION("""COMPUTED_VALUE"""),7)</f>
        <v>7</v>
      </c>
      <c r="E10636" s="2">
        <f ca="1">IFERROR(__xludf.DUMMYFUNCTION("""COMPUTED_VALUE"""),2)</f>
        <v>2</v>
      </c>
    </row>
    <row r="10637" spans="1:5" ht="13">
      <c r="A10637" s="2" t="str">
        <f ca="1">IFERROR(__xludf.DUMMYFUNCTION("""COMPUTED_VALUE"""),"Clayton, John")</f>
        <v>Clayton, John</v>
      </c>
      <c r="B10637" s="2">
        <f ca="1">IFERROR(__xludf.DUMMYFUNCTION("""COMPUTED_VALUE"""),3)</f>
        <v>3</v>
      </c>
      <c r="C10637" s="7">
        <f ca="1">IFERROR(__xludf.DUMMYFUNCTION("""COMPUTED_VALUE"""),3.1)</f>
        <v>3.1</v>
      </c>
      <c r="D10637" s="8">
        <f ca="1">IFERROR(__xludf.DUMMYFUNCTION("""COMPUTED_VALUE"""),3)</f>
        <v>3</v>
      </c>
      <c r="E10637" s="2">
        <f ca="1">IFERROR(__xludf.DUMMYFUNCTION("""COMPUTED_VALUE"""),1)</f>
        <v>1</v>
      </c>
    </row>
    <row r="10638" spans="1:5" ht="13">
      <c r="A10638" s="2" t="str">
        <f ca="1">IFERROR(__xludf.DUMMYFUNCTION("""COMPUTED_VALUE"""),"Cleveland, James")</f>
        <v>Cleveland, James</v>
      </c>
      <c r="B10638" s="3">
        <f ca="1">IFERROR(__xludf.DUMMYFUNCTION("""COMPUTED_VALUE"""),3)</f>
        <v>3</v>
      </c>
      <c r="C10638" s="7">
        <f ca="1">IFERROR(__xludf.DUMMYFUNCTION("""COMPUTED_VALUE"""),3.1)</f>
        <v>3.1</v>
      </c>
      <c r="D10638" s="8">
        <f ca="1">IFERROR(__xludf.DUMMYFUNCTION("""COMPUTED_VALUE"""),7)</f>
        <v>7</v>
      </c>
      <c r="E10638" s="2">
        <f ca="1">IFERROR(__xludf.DUMMYFUNCTION("""COMPUTED_VALUE"""),2)</f>
        <v>2</v>
      </c>
    </row>
    <row r="10639" spans="1:5" ht="13">
      <c r="A10639" s="8" t="str">
        <f ca="1">IFERROR(__xludf.DUMMYFUNCTION("""COMPUTED_VALUE"""),"Codina, Genaro")</f>
        <v>Codina, Genaro</v>
      </c>
      <c r="B10639" s="3">
        <f ca="1">IFERROR(__xludf.DUMMYFUNCTION("""COMPUTED_VALUE"""),3)</f>
        <v>3</v>
      </c>
      <c r="C10639" s="7">
        <f ca="1">IFERROR(__xludf.DUMMYFUNCTION("""COMPUTED_VALUE"""),3.2)</f>
        <v>3.2</v>
      </c>
      <c r="D10639" s="8">
        <f ca="1">IFERROR(__xludf.DUMMYFUNCTION("""COMPUTED_VALUE"""),7)</f>
        <v>7</v>
      </c>
      <c r="E10639" s="2">
        <f ca="1">IFERROR(__xludf.DUMMYFUNCTION("""COMPUTED_VALUE"""),2)</f>
        <v>2</v>
      </c>
    </row>
    <row r="10640" spans="1:5" ht="13">
      <c r="A10640" s="2" t="str">
        <f ca="1">IFERROR(__xludf.DUMMYFUNCTION("""COMPUTED_VALUE"""),"Cohen, Avishai")</f>
        <v>Cohen, Avishai</v>
      </c>
      <c r="B10640" s="3">
        <f ca="1">IFERROR(__xludf.DUMMYFUNCTION("""COMPUTED_VALUE"""),3)</f>
        <v>3</v>
      </c>
      <c r="C10640" s="7">
        <f ca="1">IFERROR(__xludf.DUMMYFUNCTION("""COMPUTED_VALUE"""),3.5)</f>
        <v>3.5</v>
      </c>
      <c r="D10640" s="8">
        <f ca="1">IFERROR(__xludf.DUMMYFUNCTION("""COMPUTED_VALUE"""),3)</f>
        <v>3</v>
      </c>
      <c r="E10640" s="2">
        <f ca="1">IFERROR(__xludf.DUMMYFUNCTION("""COMPUTED_VALUE"""),1)</f>
        <v>1</v>
      </c>
    </row>
    <row r="10641" spans="1:5" ht="13">
      <c r="A10641" s="2" t="str">
        <f ca="1">IFERROR(__xludf.DUMMYFUNCTION("""COMPUTED_VALUE"""),"Cole, Nat King")</f>
        <v>Cole, Nat King</v>
      </c>
      <c r="B10641" s="3">
        <f ca="1">IFERROR(__xludf.DUMMYFUNCTION("""COMPUTED_VALUE"""),3)</f>
        <v>3</v>
      </c>
      <c r="C10641" s="7">
        <f ca="1">IFERROR(__xludf.DUMMYFUNCTION("""COMPUTED_VALUE"""),3.1)</f>
        <v>3.1</v>
      </c>
      <c r="D10641" s="8">
        <f ca="1">IFERROR(__xludf.DUMMYFUNCTION("""COMPUTED_VALUE"""),7)</f>
        <v>7</v>
      </c>
      <c r="E10641" s="2">
        <f ca="1">IFERROR(__xludf.DUMMYFUNCTION("""COMPUTED_VALUE"""),2)</f>
        <v>2</v>
      </c>
    </row>
    <row r="10642" spans="1:5" ht="13">
      <c r="A10642" s="8" t="str">
        <f ca="1">IFERROR(__xludf.DUMMYFUNCTION("""COMPUTED_VALUE"""),"Coleridge-Taylor, Samuel")</f>
        <v>Coleridge-Taylor, Samuel</v>
      </c>
      <c r="B10642" s="3">
        <f ca="1">IFERROR(__xludf.DUMMYFUNCTION("""COMPUTED_VALUE"""),3)</f>
        <v>3</v>
      </c>
      <c r="C10642" s="7">
        <f ca="1">IFERROR(__xludf.DUMMYFUNCTION("""COMPUTED_VALUE"""),3.1)</f>
        <v>3.1</v>
      </c>
      <c r="D10642" s="8">
        <f ca="1">IFERROR(__xludf.DUMMYFUNCTION("""COMPUTED_VALUE"""),7)</f>
        <v>7</v>
      </c>
      <c r="E10642" s="2">
        <f ca="1">IFERROR(__xludf.DUMMYFUNCTION("""COMPUTED_VALUE"""),2)</f>
        <v>2</v>
      </c>
    </row>
    <row r="10643" spans="1:5" ht="13">
      <c r="A10643" s="8" t="str">
        <f ca="1">IFERROR(__xludf.DUMMYFUNCTION("""COMPUTED_VALUE"""),"Coles, Jay")</f>
        <v>Coles, Jay</v>
      </c>
      <c r="B10643" s="3">
        <f ca="1">IFERROR(__xludf.DUMMYFUNCTION("""COMPUTED_VALUE"""),3)</f>
        <v>3</v>
      </c>
      <c r="C10643" s="7">
        <f ca="1">IFERROR(__xludf.DUMMYFUNCTION("""COMPUTED_VALUE"""),3.1)</f>
        <v>3.1</v>
      </c>
      <c r="D10643" s="8">
        <f ca="1">IFERROR(__xludf.DUMMYFUNCTION("""COMPUTED_VALUE"""),3)</f>
        <v>3</v>
      </c>
      <c r="E10643" s="2">
        <f ca="1">IFERROR(__xludf.DUMMYFUNCTION("""COMPUTED_VALUE"""),1)</f>
        <v>1</v>
      </c>
    </row>
    <row r="10644" spans="1:5" ht="13">
      <c r="A10644" s="8" t="str">
        <f ca="1">IFERROR(__xludf.DUMMYFUNCTION("""COMPUTED_VALUE"""),"Coltrane, John")</f>
        <v>Coltrane, John</v>
      </c>
      <c r="B10644" s="3">
        <f ca="1">IFERROR(__xludf.DUMMYFUNCTION("""COMPUTED_VALUE"""),3)</f>
        <v>3</v>
      </c>
      <c r="C10644" s="7">
        <f ca="1">IFERROR(__xludf.DUMMYFUNCTION("""COMPUTED_VALUE"""),3.1)</f>
        <v>3.1</v>
      </c>
      <c r="D10644" s="8">
        <f ca="1">IFERROR(__xludf.DUMMYFUNCTION("""COMPUTED_VALUE"""),7)</f>
        <v>7</v>
      </c>
      <c r="E10644" s="2">
        <f ca="1">IFERROR(__xludf.DUMMYFUNCTION("""COMPUTED_VALUE"""),2)</f>
        <v>2</v>
      </c>
    </row>
    <row r="10645" spans="1:5" ht="13">
      <c r="A10645" s="2" t="str">
        <f ca="1">IFERROR(__xludf.DUMMYFUNCTION("""COMPUTED_VALUE"""),"Coltrane, John / Simon, Carlos")</f>
        <v>Coltrane, John / Simon, Carlos</v>
      </c>
      <c r="B10645" s="3">
        <f ca="1">IFERROR(__xludf.DUMMYFUNCTION("""COMPUTED_VALUE"""),3)</f>
        <v>3</v>
      </c>
      <c r="C10645" s="7">
        <f ca="1">IFERROR(__xludf.DUMMYFUNCTION("""COMPUTED_VALUE"""),3.1)</f>
        <v>3.1</v>
      </c>
      <c r="D10645" s="8">
        <f ca="1">IFERROR(__xludf.DUMMYFUNCTION("""COMPUTED_VALUE"""),7)</f>
        <v>7</v>
      </c>
      <c r="E10645" s="2">
        <f ca="1">IFERROR(__xludf.DUMMYFUNCTION("""COMPUTED_VALUE"""),2)</f>
        <v>2</v>
      </c>
    </row>
    <row r="10646" spans="1:5" ht="13">
      <c r="A10646" s="8" t="str">
        <f ca="1">IFERROR(__xludf.DUMMYFUNCTION("""COMPUTED_VALUE"""),"Concert Black (aka Blake Hernton)")</f>
        <v>Concert Black (aka Blake Hernton)</v>
      </c>
      <c r="B10646" s="3">
        <f ca="1">IFERROR(__xludf.DUMMYFUNCTION("""COMPUTED_VALUE"""),3)</f>
        <v>3</v>
      </c>
      <c r="C10646" s="7">
        <f ca="1">IFERROR(__xludf.DUMMYFUNCTION("""COMPUTED_VALUE"""),3.1)</f>
        <v>3.1</v>
      </c>
      <c r="D10646" s="8">
        <f ca="1">IFERROR(__xludf.DUMMYFUNCTION("""COMPUTED_VALUE"""),3)</f>
        <v>3</v>
      </c>
      <c r="E10646" s="2">
        <f ca="1">IFERROR(__xludf.DUMMYFUNCTION("""COMPUTED_VALUE"""),1)</f>
        <v>1</v>
      </c>
    </row>
    <row r="10647" spans="1:5" ht="13">
      <c r="A10647" s="8" t="str">
        <f ca="1">IFERROR(__xludf.DUMMYFUNCTION("""COMPUTED_VALUE"""),"Consolacion, Alejandro")</f>
        <v>Consolacion, Alejandro</v>
      </c>
      <c r="B10647" s="3">
        <f ca="1">IFERROR(__xludf.DUMMYFUNCTION("""COMPUTED_VALUE"""),3)</f>
        <v>3</v>
      </c>
      <c r="C10647" s="7">
        <f ca="1">IFERROR(__xludf.DUMMYFUNCTION("""COMPUTED_VALUE"""),3.3)</f>
        <v>3.3</v>
      </c>
      <c r="D10647" s="8">
        <f ca="1">IFERROR(__xludf.DUMMYFUNCTION("""COMPUTED_VALUE"""),3)</f>
        <v>3</v>
      </c>
      <c r="E10647" s="2">
        <f ca="1">IFERROR(__xludf.DUMMYFUNCTION("""COMPUTED_VALUE"""),1)</f>
        <v>1</v>
      </c>
    </row>
    <row r="10648" spans="1:5" ht="13">
      <c r="A10648" s="2" t="str">
        <f ca="1">IFERROR(__xludf.DUMMYFUNCTION("""COMPUTED_VALUE"""),"Constantini, Claudio")</f>
        <v>Constantini, Claudio</v>
      </c>
      <c r="B10648" s="3">
        <f ca="1">IFERROR(__xludf.DUMMYFUNCTION("""COMPUTED_VALUE"""),3)</f>
        <v>3</v>
      </c>
      <c r="C10648" s="7">
        <f ca="1">IFERROR(__xludf.DUMMYFUNCTION("""COMPUTED_VALUE"""),3.2)</f>
        <v>3.2</v>
      </c>
      <c r="D10648" s="8">
        <f ca="1">IFERROR(__xludf.DUMMYFUNCTION("""COMPUTED_VALUE"""),3)</f>
        <v>3</v>
      </c>
      <c r="E10648" s="2">
        <f ca="1">IFERROR(__xludf.DUMMYFUNCTION("""COMPUTED_VALUE"""),1)</f>
        <v>1</v>
      </c>
    </row>
    <row r="10649" spans="1:5" ht="13">
      <c r="A10649" s="8" t="str">
        <f ca="1">IFERROR(__xludf.DUMMYFUNCTION("""COMPUTED_VALUE"""),"Contreras, Juan Pablo")</f>
        <v>Contreras, Juan Pablo</v>
      </c>
      <c r="B10649" s="3">
        <f ca="1">IFERROR(__xludf.DUMMYFUNCTION("""COMPUTED_VALUE"""),3)</f>
        <v>3</v>
      </c>
      <c r="C10649" s="7">
        <f ca="1">IFERROR(__xludf.DUMMYFUNCTION("""COMPUTED_VALUE"""),3.2)</f>
        <v>3.2</v>
      </c>
      <c r="D10649" s="8">
        <f ca="1">IFERROR(__xludf.DUMMYFUNCTION("""COMPUTED_VALUE"""),3)</f>
        <v>3</v>
      </c>
      <c r="E10649" s="2">
        <f ca="1">IFERROR(__xludf.DUMMYFUNCTION("""COMPUTED_VALUE"""),1)</f>
        <v>1</v>
      </c>
    </row>
    <row r="10650" spans="1:5" ht="13">
      <c r="A10650" s="8" t="str">
        <f ca="1">IFERROR(__xludf.DUMMYFUNCTION("""COMPUTED_VALUE"""),"Contreras, Salvador")</f>
        <v>Contreras, Salvador</v>
      </c>
      <c r="B10650" s="3">
        <f ca="1">IFERROR(__xludf.DUMMYFUNCTION("""COMPUTED_VALUE"""),3)</f>
        <v>3</v>
      </c>
      <c r="C10650" s="7">
        <f ca="1">IFERROR(__xludf.DUMMYFUNCTION("""COMPUTED_VALUE"""),3.2)</f>
        <v>3.2</v>
      </c>
      <c r="D10650" s="8">
        <f ca="1">IFERROR(__xludf.DUMMYFUNCTION("""COMPUTED_VALUE"""),7)</f>
        <v>7</v>
      </c>
      <c r="E10650" s="2">
        <f ca="1">IFERROR(__xludf.DUMMYFUNCTION("""COMPUTED_VALUE"""),2)</f>
        <v>2</v>
      </c>
    </row>
    <row r="10651" spans="1:5" ht="13">
      <c r="A10651" s="2" t="str">
        <f ca="1">IFERROR(__xludf.DUMMYFUNCTION("""COMPUTED_VALUE"""),"Cook, Will Marion")</f>
        <v>Cook, Will Marion</v>
      </c>
      <c r="B10651" s="2">
        <f ca="1">IFERROR(__xludf.DUMMYFUNCTION("""COMPUTED_VALUE"""),3)</f>
        <v>3</v>
      </c>
      <c r="C10651" s="7">
        <f ca="1">IFERROR(__xludf.DUMMYFUNCTION("""COMPUTED_VALUE"""),3.1)</f>
        <v>3.1</v>
      </c>
      <c r="D10651" s="8">
        <f ca="1">IFERROR(__xludf.DUMMYFUNCTION("""COMPUTED_VALUE"""),7)</f>
        <v>7</v>
      </c>
      <c r="E10651" s="2">
        <f ca="1">IFERROR(__xludf.DUMMYFUNCTION("""COMPUTED_VALUE"""),2)</f>
        <v>2</v>
      </c>
    </row>
    <row r="10652" spans="1:5" ht="13">
      <c r="A10652" s="2" t="str">
        <f ca="1">IFERROR(__xludf.DUMMYFUNCTION("""COMPUTED_VALUE"""),"Cooke, Sam")</f>
        <v>Cooke, Sam</v>
      </c>
      <c r="B10652" s="3">
        <f ca="1">IFERROR(__xludf.DUMMYFUNCTION("""COMPUTED_VALUE"""),3)</f>
        <v>3</v>
      </c>
      <c r="C10652" s="7">
        <f ca="1">IFERROR(__xludf.DUMMYFUNCTION("""COMPUTED_VALUE"""),3.1)</f>
        <v>3.1</v>
      </c>
      <c r="D10652" s="8">
        <f ca="1">IFERROR(__xludf.DUMMYFUNCTION("""COMPUTED_VALUE"""),7)</f>
        <v>7</v>
      </c>
      <c r="E10652" s="2">
        <f ca="1">IFERROR(__xludf.DUMMYFUNCTION("""COMPUTED_VALUE"""),2)</f>
        <v>2</v>
      </c>
    </row>
    <row r="10653" spans="1:5" ht="13">
      <c r="A10653" s="8" t="str">
        <f ca="1">IFERROR(__xludf.DUMMYFUNCTION("""COMPUTED_VALUE"""),"Copley, Katahj")</f>
        <v>Copley, Katahj</v>
      </c>
      <c r="B10653" s="3">
        <f ca="1">IFERROR(__xludf.DUMMYFUNCTION("""COMPUTED_VALUE"""),3)</f>
        <v>3</v>
      </c>
      <c r="C10653" s="7">
        <f ca="1">IFERROR(__xludf.DUMMYFUNCTION("""COMPUTED_VALUE"""),3.1)</f>
        <v>3.1</v>
      </c>
      <c r="D10653" s="8">
        <f ca="1">IFERROR(__xludf.DUMMYFUNCTION("""COMPUTED_VALUE"""),3)</f>
        <v>3</v>
      </c>
      <c r="E10653" s="2">
        <f ca="1">IFERROR(__xludf.DUMMYFUNCTION("""COMPUTED_VALUE"""),1)</f>
        <v>1</v>
      </c>
    </row>
    <row r="10654" spans="1:5" ht="13">
      <c r="A10654" s="2" t="str">
        <f ca="1">IFERROR(__xludf.DUMMYFUNCTION("""COMPUTED_VALUE"""),"Cordero, Carlos")</f>
        <v>Cordero, Carlos</v>
      </c>
      <c r="B10654" s="2">
        <f ca="1">IFERROR(__xludf.DUMMYFUNCTION("""COMPUTED_VALUE"""),3)</f>
        <v>3</v>
      </c>
      <c r="C10654" s="7">
        <f ca="1">IFERROR(__xludf.DUMMYFUNCTION("""COMPUTED_VALUE"""),3.2)</f>
        <v>3.2</v>
      </c>
      <c r="D10654" s="8">
        <f ca="1">IFERROR(__xludf.DUMMYFUNCTION("""COMPUTED_VALUE"""),3)</f>
        <v>3</v>
      </c>
      <c r="E10654" s="2">
        <f ca="1">IFERROR(__xludf.DUMMYFUNCTION("""COMPUTED_VALUE"""),1)</f>
        <v>1</v>
      </c>
    </row>
    <row r="10655" spans="1:5" ht="13">
      <c r="A10655" s="8" t="str">
        <f ca="1">IFERROR(__xludf.DUMMYFUNCTION("""COMPUTED_VALUE"""),"Cordero, Ernesto")</f>
        <v>Cordero, Ernesto</v>
      </c>
      <c r="B10655" s="3">
        <f ca="1">IFERROR(__xludf.DUMMYFUNCTION("""COMPUTED_VALUE"""),3)</f>
        <v>3</v>
      </c>
      <c r="C10655" s="7">
        <f ca="1">IFERROR(__xludf.DUMMYFUNCTION("""COMPUTED_VALUE"""),3.2)</f>
        <v>3.2</v>
      </c>
      <c r="D10655" s="8">
        <f ca="1">IFERROR(__xludf.DUMMYFUNCTION("""COMPUTED_VALUE"""),3)</f>
        <v>3</v>
      </c>
      <c r="E10655" s="2">
        <f ca="1">IFERROR(__xludf.DUMMYFUNCTION("""COMPUTED_VALUE"""),1)</f>
        <v>1</v>
      </c>
    </row>
    <row r="10656" spans="1:5" ht="13">
      <c r="A10656" s="8" t="str">
        <f ca="1">IFERROR(__xludf.DUMMYFUNCTION("""COMPUTED_VALUE"""),"Cordero, Roque")</f>
        <v>Cordero, Roque</v>
      </c>
      <c r="B10656" s="3">
        <f ca="1">IFERROR(__xludf.DUMMYFUNCTION("""COMPUTED_VALUE"""),3)</f>
        <v>3</v>
      </c>
      <c r="C10656" s="7">
        <f ca="1">IFERROR(__xludf.DUMMYFUNCTION("""COMPUTED_VALUE"""),3.2)</f>
        <v>3.2</v>
      </c>
      <c r="D10656" s="8">
        <f ca="1">IFERROR(__xludf.DUMMYFUNCTION("""COMPUTED_VALUE"""),7)</f>
        <v>7</v>
      </c>
      <c r="E10656" s="2">
        <f ca="1">IFERROR(__xludf.DUMMYFUNCTION("""COMPUTED_VALUE"""),2)</f>
        <v>2</v>
      </c>
    </row>
    <row r="10657" spans="1:5" ht="13">
      <c r="A10657" s="8" t="str">
        <f ca="1">IFERROR(__xludf.DUMMYFUNCTION("""COMPUTED_VALUE"""),"Cordice, Terrell")</f>
        <v>Cordice, Terrell</v>
      </c>
      <c r="B10657" s="3">
        <f ca="1">IFERROR(__xludf.DUMMYFUNCTION("""COMPUTED_VALUE"""),3)</f>
        <v>3</v>
      </c>
      <c r="C10657" s="7">
        <f ca="1">IFERROR(__xludf.DUMMYFUNCTION("""COMPUTED_VALUE"""),3.8)</f>
        <v>3.8</v>
      </c>
      <c r="D10657" s="8">
        <f ca="1">IFERROR(__xludf.DUMMYFUNCTION("""COMPUTED_VALUE"""),3)</f>
        <v>3</v>
      </c>
      <c r="E10657" s="2">
        <f ca="1">IFERROR(__xludf.DUMMYFUNCTION("""COMPUTED_VALUE"""),1)</f>
        <v>1</v>
      </c>
    </row>
    <row r="10658" spans="1:5" ht="13">
      <c r="A10658" s="8" t="str">
        <f ca="1">IFERROR(__xludf.DUMMYFUNCTION("""COMPUTED_VALUE"""),"Cortés-Álvarez, Francisco")</f>
        <v>Cortés-Álvarez, Francisco</v>
      </c>
      <c r="B10658" s="3">
        <f ca="1">IFERROR(__xludf.DUMMYFUNCTION("""COMPUTED_VALUE"""),3)</f>
        <v>3</v>
      </c>
      <c r="C10658" s="7">
        <f ca="1">IFERROR(__xludf.DUMMYFUNCTION("""COMPUTED_VALUE"""),3.2)</f>
        <v>3.2</v>
      </c>
      <c r="D10658" s="8">
        <f ca="1">IFERROR(__xludf.DUMMYFUNCTION("""COMPUTED_VALUE"""),3)</f>
        <v>3</v>
      </c>
      <c r="E10658" s="2">
        <f ca="1">IFERROR(__xludf.DUMMYFUNCTION("""COMPUTED_VALUE"""),1)</f>
        <v>1</v>
      </c>
    </row>
    <row r="10659" spans="1:5" ht="13">
      <c r="A10659" s="8" t="str">
        <f ca="1">IFERROR(__xludf.DUMMYFUNCTION("""COMPUTED_VALUE"""),"Cortés, Gori")</f>
        <v>Cortés, Gori</v>
      </c>
      <c r="B10659" s="3">
        <f ca="1">IFERROR(__xludf.DUMMYFUNCTION("""COMPUTED_VALUE"""),3)</f>
        <v>3</v>
      </c>
      <c r="C10659" s="7">
        <f ca="1">IFERROR(__xludf.DUMMYFUNCTION("""COMPUTED_VALUE"""),3.2)</f>
        <v>3.2</v>
      </c>
      <c r="D10659" s="8">
        <f ca="1">IFERROR(__xludf.DUMMYFUNCTION("""COMPUTED_VALUE"""),7)</f>
        <v>7</v>
      </c>
      <c r="E10659" s="2">
        <f ca="1">IFERROR(__xludf.DUMMYFUNCTION("""COMPUTED_VALUE"""),2)</f>
        <v>2</v>
      </c>
    </row>
    <row r="10660" spans="1:5" ht="13">
      <c r="A10660" s="8" t="str">
        <f ca="1">IFERROR(__xludf.DUMMYFUNCTION("""COMPUTED_VALUE"""),"Cortes, Ramiro")</f>
        <v>Cortes, Ramiro</v>
      </c>
      <c r="B10660" s="3">
        <f ca="1">IFERROR(__xludf.DUMMYFUNCTION("""COMPUTED_VALUE"""),3)</f>
        <v>3</v>
      </c>
      <c r="C10660" s="7">
        <f ca="1">IFERROR(__xludf.DUMMYFUNCTION("""COMPUTED_VALUE"""),3.2)</f>
        <v>3.2</v>
      </c>
      <c r="D10660" s="8">
        <f ca="1">IFERROR(__xludf.DUMMYFUNCTION("""COMPUTED_VALUE"""),7)</f>
        <v>7</v>
      </c>
      <c r="E10660" s="2">
        <f ca="1">IFERROR(__xludf.DUMMYFUNCTION("""COMPUTED_VALUE"""),2)</f>
        <v>2</v>
      </c>
    </row>
    <row r="10661" spans="1:5" ht="13">
      <c r="A10661" s="2" t="str">
        <f ca="1">IFERROR(__xludf.DUMMYFUNCTION("""COMPUTED_VALUE"""),"Cox, Jessie")</f>
        <v>Cox, Jessie</v>
      </c>
      <c r="B10661" s="3">
        <f ca="1">IFERROR(__xludf.DUMMYFUNCTION("""COMPUTED_VALUE"""),3)</f>
        <v>3</v>
      </c>
      <c r="C10661" s="7">
        <f ca="1">IFERROR(__xludf.DUMMYFUNCTION("""COMPUTED_VALUE"""),3.1)</f>
        <v>3.1</v>
      </c>
      <c r="D10661" s="8">
        <f ca="1">IFERROR(__xludf.DUMMYFUNCTION("""COMPUTED_VALUE"""),3)</f>
        <v>3</v>
      </c>
      <c r="E10661" s="2">
        <f ca="1">IFERROR(__xludf.DUMMYFUNCTION("""COMPUTED_VALUE"""),1)</f>
        <v>1</v>
      </c>
    </row>
    <row r="10662" spans="1:5" ht="13">
      <c r="A10662" s="2" t="str">
        <f ca="1">IFERROR(__xludf.DUMMYFUNCTION("""COMPUTED_VALUE"""),"Crichlow, Chanell")</f>
        <v>Crichlow, Chanell</v>
      </c>
      <c r="B10662" s="3">
        <f ca="1">IFERROR(__xludf.DUMMYFUNCTION("""COMPUTED_VALUE"""),3)</f>
        <v>3</v>
      </c>
      <c r="C10662" s="7">
        <f ca="1">IFERROR(__xludf.DUMMYFUNCTION("""COMPUTED_VALUE"""),3.1)</f>
        <v>3.1</v>
      </c>
      <c r="D10662" s="8">
        <f ca="1">IFERROR(__xludf.DUMMYFUNCTION("""COMPUTED_VALUE"""),3)</f>
        <v>3</v>
      </c>
      <c r="E10662" s="2">
        <f ca="1">IFERROR(__xludf.DUMMYFUNCTION("""COMPUTED_VALUE"""),1)</f>
        <v>1</v>
      </c>
    </row>
    <row r="10663" spans="1:5" ht="13">
      <c r="A10663" s="8" t="str">
        <f ca="1">IFERROR(__xludf.DUMMYFUNCTION("""COMPUTED_VALUE"""),"Croomes, Cliff")</f>
        <v>Croomes, Cliff</v>
      </c>
      <c r="B10663" s="3">
        <f ca="1">IFERROR(__xludf.DUMMYFUNCTION("""COMPUTED_VALUE"""),3)</f>
        <v>3</v>
      </c>
      <c r="C10663" s="7">
        <f ca="1">IFERROR(__xludf.DUMMYFUNCTION("""COMPUTED_VALUE"""),3.1)</f>
        <v>3.1</v>
      </c>
      <c r="D10663" s="8">
        <f ca="1">IFERROR(__xludf.DUMMYFUNCTION("""COMPUTED_VALUE"""),3)</f>
        <v>3</v>
      </c>
      <c r="E10663" s="2">
        <f ca="1">IFERROR(__xludf.DUMMYFUNCTION("""COMPUTED_VALUE"""),1)</f>
        <v>1</v>
      </c>
    </row>
    <row r="10664" spans="1:5" ht="13">
      <c r="A10664" s="2" t="str">
        <f ca="1">IFERROR(__xludf.DUMMYFUNCTION("""COMPUTED_VALUE"""),"Cross, Travis J.")</f>
        <v>Cross, Travis J.</v>
      </c>
      <c r="B10664" s="3">
        <f ca="1">IFERROR(__xludf.DUMMYFUNCTION("""COMPUTED_VALUE"""),3)</f>
        <v>3</v>
      </c>
      <c r="C10664" s="7">
        <f ca="1">IFERROR(__xludf.DUMMYFUNCTION("""COMPUTED_VALUE"""),3.3)</f>
        <v>3.3</v>
      </c>
      <c r="D10664" s="8">
        <f ca="1">IFERROR(__xludf.DUMMYFUNCTION("""COMPUTED_VALUE"""),3)</f>
        <v>3</v>
      </c>
      <c r="E10664" s="2">
        <f ca="1">IFERROR(__xludf.DUMMYFUNCTION("""COMPUTED_VALUE"""),1)</f>
        <v>1</v>
      </c>
    </row>
    <row r="10665" spans="1:5" ht="13">
      <c r="A10665" s="2" t="str">
        <f ca="1">IFERROR(__xludf.DUMMYFUNCTION("""COMPUTED_VALUE"""),"Crouch, Andraé")</f>
        <v>Crouch, Andraé</v>
      </c>
      <c r="B10665" s="3">
        <f ca="1">IFERROR(__xludf.DUMMYFUNCTION("""COMPUTED_VALUE"""),3)</f>
        <v>3</v>
      </c>
      <c r="C10665" s="7">
        <f ca="1">IFERROR(__xludf.DUMMYFUNCTION("""COMPUTED_VALUE"""),3.1)</f>
        <v>3.1</v>
      </c>
      <c r="D10665" s="8">
        <f ca="1">IFERROR(__xludf.DUMMYFUNCTION("""COMPUTED_VALUE"""),7)</f>
        <v>7</v>
      </c>
      <c r="E10665" s="2">
        <f ca="1">IFERROR(__xludf.DUMMYFUNCTION("""COMPUTED_VALUE"""),2)</f>
        <v>2</v>
      </c>
    </row>
    <row r="10666" spans="1:5" ht="13">
      <c r="A10666" s="2" t="str">
        <f ca="1">IFERROR(__xludf.DUMMYFUNCTION("""COMPUTED_VALUE"""),"Crouch, Andraé / Curry, Sheldon")</f>
        <v>Crouch, Andraé / Curry, Sheldon</v>
      </c>
      <c r="B10666" s="3">
        <f ca="1">IFERROR(__xludf.DUMMYFUNCTION("""COMPUTED_VALUE"""),3)</f>
        <v>3</v>
      </c>
      <c r="C10666" s="7">
        <f ca="1">IFERROR(__xludf.DUMMYFUNCTION("""COMPUTED_VALUE"""),3.1)</f>
        <v>3.1</v>
      </c>
      <c r="D10666" s="8">
        <f ca="1">IFERROR(__xludf.DUMMYFUNCTION("""COMPUTED_VALUE"""),7)</f>
        <v>7</v>
      </c>
      <c r="E10666" s="2">
        <f ca="1">IFERROR(__xludf.DUMMYFUNCTION("""COMPUTED_VALUE"""),2)</f>
        <v>2</v>
      </c>
    </row>
    <row r="10667" spans="1:5" ht="13">
      <c r="A10667" s="2" t="str">
        <f ca="1">IFERROR(__xludf.DUMMYFUNCTION("""COMPUTED_VALUE"""),"Crystal, Adam")</f>
        <v>Crystal, Adam</v>
      </c>
      <c r="B10667" s="3">
        <f ca="1">IFERROR(__xludf.DUMMYFUNCTION("""COMPUTED_VALUE"""),3)</f>
        <v>3</v>
      </c>
      <c r="C10667" s="7">
        <f ca="1">IFERROR(__xludf.DUMMYFUNCTION("""COMPUTED_VALUE"""),3.8)</f>
        <v>3.8</v>
      </c>
      <c r="D10667" s="8">
        <f ca="1">IFERROR(__xludf.DUMMYFUNCTION("""COMPUTED_VALUE"""),3)</f>
        <v>3</v>
      </c>
      <c r="E10667" s="2">
        <f ca="1">IFERROR(__xludf.DUMMYFUNCTION("""COMPUTED_VALUE"""),1)</f>
        <v>1</v>
      </c>
    </row>
    <row r="10668" spans="1:5" ht="13">
      <c r="A10668" s="2" t="str">
        <f ca="1">IFERROR(__xludf.DUMMYFUNCTION("""COMPUTED_VALUE"""),"Cuba, Alex")</f>
        <v>Cuba, Alex</v>
      </c>
      <c r="B10668" s="3">
        <f ca="1">IFERROR(__xludf.DUMMYFUNCTION("""COMPUTED_VALUE"""),3)</f>
        <v>3</v>
      </c>
      <c r="C10668" s="7">
        <f ca="1">IFERROR(__xludf.DUMMYFUNCTION("""COMPUTED_VALUE"""),3.1)</f>
        <v>3.1</v>
      </c>
      <c r="D10668" s="8">
        <f ca="1">IFERROR(__xludf.DUMMYFUNCTION("""COMPUTED_VALUE"""),3)</f>
        <v>3</v>
      </c>
      <c r="E10668" s="2">
        <f ca="1">IFERROR(__xludf.DUMMYFUNCTION("""COMPUTED_VALUE"""),1)</f>
        <v>1</v>
      </c>
    </row>
    <row r="10669" spans="1:5" ht="13">
      <c r="A10669" s="2" t="str">
        <f ca="1">IFERROR(__xludf.DUMMYFUNCTION("""COMPUTED_VALUE"""),"Cueto, Daniel")</f>
        <v>Cueto, Daniel</v>
      </c>
      <c r="B10669" s="3">
        <f ca="1">IFERROR(__xludf.DUMMYFUNCTION("""COMPUTED_VALUE"""),3)</f>
        <v>3</v>
      </c>
      <c r="C10669" s="7">
        <f ca="1">IFERROR(__xludf.DUMMYFUNCTION("""COMPUTED_VALUE"""),3.2)</f>
        <v>3.2</v>
      </c>
      <c r="D10669" s="8">
        <f ca="1">IFERROR(__xludf.DUMMYFUNCTION("""COMPUTED_VALUE"""),3)</f>
        <v>3</v>
      </c>
      <c r="E10669" s="2">
        <f ca="1">IFERROR(__xludf.DUMMYFUNCTION("""COMPUTED_VALUE"""),1)</f>
        <v>1</v>
      </c>
    </row>
    <row r="10670" spans="1:5" ht="13">
      <c r="A10670" s="8" t="str">
        <f ca="1">IFERROR(__xludf.DUMMYFUNCTION("""COMPUTED_VALUE"""),"Cueto, José Miguel")</f>
        <v>Cueto, José Miguel</v>
      </c>
      <c r="B10670" s="3">
        <f ca="1">IFERROR(__xludf.DUMMYFUNCTION("""COMPUTED_VALUE"""),3)</f>
        <v>3</v>
      </c>
      <c r="C10670" s="7">
        <f ca="1">IFERROR(__xludf.DUMMYFUNCTION("""COMPUTED_VALUE"""),3.2)</f>
        <v>3.2</v>
      </c>
      <c r="D10670" s="8">
        <f ca="1">IFERROR(__xludf.DUMMYFUNCTION("""COMPUTED_VALUE"""),3)</f>
        <v>3</v>
      </c>
      <c r="E10670" s="2">
        <f ca="1">IFERROR(__xludf.DUMMYFUNCTION("""COMPUTED_VALUE"""),1)</f>
        <v>1</v>
      </c>
    </row>
    <row r="10671" spans="1:5" ht="13">
      <c r="A10671" s="8" t="str">
        <f ca="1">IFERROR(__xludf.DUMMYFUNCTION("""COMPUTED_VALUE"""),"Cuong, Viet")</f>
        <v>Cuong, Viet</v>
      </c>
      <c r="B10671" s="3">
        <f ca="1">IFERROR(__xludf.DUMMYFUNCTION("""COMPUTED_VALUE"""),3)</f>
        <v>3</v>
      </c>
      <c r="C10671" s="7">
        <f ca="1">IFERROR(__xludf.DUMMYFUNCTION("""COMPUTED_VALUE"""),3.3)</f>
        <v>3.3</v>
      </c>
      <c r="D10671" s="8">
        <f ca="1">IFERROR(__xludf.DUMMYFUNCTION("""COMPUTED_VALUE"""),3)</f>
        <v>3</v>
      </c>
      <c r="E10671" s="2">
        <f ca="1">IFERROR(__xludf.DUMMYFUNCTION("""COMPUTED_VALUE"""),1)</f>
        <v>1</v>
      </c>
    </row>
    <row r="10672" spans="1:5" ht="13">
      <c r="A10672" s="8" t="str">
        <f ca="1">IFERROR(__xludf.DUMMYFUNCTION("""COMPUTED_VALUE"""),"Curry, William Henry")</f>
        <v>Curry, William Henry</v>
      </c>
      <c r="B10672" s="3">
        <f ca="1">IFERROR(__xludf.DUMMYFUNCTION("""COMPUTED_VALUE"""),3)</f>
        <v>3</v>
      </c>
      <c r="C10672" s="7">
        <f ca="1">IFERROR(__xludf.DUMMYFUNCTION("""COMPUTED_VALUE"""),3.1)</f>
        <v>3.1</v>
      </c>
      <c r="D10672" s="8">
        <f ca="1">IFERROR(__xludf.DUMMYFUNCTION("""COMPUTED_VALUE"""),3)</f>
        <v>3</v>
      </c>
      <c r="E10672" s="2">
        <f ca="1">IFERROR(__xludf.DUMMYFUNCTION("""COMPUTED_VALUE"""),1)</f>
        <v>1</v>
      </c>
    </row>
    <row r="10673" spans="1:5" ht="13">
      <c r="A10673" s="8" t="str">
        <f ca="1">IFERROR(__xludf.DUMMYFUNCTION("""COMPUTED_VALUE"""),"Curtis, Marvin")</f>
        <v>Curtis, Marvin</v>
      </c>
      <c r="B10673" s="3">
        <f ca="1">IFERROR(__xludf.DUMMYFUNCTION("""COMPUTED_VALUE"""),3)</f>
        <v>3</v>
      </c>
      <c r="C10673" s="7">
        <f ca="1">IFERROR(__xludf.DUMMYFUNCTION("""COMPUTED_VALUE"""),3.1)</f>
        <v>3.1</v>
      </c>
      <c r="D10673" s="8">
        <f ca="1">IFERROR(__xludf.DUMMYFUNCTION("""COMPUTED_VALUE"""),3)</f>
        <v>3</v>
      </c>
      <c r="E10673" s="2">
        <f ca="1">IFERROR(__xludf.DUMMYFUNCTION("""COMPUTED_VALUE"""),1)</f>
        <v>1</v>
      </c>
    </row>
    <row r="10674" spans="1:5" ht="13">
      <c r="A10674" s="2" t="str">
        <f ca="1">IFERROR(__xludf.DUMMYFUNCTION("""COMPUTED_VALUE"""),"D.I.D. Choi")</f>
        <v>D.I.D. Choi</v>
      </c>
      <c r="B10674" s="2">
        <f ca="1">IFERROR(__xludf.DUMMYFUNCTION("""COMPUTED_VALUE"""),3)</f>
        <v>3</v>
      </c>
      <c r="C10674" s="7">
        <f ca="1">IFERROR(__xludf.DUMMYFUNCTION("""COMPUTED_VALUE"""),3.3)</f>
        <v>3.3</v>
      </c>
      <c r="D10674" s="8">
        <f ca="1">IFERROR(__xludf.DUMMYFUNCTION("""COMPUTED_VALUE"""),3)</f>
        <v>3</v>
      </c>
      <c r="E10674" s="2">
        <f ca="1">IFERROR(__xludf.DUMMYFUNCTION("""COMPUTED_VALUE"""),1)</f>
        <v>1</v>
      </c>
    </row>
    <row r="10675" spans="1:5" ht="13">
      <c r="A10675" s="8" t="str">
        <f ca="1">IFERROR(__xludf.DUMMYFUNCTION("""COMPUTED_VALUE"""),"D'Addona, Giancarlo Castro")</f>
        <v>D'Addona, Giancarlo Castro</v>
      </c>
      <c r="B10675" s="3">
        <f ca="1">IFERROR(__xludf.DUMMYFUNCTION("""COMPUTED_VALUE"""),3)</f>
        <v>3</v>
      </c>
      <c r="C10675" s="7">
        <f ca="1">IFERROR(__xludf.DUMMYFUNCTION("""COMPUTED_VALUE"""),3.2)</f>
        <v>3.2</v>
      </c>
      <c r="D10675" s="8">
        <f ca="1">IFERROR(__xludf.DUMMYFUNCTION("""COMPUTED_VALUE"""),3)</f>
        <v>3</v>
      </c>
      <c r="E10675" s="2">
        <f ca="1">IFERROR(__xludf.DUMMYFUNCTION("""COMPUTED_VALUE"""),1)</f>
        <v>1</v>
      </c>
    </row>
    <row r="10676" spans="1:5" ht="13">
      <c r="A10676" s="2" t="str">
        <f ca="1">IFERROR(__xludf.DUMMYFUNCTION("""COMPUTED_VALUE"""),"D'León, Oscar")</f>
        <v>D'León, Oscar</v>
      </c>
      <c r="B10676" s="2">
        <f ca="1">IFERROR(__xludf.DUMMYFUNCTION("""COMPUTED_VALUE"""),3)</f>
        <v>3</v>
      </c>
      <c r="C10676" s="7">
        <f ca="1">IFERROR(__xludf.DUMMYFUNCTION("""COMPUTED_VALUE"""),3.2)</f>
        <v>3.2</v>
      </c>
      <c r="D10676" s="8">
        <f ca="1">IFERROR(__xludf.DUMMYFUNCTION("""COMPUTED_VALUE"""),3)</f>
        <v>3</v>
      </c>
      <c r="E10676" s="2">
        <f ca="1">IFERROR(__xludf.DUMMYFUNCTION("""COMPUTED_VALUE"""),1)</f>
        <v>1</v>
      </c>
    </row>
    <row r="10677" spans="1:5" ht="13">
      <c r="A10677" s="8" t="str">
        <f ca="1">IFERROR(__xludf.DUMMYFUNCTION("""COMPUTED_VALUE"""),"D'netto, Connor")</f>
        <v>D'netto, Connor</v>
      </c>
      <c r="B10677" s="3">
        <f ca="1">IFERROR(__xludf.DUMMYFUNCTION("""COMPUTED_VALUE"""),3)</f>
        <v>3</v>
      </c>
      <c r="C10677" s="7">
        <f ca="1">IFERROR(__xludf.DUMMYFUNCTION("""COMPUTED_VALUE"""),3.6)</f>
        <v>3.6</v>
      </c>
      <c r="D10677" s="8">
        <f ca="1">IFERROR(__xludf.DUMMYFUNCTION("""COMPUTED_VALUE"""),3)</f>
        <v>3</v>
      </c>
      <c r="E10677" s="2">
        <f ca="1">IFERROR(__xludf.DUMMYFUNCTION("""COMPUTED_VALUE"""),1)</f>
        <v>1</v>
      </c>
    </row>
    <row r="10678" spans="1:5" ht="13">
      <c r="A10678" s="8" t="str">
        <f ca="1">IFERROR(__xludf.DUMMYFUNCTION("""COMPUTED_VALUE"""),"D'Rivera, Paquito")</f>
        <v>D'Rivera, Paquito</v>
      </c>
      <c r="B10678" s="3">
        <f ca="1">IFERROR(__xludf.DUMMYFUNCTION("""COMPUTED_VALUE"""),3)</f>
        <v>3</v>
      </c>
      <c r="C10678" s="7">
        <f ca="1">IFERROR(__xludf.DUMMYFUNCTION("""COMPUTED_VALUE"""),3.2)</f>
        <v>3.2</v>
      </c>
      <c r="D10678" s="8">
        <f ca="1">IFERROR(__xludf.DUMMYFUNCTION("""COMPUTED_VALUE"""),3)</f>
        <v>3</v>
      </c>
      <c r="E10678" s="2">
        <f ca="1">IFERROR(__xludf.DUMMYFUNCTION("""COMPUTED_VALUE"""),1)</f>
        <v>1</v>
      </c>
    </row>
    <row r="10679" spans="1:5" ht="13">
      <c r="A10679" s="2" t="str">
        <f ca="1">IFERROR(__xludf.DUMMYFUNCTION("""COMPUTED_VALUE"""),"da Silva Ramos, Marco Antonio")</f>
        <v>da Silva Ramos, Marco Antonio</v>
      </c>
      <c r="B10679" s="3">
        <f ca="1">IFERROR(__xludf.DUMMYFUNCTION("""COMPUTED_VALUE"""),3)</f>
        <v>3</v>
      </c>
      <c r="C10679" s="7">
        <f ca="1">IFERROR(__xludf.DUMMYFUNCTION("""COMPUTED_VALUE"""),3.2)</f>
        <v>3.2</v>
      </c>
      <c r="D10679" s="8">
        <f ca="1">IFERROR(__xludf.DUMMYFUNCTION("""COMPUTED_VALUE"""),3)</f>
        <v>3</v>
      </c>
      <c r="E10679" s="2">
        <f ca="1">IFERROR(__xludf.DUMMYFUNCTION("""COMPUTED_VALUE"""),1)</f>
        <v>1</v>
      </c>
    </row>
    <row r="10680" spans="1:5" ht="13">
      <c r="A10680" s="8" t="str">
        <f ca="1">IFERROR(__xludf.DUMMYFUNCTION("""COMPUTED_VALUE"""),"da Silva, Francisco Manuel")</f>
        <v>da Silva, Francisco Manuel</v>
      </c>
      <c r="B10680" s="3">
        <f ca="1">IFERROR(__xludf.DUMMYFUNCTION("""COMPUTED_VALUE"""),3)</f>
        <v>3</v>
      </c>
      <c r="C10680" s="7">
        <f ca="1">IFERROR(__xludf.DUMMYFUNCTION("""COMPUTED_VALUE"""),3.2)</f>
        <v>3.2</v>
      </c>
      <c r="D10680" s="8">
        <f ca="1">IFERROR(__xludf.DUMMYFUNCTION("""COMPUTED_VALUE"""),7)</f>
        <v>7</v>
      </c>
      <c r="E10680" s="2">
        <f ca="1">IFERROR(__xludf.DUMMYFUNCTION("""COMPUTED_VALUE"""),2)</f>
        <v>2</v>
      </c>
    </row>
    <row r="10681" spans="1:5" ht="13">
      <c r="A10681" s="2" t="str">
        <f ca="1">IFERROR(__xludf.DUMMYFUNCTION("""COMPUTED_VALUE"""),"DaCosta Best, Denzil")</f>
        <v>DaCosta Best, Denzil</v>
      </c>
      <c r="B10681" s="2">
        <f ca="1">IFERROR(__xludf.DUMMYFUNCTION("""COMPUTED_VALUE"""),3)</f>
        <v>3</v>
      </c>
      <c r="C10681" s="7">
        <f ca="1">IFERROR(__xludf.DUMMYFUNCTION("""COMPUTED_VALUE"""),3.1)</f>
        <v>3.1</v>
      </c>
      <c r="D10681" s="8">
        <f ca="1">IFERROR(__xludf.DUMMYFUNCTION("""COMPUTED_VALUE"""),7)</f>
        <v>7</v>
      </c>
      <c r="E10681" s="2">
        <f ca="1">IFERROR(__xludf.DUMMYFUNCTION("""COMPUTED_VALUE"""),2)</f>
        <v>2</v>
      </c>
    </row>
    <row r="10682" spans="1:5" ht="13">
      <c r="A10682" s="8" t="str">
        <f ca="1">IFERROR(__xludf.DUMMYFUNCTION("""COMPUTED_VALUE"""),"Dade, Daniel")</f>
        <v>Dade, Daniel</v>
      </c>
      <c r="B10682" s="3">
        <f ca="1">IFERROR(__xludf.DUMMYFUNCTION("""COMPUTED_VALUE"""),3)</f>
        <v>3</v>
      </c>
      <c r="C10682" s="7">
        <f ca="1">IFERROR(__xludf.DUMMYFUNCTION("""COMPUTED_VALUE"""),3.1)</f>
        <v>3.1</v>
      </c>
      <c r="D10682" s="8">
        <f ca="1">IFERROR(__xludf.DUMMYFUNCTION("""COMPUTED_VALUE"""),3)</f>
        <v>3</v>
      </c>
      <c r="E10682" s="2">
        <f ca="1">IFERROR(__xludf.DUMMYFUNCTION("""COMPUTED_VALUE"""),1)</f>
        <v>1</v>
      </c>
    </row>
    <row r="10683" spans="1:5" ht="13">
      <c r="A10683" s="2" t="str">
        <f ca="1">IFERROR(__xludf.DUMMYFUNCTION("""COMPUTED_VALUE"""),"Dai, Aaron")</f>
        <v>Dai, Aaron</v>
      </c>
      <c r="B10683" s="2">
        <f ca="1">IFERROR(__xludf.DUMMYFUNCTION("""COMPUTED_VALUE"""),3)</f>
        <v>3</v>
      </c>
      <c r="C10683" s="2">
        <f ca="1">IFERROR(__xludf.DUMMYFUNCTION("""COMPUTED_VALUE"""),3.3)</f>
        <v>3.3</v>
      </c>
      <c r="D10683" s="8">
        <f ca="1">IFERROR(__xludf.DUMMYFUNCTION("""COMPUTED_VALUE"""),3)</f>
        <v>3</v>
      </c>
      <c r="E10683" s="2">
        <f ca="1">IFERROR(__xludf.DUMMYFUNCTION("""COMPUTED_VALUE"""),1)</f>
        <v>1</v>
      </c>
    </row>
    <row r="10684" spans="1:5" ht="13">
      <c r="A10684" s="2" t="str">
        <f ca="1">IFERROR(__xludf.DUMMYFUNCTION("""COMPUTED_VALUE"""),"Dameron, Tadd")</f>
        <v>Dameron, Tadd</v>
      </c>
      <c r="B10684" s="2">
        <f ca="1">IFERROR(__xludf.DUMMYFUNCTION("""COMPUTED_VALUE"""),3)</f>
        <v>3</v>
      </c>
      <c r="C10684" s="7">
        <f ca="1">IFERROR(__xludf.DUMMYFUNCTION("""COMPUTED_VALUE"""),3.1)</f>
        <v>3.1</v>
      </c>
      <c r="D10684" s="8">
        <f ca="1">IFERROR(__xludf.DUMMYFUNCTION("""COMPUTED_VALUE"""),7)</f>
        <v>7</v>
      </c>
      <c r="E10684" s="2">
        <f ca="1">IFERROR(__xludf.DUMMYFUNCTION("""COMPUTED_VALUE"""),2)</f>
        <v>2</v>
      </c>
    </row>
    <row r="10685" spans="1:5" ht="13">
      <c r="A10685" s="2" t="str">
        <f ca="1">IFERROR(__xludf.DUMMYFUNCTION("""COMPUTED_VALUE"""),"Dan, Ikuma")</f>
        <v>Dan, Ikuma</v>
      </c>
      <c r="B10685" s="2">
        <f ca="1">IFERROR(__xludf.DUMMYFUNCTION("""COMPUTED_VALUE"""),3)</f>
        <v>3</v>
      </c>
      <c r="C10685" s="7">
        <f ca="1">IFERROR(__xludf.DUMMYFUNCTION("""COMPUTED_VALUE"""),3.3)</f>
        <v>3.3</v>
      </c>
      <c r="D10685" s="8">
        <f ca="1">IFERROR(__xludf.DUMMYFUNCTION("""COMPUTED_VALUE"""),7)</f>
        <v>7</v>
      </c>
      <c r="E10685" s="2">
        <f ca="1">IFERROR(__xludf.DUMMYFUNCTION("""COMPUTED_VALUE"""),2)</f>
        <v>2</v>
      </c>
    </row>
    <row r="10686" spans="1:5" ht="13">
      <c r="A10686" s="2" t="str">
        <f ca="1">IFERROR(__xludf.DUMMYFUNCTION("""COMPUTED_VALUE"""),"Dan, Kousaku (aka Yuzo Kayama)")</f>
        <v>Dan, Kousaku (aka Yuzo Kayama)</v>
      </c>
      <c r="B10686" s="3">
        <f ca="1">IFERROR(__xludf.DUMMYFUNCTION("""COMPUTED_VALUE"""),3)</f>
        <v>3</v>
      </c>
      <c r="C10686" s="7">
        <f ca="1">IFERROR(__xludf.DUMMYFUNCTION("""COMPUTED_VALUE"""),3.3)</f>
        <v>3.3</v>
      </c>
      <c r="D10686" s="8">
        <f ca="1">IFERROR(__xludf.DUMMYFUNCTION("""COMPUTED_VALUE"""),3)</f>
        <v>3</v>
      </c>
      <c r="E10686" s="2">
        <f ca="1">IFERROR(__xludf.DUMMYFUNCTION("""COMPUTED_VALUE"""),1)</f>
        <v>1</v>
      </c>
    </row>
    <row r="10687" spans="1:5" ht="13">
      <c r="A10687" s="8" t="str">
        <f ca="1">IFERROR(__xludf.DUMMYFUNCTION("""COMPUTED_VALUE"""),"Dandridge, Damon")</f>
        <v>Dandridge, Damon</v>
      </c>
      <c r="B10687" s="3">
        <f ca="1">IFERROR(__xludf.DUMMYFUNCTION("""COMPUTED_VALUE"""),3)</f>
        <v>3</v>
      </c>
      <c r="C10687" s="7">
        <f ca="1">IFERROR(__xludf.DUMMYFUNCTION("""COMPUTED_VALUE"""),3.1)</f>
        <v>3.1</v>
      </c>
      <c r="D10687" s="8">
        <f ca="1">IFERROR(__xludf.DUMMYFUNCTION("""COMPUTED_VALUE"""),3)</f>
        <v>3</v>
      </c>
      <c r="E10687" s="2">
        <f ca="1">IFERROR(__xludf.DUMMYFUNCTION("""COMPUTED_VALUE"""),1)</f>
        <v>1</v>
      </c>
    </row>
    <row r="10688" spans="1:5" ht="13">
      <c r="A10688" s="2" t="str">
        <f ca="1">IFERROR(__xludf.DUMMYFUNCTION("""COMPUTED_VALUE"""),"Daniel, Victor Robert")</f>
        <v>Daniel, Victor Robert</v>
      </c>
      <c r="B10688" s="3">
        <f ca="1">IFERROR(__xludf.DUMMYFUNCTION("""COMPUTED_VALUE"""),3)</f>
        <v>3</v>
      </c>
      <c r="C10688" s="7">
        <f ca="1">IFERROR(__xludf.DUMMYFUNCTION("""COMPUTED_VALUE"""),3.2)</f>
        <v>3.2</v>
      </c>
      <c r="D10688" s="8">
        <f ca="1">IFERROR(__xludf.DUMMYFUNCTION("""COMPUTED_VALUE"""),3)</f>
        <v>3</v>
      </c>
      <c r="E10688" s="2">
        <f ca="1">IFERROR(__xludf.DUMMYFUNCTION("""COMPUTED_VALUE"""),1)</f>
        <v>1</v>
      </c>
    </row>
    <row r="10689" spans="1:5" ht="13">
      <c r="A10689" s="8" t="str">
        <f ca="1">IFERROR(__xludf.DUMMYFUNCTION("""COMPUTED_VALUE"""),"Darío Gómez, Rubén")</f>
        <v>Darío Gómez, Rubén</v>
      </c>
      <c r="B10689" s="3">
        <f ca="1">IFERROR(__xludf.DUMMYFUNCTION("""COMPUTED_VALUE"""),3)</f>
        <v>3</v>
      </c>
      <c r="C10689" s="7">
        <f ca="1">IFERROR(__xludf.DUMMYFUNCTION("""COMPUTED_VALUE"""),3.2)</f>
        <v>3.2</v>
      </c>
      <c r="D10689" s="8">
        <f ca="1">IFERROR(__xludf.DUMMYFUNCTION("""COMPUTED_VALUE"""),3)</f>
        <v>3</v>
      </c>
      <c r="E10689" s="2">
        <f ca="1">IFERROR(__xludf.DUMMYFUNCTION("""COMPUTED_VALUE"""),1)</f>
        <v>1</v>
      </c>
    </row>
    <row r="10690" spans="1:5" ht="13">
      <c r="A10690" s="2" t="str">
        <f ca="1">IFERROR(__xludf.DUMMYFUNCTION("""COMPUTED_VALUE"""),"Darwish, Sayyid")</f>
        <v>Darwish, Sayyid</v>
      </c>
      <c r="B10690" s="3">
        <f ca="1">IFERROR(__xludf.DUMMYFUNCTION("""COMPUTED_VALUE"""),3)</f>
        <v>3</v>
      </c>
      <c r="C10690" s="7">
        <f ca="1">IFERROR(__xludf.DUMMYFUNCTION("""COMPUTED_VALUE"""),3.5)</f>
        <v>3.5</v>
      </c>
      <c r="D10690" s="8">
        <f ca="1">IFERROR(__xludf.DUMMYFUNCTION("""COMPUTED_VALUE"""),7)</f>
        <v>7</v>
      </c>
      <c r="E10690" s="2">
        <f ca="1">IFERROR(__xludf.DUMMYFUNCTION("""COMPUTED_VALUE"""),2)</f>
        <v>2</v>
      </c>
    </row>
    <row r="10691" spans="1:5" ht="13">
      <c r="A10691" s="8" t="str">
        <f ca="1">IFERROR(__xludf.DUMMYFUNCTION("""COMPUTED_VALUE"""),"Davidovsky, Mario")</f>
        <v>Davidovsky, Mario</v>
      </c>
      <c r="B10691" s="3">
        <f ca="1">IFERROR(__xludf.DUMMYFUNCTION("""COMPUTED_VALUE"""),3)</f>
        <v>3</v>
      </c>
      <c r="C10691" s="7">
        <f ca="1">IFERROR(__xludf.DUMMYFUNCTION("""COMPUTED_VALUE"""),3.2)</f>
        <v>3.2</v>
      </c>
      <c r="D10691" s="8">
        <f ca="1">IFERROR(__xludf.DUMMYFUNCTION("""COMPUTED_VALUE"""),7)</f>
        <v>7</v>
      </c>
      <c r="E10691" s="2">
        <f ca="1">IFERROR(__xludf.DUMMYFUNCTION("""COMPUTED_VALUE"""),2)</f>
        <v>2</v>
      </c>
    </row>
    <row r="10692" spans="1:5" ht="13">
      <c r="A10692" s="8" t="str">
        <f ca="1">IFERROR(__xludf.DUMMYFUNCTION("""COMPUTED_VALUE"""),"Davids, Brent Michael")</f>
        <v>Davids, Brent Michael</v>
      </c>
      <c r="B10692" s="3">
        <f ca="1">IFERROR(__xludf.DUMMYFUNCTION("""COMPUTED_VALUE"""),3)</f>
        <v>3</v>
      </c>
      <c r="C10692" s="7">
        <f ca="1">IFERROR(__xludf.DUMMYFUNCTION("""COMPUTED_VALUE"""),3.7)</f>
        <v>3.7</v>
      </c>
      <c r="D10692" s="8">
        <f ca="1">IFERROR(__xludf.DUMMYFUNCTION("""COMPUTED_VALUE"""),3)</f>
        <v>3</v>
      </c>
      <c r="E10692" s="2">
        <f ca="1">IFERROR(__xludf.DUMMYFUNCTION("""COMPUTED_VALUE"""),1)</f>
        <v>1</v>
      </c>
    </row>
    <row r="10693" spans="1:5" ht="13">
      <c r="A10693" s="2" t="str">
        <f ca="1">IFERROR(__xludf.DUMMYFUNCTION("""COMPUTED_VALUE"""),"Davila, Lalo")</f>
        <v>Davila, Lalo</v>
      </c>
      <c r="B10693" s="3">
        <f ca="1">IFERROR(__xludf.DUMMYFUNCTION("""COMPUTED_VALUE"""),3)</f>
        <v>3</v>
      </c>
      <c r="C10693" s="7">
        <f ca="1">IFERROR(__xludf.DUMMYFUNCTION("""COMPUTED_VALUE"""),3.2)</f>
        <v>3.2</v>
      </c>
      <c r="D10693" s="8">
        <f ca="1">IFERROR(__xludf.DUMMYFUNCTION("""COMPUTED_VALUE"""),3)</f>
        <v>3</v>
      </c>
      <c r="E10693" s="2">
        <f ca="1">IFERROR(__xludf.DUMMYFUNCTION("""COMPUTED_VALUE"""),1)</f>
        <v>1</v>
      </c>
    </row>
    <row r="10694" spans="1:5" ht="13">
      <c r="A10694" s="8" t="str">
        <f ca="1">IFERROR(__xludf.DUMMYFUNCTION("""COMPUTED_VALUE"""),"Davis, Anthony")</f>
        <v>Davis, Anthony</v>
      </c>
      <c r="B10694" s="3">
        <f ca="1">IFERROR(__xludf.DUMMYFUNCTION("""COMPUTED_VALUE"""),3)</f>
        <v>3</v>
      </c>
      <c r="C10694" s="7">
        <f ca="1">IFERROR(__xludf.DUMMYFUNCTION("""COMPUTED_VALUE"""),3.1)</f>
        <v>3.1</v>
      </c>
      <c r="D10694" s="8">
        <f ca="1">IFERROR(__xludf.DUMMYFUNCTION("""COMPUTED_VALUE"""),3)</f>
        <v>3</v>
      </c>
      <c r="E10694" s="2">
        <f ca="1">IFERROR(__xludf.DUMMYFUNCTION("""COMPUTED_VALUE"""),1)</f>
        <v>1</v>
      </c>
    </row>
    <row r="10695" spans="1:5" ht="13">
      <c r="A10695" s="2" t="str">
        <f ca="1">IFERROR(__xludf.DUMMYFUNCTION("""COMPUTED_VALUE"""),"Davis, Miles")</f>
        <v>Davis, Miles</v>
      </c>
      <c r="B10695" s="2">
        <f ca="1">IFERROR(__xludf.DUMMYFUNCTION("""COMPUTED_VALUE"""),3)</f>
        <v>3</v>
      </c>
      <c r="C10695" s="7">
        <f ca="1">IFERROR(__xludf.DUMMYFUNCTION("""COMPUTED_VALUE"""),3.1)</f>
        <v>3.1</v>
      </c>
      <c r="D10695" s="8">
        <f ca="1">IFERROR(__xludf.DUMMYFUNCTION("""COMPUTED_VALUE"""),7)</f>
        <v>7</v>
      </c>
      <c r="E10695" s="2">
        <f ca="1">IFERROR(__xludf.DUMMYFUNCTION("""COMPUTED_VALUE"""),2)</f>
        <v>2</v>
      </c>
    </row>
    <row r="10696" spans="1:5" ht="13">
      <c r="A10696" s="2" t="str">
        <f ca="1">IFERROR(__xludf.DUMMYFUNCTION("""COMPUTED_VALUE"""),"Davis, Miles / Monk, Thelonius / Ellington,Duke")</f>
        <v>Davis, Miles / Monk, Thelonius / Ellington,Duke</v>
      </c>
      <c r="B10696" s="3">
        <f ca="1">IFERROR(__xludf.DUMMYFUNCTION("""COMPUTED_VALUE"""),3)</f>
        <v>3</v>
      </c>
      <c r="C10696" s="7">
        <f ca="1">IFERROR(__xludf.DUMMYFUNCTION("""COMPUTED_VALUE"""),3.1)</f>
        <v>3.1</v>
      </c>
      <c r="D10696" s="8">
        <f ca="1">IFERROR(__xludf.DUMMYFUNCTION("""COMPUTED_VALUE"""),7)</f>
        <v>7</v>
      </c>
      <c r="E10696" s="2">
        <f ca="1">IFERROR(__xludf.DUMMYFUNCTION("""COMPUTED_VALUE"""),2)</f>
        <v>2</v>
      </c>
    </row>
    <row r="10697" spans="1:5" ht="13">
      <c r="A10697" s="2" t="str">
        <f ca="1">IFERROR(__xludf.DUMMYFUNCTION("""COMPUTED_VALUE"""),"Davis, Orbert")</f>
        <v>Davis, Orbert</v>
      </c>
      <c r="B10697" s="3">
        <f ca="1">IFERROR(__xludf.DUMMYFUNCTION("""COMPUTED_VALUE"""),3)</f>
        <v>3</v>
      </c>
      <c r="C10697" s="7">
        <f ca="1">IFERROR(__xludf.DUMMYFUNCTION("""COMPUTED_VALUE"""),3.1)</f>
        <v>3.1</v>
      </c>
      <c r="D10697" s="8">
        <f ca="1">IFERROR(__xludf.DUMMYFUNCTION("""COMPUTED_VALUE"""),3)</f>
        <v>3</v>
      </c>
      <c r="E10697" s="2">
        <f ca="1">IFERROR(__xludf.DUMMYFUNCTION("""COMPUTED_VALUE"""),1)</f>
        <v>1</v>
      </c>
    </row>
    <row r="10698" spans="1:5" ht="13">
      <c r="A10698" s="8" t="str">
        <f ca="1">IFERROR(__xludf.DUMMYFUNCTION("""COMPUTED_VALUE"""),"Davis, Tyson")</f>
        <v>Davis, Tyson</v>
      </c>
      <c r="B10698" s="3">
        <f ca="1">IFERROR(__xludf.DUMMYFUNCTION("""COMPUTED_VALUE"""),3)</f>
        <v>3</v>
      </c>
      <c r="C10698" s="7">
        <f ca="1">IFERROR(__xludf.DUMMYFUNCTION("""COMPUTED_VALUE"""),3.1)</f>
        <v>3.1</v>
      </c>
      <c r="D10698" s="8">
        <f ca="1">IFERROR(__xludf.DUMMYFUNCTION("""COMPUTED_VALUE"""),3)</f>
        <v>3</v>
      </c>
      <c r="E10698" s="2">
        <f ca="1">IFERROR(__xludf.DUMMYFUNCTION("""COMPUTED_VALUE"""),1)</f>
        <v>1</v>
      </c>
    </row>
    <row r="10699" spans="1:5" ht="13">
      <c r="A10699" s="8" t="str">
        <f ca="1">IFERROR(__xludf.DUMMYFUNCTION("""COMPUTED_VALUE"""),"Dawson, William")</f>
        <v>Dawson, William</v>
      </c>
      <c r="B10699" s="3">
        <f ca="1">IFERROR(__xludf.DUMMYFUNCTION("""COMPUTED_VALUE"""),3)</f>
        <v>3</v>
      </c>
      <c r="C10699" s="7">
        <f ca="1">IFERROR(__xludf.DUMMYFUNCTION("""COMPUTED_VALUE"""),3.1)</f>
        <v>3.1</v>
      </c>
      <c r="D10699" s="8">
        <f ca="1">IFERROR(__xludf.DUMMYFUNCTION("""COMPUTED_VALUE"""),7)</f>
        <v>7</v>
      </c>
      <c r="E10699" s="2">
        <f ca="1">IFERROR(__xludf.DUMMYFUNCTION("""COMPUTED_VALUE"""),2)</f>
        <v>2</v>
      </c>
    </row>
    <row r="10700" spans="1:5" ht="13">
      <c r="A10700" s="2" t="str">
        <f ca="1">IFERROR(__xludf.DUMMYFUNCTION("""COMPUTED_VALUE"""),"Dawson, William L.")</f>
        <v>Dawson, William L.</v>
      </c>
      <c r="B10700" s="3">
        <f ca="1">IFERROR(__xludf.DUMMYFUNCTION("""COMPUTED_VALUE"""),3)</f>
        <v>3</v>
      </c>
      <c r="C10700" s="7">
        <f ca="1">IFERROR(__xludf.DUMMYFUNCTION("""COMPUTED_VALUE"""),3.1)</f>
        <v>3.1</v>
      </c>
      <c r="D10700" s="8">
        <f ca="1">IFERROR(__xludf.DUMMYFUNCTION("""COMPUTED_VALUE"""),7)</f>
        <v>7</v>
      </c>
      <c r="E10700" s="2">
        <f ca="1">IFERROR(__xludf.DUMMYFUNCTION("""COMPUTED_VALUE"""),2)</f>
        <v>2</v>
      </c>
    </row>
    <row r="10701" spans="1:5" ht="13">
      <c r="A10701" s="8" t="str">
        <f ca="1">IFERROR(__xludf.DUMMYFUNCTION("""COMPUTED_VALUE"""),"Dawson, William Levi")</f>
        <v>Dawson, William Levi</v>
      </c>
      <c r="B10701" s="3">
        <f ca="1">IFERROR(__xludf.DUMMYFUNCTION("""COMPUTED_VALUE"""),3)</f>
        <v>3</v>
      </c>
      <c r="C10701" s="7">
        <f ca="1">IFERROR(__xludf.DUMMYFUNCTION("""COMPUTED_VALUE"""),3.1)</f>
        <v>3.1</v>
      </c>
      <c r="D10701" s="8">
        <f ca="1">IFERROR(__xludf.DUMMYFUNCTION("""COMPUTED_VALUE"""),7)</f>
        <v>7</v>
      </c>
      <c r="E10701" s="2">
        <f ca="1">IFERROR(__xludf.DUMMYFUNCTION("""COMPUTED_VALUE"""),2)</f>
        <v>2</v>
      </c>
    </row>
    <row r="10702" spans="1:5" ht="13">
      <c r="A10702" s="8" t="str">
        <f ca="1">IFERROR(__xludf.DUMMYFUNCTION("""COMPUTED_VALUE"""),"Day, Kevin")</f>
        <v>Day, Kevin</v>
      </c>
      <c r="B10702" s="3">
        <f ca="1">IFERROR(__xludf.DUMMYFUNCTION("""COMPUTED_VALUE"""),3)</f>
        <v>3</v>
      </c>
      <c r="C10702" s="7">
        <f ca="1">IFERROR(__xludf.DUMMYFUNCTION("""COMPUTED_VALUE"""),3.1)</f>
        <v>3.1</v>
      </c>
      <c r="D10702" s="8">
        <f ca="1">IFERROR(__xludf.DUMMYFUNCTION("""COMPUTED_VALUE"""),3)</f>
        <v>3</v>
      </c>
      <c r="E10702" s="2">
        <f ca="1">IFERROR(__xludf.DUMMYFUNCTION("""COMPUTED_VALUE"""),1)</f>
        <v>1</v>
      </c>
    </row>
    <row r="10703" spans="1:5" ht="13">
      <c r="A10703" s="2" t="str">
        <f ca="1">IFERROR(__xludf.DUMMYFUNCTION("""COMPUTED_VALUE"""),"de Abreu, Zequinha")</f>
        <v>de Abreu, Zequinha</v>
      </c>
      <c r="B10703" s="3">
        <f ca="1">IFERROR(__xludf.DUMMYFUNCTION("""COMPUTED_VALUE"""),3)</f>
        <v>3</v>
      </c>
      <c r="C10703" s="7">
        <f ca="1">IFERROR(__xludf.DUMMYFUNCTION("""COMPUTED_VALUE"""),3.2)</f>
        <v>3.2</v>
      </c>
      <c r="D10703" s="8">
        <f ca="1">IFERROR(__xludf.DUMMYFUNCTION("""COMPUTED_VALUE"""),7)</f>
        <v>7</v>
      </c>
      <c r="E10703" s="2">
        <f ca="1">IFERROR(__xludf.DUMMYFUNCTION("""COMPUTED_VALUE"""),2)</f>
        <v>2</v>
      </c>
    </row>
    <row r="10704" spans="1:5" ht="13">
      <c r="A10704" s="2" t="str">
        <f ca="1">IFERROR(__xludf.DUMMYFUNCTION("""COMPUTED_VALUE"""),"de Elias, Alfonso")</f>
        <v>de Elias, Alfonso</v>
      </c>
      <c r="B10704" s="3">
        <f ca="1">IFERROR(__xludf.DUMMYFUNCTION("""COMPUTED_VALUE"""),3)</f>
        <v>3</v>
      </c>
      <c r="C10704" s="7">
        <f ca="1">IFERROR(__xludf.DUMMYFUNCTION("""COMPUTED_VALUE"""),3.2)</f>
        <v>3.2</v>
      </c>
      <c r="D10704" s="8">
        <f ca="1">IFERROR(__xludf.DUMMYFUNCTION("""COMPUTED_VALUE"""),7)</f>
        <v>7</v>
      </c>
      <c r="E10704" s="2">
        <f ca="1">IFERROR(__xludf.DUMMYFUNCTION("""COMPUTED_VALUE"""),2)</f>
        <v>2</v>
      </c>
    </row>
    <row r="10705" spans="1:5" ht="13">
      <c r="A10705" s="2" t="str">
        <f ca="1">IFERROR(__xludf.DUMMYFUNCTION("""COMPUTED_VALUE"""),"De La Campa, Antonio")</f>
        <v>De La Campa, Antonio</v>
      </c>
      <c r="B10705" s="3">
        <f ca="1">IFERROR(__xludf.DUMMYFUNCTION("""COMPUTED_VALUE"""),3)</f>
        <v>3</v>
      </c>
      <c r="C10705" s="7">
        <f ca="1">IFERROR(__xludf.DUMMYFUNCTION("""COMPUTED_VALUE"""),3.2)</f>
        <v>3.2</v>
      </c>
      <c r="D10705" s="8">
        <f ca="1">IFERROR(__xludf.DUMMYFUNCTION("""COMPUTED_VALUE"""),3)</f>
        <v>3</v>
      </c>
      <c r="E10705" s="2">
        <f ca="1">IFERROR(__xludf.DUMMYFUNCTION("""COMPUTED_VALUE"""),1)</f>
        <v>1</v>
      </c>
    </row>
    <row r="10706" spans="1:5" ht="13">
      <c r="A10706" s="2" t="str">
        <f ca="1">IFERROR(__xludf.DUMMYFUNCTION("""COMPUTED_VALUE"""),"de la Fuente, Luis Herrera")</f>
        <v>de la Fuente, Luis Herrera</v>
      </c>
      <c r="B10706" s="3">
        <f ca="1">IFERROR(__xludf.DUMMYFUNCTION("""COMPUTED_VALUE"""),3)</f>
        <v>3</v>
      </c>
      <c r="C10706" s="7">
        <f ca="1">IFERROR(__xludf.DUMMYFUNCTION("""COMPUTED_VALUE"""),3.2)</f>
        <v>3.2</v>
      </c>
      <c r="D10706" s="8">
        <f ca="1">IFERROR(__xludf.DUMMYFUNCTION("""COMPUTED_VALUE"""),7)</f>
        <v>7</v>
      </c>
      <c r="E10706" s="2">
        <f ca="1">IFERROR(__xludf.DUMMYFUNCTION("""COMPUTED_VALUE"""),2)</f>
        <v>2</v>
      </c>
    </row>
    <row r="10707" spans="1:5" ht="13">
      <c r="A10707" s="2" t="str">
        <f ca="1">IFERROR(__xludf.DUMMYFUNCTION("""COMPUTED_VALUE"""),"De Leon, Kristian")</f>
        <v>De Leon, Kristian</v>
      </c>
      <c r="B10707" s="2">
        <f ca="1">IFERROR(__xludf.DUMMYFUNCTION("""COMPUTED_VALUE"""),3)</f>
        <v>3</v>
      </c>
      <c r="C10707" s="7">
        <f ca="1">IFERROR(__xludf.DUMMYFUNCTION("""COMPUTED_VALUE"""),3.2)</f>
        <v>3.2</v>
      </c>
      <c r="D10707" s="8">
        <f ca="1">IFERROR(__xludf.DUMMYFUNCTION("""COMPUTED_VALUE"""),3)</f>
        <v>3</v>
      </c>
      <c r="E10707" s="2">
        <f ca="1">IFERROR(__xludf.DUMMYFUNCTION("""COMPUTED_VALUE"""),1)</f>
        <v>1</v>
      </c>
    </row>
    <row r="10708" spans="1:5" ht="13">
      <c r="A10708" s="2" t="str">
        <f ca="1">IFERROR(__xludf.DUMMYFUNCTION("""COMPUTED_VALUE"""),"de Lienas, Juan")</f>
        <v>de Lienas, Juan</v>
      </c>
      <c r="B10708" s="3">
        <f ca="1">IFERROR(__xludf.DUMMYFUNCTION("""COMPUTED_VALUE"""),3)</f>
        <v>3</v>
      </c>
      <c r="C10708" s="7">
        <f ca="1">IFERROR(__xludf.DUMMYFUNCTION("""COMPUTED_VALUE"""),3.2)</f>
        <v>3.2</v>
      </c>
      <c r="D10708" s="8">
        <f ca="1">IFERROR(__xludf.DUMMYFUNCTION("""COMPUTED_VALUE"""),7)</f>
        <v>7</v>
      </c>
      <c r="E10708" s="2">
        <f ca="1">IFERROR(__xludf.DUMMYFUNCTION("""COMPUTED_VALUE"""),2)</f>
        <v>2</v>
      </c>
    </row>
    <row r="10709" spans="1:5" ht="13">
      <c r="A10709" s="2" t="str">
        <f ca="1">IFERROR(__xludf.DUMMYFUNCTION("""COMPUTED_VALUE"""),"De More, Melanie")</f>
        <v>De More, Melanie</v>
      </c>
      <c r="B10709" s="2">
        <f ca="1">IFERROR(__xludf.DUMMYFUNCTION("""COMPUTED_VALUE"""),3)</f>
        <v>3</v>
      </c>
      <c r="C10709" s="7">
        <f ca="1">IFERROR(__xludf.DUMMYFUNCTION("""COMPUTED_VALUE"""),3.1)</f>
        <v>3.1</v>
      </c>
      <c r="D10709" s="8">
        <f ca="1">IFERROR(__xludf.DUMMYFUNCTION("""COMPUTED_VALUE"""),3)</f>
        <v>3</v>
      </c>
      <c r="E10709" s="2">
        <f ca="1">IFERROR(__xludf.DUMMYFUNCTION("""COMPUTED_VALUE"""),1)</f>
        <v>1</v>
      </c>
    </row>
    <row r="10710" spans="1:5" ht="13">
      <c r="A10710" s="8" t="str">
        <f ca="1">IFERROR(__xludf.DUMMYFUNCTION("""COMPUTED_VALUE"""),"de Paur, Leonard")</f>
        <v>de Paur, Leonard</v>
      </c>
      <c r="B10710" s="3">
        <f ca="1">IFERROR(__xludf.DUMMYFUNCTION("""COMPUTED_VALUE"""),3)</f>
        <v>3</v>
      </c>
      <c r="C10710" s="7">
        <f ca="1">IFERROR(__xludf.DUMMYFUNCTION("""COMPUTED_VALUE"""),3.1)</f>
        <v>3.1</v>
      </c>
      <c r="D10710" s="8">
        <f ca="1">IFERROR(__xludf.DUMMYFUNCTION("""COMPUTED_VALUE"""),7)</f>
        <v>7</v>
      </c>
      <c r="E10710" s="2">
        <f ca="1">IFERROR(__xludf.DUMMYFUNCTION("""COMPUTED_VALUE"""),2)</f>
        <v>2</v>
      </c>
    </row>
    <row r="10711" spans="1:5" ht="13">
      <c r="A10711" s="2" t="str">
        <f ca="1">IFERROR(__xludf.DUMMYFUNCTION("""COMPUTED_VALUE"""),"De Rivera, Paquito")</f>
        <v>De Rivera, Paquito</v>
      </c>
      <c r="B10711" s="2">
        <f ca="1">IFERROR(__xludf.DUMMYFUNCTION("""COMPUTED_VALUE"""),3)</f>
        <v>3</v>
      </c>
      <c r="C10711" s="7">
        <f ca="1">IFERROR(__xludf.DUMMYFUNCTION("""COMPUTED_VALUE"""),3.2)</f>
        <v>3.2</v>
      </c>
      <c r="D10711" s="8">
        <f ca="1">IFERROR(__xludf.DUMMYFUNCTION("""COMPUTED_VALUE"""),3)</f>
        <v>3</v>
      </c>
      <c r="E10711" s="2">
        <f ca="1">IFERROR(__xludf.DUMMYFUNCTION("""COMPUTED_VALUE"""),1)</f>
        <v>1</v>
      </c>
    </row>
    <row r="10712" spans="1:5" ht="13">
      <c r="A10712" s="8" t="str">
        <f ca="1">IFERROR(__xludf.DUMMYFUNCTION("""COMPUTED_VALUE"""),"de Sousa, Rodrigo Gonçalves")</f>
        <v>de Sousa, Rodrigo Gonçalves</v>
      </c>
      <c r="B10712" s="3">
        <f ca="1">IFERROR(__xludf.DUMMYFUNCTION("""COMPUTED_VALUE"""),3)</f>
        <v>3</v>
      </c>
      <c r="C10712" s="7">
        <f ca="1">IFERROR(__xludf.DUMMYFUNCTION("""COMPUTED_VALUE"""),3.8)</f>
        <v>3.8</v>
      </c>
      <c r="D10712" s="8">
        <f ca="1">IFERROR(__xludf.DUMMYFUNCTION("""COMPUTED_VALUE"""),3)</f>
        <v>3</v>
      </c>
      <c r="E10712" s="2">
        <f ca="1">IFERROR(__xludf.DUMMYFUNCTION("""COMPUTED_VALUE"""),1)</f>
        <v>1</v>
      </c>
    </row>
    <row r="10713" spans="1:5" ht="13">
      <c r="A10713" s="2" t="str">
        <f ca="1">IFERROR(__xludf.DUMMYFUNCTION("""COMPUTED_VALUE"""),"de Sumaya, Manuel")</f>
        <v>de Sumaya, Manuel</v>
      </c>
      <c r="B10713" s="3">
        <f ca="1">IFERROR(__xludf.DUMMYFUNCTION("""COMPUTED_VALUE"""),3)</f>
        <v>3</v>
      </c>
      <c r="C10713" s="7">
        <f ca="1">IFERROR(__xludf.DUMMYFUNCTION("""COMPUTED_VALUE"""),3.2)</f>
        <v>3.2</v>
      </c>
      <c r="D10713" s="8">
        <f ca="1">IFERROR(__xludf.DUMMYFUNCTION("""COMPUTED_VALUE"""),7)</f>
        <v>7</v>
      </c>
      <c r="E10713" s="2">
        <f ca="1">IFERROR(__xludf.DUMMYFUNCTION("""COMPUTED_VALUE"""),2)</f>
        <v>2</v>
      </c>
    </row>
    <row r="10714" spans="1:5" ht="13">
      <c r="A10714" s="2" t="str">
        <f ca="1">IFERROR(__xludf.DUMMYFUNCTION("""COMPUTED_VALUE"""),"de Tejada, Miguel Lerdo")</f>
        <v>de Tejada, Miguel Lerdo</v>
      </c>
      <c r="B10714" s="3">
        <f ca="1">IFERROR(__xludf.DUMMYFUNCTION("""COMPUTED_VALUE"""),3)</f>
        <v>3</v>
      </c>
      <c r="C10714" s="7">
        <f ca="1">IFERROR(__xludf.DUMMYFUNCTION("""COMPUTED_VALUE"""),3.2)</f>
        <v>3.2</v>
      </c>
      <c r="D10714" s="8">
        <f ca="1">IFERROR(__xludf.DUMMYFUNCTION("""COMPUTED_VALUE"""),7)</f>
        <v>7</v>
      </c>
      <c r="E10714" s="2">
        <f ca="1">IFERROR(__xludf.DUMMYFUNCTION("""COMPUTED_VALUE"""),2)</f>
        <v>2</v>
      </c>
    </row>
    <row r="10715" spans="1:5" ht="13">
      <c r="A10715" s="2" t="str">
        <f ca="1">IFERROR(__xludf.DUMMYFUNCTION("""COMPUTED_VALUE"""),"de Zéspedes, Juan García")</f>
        <v>de Zéspedes, Juan García</v>
      </c>
      <c r="B10715" s="2">
        <f ca="1">IFERROR(__xludf.DUMMYFUNCTION("""COMPUTED_VALUE"""),3)</f>
        <v>3</v>
      </c>
      <c r="C10715" s="7">
        <f ca="1">IFERROR(__xludf.DUMMYFUNCTION("""COMPUTED_VALUE"""),3.2)</f>
        <v>3.2</v>
      </c>
      <c r="D10715" s="8">
        <f ca="1">IFERROR(__xludf.DUMMYFUNCTION("""COMPUTED_VALUE"""),7)</f>
        <v>7</v>
      </c>
      <c r="E10715" s="2">
        <f ca="1">IFERROR(__xludf.DUMMYFUNCTION("""COMPUTED_VALUE"""),2)</f>
        <v>2</v>
      </c>
    </row>
    <row r="10716" spans="1:5" ht="13">
      <c r="A10716" s="2" t="str">
        <f ca="1">IFERROR(__xludf.DUMMYFUNCTION("""COMPUTED_VALUE"""),"de Zumaya, Manuel")</f>
        <v>de Zumaya, Manuel</v>
      </c>
      <c r="B10716" s="3">
        <f ca="1">IFERROR(__xludf.DUMMYFUNCTION("""COMPUTED_VALUE"""),3)</f>
        <v>3</v>
      </c>
      <c r="C10716" s="7">
        <f ca="1">IFERROR(__xludf.DUMMYFUNCTION("""COMPUTED_VALUE"""),3.2)</f>
        <v>3.2</v>
      </c>
      <c r="D10716" s="8">
        <f ca="1">IFERROR(__xludf.DUMMYFUNCTION("""COMPUTED_VALUE"""),7)</f>
        <v>7</v>
      </c>
      <c r="E10716" s="2">
        <f ca="1">IFERROR(__xludf.DUMMYFUNCTION("""COMPUTED_VALUE"""),2)</f>
        <v>2</v>
      </c>
    </row>
    <row r="10717" spans="1:5" ht="13">
      <c r="A10717" s="8" t="str">
        <f ca="1">IFERROR(__xludf.DUMMYFUNCTION("""COMPUTED_VALUE"""),"Dédé, Edmond")</f>
        <v>Dédé, Edmond</v>
      </c>
      <c r="B10717" s="3">
        <f ca="1">IFERROR(__xludf.DUMMYFUNCTION("""COMPUTED_VALUE"""),3)</f>
        <v>3</v>
      </c>
      <c r="C10717" s="7">
        <f ca="1">IFERROR(__xludf.DUMMYFUNCTION("""COMPUTED_VALUE"""),3.1)</f>
        <v>3.1</v>
      </c>
      <c r="D10717" s="8">
        <f ca="1">IFERROR(__xludf.DUMMYFUNCTION("""COMPUTED_VALUE"""),7)</f>
        <v>7</v>
      </c>
      <c r="E10717" s="2">
        <f ca="1">IFERROR(__xludf.DUMMYFUNCTION("""COMPUTED_VALUE"""),2)</f>
        <v>2</v>
      </c>
    </row>
    <row r="10718" spans="1:5" ht="13">
      <c r="A10718" s="2" t="str">
        <f ca="1">IFERROR(__xludf.DUMMYFUNCTION("""COMPUTED_VALUE"""),"del Aguila, Miguel")</f>
        <v>del Aguila, Miguel</v>
      </c>
      <c r="B10718" s="3">
        <f ca="1">IFERROR(__xludf.DUMMYFUNCTION("""COMPUTED_VALUE"""),3)</f>
        <v>3</v>
      </c>
      <c r="C10718" s="7">
        <f ca="1">IFERROR(__xludf.DUMMYFUNCTION("""COMPUTED_VALUE"""),3.2)</f>
        <v>3.2</v>
      </c>
      <c r="D10718" s="8">
        <f ca="1">IFERROR(__xludf.DUMMYFUNCTION("""COMPUTED_VALUE"""),3)</f>
        <v>3</v>
      </c>
      <c r="E10718" s="2">
        <f ca="1">IFERROR(__xludf.DUMMYFUNCTION("""COMPUTED_VALUE"""),1)</f>
        <v>1</v>
      </c>
    </row>
    <row r="10719" spans="1:5" ht="13">
      <c r="A10719" s="2" t="str">
        <f ca="1">IFERROR(__xludf.DUMMYFUNCTION("""COMPUTED_VALUE"""),"Del Curto, Héctor")</f>
        <v>Del Curto, Héctor</v>
      </c>
      <c r="B10719" s="2">
        <f ca="1">IFERROR(__xludf.DUMMYFUNCTION("""COMPUTED_VALUE"""),3)</f>
        <v>3</v>
      </c>
      <c r="C10719" s="2">
        <f ca="1">IFERROR(__xludf.DUMMYFUNCTION("""COMPUTED_VALUE"""),3.2)</f>
        <v>3.2</v>
      </c>
      <c r="D10719" s="8">
        <f ca="1">IFERROR(__xludf.DUMMYFUNCTION("""COMPUTED_VALUE"""),3)</f>
        <v>3</v>
      </c>
      <c r="E10719" s="2">
        <f ca="1">IFERROR(__xludf.DUMMYFUNCTION("""COMPUTED_VALUE"""),1)</f>
        <v>1</v>
      </c>
    </row>
    <row r="10720" spans="1:5" ht="13">
      <c r="A10720" s="2" t="str">
        <f ca="1">IFERROR(__xludf.DUMMYFUNCTION("""COMPUTED_VALUE"""),"del Fierro, Josef")</f>
        <v>del Fierro, Josef</v>
      </c>
      <c r="B10720" s="3">
        <f ca="1">IFERROR(__xludf.DUMMYFUNCTION("""COMPUTED_VALUE"""),3)</f>
        <v>3</v>
      </c>
      <c r="C10720" s="7">
        <f ca="1">IFERROR(__xludf.DUMMYFUNCTION("""COMPUTED_VALUE"""),3.9)</f>
        <v>3.9</v>
      </c>
      <c r="D10720" s="8">
        <f ca="1">IFERROR(__xludf.DUMMYFUNCTION("""COMPUTED_VALUE"""),3)</f>
        <v>3</v>
      </c>
      <c r="E10720" s="2">
        <f ca="1">IFERROR(__xludf.DUMMYFUNCTION("""COMPUTED_VALUE"""),1)</f>
        <v>1</v>
      </c>
    </row>
    <row r="10721" spans="1:5" ht="13">
      <c r="A10721" s="8" t="str">
        <f ca="1">IFERROR(__xludf.DUMMYFUNCTION("""COMPUTED_VALUE"""),"Del, Miguel")</f>
        <v>Del, Miguel</v>
      </c>
      <c r="B10721" s="3">
        <f ca="1">IFERROR(__xludf.DUMMYFUNCTION("""COMPUTED_VALUE"""),3)</f>
        <v>3</v>
      </c>
      <c r="C10721" s="7">
        <f ca="1">IFERROR(__xludf.DUMMYFUNCTION("""COMPUTED_VALUE"""),3.2)</f>
        <v>3.2</v>
      </c>
      <c r="D10721" s="8">
        <f ca="1">IFERROR(__xludf.DUMMYFUNCTION("""COMPUTED_VALUE"""),3)</f>
        <v>3</v>
      </c>
      <c r="E10721" s="2">
        <f ca="1">IFERROR(__xludf.DUMMYFUNCTION("""COMPUTED_VALUE"""),1)</f>
        <v>1</v>
      </c>
    </row>
    <row r="10722" spans="1:5" ht="13">
      <c r="A10722" s="8" t="str">
        <f ca="1">IFERROR(__xludf.DUMMYFUNCTION("""COMPUTED_VALUE"""),"Deng, Xiaokang")</f>
        <v>Deng, Xiaokang</v>
      </c>
      <c r="B10722" s="3">
        <f ca="1">IFERROR(__xludf.DUMMYFUNCTION("""COMPUTED_VALUE"""),3)</f>
        <v>3</v>
      </c>
      <c r="C10722" s="7">
        <f ca="1">IFERROR(__xludf.DUMMYFUNCTION("""COMPUTED_VALUE"""),3.3)</f>
        <v>3.3</v>
      </c>
      <c r="D10722" s="8">
        <f ca="1">IFERROR(__xludf.DUMMYFUNCTION("""COMPUTED_VALUE"""),3)</f>
        <v>3</v>
      </c>
      <c r="E10722" s="2">
        <f ca="1">IFERROR(__xludf.DUMMYFUNCTION("""COMPUTED_VALUE"""),1)</f>
        <v>1</v>
      </c>
    </row>
    <row r="10723" spans="1:5" ht="13">
      <c r="A10723" s="8" t="str">
        <f ca="1">IFERROR(__xludf.DUMMYFUNCTION("""COMPUTED_VALUE"""),"Dennard, Brazeal")</f>
        <v>Dennard, Brazeal</v>
      </c>
      <c r="B10723" s="3">
        <f ca="1">IFERROR(__xludf.DUMMYFUNCTION("""COMPUTED_VALUE"""),3)</f>
        <v>3</v>
      </c>
      <c r="C10723" s="7">
        <f ca="1">IFERROR(__xludf.DUMMYFUNCTION("""COMPUTED_VALUE"""),3.1)</f>
        <v>3.1</v>
      </c>
      <c r="D10723" s="8">
        <f ca="1">IFERROR(__xludf.DUMMYFUNCTION("""COMPUTED_VALUE"""),7)</f>
        <v>7</v>
      </c>
      <c r="E10723" s="2">
        <f ca="1">IFERROR(__xludf.DUMMYFUNCTION("""COMPUTED_VALUE"""),2)</f>
        <v>2</v>
      </c>
    </row>
    <row r="10724" spans="1:5" ht="13">
      <c r="A10724" s="8" t="str">
        <f ca="1">IFERROR(__xludf.DUMMYFUNCTION("""COMPUTED_VALUE"""),"Dent, Cedric")</f>
        <v>Dent, Cedric</v>
      </c>
      <c r="B10724" s="3">
        <f ca="1">IFERROR(__xludf.DUMMYFUNCTION("""COMPUTED_VALUE"""),3)</f>
        <v>3</v>
      </c>
      <c r="C10724" s="7">
        <f ca="1">IFERROR(__xludf.DUMMYFUNCTION("""COMPUTED_VALUE"""),3.1)</f>
        <v>3.1</v>
      </c>
      <c r="D10724" s="8">
        <f ca="1">IFERROR(__xludf.DUMMYFUNCTION("""COMPUTED_VALUE"""),3)</f>
        <v>3</v>
      </c>
      <c r="E10724" s="2">
        <f ca="1">IFERROR(__xludf.DUMMYFUNCTION("""COMPUTED_VALUE"""),1)</f>
        <v>1</v>
      </c>
    </row>
    <row r="10725" spans="1:5" ht="13">
      <c r="A10725" s="2" t="str">
        <f ca="1">IFERROR(__xludf.DUMMYFUNCTION("""COMPUTED_VALUE"""),"DePaur, Leonard")</f>
        <v>DePaur, Leonard</v>
      </c>
      <c r="B10725" s="3">
        <f ca="1">IFERROR(__xludf.DUMMYFUNCTION("""COMPUTED_VALUE"""),3)</f>
        <v>3</v>
      </c>
      <c r="C10725" s="7">
        <f ca="1">IFERROR(__xludf.DUMMYFUNCTION("""COMPUTED_VALUE"""),3.3)</f>
        <v>3.3</v>
      </c>
      <c r="D10725" s="8">
        <f ca="1">IFERROR(__xludf.DUMMYFUNCTION("""COMPUTED_VALUE"""),7)</f>
        <v>7</v>
      </c>
      <c r="E10725" s="2">
        <f ca="1">IFERROR(__xludf.DUMMYFUNCTION("""COMPUTED_VALUE"""),2)</f>
        <v>2</v>
      </c>
    </row>
    <row r="10726" spans="1:5" ht="13">
      <c r="A10726" s="2" t="str">
        <f ca="1">IFERROR(__xludf.DUMMYFUNCTION("""COMPUTED_VALUE"""),"Deqing Wen")</f>
        <v>Deqing Wen</v>
      </c>
      <c r="B10726" s="2">
        <f ca="1">IFERROR(__xludf.DUMMYFUNCTION("""COMPUTED_VALUE"""),3)</f>
        <v>3</v>
      </c>
      <c r="C10726" s="2">
        <f ca="1">IFERROR(__xludf.DUMMYFUNCTION("""COMPUTED_VALUE"""),3.3)</f>
        <v>3.3</v>
      </c>
      <c r="D10726" s="8">
        <f ca="1">IFERROR(__xludf.DUMMYFUNCTION("""COMPUTED_VALUE"""),3)</f>
        <v>3</v>
      </c>
      <c r="E10726" s="2">
        <f ca="1">IFERROR(__xludf.DUMMYFUNCTION("""COMPUTED_VALUE"""),1)</f>
        <v>1</v>
      </c>
    </row>
    <row r="10727" spans="1:5" ht="13">
      <c r="A10727" s="2" t="str">
        <f ca="1">IFERROR(__xludf.DUMMYFUNCTION("""COMPUTED_VALUE"""),"Derrick, Remel")</f>
        <v>Derrick, Remel</v>
      </c>
      <c r="B10727" s="2">
        <f ca="1">IFERROR(__xludf.DUMMYFUNCTION("""COMPUTED_VALUE"""),3)</f>
        <v>3</v>
      </c>
      <c r="C10727" s="2">
        <f ca="1">IFERROR(__xludf.DUMMYFUNCTION("""COMPUTED_VALUE"""),3.1)</f>
        <v>3.1</v>
      </c>
      <c r="D10727" s="8">
        <f ca="1">IFERROR(__xludf.DUMMYFUNCTION("""COMPUTED_VALUE"""),3)</f>
        <v>3</v>
      </c>
      <c r="E10727" s="2">
        <f ca="1">IFERROR(__xludf.DUMMYFUNCTION("""COMPUTED_VALUE"""),1)</f>
        <v>1</v>
      </c>
    </row>
    <row r="10728" spans="1:5" ht="13">
      <c r="A10728" s="8" t="str">
        <f ca="1">IFERROR(__xludf.DUMMYFUNCTION("""COMPUTED_VALUE"""),"Desenne, Paul")</f>
        <v>Desenne, Paul</v>
      </c>
      <c r="B10728" s="3">
        <f ca="1">IFERROR(__xludf.DUMMYFUNCTION("""COMPUTED_VALUE"""),3)</f>
        <v>3</v>
      </c>
      <c r="C10728" s="7">
        <f ca="1">IFERROR(__xludf.DUMMYFUNCTION("""COMPUTED_VALUE"""),3.2)</f>
        <v>3.2</v>
      </c>
      <c r="D10728" s="8">
        <f ca="1">IFERROR(__xludf.DUMMYFUNCTION("""COMPUTED_VALUE"""),3)</f>
        <v>3</v>
      </c>
      <c r="E10728" s="2">
        <f ca="1">IFERROR(__xludf.DUMMYFUNCTION("""COMPUTED_VALUE"""),1)</f>
        <v>1</v>
      </c>
    </row>
    <row r="10729" spans="1:5" ht="13">
      <c r="A10729" s="8" t="str">
        <f ca="1">IFERROR(__xludf.DUMMYFUNCTION("""COMPUTED_VALUE"""),"Dett, R. Nathaniel")</f>
        <v>Dett, R. Nathaniel</v>
      </c>
      <c r="B10729" s="3">
        <f ca="1">IFERROR(__xludf.DUMMYFUNCTION("""COMPUTED_VALUE"""),3)</f>
        <v>3</v>
      </c>
      <c r="C10729" s="7">
        <f ca="1">IFERROR(__xludf.DUMMYFUNCTION("""COMPUTED_VALUE"""),3.1)</f>
        <v>3.1</v>
      </c>
      <c r="D10729" s="8">
        <f ca="1">IFERROR(__xludf.DUMMYFUNCTION("""COMPUTED_VALUE"""),7)</f>
        <v>7</v>
      </c>
      <c r="E10729" s="2">
        <f ca="1">IFERROR(__xludf.DUMMYFUNCTION("""COMPUTED_VALUE"""),2)</f>
        <v>2</v>
      </c>
    </row>
    <row r="10730" spans="1:5" ht="13">
      <c r="A10730" s="8" t="str">
        <f ca="1">IFERROR(__xludf.DUMMYFUNCTION("""COMPUTED_VALUE"""),"Dett, Robert Nathaniel")</f>
        <v>Dett, Robert Nathaniel</v>
      </c>
      <c r="B10730" s="3">
        <f ca="1">IFERROR(__xludf.DUMMYFUNCTION("""COMPUTED_VALUE"""),3)</f>
        <v>3</v>
      </c>
      <c r="C10730" s="7">
        <f ca="1">IFERROR(__xludf.DUMMYFUNCTION("""COMPUTED_VALUE"""),3.1)</f>
        <v>3.1</v>
      </c>
      <c r="D10730" s="8">
        <f ca="1">IFERROR(__xludf.DUMMYFUNCTION("""COMPUTED_VALUE"""),7)</f>
        <v>7</v>
      </c>
      <c r="E10730" s="2">
        <f ca="1">IFERROR(__xludf.DUMMYFUNCTION("""COMPUTED_VALUE"""),2)</f>
        <v>2</v>
      </c>
    </row>
    <row r="10731" spans="1:5" ht="13">
      <c r="A10731" s="8" t="str">
        <f ca="1">IFERROR(__xludf.DUMMYFUNCTION("""COMPUTED_VALUE"""),"Di Giusto, Gerardo")</f>
        <v>Di Giusto, Gerardo</v>
      </c>
      <c r="B10731" s="3">
        <f ca="1">IFERROR(__xludf.DUMMYFUNCTION("""COMPUTED_VALUE"""),3)</f>
        <v>3</v>
      </c>
      <c r="C10731" s="7">
        <f ca="1">IFERROR(__xludf.DUMMYFUNCTION("""COMPUTED_VALUE"""),3.2)</f>
        <v>3.2</v>
      </c>
      <c r="D10731" s="8">
        <f ca="1">IFERROR(__xludf.DUMMYFUNCTION("""COMPUTED_VALUE"""),3)</f>
        <v>3</v>
      </c>
      <c r="E10731" s="2">
        <f ca="1">IFERROR(__xludf.DUMMYFUNCTION("""COMPUTED_VALUE"""),1)</f>
        <v>1</v>
      </c>
    </row>
    <row r="10732" spans="1:5" ht="13">
      <c r="A10732" s="2" t="str">
        <f ca="1">IFERROR(__xludf.DUMMYFUNCTION("""COMPUTED_VALUE"""),"Diab, Wajdi Abou")</f>
        <v>Diab, Wajdi Abou</v>
      </c>
      <c r="B10732" s="2">
        <f ca="1">IFERROR(__xludf.DUMMYFUNCTION("""COMPUTED_VALUE"""),3)</f>
        <v>3</v>
      </c>
      <c r="C10732" s="7">
        <f ca="1">IFERROR(__xludf.DUMMYFUNCTION("""COMPUTED_VALUE"""),3.5)</f>
        <v>3.5</v>
      </c>
      <c r="D10732" s="8">
        <f ca="1">IFERROR(__xludf.DUMMYFUNCTION("""COMPUTED_VALUE"""),3)</f>
        <v>3</v>
      </c>
      <c r="E10732" s="2">
        <f ca="1">IFERROR(__xludf.DUMMYFUNCTION("""COMPUTED_VALUE"""),1)</f>
        <v>1</v>
      </c>
    </row>
    <row r="10733" spans="1:5" ht="13">
      <c r="A10733" s="8" t="str">
        <f ca="1">IFERROR(__xludf.DUMMYFUNCTION("""COMPUTED_VALUE"""),"Díaz, Alirio")</f>
        <v>Díaz, Alirio</v>
      </c>
      <c r="B10733" s="3">
        <f ca="1">IFERROR(__xludf.DUMMYFUNCTION("""COMPUTED_VALUE"""),3)</f>
        <v>3</v>
      </c>
      <c r="C10733" s="7">
        <f ca="1">IFERROR(__xludf.DUMMYFUNCTION("""COMPUTED_VALUE"""),3.2)</f>
        <v>3.2</v>
      </c>
      <c r="D10733" s="8">
        <f ca="1">IFERROR(__xludf.DUMMYFUNCTION("""COMPUTED_VALUE"""),7)</f>
        <v>7</v>
      </c>
      <c r="E10733" s="2">
        <f ca="1">IFERROR(__xludf.DUMMYFUNCTION("""COMPUTED_VALUE"""),2)</f>
        <v>2</v>
      </c>
    </row>
    <row r="10734" spans="1:5" ht="13">
      <c r="A10734" s="8" t="str">
        <f ca="1">IFERROR(__xludf.DUMMYFUNCTION("""COMPUTED_VALUE"""),"Diaz, James")</f>
        <v>Diaz, James</v>
      </c>
      <c r="B10734" s="3">
        <f ca="1">IFERROR(__xludf.DUMMYFUNCTION("""COMPUTED_VALUE"""),3)</f>
        <v>3</v>
      </c>
      <c r="C10734" s="7">
        <f ca="1">IFERROR(__xludf.DUMMYFUNCTION("""COMPUTED_VALUE"""),3.2)</f>
        <v>3.2</v>
      </c>
      <c r="D10734" s="8">
        <f ca="1">IFERROR(__xludf.DUMMYFUNCTION("""COMPUTED_VALUE"""),3)</f>
        <v>3</v>
      </c>
      <c r="E10734" s="2">
        <f ca="1">IFERROR(__xludf.DUMMYFUNCTION("""COMPUTED_VALUE"""),1)</f>
        <v>1</v>
      </c>
    </row>
    <row r="10735" spans="1:5" ht="13">
      <c r="A10735" s="2" t="str">
        <f ca="1">IFERROR(__xludf.DUMMYFUNCTION("""COMPUTED_VALUE"""),"Díaz, Oscar")</f>
        <v>Díaz, Oscar</v>
      </c>
      <c r="B10735" s="3">
        <f ca="1">IFERROR(__xludf.DUMMYFUNCTION("""COMPUTED_VALUE"""),3)</f>
        <v>3</v>
      </c>
      <c r="C10735" s="7">
        <f ca="1">IFERROR(__xludf.DUMMYFUNCTION("""COMPUTED_VALUE"""),3.2)</f>
        <v>3.2</v>
      </c>
      <c r="D10735" s="8">
        <f ca="1">IFERROR(__xludf.DUMMYFUNCTION("""COMPUTED_VALUE"""),3)</f>
        <v>3</v>
      </c>
      <c r="E10735" s="2">
        <f ca="1">IFERROR(__xludf.DUMMYFUNCTION("""COMPUTED_VALUE"""),1)</f>
        <v>1</v>
      </c>
    </row>
    <row r="10736" spans="1:5" ht="13">
      <c r="A10736" s="2" t="str">
        <f ca="1">IFERROR(__xludf.DUMMYFUNCTION("""COMPUTED_VALUE"""),"Diazmuñoz, Eduardo")</f>
        <v>Diazmuñoz, Eduardo</v>
      </c>
      <c r="B10736" s="3">
        <f ca="1">IFERROR(__xludf.DUMMYFUNCTION("""COMPUTED_VALUE"""),3)</f>
        <v>3</v>
      </c>
      <c r="C10736" s="7">
        <f ca="1">IFERROR(__xludf.DUMMYFUNCTION("""COMPUTED_VALUE"""),3.2)</f>
        <v>3.2</v>
      </c>
      <c r="D10736" s="8">
        <f ca="1">IFERROR(__xludf.DUMMYFUNCTION("""COMPUTED_VALUE"""),3)</f>
        <v>3</v>
      </c>
      <c r="E10736" s="2">
        <f ca="1">IFERROR(__xludf.DUMMYFUNCTION("""COMPUTED_VALUE"""),1)</f>
        <v>1</v>
      </c>
    </row>
    <row r="10737" spans="1:5" ht="13">
      <c r="A10737" s="8" t="str">
        <f ca="1">IFERROR(__xludf.DUMMYFUNCTION("""COMPUTED_VALUE"""),"Dickerson, Roger")</f>
        <v>Dickerson, Roger</v>
      </c>
      <c r="B10737" s="3">
        <f ca="1">IFERROR(__xludf.DUMMYFUNCTION("""COMPUTED_VALUE"""),3)</f>
        <v>3</v>
      </c>
      <c r="C10737" s="7">
        <f ca="1">IFERROR(__xludf.DUMMYFUNCTION("""COMPUTED_VALUE"""),3.1)</f>
        <v>3.1</v>
      </c>
      <c r="D10737" s="8">
        <f ca="1">IFERROR(__xludf.DUMMYFUNCTION("""COMPUTED_VALUE"""),3)</f>
        <v>3</v>
      </c>
      <c r="E10737" s="2">
        <f ca="1">IFERROR(__xludf.DUMMYFUNCTION("""COMPUTED_VALUE"""),1)</f>
        <v>1</v>
      </c>
    </row>
    <row r="10738" spans="1:5" ht="13">
      <c r="A10738" s="8" t="str">
        <f ca="1">IFERROR(__xludf.DUMMYFUNCTION("""COMPUTED_VALUE"""),"Diehl, Aaron")</f>
        <v>Diehl, Aaron</v>
      </c>
      <c r="B10738" s="3">
        <f ca="1">IFERROR(__xludf.DUMMYFUNCTION("""COMPUTED_VALUE"""),3)</f>
        <v>3</v>
      </c>
      <c r="C10738" s="7">
        <f ca="1">IFERROR(__xludf.DUMMYFUNCTION("""COMPUTED_VALUE"""),3.1)</f>
        <v>3.1</v>
      </c>
      <c r="D10738" s="8">
        <f ca="1">IFERROR(__xludf.DUMMYFUNCTION("""COMPUTED_VALUE"""),3)</f>
        <v>3</v>
      </c>
      <c r="E10738" s="2">
        <f ca="1">IFERROR(__xludf.DUMMYFUNCTION("""COMPUTED_VALUE"""),1)</f>
        <v>1</v>
      </c>
    </row>
    <row r="10739" spans="1:5" ht="13">
      <c r="A10739" s="8" t="str">
        <f ca="1">IFERROR(__xludf.DUMMYFUNCTION("""COMPUTED_VALUE"""),"diGiusto, Gerardo")</f>
        <v>diGiusto, Gerardo</v>
      </c>
      <c r="B10739" s="3">
        <f ca="1">IFERROR(__xludf.DUMMYFUNCTION("""COMPUTED_VALUE"""),3)</f>
        <v>3</v>
      </c>
      <c r="C10739" s="7">
        <f ca="1">IFERROR(__xludf.DUMMYFUNCTION("""COMPUTED_VALUE"""),3.2)</f>
        <v>3.2</v>
      </c>
      <c r="D10739" s="8">
        <f ca="1">IFERROR(__xludf.DUMMYFUNCTION("""COMPUTED_VALUE"""),3)</f>
        <v>3</v>
      </c>
      <c r="E10739" s="2">
        <f ca="1">IFERROR(__xludf.DUMMYFUNCTION("""COMPUTED_VALUE"""),1)</f>
        <v>1</v>
      </c>
    </row>
    <row r="10740" spans="1:5" ht="13">
      <c r="A10740" s="2" t="str">
        <f ca="1">IFERROR(__xludf.DUMMYFUNCTION("""COMPUTED_VALUE"""),"Dilworth, Rollo")</f>
        <v>Dilworth, Rollo</v>
      </c>
      <c r="B10740" s="3">
        <f ca="1">IFERROR(__xludf.DUMMYFUNCTION("""COMPUTED_VALUE"""),3)</f>
        <v>3</v>
      </c>
      <c r="C10740" s="7">
        <f ca="1">IFERROR(__xludf.DUMMYFUNCTION("""COMPUTED_VALUE"""),3.1)</f>
        <v>3.1</v>
      </c>
      <c r="D10740" s="8">
        <f ca="1">IFERROR(__xludf.DUMMYFUNCTION("""COMPUTED_VALUE"""),3)</f>
        <v>3</v>
      </c>
      <c r="E10740" s="2">
        <f ca="1">IFERROR(__xludf.DUMMYFUNCTION("""COMPUTED_VALUE"""),1)</f>
        <v>1</v>
      </c>
    </row>
    <row r="10741" spans="1:5" ht="13">
      <c r="A10741" s="2" t="str">
        <f ca="1">IFERROR(__xludf.DUMMYFUNCTION("""COMPUTED_VALUE"""),"Dilworth, Rollo / Hughes, Langston")</f>
        <v>Dilworth, Rollo / Hughes, Langston</v>
      </c>
      <c r="B10741" s="3">
        <f ca="1">IFERROR(__xludf.DUMMYFUNCTION("""COMPUTED_VALUE"""),3)</f>
        <v>3</v>
      </c>
      <c r="C10741" s="7">
        <f ca="1">IFERROR(__xludf.DUMMYFUNCTION("""COMPUTED_VALUE"""),3.1)</f>
        <v>3.1</v>
      </c>
      <c r="D10741" s="8">
        <f ca="1">IFERROR(__xludf.DUMMYFUNCTION("""COMPUTED_VALUE"""),3)</f>
        <v>3</v>
      </c>
      <c r="E10741" s="2">
        <f ca="1">IFERROR(__xludf.DUMMYFUNCTION("""COMPUTED_VALUE"""),1)</f>
        <v>1</v>
      </c>
    </row>
    <row r="10742" spans="1:5" ht="13">
      <c r="A10742" s="2" t="str">
        <f ca="1">IFERROR(__xludf.DUMMYFUNCTION("""COMPUTED_VALUE"""),"Dimas, Amador Perez")</f>
        <v>Dimas, Amador Perez</v>
      </c>
      <c r="B10742" s="2">
        <f ca="1">IFERROR(__xludf.DUMMYFUNCTION("""COMPUTED_VALUE"""),3)</f>
        <v>3</v>
      </c>
      <c r="C10742" s="2">
        <f ca="1">IFERROR(__xludf.DUMMYFUNCTION("""COMPUTED_VALUE"""),3.2)</f>
        <v>3.2</v>
      </c>
      <c r="D10742" s="8">
        <f ca="1">IFERROR(__xludf.DUMMYFUNCTION("""COMPUTED_VALUE"""),7)</f>
        <v>7</v>
      </c>
      <c r="E10742" s="2">
        <f ca="1">IFERROR(__xludf.DUMMYFUNCTION("""COMPUTED_VALUE"""),2)</f>
        <v>2</v>
      </c>
    </row>
    <row r="10743" spans="1:5" ht="13">
      <c r="A10743" s="2" t="str">
        <f ca="1">IFERROR(__xludf.DUMMYFUNCTION("""COMPUTED_VALUE"""),"Diniz, Paulo Braga")</f>
        <v>Diniz, Paulo Braga</v>
      </c>
      <c r="B10743" s="3">
        <f ca="1">IFERROR(__xludf.DUMMYFUNCTION("""COMPUTED_VALUE"""),3)</f>
        <v>3</v>
      </c>
      <c r="C10743" s="7">
        <f ca="1">IFERROR(__xludf.DUMMYFUNCTION("""COMPUTED_VALUE"""),3.2)</f>
        <v>3.2</v>
      </c>
      <c r="D10743" s="8">
        <f ca="1">IFERROR(__xludf.DUMMYFUNCTION("""COMPUTED_VALUE"""),3)</f>
        <v>3</v>
      </c>
      <c r="E10743" s="2">
        <f ca="1">IFERROR(__xludf.DUMMYFUNCTION("""COMPUTED_VALUE"""),1)</f>
        <v>1</v>
      </c>
    </row>
    <row r="10744" spans="1:5" ht="13">
      <c r="A10744" s="2" t="str">
        <f ca="1">IFERROR(__xludf.DUMMYFUNCTION("""COMPUTED_VALUE"""),"Dixon, Minoo")</f>
        <v>Dixon, Minoo</v>
      </c>
      <c r="B10744" s="2">
        <f ca="1">IFERROR(__xludf.DUMMYFUNCTION("""COMPUTED_VALUE"""),3)</f>
        <v>3</v>
      </c>
      <c r="C10744" s="7">
        <f ca="1">IFERROR(__xludf.DUMMYFUNCTION("""COMPUTED_VALUE"""),3.3)</f>
        <v>3.3</v>
      </c>
      <c r="D10744" s="8">
        <f ca="1">IFERROR(__xludf.DUMMYFUNCTION("""COMPUTED_VALUE"""),3)</f>
        <v>3</v>
      </c>
      <c r="E10744" s="2">
        <f ca="1">IFERROR(__xludf.DUMMYFUNCTION("""COMPUTED_VALUE"""),1)</f>
        <v>1</v>
      </c>
    </row>
    <row r="10745" spans="1:5" ht="13">
      <c r="A10745" s="2" t="str">
        <f ca="1">IFERROR(__xludf.DUMMYFUNCTION("""COMPUTED_VALUE"""),"Djabadi, Ramin")</f>
        <v>Djabadi, Ramin</v>
      </c>
      <c r="B10745" s="3">
        <f ca="1">IFERROR(__xludf.DUMMYFUNCTION("""COMPUTED_VALUE"""),3)</f>
        <v>3</v>
      </c>
      <c r="C10745" s="3">
        <f ca="1">IFERROR(__xludf.DUMMYFUNCTION("""COMPUTED_VALUE"""),3)</f>
        <v>3</v>
      </c>
      <c r="D10745" s="8">
        <f ca="1">IFERROR(__xludf.DUMMYFUNCTION("""COMPUTED_VALUE"""),3)</f>
        <v>3</v>
      </c>
      <c r="E10745" s="2">
        <f ca="1">IFERROR(__xludf.DUMMYFUNCTION("""COMPUTED_VALUE"""),1)</f>
        <v>1</v>
      </c>
    </row>
    <row r="10746" spans="1:5" ht="13">
      <c r="A10746" s="2" t="str">
        <f ca="1">IFERROR(__xludf.DUMMYFUNCTION("""COMPUTED_VALUE"""),"Djawadi, Ramin")</f>
        <v>Djawadi, Ramin</v>
      </c>
      <c r="B10746" s="3">
        <f ca="1">IFERROR(__xludf.DUMMYFUNCTION("""COMPUTED_VALUE"""),3)</f>
        <v>3</v>
      </c>
      <c r="C10746" s="7">
        <f ca="1">IFERROR(__xludf.DUMMYFUNCTION("""COMPUTED_VALUE"""),3.5)</f>
        <v>3.5</v>
      </c>
      <c r="D10746" s="8">
        <f ca="1">IFERROR(__xludf.DUMMYFUNCTION("""COMPUTED_VALUE"""),3)</f>
        <v>3</v>
      </c>
      <c r="E10746" s="2">
        <f ca="1">IFERROR(__xludf.DUMMYFUNCTION("""COMPUTED_VALUE"""),1)</f>
        <v>1</v>
      </c>
    </row>
    <row r="10747" spans="1:5" ht="13">
      <c r="A10747" s="2" t="str">
        <f ca="1">IFERROR(__xludf.DUMMYFUNCTION("""COMPUTED_VALUE"""),"Dominguez, Armando")</f>
        <v>Dominguez, Armando</v>
      </c>
      <c r="B10747" s="2">
        <f ca="1">IFERROR(__xludf.DUMMYFUNCTION("""COMPUTED_VALUE"""),3)</f>
        <v>3</v>
      </c>
      <c r="C10747" s="7">
        <f ca="1">IFERROR(__xludf.DUMMYFUNCTION("""COMPUTED_VALUE"""),3.2)</f>
        <v>3.2</v>
      </c>
      <c r="D10747" s="8">
        <f ca="1">IFERROR(__xludf.DUMMYFUNCTION("""COMPUTED_VALUE"""),7)</f>
        <v>7</v>
      </c>
      <c r="E10747" s="2">
        <f ca="1">IFERROR(__xludf.DUMMYFUNCTION("""COMPUTED_VALUE"""),2)</f>
        <v>2</v>
      </c>
    </row>
    <row r="10748" spans="1:5" ht="13">
      <c r="A10748" s="2" t="str">
        <f ca="1">IFERROR(__xludf.DUMMYFUNCTION("""COMPUTED_VALUE"""),"Dominguez, Julio")</f>
        <v>Dominguez, Julio</v>
      </c>
      <c r="B10748" s="3">
        <f ca="1">IFERROR(__xludf.DUMMYFUNCTION("""COMPUTED_VALUE"""),3)</f>
        <v>3</v>
      </c>
      <c r="C10748" s="7">
        <f ca="1">IFERROR(__xludf.DUMMYFUNCTION("""COMPUTED_VALUE"""),3.2)</f>
        <v>3.2</v>
      </c>
      <c r="D10748" s="8">
        <f ca="1">IFERROR(__xludf.DUMMYFUNCTION("""COMPUTED_VALUE"""),3)</f>
        <v>3</v>
      </c>
      <c r="E10748" s="2">
        <f ca="1">IFERROR(__xludf.DUMMYFUNCTION("""COMPUTED_VALUE"""),1)</f>
        <v>1</v>
      </c>
    </row>
    <row r="10749" spans="1:5" ht="13">
      <c r="A10749" s="2" t="str">
        <f ca="1">IFERROR(__xludf.DUMMYFUNCTION("""COMPUTED_VALUE"""),"Dominguez, Raul")</f>
        <v>Dominguez, Raul</v>
      </c>
      <c r="B10749" s="2">
        <f ca="1">IFERROR(__xludf.DUMMYFUNCTION("""COMPUTED_VALUE"""),3)</f>
        <v>3</v>
      </c>
      <c r="C10749" s="2">
        <f ca="1">IFERROR(__xludf.DUMMYFUNCTION("""COMPUTED_VALUE"""),3.2)</f>
        <v>3.2</v>
      </c>
      <c r="D10749" s="8">
        <f ca="1">IFERROR(__xludf.DUMMYFUNCTION("""COMPUTED_VALUE"""),3)</f>
        <v>3</v>
      </c>
      <c r="E10749" s="2">
        <f ca="1">IFERROR(__xludf.DUMMYFUNCTION("""COMPUTED_VALUE"""),1)</f>
        <v>1</v>
      </c>
    </row>
    <row r="10750" spans="1:5" ht="13">
      <c r="A10750" s="2" t="str">
        <f ca="1">IFERROR(__xludf.DUMMYFUNCTION("""COMPUTED_VALUE"""),"Domino, Antoine &amp; Bartholomew, Dave")</f>
        <v>Domino, Antoine &amp; Bartholomew, Dave</v>
      </c>
      <c r="B10750" s="3">
        <f ca="1">IFERROR(__xludf.DUMMYFUNCTION("""COMPUTED_VALUE"""),3)</f>
        <v>3</v>
      </c>
      <c r="C10750" s="7">
        <f ca="1">IFERROR(__xludf.DUMMYFUNCTION("""COMPUTED_VALUE"""),3.1)</f>
        <v>3.1</v>
      </c>
      <c r="D10750" s="8">
        <f ca="1">IFERROR(__xludf.DUMMYFUNCTION("""COMPUTED_VALUE"""),7)</f>
        <v>7</v>
      </c>
      <c r="E10750" s="2">
        <f ca="1">IFERROR(__xludf.DUMMYFUNCTION("""COMPUTED_VALUE"""),2)</f>
        <v>2</v>
      </c>
    </row>
    <row r="10751" spans="1:5" ht="13">
      <c r="A10751" s="2" t="str">
        <f ca="1">IFERROR(__xludf.DUMMYFUNCTION("""COMPUTED_VALUE"""),"Donghoon Shin")</f>
        <v>Donghoon Shin</v>
      </c>
      <c r="B10751" s="3">
        <f ca="1">IFERROR(__xludf.DUMMYFUNCTION("""COMPUTED_VALUE"""),3)</f>
        <v>3</v>
      </c>
      <c r="C10751" s="7">
        <f ca="1">IFERROR(__xludf.DUMMYFUNCTION("""COMPUTED_VALUE"""),3.3)</f>
        <v>3.3</v>
      </c>
      <c r="D10751" s="8">
        <f ca="1">IFERROR(__xludf.DUMMYFUNCTION("""COMPUTED_VALUE"""),3)</f>
        <v>3</v>
      </c>
      <c r="E10751" s="2">
        <f ca="1">IFERROR(__xludf.DUMMYFUNCTION("""COMPUTED_VALUE"""),1)</f>
        <v>1</v>
      </c>
    </row>
    <row r="10752" spans="1:5" ht="13">
      <c r="A10752" s="2" t="str">
        <f ca="1">IFERROR(__xludf.DUMMYFUNCTION("""COMPUTED_VALUE"""),"Dorham, Kenny")</f>
        <v>Dorham, Kenny</v>
      </c>
      <c r="B10752" s="2">
        <f ca="1">IFERROR(__xludf.DUMMYFUNCTION("""COMPUTED_VALUE"""),3)</f>
        <v>3</v>
      </c>
      <c r="C10752" s="7">
        <f ca="1">IFERROR(__xludf.DUMMYFUNCTION("""COMPUTED_VALUE"""),3.1)</f>
        <v>3.1</v>
      </c>
      <c r="D10752" s="8">
        <f ca="1">IFERROR(__xludf.DUMMYFUNCTION("""COMPUTED_VALUE"""),7)</f>
        <v>7</v>
      </c>
      <c r="E10752" s="2">
        <f ca="1">IFERROR(__xludf.DUMMYFUNCTION("""COMPUTED_VALUE"""),2)</f>
        <v>2</v>
      </c>
    </row>
    <row r="10753" spans="1:5" ht="13">
      <c r="A10753" s="8" t="str">
        <f ca="1">IFERROR(__xludf.DUMMYFUNCTION("""COMPUTED_VALUE"""),"Dorn, Henry")</f>
        <v>Dorn, Henry</v>
      </c>
      <c r="B10753" s="3">
        <f ca="1">IFERROR(__xludf.DUMMYFUNCTION("""COMPUTED_VALUE"""),3)</f>
        <v>3</v>
      </c>
      <c r="C10753" s="7">
        <f ca="1">IFERROR(__xludf.DUMMYFUNCTION("""COMPUTED_VALUE"""),3.1)</f>
        <v>3.1</v>
      </c>
      <c r="D10753" s="8">
        <f ca="1">IFERROR(__xludf.DUMMYFUNCTION("""COMPUTED_VALUE"""),3)</f>
        <v>3</v>
      </c>
      <c r="E10753" s="2">
        <f ca="1">IFERROR(__xludf.DUMMYFUNCTION("""COMPUTED_VALUE"""),1)</f>
        <v>1</v>
      </c>
    </row>
    <row r="10754" spans="1:5" ht="13">
      <c r="A10754" s="8" t="str">
        <f ca="1">IFERROR(__xludf.DUMMYFUNCTION("""COMPUTED_VALUE"""),"Dorsey, Thomas")</f>
        <v>Dorsey, Thomas</v>
      </c>
      <c r="B10754" s="3">
        <f ca="1">IFERROR(__xludf.DUMMYFUNCTION("""COMPUTED_VALUE"""),3)</f>
        <v>3</v>
      </c>
      <c r="C10754" s="7">
        <f ca="1">IFERROR(__xludf.DUMMYFUNCTION("""COMPUTED_VALUE"""),3.1)</f>
        <v>3.1</v>
      </c>
      <c r="D10754" s="8">
        <f ca="1">IFERROR(__xludf.DUMMYFUNCTION("""COMPUTED_VALUE"""),7)</f>
        <v>7</v>
      </c>
      <c r="E10754" s="2">
        <f ca="1">IFERROR(__xludf.DUMMYFUNCTION("""COMPUTED_VALUE"""),2)</f>
        <v>2</v>
      </c>
    </row>
    <row r="10755" spans="1:5" ht="13">
      <c r="A10755" s="2" t="str">
        <f ca="1">IFERROR(__xludf.DUMMYFUNCTION("""COMPUTED_VALUE"""),"Dosoo, Jonathan Michael Teye (JMT Dosoo)")</f>
        <v>Dosoo, Jonathan Michael Teye (JMT Dosoo)</v>
      </c>
      <c r="B10755" s="3">
        <f ca="1">IFERROR(__xludf.DUMMYFUNCTION("""COMPUTED_VALUE"""),3)</f>
        <v>3</v>
      </c>
      <c r="C10755" s="7">
        <f ca="1">IFERROR(__xludf.DUMMYFUNCTION("""COMPUTED_VALUE"""),3.1)</f>
        <v>3.1</v>
      </c>
      <c r="D10755" s="8">
        <f ca="1">IFERROR(__xludf.DUMMYFUNCTION("""COMPUTED_VALUE"""),7)</f>
        <v>7</v>
      </c>
      <c r="E10755" s="2">
        <f ca="1">IFERROR(__xludf.DUMMYFUNCTION("""COMPUTED_VALUE"""),2)</f>
        <v>2</v>
      </c>
    </row>
    <row r="10756" spans="1:5" ht="13">
      <c r="A10756" s="2" t="str">
        <f ca="1">IFERROR(__xludf.DUMMYFUNCTION("""COMPUTED_VALUE"""),"Douglas Jr., O'Neal")</f>
        <v>Douglas Jr., O'Neal</v>
      </c>
      <c r="B10756" s="2">
        <f ca="1">IFERROR(__xludf.DUMMYFUNCTION("""COMPUTED_VALUE"""),3)</f>
        <v>3</v>
      </c>
      <c r="C10756" s="7">
        <f ca="1">IFERROR(__xludf.DUMMYFUNCTION("""COMPUTED_VALUE"""),3.1)</f>
        <v>3.1</v>
      </c>
      <c r="D10756" s="8">
        <f ca="1">IFERROR(__xludf.DUMMYFUNCTION("""COMPUTED_VALUE"""),3)</f>
        <v>3</v>
      </c>
      <c r="E10756" s="2">
        <f ca="1">IFERROR(__xludf.DUMMYFUNCTION("""COMPUTED_VALUE"""),1)</f>
        <v>1</v>
      </c>
    </row>
    <row r="10757" spans="1:5" ht="13">
      <c r="A10757" s="2" t="str">
        <f ca="1">IFERROR(__xludf.DUMMYFUNCTION("""COMPUTED_VALUE"""),"Doyle, Matthew")</f>
        <v>Doyle, Matthew</v>
      </c>
      <c r="B10757" s="3">
        <f ca="1">IFERROR(__xludf.DUMMYFUNCTION("""COMPUTED_VALUE"""),3)</f>
        <v>3</v>
      </c>
      <c r="C10757" s="7">
        <f ca="1">IFERROR(__xludf.DUMMYFUNCTION("""COMPUTED_VALUE"""),3.6)</f>
        <v>3.6</v>
      </c>
      <c r="D10757" s="8">
        <f ca="1">IFERROR(__xludf.DUMMYFUNCTION("""COMPUTED_VALUE"""),3)</f>
        <v>3</v>
      </c>
      <c r="E10757" s="2">
        <f ca="1">IFERROR(__xludf.DUMMYFUNCTION("""COMPUTED_VALUE"""),1)</f>
        <v>1</v>
      </c>
    </row>
    <row r="10758" spans="1:5" ht="13">
      <c r="A10758" s="8" t="str">
        <f ca="1">IFERROR(__xludf.DUMMYFUNCTION("""COMPUTED_VALUE"""),"Duarte, Frank")</f>
        <v>Duarte, Frank</v>
      </c>
      <c r="B10758" s="3">
        <f ca="1">IFERROR(__xludf.DUMMYFUNCTION("""COMPUTED_VALUE"""),3)</f>
        <v>3</v>
      </c>
      <c r="C10758" s="7">
        <f ca="1">IFERROR(__xludf.DUMMYFUNCTION("""COMPUTED_VALUE"""),3.2)</f>
        <v>3.2</v>
      </c>
      <c r="D10758" s="8">
        <f ca="1">IFERROR(__xludf.DUMMYFUNCTION("""COMPUTED_VALUE"""),3)</f>
        <v>3</v>
      </c>
      <c r="E10758" s="2">
        <f ca="1">IFERROR(__xludf.DUMMYFUNCTION("""COMPUTED_VALUE"""),1)</f>
        <v>1</v>
      </c>
    </row>
    <row r="10759" spans="1:5" ht="13">
      <c r="A10759" s="8" t="str">
        <f ca="1">IFERROR(__xludf.DUMMYFUNCTION("""COMPUTED_VALUE"""),"Ducasse, Christopher")</f>
        <v>Ducasse, Christopher</v>
      </c>
      <c r="B10759" s="3">
        <f ca="1">IFERROR(__xludf.DUMMYFUNCTION("""COMPUTED_VALUE"""),3)</f>
        <v>3</v>
      </c>
      <c r="C10759" s="7">
        <f ca="1">IFERROR(__xludf.DUMMYFUNCTION("""COMPUTED_VALUE"""),3.1)</f>
        <v>3.1</v>
      </c>
      <c r="D10759" s="8">
        <f ca="1">IFERROR(__xludf.DUMMYFUNCTION("""COMPUTED_VALUE"""),3)</f>
        <v>3</v>
      </c>
      <c r="E10759" s="2">
        <f ca="1">IFERROR(__xludf.DUMMYFUNCTION("""COMPUTED_VALUE"""),1)</f>
        <v>1</v>
      </c>
    </row>
    <row r="10760" spans="1:5" ht="13">
      <c r="A10760" s="2" t="str">
        <f ca="1">IFERROR(__xludf.DUMMYFUNCTION("""COMPUTED_VALUE"""),"Duke Ellington / Mark Lopeman")</f>
        <v>Duke Ellington / Mark Lopeman</v>
      </c>
      <c r="B10760" s="2">
        <f ca="1">IFERROR(__xludf.DUMMYFUNCTION("""COMPUTED_VALUE"""),3)</f>
        <v>3</v>
      </c>
      <c r="C10760" s="7">
        <f ca="1">IFERROR(__xludf.DUMMYFUNCTION("""COMPUTED_VALUE"""),3.1)</f>
        <v>3.1</v>
      </c>
      <c r="D10760" s="8">
        <f ca="1">IFERROR(__xludf.DUMMYFUNCTION("""COMPUTED_VALUE"""),7)</f>
        <v>7</v>
      </c>
      <c r="E10760" s="2">
        <f ca="1">IFERROR(__xludf.DUMMYFUNCTION("""COMPUTED_VALUE"""),2)</f>
        <v>2</v>
      </c>
    </row>
    <row r="10761" spans="1:5" ht="13">
      <c r="A10761" s="2" t="str">
        <f ca="1">IFERROR(__xludf.DUMMYFUNCTION("""COMPUTED_VALUE"""),"Duke Ellington and Billy Strayhorn")</f>
        <v>Duke Ellington and Billy Strayhorn</v>
      </c>
      <c r="B10761" s="2">
        <f ca="1">IFERROR(__xludf.DUMMYFUNCTION("""COMPUTED_VALUE"""),3)</f>
        <v>3</v>
      </c>
      <c r="C10761" s="7">
        <f ca="1">IFERROR(__xludf.DUMMYFUNCTION("""COMPUTED_VALUE"""),3.1)</f>
        <v>3.1</v>
      </c>
      <c r="D10761" s="8">
        <f ca="1">IFERROR(__xludf.DUMMYFUNCTION("""COMPUTED_VALUE"""),7)</f>
        <v>7</v>
      </c>
      <c r="E10761" s="2">
        <f ca="1">IFERROR(__xludf.DUMMYFUNCTION("""COMPUTED_VALUE"""),2)</f>
        <v>2</v>
      </c>
    </row>
    <row r="10762" spans="1:5" ht="13">
      <c r="A10762" s="2" t="str">
        <f ca="1">IFERROR(__xludf.DUMMYFUNCTION("""COMPUTED_VALUE"""),"Duke Ellington, Don George, Johnny Hodges, and Harry James")</f>
        <v>Duke Ellington, Don George, Johnny Hodges, and Harry James</v>
      </c>
      <c r="B10762" s="2">
        <f ca="1">IFERROR(__xludf.DUMMYFUNCTION("""COMPUTED_VALUE"""),3)</f>
        <v>3</v>
      </c>
      <c r="C10762" s="7">
        <f ca="1">IFERROR(__xludf.DUMMYFUNCTION("""COMPUTED_VALUE"""),3.1)</f>
        <v>3.1</v>
      </c>
      <c r="D10762" s="8">
        <f ca="1">IFERROR(__xludf.DUMMYFUNCTION("""COMPUTED_VALUE"""),7)</f>
        <v>7</v>
      </c>
      <c r="E10762" s="2">
        <f ca="1">IFERROR(__xludf.DUMMYFUNCTION("""COMPUTED_VALUE"""),2)</f>
        <v>2</v>
      </c>
    </row>
    <row r="10763" spans="1:5" ht="13">
      <c r="A10763" s="2" t="str">
        <f ca="1">IFERROR(__xludf.DUMMYFUNCTION("""COMPUTED_VALUE"""),"Duke Ellington, Mark Loberman")</f>
        <v>Duke Ellington, Mark Loberman</v>
      </c>
      <c r="B10763" s="2">
        <f ca="1">IFERROR(__xludf.DUMMYFUNCTION("""COMPUTED_VALUE"""),3)</f>
        <v>3</v>
      </c>
      <c r="C10763" s="7">
        <f ca="1">IFERROR(__xludf.DUMMYFUNCTION("""COMPUTED_VALUE"""),3.1)</f>
        <v>3.1</v>
      </c>
      <c r="D10763" s="8">
        <f ca="1">IFERROR(__xludf.DUMMYFUNCTION("""COMPUTED_VALUE"""),7)</f>
        <v>7</v>
      </c>
      <c r="E10763" s="2">
        <f ca="1">IFERROR(__xludf.DUMMYFUNCTION("""COMPUTED_VALUE"""),2)</f>
        <v>2</v>
      </c>
    </row>
    <row r="10764" spans="1:5" ht="13">
      <c r="A10764" s="2" t="str">
        <f ca="1">IFERROR(__xludf.DUMMYFUNCTION("""COMPUTED_VALUE"""),"Duke, George")</f>
        <v>Duke, George</v>
      </c>
      <c r="B10764" s="2">
        <f ca="1">IFERROR(__xludf.DUMMYFUNCTION("""COMPUTED_VALUE"""),3)</f>
        <v>3</v>
      </c>
      <c r="C10764" s="7">
        <f ca="1">IFERROR(__xludf.DUMMYFUNCTION("""COMPUTED_VALUE"""),3.1)</f>
        <v>3.1</v>
      </c>
      <c r="D10764" s="8">
        <f ca="1">IFERROR(__xludf.DUMMYFUNCTION("""COMPUTED_VALUE"""),7)</f>
        <v>7</v>
      </c>
      <c r="E10764" s="2">
        <f ca="1">IFERROR(__xludf.DUMMYFUNCTION("""COMPUTED_VALUE"""),2)</f>
        <v>2</v>
      </c>
    </row>
    <row r="10765" spans="1:5" ht="13">
      <c r="A10765" s="2" t="str">
        <f ca="1">IFERROR(__xludf.DUMMYFUNCTION("""COMPUTED_VALUE"""),"Duke, Vernon")</f>
        <v>Duke, Vernon</v>
      </c>
      <c r="B10765" s="2">
        <f ca="1">IFERROR(__xludf.DUMMYFUNCTION("""COMPUTED_VALUE"""),3)</f>
        <v>3</v>
      </c>
      <c r="C10765" s="7">
        <f ca="1">IFERROR(__xludf.DUMMYFUNCTION("""COMPUTED_VALUE"""),3.1)</f>
        <v>3.1</v>
      </c>
      <c r="D10765" s="8">
        <f ca="1">IFERROR(__xludf.DUMMYFUNCTION("""COMPUTED_VALUE"""),7)</f>
        <v>7</v>
      </c>
      <c r="E10765" s="2">
        <f ca="1">IFERROR(__xludf.DUMMYFUNCTION("""COMPUTED_VALUE"""),2)</f>
        <v>2</v>
      </c>
    </row>
    <row r="10766" spans="1:5" ht="13">
      <c r="A10766" s="2" t="str">
        <f ca="1">IFERROR(__xludf.DUMMYFUNCTION("""COMPUTED_VALUE"""),"Duke, Vernon / Basie, Count")</f>
        <v>Duke, Vernon / Basie, Count</v>
      </c>
      <c r="B10766" s="2">
        <f ca="1">IFERROR(__xludf.DUMMYFUNCTION("""COMPUTED_VALUE"""),3)</f>
        <v>3</v>
      </c>
      <c r="C10766" s="7">
        <f ca="1">IFERROR(__xludf.DUMMYFUNCTION("""COMPUTED_VALUE"""),3.1)</f>
        <v>3.1</v>
      </c>
      <c r="D10766" s="8">
        <f ca="1">IFERROR(__xludf.DUMMYFUNCTION("""COMPUTED_VALUE"""),7)</f>
        <v>7</v>
      </c>
      <c r="E10766" s="2">
        <f ca="1">IFERROR(__xludf.DUMMYFUNCTION("""COMPUTED_VALUE"""),2)</f>
        <v>2</v>
      </c>
    </row>
    <row r="10767" spans="1:5" ht="13">
      <c r="A10767" s="2" t="str">
        <f ca="1">IFERROR(__xludf.DUMMYFUNCTION("""COMPUTED_VALUE"""),"Duke, Vernon / Harburg, Yip")</f>
        <v>Duke, Vernon / Harburg, Yip</v>
      </c>
      <c r="B10767" s="2">
        <f ca="1">IFERROR(__xludf.DUMMYFUNCTION("""COMPUTED_VALUE"""),3)</f>
        <v>3</v>
      </c>
      <c r="C10767" s="7">
        <f ca="1">IFERROR(__xludf.DUMMYFUNCTION("""COMPUTED_VALUE"""),3.1)</f>
        <v>3.1</v>
      </c>
      <c r="D10767" s="8">
        <f ca="1">IFERROR(__xludf.DUMMYFUNCTION("""COMPUTED_VALUE"""),7)</f>
        <v>7</v>
      </c>
      <c r="E10767" s="2">
        <f ca="1">IFERROR(__xludf.DUMMYFUNCTION("""COMPUTED_VALUE"""),2)</f>
        <v>2</v>
      </c>
    </row>
    <row r="10768" spans="1:5" ht="13">
      <c r="A10768" s="8" t="str">
        <f ca="1">IFERROR(__xludf.DUMMYFUNCTION("""COMPUTED_VALUE"""),"Dun, Tan")</f>
        <v>Dun, Tan</v>
      </c>
      <c r="B10768" s="3">
        <f ca="1">IFERROR(__xludf.DUMMYFUNCTION("""COMPUTED_VALUE"""),3)</f>
        <v>3</v>
      </c>
      <c r="C10768" s="7">
        <f ca="1">IFERROR(__xludf.DUMMYFUNCTION("""COMPUTED_VALUE"""),3.3)</f>
        <v>3.3</v>
      </c>
      <c r="D10768" s="8">
        <f ca="1">IFERROR(__xludf.DUMMYFUNCTION("""COMPUTED_VALUE"""),3)</f>
        <v>3</v>
      </c>
      <c r="E10768" s="2">
        <f ca="1">IFERROR(__xludf.DUMMYFUNCTION("""COMPUTED_VALUE"""),1)</f>
        <v>1</v>
      </c>
    </row>
    <row r="10769" spans="1:5" ht="13">
      <c r="A10769" s="8" t="str">
        <f ca="1">IFERROR(__xludf.DUMMYFUNCTION("""COMPUTED_VALUE"""),"Dundee, Corey")</f>
        <v>Dundee, Corey</v>
      </c>
      <c r="B10769" s="3">
        <f ca="1">IFERROR(__xludf.DUMMYFUNCTION("""COMPUTED_VALUE"""),3)</f>
        <v>3</v>
      </c>
      <c r="C10769" s="7">
        <f ca="1">IFERROR(__xludf.DUMMYFUNCTION("""COMPUTED_VALUE"""),3.1)</f>
        <v>3.1</v>
      </c>
      <c r="D10769" s="8">
        <f ca="1">IFERROR(__xludf.DUMMYFUNCTION("""COMPUTED_VALUE"""),3)</f>
        <v>3</v>
      </c>
      <c r="E10769" s="2">
        <f ca="1">IFERROR(__xludf.DUMMYFUNCTION("""COMPUTED_VALUE"""),1)</f>
        <v>1</v>
      </c>
    </row>
    <row r="10770" spans="1:5" ht="13">
      <c r="A10770" s="8" t="str">
        <f ca="1">IFERROR(__xludf.DUMMYFUNCTION("""COMPUTED_VALUE"""),"Dunton, Kelijah")</f>
        <v>Dunton, Kelijah</v>
      </c>
      <c r="B10770" s="3">
        <f ca="1">IFERROR(__xludf.DUMMYFUNCTION("""COMPUTED_VALUE"""),3)</f>
        <v>3</v>
      </c>
      <c r="C10770" s="7">
        <f ca="1">IFERROR(__xludf.DUMMYFUNCTION("""COMPUTED_VALUE"""),3.1)</f>
        <v>3.1</v>
      </c>
      <c r="D10770" s="8">
        <f ca="1">IFERROR(__xludf.DUMMYFUNCTION("""COMPUTED_VALUE"""),3)</f>
        <v>3</v>
      </c>
      <c r="E10770" s="2">
        <f ca="1">IFERROR(__xludf.DUMMYFUNCTION("""COMPUTED_VALUE"""),1)</f>
        <v>1</v>
      </c>
    </row>
    <row r="10771" spans="1:5" ht="13">
      <c r="A10771" s="8" t="str">
        <f ca="1">IFERROR(__xludf.DUMMYFUNCTION("""COMPUTED_VALUE"""),"Duran, Hilario")</f>
        <v>Duran, Hilario</v>
      </c>
      <c r="B10771" s="3">
        <f ca="1">IFERROR(__xludf.DUMMYFUNCTION("""COMPUTED_VALUE"""),3)</f>
        <v>3</v>
      </c>
      <c r="C10771" s="7">
        <f ca="1">IFERROR(__xludf.DUMMYFUNCTION("""COMPUTED_VALUE"""),3.2)</f>
        <v>3.2</v>
      </c>
      <c r="D10771" s="8">
        <f ca="1">IFERROR(__xludf.DUMMYFUNCTION("""COMPUTED_VALUE"""),3)</f>
        <v>3</v>
      </c>
      <c r="E10771" s="2">
        <f ca="1">IFERROR(__xludf.DUMMYFUNCTION("""COMPUTED_VALUE"""),1)</f>
        <v>1</v>
      </c>
    </row>
    <row r="10772" spans="1:5" ht="13">
      <c r="A10772" s="2" t="str">
        <f ca="1">IFERROR(__xludf.DUMMYFUNCTION("""COMPUTED_VALUE"""),"Duran, Salvador")</f>
        <v>Duran, Salvador</v>
      </c>
      <c r="B10772" s="3">
        <f ca="1">IFERROR(__xludf.DUMMYFUNCTION("""COMPUTED_VALUE"""),3)</f>
        <v>3</v>
      </c>
      <c r="C10772" s="7">
        <f ca="1">IFERROR(__xludf.DUMMYFUNCTION("""COMPUTED_VALUE"""),3.2)</f>
        <v>3.2</v>
      </c>
      <c r="D10772" s="8">
        <f ca="1">IFERROR(__xludf.DUMMYFUNCTION("""COMPUTED_VALUE"""),3)</f>
        <v>3</v>
      </c>
      <c r="E10772" s="2">
        <f ca="1">IFERROR(__xludf.DUMMYFUNCTION("""COMPUTED_VALUE"""),1)</f>
        <v>1</v>
      </c>
    </row>
    <row r="10773" spans="1:5" ht="13">
      <c r="A10773" s="8" t="str">
        <f ca="1">IFERROR(__xludf.DUMMYFUNCTION("""COMPUTED_VALUE"""),"Durant, Trestin")</f>
        <v>Durant, Trestin</v>
      </c>
      <c r="B10773" s="3">
        <f ca="1">IFERROR(__xludf.DUMMYFUNCTION("""COMPUTED_VALUE"""),3)</f>
        <v>3</v>
      </c>
      <c r="C10773" s="7">
        <f ca="1">IFERROR(__xludf.DUMMYFUNCTION("""COMPUTED_VALUE"""),3.1)</f>
        <v>3.1</v>
      </c>
      <c r="D10773" s="8">
        <f ca="1">IFERROR(__xludf.DUMMYFUNCTION("""COMPUTED_VALUE"""),3)</f>
        <v>3</v>
      </c>
      <c r="E10773" s="2">
        <f ca="1">IFERROR(__xludf.DUMMYFUNCTION("""COMPUTED_VALUE"""),1)</f>
        <v>1</v>
      </c>
    </row>
    <row r="10774" spans="1:5" ht="13">
      <c r="A10774" s="2" t="str">
        <f ca="1">IFERROR(__xludf.DUMMYFUNCTION("""COMPUTED_VALUE"""),"Durwynne Hsieh")</f>
        <v>Durwynne Hsieh</v>
      </c>
      <c r="B10774" s="3">
        <f ca="1">IFERROR(__xludf.DUMMYFUNCTION("""COMPUTED_VALUE"""),3)</f>
        <v>3</v>
      </c>
      <c r="C10774" s="7">
        <f ca="1">IFERROR(__xludf.DUMMYFUNCTION("""COMPUTED_VALUE"""),3.3)</f>
        <v>3.3</v>
      </c>
      <c r="D10774" s="8">
        <f ca="1">IFERROR(__xludf.DUMMYFUNCTION("""COMPUTED_VALUE"""),3)</f>
        <v>3</v>
      </c>
      <c r="E10774" s="2">
        <f ca="1">IFERROR(__xludf.DUMMYFUNCTION("""COMPUTED_VALUE"""),1)</f>
        <v>1</v>
      </c>
    </row>
    <row r="10775" spans="1:5" ht="13">
      <c r="A10775" s="8" t="str">
        <f ca="1">IFERROR(__xludf.DUMMYFUNCTION("""COMPUTED_VALUE"""),"Dworkin, Aaron")</f>
        <v>Dworkin, Aaron</v>
      </c>
      <c r="B10775" s="3">
        <f ca="1">IFERROR(__xludf.DUMMYFUNCTION("""COMPUTED_VALUE"""),3)</f>
        <v>3</v>
      </c>
      <c r="C10775" s="7">
        <f ca="1">IFERROR(__xludf.DUMMYFUNCTION("""COMPUTED_VALUE"""),3.1)</f>
        <v>3.1</v>
      </c>
      <c r="D10775" s="8">
        <f ca="1">IFERROR(__xludf.DUMMYFUNCTION("""COMPUTED_VALUE"""),3)</f>
        <v>3</v>
      </c>
      <c r="E10775" s="2">
        <f ca="1">IFERROR(__xludf.DUMMYFUNCTION("""COMPUTED_VALUE"""),1)</f>
        <v>1</v>
      </c>
    </row>
    <row r="10776" spans="1:5" ht="13">
      <c r="A10776" s="8" t="str">
        <f ca="1">IFERROR(__xludf.DUMMYFUNCTION("""COMPUTED_VALUE"""),"Eastman, Julius")</f>
        <v>Eastman, Julius</v>
      </c>
      <c r="B10776" s="3">
        <f ca="1">IFERROR(__xludf.DUMMYFUNCTION("""COMPUTED_VALUE"""),3)</f>
        <v>3</v>
      </c>
      <c r="C10776" s="7">
        <f ca="1">IFERROR(__xludf.DUMMYFUNCTION("""COMPUTED_VALUE"""),3.1)</f>
        <v>3.1</v>
      </c>
      <c r="D10776" s="8">
        <f ca="1">IFERROR(__xludf.DUMMYFUNCTION("""COMPUTED_VALUE"""),7)</f>
        <v>7</v>
      </c>
      <c r="E10776" s="2">
        <f ca="1">IFERROR(__xludf.DUMMYFUNCTION("""COMPUTED_VALUE"""),2)</f>
        <v>2</v>
      </c>
    </row>
    <row r="10777" spans="1:5" ht="13">
      <c r="A10777" s="2" t="str">
        <f ca="1">IFERROR(__xludf.DUMMYFUNCTION("""COMPUTED_VALUE"""),"Eastman, ulius")</f>
        <v>Eastman, ulius</v>
      </c>
      <c r="B10777" s="3">
        <f ca="1">IFERROR(__xludf.DUMMYFUNCTION("""COMPUTED_VALUE"""),3)</f>
        <v>3</v>
      </c>
      <c r="C10777" s="7">
        <f ca="1">IFERROR(__xludf.DUMMYFUNCTION("""COMPUTED_VALUE"""),3.1)</f>
        <v>3.1</v>
      </c>
      <c r="D10777" s="8">
        <f ca="1">IFERROR(__xludf.DUMMYFUNCTION("""COMPUTED_VALUE"""),3)</f>
        <v>3</v>
      </c>
      <c r="E10777" s="2">
        <f ca="1">IFERROR(__xludf.DUMMYFUNCTION("""COMPUTED_VALUE"""),1)</f>
        <v>1</v>
      </c>
    </row>
    <row r="10778" spans="1:5" ht="13">
      <c r="A10778" s="2" t="str">
        <f ca="1">IFERROR(__xludf.DUMMYFUNCTION("""COMPUTED_VALUE"""),"Eastmond, David")</f>
        <v>Eastmond, David</v>
      </c>
      <c r="B10778" s="2">
        <f ca="1">IFERROR(__xludf.DUMMYFUNCTION("""COMPUTED_VALUE"""),3)</f>
        <v>3</v>
      </c>
      <c r="C10778" s="7">
        <f ca="1">IFERROR(__xludf.DUMMYFUNCTION("""COMPUTED_VALUE"""),3.1)</f>
        <v>3.1</v>
      </c>
      <c r="D10778" s="8">
        <f ca="1">IFERROR(__xludf.DUMMYFUNCTION("""COMPUTED_VALUE"""),3)</f>
        <v>3</v>
      </c>
      <c r="E10778" s="2">
        <f ca="1">IFERROR(__xludf.DUMMYFUNCTION("""COMPUTED_VALUE"""),1)</f>
        <v>1</v>
      </c>
    </row>
    <row r="10779" spans="1:5" ht="13">
      <c r="A10779" s="2" t="str">
        <f ca="1">IFERROR(__xludf.DUMMYFUNCTION("""COMPUTED_VALUE"""),"Edison, Harry ""Sweets""")</f>
        <v>Edison, Harry "Sweets"</v>
      </c>
      <c r="B10779" s="3">
        <f ca="1">IFERROR(__xludf.DUMMYFUNCTION("""COMPUTED_VALUE"""),3)</f>
        <v>3</v>
      </c>
      <c r="C10779" s="7">
        <f ca="1">IFERROR(__xludf.DUMMYFUNCTION("""COMPUTED_VALUE"""),3.1)</f>
        <v>3.1</v>
      </c>
      <c r="D10779" s="8">
        <f ca="1">IFERROR(__xludf.DUMMYFUNCTION("""COMPUTED_VALUE"""),7)</f>
        <v>7</v>
      </c>
      <c r="E10779" s="2">
        <f ca="1">IFERROR(__xludf.DUMMYFUNCTION("""COMPUTED_VALUE"""),2)</f>
        <v>2</v>
      </c>
    </row>
    <row r="10780" spans="1:5" ht="13">
      <c r="A10780" s="2" t="str">
        <f ca="1">IFERROR(__xludf.DUMMYFUNCTION("""COMPUTED_VALUE"""),"Edison, Harry (""Sweets"")")</f>
        <v>Edison, Harry ("Sweets")</v>
      </c>
      <c r="B10780" s="2">
        <f ca="1">IFERROR(__xludf.DUMMYFUNCTION("""COMPUTED_VALUE"""),3)</f>
        <v>3</v>
      </c>
      <c r="C10780" s="7">
        <f ca="1">IFERROR(__xludf.DUMMYFUNCTION("""COMPUTED_VALUE"""),3.1)</f>
        <v>3.1</v>
      </c>
      <c r="D10780" s="8">
        <f ca="1">IFERROR(__xludf.DUMMYFUNCTION("""COMPUTED_VALUE"""),7)</f>
        <v>7</v>
      </c>
      <c r="E10780" s="2">
        <f ca="1">IFERROR(__xludf.DUMMYFUNCTION("""COMPUTED_VALUE"""),2)</f>
        <v>2</v>
      </c>
    </row>
    <row r="10781" spans="1:5" ht="13">
      <c r="A10781" s="2" t="str">
        <f ca="1">IFERROR(__xludf.DUMMYFUNCTION("""COMPUTED_VALUE"""),"Edison, Harry (""Sweets"") / Hendricks, Jon")</f>
        <v>Edison, Harry ("Sweets") / Hendricks, Jon</v>
      </c>
      <c r="B10781" s="2">
        <f ca="1">IFERROR(__xludf.DUMMYFUNCTION("""COMPUTED_VALUE"""),3)</f>
        <v>3</v>
      </c>
      <c r="C10781" s="7">
        <f ca="1">IFERROR(__xludf.DUMMYFUNCTION("""COMPUTED_VALUE"""),3.1)</f>
        <v>3.1</v>
      </c>
      <c r="D10781" s="8">
        <f ca="1">IFERROR(__xludf.DUMMYFUNCTION("""COMPUTED_VALUE"""),7)</f>
        <v>7</v>
      </c>
      <c r="E10781" s="2">
        <f ca="1">IFERROR(__xludf.DUMMYFUNCTION("""COMPUTED_VALUE"""),2)</f>
        <v>2</v>
      </c>
    </row>
    <row r="10782" spans="1:5" ht="13">
      <c r="A10782" s="8" t="str">
        <f ca="1">IFERROR(__xludf.DUMMYFUNCTION("""COMPUTED_VALUE"""),"Edwards, Bruce")</f>
        <v>Edwards, Bruce</v>
      </c>
      <c r="B10782" s="3">
        <f ca="1">IFERROR(__xludf.DUMMYFUNCTION("""COMPUTED_VALUE"""),3)</f>
        <v>3</v>
      </c>
      <c r="C10782" s="7">
        <f ca="1">IFERROR(__xludf.DUMMYFUNCTION("""COMPUTED_VALUE"""),3.1)</f>
        <v>3.1</v>
      </c>
      <c r="D10782" s="8">
        <f ca="1">IFERROR(__xludf.DUMMYFUNCTION("""COMPUTED_VALUE"""),3)</f>
        <v>3</v>
      </c>
      <c r="E10782" s="2">
        <f ca="1">IFERROR(__xludf.DUMMYFUNCTION("""COMPUTED_VALUE"""),1)</f>
        <v>1</v>
      </c>
    </row>
    <row r="10783" spans="1:5" ht="13">
      <c r="A10783" s="2" t="str">
        <f ca="1">IFERROR(__xludf.DUMMYFUNCTION("""COMPUTED_VALUE"""),"Edwards, Darius")</f>
        <v>Edwards, Darius</v>
      </c>
      <c r="B10783" s="2">
        <f ca="1">IFERROR(__xludf.DUMMYFUNCTION("""COMPUTED_VALUE"""),3)</f>
        <v>3</v>
      </c>
      <c r="C10783" s="7">
        <f ca="1">IFERROR(__xludf.DUMMYFUNCTION("""COMPUTED_VALUE"""),3.1)</f>
        <v>3.1</v>
      </c>
      <c r="D10783" s="8">
        <f ca="1">IFERROR(__xludf.DUMMYFUNCTION("""COMPUTED_VALUE"""),3)</f>
        <v>3</v>
      </c>
      <c r="E10783" s="2">
        <f ca="1">IFERROR(__xludf.DUMMYFUNCTION("""COMPUTED_VALUE"""),1)</f>
        <v>1</v>
      </c>
    </row>
    <row r="10784" spans="1:5" ht="13">
      <c r="A10784" s="8" t="str">
        <f ca="1">IFERROR(__xludf.DUMMYFUNCTION("""COMPUTED_VALUE"""),"Edwards, Jeremi")</f>
        <v>Edwards, Jeremi</v>
      </c>
      <c r="B10784" s="3">
        <f ca="1">IFERROR(__xludf.DUMMYFUNCTION("""COMPUTED_VALUE"""),3)</f>
        <v>3</v>
      </c>
      <c r="C10784" s="7">
        <f ca="1">IFERROR(__xludf.DUMMYFUNCTION("""COMPUTED_VALUE"""),3.1)</f>
        <v>3.1</v>
      </c>
      <c r="D10784" s="8">
        <f ca="1">IFERROR(__xludf.DUMMYFUNCTION("""COMPUTED_VALUE"""),3)</f>
        <v>3</v>
      </c>
      <c r="E10784" s="2">
        <f ca="1">IFERROR(__xludf.DUMMYFUNCTION("""COMPUTED_VALUE"""),1)</f>
        <v>1</v>
      </c>
    </row>
    <row r="10785" spans="1:5" ht="13">
      <c r="A10785" s="2" t="str">
        <f ca="1">IFERROR(__xludf.DUMMYFUNCTION("""COMPUTED_VALUE"""),"Eggleton, Clarence")</f>
        <v>Eggleton, Clarence</v>
      </c>
      <c r="B10785" s="3">
        <f ca="1">IFERROR(__xludf.DUMMYFUNCTION("""COMPUTED_VALUE"""),3)</f>
        <v>3</v>
      </c>
      <c r="C10785" s="7">
        <f ca="1">IFERROR(__xludf.DUMMYFUNCTION("""COMPUTED_VALUE"""),3.1)</f>
        <v>3.1</v>
      </c>
      <c r="D10785" s="8">
        <f ca="1">IFERROR(__xludf.DUMMYFUNCTION("""COMPUTED_VALUE"""),3)</f>
        <v>3</v>
      </c>
      <c r="E10785" s="2">
        <f ca="1">IFERROR(__xludf.DUMMYFUNCTION("""COMPUTED_VALUE"""),1)</f>
        <v>1</v>
      </c>
    </row>
    <row r="10786" spans="1:5" ht="13">
      <c r="A10786" s="2" t="str">
        <f ca="1">IFERROR(__xludf.DUMMYFUNCTION("""COMPUTED_VALUE"""),"Ehara, Daisuke")</f>
        <v>Ehara, Daisuke</v>
      </c>
      <c r="B10786" s="3">
        <f ca="1">IFERROR(__xludf.DUMMYFUNCTION("""COMPUTED_VALUE"""),3)</f>
        <v>3</v>
      </c>
      <c r="C10786" s="7">
        <f ca="1">IFERROR(__xludf.DUMMYFUNCTION("""COMPUTED_VALUE"""),3.3)</f>
        <v>3.3</v>
      </c>
      <c r="D10786" s="8">
        <f ca="1">IFERROR(__xludf.DUMMYFUNCTION("""COMPUTED_VALUE"""),3)</f>
        <v>3</v>
      </c>
      <c r="E10786" s="2">
        <f ca="1">IFERROR(__xludf.DUMMYFUNCTION("""COMPUTED_VALUE"""),1)</f>
        <v>1</v>
      </c>
    </row>
    <row r="10787" spans="1:5" ht="13">
      <c r="A10787" s="8" t="str">
        <f ca="1">IFERROR(__xludf.DUMMYFUNCTION("""COMPUTED_VALUE"""),"Ekwueme, Laz")</f>
        <v>Ekwueme, Laz</v>
      </c>
      <c r="B10787" s="3">
        <f ca="1">IFERROR(__xludf.DUMMYFUNCTION("""COMPUTED_VALUE"""),3)</f>
        <v>3</v>
      </c>
      <c r="C10787" s="7">
        <f ca="1">IFERROR(__xludf.DUMMYFUNCTION("""COMPUTED_VALUE"""),3.1)</f>
        <v>3.1</v>
      </c>
      <c r="D10787" s="8">
        <f ca="1">IFERROR(__xludf.DUMMYFUNCTION("""COMPUTED_VALUE"""),3)</f>
        <v>3</v>
      </c>
      <c r="E10787" s="2">
        <f ca="1">IFERROR(__xludf.DUMMYFUNCTION("""COMPUTED_VALUE"""),1)</f>
        <v>1</v>
      </c>
    </row>
    <row r="10788" spans="1:5" ht="13">
      <c r="A10788" s="2" t="str">
        <f ca="1">IFERROR(__xludf.DUMMYFUNCTION("""COMPUTED_VALUE"""),"Elízaga, José Mariano")</f>
        <v>Elízaga, José Mariano</v>
      </c>
      <c r="B10788" s="3">
        <f ca="1">IFERROR(__xludf.DUMMYFUNCTION("""COMPUTED_VALUE"""),3)</f>
        <v>3</v>
      </c>
      <c r="C10788" s="7">
        <f ca="1">IFERROR(__xludf.DUMMYFUNCTION("""COMPUTED_VALUE"""),3.2)</f>
        <v>3.2</v>
      </c>
      <c r="D10788" s="8">
        <f ca="1">IFERROR(__xludf.DUMMYFUNCTION("""COMPUTED_VALUE"""),7)</f>
        <v>7</v>
      </c>
      <c r="E10788" s="2">
        <f ca="1">IFERROR(__xludf.DUMMYFUNCTION("""COMPUTED_VALUE"""),2)</f>
        <v>2</v>
      </c>
    </row>
    <row r="10789" spans="1:5" ht="13">
      <c r="A10789" s="2" t="str">
        <f ca="1">IFERROR(__xludf.DUMMYFUNCTION("""COMPUTED_VALUE"""),"Elizondo, José")</f>
        <v>Elizondo, José</v>
      </c>
      <c r="B10789" s="3">
        <f ca="1">IFERROR(__xludf.DUMMYFUNCTION("""COMPUTED_VALUE"""),3)</f>
        <v>3</v>
      </c>
      <c r="C10789" s="7">
        <f ca="1">IFERROR(__xludf.DUMMYFUNCTION("""COMPUTED_VALUE"""),3.2)</f>
        <v>3.2</v>
      </c>
      <c r="D10789" s="8">
        <f ca="1">IFERROR(__xludf.DUMMYFUNCTION("""COMPUTED_VALUE"""),3)</f>
        <v>3</v>
      </c>
      <c r="E10789" s="2">
        <f ca="1">IFERROR(__xludf.DUMMYFUNCTION("""COMPUTED_VALUE"""),1)</f>
        <v>1</v>
      </c>
    </row>
    <row r="10790" spans="1:5" ht="13">
      <c r="A10790" s="8" t="str">
        <f ca="1">IFERROR(__xludf.DUMMYFUNCTION("""COMPUTED_VALUE"""),"Ellington, Duke")</f>
        <v>Ellington, Duke</v>
      </c>
      <c r="B10790" s="3">
        <f ca="1">IFERROR(__xludf.DUMMYFUNCTION("""COMPUTED_VALUE"""),3)</f>
        <v>3</v>
      </c>
      <c r="C10790" s="7">
        <f ca="1">IFERROR(__xludf.DUMMYFUNCTION("""COMPUTED_VALUE"""),3.1)</f>
        <v>3.1</v>
      </c>
      <c r="D10790" s="8">
        <f ca="1">IFERROR(__xludf.DUMMYFUNCTION("""COMPUTED_VALUE"""),7)</f>
        <v>7</v>
      </c>
      <c r="E10790" s="2">
        <f ca="1">IFERROR(__xludf.DUMMYFUNCTION("""COMPUTED_VALUE"""),2)</f>
        <v>2</v>
      </c>
    </row>
    <row r="10791" spans="1:5" ht="13">
      <c r="A10791" s="8" t="str">
        <f ca="1">IFERROR(__xludf.DUMMYFUNCTION("""COMPUTED_VALUE"""),"Ellington, Duke / Crenshaw, Christopher")</f>
        <v>Ellington, Duke / Crenshaw, Christopher</v>
      </c>
      <c r="B10791" s="3">
        <f ca="1">IFERROR(__xludf.DUMMYFUNCTION("""COMPUTED_VALUE"""),3)</f>
        <v>3</v>
      </c>
      <c r="C10791" s="7">
        <f ca="1">IFERROR(__xludf.DUMMYFUNCTION("""COMPUTED_VALUE"""),3.1)</f>
        <v>3.1</v>
      </c>
      <c r="D10791" s="8">
        <f ca="1">IFERROR(__xludf.DUMMYFUNCTION("""COMPUTED_VALUE"""),7)</f>
        <v>7</v>
      </c>
      <c r="E10791" s="2">
        <f ca="1">IFERROR(__xludf.DUMMYFUNCTION("""COMPUTED_VALUE"""),2)</f>
        <v>2</v>
      </c>
    </row>
    <row r="10792" spans="1:5" ht="13">
      <c r="A10792" s="2" t="str">
        <f ca="1">IFERROR(__xludf.DUMMYFUNCTION("""COMPUTED_VALUE"""),"Ellington, Duke / Hamilton, Jimmy")</f>
        <v>Ellington, Duke / Hamilton, Jimmy</v>
      </c>
      <c r="B10792" s="2">
        <f ca="1">IFERROR(__xludf.DUMMYFUNCTION("""COMPUTED_VALUE"""),3)</f>
        <v>3</v>
      </c>
      <c r="C10792" s="7">
        <f ca="1">IFERROR(__xludf.DUMMYFUNCTION("""COMPUTED_VALUE"""),3.1)</f>
        <v>3.1</v>
      </c>
      <c r="D10792" s="8">
        <f ca="1">IFERROR(__xludf.DUMMYFUNCTION("""COMPUTED_VALUE"""),7)</f>
        <v>7</v>
      </c>
      <c r="E10792" s="2">
        <f ca="1">IFERROR(__xludf.DUMMYFUNCTION("""COMPUTED_VALUE"""),2)</f>
        <v>2</v>
      </c>
    </row>
    <row r="10793" spans="1:5" ht="13">
      <c r="A10793" s="2" t="str">
        <f ca="1">IFERROR(__xludf.DUMMYFUNCTION("""COMPUTED_VALUE"""),"Ellington, Duke / Hodges, Johnny")</f>
        <v>Ellington, Duke / Hodges, Johnny</v>
      </c>
      <c r="B10793" s="2">
        <f ca="1">IFERROR(__xludf.DUMMYFUNCTION("""COMPUTED_VALUE"""),3)</f>
        <v>3</v>
      </c>
      <c r="C10793" s="7">
        <f ca="1">IFERROR(__xludf.DUMMYFUNCTION("""COMPUTED_VALUE"""),3.1)</f>
        <v>3.1</v>
      </c>
      <c r="D10793" s="8">
        <f ca="1">IFERROR(__xludf.DUMMYFUNCTION("""COMPUTED_VALUE"""),7)</f>
        <v>7</v>
      </c>
      <c r="E10793" s="2">
        <f ca="1">IFERROR(__xludf.DUMMYFUNCTION("""COMPUTED_VALUE"""),2)</f>
        <v>2</v>
      </c>
    </row>
    <row r="10794" spans="1:5" ht="13">
      <c r="A10794" s="8" t="str">
        <f ca="1">IFERROR(__xludf.DUMMYFUNCTION("""COMPUTED_VALUE"""),"Ellington, Duke / Hodges, Johnny / Carney, Harry")</f>
        <v>Ellington, Duke / Hodges, Johnny / Carney, Harry</v>
      </c>
      <c r="B10794" s="3">
        <f ca="1">IFERROR(__xludf.DUMMYFUNCTION("""COMPUTED_VALUE"""),3)</f>
        <v>3</v>
      </c>
      <c r="C10794" s="7">
        <f ca="1">IFERROR(__xludf.DUMMYFUNCTION("""COMPUTED_VALUE"""),3.1)</f>
        <v>3.1</v>
      </c>
      <c r="D10794" s="8">
        <f ca="1">IFERROR(__xludf.DUMMYFUNCTION("""COMPUTED_VALUE"""),7)</f>
        <v>7</v>
      </c>
      <c r="E10794" s="2">
        <f ca="1">IFERROR(__xludf.DUMMYFUNCTION("""COMPUTED_VALUE"""),2)</f>
        <v>2</v>
      </c>
    </row>
    <row r="10795" spans="1:5" ht="13">
      <c r="A10795" s="8" t="str">
        <f ca="1">IFERROR(__xludf.DUMMYFUNCTION("""COMPUTED_VALUE"""),"Ellington, Duke / Kuller, Sid")</f>
        <v>Ellington, Duke / Kuller, Sid</v>
      </c>
      <c r="B10795" s="3">
        <f ca="1">IFERROR(__xludf.DUMMYFUNCTION("""COMPUTED_VALUE"""),3)</f>
        <v>3</v>
      </c>
      <c r="C10795" s="7">
        <f ca="1">IFERROR(__xludf.DUMMYFUNCTION("""COMPUTED_VALUE"""),3.1)</f>
        <v>3.1</v>
      </c>
      <c r="D10795" s="8">
        <f ca="1">IFERROR(__xludf.DUMMYFUNCTION("""COMPUTED_VALUE"""),7)</f>
        <v>7</v>
      </c>
      <c r="E10795" s="2">
        <f ca="1">IFERROR(__xludf.DUMMYFUNCTION("""COMPUTED_VALUE"""),2)</f>
        <v>2</v>
      </c>
    </row>
    <row r="10796" spans="1:5" ht="13">
      <c r="A10796" s="2" t="str">
        <f ca="1">IFERROR(__xludf.DUMMYFUNCTION("""COMPUTED_VALUE"""),"Ellington, Duke / Mercer, Johnny")</f>
        <v>Ellington, Duke / Mercer, Johnny</v>
      </c>
      <c r="B10796" s="3">
        <f ca="1">IFERROR(__xludf.DUMMYFUNCTION("""COMPUTED_VALUE"""),3)</f>
        <v>3</v>
      </c>
      <c r="C10796" s="7">
        <f ca="1">IFERROR(__xludf.DUMMYFUNCTION("""COMPUTED_VALUE"""),3.1)</f>
        <v>3.1</v>
      </c>
      <c r="D10796" s="8">
        <f ca="1">IFERROR(__xludf.DUMMYFUNCTION("""COMPUTED_VALUE"""),7)</f>
        <v>7</v>
      </c>
      <c r="E10796" s="2">
        <f ca="1">IFERROR(__xludf.DUMMYFUNCTION("""COMPUTED_VALUE"""),2)</f>
        <v>2</v>
      </c>
    </row>
    <row r="10797" spans="1:5" ht="13">
      <c r="A10797" s="2" t="str">
        <f ca="1">IFERROR(__xludf.DUMMYFUNCTION("""COMPUTED_VALUE"""),"Ellington, Duke / Mills, Irving / Carruthers, Benito Caine")</f>
        <v>Ellington, Duke / Mills, Irving / Carruthers, Benito Caine</v>
      </c>
      <c r="B10797" s="2">
        <f ca="1">IFERROR(__xludf.DUMMYFUNCTION("""COMPUTED_VALUE"""),3)</f>
        <v>3</v>
      </c>
      <c r="C10797" s="7">
        <f ca="1">IFERROR(__xludf.DUMMYFUNCTION("""COMPUTED_VALUE"""),3.1)</f>
        <v>3.1</v>
      </c>
      <c r="D10797" s="8">
        <f ca="1">IFERROR(__xludf.DUMMYFUNCTION("""COMPUTED_VALUE"""),7)</f>
        <v>7</v>
      </c>
      <c r="E10797" s="2">
        <f ca="1">IFERROR(__xludf.DUMMYFUNCTION("""COMPUTED_VALUE"""),2)</f>
        <v>2</v>
      </c>
    </row>
    <row r="10798" spans="1:5" ht="13">
      <c r="A10798" s="2" t="str">
        <f ca="1">IFERROR(__xludf.DUMMYFUNCTION("""COMPUTED_VALUE"""),"Ellington, Duke / Mills, Irving / Stewart, Rex")</f>
        <v>Ellington, Duke / Mills, Irving / Stewart, Rex</v>
      </c>
      <c r="B10798" s="2">
        <f ca="1">IFERROR(__xludf.DUMMYFUNCTION("""COMPUTED_VALUE"""),3)</f>
        <v>3</v>
      </c>
      <c r="C10798" s="7">
        <f ca="1">IFERROR(__xludf.DUMMYFUNCTION("""COMPUTED_VALUE"""),3.1)</f>
        <v>3.1</v>
      </c>
      <c r="D10798" s="8">
        <f ca="1">IFERROR(__xludf.DUMMYFUNCTION("""COMPUTED_VALUE"""),7)</f>
        <v>7</v>
      </c>
      <c r="E10798" s="2">
        <f ca="1">IFERROR(__xludf.DUMMYFUNCTION("""COMPUTED_VALUE"""),2)</f>
        <v>2</v>
      </c>
    </row>
    <row r="10799" spans="1:5" ht="13">
      <c r="A10799" s="2" t="str">
        <f ca="1">IFERROR(__xludf.DUMMYFUNCTION("""COMPUTED_VALUE"""),"Ellington, Duke / Mills, Irving / Tizol, Juan")</f>
        <v>Ellington, Duke / Mills, Irving / Tizol, Juan</v>
      </c>
      <c r="B10799" s="2">
        <f ca="1">IFERROR(__xludf.DUMMYFUNCTION("""COMPUTED_VALUE"""),3)</f>
        <v>3</v>
      </c>
      <c r="C10799" s="7">
        <f ca="1">IFERROR(__xludf.DUMMYFUNCTION("""COMPUTED_VALUE"""),3.1)</f>
        <v>3.1</v>
      </c>
      <c r="D10799" s="8">
        <f ca="1">IFERROR(__xludf.DUMMYFUNCTION("""COMPUTED_VALUE"""),7)</f>
        <v>7</v>
      </c>
      <c r="E10799" s="2">
        <f ca="1">IFERROR(__xludf.DUMMYFUNCTION("""COMPUTED_VALUE"""),2)</f>
        <v>2</v>
      </c>
    </row>
    <row r="10800" spans="1:5" ht="13">
      <c r="A10800" s="8" t="str">
        <f ca="1">IFERROR(__xludf.DUMMYFUNCTION("""COMPUTED_VALUE"""),"Ellington, Duke / Strayhorn, Billy")</f>
        <v>Ellington, Duke / Strayhorn, Billy</v>
      </c>
      <c r="B10800" s="3">
        <f ca="1">IFERROR(__xludf.DUMMYFUNCTION("""COMPUTED_VALUE"""),3)</f>
        <v>3</v>
      </c>
      <c r="C10800" s="7">
        <f ca="1">IFERROR(__xludf.DUMMYFUNCTION("""COMPUTED_VALUE"""),3.1)</f>
        <v>3.1</v>
      </c>
      <c r="D10800" s="8">
        <f ca="1">IFERROR(__xludf.DUMMYFUNCTION("""COMPUTED_VALUE"""),7)</f>
        <v>7</v>
      </c>
      <c r="E10800" s="2">
        <f ca="1">IFERROR(__xludf.DUMMYFUNCTION("""COMPUTED_VALUE"""),2)</f>
        <v>2</v>
      </c>
    </row>
    <row r="10801" spans="1:5" ht="13">
      <c r="A10801" s="2" t="str">
        <f ca="1">IFERROR(__xludf.DUMMYFUNCTION("""COMPUTED_VALUE"""),"Ellington, Duke / Tizol, Juan")</f>
        <v>Ellington, Duke / Tizol, Juan</v>
      </c>
      <c r="B10801" s="3">
        <f ca="1">IFERROR(__xludf.DUMMYFUNCTION("""COMPUTED_VALUE"""),3)</f>
        <v>3</v>
      </c>
      <c r="C10801" s="7">
        <f ca="1">IFERROR(__xludf.DUMMYFUNCTION("""COMPUTED_VALUE"""),3.1)</f>
        <v>3.1</v>
      </c>
      <c r="D10801" s="8">
        <f ca="1">IFERROR(__xludf.DUMMYFUNCTION("""COMPUTED_VALUE"""),7)</f>
        <v>7</v>
      </c>
      <c r="E10801" s="2">
        <f ca="1">IFERROR(__xludf.DUMMYFUNCTION("""COMPUTED_VALUE"""),2)</f>
        <v>2</v>
      </c>
    </row>
    <row r="10802" spans="1:5" ht="13">
      <c r="A10802" s="2" t="str">
        <f ca="1">IFERROR(__xludf.DUMMYFUNCTION("""COMPUTED_VALUE"""),"Ellington, Duke &amp; Strayhorn, Billie")</f>
        <v>Ellington, Duke &amp; Strayhorn, Billie</v>
      </c>
      <c r="B10802" s="3">
        <f ca="1">IFERROR(__xludf.DUMMYFUNCTION("""COMPUTED_VALUE"""),3)</f>
        <v>3</v>
      </c>
      <c r="C10802" s="7">
        <f ca="1">IFERROR(__xludf.DUMMYFUNCTION("""COMPUTED_VALUE"""),3.1)</f>
        <v>3.1</v>
      </c>
      <c r="D10802" s="8">
        <f ca="1">IFERROR(__xludf.DUMMYFUNCTION("""COMPUTED_VALUE"""),7)</f>
        <v>7</v>
      </c>
      <c r="E10802" s="2">
        <f ca="1">IFERROR(__xludf.DUMMYFUNCTION("""COMPUTED_VALUE"""),2)</f>
        <v>2</v>
      </c>
    </row>
    <row r="10803" spans="1:5" ht="13">
      <c r="A10803" s="2" t="str">
        <f ca="1">IFERROR(__xludf.DUMMYFUNCTION("""COMPUTED_VALUE"""),"Ellington, Duke and Tizol, Juan")</f>
        <v>Ellington, Duke and Tizol, Juan</v>
      </c>
      <c r="B10803" s="3">
        <f ca="1">IFERROR(__xludf.DUMMYFUNCTION("""COMPUTED_VALUE"""),3)</f>
        <v>3</v>
      </c>
      <c r="C10803" s="7">
        <f ca="1">IFERROR(__xludf.DUMMYFUNCTION("""COMPUTED_VALUE"""),3.1)</f>
        <v>3.1</v>
      </c>
      <c r="D10803" s="8">
        <f ca="1">IFERROR(__xludf.DUMMYFUNCTION("""COMPUTED_VALUE"""),7)</f>
        <v>7</v>
      </c>
      <c r="E10803" s="2">
        <f ca="1">IFERROR(__xludf.DUMMYFUNCTION("""COMPUTED_VALUE"""),2)</f>
        <v>2</v>
      </c>
    </row>
    <row r="10804" spans="1:5" ht="13">
      <c r="A10804" s="8" t="str">
        <f ca="1">IFERROR(__xludf.DUMMYFUNCTION("""COMPUTED_VALUE"""),"Ellington, Mercer")</f>
        <v>Ellington, Mercer</v>
      </c>
      <c r="B10804" s="3">
        <f ca="1">IFERROR(__xludf.DUMMYFUNCTION("""COMPUTED_VALUE"""),3)</f>
        <v>3</v>
      </c>
      <c r="C10804" s="7">
        <f ca="1">IFERROR(__xludf.DUMMYFUNCTION("""COMPUTED_VALUE"""),3.1)</f>
        <v>3.1</v>
      </c>
      <c r="D10804" s="8">
        <f ca="1">IFERROR(__xludf.DUMMYFUNCTION("""COMPUTED_VALUE"""),7)</f>
        <v>7</v>
      </c>
      <c r="E10804" s="2">
        <f ca="1">IFERROR(__xludf.DUMMYFUNCTION("""COMPUTED_VALUE"""),2)</f>
        <v>2</v>
      </c>
    </row>
    <row r="10805" spans="1:5" ht="13">
      <c r="A10805" s="2" t="str">
        <f ca="1">IFERROR(__xludf.DUMMYFUNCTION("""COMPUTED_VALUE"""),"Ellis, Alfred")</f>
        <v>Ellis, Alfred</v>
      </c>
      <c r="B10805" s="2">
        <f ca="1">IFERROR(__xludf.DUMMYFUNCTION("""COMPUTED_VALUE"""),3)</f>
        <v>3</v>
      </c>
      <c r="C10805" s="7">
        <f ca="1">IFERROR(__xludf.DUMMYFUNCTION("""COMPUTED_VALUE"""),3.1)</f>
        <v>3.1</v>
      </c>
      <c r="D10805" s="8">
        <f ca="1">IFERROR(__xludf.DUMMYFUNCTION("""COMPUTED_VALUE"""),7)</f>
        <v>7</v>
      </c>
      <c r="E10805" s="2">
        <f ca="1">IFERROR(__xludf.DUMMYFUNCTION("""COMPUTED_VALUE"""),2)</f>
        <v>2</v>
      </c>
    </row>
    <row r="10806" spans="1:5" ht="13">
      <c r="A10806" s="2" t="str">
        <f ca="1">IFERROR(__xludf.DUMMYFUNCTION("""COMPUTED_VALUE"""),"Ellis, Pee Wee (Alfred James)")</f>
        <v>Ellis, Pee Wee (Alfred James)</v>
      </c>
      <c r="B10806" s="2">
        <f ca="1">IFERROR(__xludf.DUMMYFUNCTION("""COMPUTED_VALUE"""),3)</f>
        <v>3</v>
      </c>
      <c r="C10806" s="7">
        <f ca="1">IFERROR(__xludf.DUMMYFUNCTION("""COMPUTED_VALUE"""),3.1)</f>
        <v>3.1</v>
      </c>
      <c r="D10806" s="8">
        <f ca="1">IFERROR(__xludf.DUMMYFUNCTION("""COMPUTED_VALUE"""),7)</f>
        <v>7</v>
      </c>
      <c r="E10806" s="2">
        <f ca="1">IFERROR(__xludf.DUMMYFUNCTION("""COMPUTED_VALUE"""),2)</f>
        <v>2</v>
      </c>
    </row>
    <row r="10807" spans="1:5" ht="13">
      <c r="A10807" s="2" t="str">
        <f ca="1">IFERROR(__xludf.DUMMYFUNCTION("""COMPUTED_VALUE"""),"Ellisor, Conni / Wooten, Victor")</f>
        <v>Ellisor, Conni / Wooten, Victor</v>
      </c>
      <c r="B10807" s="3">
        <f ca="1">IFERROR(__xludf.DUMMYFUNCTION("""COMPUTED_VALUE"""),3)</f>
        <v>3</v>
      </c>
      <c r="C10807" s="7">
        <f ca="1">IFERROR(__xludf.DUMMYFUNCTION("""COMPUTED_VALUE"""),3.1)</f>
        <v>3.1</v>
      </c>
      <c r="D10807" s="8">
        <f ca="1">IFERROR(__xludf.DUMMYFUNCTION("""COMPUTED_VALUE"""),3)</f>
        <v>3</v>
      </c>
      <c r="E10807" s="2">
        <f ca="1">IFERROR(__xludf.DUMMYFUNCTION("""COMPUTED_VALUE"""),1)</f>
        <v>1</v>
      </c>
    </row>
    <row r="10808" spans="1:5" ht="13">
      <c r="A10808" s="2" t="str">
        <f ca="1">IFERROR(__xludf.DUMMYFUNCTION("""COMPUTED_VALUE"""),"Elsaffar, Amir")</f>
        <v>Elsaffar, Amir</v>
      </c>
      <c r="B10808" s="3">
        <f ca="1">IFERROR(__xludf.DUMMYFUNCTION("""COMPUTED_VALUE"""),3)</f>
        <v>3</v>
      </c>
      <c r="C10808" s="7">
        <f ca="1">IFERROR(__xludf.DUMMYFUNCTION("""COMPUTED_VALUE"""),3.5)</f>
        <v>3.5</v>
      </c>
      <c r="D10808" s="8">
        <f ca="1">IFERROR(__xludf.DUMMYFUNCTION("""COMPUTED_VALUE"""),3)</f>
        <v>3</v>
      </c>
      <c r="E10808" s="2">
        <f ca="1">IFERROR(__xludf.DUMMYFUNCTION("""COMPUTED_VALUE"""),1)</f>
        <v>1</v>
      </c>
    </row>
    <row r="10809" spans="1:5" ht="13">
      <c r="A10809" s="2" t="str">
        <f ca="1">IFERROR(__xludf.DUMMYFUNCTION("""COMPUTED_VALUE"""),"Enkhbayar, Se")</f>
        <v>Enkhbayar, Se</v>
      </c>
      <c r="B10809" s="3">
        <f ca="1">IFERROR(__xludf.DUMMYFUNCTION("""COMPUTED_VALUE"""),3)</f>
        <v>3</v>
      </c>
      <c r="C10809" s="7">
        <f ca="1">IFERROR(__xludf.DUMMYFUNCTION("""COMPUTED_VALUE"""),3.3)</f>
        <v>3.3</v>
      </c>
      <c r="D10809" s="8">
        <f ca="1">IFERROR(__xludf.DUMMYFUNCTION("""COMPUTED_VALUE"""),3)</f>
        <v>3</v>
      </c>
      <c r="E10809" s="2">
        <f ca="1">IFERROR(__xludf.DUMMYFUNCTION("""COMPUTED_VALUE"""),1)</f>
        <v>1</v>
      </c>
    </row>
    <row r="10810" spans="1:5" ht="13">
      <c r="A10810" s="2" t="str">
        <f ca="1">IFERROR(__xludf.DUMMYFUNCTION("""COMPUTED_VALUE"""),"Enríquez, Manuel")</f>
        <v>Enríquez, Manuel</v>
      </c>
      <c r="B10810" s="3">
        <f ca="1">IFERROR(__xludf.DUMMYFUNCTION("""COMPUTED_VALUE"""),3)</f>
        <v>3</v>
      </c>
      <c r="C10810" s="7">
        <f ca="1">IFERROR(__xludf.DUMMYFUNCTION("""COMPUTED_VALUE"""),3.2)</f>
        <v>3.2</v>
      </c>
      <c r="D10810" s="8">
        <f ca="1">IFERROR(__xludf.DUMMYFUNCTION("""COMPUTED_VALUE"""),7)</f>
        <v>7</v>
      </c>
      <c r="E10810" s="2">
        <f ca="1">IFERROR(__xludf.DUMMYFUNCTION("""COMPUTED_VALUE"""),2)</f>
        <v>2</v>
      </c>
    </row>
    <row r="10811" spans="1:5" ht="13">
      <c r="A10811" s="2" t="str">
        <f ca="1">IFERROR(__xludf.DUMMYFUNCTION("""COMPUTED_VALUE"""),"Er, Nie")</f>
        <v>Er, Nie</v>
      </c>
      <c r="B10811" s="3">
        <f ca="1">IFERROR(__xludf.DUMMYFUNCTION("""COMPUTED_VALUE"""),3)</f>
        <v>3</v>
      </c>
      <c r="C10811" s="7">
        <f ca="1">IFERROR(__xludf.DUMMYFUNCTION("""COMPUTED_VALUE"""),3.3)</f>
        <v>3.3</v>
      </c>
      <c r="D10811" s="8">
        <f ca="1">IFERROR(__xludf.DUMMYFUNCTION("""COMPUTED_VALUE"""),7)</f>
        <v>7</v>
      </c>
      <c r="E10811" s="2">
        <f ca="1">IFERROR(__xludf.DUMMYFUNCTION("""COMPUTED_VALUE"""),2)</f>
        <v>2</v>
      </c>
    </row>
    <row r="10812" spans="1:5" ht="13">
      <c r="A10812" s="2" t="str">
        <f ca="1">IFERROR(__xludf.DUMMYFUNCTION("""COMPUTED_VALUE"""),"Eraserheads")</f>
        <v>Eraserheads</v>
      </c>
      <c r="B10812" s="3">
        <f ca="1">IFERROR(__xludf.DUMMYFUNCTION("""COMPUTED_VALUE"""),3)</f>
        <v>3</v>
      </c>
      <c r="C10812" s="7">
        <f ca="1">IFERROR(__xludf.DUMMYFUNCTION("""COMPUTED_VALUE"""),3.3)</f>
        <v>3.3</v>
      </c>
      <c r="D10812" s="8">
        <f ca="1">IFERROR(__xludf.DUMMYFUNCTION("""COMPUTED_VALUE"""),3)</f>
        <v>3</v>
      </c>
      <c r="E10812" s="2">
        <f ca="1">IFERROR(__xludf.DUMMYFUNCTION("""COMPUTED_VALUE"""),1)</f>
        <v>1</v>
      </c>
    </row>
    <row r="10813" spans="1:5" ht="13">
      <c r="A10813" s="2" t="str">
        <f ca="1">IFERROR(__xludf.DUMMYFUNCTION("""COMPUTED_VALUE"""),"Eryılmaz, Erberk")</f>
        <v>Eryılmaz, Erberk</v>
      </c>
      <c r="B10813" s="3">
        <f ca="1">IFERROR(__xludf.DUMMYFUNCTION("""COMPUTED_VALUE"""),3)</f>
        <v>3</v>
      </c>
      <c r="C10813" s="7">
        <f ca="1">IFERROR(__xludf.DUMMYFUNCTION("""COMPUTED_VALUE"""),3.5)</f>
        <v>3.5</v>
      </c>
      <c r="D10813" s="8">
        <f ca="1">IFERROR(__xludf.DUMMYFUNCTION("""COMPUTED_VALUE"""),3)</f>
        <v>3</v>
      </c>
      <c r="E10813" s="2">
        <f ca="1">IFERROR(__xludf.DUMMYFUNCTION("""COMPUTED_VALUE"""),1)</f>
        <v>1</v>
      </c>
    </row>
    <row r="10814" spans="1:5" ht="13">
      <c r="A10814" s="8" t="str">
        <f ca="1">IFERROR(__xludf.DUMMYFUNCTION("""COMPUTED_VALUE"""),"Escalada, Oscar")</f>
        <v>Escalada, Oscar</v>
      </c>
      <c r="B10814" s="3">
        <f ca="1">IFERROR(__xludf.DUMMYFUNCTION("""COMPUTED_VALUE"""),3)</f>
        <v>3</v>
      </c>
      <c r="C10814" s="7">
        <f ca="1">IFERROR(__xludf.DUMMYFUNCTION("""COMPUTED_VALUE"""),3.2)</f>
        <v>3.2</v>
      </c>
      <c r="D10814" s="8">
        <f ca="1">IFERROR(__xludf.DUMMYFUNCTION("""COMPUTED_VALUE"""),3)</f>
        <v>3</v>
      </c>
      <c r="E10814" s="2">
        <f ca="1">IFERROR(__xludf.DUMMYFUNCTION("""COMPUTED_VALUE"""),1)</f>
        <v>1</v>
      </c>
    </row>
    <row r="10815" spans="1:5" ht="13">
      <c r="A10815" s="2" t="str">
        <f ca="1">IFERROR(__xludf.DUMMYFUNCTION("""COMPUTED_VALUE"""),"Esparza, Alfonso Oteo")</f>
        <v>Esparza, Alfonso Oteo</v>
      </c>
      <c r="B10815" s="3">
        <f ca="1">IFERROR(__xludf.DUMMYFUNCTION("""COMPUTED_VALUE"""),3)</f>
        <v>3</v>
      </c>
      <c r="C10815" s="7">
        <f ca="1">IFERROR(__xludf.DUMMYFUNCTION("""COMPUTED_VALUE"""),3.2)</f>
        <v>3.2</v>
      </c>
      <c r="D10815" s="8">
        <f ca="1">IFERROR(__xludf.DUMMYFUNCTION("""COMPUTED_VALUE"""),7)</f>
        <v>7</v>
      </c>
      <c r="E10815" s="2">
        <f ca="1">IFERROR(__xludf.DUMMYFUNCTION("""COMPUTED_VALUE"""),2)</f>
        <v>2</v>
      </c>
    </row>
    <row r="10816" spans="1:5" ht="13">
      <c r="A10816" s="2" t="str">
        <f ca="1">IFERROR(__xludf.DUMMYFUNCTION("""COMPUTED_VALUE"""),"Estévez, Antonio")</f>
        <v>Estévez, Antonio</v>
      </c>
      <c r="B10816" s="3">
        <f ca="1">IFERROR(__xludf.DUMMYFUNCTION("""COMPUTED_VALUE"""),3)</f>
        <v>3</v>
      </c>
      <c r="C10816" s="7">
        <f ca="1">IFERROR(__xludf.DUMMYFUNCTION("""COMPUTED_VALUE"""),3.2)</f>
        <v>3.2</v>
      </c>
      <c r="D10816" s="8">
        <f ca="1">IFERROR(__xludf.DUMMYFUNCTION("""COMPUTED_VALUE"""),7)</f>
        <v>7</v>
      </c>
      <c r="E10816" s="2">
        <f ca="1">IFERROR(__xludf.DUMMYFUNCTION("""COMPUTED_VALUE"""),2)</f>
        <v>2</v>
      </c>
    </row>
    <row r="10817" spans="1:5" ht="13">
      <c r="A10817" s="2" t="str">
        <f ca="1">IFERROR(__xludf.DUMMYFUNCTION("""COMPUTED_VALUE"""),"Estrada, Julio")</f>
        <v>Estrada, Julio</v>
      </c>
      <c r="B10817" s="3">
        <f ca="1">IFERROR(__xludf.DUMMYFUNCTION("""COMPUTED_VALUE"""),3)</f>
        <v>3</v>
      </c>
      <c r="C10817" s="7">
        <f ca="1">IFERROR(__xludf.DUMMYFUNCTION("""COMPUTED_VALUE"""),3.2)</f>
        <v>3.2</v>
      </c>
      <c r="D10817" s="8">
        <f ca="1">IFERROR(__xludf.DUMMYFUNCTION("""COMPUTED_VALUE"""),3)</f>
        <v>3</v>
      </c>
      <c r="E10817" s="2">
        <f ca="1">IFERROR(__xludf.DUMMYFUNCTION("""COMPUTED_VALUE"""),1)</f>
        <v>1</v>
      </c>
    </row>
    <row r="10818" spans="1:5" ht="13">
      <c r="A10818" s="2" t="str">
        <f ca="1">IFERROR(__xludf.DUMMYFUNCTION("""COMPUTED_VALUE"""),"Etchegoncelay, Miguel")</f>
        <v>Etchegoncelay, Miguel</v>
      </c>
      <c r="B10818" s="3">
        <f ca="1">IFERROR(__xludf.DUMMYFUNCTION("""COMPUTED_VALUE"""),3)</f>
        <v>3</v>
      </c>
      <c r="C10818" s="7">
        <f ca="1">IFERROR(__xludf.DUMMYFUNCTION("""COMPUTED_VALUE"""),3.2)</f>
        <v>3.2</v>
      </c>
      <c r="D10818" s="8">
        <f ca="1">IFERROR(__xludf.DUMMYFUNCTION("""COMPUTED_VALUE"""),3)</f>
        <v>3</v>
      </c>
      <c r="E10818" s="2">
        <f ca="1">IFERROR(__xludf.DUMMYFUNCTION("""COMPUTED_VALUE"""),1)</f>
        <v>1</v>
      </c>
    </row>
    <row r="10819" spans="1:5" ht="13">
      <c r="A10819" s="2" t="str">
        <f ca="1">IFERROR(__xludf.DUMMYFUNCTION("""COMPUTED_VALUE"""),"Etkin, Oran")</f>
        <v>Etkin, Oran</v>
      </c>
      <c r="B10819" s="3">
        <f ca="1">IFERROR(__xludf.DUMMYFUNCTION("""COMPUTED_VALUE"""),3)</f>
        <v>3</v>
      </c>
      <c r="C10819" s="7">
        <f ca="1">IFERROR(__xludf.DUMMYFUNCTION("""COMPUTED_VALUE"""),3.5)</f>
        <v>3.5</v>
      </c>
      <c r="D10819" s="8">
        <f ca="1">IFERROR(__xludf.DUMMYFUNCTION("""COMPUTED_VALUE"""),3)</f>
        <v>3</v>
      </c>
      <c r="E10819" s="2">
        <f ca="1">IFERROR(__xludf.DUMMYFUNCTION("""COMPUTED_VALUE"""),1)</f>
        <v>1</v>
      </c>
    </row>
    <row r="10820" spans="1:5" ht="13">
      <c r="A10820" s="2" t="str">
        <f ca="1">IFERROR(__xludf.DUMMYFUNCTION("""COMPUTED_VALUE"""),"Europe, James Reese")</f>
        <v>Europe, James Reese</v>
      </c>
      <c r="B10820" s="3">
        <f ca="1">IFERROR(__xludf.DUMMYFUNCTION("""COMPUTED_VALUE"""),3)</f>
        <v>3</v>
      </c>
      <c r="C10820" s="7">
        <f ca="1">IFERROR(__xludf.DUMMYFUNCTION("""COMPUTED_VALUE"""),3.1)</f>
        <v>3.1</v>
      </c>
      <c r="D10820" s="8">
        <f ca="1">IFERROR(__xludf.DUMMYFUNCTION("""COMPUTED_VALUE"""),7)</f>
        <v>7</v>
      </c>
      <c r="E10820" s="2">
        <f ca="1">IFERROR(__xludf.DUMMYFUNCTION("""COMPUTED_VALUE"""),2)</f>
        <v>2</v>
      </c>
    </row>
    <row r="10821" spans="1:5" ht="13">
      <c r="A10821" s="2" t="str">
        <f ca="1">IFERROR(__xludf.DUMMYFUNCTION("""COMPUTED_VALUE"""),"Evans, Roderick")</f>
        <v>Evans, Roderick</v>
      </c>
      <c r="B10821" s="3">
        <f ca="1">IFERROR(__xludf.DUMMYFUNCTION("""COMPUTED_VALUE"""),3)</f>
        <v>3</v>
      </c>
      <c r="C10821" s="7">
        <f ca="1">IFERROR(__xludf.DUMMYFUNCTION("""COMPUTED_VALUE"""),3.1)</f>
        <v>3.1</v>
      </c>
      <c r="D10821" s="8">
        <f ca="1">IFERROR(__xludf.DUMMYFUNCTION("""COMPUTED_VALUE"""),3)</f>
        <v>3</v>
      </c>
      <c r="E10821" s="2">
        <f ca="1">IFERROR(__xludf.DUMMYFUNCTION("""COMPUTED_VALUE"""),1)</f>
        <v>1</v>
      </c>
    </row>
    <row r="10822" spans="1:5" ht="13">
      <c r="A10822" s="2" t="str">
        <f ca="1">IFERROR(__xludf.DUMMYFUNCTION("""COMPUTED_VALUE"""),"Fairman, Maxwell")</f>
        <v>Fairman, Maxwell</v>
      </c>
      <c r="B10822" s="2">
        <f ca="1">IFERROR(__xludf.DUMMYFUNCTION("""COMPUTED_VALUE"""),3)</f>
        <v>3</v>
      </c>
      <c r="C10822" s="2">
        <f ca="1">IFERROR(__xludf.DUMMYFUNCTION("""COMPUTED_VALUE"""),3.1)</f>
        <v>3.1</v>
      </c>
      <c r="D10822" s="8">
        <f ca="1">IFERROR(__xludf.DUMMYFUNCTION("""COMPUTED_VALUE"""),3)</f>
        <v>3</v>
      </c>
      <c r="E10822" s="2">
        <f ca="1">IFERROR(__xludf.DUMMYFUNCTION("""COMPUTED_VALUE"""),1)</f>
        <v>1</v>
      </c>
    </row>
    <row r="10823" spans="1:5" ht="13">
      <c r="A10823" s="2" t="str">
        <f ca="1">IFERROR(__xludf.DUMMYFUNCTION("""COMPUTED_VALUE"""),"Fairouz, Mohammed")</f>
        <v>Fairouz, Mohammed</v>
      </c>
      <c r="B10823" s="3">
        <f ca="1">IFERROR(__xludf.DUMMYFUNCTION("""COMPUTED_VALUE"""),3)</f>
        <v>3</v>
      </c>
      <c r="C10823" s="7">
        <f ca="1">IFERROR(__xludf.DUMMYFUNCTION("""COMPUTED_VALUE"""),3.5)</f>
        <v>3.5</v>
      </c>
      <c r="D10823" s="8">
        <f ca="1">IFERROR(__xludf.DUMMYFUNCTION("""COMPUTED_VALUE"""),3)</f>
        <v>3</v>
      </c>
      <c r="E10823" s="2">
        <f ca="1">IFERROR(__xludf.DUMMYFUNCTION("""COMPUTED_VALUE"""),1)</f>
        <v>1</v>
      </c>
    </row>
    <row r="10824" spans="1:5" ht="13">
      <c r="A10824" s="2" t="str">
        <f ca="1">IFERROR(__xludf.DUMMYFUNCTION("""COMPUTED_VALUE"""),"Fakhouri, Fouad")</f>
        <v>Fakhouri, Fouad</v>
      </c>
      <c r="B10824" s="3">
        <f ca="1">IFERROR(__xludf.DUMMYFUNCTION("""COMPUTED_VALUE"""),3)</f>
        <v>3</v>
      </c>
      <c r="C10824" s="7">
        <f ca="1">IFERROR(__xludf.DUMMYFUNCTION("""COMPUTED_VALUE"""),3.5)</f>
        <v>3.5</v>
      </c>
      <c r="D10824" s="8">
        <f ca="1">IFERROR(__xludf.DUMMYFUNCTION("""COMPUTED_VALUE"""),3)</f>
        <v>3</v>
      </c>
      <c r="E10824" s="2">
        <f ca="1">IFERROR(__xludf.DUMMYFUNCTION("""COMPUTED_VALUE"""),1)</f>
        <v>1</v>
      </c>
    </row>
    <row r="10825" spans="1:5" ht="13">
      <c r="A10825" s="2" t="str">
        <f ca="1">IFERROR(__xludf.DUMMYFUNCTION("""COMPUTED_VALUE"""),"Farhat, Seare")</f>
        <v>Farhat, Seare</v>
      </c>
      <c r="B10825" s="2">
        <f ca="1">IFERROR(__xludf.DUMMYFUNCTION("""COMPUTED_VALUE"""),3)</f>
        <v>3</v>
      </c>
      <c r="C10825" s="2">
        <f ca="1">IFERROR(__xludf.DUMMYFUNCTION("""COMPUTED_VALUE"""),3.5)</f>
        <v>3.5</v>
      </c>
      <c r="D10825" s="8">
        <f ca="1">IFERROR(__xludf.DUMMYFUNCTION("""COMPUTED_VALUE"""),3)</f>
        <v>3</v>
      </c>
      <c r="E10825" s="2">
        <f ca="1">IFERROR(__xludf.DUMMYFUNCTION("""COMPUTED_VALUE"""),1)</f>
        <v>1</v>
      </c>
    </row>
    <row r="10826" spans="1:5" ht="13">
      <c r="A10826" s="2" t="str">
        <f ca="1">IFERROR(__xludf.DUMMYFUNCTION("""COMPUTED_VALUE"""),"Farías, Miguel")</f>
        <v>Farías, Miguel</v>
      </c>
      <c r="B10826" s="3">
        <f ca="1">IFERROR(__xludf.DUMMYFUNCTION("""COMPUTED_VALUE"""),3)</f>
        <v>3</v>
      </c>
      <c r="C10826" s="7">
        <f ca="1">IFERROR(__xludf.DUMMYFUNCTION("""COMPUTED_VALUE"""),3.2)</f>
        <v>3.2</v>
      </c>
      <c r="D10826" s="8">
        <f ca="1">IFERROR(__xludf.DUMMYFUNCTION("""COMPUTED_VALUE"""),3)</f>
        <v>3</v>
      </c>
      <c r="E10826" s="2">
        <f ca="1">IFERROR(__xludf.DUMMYFUNCTION("""COMPUTED_VALUE"""),1)</f>
        <v>1</v>
      </c>
    </row>
    <row r="10827" spans="1:5" ht="13">
      <c r="A10827" s="2" t="str">
        <f ca="1">IFERROR(__xludf.DUMMYFUNCTION("""COMPUTED_VALUE"""),"Farrow, Larry")</f>
        <v>Farrow, Larry</v>
      </c>
      <c r="B10827" s="3">
        <f ca="1">IFERROR(__xludf.DUMMYFUNCTION("""COMPUTED_VALUE"""),3)</f>
        <v>3</v>
      </c>
      <c r="C10827" s="7">
        <f ca="1">IFERROR(__xludf.DUMMYFUNCTION("""COMPUTED_VALUE"""),3.1)</f>
        <v>3.1</v>
      </c>
      <c r="D10827" s="8">
        <f ca="1">IFERROR(__xludf.DUMMYFUNCTION("""COMPUTED_VALUE"""),3)</f>
        <v>3</v>
      </c>
      <c r="E10827" s="2">
        <f ca="1">IFERROR(__xludf.DUMMYFUNCTION("""COMPUTED_VALUE"""),1)</f>
        <v>1</v>
      </c>
    </row>
    <row r="10828" spans="1:5" ht="13">
      <c r="A10828" s="2" t="str">
        <f ca="1">IFERROR(__xludf.DUMMYFUNCTION("""COMPUTED_VALUE"""),"Favero, Alberto")</f>
        <v>Favero, Alberto</v>
      </c>
      <c r="B10828" s="3">
        <f ca="1">IFERROR(__xludf.DUMMYFUNCTION("""COMPUTED_VALUE"""),3)</f>
        <v>3</v>
      </c>
      <c r="C10828" s="7">
        <f ca="1">IFERROR(__xludf.DUMMYFUNCTION("""COMPUTED_VALUE"""),3.2)</f>
        <v>3.2</v>
      </c>
      <c r="D10828" s="8">
        <f ca="1">IFERROR(__xludf.DUMMYFUNCTION("""COMPUTED_VALUE"""),3)</f>
        <v>3</v>
      </c>
      <c r="E10828" s="2">
        <f ca="1">IFERROR(__xludf.DUMMYFUNCTION("""COMPUTED_VALUE"""),1)</f>
        <v>1</v>
      </c>
    </row>
    <row r="10829" spans="1:5" ht="13">
      <c r="A10829" s="2" t="str">
        <f ca="1">IFERROR(__xludf.DUMMYFUNCTION("""COMPUTED_VALUE"""),"Feliciano, Francisco")</f>
        <v>Feliciano, Francisco</v>
      </c>
      <c r="B10829" s="3">
        <f ca="1">IFERROR(__xludf.DUMMYFUNCTION("""COMPUTED_VALUE"""),3)</f>
        <v>3</v>
      </c>
      <c r="C10829" s="7">
        <f ca="1">IFERROR(__xludf.DUMMYFUNCTION("""COMPUTED_VALUE"""),3.9)</f>
        <v>3.9</v>
      </c>
      <c r="D10829" s="8">
        <f ca="1">IFERROR(__xludf.DUMMYFUNCTION("""COMPUTED_VALUE"""),7)</f>
        <v>7</v>
      </c>
      <c r="E10829" s="2">
        <f ca="1">IFERROR(__xludf.DUMMYFUNCTION("""COMPUTED_VALUE"""),2)</f>
        <v>2</v>
      </c>
    </row>
    <row r="10830" spans="1:5" ht="13">
      <c r="A10830" s="2" t="str">
        <f ca="1">IFERROR(__xludf.DUMMYFUNCTION("""COMPUTED_VALUE"""),"Feliciano, José")</f>
        <v>Feliciano, José</v>
      </c>
      <c r="B10830" s="3">
        <f ca="1">IFERROR(__xludf.DUMMYFUNCTION("""COMPUTED_VALUE"""),3)</f>
        <v>3</v>
      </c>
      <c r="C10830" s="7">
        <f ca="1">IFERROR(__xludf.DUMMYFUNCTION("""COMPUTED_VALUE"""),3.2)</f>
        <v>3.2</v>
      </c>
      <c r="D10830" s="8">
        <f ca="1">IFERROR(__xludf.DUMMYFUNCTION("""COMPUTED_VALUE"""),3)</f>
        <v>3</v>
      </c>
      <c r="E10830" s="2">
        <f ca="1">IFERROR(__xludf.DUMMYFUNCTION("""COMPUTED_VALUE"""),1)</f>
        <v>1</v>
      </c>
    </row>
    <row r="10831" spans="1:5" ht="13">
      <c r="A10831" s="2" t="str">
        <f ca="1">IFERROR(__xludf.DUMMYFUNCTION("""COMPUTED_VALUE"""),"Ferdinand, Jason Max")</f>
        <v>Ferdinand, Jason Max</v>
      </c>
      <c r="B10831" s="2">
        <f ca="1">IFERROR(__xludf.DUMMYFUNCTION("""COMPUTED_VALUE"""),3)</f>
        <v>3</v>
      </c>
      <c r="C10831" s="7">
        <f ca="1">IFERROR(__xludf.DUMMYFUNCTION("""COMPUTED_VALUE"""),3.1)</f>
        <v>3.1</v>
      </c>
      <c r="D10831" s="8">
        <f ca="1">IFERROR(__xludf.DUMMYFUNCTION("""COMPUTED_VALUE"""),3)</f>
        <v>3</v>
      </c>
      <c r="E10831" s="2">
        <f ca="1">IFERROR(__xludf.DUMMYFUNCTION("""COMPUTED_VALUE"""),1)</f>
        <v>1</v>
      </c>
    </row>
    <row r="10832" spans="1:5" ht="13">
      <c r="A10832" s="2" t="str">
        <f ca="1">IFERROR(__xludf.DUMMYFUNCTION("""COMPUTED_VALUE"""),"Fernandez, Heraclio")</f>
        <v>Fernandez, Heraclio</v>
      </c>
      <c r="B10832" s="2">
        <f ca="1">IFERROR(__xludf.DUMMYFUNCTION("""COMPUTED_VALUE"""),3)</f>
        <v>3</v>
      </c>
      <c r="C10832" s="7">
        <f ca="1">IFERROR(__xludf.DUMMYFUNCTION("""COMPUTED_VALUE"""),3.2)</f>
        <v>3.2</v>
      </c>
      <c r="D10832" s="8">
        <f ca="1">IFERROR(__xludf.DUMMYFUNCTION("""COMPUTED_VALUE"""),7)</f>
        <v>7</v>
      </c>
      <c r="E10832" s="2">
        <f ca="1">IFERROR(__xludf.DUMMYFUNCTION("""COMPUTED_VALUE"""),2)</f>
        <v>2</v>
      </c>
    </row>
    <row r="10833" spans="1:5" ht="13">
      <c r="A10833" s="2" t="str">
        <f ca="1">IFERROR(__xludf.DUMMYFUNCTION("""COMPUTED_VALUE"""),"Fernández, Heraclio")</f>
        <v>Fernández, Heraclio</v>
      </c>
      <c r="B10833" s="2">
        <f ca="1">IFERROR(__xludf.DUMMYFUNCTION("""COMPUTED_VALUE"""),3)</f>
        <v>3</v>
      </c>
      <c r="C10833" s="7">
        <f ca="1">IFERROR(__xludf.DUMMYFUNCTION("""COMPUTED_VALUE"""),3.2)</f>
        <v>3.2</v>
      </c>
      <c r="D10833" s="8">
        <f ca="1">IFERROR(__xludf.DUMMYFUNCTION("""COMPUTED_VALUE"""),7)</f>
        <v>7</v>
      </c>
      <c r="E10833" s="2">
        <f ca="1">IFERROR(__xludf.DUMMYFUNCTION("""COMPUTED_VALUE"""),2)</f>
        <v>2</v>
      </c>
    </row>
    <row r="10834" spans="1:5" ht="13">
      <c r="A10834" s="2" t="str">
        <f ca="1">IFERROR(__xludf.DUMMYFUNCTION("""COMPUTED_VALUE"""),"Fernández, Horacio")</f>
        <v>Fernández, Horacio</v>
      </c>
      <c r="B10834" s="2">
        <f ca="1">IFERROR(__xludf.DUMMYFUNCTION("""COMPUTED_VALUE"""),3)</f>
        <v>3</v>
      </c>
      <c r="C10834" s="2">
        <f ca="1">IFERROR(__xludf.DUMMYFUNCTION("""COMPUTED_VALUE"""),3.2)</f>
        <v>3.2</v>
      </c>
      <c r="D10834" s="8">
        <f ca="1">IFERROR(__xludf.DUMMYFUNCTION("""COMPUTED_VALUE"""),3)</f>
        <v>3</v>
      </c>
      <c r="E10834" s="2">
        <f ca="1">IFERROR(__xludf.DUMMYFUNCTION("""COMPUTED_VALUE"""),1)</f>
        <v>1</v>
      </c>
    </row>
    <row r="10835" spans="1:5" ht="13">
      <c r="A10835" s="2" t="str">
        <f ca="1">IFERROR(__xludf.DUMMYFUNCTION("""COMPUTED_VALUE"""),"Fernandez, Oscar Lorenzo")</f>
        <v>Fernandez, Oscar Lorenzo</v>
      </c>
      <c r="B10835" s="2">
        <f ca="1">IFERROR(__xludf.DUMMYFUNCTION("""COMPUTED_VALUE"""),3)</f>
        <v>3</v>
      </c>
      <c r="C10835" s="7">
        <f ca="1">IFERROR(__xludf.DUMMYFUNCTION("""COMPUTED_VALUE"""),3.2)</f>
        <v>3.2</v>
      </c>
      <c r="D10835" s="8">
        <f ca="1">IFERROR(__xludf.DUMMYFUNCTION("""COMPUTED_VALUE"""),7)</f>
        <v>7</v>
      </c>
      <c r="E10835" s="2">
        <f ca="1">IFERROR(__xludf.DUMMYFUNCTION("""COMPUTED_VALUE"""),2)</f>
        <v>2</v>
      </c>
    </row>
    <row r="10836" spans="1:5" ht="13">
      <c r="A10836" s="2" t="str">
        <f ca="1">IFERROR(__xludf.DUMMYFUNCTION("""COMPUTED_VALUE"""),"Ferrell, Josh")</f>
        <v>Ferrell, Josh</v>
      </c>
      <c r="B10836" s="2">
        <f ca="1">IFERROR(__xludf.DUMMYFUNCTION("""COMPUTED_VALUE"""),3)</f>
        <v>3</v>
      </c>
      <c r="C10836" s="2">
        <f ca="1">IFERROR(__xludf.DUMMYFUNCTION("""COMPUTED_VALUE"""),3.1)</f>
        <v>3.1</v>
      </c>
      <c r="D10836" s="8">
        <f ca="1">IFERROR(__xludf.DUMMYFUNCTION("""COMPUTED_VALUE"""),3)</f>
        <v>3</v>
      </c>
      <c r="E10836" s="2">
        <f ca="1">IFERROR(__xludf.DUMMYFUNCTION("""COMPUTED_VALUE"""),1)</f>
        <v>1</v>
      </c>
    </row>
    <row r="10837" spans="1:5" ht="13">
      <c r="A10837" s="8" t="str">
        <f ca="1">IFERROR(__xludf.DUMMYFUNCTION("""COMPUTED_VALUE"""),"Figueiras, Juan Carlos")</f>
        <v>Figueiras, Juan Carlos</v>
      </c>
      <c r="B10837" s="3">
        <f ca="1">IFERROR(__xludf.DUMMYFUNCTION("""COMPUTED_VALUE"""),3)</f>
        <v>3</v>
      </c>
      <c r="C10837" s="7">
        <f ca="1">IFERROR(__xludf.DUMMYFUNCTION("""COMPUTED_VALUE"""),3.2)</f>
        <v>3.2</v>
      </c>
      <c r="D10837" s="8">
        <f ca="1">IFERROR(__xludf.DUMMYFUNCTION("""COMPUTED_VALUE"""),3)</f>
        <v>3</v>
      </c>
      <c r="E10837" s="2">
        <f ca="1">IFERROR(__xludf.DUMMYFUNCTION("""COMPUTED_VALUE"""),1)</f>
        <v>1</v>
      </c>
    </row>
    <row r="10838" spans="1:5" ht="13">
      <c r="A10838" s="2" t="str">
        <f ca="1">IFERROR(__xludf.DUMMYFUNCTION("""COMPUTED_VALUE"""),"Filho, André")</f>
        <v>Filho, André</v>
      </c>
      <c r="B10838" s="2">
        <f ca="1">IFERROR(__xludf.DUMMYFUNCTION("""COMPUTED_VALUE"""),3)</f>
        <v>3</v>
      </c>
      <c r="C10838" s="2">
        <f ca="1">IFERROR(__xludf.DUMMYFUNCTION("""COMPUTED_VALUE"""),3.2)</f>
        <v>3.2</v>
      </c>
      <c r="D10838" s="8">
        <f ca="1">IFERROR(__xludf.DUMMYFUNCTION("""COMPUTED_VALUE"""),7)</f>
        <v>7</v>
      </c>
      <c r="E10838" s="2">
        <f ca="1">IFERROR(__xludf.DUMMYFUNCTION("""COMPUTED_VALUE"""),2)</f>
        <v>2</v>
      </c>
    </row>
    <row r="10839" spans="1:5" ht="13">
      <c r="A10839" s="2" t="str">
        <f ca="1">IFERROR(__xludf.DUMMYFUNCTION("""COMPUTED_VALUE"""),"Fjellheim, Frode")</f>
        <v>Fjellheim, Frode</v>
      </c>
      <c r="B10839" s="2">
        <f ca="1">IFERROR(__xludf.DUMMYFUNCTION("""COMPUTED_VALUE"""),3)</f>
        <v>3</v>
      </c>
      <c r="C10839" s="7">
        <f ca="1">IFERROR(__xludf.DUMMYFUNCTION("""COMPUTED_VALUE"""),3.7)</f>
        <v>3.7</v>
      </c>
      <c r="D10839" s="8">
        <f ca="1">IFERROR(__xludf.DUMMYFUNCTION("""COMPUTED_VALUE"""),3)</f>
        <v>3</v>
      </c>
      <c r="E10839" s="2">
        <f ca="1">IFERROR(__xludf.DUMMYFUNCTION("""COMPUTED_VALUE"""),1)</f>
        <v>1</v>
      </c>
    </row>
    <row r="10840" spans="1:5" ht="13">
      <c r="A10840" s="2" t="str">
        <f ca="1">IFERROR(__xludf.DUMMYFUNCTION("""COMPUTED_VALUE"""),"Flores, J. Abelardo D.")</f>
        <v>Flores, J. Abelardo D.</v>
      </c>
      <c r="B10840" s="3">
        <f ca="1">IFERROR(__xludf.DUMMYFUNCTION("""COMPUTED_VALUE"""),3)</f>
        <v>3</v>
      </c>
      <c r="C10840" s="7">
        <f ca="1">IFERROR(__xludf.DUMMYFUNCTION("""COMPUTED_VALUE"""),3.2)</f>
        <v>3.2</v>
      </c>
      <c r="D10840" s="8">
        <f ca="1">IFERROR(__xludf.DUMMYFUNCTION("""COMPUTED_VALUE"""),3)</f>
        <v>3</v>
      </c>
      <c r="E10840" s="2">
        <f ca="1">IFERROR(__xludf.DUMMYFUNCTION("""COMPUTED_VALUE"""),1)</f>
        <v>1</v>
      </c>
    </row>
    <row r="10841" spans="1:5" ht="13">
      <c r="A10841" s="2" t="str">
        <f ca="1">IFERROR(__xludf.DUMMYFUNCTION("""COMPUTED_VALUE"""),"Flores, Jose")</f>
        <v>Flores, Jose</v>
      </c>
      <c r="B10841" s="3">
        <f ca="1">IFERROR(__xludf.DUMMYFUNCTION("""COMPUTED_VALUE"""),3)</f>
        <v>3</v>
      </c>
      <c r="C10841" s="7">
        <f ca="1">IFERROR(__xludf.DUMMYFUNCTION("""COMPUTED_VALUE"""),3.2)</f>
        <v>3.2</v>
      </c>
      <c r="D10841" s="8">
        <f ca="1">IFERROR(__xludf.DUMMYFUNCTION("""COMPUTED_VALUE"""),3)</f>
        <v>3</v>
      </c>
      <c r="E10841" s="2">
        <f ca="1">IFERROR(__xludf.DUMMYFUNCTION("""COMPUTED_VALUE"""),1)</f>
        <v>1</v>
      </c>
    </row>
    <row r="10842" spans="1:5" ht="13">
      <c r="A10842" s="2" t="str">
        <f ca="1">IFERROR(__xludf.DUMMYFUNCTION("""COMPUTED_VALUE"""),"Flores, Pacho")</f>
        <v>Flores, Pacho</v>
      </c>
      <c r="B10842" s="3">
        <f ca="1">IFERROR(__xludf.DUMMYFUNCTION("""COMPUTED_VALUE"""),3)</f>
        <v>3</v>
      </c>
      <c r="C10842" s="7">
        <f ca="1">IFERROR(__xludf.DUMMYFUNCTION("""COMPUTED_VALUE"""),3.2)</f>
        <v>3.2</v>
      </c>
      <c r="D10842" s="8">
        <f ca="1">IFERROR(__xludf.DUMMYFUNCTION("""COMPUTED_VALUE"""),3)</f>
        <v>3</v>
      </c>
      <c r="E10842" s="2">
        <f ca="1">IFERROR(__xludf.DUMMYFUNCTION("""COMPUTED_VALUE"""),1)</f>
        <v>1</v>
      </c>
    </row>
    <row r="10843" spans="1:5" ht="13">
      <c r="A10843" s="2" t="str">
        <f ca="1">IFERROR(__xludf.DUMMYFUNCTION("""COMPUTED_VALUE"""),"Flores, Ruben")</f>
        <v>Flores, Ruben</v>
      </c>
      <c r="B10843" s="3">
        <f ca="1">IFERROR(__xludf.DUMMYFUNCTION("""COMPUTED_VALUE"""),3)</f>
        <v>3</v>
      </c>
      <c r="C10843" s="7">
        <f ca="1">IFERROR(__xludf.DUMMYFUNCTION("""COMPUTED_VALUE"""),3.2)</f>
        <v>3.2</v>
      </c>
      <c r="D10843" s="8">
        <f ca="1">IFERROR(__xludf.DUMMYFUNCTION("""COMPUTED_VALUE"""),3)</f>
        <v>3</v>
      </c>
      <c r="E10843" s="2">
        <f ca="1">IFERROR(__xludf.DUMMYFUNCTION("""COMPUTED_VALUE"""),1)</f>
        <v>1</v>
      </c>
    </row>
    <row r="10844" spans="1:5" ht="13">
      <c r="A10844" s="2" t="str">
        <f ca="1">IFERROR(__xludf.DUMMYFUNCTION("""COMPUTED_VALUE"""),"Floyd, Charles")</f>
        <v>Floyd, Charles</v>
      </c>
      <c r="B10844" s="3">
        <f ca="1">IFERROR(__xludf.DUMMYFUNCTION("""COMPUTED_VALUE"""),3)</f>
        <v>3</v>
      </c>
      <c r="C10844" s="7">
        <f ca="1">IFERROR(__xludf.DUMMYFUNCTION("""COMPUTED_VALUE"""),3.1)</f>
        <v>3.1</v>
      </c>
      <c r="D10844" s="8">
        <f ca="1">IFERROR(__xludf.DUMMYFUNCTION("""COMPUTED_VALUE"""),3)</f>
        <v>3</v>
      </c>
      <c r="E10844" s="2">
        <f ca="1">IFERROR(__xludf.DUMMYFUNCTION("""COMPUTED_VALUE"""),1)</f>
        <v>1</v>
      </c>
    </row>
    <row r="10845" spans="1:5" ht="13">
      <c r="A10845" s="2" t="str">
        <f ca="1">IFERROR(__xludf.DUMMYFUNCTION("""COMPUTED_VALUE"""),"Foley, Xavier")</f>
        <v>Foley, Xavier</v>
      </c>
      <c r="B10845" s="3">
        <f ca="1">IFERROR(__xludf.DUMMYFUNCTION("""COMPUTED_VALUE"""),3)</f>
        <v>3</v>
      </c>
      <c r="C10845" s="7">
        <f ca="1">IFERROR(__xludf.DUMMYFUNCTION("""COMPUTED_VALUE"""),3.1)</f>
        <v>3.1</v>
      </c>
      <c r="D10845" s="8">
        <f ca="1">IFERROR(__xludf.DUMMYFUNCTION("""COMPUTED_VALUE"""),3)</f>
        <v>3</v>
      </c>
      <c r="E10845" s="2">
        <f ca="1">IFERROR(__xludf.DUMMYFUNCTION("""COMPUTED_VALUE"""),1)</f>
        <v>1</v>
      </c>
    </row>
    <row r="10846" spans="1:5" ht="13">
      <c r="A10846" s="8" t="str">
        <f ca="1">IFERROR(__xludf.DUMMYFUNCTION("""COMPUTED_VALUE"""),"Ford, Am're")</f>
        <v>Ford, Am're</v>
      </c>
      <c r="B10846" s="3">
        <f ca="1">IFERROR(__xludf.DUMMYFUNCTION("""COMPUTED_VALUE"""),3)</f>
        <v>3</v>
      </c>
      <c r="C10846" s="7">
        <f ca="1">IFERROR(__xludf.DUMMYFUNCTION("""COMPUTED_VALUE"""),3.1)</f>
        <v>3.1</v>
      </c>
      <c r="D10846" s="8">
        <f ca="1">IFERROR(__xludf.DUMMYFUNCTION("""COMPUTED_VALUE"""),3)</f>
        <v>3</v>
      </c>
      <c r="E10846" s="2">
        <f ca="1">IFERROR(__xludf.DUMMYFUNCTION("""COMPUTED_VALUE"""),1)</f>
        <v>1</v>
      </c>
    </row>
    <row r="10847" spans="1:5" ht="13">
      <c r="A10847" s="2" t="str">
        <f ca="1">IFERROR(__xludf.DUMMYFUNCTION("""COMPUTED_VALUE"""),"Ford, Cooper")</f>
        <v>Ford, Cooper</v>
      </c>
      <c r="B10847" s="2">
        <f ca="1">IFERROR(__xludf.DUMMYFUNCTION("""COMPUTED_VALUE"""),3)</f>
        <v>3</v>
      </c>
      <c r="C10847" s="7">
        <f ca="1">IFERROR(__xludf.DUMMYFUNCTION("""COMPUTED_VALUE"""),3.3)</f>
        <v>3.3</v>
      </c>
      <c r="D10847" s="8">
        <f ca="1">IFERROR(__xludf.DUMMYFUNCTION("""COMPUTED_VALUE"""),3)</f>
        <v>3</v>
      </c>
      <c r="E10847" s="2">
        <f ca="1">IFERROR(__xludf.DUMMYFUNCTION("""COMPUTED_VALUE"""),1)</f>
        <v>1</v>
      </c>
    </row>
    <row r="10848" spans="1:5" ht="13">
      <c r="A10848" s="2" t="str">
        <f ca="1">IFERROR(__xludf.DUMMYFUNCTION("""COMPUTED_VALUE"""),"Forrest, Jimmy")</f>
        <v>Forrest, Jimmy</v>
      </c>
      <c r="B10848" s="2">
        <f ca="1">IFERROR(__xludf.DUMMYFUNCTION("""COMPUTED_VALUE"""),3)</f>
        <v>3</v>
      </c>
      <c r="C10848" s="7">
        <f ca="1">IFERROR(__xludf.DUMMYFUNCTION("""COMPUTED_VALUE"""),3.1)</f>
        <v>3.1</v>
      </c>
      <c r="D10848" s="8">
        <f ca="1">IFERROR(__xludf.DUMMYFUNCTION("""COMPUTED_VALUE"""),7)</f>
        <v>7</v>
      </c>
      <c r="E10848" s="2">
        <f ca="1">IFERROR(__xludf.DUMMYFUNCTION("""COMPUTED_VALUE"""),2)</f>
        <v>2</v>
      </c>
    </row>
    <row r="10849" spans="1:5" ht="13">
      <c r="A10849" s="2" t="str">
        <f ca="1">IFERROR(__xludf.DUMMYFUNCTION("""COMPUTED_VALUE"""),"Forte, Aldo Rafael")</f>
        <v>Forte, Aldo Rafael</v>
      </c>
      <c r="B10849" s="2">
        <f ca="1">IFERROR(__xludf.DUMMYFUNCTION("""COMPUTED_VALUE"""),3)</f>
        <v>3</v>
      </c>
      <c r="C10849" s="7">
        <f ca="1">IFERROR(__xludf.DUMMYFUNCTION("""COMPUTED_VALUE"""),3.2)</f>
        <v>3.2</v>
      </c>
      <c r="D10849" s="8">
        <f ca="1">IFERROR(__xludf.DUMMYFUNCTION("""COMPUTED_VALUE"""),3)</f>
        <v>3</v>
      </c>
      <c r="E10849" s="2">
        <f ca="1">IFERROR(__xludf.DUMMYFUNCTION("""COMPUTED_VALUE"""),1)</f>
        <v>1</v>
      </c>
    </row>
    <row r="10850" spans="1:5" ht="13">
      <c r="A10850" s="2" t="str">
        <f ca="1">IFERROR(__xludf.DUMMYFUNCTION("""COMPUTED_VALUE"""),"Foster, Frank")</f>
        <v>Foster, Frank</v>
      </c>
      <c r="B10850" s="2">
        <f ca="1">IFERROR(__xludf.DUMMYFUNCTION("""COMPUTED_VALUE"""),3)</f>
        <v>3</v>
      </c>
      <c r="C10850" s="7">
        <f ca="1">IFERROR(__xludf.DUMMYFUNCTION("""COMPUTED_VALUE"""),3.1)</f>
        <v>3.1</v>
      </c>
      <c r="D10850" s="8">
        <f ca="1">IFERROR(__xludf.DUMMYFUNCTION("""COMPUTED_VALUE"""),7)</f>
        <v>7</v>
      </c>
      <c r="E10850" s="2">
        <f ca="1">IFERROR(__xludf.DUMMYFUNCTION("""COMPUTED_VALUE"""),2)</f>
        <v>2</v>
      </c>
    </row>
    <row r="10851" spans="1:5" ht="13">
      <c r="A10851" s="2" t="str">
        <f ca="1">IFERROR(__xludf.DUMMYFUNCTION("""COMPUTED_VALUE"""),"Foster, William")</f>
        <v>Foster, William</v>
      </c>
      <c r="B10851" s="3">
        <f ca="1">IFERROR(__xludf.DUMMYFUNCTION("""COMPUTED_VALUE"""),3)</f>
        <v>3</v>
      </c>
      <c r="C10851" s="7">
        <f ca="1">IFERROR(__xludf.DUMMYFUNCTION("""COMPUTED_VALUE"""),3.1)</f>
        <v>3.1</v>
      </c>
      <c r="D10851" s="8">
        <f ca="1">IFERROR(__xludf.DUMMYFUNCTION("""COMPUTED_VALUE"""),7)</f>
        <v>7</v>
      </c>
      <c r="E10851" s="2">
        <f ca="1">IFERROR(__xludf.DUMMYFUNCTION("""COMPUTED_VALUE"""),2)</f>
        <v>2</v>
      </c>
    </row>
    <row r="10852" spans="1:5" ht="13">
      <c r="A10852" s="2" t="str">
        <f ca="1">IFERROR(__xludf.DUMMYFUNCTION("""COMPUTED_VALUE"""),"Foster. William P.")</f>
        <v>Foster. William P.</v>
      </c>
      <c r="B10852" s="2">
        <f ca="1">IFERROR(__xludf.DUMMYFUNCTION("""COMPUTED_VALUE"""),3)</f>
        <v>3</v>
      </c>
      <c r="C10852" s="7">
        <f ca="1">IFERROR(__xludf.DUMMYFUNCTION("""COMPUTED_VALUE"""),3.1)</f>
        <v>3.1</v>
      </c>
      <c r="D10852" s="8">
        <f ca="1">IFERROR(__xludf.DUMMYFUNCTION("""COMPUTED_VALUE"""),7)</f>
        <v>7</v>
      </c>
      <c r="E10852" s="2">
        <f ca="1">IFERROR(__xludf.DUMMYFUNCTION("""COMPUTED_VALUE"""),2)</f>
        <v>2</v>
      </c>
    </row>
    <row r="10853" spans="1:5" ht="13">
      <c r="A10853" s="2" t="str">
        <f ca="1">IFERROR(__xludf.DUMMYFUNCTION("""COMPUTED_VALUE"""),"Foumai, Michael-Thomas")</f>
        <v>Foumai, Michael-Thomas</v>
      </c>
      <c r="B10853" s="3">
        <f ca="1">IFERROR(__xludf.DUMMYFUNCTION("""COMPUTED_VALUE"""),3)</f>
        <v>3</v>
      </c>
      <c r="C10853" s="7">
        <f ca="1">IFERROR(__xludf.DUMMYFUNCTION("""COMPUTED_VALUE"""),3.7)</f>
        <v>3.7</v>
      </c>
      <c r="D10853" s="8">
        <f ca="1">IFERROR(__xludf.DUMMYFUNCTION("""COMPUTED_VALUE"""),3)</f>
        <v>3</v>
      </c>
      <c r="E10853" s="2">
        <f ca="1">IFERROR(__xludf.DUMMYFUNCTION("""COMPUTED_VALUE"""),1)</f>
        <v>1</v>
      </c>
    </row>
    <row r="10854" spans="1:5" ht="13">
      <c r="A10854" s="8" t="str">
        <f ca="1">IFERROR(__xludf.DUMMYFUNCTION("""COMPUTED_VALUE"""),"Fountain, Keeghan")</f>
        <v>Fountain, Keeghan</v>
      </c>
      <c r="B10854" s="3">
        <f ca="1">IFERROR(__xludf.DUMMYFUNCTION("""COMPUTED_VALUE"""),3)</f>
        <v>3</v>
      </c>
      <c r="C10854" s="7">
        <f ca="1">IFERROR(__xludf.DUMMYFUNCTION("""COMPUTED_VALUE"""),3.1)</f>
        <v>3.1</v>
      </c>
      <c r="D10854" s="8">
        <f ca="1">IFERROR(__xludf.DUMMYFUNCTION("""COMPUTED_VALUE"""),3)</f>
        <v>3</v>
      </c>
      <c r="E10854" s="2">
        <f ca="1">IFERROR(__xludf.DUMMYFUNCTION("""COMPUTED_VALUE"""),1)</f>
        <v>1</v>
      </c>
    </row>
    <row r="10855" spans="1:5" ht="13">
      <c r="A10855" s="2" t="str">
        <f ca="1">IFERROR(__xludf.DUMMYFUNCTION("""COMPUTED_VALUE"""),"Fountain, Primous")</f>
        <v>Fountain, Primous</v>
      </c>
      <c r="B10855" s="3">
        <f ca="1">IFERROR(__xludf.DUMMYFUNCTION("""COMPUTED_VALUE"""),3)</f>
        <v>3</v>
      </c>
      <c r="C10855" s="7">
        <f ca="1">IFERROR(__xludf.DUMMYFUNCTION("""COMPUTED_VALUE"""),3.1)</f>
        <v>3.1</v>
      </c>
      <c r="D10855" s="8">
        <f ca="1">IFERROR(__xludf.DUMMYFUNCTION("""COMPUTED_VALUE"""),3)</f>
        <v>3</v>
      </c>
      <c r="E10855" s="2">
        <f ca="1">IFERROR(__xludf.DUMMYFUNCTION("""COMPUTED_VALUE"""),1)</f>
        <v>1</v>
      </c>
    </row>
    <row r="10856" spans="1:5" ht="13">
      <c r="A10856" s="2" t="str">
        <f ca="1">IFERROR(__xludf.DUMMYFUNCTION("""COMPUTED_VALUE"""),"Fox, Derrick")</f>
        <v>Fox, Derrick</v>
      </c>
      <c r="B10856" s="2">
        <f ca="1">IFERROR(__xludf.DUMMYFUNCTION("""COMPUTED_VALUE"""),3)</f>
        <v>3</v>
      </c>
      <c r="C10856" s="7">
        <f ca="1">IFERROR(__xludf.DUMMYFUNCTION("""COMPUTED_VALUE"""),3.1)</f>
        <v>3.1</v>
      </c>
      <c r="D10856" s="8">
        <f ca="1">IFERROR(__xludf.DUMMYFUNCTION("""COMPUTED_VALUE"""),3)</f>
        <v>3</v>
      </c>
      <c r="E10856" s="2">
        <f ca="1">IFERROR(__xludf.DUMMYFUNCTION("""COMPUTED_VALUE"""),1)</f>
        <v>1</v>
      </c>
    </row>
    <row r="10857" spans="1:5" ht="13">
      <c r="A10857" s="2" t="str">
        <f ca="1">IFERROR(__xludf.DUMMYFUNCTION("""COMPUTED_VALUE"""),"Freeman, Kevin V.")</f>
        <v>Freeman, Kevin V.</v>
      </c>
      <c r="B10857" s="3">
        <f ca="1">IFERROR(__xludf.DUMMYFUNCTION("""COMPUTED_VALUE"""),3)</f>
        <v>3</v>
      </c>
      <c r="C10857" s="7">
        <f ca="1">IFERROR(__xludf.DUMMYFUNCTION("""COMPUTED_VALUE"""),3.1)</f>
        <v>3.1</v>
      </c>
      <c r="D10857" s="8">
        <f ca="1">IFERROR(__xludf.DUMMYFUNCTION("""COMPUTED_VALUE"""),3)</f>
        <v>3</v>
      </c>
      <c r="E10857" s="2">
        <f ca="1">IFERROR(__xludf.DUMMYFUNCTION("""COMPUTED_VALUE"""),1)</f>
        <v>1</v>
      </c>
    </row>
    <row r="10858" spans="1:5" ht="13">
      <c r="A10858" s="2" t="str">
        <f ca="1">IFERROR(__xludf.DUMMYFUNCTION("""COMPUTED_VALUE"""),"Freiberg, Daniel")</f>
        <v>Freiberg, Daniel</v>
      </c>
      <c r="B10858" s="3">
        <f ca="1">IFERROR(__xludf.DUMMYFUNCTION("""COMPUTED_VALUE"""),3)</f>
        <v>3</v>
      </c>
      <c r="C10858" s="7">
        <f ca="1">IFERROR(__xludf.DUMMYFUNCTION("""COMPUTED_VALUE"""),3.2)</f>
        <v>3.2</v>
      </c>
      <c r="D10858" s="8">
        <f ca="1">IFERROR(__xludf.DUMMYFUNCTION("""COMPUTED_VALUE"""),3)</f>
        <v>3</v>
      </c>
      <c r="E10858" s="2">
        <f ca="1">IFERROR(__xludf.DUMMYFUNCTION("""COMPUTED_VALUE"""),1)</f>
        <v>1</v>
      </c>
    </row>
    <row r="10859" spans="1:5" ht="13">
      <c r="A10859" s="2" t="str">
        <f ca="1">IFERROR(__xludf.DUMMYFUNCTION("""COMPUTED_VALUE"""),"Friedman. Roy")</f>
        <v>Friedman. Roy</v>
      </c>
      <c r="B10859" s="2">
        <f ca="1">IFERROR(__xludf.DUMMYFUNCTION("""COMPUTED_VALUE"""),3)</f>
        <v>3</v>
      </c>
      <c r="C10859" s="7">
        <f ca="1">IFERROR(__xludf.DUMMYFUNCTION("""COMPUTED_VALUE"""),3.5)</f>
        <v>3.5</v>
      </c>
      <c r="D10859" s="8">
        <f ca="1">IFERROR(__xludf.DUMMYFUNCTION("""COMPUTED_VALUE"""),3)</f>
        <v>3</v>
      </c>
      <c r="E10859" s="2">
        <f ca="1">IFERROR(__xludf.DUMMYFUNCTION("""COMPUTED_VALUE"""),1)</f>
        <v>1</v>
      </c>
    </row>
    <row r="10860" spans="1:5" ht="13">
      <c r="A10860" s="2" t="str">
        <f ca="1">IFERROR(__xludf.DUMMYFUNCTION("""COMPUTED_VALUE"""),"Fuentes, Ruben")</f>
        <v>Fuentes, Ruben</v>
      </c>
      <c r="B10860" s="3">
        <f ca="1">IFERROR(__xludf.DUMMYFUNCTION("""COMPUTED_VALUE"""),3)</f>
        <v>3</v>
      </c>
      <c r="C10860" s="7">
        <f ca="1">IFERROR(__xludf.DUMMYFUNCTION("""COMPUTED_VALUE"""),3.2)</f>
        <v>3.2</v>
      </c>
      <c r="D10860" s="8">
        <f ca="1">IFERROR(__xludf.DUMMYFUNCTION("""COMPUTED_VALUE"""),7)</f>
        <v>7</v>
      </c>
      <c r="E10860" s="2">
        <f ca="1">IFERROR(__xludf.DUMMYFUNCTION("""COMPUTED_VALUE"""),2)</f>
        <v>2</v>
      </c>
    </row>
    <row r="10861" spans="1:5" ht="13">
      <c r="A10861" s="8" t="str">
        <f ca="1">IFERROR(__xludf.DUMMYFUNCTION("""COMPUTED_VALUE"""),"Fueyo, Julián")</f>
        <v>Fueyo, Julián</v>
      </c>
      <c r="B10861" s="3">
        <f ca="1">IFERROR(__xludf.DUMMYFUNCTION("""COMPUTED_VALUE"""),3)</f>
        <v>3</v>
      </c>
      <c r="C10861" s="7">
        <f ca="1">IFERROR(__xludf.DUMMYFUNCTION("""COMPUTED_VALUE"""),3.2)</f>
        <v>3.2</v>
      </c>
      <c r="D10861" s="8">
        <f ca="1">IFERROR(__xludf.DUMMYFUNCTION("""COMPUTED_VALUE"""),3)</f>
        <v>3</v>
      </c>
      <c r="E10861" s="2">
        <f ca="1">IFERROR(__xludf.DUMMYFUNCTION("""COMPUTED_VALUE"""),1)</f>
        <v>1</v>
      </c>
    </row>
    <row r="10862" spans="1:5" ht="13">
      <c r="A10862" s="2" t="str">
        <f ca="1">IFERROR(__xludf.DUMMYFUNCTION("""COMPUTED_VALUE"""),"Fujikura, Dai")</f>
        <v>Fujikura, Dai</v>
      </c>
      <c r="B10862" s="3">
        <f ca="1">IFERROR(__xludf.DUMMYFUNCTION("""COMPUTED_VALUE"""),3)</f>
        <v>3</v>
      </c>
      <c r="C10862" s="7">
        <f ca="1">IFERROR(__xludf.DUMMYFUNCTION("""COMPUTED_VALUE"""),3.3)</f>
        <v>3.3</v>
      </c>
      <c r="D10862" s="8">
        <f ca="1">IFERROR(__xludf.DUMMYFUNCTION("""COMPUTED_VALUE"""),3)</f>
        <v>3</v>
      </c>
      <c r="E10862" s="2">
        <f ca="1">IFERROR(__xludf.DUMMYFUNCTION("""COMPUTED_VALUE"""),1)</f>
        <v>1</v>
      </c>
    </row>
    <row r="10863" spans="1:5" ht="13">
      <c r="A10863" s="2" t="str">
        <f ca="1">IFERROR(__xludf.DUMMYFUNCTION("""COMPUTED_VALUE"""),"Fukuda, Yosuke")</f>
        <v>Fukuda, Yosuke</v>
      </c>
      <c r="B10863" s="3">
        <f ca="1">IFERROR(__xludf.DUMMYFUNCTION("""COMPUTED_VALUE"""),3)</f>
        <v>3</v>
      </c>
      <c r="C10863" s="7">
        <f ca="1">IFERROR(__xludf.DUMMYFUNCTION("""COMPUTED_VALUE"""),3.3)</f>
        <v>3.3</v>
      </c>
      <c r="D10863" s="8">
        <f ca="1">IFERROR(__xludf.DUMMYFUNCTION("""COMPUTED_VALUE"""),3)</f>
        <v>3</v>
      </c>
      <c r="E10863" s="2">
        <f ca="1">IFERROR(__xludf.DUMMYFUNCTION("""COMPUTED_VALUE"""),1)</f>
        <v>1</v>
      </c>
    </row>
    <row r="10864" spans="1:5" ht="13">
      <c r="A10864" s="2" t="str">
        <f ca="1">IFERROR(__xludf.DUMMYFUNCTION("""COMPUTED_VALUE"""),"Fukushima, Hirokazu")</f>
        <v>Fukushima, Hirokazu</v>
      </c>
      <c r="B10864" s="3">
        <f ca="1">IFERROR(__xludf.DUMMYFUNCTION("""COMPUTED_VALUE"""),3)</f>
        <v>3</v>
      </c>
      <c r="C10864" s="7">
        <f ca="1">IFERROR(__xludf.DUMMYFUNCTION("""COMPUTED_VALUE"""),3.3)</f>
        <v>3.3</v>
      </c>
      <c r="D10864" s="8">
        <f ca="1">IFERROR(__xludf.DUMMYFUNCTION("""COMPUTED_VALUE"""),3)</f>
        <v>3</v>
      </c>
      <c r="E10864" s="2">
        <f ca="1">IFERROR(__xludf.DUMMYFUNCTION("""COMPUTED_VALUE"""),1)</f>
        <v>1</v>
      </c>
    </row>
    <row r="10865" spans="1:5" ht="13">
      <c r="A10865" s="2" t="str">
        <f ca="1">IFERROR(__xludf.DUMMYFUNCTION("""COMPUTED_VALUE"""),"Fuller, Curtis")</f>
        <v>Fuller, Curtis</v>
      </c>
      <c r="B10865" s="3">
        <f ca="1">IFERROR(__xludf.DUMMYFUNCTION("""COMPUTED_VALUE"""),3)</f>
        <v>3</v>
      </c>
      <c r="C10865" s="7">
        <f ca="1">IFERROR(__xludf.DUMMYFUNCTION("""COMPUTED_VALUE"""),3.1)</f>
        <v>3.1</v>
      </c>
      <c r="D10865" s="8">
        <f ca="1">IFERROR(__xludf.DUMMYFUNCTION("""COMPUTED_VALUE"""),7)</f>
        <v>7</v>
      </c>
      <c r="E10865" s="2">
        <f ca="1">IFERROR(__xludf.DUMMYFUNCTION("""COMPUTED_VALUE"""),2)</f>
        <v>2</v>
      </c>
    </row>
    <row r="10866" spans="1:5" ht="13">
      <c r="A10866" s="8" t="str">
        <f ca="1">IFERROR(__xludf.DUMMYFUNCTION("""COMPUTED_VALUE"""),"Fuller, Gil")</f>
        <v>Fuller, Gil</v>
      </c>
      <c r="B10866" s="3">
        <f ca="1">IFERROR(__xludf.DUMMYFUNCTION("""COMPUTED_VALUE"""),3)</f>
        <v>3</v>
      </c>
      <c r="C10866" s="7">
        <f ca="1">IFERROR(__xludf.DUMMYFUNCTION("""COMPUTED_VALUE"""),3.1)</f>
        <v>3.1</v>
      </c>
      <c r="D10866" s="8">
        <f ca="1">IFERROR(__xludf.DUMMYFUNCTION("""COMPUTED_VALUE"""),3)</f>
        <v>3</v>
      </c>
      <c r="E10866" s="2">
        <f ca="1">IFERROR(__xludf.DUMMYFUNCTION("""COMPUTED_VALUE"""),1)</f>
        <v>1</v>
      </c>
    </row>
    <row r="10867" spans="1:5" ht="13">
      <c r="A10867" s="2" t="str">
        <f ca="1">IFERROR(__xludf.DUMMYFUNCTION("""COMPUTED_VALUE"""),"Fuller, Jesse")</f>
        <v>Fuller, Jesse</v>
      </c>
      <c r="B10867" s="3">
        <f ca="1">IFERROR(__xludf.DUMMYFUNCTION("""COMPUTED_VALUE"""),3)</f>
        <v>3</v>
      </c>
      <c r="C10867" s="7">
        <f ca="1">IFERROR(__xludf.DUMMYFUNCTION("""COMPUTED_VALUE"""),3.1)</f>
        <v>3.1</v>
      </c>
      <c r="D10867" s="8">
        <f ca="1">IFERROR(__xludf.DUMMYFUNCTION("""COMPUTED_VALUE"""),7)</f>
        <v>7</v>
      </c>
      <c r="E10867" s="2">
        <f ca="1">IFERROR(__xludf.DUMMYFUNCTION("""COMPUTED_VALUE"""),2)</f>
        <v>2</v>
      </c>
    </row>
    <row r="10868" spans="1:5" ht="13">
      <c r="A10868" s="8" t="str">
        <f ca="1">IFERROR(__xludf.DUMMYFUNCTION("""COMPUTED_VALUE"""),"Gabriel, Juan")</f>
        <v>Gabriel, Juan</v>
      </c>
      <c r="B10868" s="3">
        <f ca="1">IFERROR(__xludf.DUMMYFUNCTION("""COMPUTED_VALUE"""),3)</f>
        <v>3</v>
      </c>
      <c r="C10868" s="7">
        <f ca="1">IFERROR(__xludf.DUMMYFUNCTION("""COMPUTED_VALUE"""),3.2)</f>
        <v>3.2</v>
      </c>
      <c r="D10868" s="8">
        <f ca="1">IFERROR(__xludf.DUMMYFUNCTION("""COMPUTED_VALUE"""),3)</f>
        <v>3</v>
      </c>
      <c r="E10868" s="2">
        <f ca="1">IFERROR(__xludf.DUMMYFUNCTION("""COMPUTED_VALUE"""),1)</f>
        <v>1</v>
      </c>
    </row>
    <row r="10869" spans="1:5" ht="13">
      <c r="A10869" s="2" t="str">
        <f ca="1">IFERROR(__xludf.DUMMYFUNCTION("""COMPUTED_VALUE"""),"Gabrillo, Richard")</f>
        <v>Gabrillo, Richard</v>
      </c>
      <c r="B10869" s="3">
        <f ca="1">IFERROR(__xludf.DUMMYFUNCTION("""COMPUTED_VALUE"""),3)</f>
        <v>3</v>
      </c>
      <c r="C10869" s="7">
        <f ca="1">IFERROR(__xludf.DUMMYFUNCTION("""COMPUTED_VALUE"""),3.2)</f>
        <v>3.2</v>
      </c>
      <c r="D10869" s="8">
        <f ca="1">IFERROR(__xludf.DUMMYFUNCTION("""COMPUTED_VALUE"""),3)</f>
        <v>3</v>
      </c>
      <c r="E10869" s="2">
        <f ca="1">IFERROR(__xludf.DUMMYFUNCTION("""COMPUTED_VALUE"""),1)</f>
        <v>1</v>
      </c>
    </row>
    <row r="10870" spans="1:5" ht="13">
      <c r="A10870" s="2" t="str">
        <f ca="1">IFERROR(__xludf.DUMMYFUNCTION("""COMPUTED_VALUE"""),"Galan, Pacho")</f>
        <v>Galan, Pacho</v>
      </c>
      <c r="B10870" s="3">
        <f ca="1">IFERROR(__xludf.DUMMYFUNCTION("""COMPUTED_VALUE"""),3)</f>
        <v>3</v>
      </c>
      <c r="C10870" s="7">
        <f ca="1">IFERROR(__xludf.DUMMYFUNCTION("""COMPUTED_VALUE"""),3.2)</f>
        <v>3.2</v>
      </c>
      <c r="D10870" s="8">
        <f ca="1">IFERROR(__xludf.DUMMYFUNCTION("""COMPUTED_VALUE"""),7)</f>
        <v>7</v>
      </c>
      <c r="E10870" s="2">
        <f ca="1">IFERROR(__xludf.DUMMYFUNCTION("""COMPUTED_VALUE"""),2)</f>
        <v>2</v>
      </c>
    </row>
    <row r="10871" spans="1:5" ht="13">
      <c r="A10871" s="2" t="str">
        <f ca="1">IFERROR(__xludf.DUMMYFUNCTION("""COMPUTED_VALUE"""),"Galian, Oscar")</f>
        <v>Galian, Oscar</v>
      </c>
      <c r="B10871" s="3">
        <f ca="1">IFERROR(__xludf.DUMMYFUNCTION("""COMPUTED_VALUE"""),3)</f>
        <v>3</v>
      </c>
      <c r="C10871" s="7">
        <f ca="1">IFERROR(__xludf.DUMMYFUNCTION("""COMPUTED_VALUE"""),3.2)</f>
        <v>3.2</v>
      </c>
      <c r="D10871" s="8">
        <f ca="1">IFERROR(__xludf.DUMMYFUNCTION("""COMPUTED_VALUE"""),3)</f>
        <v>3</v>
      </c>
      <c r="E10871" s="2">
        <f ca="1">IFERROR(__xludf.DUMMYFUNCTION("""COMPUTED_VALUE"""),1)</f>
        <v>1</v>
      </c>
    </row>
    <row r="10872" spans="1:5" ht="13">
      <c r="A10872" s="2" t="str">
        <f ca="1">IFERROR(__xludf.DUMMYFUNCTION("""COMPUTED_VALUE"""),"Galindo, Blas")</f>
        <v>Galindo, Blas</v>
      </c>
      <c r="B10872" s="3">
        <f ca="1">IFERROR(__xludf.DUMMYFUNCTION("""COMPUTED_VALUE"""),3)</f>
        <v>3</v>
      </c>
      <c r="C10872" s="7">
        <f ca="1">IFERROR(__xludf.DUMMYFUNCTION("""COMPUTED_VALUE"""),3.2)</f>
        <v>3.2</v>
      </c>
      <c r="D10872" s="8">
        <f ca="1">IFERROR(__xludf.DUMMYFUNCTION("""COMPUTED_VALUE"""),7)</f>
        <v>7</v>
      </c>
      <c r="E10872" s="2">
        <f ca="1">IFERROR(__xludf.DUMMYFUNCTION("""COMPUTED_VALUE"""),2)</f>
        <v>2</v>
      </c>
    </row>
    <row r="10873" spans="1:5" ht="13">
      <c r="A10873" s="2" t="str">
        <f ca="1">IFERROR(__xludf.DUMMYFUNCTION("""COMPUTED_VALUE"""),"Galindo, Gilbert")</f>
        <v>Galindo, Gilbert</v>
      </c>
      <c r="B10873" s="3">
        <f ca="1">IFERROR(__xludf.DUMMYFUNCTION("""COMPUTED_VALUE"""),3)</f>
        <v>3</v>
      </c>
      <c r="C10873" s="7">
        <f ca="1">IFERROR(__xludf.DUMMYFUNCTION("""COMPUTED_VALUE"""),3.2)</f>
        <v>3.2</v>
      </c>
      <c r="D10873" s="8">
        <f ca="1">IFERROR(__xludf.DUMMYFUNCTION("""COMPUTED_VALUE"""),7)</f>
        <v>7</v>
      </c>
      <c r="E10873" s="2">
        <f ca="1">IFERROR(__xludf.DUMMYFUNCTION("""COMPUTED_VALUE"""),2)</f>
        <v>2</v>
      </c>
    </row>
    <row r="10874" spans="1:5" ht="13">
      <c r="A10874" s="2" t="str">
        <f ca="1">IFERROR(__xludf.DUMMYFUNCTION("""COMPUTED_VALUE"""),"Galindo, Guillermo")</f>
        <v>Galindo, Guillermo</v>
      </c>
      <c r="B10874" s="3">
        <f ca="1">IFERROR(__xludf.DUMMYFUNCTION("""COMPUTED_VALUE"""),3)</f>
        <v>3</v>
      </c>
      <c r="C10874" s="7">
        <f ca="1">IFERROR(__xludf.DUMMYFUNCTION("""COMPUTED_VALUE"""),3.2)</f>
        <v>3.2</v>
      </c>
      <c r="D10874" s="8">
        <f ca="1">IFERROR(__xludf.DUMMYFUNCTION("""COMPUTED_VALUE"""),3)</f>
        <v>3</v>
      </c>
      <c r="E10874" s="2">
        <f ca="1">IFERROR(__xludf.DUMMYFUNCTION("""COMPUTED_VALUE"""),1)</f>
        <v>1</v>
      </c>
    </row>
    <row r="10875" spans="1:5" ht="13">
      <c r="A10875" s="2" t="str">
        <f ca="1">IFERROR(__xludf.DUMMYFUNCTION("""COMPUTED_VALUE"""),"Gallo-Balma Jr, Giuseppe")</f>
        <v>Gallo-Balma Jr, Giuseppe</v>
      </c>
      <c r="B10875" s="3">
        <f ca="1">IFERROR(__xludf.DUMMYFUNCTION("""COMPUTED_VALUE"""),3)</f>
        <v>3</v>
      </c>
      <c r="C10875" s="7">
        <f ca="1">IFERROR(__xludf.DUMMYFUNCTION("""COMPUTED_VALUE"""),3.2)</f>
        <v>3.2</v>
      </c>
      <c r="D10875" s="8">
        <f ca="1">IFERROR(__xludf.DUMMYFUNCTION("""COMPUTED_VALUE"""),3)</f>
        <v>3</v>
      </c>
      <c r="E10875" s="2">
        <f ca="1">IFERROR(__xludf.DUMMYFUNCTION("""COMPUTED_VALUE"""),1)</f>
        <v>1</v>
      </c>
    </row>
    <row r="10876" spans="1:5" ht="13">
      <c r="A10876" s="2" t="str">
        <f ca="1">IFERROR(__xludf.DUMMYFUNCTION("""COMPUTED_VALUE"""),"Galván, Jose")</f>
        <v>Galván, Jose</v>
      </c>
      <c r="B10876" s="3">
        <f ca="1">IFERROR(__xludf.DUMMYFUNCTION("""COMPUTED_VALUE"""),3)</f>
        <v>3</v>
      </c>
      <c r="C10876" s="7">
        <f ca="1">IFERROR(__xludf.DUMMYFUNCTION("""COMPUTED_VALUE"""),3.2)</f>
        <v>3.2</v>
      </c>
      <c r="D10876" s="8">
        <f ca="1">IFERROR(__xludf.DUMMYFUNCTION("""COMPUTED_VALUE"""),3)</f>
        <v>3</v>
      </c>
      <c r="E10876" s="2">
        <f ca="1">IFERROR(__xludf.DUMMYFUNCTION("""COMPUTED_VALUE"""),1)</f>
        <v>1</v>
      </c>
    </row>
    <row r="10877" spans="1:5" ht="13">
      <c r="A10877" s="8" t="str">
        <f ca="1">IFERROR(__xludf.DUMMYFUNCTION("""COMPUTED_VALUE"""),"Galván, José")</f>
        <v>Galván, José</v>
      </c>
      <c r="B10877" s="3">
        <f ca="1">IFERROR(__xludf.DUMMYFUNCTION("""COMPUTED_VALUE"""),3)</f>
        <v>3</v>
      </c>
      <c r="C10877" s="7">
        <f ca="1">IFERROR(__xludf.DUMMYFUNCTION("""COMPUTED_VALUE"""),3.2)</f>
        <v>3.2</v>
      </c>
      <c r="D10877" s="8">
        <f ca="1">IFERROR(__xludf.DUMMYFUNCTION("""COMPUTED_VALUE"""),3)</f>
        <v>3</v>
      </c>
      <c r="E10877" s="2">
        <f ca="1">IFERROR(__xludf.DUMMYFUNCTION("""COMPUTED_VALUE"""),1)</f>
        <v>1</v>
      </c>
    </row>
    <row r="10878" spans="1:5" ht="13">
      <c r="A10878" s="2" t="str">
        <f ca="1">IFERROR(__xludf.DUMMYFUNCTION("""COMPUTED_VALUE"""),"Gamboa, Eduardo")</f>
        <v>Gamboa, Eduardo</v>
      </c>
      <c r="B10878" s="2">
        <f ca="1">IFERROR(__xludf.DUMMYFUNCTION("""COMPUTED_VALUE"""),3)</f>
        <v>3</v>
      </c>
      <c r="C10878" s="7">
        <f ca="1">IFERROR(__xludf.DUMMYFUNCTION("""COMPUTED_VALUE"""),3.2)</f>
        <v>3.2</v>
      </c>
      <c r="D10878" s="8">
        <f ca="1">IFERROR(__xludf.DUMMYFUNCTION("""COMPUTED_VALUE"""),3)</f>
        <v>3</v>
      </c>
      <c r="E10878" s="2">
        <f ca="1">IFERROR(__xludf.DUMMYFUNCTION("""COMPUTED_VALUE"""),1)</f>
        <v>1</v>
      </c>
    </row>
    <row r="10879" spans="1:5" ht="13">
      <c r="A10879" s="2" t="str">
        <f ca="1">IFERROR(__xludf.DUMMYFUNCTION("""COMPUTED_VALUE"""),"Gang, Chen / Zhanhao, He")</f>
        <v>Gang, Chen / Zhanhao, He</v>
      </c>
      <c r="B10879" s="3">
        <f ca="1">IFERROR(__xludf.DUMMYFUNCTION("""COMPUTED_VALUE"""),3)</f>
        <v>3</v>
      </c>
      <c r="C10879" s="7">
        <f ca="1">IFERROR(__xludf.DUMMYFUNCTION("""COMPUTED_VALUE"""),3.3)</f>
        <v>3.3</v>
      </c>
      <c r="D10879" s="8">
        <f ca="1">IFERROR(__xludf.DUMMYFUNCTION("""COMPUTED_VALUE"""),3)</f>
        <v>3</v>
      </c>
      <c r="E10879" s="2">
        <f ca="1">IFERROR(__xludf.DUMMYFUNCTION("""COMPUTED_VALUE"""),1)</f>
        <v>1</v>
      </c>
    </row>
    <row r="10880" spans="1:5" ht="13">
      <c r="A10880" s="2" t="str">
        <f ca="1">IFERROR(__xludf.DUMMYFUNCTION("""COMPUTED_VALUE"""),"Garcia-De, Federico")</f>
        <v>Garcia-De, Federico</v>
      </c>
      <c r="B10880" s="3">
        <f ca="1">IFERROR(__xludf.DUMMYFUNCTION("""COMPUTED_VALUE"""),3)</f>
        <v>3</v>
      </c>
      <c r="C10880" s="7">
        <f ca="1">IFERROR(__xludf.DUMMYFUNCTION("""COMPUTED_VALUE"""),3.2)</f>
        <v>3.2</v>
      </c>
      <c r="D10880" s="8">
        <f ca="1">IFERROR(__xludf.DUMMYFUNCTION("""COMPUTED_VALUE"""),7)</f>
        <v>7</v>
      </c>
      <c r="E10880" s="2">
        <f ca="1">IFERROR(__xludf.DUMMYFUNCTION("""COMPUTED_VALUE"""),2)</f>
        <v>2</v>
      </c>
    </row>
    <row r="10881" spans="1:5" ht="13">
      <c r="A10881" s="8" t="str">
        <f ca="1">IFERROR(__xludf.DUMMYFUNCTION("""COMPUTED_VALUE"""),"García, Antonio")</f>
        <v>García, Antonio</v>
      </c>
      <c r="B10881" s="3">
        <f ca="1">IFERROR(__xludf.DUMMYFUNCTION("""COMPUTED_VALUE"""),3)</f>
        <v>3</v>
      </c>
      <c r="C10881" s="7">
        <f ca="1">IFERROR(__xludf.DUMMYFUNCTION("""COMPUTED_VALUE"""),3.2)</f>
        <v>3.2</v>
      </c>
      <c r="D10881" s="8">
        <f ca="1">IFERROR(__xludf.DUMMYFUNCTION("""COMPUTED_VALUE"""),3)</f>
        <v>3</v>
      </c>
      <c r="E10881" s="2">
        <f ca="1">IFERROR(__xludf.DUMMYFUNCTION("""COMPUTED_VALUE"""),1)</f>
        <v>1</v>
      </c>
    </row>
    <row r="10882" spans="1:5" ht="13">
      <c r="A10882" s="8" t="str">
        <f ca="1">IFERROR(__xludf.DUMMYFUNCTION("""COMPUTED_VALUE"""),"Garcia, Carlos")</f>
        <v>Garcia, Carlos</v>
      </c>
      <c r="B10882" s="2">
        <f ca="1">IFERROR(__xludf.DUMMYFUNCTION("""COMPUTED_VALUE"""),3)</f>
        <v>3</v>
      </c>
      <c r="C10882" s="2">
        <f ca="1">IFERROR(__xludf.DUMMYFUNCTION("""COMPUTED_VALUE"""),3.2)</f>
        <v>3.2</v>
      </c>
      <c r="D10882" s="8">
        <f ca="1">IFERROR(__xludf.DUMMYFUNCTION("""COMPUTED_VALUE"""),3)</f>
        <v>3</v>
      </c>
      <c r="E10882" s="2">
        <f ca="1">IFERROR(__xludf.DUMMYFUNCTION("""COMPUTED_VALUE"""),1)</f>
        <v>1</v>
      </c>
    </row>
    <row r="10883" spans="1:5" ht="13">
      <c r="A10883" s="8" t="str">
        <f ca="1">IFERROR(__xludf.DUMMYFUNCTION("""COMPUTED_VALUE"""),"Garcia, José Maurício Nunes")</f>
        <v>Garcia, José Maurício Nunes</v>
      </c>
      <c r="B10883" s="2">
        <f ca="1">IFERROR(__xludf.DUMMYFUNCTION("""COMPUTED_VALUE"""),3)</f>
        <v>3</v>
      </c>
      <c r="C10883" s="7">
        <f ca="1">IFERROR(__xludf.DUMMYFUNCTION("""COMPUTED_VALUE"""),3.2)</f>
        <v>3.2</v>
      </c>
      <c r="D10883" s="8">
        <f ca="1">IFERROR(__xludf.DUMMYFUNCTION("""COMPUTED_VALUE"""),7)</f>
        <v>7</v>
      </c>
      <c r="E10883" s="2">
        <f ca="1">IFERROR(__xludf.DUMMYFUNCTION("""COMPUTED_VALUE"""),2)</f>
        <v>2</v>
      </c>
    </row>
    <row r="10884" spans="1:5" ht="13">
      <c r="A10884" s="2" t="str">
        <f ca="1">IFERROR(__xludf.DUMMYFUNCTION("""COMPUTED_VALUE"""),"García, Orlando Jacinto")</f>
        <v>García, Orlando Jacinto</v>
      </c>
      <c r="B10884" s="3">
        <f ca="1">IFERROR(__xludf.DUMMYFUNCTION("""COMPUTED_VALUE"""),3)</f>
        <v>3</v>
      </c>
      <c r="C10884" s="7">
        <f ca="1">IFERROR(__xludf.DUMMYFUNCTION("""COMPUTED_VALUE"""),3.3)</f>
        <v>3.3</v>
      </c>
      <c r="D10884" s="8">
        <f ca="1">IFERROR(__xludf.DUMMYFUNCTION("""COMPUTED_VALUE"""),3)</f>
        <v>3</v>
      </c>
      <c r="E10884" s="2">
        <f ca="1">IFERROR(__xludf.DUMMYFUNCTION("""COMPUTED_VALUE"""),1)</f>
        <v>1</v>
      </c>
    </row>
    <row r="10885" spans="1:5" ht="13">
      <c r="A10885" s="2" t="str">
        <f ca="1">IFERROR(__xludf.DUMMYFUNCTION("""COMPUTED_VALUE"""),"Garcia, Roberto Cantoral")</f>
        <v>Garcia, Roberto Cantoral</v>
      </c>
      <c r="B10885" s="2">
        <f ca="1">IFERROR(__xludf.DUMMYFUNCTION("""COMPUTED_VALUE"""),3)</f>
        <v>3</v>
      </c>
      <c r="C10885" s="7">
        <f ca="1">IFERROR(__xludf.DUMMYFUNCTION("""COMPUTED_VALUE"""),3.2)</f>
        <v>3.2</v>
      </c>
      <c r="D10885" s="8">
        <f ca="1">IFERROR(__xludf.DUMMYFUNCTION("""COMPUTED_VALUE"""),7)</f>
        <v>7</v>
      </c>
      <c r="E10885" s="2">
        <f ca="1">IFERROR(__xludf.DUMMYFUNCTION("""COMPUTED_VALUE"""),2)</f>
        <v>2</v>
      </c>
    </row>
    <row r="10886" spans="1:5" ht="13">
      <c r="A10886" s="2" t="str">
        <f ca="1">IFERROR(__xludf.DUMMYFUNCTION("""COMPUTED_VALUE"""),"Garcõa, Orlando Jacinto")</f>
        <v>Garcõa, Orlando Jacinto</v>
      </c>
      <c r="B10886" s="3">
        <f ca="1">IFERROR(__xludf.DUMMYFUNCTION("""COMPUTED_VALUE"""),3)</f>
        <v>3</v>
      </c>
      <c r="C10886" s="7">
        <f ca="1">IFERROR(__xludf.DUMMYFUNCTION("""COMPUTED_VALUE"""),3.2)</f>
        <v>3.2</v>
      </c>
      <c r="D10886" s="8">
        <f ca="1">IFERROR(__xludf.DUMMYFUNCTION("""COMPUTED_VALUE"""),3)</f>
        <v>3</v>
      </c>
      <c r="E10886" s="2">
        <f ca="1">IFERROR(__xludf.DUMMYFUNCTION("""COMPUTED_VALUE"""),1)</f>
        <v>1</v>
      </c>
    </row>
    <row r="10887" spans="1:5" ht="13">
      <c r="A10887" s="2" t="str">
        <f ca="1">IFERROR(__xludf.DUMMYFUNCTION("""COMPUTED_VALUE"""),"Gardel")</f>
        <v>Gardel</v>
      </c>
      <c r="B10887" s="2">
        <f ca="1">IFERROR(__xludf.DUMMYFUNCTION("""COMPUTED_VALUE"""),3)</f>
        <v>3</v>
      </c>
      <c r="C10887" s="7">
        <f ca="1">IFERROR(__xludf.DUMMYFUNCTION("""COMPUTED_VALUE"""),3.2)</f>
        <v>3.2</v>
      </c>
      <c r="D10887" s="8">
        <f ca="1">IFERROR(__xludf.DUMMYFUNCTION("""COMPUTED_VALUE"""),7)</f>
        <v>7</v>
      </c>
      <c r="E10887" s="2">
        <f ca="1">IFERROR(__xludf.DUMMYFUNCTION("""COMPUTED_VALUE"""),2)</f>
        <v>2</v>
      </c>
    </row>
    <row r="10888" spans="1:5" ht="13">
      <c r="A10888" s="2" t="str">
        <f ca="1">IFERROR(__xludf.DUMMYFUNCTION("""COMPUTED_VALUE"""),"Gardel, Carlos")</f>
        <v>Gardel, Carlos</v>
      </c>
      <c r="B10888" s="2">
        <f ca="1">IFERROR(__xludf.DUMMYFUNCTION("""COMPUTED_VALUE"""),3)</f>
        <v>3</v>
      </c>
      <c r="C10888" s="7">
        <f ca="1">IFERROR(__xludf.DUMMYFUNCTION("""COMPUTED_VALUE"""),3.2)</f>
        <v>3.2</v>
      </c>
      <c r="D10888" s="8">
        <f ca="1">IFERROR(__xludf.DUMMYFUNCTION("""COMPUTED_VALUE"""),7)</f>
        <v>7</v>
      </c>
      <c r="E10888" s="2">
        <f ca="1">IFERROR(__xludf.DUMMYFUNCTION("""COMPUTED_VALUE"""),2)</f>
        <v>2</v>
      </c>
    </row>
    <row r="10889" spans="1:5" ht="13">
      <c r="A10889" s="2" t="str">
        <f ca="1">IFERROR(__xludf.DUMMYFUNCTION("""COMPUTED_VALUE"""),"Gardner, Vincent")</f>
        <v>Gardner, Vincent</v>
      </c>
      <c r="B10889" s="2">
        <f ca="1">IFERROR(__xludf.DUMMYFUNCTION("""COMPUTED_VALUE"""),3)</f>
        <v>3</v>
      </c>
      <c r="C10889" s="2">
        <f ca="1">IFERROR(__xludf.DUMMYFUNCTION("""COMPUTED_VALUE"""),3.1)</f>
        <v>3.1</v>
      </c>
      <c r="D10889" s="8">
        <f ca="1">IFERROR(__xludf.DUMMYFUNCTION("""COMPUTED_VALUE"""),3)</f>
        <v>3</v>
      </c>
      <c r="E10889" s="2">
        <f ca="1">IFERROR(__xludf.DUMMYFUNCTION("""COMPUTED_VALUE"""),1)</f>
        <v>1</v>
      </c>
    </row>
    <row r="10890" spans="1:5" ht="13">
      <c r="A10890" s="2" t="str">
        <f ca="1">IFERROR(__xludf.DUMMYFUNCTION("""COMPUTED_VALUE"""),"Garland, Joe")</f>
        <v>Garland, Joe</v>
      </c>
      <c r="B10890" s="2">
        <f ca="1">IFERROR(__xludf.DUMMYFUNCTION("""COMPUTED_VALUE"""),3)</f>
        <v>3</v>
      </c>
      <c r="C10890" s="7">
        <f ca="1">IFERROR(__xludf.DUMMYFUNCTION("""COMPUTED_VALUE"""),3.1)</f>
        <v>3.1</v>
      </c>
      <c r="D10890" s="8">
        <f ca="1">IFERROR(__xludf.DUMMYFUNCTION("""COMPUTED_VALUE"""),7)</f>
        <v>7</v>
      </c>
      <c r="E10890" s="2">
        <f ca="1">IFERROR(__xludf.DUMMYFUNCTION("""COMPUTED_VALUE"""),2)</f>
        <v>2</v>
      </c>
    </row>
    <row r="10891" spans="1:5" ht="13">
      <c r="A10891" s="2" t="str">
        <f ca="1">IFERROR(__xludf.DUMMYFUNCTION("""COMPUTED_VALUE"""),"Garland, Red")</f>
        <v>Garland, Red</v>
      </c>
      <c r="B10891" s="2">
        <f ca="1">IFERROR(__xludf.DUMMYFUNCTION("""COMPUTED_VALUE"""),3)</f>
        <v>3</v>
      </c>
      <c r="C10891" s="7">
        <f ca="1">IFERROR(__xludf.DUMMYFUNCTION("""COMPUTED_VALUE"""),3.1)</f>
        <v>3.1</v>
      </c>
      <c r="D10891" s="8">
        <f ca="1">IFERROR(__xludf.DUMMYFUNCTION("""COMPUTED_VALUE"""),7)</f>
        <v>7</v>
      </c>
      <c r="E10891" s="2">
        <f ca="1">IFERROR(__xludf.DUMMYFUNCTION("""COMPUTED_VALUE"""),2)</f>
        <v>2</v>
      </c>
    </row>
    <row r="10892" spans="1:5" ht="13">
      <c r="A10892" s="2" t="str">
        <f ca="1">IFERROR(__xludf.DUMMYFUNCTION("""COMPUTED_VALUE"""),"Garner, Erroll")</f>
        <v>Garner, Erroll</v>
      </c>
      <c r="B10892" s="3">
        <f ca="1">IFERROR(__xludf.DUMMYFUNCTION("""COMPUTED_VALUE"""),3)</f>
        <v>3</v>
      </c>
      <c r="C10892" s="7">
        <f ca="1">IFERROR(__xludf.DUMMYFUNCTION("""COMPUTED_VALUE"""),3.1)</f>
        <v>3.1</v>
      </c>
      <c r="D10892" s="8">
        <f ca="1">IFERROR(__xludf.DUMMYFUNCTION("""COMPUTED_VALUE"""),7)</f>
        <v>7</v>
      </c>
      <c r="E10892" s="2">
        <f ca="1">IFERROR(__xludf.DUMMYFUNCTION("""COMPUTED_VALUE"""),2)</f>
        <v>2</v>
      </c>
    </row>
    <row r="10893" spans="1:5" ht="13">
      <c r="A10893" s="8" t="str">
        <f ca="1">IFERROR(__xludf.DUMMYFUNCTION("""COMPUTED_VALUE"""),"Garrett, Kenny")</f>
        <v>Garrett, Kenny</v>
      </c>
      <c r="B10893" s="3">
        <f ca="1">IFERROR(__xludf.DUMMYFUNCTION("""COMPUTED_VALUE"""),3)</f>
        <v>3</v>
      </c>
      <c r="C10893" s="7">
        <f ca="1">IFERROR(__xludf.DUMMYFUNCTION("""COMPUTED_VALUE"""),3.1)</f>
        <v>3.1</v>
      </c>
      <c r="D10893" s="8">
        <f ca="1">IFERROR(__xludf.DUMMYFUNCTION("""COMPUTED_VALUE"""),3)</f>
        <v>3</v>
      </c>
      <c r="E10893" s="2">
        <f ca="1">IFERROR(__xludf.DUMMYFUNCTION("""COMPUTED_VALUE"""),1)</f>
        <v>1</v>
      </c>
    </row>
    <row r="10894" spans="1:5" ht="13">
      <c r="A10894" s="2" t="str">
        <f ca="1">IFERROR(__xludf.DUMMYFUNCTION("""COMPUTED_VALUE"""),"Garrett, Marques L. A.")</f>
        <v>Garrett, Marques L. A.</v>
      </c>
      <c r="B10894" s="2">
        <f ca="1">IFERROR(__xludf.DUMMYFUNCTION("""COMPUTED_VALUE"""),3)</f>
        <v>3</v>
      </c>
      <c r="C10894" s="7">
        <f ca="1">IFERROR(__xludf.DUMMYFUNCTION("""COMPUTED_VALUE"""),3.1)</f>
        <v>3.1</v>
      </c>
      <c r="D10894" s="8">
        <f ca="1">IFERROR(__xludf.DUMMYFUNCTION("""COMPUTED_VALUE"""),3)</f>
        <v>3</v>
      </c>
      <c r="E10894" s="2">
        <f ca="1">IFERROR(__xludf.DUMMYFUNCTION("""COMPUTED_VALUE"""),1)</f>
        <v>1</v>
      </c>
    </row>
    <row r="10895" spans="1:5" ht="13">
      <c r="A10895" s="2" t="str">
        <f ca="1">IFERROR(__xludf.DUMMYFUNCTION("""COMPUTED_VALUE"""),"Garrido-Lecca, Gonzalo")</f>
        <v>Garrido-Lecca, Gonzalo</v>
      </c>
      <c r="B10895" s="3">
        <f ca="1">IFERROR(__xludf.DUMMYFUNCTION("""COMPUTED_VALUE"""),3)</f>
        <v>3</v>
      </c>
      <c r="C10895" s="7">
        <f ca="1">IFERROR(__xludf.DUMMYFUNCTION("""COMPUTED_VALUE"""),3.2)</f>
        <v>3.2</v>
      </c>
      <c r="D10895" s="8">
        <f ca="1">IFERROR(__xludf.DUMMYFUNCTION("""COMPUTED_VALUE"""),3)</f>
        <v>3</v>
      </c>
      <c r="E10895" s="2">
        <f ca="1">IFERROR(__xludf.DUMMYFUNCTION("""COMPUTED_VALUE"""),1)</f>
        <v>1</v>
      </c>
    </row>
    <row r="10896" spans="1:5" ht="13">
      <c r="A10896" s="2" t="str">
        <f ca="1">IFERROR(__xludf.DUMMYFUNCTION("""COMPUTED_VALUE"""),"Gaye, Marvin")</f>
        <v>Gaye, Marvin</v>
      </c>
      <c r="B10896" s="3">
        <f ca="1">IFERROR(__xludf.DUMMYFUNCTION("""COMPUTED_VALUE"""),3)</f>
        <v>3</v>
      </c>
      <c r="C10896" s="7">
        <f ca="1">IFERROR(__xludf.DUMMYFUNCTION("""COMPUTED_VALUE"""),3.1)</f>
        <v>3.1</v>
      </c>
      <c r="D10896" s="8">
        <f ca="1">IFERROR(__xludf.DUMMYFUNCTION("""COMPUTED_VALUE"""),7)</f>
        <v>7</v>
      </c>
      <c r="E10896" s="2">
        <f ca="1">IFERROR(__xludf.DUMMYFUNCTION("""COMPUTED_VALUE"""),2)</f>
        <v>2</v>
      </c>
    </row>
    <row r="10897" spans="1:5" ht="13">
      <c r="A10897" s="2" t="str">
        <f ca="1">IFERROR(__xludf.DUMMYFUNCTION("""COMPUTED_VALUE"""),"Ge, Bobby")</f>
        <v>Ge, Bobby</v>
      </c>
      <c r="B10897" s="3">
        <f ca="1">IFERROR(__xludf.DUMMYFUNCTION("""COMPUTED_VALUE"""),3)</f>
        <v>3</v>
      </c>
      <c r="C10897" s="7">
        <f ca="1">IFERROR(__xludf.DUMMYFUNCTION("""COMPUTED_VALUE"""),3.3)</f>
        <v>3.3</v>
      </c>
      <c r="D10897" s="8">
        <f ca="1">IFERROR(__xludf.DUMMYFUNCTION("""COMPUTED_VALUE"""),3)</f>
        <v>3</v>
      </c>
      <c r="E10897" s="2">
        <f ca="1">IFERROR(__xludf.DUMMYFUNCTION("""COMPUTED_VALUE"""),1)</f>
        <v>1</v>
      </c>
    </row>
    <row r="10898" spans="1:5" ht="13">
      <c r="A10898" s="2" t="str">
        <f ca="1">IFERROR(__xludf.DUMMYFUNCTION("""COMPUTED_VALUE"""),"Geon-Yong Lee")</f>
        <v>Geon-Yong Lee</v>
      </c>
      <c r="B10898" s="3">
        <f ca="1">IFERROR(__xludf.DUMMYFUNCTION("""COMPUTED_VALUE"""),3)</f>
        <v>3</v>
      </c>
      <c r="C10898" s="7">
        <f ca="1">IFERROR(__xludf.DUMMYFUNCTION("""COMPUTED_VALUE"""),3.3)</f>
        <v>3.3</v>
      </c>
      <c r="D10898" s="8">
        <f ca="1">IFERROR(__xludf.DUMMYFUNCTION("""COMPUTED_VALUE"""),3)</f>
        <v>3</v>
      </c>
      <c r="E10898" s="2">
        <f ca="1">IFERROR(__xludf.DUMMYFUNCTION("""COMPUTED_VALUE"""),1)</f>
        <v>1</v>
      </c>
    </row>
    <row r="10899" spans="1:5" ht="13">
      <c r="A10899" s="2" t="str">
        <f ca="1">IFERROR(__xludf.DUMMYFUNCTION("""COMPUTED_VALUE"""),"Gervasoni, Antonio")</f>
        <v>Gervasoni, Antonio</v>
      </c>
      <c r="B10899" s="3">
        <f ca="1">IFERROR(__xludf.DUMMYFUNCTION("""COMPUTED_VALUE"""),3)</f>
        <v>3</v>
      </c>
      <c r="C10899" s="7">
        <f ca="1">IFERROR(__xludf.DUMMYFUNCTION("""COMPUTED_VALUE"""),3.3)</f>
        <v>3.3</v>
      </c>
      <c r="D10899" s="8">
        <f ca="1">IFERROR(__xludf.DUMMYFUNCTION("""COMPUTED_VALUE"""),3)</f>
        <v>3</v>
      </c>
      <c r="E10899" s="2">
        <f ca="1">IFERROR(__xludf.DUMMYFUNCTION("""COMPUTED_VALUE"""),1)</f>
        <v>1</v>
      </c>
    </row>
    <row r="10900" spans="1:5" ht="13">
      <c r="A10900" s="2" t="str">
        <f ca="1">IFERROR(__xludf.DUMMYFUNCTION("""COMPUTED_VALUE"""),"Geter, Damien")</f>
        <v>Geter, Damien</v>
      </c>
      <c r="B10900" s="3">
        <f ca="1">IFERROR(__xludf.DUMMYFUNCTION("""COMPUTED_VALUE"""),3)</f>
        <v>3</v>
      </c>
      <c r="C10900" s="7">
        <f ca="1">IFERROR(__xludf.DUMMYFUNCTION("""COMPUTED_VALUE"""),3.1)</f>
        <v>3.1</v>
      </c>
      <c r="D10900" s="8">
        <f ca="1">IFERROR(__xludf.DUMMYFUNCTION("""COMPUTED_VALUE"""),3)</f>
        <v>3</v>
      </c>
      <c r="E10900" s="2">
        <f ca="1">IFERROR(__xludf.DUMMYFUNCTION("""COMPUTED_VALUE"""),1)</f>
        <v>1</v>
      </c>
    </row>
    <row r="10901" spans="1:5" ht="13">
      <c r="A10901" s="8" t="str">
        <f ca="1">IFERROR(__xludf.DUMMYFUNCTION("""COMPUTED_VALUE"""),"Ghonima, Marwan")</f>
        <v>Ghonima, Marwan</v>
      </c>
      <c r="B10901" s="3">
        <f ca="1">IFERROR(__xludf.DUMMYFUNCTION("""COMPUTED_VALUE"""),3)</f>
        <v>3</v>
      </c>
      <c r="C10901" s="7">
        <f ca="1">IFERROR(__xludf.DUMMYFUNCTION("""COMPUTED_VALUE"""),3.1)</f>
        <v>3.1</v>
      </c>
      <c r="D10901" s="8">
        <f ca="1">IFERROR(__xludf.DUMMYFUNCTION("""COMPUTED_VALUE"""),3)</f>
        <v>3</v>
      </c>
      <c r="E10901" s="2">
        <f ca="1">IFERROR(__xludf.DUMMYFUNCTION("""COMPUTED_VALUE"""),1)</f>
        <v>1</v>
      </c>
    </row>
    <row r="10902" spans="1:5" ht="13">
      <c r="A10902" s="2" t="str">
        <f ca="1">IFERROR(__xludf.DUMMYFUNCTION("""COMPUTED_VALUE"""),"Giang, Baldwin")</f>
        <v>Giang, Baldwin</v>
      </c>
      <c r="B10902" s="2">
        <f ca="1">IFERROR(__xludf.DUMMYFUNCTION("""COMPUTED_VALUE"""),3)</f>
        <v>3</v>
      </c>
      <c r="C10902" s="2">
        <f ca="1">IFERROR(__xludf.DUMMYFUNCTION("""COMPUTED_VALUE"""),3.9)</f>
        <v>3.9</v>
      </c>
      <c r="D10902" s="8">
        <f ca="1">IFERROR(__xludf.DUMMYFUNCTION("""COMPUTED_VALUE"""),3)</f>
        <v>3</v>
      </c>
      <c r="E10902" s="2">
        <f ca="1">IFERROR(__xludf.DUMMYFUNCTION("""COMPUTED_VALUE"""),1)</f>
        <v>1</v>
      </c>
    </row>
    <row r="10903" spans="1:5" ht="13">
      <c r="A10903" s="8" t="str">
        <f ca="1">IFERROR(__xludf.DUMMYFUNCTION("""COMPUTED_VALUE"""),"Gibbs, Stacey V.")</f>
        <v>Gibbs, Stacey V.</v>
      </c>
      <c r="B10903" s="3">
        <f ca="1">IFERROR(__xludf.DUMMYFUNCTION("""COMPUTED_VALUE"""),3)</f>
        <v>3</v>
      </c>
      <c r="C10903" s="7">
        <f ca="1">IFERROR(__xludf.DUMMYFUNCTION("""COMPUTED_VALUE"""),3.1)</f>
        <v>3.1</v>
      </c>
      <c r="D10903" s="8">
        <f ca="1">IFERROR(__xludf.DUMMYFUNCTION("""COMPUTED_VALUE"""),3)</f>
        <v>3</v>
      </c>
      <c r="E10903" s="2">
        <f ca="1">IFERROR(__xludf.DUMMYFUNCTION("""COMPUTED_VALUE"""),1)</f>
        <v>1</v>
      </c>
    </row>
    <row r="10904" spans="1:5" ht="13">
      <c r="A10904" s="2" t="str">
        <f ca="1">IFERROR(__xludf.DUMMYFUNCTION("""COMPUTED_VALUE"""),"Gilberto, João")</f>
        <v>Gilberto, João</v>
      </c>
      <c r="B10904" s="3">
        <f ca="1">IFERROR(__xludf.DUMMYFUNCTION("""COMPUTED_VALUE"""),3)</f>
        <v>3</v>
      </c>
      <c r="C10904" s="7">
        <f ca="1">IFERROR(__xludf.DUMMYFUNCTION("""COMPUTED_VALUE"""),3.2)</f>
        <v>3.2</v>
      </c>
      <c r="D10904" s="8">
        <f ca="1">IFERROR(__xludf.DUMMYFUNCTION("""COMPUTED_VALUE"""),7)</f>
        <v>7</v>
      </c>
      <c r="E10904" s="2">
        <f ca="1">IFERROR(__xludf.DUMMYFUNCTION("""COMPUTED_VALUE"""),2)</f>
        <v>2</v>
      </c>
    </row>
    <row r="10905" spans="1:5" ht="13">
      <c r="A10905" s="2" t="str">
        <f ca="1">IFERROR(__xludf.DUMMYFUNCTION("""COMPUTED_VALUE"""),"Gillespie, John Birks ""Dizzy""")</f>
        <v>Gillespie, John Birks "Dizzy"</v>
      </c>
      <c r="B10905" s="2">
        <f ca="1">IFERROR(__xludf.DUMMYFUNCTION("""COMPUTED_VALUE"""),3)</f>
        <v>3</v>
      </c>
      <c r="C10905" s="7">
        <f ca="1">IFERROR(__xludf.DUMMYFUNCTION("""COMPUTED_VALUE"""),3.1)</f>
        <v>3.1</v>
      </c>
      <c r="D10905" s="8">
        <f ca="1">IFERROR(__xludf.DUMMYFUNCTION("""COMPUTED_VALUE"""),7)</f>
        <v>7</v>
      </c>
      <c r="E10905" s="2">
        <f ca="1">IFERROR(__xludf.DUMMYFUNCTION("""COMPUTED_VALUE"""),2)</f>
        <v>2</v>
      </c>
    </row>
    <row r="10906" spans="1:5" ht="13">
      <c r="A10906" s="2" t="str">
        <f ca="1">IFERROR(__xludf.DUMMYFUNCTION("""COMPUTED_VALUE"""),"Gillespie, John Birks ""Dizzy"" / Clarke, Kenny")</f>
        <v>Gillespie, John Birks "Dizzy" / Clarke, Kenny</v>
      </c>
      <c r="B10906" s="3">
        <f ca="1">IFERROR(__xludf.DUMMYFUNCTION("""COMPUTED_VALUE"""),3)</f>
        <v>3</v>
      </c>
      <c r="C10906" s="7">
        <f ca="1">IFERROR(__xludf.DUMMYFUNCTION("""COMPUTED_VALUE"""),3.1)</f>
        <v>3.1</v>
      </c>
      <c r="D10906" s="8">
        <f ca="1">IFERROR(__xludf.DUMMYFUNCTION("""COMPUTED_VALUE"""),7)</f>
        <v>7</v>
      </c>
      <c r="E10906" s="2">
        <f ca="1">IFERROR(__xludf.DUMMYFUNCTION("""COMPUTED_VALUE"""),2)</f>
        <v>2</v>
      </c>
    </row>
    <row r="10907" spans="1:5" ht="13">
      <c r="A10907" s="2" t="str">
        <f ca="1">IFERROR(__xludf.DUMMYFUNCTION("""COMPUTED_VALUE"""),"Gillespie, John Birks ""Dizzy"" / Paparelli, Frank")</f>
        <v>Gillespie, John Birks "Dizzy" / Paparelli, Frank</v>
      </c>
      <c r="B10907" s="2">
        <f ca="1">IFERROR(__xludf.DUMMYFUNCTION("""COMPUTED_VALUE"""),3)</f>
        <v>3</v>
      </c>
      <c r="C10907" s="7">
        <f ca="1">IFERROR(__xludf.DUMMYFUNCTION("""COMPUTED_VALUE"""),3.1)</f>
        <v>3.1</v>
      </c>
      <c r="D10907" s="8">
        <f ca="1">IFERROR(__xludf.DUMMYFUNCTION("""COMPUTED_VALUE"""),7)</f>
        <v>7</v>
      </c>
      <c r="E10907" s="2">
        <f ca="1">IFERROR(__xludf.DUMMYFUNCTION("""COMPUTED_VALUE"""),2)</f>
        <v>2</v>
      </c>
    </row>
    <row r="10908" spans="1:5" ht="13">
      <c r="A10908" s="2" t="str">
        <f ca="1">IFERROR(__xludf.DUMMYFUNCTION("""COMPUTED_VALUE"""),"Gillespie, John Birks ""Dizzy"" / Parker, Charlie")</f>
        <v>Gillespie, John Birks "Dizzy" / Parker, Charlie</v>
      </c>
      <c r="B10908" s="3">
        <f ca="1">IFERROR(__xludf.DUMMYFUNCTION("""COMPUTED_VALUE"""),3)</f>
        <v>3</v>
      </c>
      <c r="C10908" s="7">
        <f ca="1">IFERROR(__xludf.DUMMYFUNCTION("""COMPUTED_VALUE"""),3.1)</f>
        <v>3.1</v>
      </c>
      <c r="D10908" s="8">
        <f ca="1">IFERROR(__xludf.DUMMYFUNCTION("""COMPUTED_VALUE"""),7)</f>
        <v>7</v>
      </c>
      <c r="E10908" s="2">
        <f ca="1">IFERROR(__xludf.DUMMYFUNCTION("""COMPUTED_VALUE"""),2)</f>
        <v>2</v>
      </c>
    </row>
    <row r="10909" spans="1:5" ht="13">
      <c r="A10909" s="2" t="str">
        <f ca="1">IFERROR(__xludf.DUMMYFUNCTION("""COMPUTED_VALUE"""),"Gillespie, John Birks ""Dizzy"" / Pozo, Chano")</f>
        <v>Gillespie, John Birks "Dizzy" / Pozo, Chano</v>
      </c>
      <c r="B10909" s="2">
        <f ca="1">IFERROR(__xludf.DUMMYFUNCTION("""COMPUTED_VALUE"""),3)</f>
        <v>3</v>
      </c>
      <c r="C10909" s="7">
        <f ca="1">IFERROR(__xludf.DUMMYFUNCTION("""COMPUTED_VALUE"""),3.1)</f>
        <v>3.1</v>
      </c>
      <c r="D10909" s="8">
        <f ca="1">IFERROR(__xludf.DUMMYFUNCTION("""COMPUTED_VALUE"""),7)</f>
        <v>7</v>
      </c>
      <c r="E10909" s="2">
        <f ca="1">IFERROR(__xludf.DUMMYFUNCTION("""COMPUTED_VALUE"""),2)</f>
        <v>2</v>
      </c>
    </row>
    <row r="10910" spans="1:5" ht="13">
      <c r="A10910" s="2" t="str">
        <f ca="1">IFERROR(__xludf.DUMMYFUNCTION("""COMPUTED_VALUE"""),"Gilliard, Kerry J.")</f>
        <v>Gilliard, Kerry J.</v>
      </c>
      <c r="B10910" s="3">
        <f ca="1">IFERROR(__xludf.DUMMYFUNCTION("""COMPUTED_VALUE"""),3)</f>
        <v>3</v>
      </c>
      <c r="C10910" s="7">
        <f ca="1">IFERROR(__xludf.DUMMYFUNCTION("""COMPUTED_VALUE"""),3.1)</f>
        <v>3.1</v>
      </c>
      <c r="D10910" s="8">
        <f ca="1">IFERROR(__xludf.DUMMYFUNCTION("""COMPUTED_VALUE"""),3)</f>
        <v>3</v>
      </c>
      <c r="E10910" s="2">
        <f ca="1">IFERROR(__xludf.DUMMYFUNCTION("""COMPUTED_VALUE"""),1)</f>
        <v>1</v>
      </c>
    </row>
    <row r="10911" spans="1:5" ht="13">
      <c r="A10911" s="2" t="str">
        <f ca="1">IFERROR(__xludf.DUMMYFUNCTION("""COMPUTED_VALUE"""),"Ginastera, Alberto")</f>
        <v>Ginastera, Alberto</v>
      </c>
      <c r="B10911" s="3">
        <f ca="1">IFERROR(__xludf.DUMMYFUNCTION("""COMPUTED_VALUE"""),3)</f>
        <v>3</v>
      </c>
      <c r="C10911" s="7">
        <f ca="1">IFERROR(__xludf.DUMMYFUNCTION("""COMPUTED_VALUE"""),3.2)</f>
        <v>3.2</v>
      </c>
      <c r="D10911" s="8">
        <f ca="1">IFERROR(__xludf.DUMMYFUNCTION("""COMPUTED_VALUE"""),7)</f>
        <v>7</v>
      </c>
      <c r="E10911" s="2">
        <f ca="1">IFERROR(__xludf.DUMMYFUNCTION("""COMPUTED_VALUE"""),2)</f>
        <v>2</v>
      </c>
    </row>
    <row r="10912" spans="1:5" ht="13">
      <c r="A10912" s="2" t="str">
        <f ca="1">IFERROR(__xludf.DUMMYFUNCTION("""COMPUTED_VALUE"""),"Giraldo, Julian Gomez")</f>
        <v>Giraldo, Julian Gomez</v>
      </c>
      <c r="B10912" s="3">
        <f ca="1">IFERROR(__xludf.DUMMYFUNCTION("""COMPUTED_VALUE"""),3)</f>
        <v>3</v>
      </c>
      <c r="C10912" s="7">
        <f ca="1">IFERROR(__xludf.DUMMYFUNCTION("""COMPUTED_VALUE"""),3.2)</f>
        <v>3.2</v>
      </c>
      <c r="D10912" s="8">
        <f ca="1">IFERROR(__xludf.DUMMYFUNCTION("""COMPUTED_VALUE"""),3)</f>
        <v>3</v>
      </c>
      <c r="E10912" s="2">
        <f ca="1">IFERROR(__xludf.DUMMYFUNCTION("""COMPUTED_VALUE"""),1)</f>
        <v>1</v>
      </c>
    </row>
    <row r="10913" spans="1:5" ht="13">
      <c r="A10913" s="2" t="str">
        <f ca="1">IFERROR(__xludf.DUMMYFUNCTION("""COMPUTED_VALUE"""),"Glover, James A.")</f>
        <v>Glover, James A.</v>
      </c>
      <c r="B10913" s="3">
        <f ca="1">IFERROR(__xludf.DUMMYFUNCTION("""COMPUTED_VALUE"""),3)</f>
        <v>3</v>
      </c>
      <c r="C10913" s="7">
        <f ca="1">IFERROR(__xludf.DUMMYFUNCTION("""COMPUTED_VALUE"""),3.1)</f>
        <v>3.1</v>
      </c>
      <c r="D10913" s="8">
        <f ca="1">IFERROR(__xludf.DUMMYFUNCTION("""COMPUTED_VALUE"""),3)</f>
        <v>3</v>
      </c>
      <c r="E10913" s="2">
        <f ca="1">IFERROR(__xludf.DUMMYFUNCTION("""COMPUTED_VALUE"""),1)</f>
        <v>1</v>
      </c>
    </row>
    <row r="10914" spans="1:5" ht="13">
      <c r="A10914" s="2" t="str">
        <f ca="1">IFERROR(__xludf.DUMMYFUNCTION("""COMPUTED_VALUE"""),"Godoy, Mario")</f>
        <v>Godoy, Mario</v>
      </c>
      <c r="B10914" s="3">
        <f ca="1">IFERROR(__xludf.DUMMYFUNCTION("""COMPUTED_VALUE"""),3)</f>
        <v>3</v>
      </c>
      <c r="C10914" s="7">
        <f ca="1">IFERROR(__xludf.DUMMYFUNCTION("""COMPUTED_VALUE"""),3.2)</f>
        <v>3.2</v>
      </c>
      <c r="D10914" s="8">
        <f ca="1">IFERROR(__xludf.DUMMYFUNCTION("""COMPUTED_VALUE"""),3)</f>
        <v>3</v>
      </c>
      <c r="E10914" s="2">
        <f ca="1">IFERROR(__xludf.DUMMYFUNCTION("""COMPUTED_VALUE"""),1)</f>
        <v>1</v>
      </c>
    </row>
    <row r="10915" spans="1:5" ht="13">
      <c r="A10915" s="2" t="str">
        <f ca="1">IFERROR(__xludf.DUMMYFUNCTION("""COMPUTED_VALUE"""),"Goh Toh Chai, Zechariah")</f>
        <v>Goh Toh Chai, Zechariah</v>
      </c>
      <c r="B10915" s="3">
        <f ca="1">IFERROR(__xludf.DUMMYFUNCTION("""COMPUTED_VALUE"""),3)</f>
        <v>3</v>
      </c>
      <c r="C10915" s="7">
        <f ca="1">IFERROR(__xludf.DUMMYFUNCTION("""COMPUTED_VALUE"""),3.1)</f>
        <v>3.1</v>
      </c>
      <c r="D10915" s="8">
        <f ca="1">IFERROR(__xludf.DUMMYFUNCTION("""COMPUTED_VALUE"""),3)</f>
        <v>3</v>
      </c>
      <c r="E10915" s="2">
        <f ca="1">IFERROR(__xludf.DUMMYFUNCTION("""COMPUTED_VALUE"""),1)</f>
        <v>1</v>
      </c>
    </row>
    <row r="10916" spans="1:5" ht="13">
      <c r="A10916" s="2" t="str">
        <f ca="1">IFERROR(__xludf.DUMMYFUNCTION("""COMPUTED_VALUE"""),"Gohlson, Benny")</f>
        <v>Gohlson, Benny</v>
      </c>
      <c r="B10916" s="3">
        <f ca="1">IFERROR(__xludf.DUMMYFUNCTION("""COMPUTED_VALUE"""),3)</f>
        <v>3</v>
      </c>
      <c r="C10916" s="7">
        <f ca="1">IFERROR(__xludf.DUMMYFUNCTION("""COMPUTED_VALUE"""),3.1)</f>
        <v>3.1</v>
      </c>
      <c r="D10916" s="8">
        <f ca="1">IFERROR(__xludf.DUMMYFUNCTION("""COMPUTED_VALUE"""),3)</f>
        <v>3</v>
      </c>
      <c r="E10916" s="2">
        <f ca="1">IFERROR(__xludf.DUMMYFUNCTION("""COMPUTED_VALUE"""),1)</f>
        <v>1</v>
      </c>
    </row>
    <row r="10917" spans="1:5" ht="13">
      <c r="A10917" s="2" t="str">
        <f ca="1">IFERROR(__xludf.DUMMYFUNCTION("""COMPUTED_VALUE"""),"Goines, Victor")</f>
        <v>Goines, Victor</v>
      </c>
      <c r="B10917" s="2">
        <f ca="1">IFERROR(__xludf.DUMMYFUNCTION("""COMPUTED_VALUE"""),3)</f>
        <v>3</v>
      </c>
      <c r="C10917" s="7">
        <f ca="1">IFERROR(__xludf.DUMMYFUNCTION("""COMPUTED_VALUE"""),3.1)</f>
        <v>3.1</v>
      </c>
      <c r="D10917" s="8">
        <f ca="1">IFERROR(__xludf.DUMMYFUNCTION("""COMPUTED_VALUE"""),3)</f>
        <v>3</v>
      </c>
      <c r="E10917" s="2">
        <f ca="1">IFERROR(__xludf.DUMMYFUNCTION("""COMPUTED_VALUE"""),1)</f>
        <v>1</v>
      </c>
    </row>
    <row r="10918" spans="1:5" ht="13">
      <c r="A10918" s="2" t="str">
        <f ca="1">IFERROR(__xludf.DUMMYFUNCTION("""COMPUTED_VALUE"""),"Golijov, Osvaldo")</f>
        <v>Golijov, Osvaldo</v>
      </c>
      <c r="B10918" s="3">
        <f ca="1">IFERROR(__xludf.DUMMYFUNCTION("""COMPUTED_VALUE"""),3)</f>
        <v>3</v>
      </c>
      <c r="C10918" s="7">
        <f ca="1">IFERROR(__xludf.DUMMYFUNCTION("""COMPUTED_VALUE"""),3.2)</f>
        <v>3.2</v>
      </c>
      <c r="D10918" s="8">
        <f ca="1">IFERROR(__xludf.DUMMYFUNCTION("""COMPUTED_VALUE"""),3)</f>
        <v>3</v>
      </c>
      <c r="E10918" s="2">
        <f ca="1">IFERROR(__xludf.DUMMYFUNCTION("""COMPUTED_VALUE"""),1)</f>
        <v>1</v>
      </c>
    </row>
    <row r="10919" spans="1:5" ht="13">
      <c r="A10919" s="2" t="str">
        <f ca="1">IFERROR(__xludf.DUMMYFUNCTION("""COMPUTED_VALUE"""),"Golson, Benny")</f>
        <v>Golson, Benny</v>
      </c>
      <c r="B10919" s="2">
        <f ca="1">IFERROR(__xludf.DUMMYFUNCTION("""COMPUTED_VALUE"""),3)</f>
        <v>3</v>
      </c>
      <c r="C10919" s="7">
        <f ca="1">IFERROR(__xludf.DUMMYFUNCTION("""COMPUTED_VALUE"""),3.1)</f>
        <v>3.1</v>
      </c>
      <c r="D10919" s="8">
        <f ca="1">IFERROR(__xludf.DUMMYFUNCTION("""COMPUTED_VALUE"""),7)</f>
        <v>7</v>
      </c>
      <c r="E10919" s="2">
        <f ca="1">IFERROR(__xludf.DUMMYFUNCTION("""COMPUTED_VALUE"""),2)</f>
        <v>2</v>
      </c>
    </row>
    <row r="10920" spans="1:5" ht="13">
      <c r="A10920" s="2" t="str">
        <f ca="1">IFERROR(__xludf.DUMMYFUNCTION("""COMPUTED_VALUE"""),"Gomez, Antônio Carlos")</f>
        <v>Gomez, Antônio Carlos</v>
      </c>
      <c r="B10920" s="3">
        <f ca="1">IFERROR(__xludf.DUMMYFUNCTION("""COMPUTED_VALUE"""),3)</f>
        <v>3</v>
      </c>
      <c r="C10920" s="7">
        <f ca="1">IFERROR(__xludf.DUMMYFUNCTION("""COMPUTED_VALUE"""),3.2)</f>
        <v>3.2</v>
      </c>
      <c r="D10920" s="8">
        <f ca="1">IFERROR(__xludf.DUMMYFUNCTION("""COMPUTED_VALUE"""),7)</f>
        <v>7</v>
      </c>
      <c r="E10920" s="2">
        <f ca="1">IFERROR(__xludf.DUMMYFUNCTION("""COMPUTED_VALUE"""),2)</f>
        <v>2</v>
      </c>
    </row>
    <row r="10921" spans="1:5" ht="13">
      <c r="A10921" s="8" t="str">
        <f ca="1">IFERROR(__xludf.DUMMYFUNCTION("""COMPUTED_VALUE"""),"Gómez, Mark Contreras")</f>
        <v>Gómez, Mark Contreras</v>
      </c>
      <c r="B10921" s="3">
        <f ca="1">IFERROR(__xludf.DUMMYFUNCTION("""COMPUTED_VALUE"""),3)</f>
        <v>3</v>
      </c>
      <c r="C10921" s="7">
        <f ca="1">IFERROR(__xludf.DUMMYFUNCTION("""COMPUTED_VALUE"""),3.2)</f>
        <v>3.2</v>
      </c>
      <c r="D10921" s="8">
        <f ca="1">IFERROR(__xludf.DUMMYFUNCTION("""COMPUTED_VALUE"""),3)</f>
        <v>3</v>
      </c>
      <c r="E10921" s="2">
        <f ca="1">IFERROR(__xludf.DUMMYFUNCTION("""COMPUTED_VALUE"""),1)</f>
        <v>1</v>
      </c>
    </row>
    <row r="10922" spans="1:5" ht="13">
      <c r="A10922" s="2" t="str">
        <f ca="1">IFERROR(__xludf.DUMMYFUNCTION("""COMPUTED_VALUE"""),"Gómez, Rubén Darío")</f>
        <v>Gómez, Rubén Darío</v>
      </c>
      <c r="B10922" s="3">
        <f ca="1">IFERROR(__xludf.DUMMYFUNCTION("""COMPUTED_VALUE"""),3)</f>
        <v>3</v>
      </c>
      <c r="C10922" s="7">
        <f ca="1">IFERROR(__xludf.DUMMYFUNCTION("""COMPUTED_VALUE"""),3.2)</f>
        <v>3.2</v>
      </c>
      <c r="D10922" s="8">
        <f ca="1">IFERROR(__xludf.DUMMYFUNCTION("""COMPUTED_VALUE"""),3)</f>
        <v>3</v>
      </c>
      <c r="E10922" s="2">
        <f ca="1">IFERROR(__xludf.DUMMYFUNCTION("""COMPUTED_VALUE"""),1)</f>
        <v>1</v>
      </c>
    </row>
    <row r="10923" spans="1:5" ht="13">
      <c r="A10923" s="8" t="str">
        <f ca="1">IFERROR(__xludf.DUMMYFUNCTION("""COMPUTED_VALUE"""),"Goncalves, Gregorio")</f>
        <v>Goncalves, Gregorio</v>
      </c>
      <c r="B10923" s="3">
        <f ca="1">IFERROR(__xludf.DUMMYFUNCTION("""COMPUTED_VALUE"""),3)</f>
        <v>3</v>
      </c>
      <c r="C10923" s="7">
        <f ca="1">IFERROR(__xludf.DUMMYFUNCTION("""COMPUTED_VALUE"""),3.2)</f>
        <v>3.2</v>
      </c>
      <c r="D10923" s="8">
        <f ca="1">IFERROR(__xludf.DUMMYFUNCTION("""COMPUTED_VALUE"""),7)</f>
        <v>7</v>
      </c>
      <c r="E10923" s="2">
        <f ca="1">IFERROR(__xludf.DUMMYFUNCTION("""COMPUTED_VALUE"""),2)</f>
        <v>2</v>
      </c>
    </row>
    <row r="10924" spans="1:5" ht="13">
      <c r="A10924" s="2" t="str">
        <f ca="1">IFERROR(__xludf.DUMMYFUNCTION("""COMPUTED_VALUE"""),"Gonzales, Ramon")</f>
        <v>Gonzales, Ramon</v>
      </c>
      <c r="B10924" s="3">
        <f ca="1">IFERROR(__xludf.DUMMYFUNCTION("""COMPUTED_VALUE"""),3)</f>
        <v>3</v>
      </c>
      <c r="C10924" s="7">
        <f ca="1">IFERROR(__xludf.DUMMYFUNCTION("""COMPUTED_VALUE"""),3.2)</f>
        <v>3.2</v>
      </c>
      <c r="D10924" s="8">
        <f ca="1">IFERROR(__xludf.DUMMYFUNCTION("""COMPUTED_VALUE"""),3)</f>
        <v>3</v>
      </c>
      <c r="E10924" s="2">
        <f ca="1">IFERROR(__xludf.DUMMYFUNCTION("""COMPUTED_VALUE"""),1)</f>
        <v>1</v>
      </c>
    </row>
    <row r="10925" spans="1:5" ht="13">
      <c r="A10925" s="2" t="str">
        <f ca="1">IFERROR(__xludf.DUMMYFUNCTION("""COMPUTED_VALUE"""),"Gonzalez Barreto, Nelson")</f>
        <v>Gonzalez Barreto, Nelson</v>
      </c>
      <c r="B10925" s="3">
        <f ca="1">IFERROR(__xludf.DUMMYFUNCTION("""COMPUTED_VALUE"""),3)</f>
        <v>3</v>
      </c>
      <c r="C10925" s="7">
        <f ca="1">IFERROR(__xludf.DUMMYFUNCTION("""COMPUTED_VALUE"""),3.2)</f>
        <v>3.2</v>
      </c>
      <c r="D10925" s="8">
        <f ca="1">IFERROR(__xludf.DUMMYFUNCTION("""COMPUTED_VALUE"""),3)</f>
        <v>3</v>
      </c>
      <c r="E10925" s="2">
        <f ca="1">IFERROR(__xludf.DUMMYFUNCTION("""COMPUTED_VALUE"""),1)</f>
        <v>1</v>
      </c>
    </row>
    <row r="10926" spans="1:5" ht="13">
      <c r="A10926" s="2" t="str">
        <f ca="1">IFERROR(__xludf.DUMMYFUNCTION("""COMPUTED_VALUE"""),"González Medina, José Enrique")</f>
        <v>González Medina, José Enrique</v>
      </c>
      <c r="B10926" s="3">
        <f ca="1">IFERROR(__xludf.DUMMYFUNCTION("""COMPUTED_VALUE"""),3)</f>
        <v>3</v>
      </c>
      <c r="C10926" s="7">
        <f ca="1">IFERROR(__xludf.DUMMYFUNCTION("""COMPUTED_VALUE"""),3.2)</f>
        <v>3.2</v>
      </c>
      <c r="D10926" s="8">
        <f ca="1">IFERROR(__xludf.DUMMYFUNCTION("""COMPUTED_VALUE"""),3)</f>
        <v>3</v>
      </c>
      <c r="E10926" s="2">
        <f ca="1">IFERROR(__xludf.DUMMYFUNCTION("""COMPUTED_VALUE"""),1)</f>
        <v>1</v>
      </c>
    </row>
    <row r="10927" spans="1:5" ht="13">
      <c r="A10927" s="2" t="str">
        <f ca="1">IFERROR(__xludf.DUMMYFUNCTION("""COMPUTED_VALUE"""),"Gonzalez, Cesar")</f>
        <v>Gonzalez, Cesar</v>
      </c>
      <c r="B10927" s="2">
        <f ca="1">IFERROR(__xludf.DUMMYFUNCTION("""COMPUTED_VALUE"""),3)</f>
        <v>3</v>
      </c>
      <c r="C10927" s="7">
        <f ca="1">IFERROR(__xludf.DUMMYFUNCTION("""COMPUTED_VALUE"""),3.2)</f>
        <v>3.2</v>
      </c>
      <c r="D10927" s="8">
        <f ca="1">IFERROR(__xludf.DUMMYFUNCTION("""COMPUTED_VALUE"""),3)</f>
        <v>3</v>
      </c>
      <c r="E10927" s="2">
        <f ca="1">IFERROR(__xludf.DUMMYFUNCTION("""COMPUTED_VALUE"""),1)</f>
        <v>1</v>
      </c>
    </row>
    <row r="10928" spans="1:5" ht="13">
      <c r="A10928" s="2" t="str">
        <f ca="1">IFERROR(__xludf.DUMMYFUNCTION("""COMPUTED_VALUE"""),"González, Emilio")</f>
        <v>González, Emilio</v>
      </c>
      <c r="B10928" s="3">
        <f ca="1">IFERROR(__xludf.DUMMYFUNCTION("""COMPUTED_VALUE"""),3)</f>
        <v>3</v>
      </c>
      <c r="C10928" s="7">
        <f ca="1">IFERROR(__xludf.DUMMYFUNCTION("""COMPUTED_VALUE"""),3.8)</f>
        <v>3.8</v>
      </c>
      <c r="D10928" s="8">
        <f ca="1">IFERROR(__xludf.DUMMYFUNCTION("""COMPUTED_VALUE"""),3)</f>
        <v>3</v>
      </c>
      <c r="E10928" s="2">
        <f ca="1">IFERROR(__xludf.DUMMYFUNCTION("""COMPUTED_VALUE"""),1)</f>
        <v>1</v>
      </c>
    </row>
    <row r="10929" spans="1:5" ht="13">
      <c r="A10929" s="2" t="str">
        <f ca="1">IFERROR(__xludf.DUMMYFUNCTION("""COMPUTED_VALUE"""),"González, Emilio José")</f>
        <v>González, Emilio José</v>
      </c>
      <c r="B10929" s="3">
        <f ca="1">IFERROR(__xludf.DUMMYFUNCTION("""COMPUTED_VALUE"""),3)</f>
        <v>3</v>
      </c>
      <c r="C10929" s="7">
        <f ca="1">IFERROR(__xludf.DUMMYFUNCTION("""COMPUTED_VALUE"""),3.8)</f>
        <v>3.8</v>
      </c>
      <c r="D10929" s="8">
        <f ca="1">IFERROR(__xludf.DUMMYFUNCTION("""COMPUTED_VALUE"""),3)</f>
        <v>3</v>
      </c>
      <c r="E10929" s="2">
        <f ca="1">IFERROR(__xludf.DUMMYFUNCTION("""COMPUTED_VALUE"""),1)</f>
        <v>1</v>
      </c>
    </row>
    <row r="10930" spans="1:5" ht="13">
      <c r="A10930" s="2" t="str">
        <f ca="1">IFERROR(__xludf.DUMMYFUNCTION("""COMPUTED_VALUE"""),"Goodyear, Stewart")</f>
        <v>Goodyear, Stewart</v>
      </c>
      <c r="B10930" s="3">
        <f ca="1">IFERROR(__xludf.DUMMYFUNCTION("""COMPUTED_VALUE"""),3)</f>
        <v>3</v>
      </c>
      <c r="C10930" s="7">
        <f ca="1">IFERROR(__xludf.DUMMYFUNCTION("""COMPUTED_VALUE"""),3.1)</f>
        <v>3.1</v>
      </c>
      <c r="D10930" s="8">
        <f ca="1">IFERROR(__xludf.DUMMYFUNCTION("""COMPUTED_VALUE"""),3)</f>
        <v>3</v>
      </c>
      <c r="E10930" s="2">
        <f ca="1">IFERROR(__xludf.DUMMYFUNCTION("""COMPUTED_VALUE"""),1)</f>
        <v>1</v>
      </c>
    </row>
    <row r="10931" spans="1:5" ht="13">
      <c r="A10931" s="2" t="str">
        <f ca="1">IFERROR(__xludf.DUMMYFUNCTION("""COMPUTED_VALUE"""),"Gordon, Adrian")</f>
        <v>Gordon, Adrian</v>
      </c>
      <c r="B10931" s="3">
        <f ca="1">IFERROR(__xludf.DUMMYFUNCTION("""COMPUTED_VALUE"""),3)</f>
        <v>3</v>
      </c>
      <c r="C10931" s="7">
        <f ca="1">IFERROR(__xludf.DUMMYFUNCTION("""COMPUTED_VALUE"""),3.1)</f>
        <v>3.1</v>
      </c>
      <c r="D10931" s="8">
        <f ca="1">IFERROR(__xludf.DUMMYFUNCTION("""COMPUTED_VALUE"""),3)</f>
        <v>3</v>
      </c>
      <c r="E10931" s="2">
        <f ca="1">IFERROR(__xludf.DUMMYFUNCTION("""COMPUTED_VALUE"""),1)</f>
        <v>1</v>
      </c>
    </row>
    <row r="10932" spans="1:5" ht="13">
      <c r="A10932" s="2" t="str">
        <f ca="1">IFERROR(__xludf.DUMMYFUNCTION("""COMPUTED_VALUE"""),"Gordon, Dexter")</f>
        <v>Gordon, Dexter</v>
      </c>
      <c r="B10932" s="2">
        <f ca="1">IFERROR(__xludf.DUMMYFUNCTION("""COMPUTED_VALUE"""),3)</f>
        <v>3</v>
      </c>
      <c r="C10932" s="7">
        <f ca="1">IFERROR(__xludf.DUMMYFUNCTION("""COMPUTED_VALUE"""),3.1)</f>
        <v>3.1</v>
      </c>
      <c r="D10932" s="8">
        <f ca="1">IFERROR(__xludf.DUMMYFUNCTION("""COMPUTED_VALUE"""),7)</f>
        <v>7</v>
      </c>
      <c r="E10932" s="2">
        <f ca="1">IFERROR(__xludf.DUMMYFUNCTION("""COMPUTED_VALUE"""),2)</f>
        <v>2</v>
      </c>
    </row>
    <row r="10933" spans="1:5" ht="13">
      <c r="A10933" s="2" t="str">
        <f ca="1">IFERROR(__xludf.DUMMYFUNCTION("""COMPUTED_VALUE"""),"Gordon, Wycliffe")</f>
        <v>Gordon, Wycliffe</v>
      </c>
      <c r="B10933" s="2">
        <f ca="1">IFERROR(__xludf.DUMMYFUNCTION("""COMPUTED_VALUE"""),3)</f>
        <v>3</v>
      </c>
      <c r="C10933" s="7">
        <f ca="1">IFERROR(__xludf.DUMMYFUNCTION("""COMPUTED_VALUE"""),3.1)</f>
        <v>3.1</v>
      </c>
      <c r="D10933" s="8">
        <f ca="1">IFERROR(__xludf.DUMMYFUNCTION("""COMPUTED_VALUE"""),3)</f>
        <v>3</v>
      </c>
      <c r="E10933" s="2">
        <f ca="1">IFERROR(__xludf.DUMMYFUNCTION("""COMPUTED_VALUE"""),1)</f>
        <v>1</v>
      </c>
    </row>
    <row r="10934" spans="1:5" ht="13">
      <c r="A10934" s="2" t="str">
        <f ca="1">IFERROR(__xludf.DUMMYFUNCTION("""COMPUTED_VALUE"""),"Goto, Yo")</f>
        <v>Goto, Yo</v>
      </c>
      <c r="B10934" s="3">
        <f ca="1">IFERROR(__xludf.DUMMYFUNCTION("""COMPUTED_VALUE"""),3)</f>
        <v>3</v>
      </c>
      <c r="C10934" s="7">
        <f ca="1">IFERROR(__xludf.DUMMYFUNCTION("""COMPUTED_VALUE"""),3.3)</f>
        <v>3.3</v>
      </c>
      <c r="D10934" s="8">
        <f ca="1">IFERROR(__xludf.DUMMYFUNCTION("""COMPUTED_VALUE"""),3)</f>
        <v>3</v>
      </c>
      <c r="E10934" s="2">
        <f ca="1">IFERROR(__xludf.DUMMYFUNCTION("""COMPUTED_VALUE"""),1)</f>
        <v>1</v>
      </c>
    </row>
    <row r="10935" spans="1:5" ht="13">
      <c r="A10935" s="2" t="str">
        <f ca="1">IFERROR(__xludf.DUMMYFUNCTION("""COMPUTED_VALUE"""),"Gottfried, Yaron")</f>
        <v>Gottfried, Yaron</v>
      </c>
      <c r="B10935" s="3">
        <f ca="1">IFERROR(__xludf.DUMMYFUNCTION("""COMPUTED_VALUE"""),3)</f>
        <v>3</v>
      </c>
      <c r="C10935" s="7">
        <f ca="1">IFERROR(__xludf.DUMMYFUNCTION("""COMPUTED_VALUE"""),3.5)</f>
        <v>3.5</v>
      </c>
      <c r="D10935" s="8">
        <f ca="1">IFERROR(__xludf.DUMMYFUNCTION("""COMPUTED_VALUE"""),3)</f>
        <v>3</v>
      </c>
      <c r="E10935" s="2">
        <f ca="1">IFERROR(__xludf.DUMMYFUNCTION("""COMPUTED_VALUE"""),1)</f>
        <v>1</v>
      </c>
    </row>
    <row r="10936" spans="1:5" ht="13">
      <c r="A10936" s="2" t="str">
        <f ca="1">IFERROR(__xludf.DUMMYFUNCTION("""COMPUTED_VALUE"""),"Goulart, Renato")</f>
        <v>Goulart, Renato</v>
      </c>
      <c r="B10936" s="2">
        <f ca="1">IFERROR(__xludf.DUMMYFUNCTION("""COMPUTED_VALUE"""),3)</f>
        <v>3</v>
      </c>
      <c r="C10936" s="7">
        <f ca="1">IFERROR(__xludf.DUMMYFUNCTION("""COMPUTED_VALUE"""),3.2)</f>
        <v>3.2</v>
      </c>
      <c r="D10936" s="8">
        <f ca="1">IFERROR(__xludf.DUMMYFUNCTION("""COMPUTED_VALUE"""),3)</f>
        <v>3</v>
      </c>
      <c r="E10936" s="2">
        <f ca="1">IFERROR(__xludf.DUMMYFUNCTION("""COMPUTED_VALUE"""),1)</f>
        <v>1</v>
      </c>
    </row>
    <row r="10937" spans="1:5" ht="13">
      <c r="A10937" s="2" t="str">
        <f ca="1">IFERROR(__xludf.DUMMYFUNCTION("""COMPUTED_VALUE"""),"Graham, Brandon")</f>
        <v>Graham, Brandon</v>
      </c>
      <c r="B10937" s="3">
        <f ca="1">IFERROR(__xludf.DUMMYFUNCTION("""COMPUTED_VALUE"""),3)</f>
        <v>3</v>
      </c>
      <c r="C10937" s="7">
        <f ca="1">IFERROR(__xludf.DUMMYFUNCTION("""COMPUTED_VALUE"""),3.1)</f>
        <v>3.1</v>
      </c>
      <c r="D10937" s="8">
        <f ca="1">IFERROR(__xludf.DUMMYFUNCTION("""COMPUTED_VALUE"""),3)</f>
        <v>3</v>
      </c>
      <c r="E10937" s="2">
        <f ca="1">IFERROR(__xludf.DUMMYFUNCTION("""COMPUTED_VALUE"""),1)</f>
        <v>1</v>
      </c>
    </row>
    <row r="10938" spans="1:5" ht="13">
      <c r="A10938" s="8" t="str">
        <f ca="1">IFERROR(__xludf.DUMMYFUNCTION("""COMPUTED_VALUE"""),"Grant, Marcus")</f>
        <v>Grant, Marcus</v>
      </c>
      <c r="B10938" s="3">
        <f ca="1">IFERROR(__xludf.DUMMYFUNCTION("""COMPUTED_VALUE"""),3)</f>
        <v>3</v>
      </c>
      <c r="C10938" s="7">
        <f ca="1">IFERROR(__xludf.DUMMYFUNCTION("""COMPUTED_VALUE"""),3.1)</f>
        <v>3.1</v>
      </c>
      <c r="D10938" s="8">
        <f ca="1">IFERROR(__xludf.DUMMYFUNCTION("""COMPUTED_VALUE"""),3)</f>
        <v>3</v>
      </c>
      <c r="E10938" s="2">
        <f ca="1">IFERROR(__xludf.DUMMYFUNCTION("""COMPUTED_VALUE"""),1)</f>
        <v>1</v>
      </c>
    </row>
    <row r="10939" spans="1:5" ht="13">
      <c r="A10939" s="2" t="str">
        <f ca="1">IFERROR(__xludf.DUMMYFUNCTION("""COMPUTED_VALUE"""),"Grant, Rodgers")</f>
        <v>Grant, Rodgers</v>
      </c>
      <c r="B10939" s="2">
        <f ca="1">IFERROR(__xludf.DUMMYFUNCTION("""COMPUTED_VALUE"""),3)</f>
        <v>3</v>
      </c>
      <c r="C10939" s="7">
        <f ca="1">IFERROR(__xludf.DUMMYFUNCTION("""COMPUTED_VALUE"""),3.1)</f>
        <v>3.1</v>
      </c>
      <c r="D10939" s="8">
        <f ca="1">IFERROR(__xludf.DUMMYFUNCTION("""COMPUTED_VALUE"""),7)</f>
        <v>7</v>
      </c>
      <c r="E10939" s="2">
        <f ca="1">IFERROR(__xludf.DUMMYFUNCTION("""COMPUTED_VALUE"""),2)</f>
        <v>2</v>
      </c>
    </row>
    <row r="10940" spans="1:5" ht="13">
      <c r="A10940" s="2" t="str">
        <f ca="1">IFERROR(__xludf.DUMMYFUNCTION("""COMPUTED_VALUE"""),"Grases, Cristian")</f>
        <v>Grases, Cristian</v>
      </c>
      <c r="B10940" s="3">
        <f ca="1">IFERROR(__xludf.DUMMYFUNCTION("""COMPUTED_VALUE"""),3)</f>
        <v>3</v>
      </c>
      <c r="C10940" s="7">
        <f ca="1">IFERROR(__xludf.DUMMYFUNCTION("""COMPUTED_VALUE"""),3.2)</f>
        <v>3.2</v>
      </c>
      <c r="D10940" s="8">
        <f ca="1">IFERROR(__xludf.DUMMYFUNCTION("""COMPUTED_VALUE"""),3)</f>
        <v>3</v>
      </c>
      <c r="E10940" s="2">
        <f ca="1">IFERROR(__xludf.DUMMYFUNCTION("""COMPUTED_VALUE"""),1)</f>
        <v>1</v>
      </c>
    </row>
    <row r="10941" spans="1:5" ht="13">
      <c r="A10941" s="8" t="str">
        <f ca="1">IFERROR(__xludf.DUMMYFUNCTION("""COMPUTED_VALUE"""),"Grau, Alberto")</f>
        <v>Grau, Alberto</v>
      </c>
      <c r="B10941" s="3">
        <f ca="1">IFERROR(__xludf.DUMMYFUNCTION("""COMPUTED_VALUE"""),3)</f>
        <v>3</v>
      </c>
      <c r="C10941" s="7">
        <f ca="1">IFERROR(__xludf.DUMMYFUNCTION("""COMPUTED_VALUE"""),3.2)</f>
        <v>3.2</v>
      </c>
      <c r="D10941" s="8">
        <f ca="1">IFERROR(__xludf.DUMMYFUNCTION("""COMPUTED_VALUE"""),3)</f>
        <v>3</v>
      </c>
      <c r="E10941" s="2">
        <f ca="1">IFERROR(__xludf.DUMMYFUNCTION("""COMPUTED_VALUE"""),1)</f>
        <v>1</v>
      </c>
    </row>
    <row r="10942" spans="1:5" ht="13">
      <c r="A10942" s="8" t="str">
        <f ca="1">IFERROR(__xludf.DUMMYFUNCTION("""COMPUTED_VALUE"""),"Grau, Gonzalo")</f>
        <v>Grau, Gonzalo</v>
      </c>
      <c r="B10942" s="3">
        <f ca="1">IFERROR(__xludf.DUMMYFUNCTION("""COMPUTED_VALUE"""),3)</f>
        <v>3</v>
      </c>
      <c r="C10942" s="7">
        <f ca="1">IFERROR(__xludf.DUMMYFUNCTION("""COMPUTED_VALUE"""),3.2)</f>
        <v>3.2</v>
      </c>
      <c r="D10942" s="8">
        <f ca="1">IFERROR(__xludf.DUMMYFUNCTION("""COMPUTED_VALUE"""),3)</f>
        <v>3</v>
      </c>
      <c r="E10942" s="2">
        <f ca="1">IFERROR(__xludf.DUMMYFUNCTION("""COMPUTED_VALUE"""),1)</f>
        <v>1</v>
      </c>
    </row>
    <row r="10943" spans="1:5" ht="13">
      <c r="A10943" s="2" t="str">
        <f ca="1">IFERROR(__xludf.DUMMYFUNCTION("""COMPUTED_VALUE"""),"Green, Al / Mitchell, Willie")</f>
        <v>Green, Al / Mitchell, Willie</v>
      </c>
      <c r="B10943" s="3">
        <f ca="1">IFERROR(__xludf.DUMMYFUNCTION("""COMPUTED_VALUE"""),3)</f>
        <v>3</v>
      </c>
      <c r="C10943" s="7">
        <f ca="1">IFERROR(__xludf.DUMMYFUNCTION("""COMPUTED_VALUE"""),3.1)</f>
        <v>3.1</v>
      </c>
      <c r="D10943" s="8">
        <f ca="1">IFERROR(__xludf.DUMMYFUNCTION("""COMPUTED_VALUE"""),3)</f>
        <v>3</v>
      </c>
      <c r="E10943" s="2">
        <f ca="1">IFERROR(__xludf.DUMMYFUNCTION("""COMPUTED_VALUE"""),1)</f>
        <v>1</v>
      </c>
    </row>
    <row r="10944" spans="1:5" ht="13">
      <c r="A10944" s="2" t="str">
        <f ca="1">IFERROR(__xludf.DUMMYFUNCTION("""COMPUTED_VALUE"""),"Green, Freddie")</f>
        <v>Green, Freddie</v>
      </c>
      <c r="B10944" s="2">
        <f ca="1">IFERROR(__xludf.DUMMYFUNCTION("""COMPUTED_VALUE"""),3)</f>
        <v>3</v>
      </c>
      <c r="C10944" s="7">
        <f ca="1">IFERROR(__xludf.DUMMYFUNCTION("""COMPUTED_VALUE"""),3.1)</f>
        <v>3.1</v>
      </c>
      <c r="D10944" s="8">
        <f ca="1">IFERROR(__xludf.DUMMYFUNCTION("""COMPUTED_VALUE"""),7)</f>
        <v>7</v>
      </c>
      <c r="E10944" s="2">
        <f ca="1">IFERROR(__xludf.DUMMYFUNCTION("""COMPUTED_VALUE"""),2)</f>
        <v>2</v>
      </c>
    </row>
    <row r="10945" spans="1:5" ht="13">
      <c r="A10945" s="2" t="str">
        <f ca="1">IFERROR(__xludf.DUMMYFUNCTION("""COMPUTED_VALUE"""),"Green, James")</f>
        <v>Green, James</v>
      </c>
      <c r="B10945" s="3">
        <f ca="1">IFERROR(__xludf.DUMMYFUNCTION("""COMPUTED_VALUE"""),3)</f>
        <v>3</v>
      </c>
      <c r="C10945" s="7">
        <f ca="1">IFERROR(__xludf.DUMMYFUNCTION("""COMPUTED_VALUE"""),3.7)</f>
        <v>3.7</v>
      </c>
      <c r="D10945" s="8">
        <f ca="1">IFERROR(__xludf.DUMMYFUNCTION("""COMPUTED_VALUE"""),3)</f>
        <v>3</v>
      </c>
      <c r="E10945" s="2">
        <f ca="1">IFERROR(__xludf.DUMMYFUNCTION("""COMPUTED_VALUE"""),1)</f>
        <v>1</v>
      </c>
    </row>
    <row r="10946" spans="1:5" ht="13">
      <c r="A10946" s="2" t="str">
        <f ca="1">IFERROR(__xludf.DUMMYFUNCTION("""COMPUTED_VALUE"""),"Green, Joseph")</f>
        <v>Green, Joseph</v>
      </c>
      <c r="B10946" s="3">
        <f ca="1">IFERROR(__xludf.DUMMYFUNCTION("""COMPUTED_VALUE"""),3)</f>
        <v>3</v>
      </c>
      <c r="C10946" s="7">
        <f ca="1">IFERROR(__xludf.DUMMYFUNCTION("""COMPUTED_VALUE"""),3.1)</f>
        <v>3.1</v>
      </c>
      <c r="D10946" s="8">
        <f ca="1">IFERROR(__xludf.DUMMYFUNCTION("""COMPUTED_VALUE"""),7)</f>
        <v>7</v>
      </c>
      <c r="E10946" s="2">
        <f ca="1">IFERROR(__xludf.DUMMYFUNCTION("""COMPUTED_VALUE"""),2)</f>
        <v>2</v>
      </c>
    </row>
    <row r="10947" spans="1:5" ht="13">
      <c r="A10947" s="8" t="str">
        <f ca="1">IFERROR(__xludf.DUMMYFUNCTION("""COMPUTED_VALUE"""),"Greywoode, Jacinth")</f>
        <v>Greywoode, Jacinth</v>
      </c>
      <c r="B10947" s="3">
        <f ca="1">IFERROR(__xludf.DUMMYFUNCTION("""COMPUTED_VALUE"""),3)</f>
        <v>3</v>
      </c>
      <c r="C10947" s="7">
        <f ca="1">IFERROR(__xludf.DUMMYFUNCTION("""COMPUTED_VALUE"""),3.1)</f>
        <v>3.1</v>
      </c>
      <c r="D10947" s="8">
        <f ca="1">IFERROR(__xludf.DUMMYFUNCTION("""COMPUTED_VALUE"""),3)</f>
        <v>3</v>
      </c>
      <c r="E10947" s="2">
        <f ca="1">IFERROR(__xludf.DUMMYFUNCTION("""COMPUTED_VALUE"""),1)</f>
        <v>1</v>
      </c>
    </row>
    <row r="10948" spans="1:5" ht="13">
      <c r="A10948" s="2" t="str">
        <f ca="1">IFERROR(__xludf.DUMMYFUNCTION("""COMPUTED_VALUE"""),"Griffin, Patty / Hardeman, Jherrard")</f>
        <v>Griffin, Patty / Hardeman, Jherrard</v>
      </c>
      <c r="B10948" s="3">
        <f ca="1">IFERROR(__xludf.DUMMYFUNCTION("""COMPUTED_VALUE"""),3)</f>
        <v>3</v>
      </c>
      <c r="C10948" s="7">
        <f ca="1">IFERROR(__xludf.DUMMYFUNCTION("""COMPUTED_VALUE"""),3.1)</f>
        <v>3.1</v>
      </c>
      <c r="D10948" s="8">
        <f ca="1">IFERROR(__xludf.DUMMYFUNCTION("""COMPUTED_VALUE"""),3)</f>
        <v>3</v>
      </c>
      <c r="E10948" s="2">
        <f ca="1">IFERROR(__xludf.DUMMYFUNCTION("""COMPUTED_VALUE"""),1)</f>
        <v>1</v>
      </c>
    </row>
    <row r="10949" spans="1:5" ht="13">
      <c r="A10949" s="2" t="str">
        <f ca="1">IFERROR(__xludf.DUMMYFUNCTION("""COMPUTED_VALUE"""),"Grundy, Randy / Gainer, P.")</f>
        <v>Grundy, Randy / Gainer, P.</v>
      </c>
      <c r="B10949" s="3">
        <f ca="1">IFERROR(__xludf.DUMMYFUNCTION("""COMPUTED_VALUE"""),3)</f>
        <v>3</v>
      </c>
      <c r="C10949" s="7">
        <f ca="1">IFERROR(__xludf.DUMMYFUNCTION("""COMPUTED_VALUE"""),3.1)</f>
        <v>3.1</v>
      </c>
      <c r="D10949" s="8">
        <f ca="1">IFERROR(__xludf.DUMMYFUNCTION("""COMPUTED_VALUE"""),7)</f>
        <v>7</v>
      </c>
      <c r="E10949" s="2">
        <f ca="1">IFERROR(__xludf.DUMMYFUNCTION("""COMPUTED_VALUE"""),2)</f>
        <v>2</v>
      </c>
    </row>
    <row r="10950" spans="1:5" ht="13">
      <c r="A10950" s="2" t="str">
        <f ca="1">IFERROR(__xludf.DUMMYFUNCTION("""COMPUTED_VALUE"""),"Gryce, Gigi")</f>
        <v>Gryce, Gigi</v>
      </c>
      <c r="B10950" s="2">
        <f ca="1">IFERROR(__xludf.DUMMYFUNCTION("""COMPUTED_VALUE"""),3)</f>
        <v>3</v>
      </c>
      <c r="C10950" s="7">
        <f ca="1">IFERROR(__xludf.DUMMYFUNCTION("""COMPUTED_VALUE"""),3.1)</f>
        <v>3.1</v>
      </c>
      <c r="D10950" s="8">
        <f ca="1">IFERROR(__xludf.DUMMYFUNCTION("""COMPUTED_VALUE"""),7)</f>
        <v>7</v>
      </c>
      <c r="E10950" s="2">
        <f ca="1">IFERROR(__xludf.DUMMYFUNCTION("""COMPUTED_VALUE"""),2)</f>
        <v>2</v>
      </c>
    </row>
    <row r="10951" spans="1:5" ht="13">
      <c r="A10951" s="2" t="str">
        <f ca="1">IFERROR(__xludf.DUMMYFUNCTION("""COMPUTED_VALUE"""),"Guan Xia")</f>
        <v>Guan Xia</v>
      </c>
      <c r="B10951" s="3">
        <f ca="1">IFERROR(__xludf.DUMMYFUNCTION("""COMPUTED_VALUE"""),3)</f>
        <v>3</v>
      </c>
      <c r="C10951" s="7">
        <f ca="1">IFERROR(__xludf.DUMMYFUNCTION("""COMPUTED_VALUE"""),3.3)</f>
        <v>3.3</v>
      </c>
      <c r="D10951" s="8">
        <f ca="1">IFERROR(__xludf.DUMMYFUNCTION("""COMPUTED_VALUE"""),3)</f>
        <v>3</v>
      </c>
      <c r="E10951" s="2">
        <f ca="1">IFERROR(__xludf.DUMMYFUNCTION("""COMPUTED_VALUE"""),1)</f>
        <v>1</v>
      </c>
    </row>
    <row r="10952" spans="1:5" ht="13">
      <c r="A10952" s="2" t="str">
        <f ca="1">IFERROR(__xludf.DUMMYFUNCTION("""COMPUTED_VALUE"""),"Guardia, Alejandro")</f>
        <v>Guardia, Alejandro</v>
      </c>
      <c r="B10952" s="3">
        <f ca="1">IFERROR(__xludf.DUMMYFUNCTION("""COMPUTED_VALUE"""),3)</f>
        <v>3</v>
      </c>
      <c r="C10952" s="7">
        <f ca="1">IFERROR(__xludf.DUMMYFUNCTION("""COMPUTED_VALUE"""),3.2)</f>
        <v>3.2</v>
      </c>
      <c r="D10952" s="8">
        <f ca="1">IFERROR(__xludf.DUMMYFUNCTION("""COMPUTED_VALUE"""),3)</f>
        <v>3</v>
      </c>
      <c r="E10952" s="2">
        <f ca="1">IFERROR(__xludf.DUMMYFUNCTION("""COMPUTED_VALUE"""),1)</f>
        <v>1</v>
      </c>
    </row>
    <row r="10953" spans="1:5" ht="13">
      <c r="A10953" s="2" t="str">
        <f ca="1">IFERROR(__xludf.DUMMYFUNCTION("""COMPUTED_VALUE"""),"Guarnieri, Camargo")</f>
        <v>Guarnieri, Camargo</v>
      </c>
      <c r="B10953" s="3">
        <f ca="1">IFERROR(__xludf.DUMMYFUNCTION("""COMPUTED_VALUE"""),3)</f>
        <v>3</v>
      </c>
      <c r="C10953" s="7">
        <f ca="1">IFERROR(__xludf.DUMMYFUNCTION("""COMPUTED_VALUE"""),3.3)</f>
        <v>3.3</v>
      </c>
      <c r="D10953" s="8">
        <f ca="1">IFERROR(__xludf.DUMMYFUNCTION("""COMPUTED_VALUE"""),7)</f>
        <v>7</v>
      </c>
      <c r="E10953" s="2">
        <f ca="1">IFERROR(__xludf.DUMMYFUNCTION("""COMPUTED_VALUE"""),2)</f>
        <v>2</v>
      </c>
    </row>
    <row r="10954" spans="1:5" ht="13">
      <c r="A10954" s="8" t="str">
        <f ca="1">IFERROR(__xludf.DUMMYFUNCTION("""COMPUTED_VALUE"""),"Guastavino, Carlos")</f>
        <v>Guastavino, Carlos</v>
      </c>
      <c r="B10954" s="3">
        <f ca="1">IFERROR(__xludf.DUMMYFUNCTION("""COMPUTED_VALUE"""),3)</f>
        <v>3</v>
      </c>
      <c r="C10954" s="7">
        <f ca="1">IFERROR(__xludf.DUMMYFUNCTION("""COMPUTED_VALUE"""),3.2)</f>
        <v>3.2</v>
      </c>
      <c r="D10954" s="8">
        <f ca="1">IFERROR(__xludf.DUMMYFUNCTION("""COMPUTED_VALUE"""),7)</f>
        <v>7</v>
      </c>
      <c r="E10954" s="2">
        <f ca="1">IFERROR(__xludf.DUMMYFUNCTION("""COMPUTED_VALUE"""),2)</f>
        <v>2</v>
      </c>
    </row>
    <row r="10955" spans="1:5" ht="13">
      <c r="A10955" s="8" t="str">
        <f ca="1">IFERROR(__xludf.DUMMYFUNCTION("""COMPUTED_VALUE"""),"Guerra-Peixe, César")</f>
        <v>Guerra-Peixe, César</v>
      </c>
      <c r="B10955" s="3">
        <f ca="1">IFERROR(__xludf.DUMMYFUNCTION("""COMPUTED_VALUE"""),3)</f>
        <v>3</v>
      </c>
      <c r="C10955" s="7">
        <f ca="1">IFERROR(__xludf.DUMMYFUNCTION("""COMPUTED_VALUE"""),3.2)</f>
        <v>3.2</v>
      </c>
      <c r="D10955" s="8">
        <f ca="1">IFERROR(__xludf.DUMMYFUNCTION("""COMPUTED_VALUE"""),7)</f>
        <v>7</v>
      </c>
      <c r="E10955" s="2">
        <f ca="1">IFERROR(__xludf.DUMMYFUNCTION("""COMPUTED_VALUE"""),2)</f>
        <v>2</v>
      </c>
    </row>
    <row r="10956" spans="1:5" ht="13">
      <c r="A10956" s="2" t="str">
        <f ca="1">IFERROR(__xludf.DUMMYFUNCTION("""COMPUTED_VALUE"""),"Guerra-Peixe, César / Pereira, Clóvis")</f>
        <v>Guerra-Peixe, César / Pereira, Clóvis</v>
      </c>
      <c r="B10956" s="3">
        <f ca="1">IFERROR(__xludf.DUMMYFUNCTION("""COMPUTED_VALUE"""),3)</f>
        <v>3</v>
      </c>
      <c r="C10956" s="7">
        <f ca="1">IFERROR(__xludf.DUMMYFUNCTION("""COMPUTED_VALUE"""),3.2)</f>
        <v>3.2</v>
      </c>
      <c r="D10956" s="8">
        <f ca="1">IFERROR(__xludf.DUMMYFUNCTION("""COMPUTED_VALUE"""),7)</f>
        <v>7</v>
      </c>
      <c r="E10956" s="2">
        <f ca="1">IFERROR(__xludf.DUMMYFUNCTION("""COMPUTED_VALUE"""),2)</f>
        <v>2</v>
      </c>
    </row>
    <row r="10957" spans="1:5" ht="13">
      <c r="A10957" s="2" t="str">
        <f ca="1">IFERROR(__xludf.DUMMYFUNCTION("""COMPUTED_VALUE"""),"Guevara, Gerardo")</f>
        <v>Guevara, Gerardo</v>
      </c>
      <c r="B10957" s="3">
        <f ca="1">IFERROR(__xludf.DUMMYFUNCTION("""COMPUTED_VALUE"""),3)</f>
        <v>3</v>
      </c>
      <c r="C10957" s="7">
        <f ca="1">IFERROR(__xludf.DUMMYFUNCTION("""COMPUTED_VALUE"""),3.2)</f>
        <v>3.2</v>
      </c>
      <c r="D10957" s="8">
        <f ca="1">IFERROR(__xludf.DUMMYFUNCTION("""COMPUTED_VALUE"""),3)</f>
        <v>3</v>
      </c>
      <c r="E10957" s="2">
        <f ca="1">IFERROR(__xludf.DUMMYFUNCTION("""COMPUTED_VALUE"""),1)</f>
        <v>1</v>
      </c>
    </row>
    <row r="10958" spans="1:5" ht="13">
      <c r="A10958" s="2" t="str">
        <f ca="1">IFERROR(__xludf.DUMMYFUNCTION("""COMPUTED_VALUE"""),"Guillaume, Sydney")</f>
        <v>Guillaume, Sydney</v>
      </c>
      <c r="B10958" s="3">
        <f ca="1">IFERROR(__xludf.DUMMYFUNCTION("""COMPUTED_VALUE"""),3)</f>
        <v>3</v>
      </c>
      <c r="C10958" s="7">
        <f ca="1">IFERROR(__xludf.DUMMYFUNCTION("""COMPUTED_VALUE"""),3.1)</f>
        <v>3.1</v>
      </c>
      <c r="D10958" s="8">
        <f ca="1">IFERROR(__xludf.DUMMYFUNCTION("""COMPUTED_VALUE"""),3)</f>
        <v>3</v>
      </c>
      <c r="E10958" s="2">
        <f ca="1">IFERROR(__xludf.DUMMYFUNCTION("""COMPUTED_VALUE"""),1)</f>
        <v>1</v>
      </c>
    </row>
    <row r="10959" spans="1:5" ht="13">
      <c r="A10959" s="2" t="str">
        <f ca="1">IFERROR(__xludf.DUMMYFUNCTION("""COMPUTED_VALUE"""),"Guillen, Nicolas")</f>
        <v>Guillen, Nicolas</v>
      </c>
      <c r="B10959" s="3">
        <f ca="1">IFERROR(__xludf.DUMMYFUNCTION("""COMPUTED_VALUE"""),3)</f>
        <v>3</v>
      </c>
      <c r="C10959" s="7">
        <f ca="1">IFERROR(__xludf.DUMMYFUNCTION("""COMPUTED_VALUE"""),3.2)</f>
        <v>3.2</v>
      </c>
      <c r="D10959" s="8">
        <f ca="1">IFERROR(__xludf.DUMMYFUNCTION("""COMPUTED_VALUE"""),7)</f>
        <v>7</v>
      </c>
      <c r="E10959" s="2">
        <f ca="1">IFERROR(__xludf.DUMMYFUNCTION("""COMPUTED_VALUE"""),2)</f>
        <v>2</v>
      </c>
    </row>
    <row r="10960" spans="1:5" ht="13">
      <c r="A10960" s="2" t="str">
        <f ca="1">IFERROR(__xludf.DUMMYFUNCTION("""COMPUTED_VALUE"""),"Guraieb, Rosa")</f>
        <v>Guraieb, Rosa</v>
      </c>
      <c r="B10960" s="3">
        <f ca="1">IFERROR(__xludf.DUMMYFUNCTION("""COMPUTED_VALUE"""),3)</f>
        <v>3</v>
      </c>
      <c r="C10960" s="7">
        <f ca="1">IFERROR(__xludf.DUMMYFUNCTION("""COMPUTED_VALUE"""),3.2)</f>
        <v>3.2</v>
      </c>
      <c r="D10960" s="8">
        <f ca="1">IFERROR(__xludf.DUMMYFUNCTION("""COMPUTED_VALUE"""),7)</f>
        <v>7</v>
      </c>
      <c r="E10960" s="2">
        <f ca="1">IFERROR(__xludf.DUMMYFUNCTION("""COMPUTED_VALUE"""),2)</f>
        <v>2</v>
      </c>
    </row>
    <row r="10961" spans="1:5" ht="13">
      <c r="A10961" s="2" t="str">
        <f ca="1">IFERROR(__xludf.DUMMYFUNCTION("""COMPUTED_VALUE"""),"Gutiérrez, Pedro Elías")</f>
        <v>Gutiérrez, Pedro Elías</v>
      </c>
      <c r="B10961" s="3">
        <f ca="1">IFERROR(__xludf.DUMMYFUNCTION("""COMPUTED_VALUE"""),3)</f>
        <v>3</v>
      </c>
      <c r="C10961" s="7">
        <f ca="1">IFERROR(__xludf.DUMMYFUNCTION("""COMPUTED_VALUE"""),3.2)</f>
        <v>3.2</v>
      </c>
      <c r="D10961" s="8">
        <f ca="1">IFERROR(__xludf.DUMMYFUNCTION("""COMPUTED_VALUE"""),7)</f>
        <v>7</v>
      </c>
      <c r="E10961" s="2">
        <f ca="1">IFERROR(__xludf.DUMMYFUNCTION("""COMPUTED_VALUE"""),2)</f>
        <v>2</v>
      </c>
    </row>
    <row r="10962" spans="1:5" ht="13">
      <c r="A10962" s="2" t="str">
        <f ca="1">IFERROR(__xludf.DUMMYFUNCTION("""COMPUTED_VALUE"""),"Guven, Cem")</f>
        <v>Guven, Cem</v>
      </c>
      <c r="B10962" s="2">
        <f ca="1">IFERROR(__xludf.DUMMYFUNCTION("""COMPUTED_VALUE"""),3)</f>
        <v>3</v>
      </c>
      <c r="C10962" s="7">
        <f ca="1">IFERROR(__xludf.DUMMYFUNCTION("""COMPUTED_VALUE"""),3.5)</f>
        <v>3.5</v>
      </c>
      <c r="D10962" s="8">
        <f ca="1">IFERROR(__xludf.DUMMYFUNCTION("""COMPUTED_VALUE"""),3)</f>
        <v>3</v>
      </c>
      <c r="E10962" s="2">
        <f ca="1">IFERROR(__xludf.DUMMYFUNCTION("""COMPUTED_VALUE"""),1)</f>
        <v>1</v>
      </c>
    </row>
    <row r="10963" spans="1:5" ht="13">
      <c r="A10963" s="2" t="str">
        <f ca="1">IFERROR(__xludf.DUMMYFUNCTION("""COMPUTED_VALUE"""),"Guzmán, Édgar")</f>
        <v>Guzmán, Édgar</v>
      </c>
      <c r="B10963" s="3">
        <f ca="1">IFERROR(__xludf.DUMMYFUNCTION("""COMPUTED_VALUE"""),3)</f>
        <v>3</v>
      </c>
      <c r="C10963" s="7">
        <f ca="1">IFERROR(__xludf.DUMMYFUNCTION("""COMPUTED_VALUE"""),3.2)</f>
        <v>3.2</v>
      </c>
      <c r="D10963" s="8">
        <f ca="1">IFERROR(__xludf.DUMMYFUNCTION("""COMPUTED_VALUE"""),7)</f>
        <v>7</v>
      </c>
      <c r="E10963" s="2">
        <f ca="1">IFERROR(__xludf.DUMMYFUNCTION("""COMPUTED_VALUE"""),2)</f>
        <v>2</v>
      </c>
    </row>
    <row r="10964" spans="1:5" ht="13">
      <c r="A10964" s="8" t="str">
        <f ca="1">IFERROR(__xludf.DUMMYFUNCTION("""COMPUTED_VALUE"""),"Guzman, Jesus ""Chuy""")</f>
        <v>Guzman, Jesus "Chuy"</v>
      </c>
      <c r="B10964" s="3">
        <f ca="1">IFERROR(__xludf.DUMMYFUNCTION("""COMPUTED_VALUE"""),3)</f>
        <v>3</v>
      </c>
      <c r="C10964" s="7">
        <f ca="1">IFERROR(__xludf.DUMMYFUNCTION("""COMPUTED_VALUE"""),3.2)</f>
        <v>3.2</v>
      </c>
      <c r="D10964" s="8">
        <f ca="1">IFERROR(__xludf.DUMMYFUNCTION("""COMPUTED_VALUE"""),3)</f>
        <v>3</v>
      </c>
      <c r="E10964" s="2">
        <f ca="1">IFERROR(__xludf.DUMMYFUNCTION("""COMPUTED_VALUE"""),1)</f>
        <v>1</v>
      </c>
    </row>
    <row r="10965" spans="1:5" ht="13">
      <c r="A10965" s="2" t="str">
        <f ca="1">IFERROR(__xludf.DUMMYFUNCTION("""COMPUTED_VALUE"""),"Guzmán, Juan Tony")</f>
        <v>Guzmán, Juan Tony</v>
      </c>
      <c r="B10965" s="3">
        <f ca="1">IFERROR(__xludf.DUMMYFUNCTION("""COMPUTED_VALUE"""),3)</f>
        <v>3</v>
      </c>
      <c r="C10965" s="7">
        <f ca="1">IFERROR(__xludf.DUMMYFUNCTION("""COMPUTED_VALUE"""),3.2)</f>
        <v>3.2</v>
      </c>
      <c r="D10965" s="8">
        <f ca="1">IFERROR(__xludf.DUMMYFUNCTION("""COMPUTED_VALUE"""),3)</f>
        <v>3</v>
      </c>
      <c r="E10965" s="2">
        <f ca="1">IFERROR(__xludf.DUMMYFUNCTION("""COMPUTED_VALUE"""),1)</f>
        <v>1</v>
      </c>
    </row>
    <row r="10966" spans="1:5" ht="13">
      <c r="A10966" s="2" t="str">
        <f ca="1">IFERROR(__xludf.DUMMYFUNCTION("""COMPUTED_VALUE"""),"Guzmán, Juan Tony / Martinez, Rafaelito")</f>
        <v>Guzmán, Juan Tony / Martinez, Rafaelito</v>
      </c>
      <c r="B10966" s="3">
        <f ca="1">IFERROR(__xludf.DUMMYFUNCTION("""COMPUTED_VALUE"""),3)</f>
        <v>3</v>
      </c>
      <c r="C10966" s="7">
        <f ca="1">IFERROR(__xludf.DUMMYFUNCTION("""COMPUTED_VALUE"""),3.2)</f>
        <v>3.2</v>
      </c>
      <c r="D10966" s="8">
        <f ca="1">IFERROR(__xludf.DUMMYFUNCTION("""COMPUTED_VALUE"""),3)</f>
        <v>3</v>
      </c>
      <c r="E10966" s="2">
        <f ca="1">IFERROR(__xludf.DUMMYFUNCTION("""COMPUTED_VALUE"""),1)</f>
        <v>1</v>
      </c>
    </row>
    <row r="10967" spans="1:5" ht="13">
      <c r="A10967" s="2" t="str">
        <f ca="1">IFERROR(__xludf.DUMMYFUNCTION("""COMPUTED_VALUE"""),"Gypsy Kings")</f>
        <v>Gypsy Kings</v>
      </c>
      <c r="B10967" s="3">
        <f ca="1">IFERROR(__xludf.DUMMYFUNCTION("""COMPUTED_VALUE"""),3)</f>
        <v>3</v>
      </c>
      <c r="C10967" s="7">
        <f ca="1">IFERROR(__xludf.DUMMYFUNCTION("""COMPUTED_VALUE"""),3.2)</f>
        <v>3.2</v>
      </c>
      <c r="D10967" s="8">
        <f ca="1">IFERROR(__xludf.DUMMYFUNCTION("""COMPUTED_VALUE"""),3)</f>
        <v>3</v>
      </c>
      <c r="E10967" s="2">
        <f ca="1">IFERROR(__xludf.DUMMYFUNCTION("""COMPUTED_VALUE"""),1)</f>
        <v>1</v>
      </c>
    </row>
    <row r="10968" spans="1:5" ht="13">
      <c r="A10968" s="2" t="str">
        <f ca="1">IFERROR(__xludf.DUMMYFUNCTION("""COMPUTED_VALUE"""),"Habibi, Iman")</f>
        <v>Habibi, Iman</v>
      </c>
      <c r="B10968" s="3">
        <f ca="1">IFERROR(__xludf.DUMMYFUNCTION("""COMPUTED_VALUE"""),3)</f>
        <v>3</v>
      </c>
      <c r="C10968" s="7">
        <f ca="1">IFERROR(__xludf.DUMMYFUNCTION("""COMPUTED_VALUE"""),3.5)</f>
        <v>3.5</v>
      </c>
      <c r="D10968" s="8">
        <f ca="1">IFERROR(__xludf.DUMMYFUNCTION("""COMPUTED_VALUE"""),3)</f>
        <v>3</v>
      </c>
      <c r="E10968" s="2">
        <f ca="1">IFERROR(__xludf.DUMMYFUNCTION("""COMPUTED_VALUE"""),1)</f>
        <v>1</v>
      </c>
    </row>
    <row r="10969" spans="1:5" ht="13">
      <c r="A10969" s="2" t="str">
        <f ca="1">IFERROR(__xludf.DUMMYFUNCTION("""COMPUTED_VALUE"""),"Hadar, Joseph")</f>
        <v>Hadar, Joseph</v>
      </c>
      <c r="B10969" s="2">
        <f ca="1">IFERROR(__xludf.DUMMYFUNCTION("""COMPUTED_VALUE"""),3)</f>
        <v>3</v>
      </c>
      <c r="C10969" s="7">
        <f ca="1">IFERROR(__xludf.DUMMYFUNCTION("""COMPUTED_VALUE"""),3.5)</f>
        <v>3.5</v>
      </c>
      <c r="D10969" s="8">
        <f ca="1">IFERROR(__xludf.DUMMYFUNCTION("""COMPUTED_VALUE"""),7)</f>
        <v>7</v>
      </c>
      <c r="E10969" s="2">
        <f ca="1">IFERROR(__xludf.DUMMYFUNCTION("""COMPUTED_VALUE"""),2)</f>
        <v>2</v>
      </c>
    </row>
    <row r="10970" spans="1:5" ht="13">
      <c r="A10970" s="2" t="str">
        <f ca="1">IFERROR(__xludf.DUMMYFUNCTION("""COMPUTED_VALUE"""),"Hadar, Joseph / Klebanow, Jack")</f>
        <v>Hadar, Joseph / Klebanow, Jack</v>
      </c>
      <c r="B10970" s="2">
        <f ca="1">IFERROR(__xludf.DUMMYFUNCTION("""COMPUTED_VALUE"""),3)</f>
        <v>3</v>
      </c>
      <c r="C10970" s="7">
        <f ca="1">IFERROR(__xludf.DUMMYFUNCTION("""COMPUTED_VALUE"""),3.5)</f>
        <v>3.5</v>
      </c>
      <c r="D10970" s="8">
        <f ca="1">IFERROR(__xludf.DUMMYFUNCTION("""COMPUTED_VALUE"""),7)</f>
        <v>7</v>
      </c>
      <c r="E10970" s="2">
        <f ca="1">IFERROR(__xludf.DUMMYFUNCTION("""COMPUTED_VALUE"""),2)</f>
        <v>2</v>
      </c>
    </row>
    <row r="10971" spans="1:5" ht="13">
      <c r="A10971" s="2" t="str">
        <f ca="1">IFERROR(__xludf.DUMMYFUNCTION("""COMPUTED_VALUE"""),"Haddad, Akram")</f>
        <v>Haddad, Akram</v>
      </c>
      <c r="B10971" s="2">
        <f ca="1">IFERROR(__xludf.DUMMYFUNCTION("""COMPUTED_VALUE"""),3)</f>
        <v>3</v>
      </c>
      <c r="C10971" s="2">
        <f ca="1">IFERROR(__xludf.DUMMYFUNCTION("""COMPUTED_VALUE"""),3.5)</f>
        <v>3.5</v>
      </c>
      <c r="D10971" s="8">
        <f ca="1">IFERROR(__xludf.DUMMYFUNCTION("""COMPUTED_VALUE"""),3)</f>
        <v>3</v>
      </c>
      <c r="E10971" s="2">
        <f ca="1">IFERROR(__xludf.DUMMYFUNCTION("""COMPUTED_VALUE"""),1)</f>
        <v>1</v>
      </c>
    </row>
    <row r="10972" spans="1:5" ht="13">
      <c r="A10972" s="2" t="str">
        <f ca="1">IFERROR(__xludf.DUMMYFUNCTION("""COMPUTED_VALUE"""),"Haddad, Saad")</f>
        <v>Haddad, Saad</v>
      </c>
      <c r="B10972" s="2">
        <f ca="1">IFERROR(__xludf.DUMMYFUNCTION("""COMPUTED_VALUE"""),3)</f>
        <v>3</v>
      </c>
      <c r="C10972" s="7">
        <f ca="1">IFERROR(__xludf.DUMMYFUNCTION("""COMPUTED_VALUE"""),3.5)</f>
        <v>3.5</v>
      </c>
      <c r="D10972" s="8">
        <f ca="1">IFERROR(__xludf.DUMMYFUNCTION("""COMPUTED_VALUE"""),3)</f>
        <v>3</v>
      </c>
      <c r="E10972" s="2">
        <f ca="1">IFERROR(__xludf.DUMMYFUNCTION("""COMPUTED_VALUE"""),1)</f>
        <v>1</v>
      </c>
    </row>
    <row r="10973" spans="1:5" ht="13">
      <c r="A10973" s="2" t="str">
        <f ca="1">IFERROR(__xludf.DUMMYFUNCTION("""COMPUTED_VALUE"""),"Haga, Takashi")</f>
        <v>Haga, Takashi</v>
      </c>
      <c r="B10973" s="2">
        <f ca="1">IFERROR(__xludf.DUMMYFUNCTION("""COMPUTED_VALUE"""),3)</f>
        <v>3</v>
      </c>
      <c r="C10973" s="7">
        <f ca="1">IFERROR(__xludf.DUMMYFUNCTION("""COMPUTED_VALUE"""),3.3)</f>
        <v>3.3</v>
      </c>
      <c r="D10973" s="8">
        <f ca="1">IFERROR(__xludf.DUMMYFUNCTION("""COMPUTED_VALUE"""),3)</f>
        <v>3</v>
      </c>
      <c r="E10973" s="2">
        <f ca="1">IFERROR(__xludf.DUMMYFUNCTION("""COMPUTED_VALUE"""),1)</f>
        <v>1</v>
      </c>
    </row>
    <row r="10974" spans="1:5" ht="13">
      <c r="A10974" s="2" t="str">
        <f ca="1">IFERROR(__xludf.DUMMYFUNCTION("""COMPUTED_VALUE"""),"Hahn, Reynaldo")</f>
        <v>Hahn, Reynaldo</v>
      </c>
      <c r="B10974" s="3">
        <f ca="1">IFERROR(__xludf.DUMMYFUNCTION("""COMPUTED_VALUE"""),3)</f>
        <v>3</v>
      </c>
      <c r="C10974" s="7">
        <f ca="1">IFERROR(__xludf.DUMMYFUNCTION("""COMPUTED_VALUE"""),3.2)</f>
        <v>3.2</v>
      </c>
      <c r="D10974" s="8">
        <f ca="1">IFERROR(__xludf.DUMMYFUNCTION("""COMPUTED_VALUE"""),7)</f>
        <v>7</v>
      </c>
      <c r="E10974" s="2">
        <f ca="1">IFERROR(__xludf.DUMMYFUNCTION("""COMPUTED_VALUE"""),2)</f>
        <v>2</v>
      </c>
    </row>
    <row r="10975" spans="1:5" ht="13">
      <c r="A10975" s="2" t="str">
        <f ca="1">IFERROR(__xludf.DUMMYFUNCTION("""COMPUTED_VALUE"""),"Hailstork, Adolphus")</f>
        <v>Hailstork, Adolphus</v>
      </c>
      <c r="B10975" s="3">
        <f ca="1">IFERROR(__xludf.DUMMYFUNCTION("""COMPUTED_VALUE"""),3)</f>
        <v>3</v>
      </c>
      <c r="C10975" s="7">
        <f ca="1">IFERROR(__xludf.DUMMYFUNCTION("""COMPUTED_VALUE"""),3.1)</f>
        <v>3.1</v>
      </c>
      <c r="D10975" s="8">
        <f ca="1">IFERROR(__xludf.DUMMYFUNCTION("""COMPUTED_VALUE"""),3)</f>
        <v>3</v>
      </c>
      <c r="E10975" s="2">
        <f ca="1">IFERROR(__xludf.DUMMYFUNCTION("""COMPUTED_VALUE"""),1)</f>
        <v>1</v>
      </c>
    </row>
    <row r="10976" spans="1:5" ht="13">
      <c r="A10976" s="2" t="str">
        <f ca="1">IFERROR(__xludf.DUMMYFUNCTION("""COMPUTED_VALUE"""),"Hainsworth, Jason")</f>
        <v>Hainsworth, Jason</v>
      </c>
      <c r="B10976" s="3">
        <f ca="1">IFERROR(__xludf.DUMMYFUNCTION("""COMPUTED_VALUE"""),3)</f>
        <v>3</v>
      </c>
      <c r="C10976" s="7">
        <f ca="1">IFERROR(__xludf.DUMMYFUNCTION("""COMPUTED_VALUE"""),3.1)</f>
        <v>3.1</v>
      </c>
      <c r="D10976" s="8">
        <f ca="1">IFERROR(__xludf.DUMMYFUNCTION("""COMPUTED_VALUE"""),3)</f>
        <v>3</v>
      </c>
      <c r="E10976" s="2">
        <f ca="1">IFERROR(__xludf.DUMMYFUNCTION("""COMPUTED_VALUE"""),1)</f>
        <v>1</v>
      </c>
    </row>
    <row r="10977" spans="1:5" ht="13">
      <c r="A10977" s="2" t="str">
        <f ca="1">IFERROR(__xludf.DUMMYFUNCTION("""COMPUTED_VALUE"""),"Hairston, Jesse")</f>
        <v>Hairston, Jesse</v>
      </c>
      <c r="B10977" s="3">
        <f ca="1">IFERROR(__xludf.DUMMYFUNCTION("""COMPUTED_VALUE"""),3)</f>
        <v>3</v>
      </c>
      <c r="C10977" s="7">
        <f ca="1">IFERROR(__xludf.DUMMYFUNCTION("""COMPUTED_VALUE"""),3.1)</f>
        <v>3.1</v>
      </c>
      <c r="D10977" s="8">
        <f ca="1">IFERROR(__xludf.DUMMYFUNCTION("""COMPUTED_VALUE"""),7)</f>
        <v>7</v>
      </c>
      <c r="E10977" s="2">
        <f ca="1">IFERROR(__xludf.DUMMYFUNCTION("""COMPUTED_VALUE"""),2)</f>
        <v>2</v>
      </c>
    </row>
    <row r="10978" spans="1:5" ht="13">
      <c r="A10978" s="8" t="str">
        <f ca="1">IFERROR(__xludf.DUMMYFUNCTION("""COMPUTED_VALUE"""),"Hairston, Jester")</f>
        <v>Hairston, Jester</v>
      </c>
      <c r="B10978" s="3">
        <f ca="1">IFERROR(__xludf.DUMMYFUNCTION("""COMPUTED_VALUE"""),3)</f>
        <v>3</v>
      </c>
      <c r="C10978" s="7">
        <f ca="1">IFERROR(__xludf.DUMMYFUNCTION("""COMPUTED_VALUE"""),3.1)</f>
        <v>3.1</v>
      </c>
      <c r="D10978" s="8">
        <f ca="1">IFERROR(__xludf.DUMMYFUNCTION("""COMPUTED_VALUE"""),7)</f>
        <v>7</v>
      </c>
      <c r="E10978" s="2">
        <f ca="1">IFERROR(__xludf.DUMMYFUNCTION("""COMPUTED_VALUE"""),2)</f>
        <v>2</v>
      </c>
    </row>
    <row r="10979" spans="1:5" ht="13">
      <c r="A10979" s="2" t="str">
        <f ca="1">IFERROR(__xludf.DUMMYFUNCTION("""COMPUTED_VALUE"""),"Hall, JaRod")</f>
        <v>Hall, JaRod</v>
      </c>
      <c r="B10979" s="3">
        <f ca="1">IFERROR(__xludf.DUMMYFUNCTION("""COMPUTED_VALUE"""),3)</f>
        <v>3</v>
      </c>
      <c r="C10979" s="7">
        <f ca="1">IFERROR(__xludf.DUMMYFUNCTION("""COMPUTED_VALUE"""),3.1)</f>
        <v>3.1</v>
      </c>
      <c r="D10979" s="8">
        <f ca="1">IFERROR(__xludf.DUMMYFUNCTION("""COMPUTED_VALUE"""),3)</f>
        <v>3</v>
      </c>
      <c r="E10979" s="2">
        <f ca="1">IFERROR(__xludf.DUMMYFUNCTION("""COMPUTED_VALUE"""),1)</f>
        <v>1</v>
      </c>
    </row>
    <row r="10980" spans="1:5" ht="13">
      <c r="A10980" s="2" t="str">
        <f ca="1">IFERROR(__xludf.DUMMYFUNCTION("""COMPUTED_VALUE"""),"Hampton, Keith")</f>
        <v>Hampton, Keith</v>
      </c>
      <c r="B10980" s="2">
        <f ca="1">IFERROR(__xludf.DUMMYFUNCTION("""COMPUTED_VALUE"""),3)</f>
        <v>3</v>
      </c>
      <c r="C10980" s="7">
        <f ca="1">IFERROR(__xludf.DUMMYFUNCTION("""COMPUTED_VALUE"""),3.1)</f>
        <v>3.1</v>
      </c>
      <c r="D10980" s="8">
        <f ca="1">IFERROR(__xludf.DUMMYFUNCTION("""COMPUTED_VALUE"""),3)</f>
        <v>3</v>
      </c>
      <c r="E10980" s="2">
        <f ca="1">IFERROR(__xludf.DUMMYFUNCTION("""COMPUTED_VALUE"""),1)</f>
        <v>1</v>
      </c>
    </row>
    <row r="10981" spans="1:5" ht="13">
      <c r="A10981" s="2" t="str">
        <f ca="1">IFERROR(__xludf.DUMMYFUNCTION("""COMPUTED_VALUE"""),"Hampton, Slide")</f>
        <v>Hampton, Slide</v>
      </c>
      <c r="B10981" s="2">
        <f ca="1">IFERROR(__xludf.DUMMYFUNCTION("""COMPUTED_VALUE"""),3)</f>
        <v>3</v>
      </c>
      <c r="C10981" s="7">
        <f ca="1">IFERROR(__xludf.DUMMYFUNCTION("""COMPUTED_VALUE"""),3.1)</f>
        <v>3.1</v>
      </c>
      <c r="D10981" s="8">
        <f ca="1">IFERROR(__xludf.DUMMYFUNCTION("""COMPUTED_VALUE"""),7)</f>
        <v>7</v>
      </c>
      <c r="E10981" s="2">
        <f ca="1">IFERROR(__xludf.DUMMYFUNCTION("""COMPUTED_VALUE"""),2)</f>
        <v>2</v>
      </c>
    </row>
    <row r="10982" spans="1:5" ht="13">
      <c r="A10982" s="2" t="str">
        <f ca="1">IFERROR(__xludf.DUMMYFUNCTION("""COMPUTED_VALUE"""),"Han, Benjamin")</f>
        <v>Han, Benjamin</v>
      </c>
      <c r="B10982" s="2">
        <f ca="1">IFERROR(__xludf.DUMMYFUNCTION("""COMPUTED_VALUE"""),3)</f>
        <v>3</v>
      </c>
      <c r="C10982" s="7">
        <f ca="1">IFERROR(__xludf.DUMMYFUNCTION("""COMPUTED_VALUE"""),3.3)</f>
        <v>3.3</v>
      </c>
      <c r="D10982" s="8">
        <f ca="1">IFERROR(__xludf.DUMMYFUNCTION("""COMPUTED_VALUE"""),3)</f>
        <v>3</v>
      </c>
      <c r="E10982" s="2">
        <f ca="1">IFERROR(__xludf.DUMMYFUNCTION("""COMPUTED_VALUE"""),1)</f>
        <v>1</v>
      </c>
    </row>
    <row r="10983" spans="1:5" ht="13">
      <c r="A10983" s="2" t="str">
        <f ca="1">IFERROR(__xludf.DUMMYFUNCTION("""COMPUTED_VALUE"""),"Han, Lan-Kui")</f>
        <v>Han, Lan-Kui</v>
      </c>
      <c r="B10983" s="3">
        <f ca="1">IFERROR(__xludf.DUMMYFUNCTION("""COMPUTED_VALUE"""),3)</f>
        <v>3</v>
      </c>
      <c r="C10983" s="7">
        <f ca="1">IFERROR(__xludf.DUMMYFUNCTION("""COMPUTED_VALUE"""),3.3)</f>
        <v>3.3</v>
      </c>
      <c r="D10983" s="8">
        <f ca="1">IFERROR(__xludf.DUMMYFUNCTION("""COMPUTED_VALUE"""),7)</f>
        <v>7</v>
      </c>
      <c r="E10983" s="2">
        <f ca="1">IFERROR(__xludf.DUMMYFUNCTION("""COMPUTED_VALUE"""),2)</f>
        <v>2</v>
      </c>
    </row>
    <row r="10984" spans="1:5" ht="13">
      <c r="A10984" s="2" t="str">
        <f ca="1">IFERROR(__xludf.DUMMYFUNCTION("""COMPUTED_VALUE"""),"Han, Soo")</f>
        <v>Han, Soo</v>
      </c>
      <c r="B10984" s="3">
        <f ca="1">IFERROR(__xludf.DUMMYFUNCTION("""COMPUTED_VALUE"""),3)</f>
        <v>3</v>
      </c>
      <c r="C10984" s="7">
        <f ca="1">IFERROR(__xludf.DUMMYFUNCTION("""COMPUTED_VALUE"""),3.3)</f>
        <v>3.3</v>
      </c>
      <c r="D10984" s="8">
        <f ca="1">IFERROR(__xludf.DUMMYFUNCTION("""COMPUTED_VALUE"""),3)</f>
        <v>3</v>
      </c>
      <c r="E10984" s="2">
        <f ca="1">IFERROR(__xludf.DUMMYFUNCTION("""COMPUTED_VALUE"""),1)</f>
        <v>1</v>
      </c>
    </row>
    <row r="10985" spans="1:5" ht="13">
      <c r="A10985" s="2" t="str">
        <f ca="1">IFERROR(__xludf.DUMMYFUNCTION("""COMPUTED_VALUE"""),"Hancock, Herbie")</f>
        <v>Hancock, Herbie</v>
      </c>
      <c r="B10985" s="2">
        <f ca="1">IFERROR(__xludf.DUMMYFUNCTION("""COMPUTED_VALUE"""),3)</f>
        <v>3</v>
      </c>
      <c r="C10985" s="7">
        <f ca="1">IFERROR(__xludf.DUMMYFUNCTION("""COMPUTED_VALUE"""),3.1)</f>
        <v>3.1</v>
      </c>
      <c r="D10985" s="8">
        <f ca="1">IFERROR(__xludf.DUMMYFUNCTION("""COMPUTED_VALUE"""),3)</f>
        <v>3</v>
      </c>
      <c r="E10985" s="2">
        <f ca="1">IFERROR(__xludf.DUMMYFUNCTION("""COMPUTED_VALUE"""),1)</f>
        <v>1</v>
      </c>
    </row>
    <row r="10986" spans="1:5" ht="13">
      <c r="A10986" s="2" t="str">
        <f ca="1">IFERROR(__xludf.DUMMYFUNCTION("""COMPUTED_VALUE"""),"Handy, W.C.")</f>
        <v>Handy, W.C.</v>
      </c>
      <c r="B10986" s="3">
        <f ca="1">IFERROR(__xludf.DUMMYFUNCTION("""COMPUTED_VALUE"""),3)</f>
        <v>3</v>
      </c>
      <c r="C10986" s="7">
        <f ca="1">IFERROR(__xludf.DUMMYFUNCTION("""COMPUTED_VALUE"""),3.1)</f>
        <v>3.1</v>
      </c>
      <c r="D10986" s="8">
        <f ca="1">IFERROR(__xludf.DUMMYFUNCTION("""COMPUTED_VALUE"""),7)</f>
        <v>7</v>
      </c>
      <c r="E10986" s="2">
        <f ca="1">IFERROR(__xludf.DUMMYFUNCTION("""COMPUTED_VALUE"""),2)</f>
        <v>2</v>
      </c>
    </row>
    <row r="10987" spans="1:5" ht="13">
      <c r="A10987" s="8" t="str">
        <f ca="1">IFERROR(__xludf.DUMMYFUNCTION("""COMPUTED_VALUE"""),"Hangrove, Roy")</f>
        <v>Hangrove, Roy</v>
      </c>
      <c r="B10987" s="3">
        <f ca="1">IFERROR(__xludf.DUMMYFUNCTION("""COMPUTED_VALUE"""),3)</f>
        <v>3</v>
      </c>
      <c r="C10987" s="7">
        <f ca="1">IFERROR(__xludf.DUMMYFUNCTION("""COMPUTED_VALUE"""),3.1)</f>
        <v>3.1</v>
      </c>
      <c r="D10987" s="8">
        <f ca="1">IFERROR(__xludf.DUMMYFUNCTION("""COMPUTED_VALUE"""),7)</f>
        <v>7</v>
      </c>
      <c r="E10987" s="2">
        <f ca="1">IFERROR(__xludf.DUMMYFUNCTION("""COMPUTED_VALUE"""),2)</f>
        <v>2</v>
      </c>
    </row>
    <row r="10988" spans="1:5" ht="13">
      <c r="A10988" s="2" t="str">
        <f ca="1">IFERROR(__xludf.DUMMYFUNCTION("""COMPUTED_VALUE"""),"Hannisian, Raymond")</f>
        <v>Hannisian, Raymond</v>
      </c>
      <c r="B10988" s="3">
        <f ca="1">IFERROR(__xludf.DUMMYFUNCTION("""COMPUTED_VALUE"""),3)</f>
        <v>3</v>
      </c>
      <c r="C10988" s="7">
        <f ca="1">IFERROR(__xludf.DUMMYFUNCTION("""COMPUTED_VALUE"""),3.9)</f>
        <v>3.9</v>
      </c>
      <c r="D10988" s="8">
        <f ca="1">IFERROR(__xludf.DUMMYFUNCTION("""COMPUTED_VALUE"""),3)</f>
        <v>3</v>
      </c>
      <c r="E10988" s="2">
        <f ca="1">IFERROR(__xludf.DUMMYFUNCTION("""COMPUTED_VALUE"""),1)</f>
        <v>1</v>
      </c>
    </row>
    <row r="10989" spans="1:5" ht="13">
      <c r="A10989" s="2" t="str">
        <f ca="1">IFERROR(__xludf.DUMMYFUNCTION("""COMPUTED_VALUE"""),"Harden, Justin")</f>
        <v>Harden, Justin</v>
      </c>
      <c r="B10989" s="3">
        <f ca="1">IFERROR(__xludf.DUMMYFUNCTION("""COMPUTED_VALUE"""),3)</f>
        <v>3</v>
      </c>
      <c r="C10989" s="7">
        <f ca="1">IFERROR(__xludf.DUMMYFUNCTION("""COMPUTED_VALUE"""),3.1)</f>
        <v>3.1</v>
      </c>
      <c r="D10989" s="8">
        <f ca="1">IFERROR(__xludf.DUMMYFUNCTION("""COMPUTED_VALUE"""),3)</f>
        <v>3</v>
      </c>
      <c r="E10989" s="2">
        <f ca="1">IFERROR(__xludf.DUMMYFUNCTION("""COMPUTED_VALUE"""),1)</f>
        <v>1</v>
      </c>
    </row>
    <row r="10990" spans="1:5" ht="13">
      <c r="A10990" s="2" t="str">
        <f ca="1">IFERROR(__xludf.DUMMYFUNCTION("""COMPUTED_VALUE"""),"Hargrove, Roy")</f>
        <v>Hargrove, Roy</v>
      </c>
      <c r="B10990" s="2">
        <f ca="1">IFERROR(__xludf.DUMMYFUNCTION("""COMPUTED_VALUE"""),3)</f>
        <v>3</v>
      </c>
      <c r="C10990" s="7">
        <f ca="1">IFERROR(__xludf.DUMMYFUNCTION("""COMPUTED_VALUE"""),3.1)</f>
        <v>3.1</v>
      </c>
      <c r="D10990" s="8">
        <f ca="1">IFERROR(__xludf.DUMMYFUNCTION("""COMPUTED_VALUE"""),7)</f>
        <v>7</v>
      </c>
      <c r="E10990" s="2">
        <f ca="1">IFERROR(__xludf.DUMMYFUNCTION("""COMPUTED_VALUE"""),2)</f>
        <v>2</v>
      </c>
    </row>
    <row r="10991" spans="1:5" ht="13">
      <c r="A10991" s="2" t="str">
        <f ca="1">IFERROR(__xludf.DUMMYFUNCTION("""COMPUTED_VALUE"""),"Harris, Christopher")</f>
        <v>Harris, Christopher</v>
      </c>
      <c r="B10991" s="3">
        <f ca="1">IFERROR(__xludf.DUMMYFUNCTION("""COMPUTED_VALUE"""),3)</f>
        <v>3</v>
      </c>
      <c r="C10991" s="7">
        <f ca="1">IFERROR(__xludf.DUMMYFUNCTION("""COMPUTED_VALUE"""),3.1)</f>
        <v>3.1</v>
      </c>
      <c r="D10991" s="8">
        <f ca="1">IFERROR(__xludf.DUMMYFUNCTION("""COMPUTED_VALUE"""),3)</f>
        <v>3</v>
      </c>
      <c r="E10991" s="2">
        <f ca="1">IFERROR(__xludf.DUMMYFUNCTION("""COMPUTED_VALUE"""),1)</f>
        <v>1</v>
      </c>
    </row>
    <row r="10992" spans="1:5" ht="13">
      <c r="A10992" s="2" t="str">
        <f ca="1">IFERROR(__xludf.DUMMYFUNCTION("""COMPUTED_VALUE"""),"Harris, Christopher H.")</f>
        <v>Harris, Christopher H.</v>
      </c>
      <c r="B10992" s="3">
        <f ca="1">IFERROR(__xludf.DUMMYFUNCTION("""COMPUTED_VALUE"""),3)</f>
        <v>3</v>
      </c>
      <c r="C10992" s="7">
        <f ca="1">IFERROR(__xludf.DUMMYFUNCTION("""COMPUTED_VALUE"""),3.1)</f>
        <v>3.1</v>
      </c>
      <c r="D10992" s="8">
        <f ca="1">IFERROR(__xludf.DUMMYFUNCTION("""COMPUTED_VALUE"""),3)</f>
        <v>3</v>
      </c>
      <c r="E10992" s="2">
        <f ca="1">IFERROR(__xludf.DUMMYFUNCTION("""COMPUTED_VALUE"""),1)</f>
        <v>1</v>
      </c>
    </row>
    <row r="10993" spans="1:5" ht="13">
      <c r="A10993" s="2" t="str">
        <f ca="1">IFERROR(__xludf.DUMMYFUNCTION("""COMPUTED_VALUE"""),"Harris, Eddie")</f>
        <v>Harris, Eddie</v>
      </c>
      <c r="B10993" s="2">
        <f ca="1">IFERROR(__xludf.DUMMYFUNCTION("""COMPUTED_VALUE"""),3)</f>
        <v>3</v>
      </c>
      <c r="C10993" s="7">
        <f ca="1">IFERROR(__xludf.DUMMYFUNCTION("""COMPUTED_VALUE"""),3.1)</f>
        <v>3.1</v>
      </c>
      <c r="D10993" s="8">
        <f ca="1">IFERROR(__xludf.DUMMYFUNCTION("""COMPUTED_VALUE"""),7)</f>
        <v>7</v>
      </c>
      <c r="E10993" s="2">
        <f ca="1">IFERROR(__xludf.DUMMYFUNCTION("""COMPUTED_VALUE"""),2)</f>
        <v>2</v>
      </c>
    </row>
    <row r="10994" spans="1:5" ht="13">
      <c r="A10994" s="8" t="str">
        <f ca="1">IFERROR(__xludf.DUMMYFUNCTION("""COMPUTED_VALUE"""),"Harris, Stefon")</f>
        <v>Harris, Stefon</v>
      </c>
      <c r="B10994" s="3">
        <f ca="1">IFERROR(__xludf.DUMMYFUNCTION("""COMPUTED_VALUE"""),3)</f>
        <v>3</v>
      </c>
      <c r="C10994" s="7">
        <f ca="1">IFERROR(__xludf.DUMMYFUNCTION("""COMPUTED_VALUE"""),3.1)</f>
        <v>3.1</v>
      </c>
      <c r="D10994" s="8">
        <f ca="1">IFERROR(__xludf.DUMMYFUNCTION("""COMPUTED_VALUE"""),3)</f>
        <v>3</v>
      </c>
      <c r="E10994" s="2">
        <f ca="1">IFERROR(__xludf.DUMMYFUNCTION("""COMPUTED_VALUE"""),1)</f>
        <v>1</v>
      </c>
    </row>
    <row r="10995" spans="1:5" ht="13">
      <c r="A10995" s="2" t="str">
        <f ca="1">IFERROR(__xludf.DUMMYFUNCTION("""COMPUTED_VALUE"""),"Harrison, Charley")</f>
        <v>Harrison, Charley</v>
      </c>
      <c r="B10995" s="2">
        <f ca="1">IFERROR(__xludf.DUMMYFUNCTION("""COMPUTED_VALUE"""),3)</f>
        <v>3</v>
      </c>
      <c r="C10995" s="7">
        <f ca="1">IFERROR(__xludf.DUMMYFUNCTION("""COMPUTED_VALUE"""),3.1)</f>
        <v>3.1</v>
      </c>
      <c r="D10995" s="8">
        <f ca="1">IFERROR(__xludf.DUMMYFUNCTION("""COMPUTED_VALUE"""),3)</f>
        <v>3</v>
      </c>
      <c r="E10995" s="2">
        <f ca="1">IFERROR(__xludf.DUMMYFUNCTION("""COMPUTED_VALUE"""),1)</f>
        <v>1</v>
      </c>
    </row>
    <row r="10996" spans="1:5" ht="13">
      <c r="A10996" s="2" t="str">
        <f ca="1">IFERROR(__xludf.DUMMYFUNCTION("""COMPUTED_VALUE"""),"Harrison, Donald")</f>
        <v>Harrison, Donald</v>
      </c>
      <c r="B10996" s="3">
        <f ca="1">IFERROR(__xludf.DUMMYFUNCTION("""COMPUTED_VALUE"""),3)</f>
        <v>3</v>
      </c>
      <c r="C10996" s="7">
        <f ca="1">IFERROR(__xludf.DUMMYFUNCTION("""COMPUTED_VALUE"""),3.1)</f>
        <v>3.1</v>
      </c>
      <c r="D10996" s="8">
        <f ca="1">IFERROR(__xludf.DUMMYFUNCTION("""COMPUTED_VALUE"""),3)</f>
        <v>3</v>
      </c>
      <c r="E10996" s="2">
        <f ca="1">IFERROR(__xludf.DUMMYFUNCTION("""COMPUTED_VALUE"""),1)</f>
        <v>1</v>
      </c>
    </row>
    <row r="10997" spans="1:5" ht="13">
      <c r="A10997" s="2" t="str">
        <f ca="1">IFERROR(__xludf.DUMMYFUNCTION("""COMPUTED_VALUE"""),"Harrison, Teddy")</f>
        <v>Harrison, Teddy</v>
      </c>
      <c r="B10997" s="3">
        <f ca="1">IFERROR(__xludf.DUMMYFUNCTION("""COMPUTED_VALUE"""),3)</f>
        <v>3</v>
      </c>
      <c r="C10997" s="7">
        <f ca="1">IFERROR(__xludf.DUMMYFUNCTION("""COMPUTED_VALUE"""),3.1)</f>
        <v>3.1</v>
      </c>
      <c r="D10997" s="8">
        <f ca="1">IFERROR(__xludf.DUMMYFUNCTION("""COMPUTED_VALUE"""),3)</f>
        <v>3</v>
      </c>
      <c r="E10997" s="2">
        <f ca="1">IFERROR(__xludf.DUMMYFUNCTION("""COMPUTED_VALUE"""),1)</f>
        <v>1</v>
      </c>
    </row>
    <row r="10998" spans="1:5" ht="13">
      <c r="A10998" s="8" t="str">
        <f ca="1">IFERROR(__xludf.DUMMYFUNCTION("""COMPUTED_VALUE"""),"Hatamiya, Jon")</f>
        <v>Hatamiya, Jon</v>
      </c>
      <c r="B10998" s="3">
        <f ca="1">IFERROR(__xludf.DUMMYFUNCTION("""COMPUTED_VALUE"""),3)</f>
        <v>3</v>
      </c>
      <c r="C10998" s="7">
        <f ca="1">IFERROR(__xludf.DUMMYFUNCTION("""COMPUTED_VALUE"""),3.3)</f>
        <v>3.3</v>
      </c>
      <c r="D10998" s="8">
        <f ca="1">IFERROR(__xludf.DUMMYFUNCTION("""COMPUTED_VALUE"""),3)</f>
        <v>3</v>
      </c>
      <c r="E10998" s="2">
        <f ca="1">IFERROR(__xludf.DUMMYFUNCTION("""COMPUTED_VALUE"""),1)</f>
        <v>1</v>
      </c>
    </row>
    <row r="10999" spans="1:5" ht="13">
      <c r="A10999" s="2" t="str">
        <f ca="1">IFERROR(__xludf.DUMMYFUNCTION("""COMPUTED_VALUE"""),"Hataoka, Hiroaki")</f>
        <v>Hataoka, Hiroaki</v>
      </c>
      <c r="B10999" s="3">
        <f ca="1">IFERROR(__xludf.DUMMYFUNCTION("""COMPUTED_VALUE"""),3)</f>
        <v>3</v>
      </c>
      <c r="C10999" s="7">
        <f ca="1">IFERROR(__xludf.DUMMYFUNCTION("""COMPUTED_VALUE"""),3.3)</f>
        <v>3.3</v>
      </c>
      <c r="D10999" s="8">
        <f ca="1">IFERROR(__xludf.DUMMYFUNCTION("""COMPUTED_VALUE"""),3)</f>
        <v>3</v>
      </c>
      <c r="E10999" s="2">
        <f ca="1">IFERROR(__xludf.DUMMYFUNCTION("""COMPUTED_VALUE"""),1)</f>
        <v>1</v>
      </c>
    </row>
    <row r="11000" spans="1:5" ht="13">
      <c r="A11000" s="2" t="str">
        <f ca="1">IFERROR(__xludf.DUMMYFUNCTION("""COMPUTED_VALUE"""),"Hathaway, Donny")</f>
        <v>Hathaway, Donny</v>
      </c>
      <c r="B11000" s="3">
        <f ca="1">IFERROR(__xludf.DUMMYFUNCTION("""COMPUTED_VALUE"""),3)</f>
        <v>3</v>
      </c>
      <c r="C11000" s="7">
        <f ca="1">IFERROR(__xludf.DUMMYFUNCTION("""COMPUTED_VALUE"""),3.1)</f>
        <v>3.1</v>
      </c>
      <c r="D11000" s="8">
        <f ca="1">IFERROR(__xludf.DUMMYFUNCTION("""COMPUTED_VALUE"""),3)</f>
        <v>3</v>
      </c>
      <c r="E11000" s="2">
        <f ca="1">IFERROR(__xludf.DUMMYFUNCTION("""COMPUTED_VALUE"""),1)</f>
        <v>1</v>
      </c>
    </row>
    <row r="11001" spans="1:5" ht="13">
      <c r="A11001" s="2" t="str">
        <f ca="1">IFERROR(__xludf.DUMMYFUNCTION("""COMPUTED_VALUE"""),"Hattori, Koh-ichi")</f>
        <v>Hattori, Koh-ichi</v>
      </c>
      <c r="B11001" s="3">
        <f ca="1">IFERROR(__xludf.DUMMYFUNCTION("""COMPUTED_VALUE"""),3)</f>
        <v>3</v>
      </c>
      <c r="C11001" s="7">
        <f ca="1">IFERROR(__xludf.DUMMYFUNCTION("""COMPUTED_VALUE"""),3.3)</f>
        <v>3.3</v>
      </c>
      <c r="D11001" s="8">
        <f ca="1">IFERROR(__xludf.DUMMYFUNCTION("""COMPUTED_VALUE"""),7)</f>
        <v>7</v>
      </c>
      <c r="E11001" s="2">
        <f ca="1">IFERROR(__xludf.DUMMYFUNCTION("""COMPUTED_VALUE"""),2)</f>
        <v>2</v>
      </c>
    </row>
    <row r="11002" spans="1:5" ht="13">
      <c r="A11002" s="2" t="str">
        <f ca="1">IFERROR(__xludf.DUMMYFUNCTION("""COMPUTED_VALUE"""),"Hawkin, Walter")</f>
        <v>Hawkin, Walter</v>
      </c>
      <c r="B11002" s="3">
        <f ca="1">IFERROR(__xludf.DUMMYFUNCTION("""COMPUTED_VALUE"""),3)</f>
        <v>3</v>
      </c>
      <c r="C11002" s="7">
        <f ca="1">IFERROR(__xludf.DUMMYFUNCTION("""COMPUTED_VALUE"""),3.1)</f>
        <v>3.1</v>
      </c>
      <c r="D11002" s="8">
        <f ca="1">IFERROR(__xludf.DUMMYFUNCTION("""COMPUTED_VALUE"""),3)</f>
        <v>3</v>
      </c>
      <c r="E11002" s="2">
        <f ca="1">IFERROR(__xludf.DUMMYFUNCTION("""COMPUTED_VALUE"""),1)</f>
        <v>1</v>
      </c>
    </row>
    <row r="11003" spans="1:5" ht="13">
      <c r="A11003" s="2" t="str">
        <f ca="1">IFERROR(__xludf.DUMMYFUNCTION("""COMPUTED_VALUE"""),"Hawkins, Erskine / Johnson, William / Dash, Julian")</f>
        <v>Hawkins, Erskine / Johnson, William / Dash, Julian</v>
      </c>
      <c r="B11003" s="2">
        <f ca="1">IFERROR(__xludf.DUMMYFUNCTION("""COMPUTED_VALUE"""),3)</f>
        <v>3</v>
      </c>
      <c r="C11003" s="7">
        <f ca="1">IFERROR(__xludf.DUMMYFUNCTION("""COMPUTED_VALUE"""),3.1)</f>
        <v>3.1</v>
      </c>
      <c r="D11003" s="8">
        <f ca="1">IFERROR(__xludf.DUMMYFUNCTION("""COMPUTED_VALUE"""),7)</f>
        <v>7</v>
      </c>
      <c r="E11003" s="2">
        <f ca="1">IFERROR(__xludf.DUMMYFUNCTION("""COMPUTED_VALUE"""),2)</f>
        <v>2</v>
      </c>
    </row>
    <row r="11004" spans="1:5" ht="13">
      <c r="A11004" s="2" t="str">
        <f ca="1">IFERROR(__xludf.DUMMYFUNCTION("""COMPUTED_VALUE"""),"Hawkins, Jay")</f>
        <v>Hawkins, Jay</v>
      </c>
      <c r="B11004" s="3">
        <f ca="1">IFERROR(__xludf.DUMMYFUNCTION("""COMPUTED_VALUE"""),3)</f>
        <v>3</v>
      </c>
      <c r="C11004" s="7">
        <f ca="1">IFERROR(__xludf.DUMMYFUNCTION("""COMPUTED_VALUE"""),3.1)</f>
        <v>3.1</v>
      </c>
      <c r="D11004" s="8">
        <f ca="1">IFERROR(__xludf.DUMMYFUNCTION("""COMPUTED_VALUE"""),7)</f>
        <v>7</v>
      </c>
      <c r="E11004" s="2">
        <f ca="1">IFERROR(__xludf.DUMMYFUNCTION("""COMPUTED_VALUE"""),2)</f>
        <v>2</v>
      </c>
    </row>
    <row r="11005" spans="1:5" ht="13">
      <c r="A11005" s="2" t="str">
        <f ca="1">IFERROR(__xludf.DUMMYFUNCTION("""COMPUTED_VALUE"""),"Hawkins, Robert")</f>
        <v>Hawkins, Robert</v>
      </c>
      <c r="B11005" s="3">
        <f ca="1">IFERROR(__xludf.DUMMYFUNCTION("""COMPUTED_VALUE"""),3)</f>
        <v>3</v>
      </c>
      <c r="C11005" s="7">
        <f ca="1">IFERROR(__xludf.DUMMYFUNCTION("""COMPUTED_VALUE"""),3.1)</f>
        <v>3.1</v>
      </c>
      <c r="D11005" s="8">
        <f ca="1">IFERROR(__xludf.DUMMYFUNCTION("""COMPUTED_VALUE"""),3)</f>
        <v>3</v>
      </c>
      <c r="E11005" s="2">
        <f ca="1">IFERROR(__xludf.DUMMYFUNCTION("""COMPUTED_VALUE"""),1)</f>
        <v>1</v>
      </c>
    </row>
    <row r="11006" spans="1:5" ht="13">
      <c r="A11006" s="2" t="str">
        <f ca="1">IFERROR(__xludf.DUMMYFUNCTION("""COMPUTED_VALUE"""),"Hawkins, Walter")</f>
        <v>Hawkins, Walter</v>
      </c>
      <c r="B11006" s="3">
        <f ca="1">IFERROR(__xludf.DUMMYFUNCTION("""COMPUTED_VALUE"""),3)</f>
        <v>3</v>
      </c>
      <c r="C11006" s="7">
        <f ca="1">IFERROR(__xludf.DUMMYFUNCTION("""COMPUTED_VALUE"""),3.1)</f>
        <v>3.1</v>
      </c>
      <c r="D11006" s="8">
        <f ca="1">IFERROR(__xludf.DUMMYFUNCTION("""COMPUTED_VALUE"""),7)</f>
        <v>7</v>
      </c>
      <c r="E11006" s="2">
        <f ca="1">IFERROR(__xludf.DUMMYFUNCTION("""COMPUTED_VALUE"""),2)</f>
        <v>2</v>
      </c>
    </row>
    <row r="11007" spans="1:5" ht="13">
      <c r="A11007" s="2" t="str">
        <f ca="1">IFERROR(__xludf.DUMMYFUNCTION("""COMPUTED_VALUE"""),"Hayes, Terrance")</f>
        <v>Hayes, Terrance</v>
      </c>
      <c r="B11007" s="3">
        <f ca="1">IFERROR(__xludf.DUMMYFUNCTION("""COMPUTED_VALUE"""),3)</f>
        <v>3</v>
      </c>
      <c r="C11007" s="7">
        <f ca="1">IFERROR(__xludf.DUMMYFUNCTION("""COMPUTED_VALUE"""),3.1)</f>
        <v>3.1</v>
      </c>
      <c r="D11007" s="8">
        <f ca="1">IFERROR(__xludf.DUMMYFUNCTION("""COMPUTED_VALUE"""),3)</f>
        <v>3</v>
      </c>
      <c r="E11007" s="2">
        <f ca="1">IFERROR(__xludf.DUMMYFUNCTION("""COMPUTED_VALUE"""),1)</f>
        <v>1</v>
      </c>
    </row>
    <row r="11008" spans="1:5" ht="13">
      <c r="A11008" s="2" t="str">
        <f ca="1">IFERROR(__xludf.DUMMYFUNCTION("""COMPUTED_VALUE"""),"Hayn, Reynaldo")</f>
        <v>Hayn, Reynaldo</v>
      </c>
      <c r="B11008" s="3">
        <f ca="1">IFERROR(__xludf.DUMMYFUNCTION("""COMPUTED_VALUE"""),3)</f>
        <v>3</v>
      </c>
      <c r="C11008" s="7">
        <f ca="1">IFERROR(__xludf.DUMMYFUNCTION("""COMPUTED_VALUE"""),3.2)</f>
        <v>3.2</v>
      </c>
      <c r="D11008" s="8">
        <f ca="1">IFERROR(__xludf.DUMMYFUNCTION("""COMPUTED_VALUE"""),7)</f>
        <v>7</v>
      </c>
      <c r="E11008" s="2">
        <f ca="1">IFERROR(__xludf.DUMMYFUNCTION("""COMPUTED_VALUE"""),2)</f>
        <v>2</v>
      </c>
    </row>
    <row r="11009" spans="1:5" ht="13">
      <c r="A11009" s="2" t="str">
        <f ca="1">IFERROR(__xludf.DUMMYFUNCTION("""COMPUTED_VALUE"""),"Hazzard, Matthew Lyon")</f>
        <v>Hazzard, Matthew Lyon</v>
      </c>
      <c r="B11009" s="2">
        <f ca="1">IFERROR(__xludf.DUMMYFUNCTION("""COMPUTED_VALUE"""),3)</f>
        <v>3</v>
      </c>
      <c r="C11009" s="7">
        <f ca="1">IFERROR(__xludf.DUMMYFUNCTION("""COMPUTED_VALUE"""),3.3)</f>
        <v>3.3</v>
      </c>
      <c r="D11009" s="8">
        <f ca="1">IFERROR(__xludf.DUMMYFUNCTION("""COMPUTED_VALUE"""),3)</f>
        <v>3</v>
      </c>
      <c r="E11009" s="2">
        <f ca="1">IFERROR(__xludf.DUMMYFUNCTION("""COMPUTED_VALUE"""),1)</f>
        <v>1</v>
      </c>
    </row>
    <row r="11010" spans="1:5" ht="13">
      <c r="A11010" s="2" t="str">
        <f ca="1">IFERROR(__xludf.DUMMYFUNCTION("""COMPUTED_VALUE"""),"He / Chen")</f>
        <v>He / Chen</v>
      </c>
      <c r="B11010" s="3">
        <f ca="1">IFERROR(__xludf.DUMMYFUNCTION("""COMPUTED_VALUE"""),3)</f>
        <v>3</v>
      </c>
      <c r="C11010" s="7">
        <f ca="1">IFERROR(__xludf.DUMMYFUNCTION("""COMPUTED_VALUE"""),3.3)</f>
        <v>3.3</v>
      </c>
      <c r="D11010" s="8">
        <f ca="1">IFERROR(__xludf.DUMMYFUNCTION("""COMPUTED_VALUE"""),3)</f>
        <v>3</v>
      </c>
      <c r="E11010" s="2">
        <f ca="1">IFERROR(__xludf.DUMMYFUNCTION("""COMPUTED_VALUE"""),1)</f>
        <v>1</v>
      </c>
    </row>
    <row r="11011" spans="1:5" ht="13">
      <c r="A11011" s="2" t="str">
        <f ca="1">IFERROR(__xludf.DUMMYFUNCTION("""COMPUTED_VALUE"""),"Heath, Jimmy")</f>
        <v>Heath, Jimmy</v>
      </c>
      <c r="B11011" s="2">
        <f ca="1">IFERROR(__xludf.DUMMYFUNCTION("""COMPUTED_VALUE"""),3)</f>
        <v>3</v>
      </c>
      <c r="C11011" s="7">
        <f ca="1">IFERROR(__xludf.DUMMYFUNCTION("""COMPUTED_VALUE"""),3.1)</f>
        <v>3.1</v>
      </c>
      <c r="D11011" s="8">
        <f ca="1">IFERROR(__xludf.DUMMYFUNCTION("""COMPUTED_VALUE"""),7)</f>
        <v>7</v>
      </c>
      <c r="E11011" s="2">
        <f ca="1">IFERROR(__xludf.DUMMYFUNCTION("""COMPUTED_VALUE"""),2)</f>
        <v>2</v>
      </c>
    </row>
    <row r="11012" spans="1:5" ht="13">
      <c r="A11012" s="2" t="str">
        <f ca="1">IFERROR(__xludf.DUMMYFUNCTION("""COMPUTED_VALUE"""),"Heldreth, Eben Fernando")</f>
        <v>Heldreth, Eben Fernando</v>
      </c>
      <c r="B11012" s="3">
        <f ca="1">IFERROR(__xludf.DUMMYFUNCTION("""COMPUTED_VALUE"""),3)</f>
        <v>3</v>
      </c>
      <c r="C11012" s="7">
        <f ca="1">IFERROR(__xludf.DUMMYFUNCTION("""COMPUTED_VALUE"""),3.9)</f>
        <v>3.9</v>
      </c>
      <c r="D11012" s="8">
        <f ca="1">IFERROR(__xludf.DUMMYFUNCTION("""COMPUTED_VALUE"""),3)</f>
        <v>3</v>
      </c>
      <c r="E11012" s="2">
        <f ca="1">IFERROR(__xludf.DUMMYFUNCTION("""COMPUTED_VALUE"""),1)</f>
        <v>1</v>
      </c>
    </row>
    <row r="11013" spans="1:5" ht="13">
      <c r="A11013" s="2" t="str">
        <f ca="1">IFERROR(__xludf.DUMMYFUNCTION("""COMPUTED_VALUE"""),"Hembree, Richard Ross")</f>
        <v>Hembree, Richard Ross</v>
      </c>
      <c r="B11013" s="2">
        <f ca="1">IFERROR(__xludf.DUMMYFUNCTION("""COMPUTED_VALUE"""),3)</f>
        <v>3</v>
      </c>
      <c r="C11013" s="7">
        <f ca="1">IFERROR(__xludf.DUMMYFUNCTION("""COMPUTED_VALUE"""),3.2)</f>
        <v>3.2</v>
      </c>
      <c r="D11013" s="8">
        <f ca="1">IFERROR(__xludf.DUMMYFUNCTION("""COMPUTED_VALUE"""),3)</f>
        <v>3</v>
      </c>
      <c r="E11013" s="2">
        <f ca="1">IFERROR(__xludf.DUMMYFUNCTION("""COMPUTED_VALUE"""),1)</f>
        <v>1</v>
      </c>
    </row>
    <row r="11014" spans="1:5" ht="13">
      <c r="A11014" s="2" t="str">
        <f ca="1">IFERROR(__xludf.DUMMYFUNCTION("""COMPUTED_VALUE"""),"Henderson, Fletcher")</f>
        <v>Henderson, Fletcher</v>
      </c>
      <c r="B11014" s="3">
        <f ca="1">IFERROR(__xludf.DUMMYFUNCTION("""COMPUTED_VALUE"""),3)</f>
        <v>3</v>
      </c>
      <c r="C11014" s="7">
        <f ca="1">IFERROR(__xludf.DUMMYFUNCTION("""COMPUTED_VALUE"""),3.1)</f>
        <v>3.1</v>
      </c>
      <c r="D11014" s="8">
        <f ca="1">IFERROR(__xludf.DUMMYFUNCTION("""COMPUTED_VALUE"""),7)</f>
        <v>7</v>
      </c>
      <c r="E11014" s="2">
        <f ca="1">IFERROR(__xludf.DUMMYFUNCTION("""COMPUTED_VALUE"""),2)</f>
        <v>2</v>
      </c>
    </row>
    <row r="11015" spans="1:5" ht="13">
      <c r="A11015" s="2" t="str">
        <f ca="1">IFERROR(__xludf.DUMMYFUNCTION("""COMPUTED_VALUE"""),"Henderson, Joe")</f>
        <v>Henderson, Joe</v>
      </c>
      <c r="B11015" s="2">
        <f ca="1">IFERROR(__xludf.DUMMYFUNCTION("""COMPUTED_VALUE"""),3)</f>
        <v>3</v>
      </c>
      <c r="C11015" s="7">
        <f ca="1">IFERROR(__xludf.DUMMYFUNCTION("""COMPUTED_VALUE"""),3.1)</f>
        <v>3.1</v>
      </c>
      <c r="D11015" s="8">
        <f ca="1">IFERROR(__xludf.DUMMYFUNCTION("""COMPUTED_VALUE"""),7)</f>
        <v>7</v>
      </c>
      <c r="E11015" s="2">
        <f ca="1">IFERROR(__xludf.DUMMYFUNCTION("""COMPUTED_VALUE"""),2)</f>
        <v>2</v>
      </c>
    </row>
    <row r="11016" spans="1:5" ht="13">
      <c r="A11016" s="2" t="str">
        <f ca="1">IFERROR(__xludf.DUMMYFUNCTION("""COMPUTED_VALUE"""),"Henderson, Luther")</f>
        <v>Henderson, Luther</v>
      </c>
      <c r="B11016" s="2">
        <f ca="1">IFERROR(__xludf.DUMMYFUNCTION("""COMPUTED_VALUE"""),3)</f>
        <v>3</v>
      </c>
      <c r="C11016" s="2">
        <f ca="1">IFERROR(__xludf.DUMMYFUNCTION("""COMPUTED_VALUE"""),3.1)</f>
        <v>3.1</v>
      </c>
      <c r="D11016" s="8">
        <f ca="1">IFERROR(__xludf.DUMMYFUNCTION("""COMPUTED_VALUE"""),7)</f>
        <v>7</v>
      </c>
      <c r="E11016" s="2">
        <f ca="1">IFERROR(__xludf.DUMMYFUNCTION("""COMPUTED_VALUE"""),2)</f>
        <v>2</v>
      </c>
    </row>
    <row r="11017" spans="1:5" ht="13">
      <c r="A11017" s="2" t="str">
        <f ca="1">IFERROR(__xludf.DUMMYFUNCTION("""COMPUTED_VALUE"""),"Hendrix, Jimi")</f>
        <v>Hendrix, Jimi</v>
      </c>
      <c r="B11017" s="2">
        <f ca="1">IFERROR(__xludf.DUMMYFUNCTION("""COMPUTED_VALUE"""),3)</f>
        <v>3</v>
      </c>
      <c r="C11017" s="2">
        <f ca="1">IFERROR(__xludf.DUMMYFUNCTION("""COMPUTED_VALUE"""),3.1)</f>
        <v>3.1</v>
      </c>
      <c r="D11017" s="8">
        <f ca="1">IFERROR(__xludf.DUMMYFUNCTION("""COMPUTED_VALUE"""),7)</f>
        <v>7</v>
      </c>
      <c r="E11017" s="2">
        <f ca="1">IFERROR(__xludf.DUMMYFUNCTION("""COMPUTED_VALUE"""),2)</f>
        <v>2</v>
      </c>
    </row>
    <row r="11018" spans="1:5" ht="13">
      <c r="A11018" s="2" t="str">
        <f ca="1">IFERROR(__xludf.DUMMYFUNCTION("""COMPUTED_VALUE"""),"Henriquez, Carlos")</f>
        <v>Henriquez, Carlos</v>
      </c>
      <c r="B11018" s="3">
        <f ca="1">IFERROR(__xludf.DUMMYFUNCTION("""COMPUTED_VALUE"""),3)</f>
        <v>3</v>
      </c>
      <c r="C11018" s="7">
        <f ca="1">IFERROR(__xludf.DUMMYFUNCTION("""COMPUTED_VALUE"""),3.2)</f>
        <v>3.2</v>
      </c>
      <c r="D11018" s="8">
        <f ca="1">IFERROR(__xludf.DUMMYFUNCTION("""COMPUTED_VALUE"""),3)</f>
        <v>3</v>
      </c>
      <c r="E11018" s="2">
        <f ca="1">IFERROR(__xludf.DUMMYFUNCTION("""COMPUTED_VALUE"""),1)</f>
        <v>1</v>
      </c>
    </row>
    <row r="11019" spans="1:5" ht="13">
      <c r="A11019" s="2" t="str">
        <f ca="1">IFERROR(__xludf.DUMMYFUNCTION("""COMPUTED_VALUE"""),"Herbert, Philip")</f>
        <v>Herbert, Philip</v>
      </c>
      <c r="B11019" s="3">
        <f ca="1">IFERROR(__xludf.DUMMYFUNCTION("""COMPUTED_VALUE"""),3)</f>
        <v>3</v>
      </c>
      <c r="C11019" s="7">
        <f ca="1">IFERROR(__xludf.DUMMYFUNCTION("""COMPUTED_VALUE"""),3.1)</f>
        <v>3.1</v>
      </c>
      <c r="D11019" s="8">
        <f ca="1">IFERROR(__xludf.DUMMYFUNCTION("""COMPUTED_VALUE"""),3)</f>
        <v>3</v>
      </c>
      <c r="E11019" s="2">
        <f ca="1">IFERROR(__xludf.DUMMYFUNCTION("""COMPUTED_VALUE"""),1)</f>
        <v>1</v>
      </c>
    </row>
    <row r="11020" spans="1:5" ht="13">
      <c r="A11020" s="2" t="str">
        <f ca="1">IFERROR(__xludf.DUMMYFUNCTION("""COMPUTED_VALUE"""),"Hernandez, A.")</f>
        <v>Hernandez, A.</v>
      </c>
      <c r="B11020" s="3">
        <f ca="1">IFERROR(__xludf.DUMMYFUNCTION("""COMPUTED_VALUE"""),3)</f>
        <v>3</v>
      </c>
      <c r="C11020" s="7">
        <f ca="1">IFERROR(__xludf.DUMMYFUNCTION("""COMPUTED_VALUE"""),3.2)</f>
        <v>3.2</v>
      </c>
      <c r="D11020" s="8">
        <f ca="1">IFERROR(__xludf.DUMMYFUNCTION("""COMPUTED_VALUE"""),7)</f>
        <v>7</v>
      </c>
      <c r="E11020" s="2">
        <f ca="1">IFERROR(__xludf.DUMMYFUNCTION("""COMPUTED_VALUE"""),2)</f>
        <v>2</v>
      </c>
    </row>
    <row r="11021" spans="1:5" ht="13">
      <c r="A11021" s="2" t="str">
        <f ca="1">IFERROR(__xludf.DUMMYFUNCTION("""COMPUTED_VALUE"""),"Hernandez, Adrian")</f>
        <v>Hernandez, Adrian</v>
      </c>
      <c r="B11021" s="2">
        <f ca="1">IFERROR(__xludf.DUMMYFUNCTION("""COMPUTED_VALUE"""),3)</f>
        <v>3</v>
      </c>
      <c r="C11021" s="7">
        <f ca="1">IFERROR(__xludf.DUMMYFUNCTION("""COMPUTED_VALUE"""),3.2)</f>
        <v>3.2</v>
      </c>
      <c r="D11021" s="8">
        <f ca="1">IFERROR(__xludf.DUMMYFUNCTION("""COMPUTED_VALUE"""),3)</f>
        <v>3</v>
      </c>
      <c r="E11021" s="2">
        <f ca="1">IFERROR(__xludf.DUMMYFUNCTION("""COMPUTED_VALUE"""),1)</f>
        <v>1</v>
      </c>
    </row>
    <row r="11022" spans="1:5" ht="13">
      <c r="A11022" s="2" t="str">
        <f ca="1">IFERROR(__xludf.DUMMYFUNCTION("""COMPUTED_VALUE"""),"Hernandez, George")</f>
        <v>Hernandez, George</v>
      </c>
      <c r="B11022" s="3">
        <f ca="1">IFERROR(__xludf.DUMMYFUNCTION("""COMPUTED_VALUE"""),3)</f>
        <v>3</v>
      </c>
      <c r="C11022" s="7">
        <f ca="1">IFERROR(__xludf.DUMMYFUNCTION("""COMPUTED_VALUE"""),3.3)</f>
        <v>3.3</v>
      </c>
      <c r="D11022" s="8">
        <f ca="1">IFERROR(__xludf.DUMMYFUNCTION("""COMPUTED_VALUE"""),3)</f>
        <v>3</v>
      </c>
      <c r="E11022" s="2">
        <f ca="1">IFERROR(__xludf.DUMMYFUNCTION("""COMPUTED_VALUE"""),1)</f>
        <v>1</v>
      </c>
    </row>
    <row r="11023" spans="1:5" ht="13">
      <c r="A11023" s="2" t="str">
        <f ca="1">IFERROR(__xludf.DUMMYFUNCTION("""COMPUTED_VALUE"""),"Hernández, J.E.")</f>
        <v>Hernández, J.E.</v>
      </c>
      <c r="B11023" s="3">
        <f ca="1">IFERROR(__xludf.DUMMYFUNCTION("""COMPUTED_VALUE"""),3)</f>
        <v>3</v>
      </c>
      <c r="C11023" s="7">
        <f ca="1">IFERROR(__xludf.DUMMYFUNCTION("""COMPUTED_VALUE"""),3.8)</f>
        <v>3.8</v>
      </c>
      <c r="D11023" s="8">
        <f ca="1">IFERROR(__xludf.DUMMYFUNCTION("""COMPUTED_VALUE"""),3)</f>
        <v>3</v>
      </c>
      <c r="E11023" s="2">
        <f ca="1">IFERROR(__xludf.DUMMYFUNCTION("""COMPUTED_VALUE"""),1)</f>
        <v>1</v>
      </c>
    </row>
    <row r="11024" spans="1:5" ht="13">
      <c r="A11024" s="2" t="str">
        <f ca="1">IFERROR(__xludf.DUMMYFUNCTION("""COMPUTED_VALUE"""),"Hernández, José")</f>
        <v>Hernández, José</v>
      </c>
      <c r="B11024" s="3">
        <f ca="1">IFERROR(__xludf.DUMMYFUNCTION("""COMPUTED_VALUE"""),3)</f>
        <v>3</v>
      </c>
      <c r="C11024" s="7">
        <f ca="1">IFERROR(__xludf.DUMMYFUNCTION("""COMPUTED_VALUE"""),3.2)</f>
        <v>3.2</v>
      </c>
      <c r="D11024" s="8">
        <f ca="1">IFERROR(__xludf.DUMMYFUNCTION("""COMPUTED_VALUE"""),3)</f>
        <v>3</v>
      </c>
      <c r="E11024" s="2">
        <f ca="1">IFERROR(__xludf.DUMMYFUNCTION("""COMPUTED_VALUE"""),1)</f>
        <v>1</v>
      </c>
    </row>
    <row r="11025" spans="1:5" ht="13">
      <c r="A11025" s="2" t="str">
        <f ca="1">IFERROR(__xludf.DUMMYFUNCTION("""COMPUTED_VALUE"""),"Hernandez, Oscar")</f>
        <v>Hernandez, Oscar</v>
      </c>
      <c r="B11025" s="2">
        <f ca="1">IFERROR(__xludf.DUMMYFUNCTION("""COMPUTED_VALUE"""),3)</f>
        <v>3</v>
      </c>
      <c r="C11025" s="7">
        <f ca="1">IFERROR(__xludf.DUMMYFUNCTION("""COMPUTED_VALUE"""),3.2)</f>
        <v>3.2</v>
      </c>
      <c r="D11025" s="8">
        <f ca="1">IFERROR(__xludf.DUMMYFUNCTION("""COMPUTED_VALUE"""),3)</f>
        <v>3</v>
      </c>
      <c r="E11025" s="2">
        <f ca="1">IFERROR(__xludf.DUMMYFUNCTION("""COMPUTED_VALUE"""),1)</f>
        <v>1</v>
      </c>
    </row>
    <row r="11026" spans="1:5" ht="13">
      <c r="A11026" s="2" t="str">
        <f ca="1">IFERROR(__xludf.DUMMYFUNCTION("""COMPUTED_VALUE"""),"Hernandez, Rafael")</f>
        <v>Hernandez, Rafael</v>
      </c>
      <c r="B11026" s="3">
        <f ca="1">IFERROR(__xludf.DUMMYFUNCTION("""COMPUTED_VALUE"""),3)</f>
        <v>3</v>
      </c>
      <c r="C11026" s="7">
        <f ca="1">IFERROR(__xludf.DUMMYFUNCTION("""COMPUTED_VALUE"""),3.2)</f>
        <v>3.2</v>
      </c>
      <c r="D11026" s="8">
        <f ca="1">IFERROR(__xludf.DUMMYFUNCTION("""COMPUTED_VALUE"""),7)</f>
        <v>7</v>
      </c>
      <c r="E11026" s="2">
        <f ca="1">IFERROR(__xludf.DUMMYFUNCTION("""COMPUTED_VALUE"""),2)</f>
        <v>2</v>
      </c>
    </row>
    <row r="11027" spans="1:5" ht="13">
      <c r="A11027" s="2" t="str">
        <f ca="1">IFERROR(__xludf.DUMMYFUNCTION("""COMPUTED_VALUE"""),"Herndon, James")</f>
        <v>Herndon, James</v>
      </c>
      <c r="B11027" s="3">
        <f ca="1">IFERROR(__xludf.DUMMYFUNCTION("""COMPUTED_VALUE"""),3)</f>
        <v>3</v>
      </c>
      <c r="C11027" s="7">
        <f ca="1">IFERROR(__xludf.DUMMYFUNCTION("""COMPUTED_VALUE"""),3.1)</f>
        <v>3.1</v>
      </c>
      <c r="D11027" s="8">
        <f ca="1">IFERROR(__xludf.DUMMYFUNCTION("""COMPUTED_VALUE"""),7)</f>
        <v>7</v>
      </c>
      <c r="E11027" s="2">
        <f ca="1">IFERROR(__xludf.DUMMYFUNCTION("""COMPUTED_VALUE"""),2)</f>
        <v>2</v>
      </c>
    </row>
    <row r="11028" spans="1:5" ht="13">
      <c r="A11028" s="8" t="str">
        <f ca="1">IFERROR(__xludf.DUMMYFUNCTION("""COMPUTED_VALUE"""),"Herrera, Ernesto")</f>
        <v>Herrera, Ernesto</v>
      </c>
      <c r="B11028" s="3">
        <f ca="1">IFERROR(__xludf.DUMMYFUNCTION("""COMPUTED_VALUE"""),3)</f>
        <v>3</v>
      </c>
      <c r="C11028" s="7">
        <f ca="1">IFERROR(__xludf.DUMMYFUNCTION("""COMPUTED_VALUE"""),3.2)</f>
        <v>3.2</v>
      </c>
      <c r="D11028" s="8">
        <f ca="1">IFERROR(__xludf.DUMMYFUNCTION("""COMPUTED_VALUE"""),3)</f>
        <v>3</v>
      </c>
      <c r="E11028" s="2">
        <f ca="1">IFERROR(__xludf.DUMMYFUNCTION("""COMPUTED_VALUE"""),1)</f>
        <v>1</v>
      </c>
    </row>
    <row r="11029" spans="1:5" ht="13">
      <c r="A11029" s="2" t="str">
        <f ca="1">IFERROR(__xludf.DUMMYFUNCTION("""COMPUTED_VALUE"""),"Hervey, Nathan")</f>
        <v>Hervey, Nathan</v>
      </c>
      <c r="B11029" s="2">
        <f ca="1">IFERROR(__xludf.DUMMYFUNCTION("""COMPUTED_VALUE"""),3)</f>
        <v>3</v>
      </c>
      <c r="C11029" s="7">
        <f ca="1">IFERROR(__xludf.DUMMYFUNCTION("""COMPUTED_VALUE"""),3.1)</f>
        <v>3.1</v>
      </c>
      <c r="D11029" s="8">
        <f ca="1">IFERROR(__xludf.DUMMYFUNCTION("""COMPUTED_VALUE"""),3)</f>
        <v>3</v>
      </c>
      <c r="E11029" s="2">
        <f ca="1">IFERROR(__xludf.DUMMYFUNCTION("""COMPUTED_VALUE"""),1)</f>
        <v>1</v>
      </c>
    </row>
    <row r="11030" spans="1:5" ht="13">
      <c r="A11030" s="8" t="str">
        <f ca="1">IFERROR(__xludf.DUMMYFUNCTION("""COMPUTED_VALUE"""),"Heyder, Nate")</f>
        <v>Heyder, Nate</v>
      </c>
      <c r="B11030" s="3">
        <f ca="1">IFERROR(__xludf.DUMMYFUNCTION("""COMPUTED_VALUE"""),3)</f>
        <v>3</v>
      </c>
      <c r="C11030" s="7">
        <f ca="1">IFERROR(__xludf.DUMMYFUNCTION("""COMPUTED_VALUE"""),3.1)</f>
        <v>3.1</v>
      </c>
      <c r="D11030" s="8">
        <f ca="1">IFERROR(__xludf.DUMMYFUNCTION("""COMPUTED_VALUE"""),3)</f>
        <v>3</v>
      </c>
      <c r="E11030" s="2">
        <f ca="1">IFERROR(__xludf.DUMMYFUNCTION("""COMPUTED_VALUE"""),1)</f>
        <v>1</v>
      </c>
    </row>
    <row r="11031" spans="1:5" ht="13">
      <c r="A11031" s="2" t="str">
        <f ca="1">IFERROR(__xludf.DUMMYFUNCTION("""COMPUTED_VALUE"""),"Hideaki, Haginomori")</f>
        <v>Hideaki, Haginomori</v>
      </c>
      <c r="B11031" s="3">
        <f ca="1">IFERROR(__xludf.DUMMYFUNCTION("""COMPUTED_VALUE"""),3)</f>
        <v>3</v>
      </c>
      <c r="C11031" s="7">
        <f ca="1">IFERROR(__xludf.DUMMYFUNCTION("""COMPUTED_VALUE"""),3.3)</f>
        <v>3.3</v>
      </c>
      <c r="D11031" s="8">
        <f ca="1">IFERROR(__xludf.DUMMYFUNCTION("""COMPUTED_VALUE"""),3)</f>
        <v>3</v>
      </c>
      <c r="E11031" s="2">
        <f ca="1">IFERROR(__xludf.DUMMYFUNCTION("""COMPUTED_VALUE"""),1)</f>
        <v>1</v>
      </c>
    </row>
    <row r="11032" spans="1:5" ht="13">
      <c r="A11032" s="2" t="str">
        <f ca="1">IFERROR(__xludf.DUMMYFUNCTION("""COMPUTED_VALUE"""),"Hikage, Takafumi")</f>
        <v>Hikage, Takafumi</v>
      </c>
      <c r="B11032" s="2">
        <f ca="1">IFERROR(__xludf.DUMMYFUNCTION("""COMPUTED_VALUE"""),3)</f>
        <v>3</v>
      </c>
      <c r="C11032" s="7">
        <f ca="1">IFERROR(__xludf.DUMMYFUNCTION("""COMPUTED_VALUE"""),3.3)</f>
        <v>3.3</v>
      </c>
      <c r="D11032" s="8">
        <f ca="1">IFERROR(__xludf.DUMMYFUNCTION("""COMPUTED_VALUE"""),3)</f>
        <v>3</v>
      </c>
      <c r="E11032" s="2">
        <f ca="1">IFERROR(__xludf.DUMMYFUNCTION("""COMPUTED_VALUE"""),1)</f>
        <v>1</v>
      </c>
    </row>
    <row r="11033" spans="1:5" ht="13">
      <c r="A11033" s="2" t="str">
        <f ca="1">IFERROR(__xludf.DUMMYFUNCTION("""COMPUTED_VALUE"""),"Hilliard, Quincy")</f>
        <v>Hilliard, Quincy</v>
      </c>
      <c r="B11033" s="3">
        <f ca="1">IFERROR(__xludf.DUMMYFUNCTION("""COMPUTED_VALUE"""),3)</f>
        <v>3</v>
      </c>
      <c r="C11033" s="7">
        <f ca="1">IFERROR(__xludf.DUMMYFUNCTION("""COMPUTED_VALUE"""),3.1)</f>
        <v>3.1</v>
      </c>
      <c r="D11033" s="8">
        <f ca="1">IFERROR(__xludf.DUMMYFUNCTION("""COMPUTED_VALUE"""),3)</f>
        <v>3</v>
      </c>
      <c r="E11033" s="2">
        <f ca="1">IFERROR(__xludf.DUMMYFUNCTION("""COMPUTED_VALUE"""),1)</f>
        <v>1</v>
      </c>
    </row>
    <row r="11034" spans="1:5" ht="13">
      <c r="A11034" s="2" t="str">
        <f ca="1">IFERROR(__xludf.DUMMYFUNCTION("""COMPUTED_VALUE"""),"Hines, Clarence")</f>
        <v>Hines, Clarence</v>
      </c>
      <c r="B11034" s="2">
        <f ca="1">IFERROR(__xludf.DUMMYFUNCTION("""COMPUTED_VALUE"""),3)</f>
        <v>3</v>
      </c>
      <c r="C11034" s="7">
        <f ca="1">IFERROR(__xludf.DUMMYFUNCTION("""COMPUTED_VALUE"""),3.1)</f>
        <v>3.1</v>
      </c>
      <c r="D11034" s="8">
        <f ca="1">IFERROR(__xludf.DUMMYFUNCTION("""COMPUTED_VALUE"""),3)</f>
        <v>3</v>
      </c>
      <c r="E11034" s="2">
        <f ca="1">IFERROR(__xludf.DUMMYFUNCTION("""COMPUTED_VALUE"""),1)</f>
        <v>1</v>
      </c>
    </row>
    <row r="11035" spans="1:5" ht="13">
      <c r="A11035" s="2" t="str">
        <f ca="1">IFERROR(__xludf.DUMMYFUNCTION("""COMPUTED_VALUE"""),"Hirose, Hayato")</f>
        <v>Hirose, Hayato</v>
      </c>
      <c r="B11035" s="2">
        <f ca="1">IFERROR(__xludf.DUMMYFUNCTION("""COMPUTED_VALUE"""),3)</f>
        <v>3</v>
      </c>
      <c r="C11035" s="7">
        <f ca="1">IFERROR(__xludf.DUMMYFUNCTION("""COMPUTED_VALUE"""),3.3)</f>
        <v>3.3</v>
      </c>
      <c r="D11035" s="8">
        <f ca="1">IFERROR(__xludf.DUMMYFUNCTION("""COMPUTED_VALUE"""),3)</f>
        <v>3</v>
      </c>
      <c r="E11035" s="2">
        <f ca="1">IFERROR(__xludf.DUMMYFUNCTION("""COMPUTED_VALUE"""),1)</f>
        <v>1</v>
      </c>
    </row>
    <row r="11036" spans="1:5" ht="13">
      <c r="A11036" s="2" t="str">
        <f ca="1">IFERROR(__xludf.DUMMYFUNCTION("""COMPUTED_VALUE"""),"Hisaishi, Joe")</f>
        <v>Hisaishi, Joe</v>
      </c>
      <c r="B11036" s="3">
        <f ca="1">IFERROR(__xludf.DUMMYFUNCTION("""COMPUTED_VALUE"""),3)</f>
        <v>3</v>
      </c>
      <c r="C11036" s="7">
        <f ca="1">IFERROR(__xludf.DUMMYFUNCTION("""COMPUTED_VALUE"""),3.3)</f>
        <v>3.3</v>
      </c>
      <c r="D11036" s="8">
        <f ca="1">IFERROR(__xludf.DUMMYFUNCTION("""COMPUTED_VALUE"""),3)</f>
        <v>3</v>
      </c>
      <c r="E11036" s="2">
        <f ca="1">IFERROR(__xludf.DUMMYFUNCTION("""COMPUTED_VALUE"""),1)</f>
        <v>1</v>
      </c>
    </row>
    <row r="11037" spans="1:5" ht="13">
      <c r="A11037" s="2" t="str">
        <f ca="1">IFERROR(__xludf.DUMMYFUNCTION("""COMPUTED_VALUE"""),"Hisashi, Joe")</f>
        <v>Hisashi, Joe</v>
      </c>
      <c r="B11037" s="3">
        <f ca="1">IFERROR(__xludf.DUMMYFUNCTION("""COMPUTED_VALUE"""),3)</f>
        <v>3</v>
      </c>
      <c r="C11037" s="7">
        <f ca="1">IFERROR(__xludf.DUMMYFUNCTION("""COMPUTED_VALUE"""),3.3)</f>
        <v>3.3</v>
      </c>
      <c r="D11037" s="8">
        <f ca="1">IFERROR(__xludf.DUMMYFUNCTION("""COMPUTED_VALUE"""),3)</f>
        <v>3</v>
      </c>
      <c r="E11037" s="2">
        <f ca="1">IFERROR(__xludf.DUMMYFUNCTION("""COMPUTED_VALUE"""),1)</f>
        <v>1</v>
      </c>
    </row>
    <row r="11038" spans="1:5" ht="13">
      <c r="A11038" s="2" t="str">
        <f ca="1">IFERROR(__xludf.DUMMYFUNCTION("""COMPUTED_VALUE"""),"Ho, Vincent")</f>
        <v>Ho, Vincent</v>
      </c>
      <c r="B11038" s="3">
        <f ca="1">IFERROR(__xludf.DUMMYFUNCTION("""COMPUTED_VALUE"""),3)</f>
        <v>3</v>
      </c>
      <c r="C11038" s="7">
        <f ca="1">IFERROR(__xludf.DUMMYFUNCTION("""COMPUTED_VALUE"""),3.3)</f>
        <v>3.3</v>
      </c>
      <c r="D11038" s="8">
        <f ca="1">IFERROR(__xludf.DUMMYFUNCTION("""COMPUTED_VALUE"""),3)</f>
        <v>3</v>
      </c>
      <c r="E11038" s="2">
        <f ca="1">IFERROR(__xludf.DUMMYFUNCTION("""COMPUTED_VALUE"""),1)</f>
        <v>1</v>
      </c>
    </row>
    <row r="11039" spans="1:5" ht="13">
      <c r="A11039" s="2" t="str">
        <f ca="1">IFERROR(__xludf.DUMMYFUNCTION("""COMPUTED_VALUE"""),"Hodge, Derrick")</f>
        <v>Hodge, Derrick</v>
      </c>
      <c r="B11039" s="3">
        <f ca="1">IFERROR(__xludf.DUMMYFUNCTION("""COMPUTED_VALUE"""),3)</f>
        <v>3</v>
      </c>
      <c r="C11039" s="7">
        <f ca="1">IFERROR(__xludf.DUMMYFUNCTION("""COMPUTED_VALUE"""),3.1)</f>
        <v>3.1</v>
      </c>
      <c r="D11039" s="8">
        <f ca="1">IFERROR(__xludf.DUMMYFUNCTION("""COMPUTED_VALUE"""),3)</f>
        <v>3</v>
      </c>
      <c r="E11039" s="2">
        <f ca="1">IFERROR(__xludf.DUMMYFUNCTION("""COMPUTED_VALUE"""),1)</f>
        <v>1</v>
      </c>
    </row>
    <row r="11040" spans="1:5" ht="13">
      <c r="A11040" s="2" t="str">
        <f ca="1">IFERROR(__xludf.DUMMYFUNCTION("""COMPUTED_VALUE"""),"Hodges, Johnny")</f>
        <v>Hodges, Johnny</v>
      </c>
      <c r="B11040" s="2">
        <f ca="1">IFERROR(__xludf.DUMMYFUNCTION("""COMPUTED_VALUE"""),3)</f>
        <v>3</v>
      </c>
      <c r="C11040" s="2">
        <f ca="1">IFERROR(__xludf.DUMMYFUNCTION("""COMPUTED_VALUE"""),3.1)</f>
        <v>3.1</v>
      </c>
      <c r="D11040" s="8">
        <f ca="1">IFERROR(__xludf.DUMMYFUNCTION("""COMPUTED_VALUE"""),7)</f>
        <v>7</v>
      </c>
      <c r="E11040" s="2">
        <f ca="1">IFERROR(__xludf.DUMMYFUNCTION("""COMPUTED_VALUE"""),2)</f>
        <v>2</v>
      </c>
    </row>
    <row r="11041" spans="1:5" ht="13">
      <c r="A11041" s="2" t="str">
        <f ca="1">IFERROR(__xludf.DUMMYFUNCTION("""COMPUTED_VALUE"""),"Hoffman, Douglas")</f>
        <v>Hoffman, Douglas</v>
      </c>
      <c r="B11041" s="3">
        <f ca="1">IFERROR(__xludf.DUMMYFUNCTION("""COMPUTED_VALUE"""),3)</f>
        <v>3</v>
      </c>
      <c r="C11041" s="7">
        <f ca="1">IFERROR(__xludf.DUMMYFUNCTION("""COMPUTED_VALUE"""),3.1)</f>
        <v>3.1</v>
      </c>
      <c r="D11041" s="8">
        <f ca="1">IFERROR(__xludf.DUMMYFUNCTION("""COMPUTED_VALUE"""),3)</f>
        <v>3</v>
      </c>
      <c r="E11041" s="2">
        <f ca="1">IFERROR(__xludf.DUMMYFUNCTION("""COMPUTED_VALUE"""),1)</f>
        <v>1</v>
      </c>
    </row>
    <row r="11042" spans="1:5" ht="13">
      <c r="A11042" s="8" t="str">
        <f ca="1">IFERROR(__xludf.DUMMYFUNCTION("""COMPUTED_VALUE"""),"Hogan, Moses")</f>
        <v>Hogan, Moses</v>
      </c>
      <c r="B11042" s="3">
        <f ca="1">IFERROR(__xludf.DUMMYFUNCTION("""COMPUTED_VALUE"""),3)</f>
        <v>3</v>
      </c>
      <c r="C11042" s="7">
        <f ca="1">IFERROR(__xludf.DUMMYFUNCTION("""COMPUTED_VALUE"""),3.1)</f>
        <v>3.1</v>
      </c>
      <c r="D11042" s="8">
        <f ca="1">IFERROR(__xludf.DUMMYFUNCTION("""COMPUTED_VALUE"""),7)</f>
        <v>7</v>
      </c>
      <c r="E11042" s="2">
        <f ca="1">IFERROR(__xludf.DUMMYFUNCTION("""COMPUTED_VALUE"""),2)</f>
        <v>2</v>
      </c>
    </row>
    <row r="11043" spans="1:5" ht="13">
      <c r="A11043" s="2" t="str">
        <f ca="1">IFERROR(__xludf.DUMMYFUNCTION("""COMPUTED_VALUE"""),"Hogan, Moses / Day, Janet Klevberg / Purifoy, John")</f>
        <v>Hogan, Moses / Day, Janet Klevberg / Purifoy, John</v>
      </c>
      <c r="B11043" s="2">
        <f ca="1">IFERROR(__xludf.DUMMYFUNCTION("""COMPUTED_VALUE"""),3)</f>
        <v>3</v>
      </c>
      <c r="C11043" s="2">
        <f ca="1">IFERROR(__xludf.DUMMYFUNCTION("""COMPUTED_VALUE"""),3.1)</f>
        <v>3.1</v>
      </c>
      <c r="D11043" s="8">
        <f ca="1">IFERROR(__xludf.DUMMYFUNCTION("""COMPUTED_VALUE"""),7)</f>
        <v>7</v>
      </c>
      <c r="E11043" s="2">
        <f ca="1">IFERROR(__xludf.DUMMYFUNCTION("""COMPUTED_VALUE"""),2)</f>
        <v>2</v>
      </c>
    </row>
    <row r="11044" spans="1:5" ht="13">
      <c r="A11044" s="2" t="str">
        <f ca="1">IFERROR(__xludf.DUMMYFUNCTION("""COMPUTED_VALUE"""),"Hogan, Moses / Dilworth, Rollo")</f>
        <v>Hogan, Moses / Dilworth, Rollo</v>
      </c>
      <c r="B11044" s="2">
        <f ca="1">IFERROR(__xludf.DUMMYFUNCTION("""COMPUTED_VALUE"""),3)</f>
        <v>3</v>
      </c>
      <c r="C11044" s="2">
        <f ca="1">IFERROR(__xludf.DUMMYFUNCTION("""COMPUTED_VALUE"""),3.1)</f>
        <v>3.1</v>
      </c>
      <c r="D11044" s="8">
        <f ca="1">IFERROR(__xludf.DUMMYFUNCTION("""COMPUTED_VALUE"""),7)</f>
        <v>7</v>
      </c>
      <c r="E11044" s="2">
        <f ca="1">IFERROR(__xludf.DUMMYFUNCTION("""COMPUTED_VALUE"""),2)</f>
        <v>2</v>
      </c>
    </row>
    <row r="11045" spans="1:5" ht="13">
      <c r="A11045" s="8" t="str">
        <f ca="1">IFERROR(__xludf.DUMMYFUNCTION("""COMPUTED_VALUE"""),"Hogan, Moses / Hogan, Edwin")</f>
        <v>Hogan, Moses / Hogan, Edwin</v>
      </c>
      <c r="B11045" s="3">
        <f ca="1">IFERROR(__xludf.DUMMYFUNCTION("""COMPUTED_VALUE"""),3)</f>
        <v>3</v>
      </c>
      <c r="C11045" s="7">
        <f ca="1">IFERROR(__xludf.DUMMYFUNCTION("""COMPUTED_VALUE"""),3.1)</f>
        <v>3.1</v>
      </c>
      <c r="D11045" s="8">
        <f ca="1">IFERROR(__xludf.DUMMYFUNCTION("""COMPUTED_VALUE"""),7)</f>
        <v>7</v>
      </c>
      <c r="E11045" s="2">
        <f ca="1">IFERROR(__xludf.DUMMYFUNCTION("""COMPUTED_VALUE"""),2)</f>
        <v>2</v>
      </c>
    </row>
    <row r="11046" spans="1:5" ht="13">
      <c r="A11046" s="2" t="str">
        <f ca="1">IFERROR(__xludf.DUMMYFUNCTION("""COMPUTED_VALUE"""),"Hogan, Moses / Rodde, Kathleen")</f>
        <v>Hogan, Moses / Rodde, Kathleen</v>
      </c>
      <c r="B11046" s="2">
        <f ca="1">IFERROR(__xludf.DUMMYFUNCTION("""COMPUTED_VALUE"""),3)</f>
        <v>3</v>
      </c>
      <c r="C11046" s="2" t="str">
        <f ca="1">IFERROR(__xludf.DUMMYFUNCTION("""COMPUTED_VALUE"""),"2.0&amp;3.1")</f>
        <v>2.0&amp;3.1</v>
      </c>
      <c r="D11046" s="8">
        <f ca="1">IFERROR(__xludf.DUMMYFUNCTION("""COMPUTED_VALUE"""),7)</f>
        <v>7</v>
      </c>
      <c r="E11046" s="2">
        <f ca="1">IFERROR(__xludf.DUMMYFUNCTION("""COMPUTED_VALUE"""),2)</f>
        <v>2</v>
      </c>
    </row>
    <row r="11047" spans="1:5" ht="13">
      <c r="A11047" s="2" t="str">
        <f ca="1">IFERROR(__xludf.DUMMYFUNCTION("""COMPUTED_VALUE"""),"Hogan, Moses / Scarcella, Janet")</f>
        <v>Hogan, Moses / Scarcella, Janet</v>
      </c>
      <c r="B11047" s="2">
        <f ca="1">IFERROR(__xludf.DUMMYFUNCTION("""COMPUTED_VALUE"""),3)</f>
        <v>3</v>
      </c>
      <c r="C11047" s="2" t="str">
        <f ca="1">IFERROR(__xludf.DUMMYFUNCTION("""COMPUTED_VALUE"""),"2.0&amp;3.1")</f>
        <v>2.0&amp;3.1</v>
      </c>
      <c r="D11047" s="8">
        <f ca="1">IFERROR(__xludf.DUMMYFUNCTION("""COMPUTED_VALUE"""),7)</f>
        <v>7</v>
      </c>
      <c r="E11047" s="2">
        <f ca="1">IFERROR(__xludf.DUMMYFUNCTION("""COMPUTED_VALUE"""),2)</f>
        <v>2</v>
      </c>
    </row>
    <row r="11048" spans="1:5" ht="13">
      <c r="A11048" s="2" t="str">
        <f ca="1">IFERROR(__xludf.DUMMYFUNCTION("""COMPUTED_VALUE"""),"Hokoyama, Wataru")</f>
        <v>Hokoyama, Wataru</v>
      </c>
      <c r="B11048" s="3">
        <f ca="1">IFERROR(__xludf.DUMMYFUNCTION("""COMPUTED_VALUE"""),3)</f>
        <v>3</v>
      </c>
      <c r="C11048" s="7">
        <f ca="1">IFERROR(__xludf.DUMMYFUNCTION("""COMPUTED_VALUE"""),3.3)</f>
        <v>3.3</v>
      </c>
      <c r="D11048" s="8">
        <f ca="1">IFERROR(__xludf.DUMMYFUNCTION("""COMPUTED_VALUE"""),3)</f>
        <v>3</v>
      </c>
      <c r="E11048" s="2">
        <f ca="1">IFERROR(__xludf.DUMMYFUNCTION("""COMPUTED_VALUE"""),1)</f>
        <v>1</v>
      </c>
    </row>
    <row r="11049" spans="1:5" ht="13">
      <c r="A11049" s="2" t="str">
        <f ca="1">IFERROR(__xludf.DUMMYFUNCTION("""COMPUTED_VALUE"""),"Holland-Dozier-Holland")</f>
        <v>Holland-Dozier-Holland</v>
      </c>
      <c r="B11049" s="3">
        <f ca="1">IFERROR(__xludf.DUMMYFUNCTION("""COMPUTED_VALUE"""),3)</f>
        <v>3</v>
      </c>
      <c r="C11049" s="7">
        <f ca="1">IFERROR(__xludf.DUMMYFUNCTION("""COMPUTED_VALUE"""),3.1)</f>
        <v>3.1</v>
      </c>
      <c r="D11049" s="8">
        <f ca="1">IFERROR(__xludf.DUMMYFUNCTION("""COMPUTED_VALUE"""),3)</f>
        <v>3</v>
      </c>
      <c r="E11049" s="2">
        <f ca="1">IFERROR(__xludf.DUMMYFUNCTION("""COMPUTED_VALUE"""),1)</f>
        <v>1</v>
      </c>
    </row>
    <row r="11050" spans="1:5" ht="13">
      <c r="A11050" s="2" t="str">
        <f ca="1">IFERROR(__xludf.DUMMYFUNCTION("""COMPUTED_VALUE"""),"Holland, II, M. Roger")</f>
        <v>Holland, II, M. Roger</v>
      </c>
      <c r="B11050" s="3">
        <f ca="1">IFERROR(__xludf.DUMMYFUNCTION("""COMPUTED_VALUE"""),3)</f>
        <v>3</v>
      </c>
      <c r="C11050" s="7">
        <f ca="1">IFERROR(__xludf.DUMMYFUNCTION("""COMPUTED_VALUE"""),3.1)</f>
        <v>3.1</v>
      </c>
      <c r="D11050" s="8">
        <f ca="1">IFERROR(__xludf.DUMMYFUNCTION("""COMPUTED_VALUE"""),3)</f>
        <v>3</v>
      </c>
      <c r="E11050" s="2">
        <f ca="1">IFERROR(__xludf.DUMMYFUNCTION("""COMPUTED_VALUE"""),1)</f>
        <v>1</v>
      </c>
    </row>
    <row r="11051" spans="1:5" ht="13">
      <c r="A11051" s="2" t="str">
        <f ca="1">IFERROR(__xludf.DUMMYFUNCTION("""COMPUTED_VALUE"""),"Holland, Jonathan Bailey")</f>
        <v>Holland, Jonathan Bailey</v>
      </c>
      <c r="B11051" s="3">
        <f ca="1">IFERROR(__xludf.DUMMYFUNCTION("""COMPUTED_VALUE"""),3)</f>
        <v>3</v>
      </c>
      <c r="C11051" s="7">
        <f ca="1">IFERROR(__xludf.DUMMYFUNCTION("""COMPUTED_VALUE"""),3.1)</f>
        <v>3.1</v>
      </c>
      <c r="D11051" s="8">
        <f ca="1">IFERROR(__xludf.DUMMYFUNCTION("""COMPUTED_VALUE"""),3)</f>
        <v>3</v>
      </c>
      <c r="E11051" s="2">
        <f ca="1">IFERROR(__xludf.DUMMYFUNCTION("""COMPUTED_VALUE"""),1)</f>
        <v>1</v>
      </c>
    </row>
    <row r="11052" spans="1:5" ht="13">
      <c r="A11052" s="8" t="str">
        <f ca="1">IFERROR(__xludf.DUMMYFUNCTION("""COMPUTED_VALUE"""),"Holland, M. Roger")</f>
        <v>Holland, M. Roger</v>
      </c>
      <c r="B11052" s="3">
        <f ca="1">IFERROR(__xludf.DUMMYFUNCTION("""COMPUTED_VALUE"""),3)</f>
        <v>3</v>
      </c>
      <c r="C11052" s="7">
        <f ca="1">IFERROR(__xludf.DUMMYFUNCTION("""COMPUTED_VALUE"""),3.1)</f>
        <v>3.1</v>
      </c>
      <c r="D11052" s="8">
        <f ca="1">IFERROR(__xludf.DUMMYFUNCTION("""COMPUTED_VALUE"""),3)</f>
        <v>3</v>
      </c>
      <c r="E11052" s="2">
        <f ca="1">IFERROR(__xludf.DUMMYFUNCTION("""COMPUTED_VALUE"""),1)</f>
        <v>1</v>
      </c>
    </row>
    <row r="11053" spans="1:5" ht="13">
      <c r="A11053" s="8" t="str">
        <f ca="1">IFERROR(__xludf.DUMMYFUNCTION("""COMPUTED_VALUE"""),"Holmes, Gregory D.V.")</f>
        <v>Holmes, Gregory D.V.</v>
      </c>
      <c r="B11053" s="3">
        <f ca="1">IFERROR(__xludf.DUMMYFUNCTION("""COMPUTED_VALUE"""),3)</f>
        <v>3</v>
      </c>
      <c r="C11053" s="7">
        <f ca="1">IFERROR(__xludf.DUMMYFUNCTION("""COMPUTED_VALUE"""),3.1)</f>
        <v>3.1</v>
      </c>
      <c r="D11053" s="8">
        <f ca="1">IFERROR(__xludf.DUMMYFUNCTION("""COMPUTED_VALUE"""),3)</f>
        <v>3</v>
      </c>
      <c r="E11053" s="2">
        <f ca="1">IFERROR(__xludf.DUMMYFUNCTION("""COMPUTED_VALUE"""),1)</f>
        <v>1</v>
      </c>
    </row>
    <row r="11054" spans="1:5" ht="13">
      <c r="A11054" s="8" t="str">
        <f ca="1">IFERROR(__xludf.DUMMYFUNCTION("""COMPUTED_VALUE"""),"Hong Nan-Pa")</f>
        <v>Hong Nan-Pa</v>
      </c>
      <c r="B11054" s="3">
        <f ca="1">IFERROR(__xludf.DUMMYFUNCTION("""COMPUTED_VALUE"""),3)</f>
        <v>3</v>
      </c>
      <c r="C11054" s="7">
        <f ca="1">IFERROR(__xludf.DUMMYFUNCTION("""COMPUTED_VALUE"""),3.3)</f>
        <v>3.3</v>
      </c>
      <c r="D11054" s="8">
        <f ca="1">IFERROR(__xludf.DUMMYFUNCTION("""COMPUTED_VALUE"""),7)</f>
        <v>7</v>
      </c>
      <c r="E11054" s="2">
        <f ca="1">IFERROR(__xludf.DUMMYFUNCTION("""COMPUTED_VALUE"""),2)</f>
        <v>2</v>
      </c>
    </row>
    <row r="11055" spans="1:5" ht="13">
      <c r="A11055" s="2" t="str">
        <f ca="1">IFERROR(__xludf.DUMMYFUNCTION("""COMPUTED_VALUE"""),"Hong-Da Chin")</f>
        <v>Hong-Da Chin</v>
      </c>
      <c r="B11055" s="2">
        <f ca="1">IFERROR(__xludf.DUMMYFUNCTION("""COMPUTED_VALUE"""),3)</f>
        <v>3</v>
      </c>
      <c r="C11055" s="7">
        <f ca="1">IFERROR(__xludf.DUMMYFUNCTION("""COMPUTED_VALUE"""),3.3)</f>
        <v>3.3</v>
      </c>
      <c r="D11055" s="8">
        <f ca="1">IFERROR(__xludf.DUMMYFUNCTION("""COMPUTED_VALUE"""),3)</f>
        <v>3</v>
      </c>
      <c r="E11055" s="2">
        <f ca="1">IFERROR(__xludf.DUMMYFUNCTION("""COMPUTED_VALUE"""),1)</f>
        <v>1</v>
      </c>
    </row>
    <row r="11056" spans="1:5" ht="13">
      <c r="A11056" s="2" t="str">
        <f ca="1">IFERROR(__xludf.DUMMYFUNCTION("""COMPUTED_VALUE"""),"Horne, Ben")</f>
        <v>Horne, Ben</v>
      </c>
      <c r="B11056" s="2">
        <f ca="1">IFERROR(__xludf.DUMMYFUNCTION("""COMPUTED_VALUE"""),3)</f>
        <v>3</v>
      </c>
      <c r="C11056" s="7">
        <f ca="1">IFERROR(__xludf.DUMMYFUNCTION("""COMPUTED_VALUE"""),3.1)</f>
        <v>3.1</v>
      </c>
      <c r="D11056" s="8">
        <f ca="1">IFERROR(__xludf.DUMMYFUNCTION("""COMPUTED_VALUE"""),3)</f>
        <v>3</v>
      </c>
      <c r="E11056" s="2">
        <f ca="1">IFERROR(__xludf.DUMMYFUNCTION("""COMPUTED_VALUE"""),1)</f>
        <v>1</v>
      </c>
    </row>
    <row r="11057" spans="1:5" ht="13">
      <c r="A11057" s="2" t="str">
        <f ca="1">IFERROR(__xludf.DUMMYFUNCTION("""COMPUTED_VALUE"""),"Horne, Benjamin")</f>
        <v>Horne, Benjamin</v>
      </c>
      <c r="B11057" s="2">
        <f ca="1">IFERROR(__xludf.DUMMYFUNCTION("""COMPUTED_VALUE"""),3)</f>
        <v>3</v>
      </c>
      <c r="C11057" s="7">
        <f ca="1">IFERROR(__xludf.DUMMYFUNCTION("""COMPUTED_VALUE"""),3.1)</f>
        <v>3.1</v>
      </c>
      <c r="D11057" s="8">
        <f ca="1">IFERROR(__xludf.DUMMYFUNCTION("""COMPUTED_VALUE"""),3)</f>
        <v>3</v>
      </c>
      <c r="E11057" s="2">
        <f ca="1">IFERROR(__xludf.DUMMYFUNCTION("""COMPUTED_VALUE"""),1)</f>
        <v>1</v>
      </c>
    </row>
    <row r="11058" spans="1:5" ht="13">
      <c r="A11058" s="8" t="str">
        <f ca="1">IFERROR(__xludf.DUMMYFUNCTION("""COMPUTED_VALUE"""),"Horta, Toninho")</f>
        <v>Horta, Toninho</v>
      </c>
      <c r="B11058" s="3">
        <f ca="1">IFERROR(__xludf.DUMMYFUNCTION("""COMPUTED_VALUE"""),3)</f>
        <v>3</v>
      </c>
      <c r="C11058" s="7">
        <f ca="1">IFERROR(__xludf.DUMMYFUNCTION("""COMPUTED_VALUE"""),3.2)</f>
        <v>3.2</v>
      </c>
      <c r="D11058" s="8">
        <f ca="1">IFERROR(__xludf.DUMMYFUNCTION("""COMPUTED_VALUE"""),3)</f>
        <v>3</v>
      </c>
      <c r="E11058" s="2">
        <f ca="1">IFERROR(__xludf.DUMMYFUNCTION("""COMPUTED_VALUE"""),1)</f>
        <v>1</v>
      </c>
    </row>
    <row r="11059" spans="1:5" ht="13">
      <c r="A11059" s="2" t="str">
        <f ca="1">IFERROR(__xludf.DUMMYFUNCTION("""COMPUTED_VALUE"""),"Hoshide, Takashi")</f>
        <v>Hoshide, Takashi</v>
      </c>
      <c r="B11059" s="3">
        <f ca="1">IFERROR(__xludf.DUMMYFUNCTION("""COMPUTED_VALUE"""),3)</f>
        <v>3</v>
      </c>
      <c r="C11059" s="7">
        <f ca="1">IFERROR(__xludf.DUMMYFUNCTION("""COMPUTED_VALUE"""),3.3)</f>
        <v>3.3</v>
      </c>
      <c r="D11059" s="8">
        <f ca="1">IFERROR(__xludf.DUMMYFUNCTION("""COMPUTED_VALUE"""),3)</f>
        <v>3</v>
      </c>
      <c r="E11059" s="2">
        <f ca="1">IFERROR(__xludf.DUMMYFUNCTION("""COMPUTED_VALUE"""),1)</f>
        <v>1</v>
      </c>
    </row>
    <row r="11060" spans="1:5" ht="13">
      <c r="A11060" s="2" t="str">
        <f ca="1">IFERROR(__xludf.DUMMYFUNCTION("""COMPUTED_VALUE"""),"Hoshina, Hiroshi")</f>
        <v>Hoshina, Hiroshi</v>
      </c>
      <c r="B11060" s="3">
        <f ca="1">IFERROR(__xludf.DUMMYFUNCTION("""COMPUTED_VALUE"""),3)</f>
        <v>3</v>
      </c>
      <c r="C11060" s="7">
        <f ca="1">IFERROR(__xludf.DUMMYFUNCTION("""COMPUTED_VALUE"""),3.3)</f>
        <v>3.3</v>
      </c>
      <c r="D11060" s="8">
        <f ca="1">IFERROR(__xludf.DUMMYFUNCTION("""COMPUTED_VALUE"""),3)</f>
        <v>3</v>
      </c>
      <c r="E11060" s="2">
        <f ca="1">IFERROR(__xludf.DUMMYFUNCTION("""COMPUTED_VALUE"""),1)</f>
        <v>1</v>
      </c>
    </row>
    <row r="11061" spans="1:5" ht="13">
      <c r="A11061" s="2" t="str">
        <f ca="1">IFERROR(__xludf.DUMMYFUNCTION("""COMPUTED_VALUE"""),"Hosokawa, Toshio")</f>
        <v>Hosokawa, Toshio</v>
      </c>
      <c r="B11061" s="3">
        <f ca="1">IFERROR(__xludf.DUMMYFUNCTION("""COMPUTED_VALUE"""),3)</f>
        <v>3</v>
      </c>
      <c r="C11061" s="7">
        <f ca="1">IFERROR(__xludf.DUMMYFUNCTION("""COMPUTED_VALUE"""),3.3)</f>
        <v>3.3</v>
      </c>
      <c r="D11061" s="8">
        <f ca="1">IFERROR(__xludf.DUMMYFUNCTION("""COMPUTED_VALUE"""),3)</f>
        <v>3</v>
      </c>
      <c r="E11061" s="2">
        <f ca="1">IFERROR(__xludf.DUMMYFUNCTION("""COMPUTED_VALUE"""),1)</f>
        <v>1</v>
      </c>
    </row>
    <row r="11062" spans="1:5" ht="13">
      <c r="A11062" s="2" t="str">
        <f ca="1">IFERROR(__xludf.DUMMYFUNCTION("""COMPUTED_VALUE"""),"Hou, Philemon and Harry Elston")</f>
        <v>Hou, Philemon and Harry Elston</v>
      </c>
      <c r="B11062" s="2">
        <f ca="1">IFERROR(__xludf.DUMMYFUNCTION("""COMPUTED_VALUE"""),3)</f>
        <v>3</v>
      </c>
      <c r="C11062" s="7">
        <f ca="1">IFERROR(__xludf.DUMMYFUNCTION("""COMPUTED_VALUE"""),3.1)</f>
        <v>3.1</v>
      </c>
      <c r="D11062" s="8">
        <f ca="1">IFERROR(__xludf.DUMMYFUNCTION("""COMPUTED_VALUE"""),3)</f>
        <v>3</v>
      </c>
      <c r="E11062" s="2">
        <f ca="1">IFERROR(__xludf.DUMMYFUNCTION("""COMPUTED_VALUE"""),1)</f>
        <v>1</v>
      </c>
    </row>
    <row r="11063" spans="1:5" ht="13">
      <c r="A11063" s="2" t="str">
        <f ca="1">IFERROR(__xludf.DUMMYFUNCTION("""COMPUTED_VALUE"""),"Howard-Guerra, Jose")</f>
        <v>Howard-Guerra, Jose</v>
      </c>
      <c r="B11063" s="2">
        <f ca="1">IFERROR(__xludf.DUMMYFUNCTION("""COMPUTED_VALUE"""),3)</f>
        <v>3</v>
      </c>
      <c r="C11063" s="2">
        <f ca="1">IFERROR(__xludf.DUMMYFUNCTION("""COMPUTED_VALUE"""),3.1)</f>
        <v>3.1</v>
      </c>
      <c r="D11063" s="8">
        <f ca="1">IFERROR(__xludf.DUMMYFUNCTION("""COMPUTED_VALUE"""),3)</f>
        <v>3</v>
      </c>
      <c r="E11063" s="2">
        <f ca="1">IFERROR(__xludf.DUMMYFUNCTION("""COMPUTED_VALUE"""),1)</f>
        <v>1</v>
      </c>
    </row>
    <row r="11064" spans="1:5" ht="13">
      <c r="A11064" s="2" t="str">
        <f ca="1">IFERROR(__xludf.DUMMYFUNCTION("""COMPUTED_VALUE"""),"Hsiao, Tyzen")</f>
        <v>Hsiao, Tyzen</v>
      </c>
      <c r="B11064" s="2">
        <f ca="1">IFERROR(__xludf.DUMMYFUNCTION("""COMPUTED_VALUE"""),3)</f>
        <v>3</v>
      </c>
      <c r="C11064" s="2">
        <f ca="1">IFERROR(__xludf.DUMMYFUNCTION("""COMPUTED_VALUE"""),3.3)</f>
        <v>3.3</v>
      </c>
      <c r="D11064" s="8">
        <f ca="1">IFERROR(__xludf.DUMMYFUNCTION("""COMPUTED_VALUE"""),7)</f>
        <v>7</v>
      </c>
      <c r="E11064" s="2">
        <f ca="1">IFERROR(__xludf.DUMMYFUNCTION("""COMPUTED_VALUE"""),2)</f>
        <v>2</v>
      </c>
    </row>
    <row r="11065" spans="1:5" ht="13">
      <c r="A11065" s="2" t="str">
        <f ca="1">IFERROR(__xludf.DUMMYFUNCTION("""COMPUTED_VALUE"""),"Hsieh, Durwynne")</f>
        <v>Hsieh, Durwynne</v>
      </c>
      <c r="B11065" s="2">
        <f ca="1">IFERROR(__xludf.DUMMYFUNCTION("""COMPUTED_VALUE"""),3)</f>
        <v>3</v>
      </c>
      <c r="C11065" s="7">
        <f ca="1">IFERROR(__xludf.DUMMYFUNCTION("""COMPUTED_VALUE"""),3.3)</f>
        <v>3.3</v>
      </c>
      <c r="D11065" s="8">
        <f ca="1">IFERROR(__xludf.DUMMYFUNCTION("""COMPUTED_VALUE"""),3)</f>
        <v>3</v>
      </c>
      <c r="E11065" s="2">
        <f ca="1">IFERROR(__xludf.DUMMYFUNCTION("""COMPUTED_VALUE"""),1)</f>
        <v>1</v>
      </c>
    </row>
    <row r="11066" spans="1:5" ht="13">
      <c r="A11066" s="2" t="str">
        <f ca="1">IFERROR(__xludf.DUMMYFUNCTION("""COMPUTED_VALUE"""),"Hsu, Chia Yu")</f>
        <v>Hsu, Chia Yu</v>
      </c>
      <c r="B11066" s="3">
        <f ca="1">IFERROR(__xludf.DUMMYFUNCTION("""COMPUTED_VALUE"""),3)</f>
        <v>3</v>
      </c>
      <c r="C11066" s="7">
        <f ca="1">IFERROR(__xludf.DUMMYFUNCTION("""COMPUTED_VALUE"""),3.3)</f>
        <v>3.3</v>
      </c>
      <c r="D11066" s="8">
        <f ca="1">IFERROR(__xludf.DUMMYFUNCTION("""COMPUTED_VALUE"""),3)</f>
        <v>3</v>
      </c>
      <c r="E11066" s="2">
        <f ca="1">IFERROR(__xludf.DUMMYFUNCTION("""COMPUTED_VALUE"""),1)</f>
        <v>1</v>
      </c>
    </row>
    <row r="11067" spans="1:5" ht="13">
      <c r="A11067" s="2" t="str">
        <f ca="1">IFERROR(__xludf.DUMMYFUNCTION("""COMPUTED_VALUE"""),"Hu, Ching-Chu")</f>
        <v>Hu, Ching-Chu</v>
      </c>
      <c r="B11067" s="3">
        <f ca="1">IFERROR(__xludf.DUMMYFUNCTION("""COMPUTED_VALUE"""),3)</f>
        <v>3</v>
      </c>
      <c r="C11067" s="7">
        <f ca="1">IFERROR(__xludf.DUMMYFUNCTION("""COMPUTED_VALUE"""),3.3)</f>
        <v>3.3</v>
      </c>
      <c r="D11067" s="8">
        <f ca="1">IFERROR(__xludf.DUMMYFUNCTION("""COMPUTED_VALUE"""),3)</f>
        <v>3</v>
      </c>
      <c r="E11067" s="2">
        <f ca="1">IFERROR(__xludf.DUMMYFUNCTION("""COMPUTED_VALUE"""),1)</f>
        <v>1</v>
      </c>
    </row>
    <row r="11068" spans="1:5" ht="13">
      <c r="A11068" s="2" t="str">
        <f ca="1">IFERROR(__xludf.DUMMYFUNCTION("""COMPUTED_VALUE"""),"Hua, Wang")</f>
        <v>Hua, Wang</v>
      </c>
      <c r="B11068" s="3">
        <f ca="1">IFERROR(__xludf.DUMMYFUNCTION("""COMPUTED_VALUE"""),3)</f>
        <v>3</v>
      </c>
      <c r="C11068" s="7">
        <f ca="1">IFERROR(__xludf.DUMMYFUNCTION("""COMPUTED_VALUE"""),3.3)</f>
        <v>3.3</v>
      </c>
      <c r="D11068" s="8">
        <f ca="1">IFERROR(__xludf.DUMMYFUNCTION("""COMPUTED_VALUE"""),3)</f>
        <v>3</v>
      </c>
      <c r="E11068" s="2">
        <f ca="1">IFERROR(__xludf.DUMMYFUNCTION("""COMPUTED_VALUE"""),1)</f>
        <v>1</v>
      </c>
    </row>
    <row r="11069" spans="1:5" ht="13">
      <c r="A11069" s="2" t="str">
        <f ca="1">IFERROR(__xludf.DUMMYFUNCTION("""COMPUTED_VALUE"""),"Huang Ruo")</f>
        <v>Huang Ruo</v>
      </c>
      <c r="B11069" s="3">
        <f ca="1">IFERROR(__xludf.DUMMYFUNCTION("""COMPUTED_VALUE"""),3)</f>
        <v>3</v>
      </c>
      <c r="C11069" s="7">
        <f ca="1">IFERROR(__xludf.DUMMYFUNCTION("""COMPUTED_VALUE"""),3.3)</f>
        <v>3.3</v>
      </c>
      <c r="D11069" s="8">
        <f ca="1">IFERROR(__xludf.DUMMYFUNCTION("""COMPUTED_VALUE"""),3)</f>
        <v>3</v>
      </c>
      <c r="E11069" s="2">
        <f ca="1">IFERROR(__xludf.DUMMYFUNCTION("""COMPUTED_VALUE"""),1)</f>
        <v>1</v>
      </c>
    </row>
    <row r="11070" spans="1:5" ht="13">
      <c r="A11070" s="2" t="str">
        <f ca="1">IFERROR(__xludf.DUMMYFUNCTION("""COMPUTED_VALUE"""),"Huang, An-Lun")</f>
        <v>Huang, An-Lun</v>
      </c>
      <c r="B11070" s="3">
        <f ca="1">IFERROR(__xludf.DUMMYFUNCTION("""COMPUTED_VALUE"""),3)</f>
        <v>3</v>
      </c>
      <c r="C11070" s="7">
        <f ca="1">IFERROR(__xludf.DUMMYFUNCTION("""COMPUTED_VALUE"""),3.3)</f>
        <v>3.3</v>
      </c>
      <c r="D11070" s="8">
        <f ca="1">IFERROR(__xludf.DUMMYFUNCTION("""COMPUTED_VALUE"""),3)</f>
        <v>3</v>
      </c>
      <c r="E11070" s="2">
        <f ca="1">IFERROR(__xludf.DUMMYFUNCTION("""COMPUTED_VALUE"""),1)</f>
        <v>1</v>
      </c>
    </row>
    <row r="11071" spans="1:5" ht="13">
      <c r="A11071" s="2" t="str">
        <f ca="1">IFERROR(__xludf.DUMMYFUNCTION("""COMPUTED_VALUE"""),"Huanzhi, Li")</f>
        <v>Huanzhi, Li</v>
      </c>
      <c r="B11071" s="3">
        <f ca="1">IFERROR(__xludf.DUMMYFUNCTION("""COMPUTED_VALUE"""),3)</f>
        <v>3</v>
      </c>
      <c r="C11071" s="7">
        <f ca="1">IFERROR(__xludf.DUMMYFUNCTION("""COMPUTED_VALUE"""),3.3)</f>
        <v>3.3</v>
      </c>
      <c r="D11071" s="8">
        <f ca="1">IFERROR(__xludf.DUMMYFUNCTION("""COMPUTED_VALUE"""),7)</f>
        <v>7</v>
      </c>
      <c r="E11071" s="2">
        <f ca="1">IFERROR(__xludf.DUMMYFUNCTION("""COMPUTED_VALUE"""),2)</f>
        <v>2</v>
      </c>
    </row>
    <row r="11072" spans="1:5" ht="13">
      <c r="A11072" s="2" t="str">
        <f ca="1">IFERROR(__xludf.DUMMYFUNCTION("""COMPUTED_VALUE"""),"Hubbard, Freddie")</f>
        <v>Hubbard, Freddie</v>
      </c>
      <c r="B11072" s="2">
        <f ca="1">IFERROR(__xludf.DUMMYFUNCTION("""COMPUTED_VALUE"""),3)</f>
        <v>3</v>
      </c>
      <c r="C11072" s="7">
        <f ca="1">IFERROR(__xludf.DUMMYFUNCTION("""COMPUTED_VALUE"""),3.1)</f>
        <v>3.1</v>
      </c>
      <c r="D11072" s="8">
        <f ca="1">IFERROR(__xludf.DUMMYFUNCTION("""COMPUTED_VALUE"""),7)</f>
        <v>7</v>
      </c>
      <c r="E11072" s="2">
        <f ca="1">IFERROR(__xludf.DUMMYFUNCTION("""COMPUTED_VALUE"""),2)</f>
        <v>2</v>
      </c>
    </row>
    <row r="11073" spans="1:5" ht="13">
      <c r="A11073" s="2" t="str">
        <f ca="1">IFERROR(__xludf.DUMMYFUNCTION("""COMPUTED_VALUE"""),"Hudson-Camack, Noah")</f>
        <v>Hudson-Camack, Noah</v>
      </c>
      <c r="B11073" s="3">
        <f ca="1">IFERROR(__xludf.DUMMYFUNCTION("""COMPUTED_VALUE"""),3)</f>
        <v>3</v>
      </c>
      <c r="C11073" s="7">
        <f ca="1">IFERROR(__xludf.DUMMYFUNCTION("""COMPUTED_VALUE"""),3.1)</f>
        <v>3.1</v>
      </c>
      <c r="D11073" s="8">
        <f ca="1">IFERROR(__xludf.DUMMYFUNCTION("""COMPUTED_VALUE"""),3)</f>
        <v>3</v>
      </c>
      <c r="E11073" s="2">
        <f ca="1">IFERROR(__xludf.DUMMYFUNCTION("""COMPUTED_VALUE"""),1)</f>
        <v>1</v>
      </c>
    </row>
    <row r="11074" spans="1:5" ht="13">
      <c r="A11074" s="2" t="str">
        <f ca="1">IFERROR(__xludf.DUMMYFUNCTION("""COMPUTED_VALUE"""),"Huesco, Domenico")</f>
        <v>Huesco, Domenico</v>
      </c>
      <c r="B11074" s="2">
        <f ca="1">IFERROR(__xludf.DUMMYFUNCTION("""COMPUTED_VALUE"""),3)</f>
        <v>3</v>
      </c>
      <c r="C11074" s="2">
        <f ca="1">IFERROR(__xludf.DUMMYFUNCTION("""COMPUTED_VALUE"""),3.2)</f>
        <v>3.2</v>
      </c>
      <c r="D11074" s="8">
        <f ca="1">IFERROR(__xludf.DUMMYFUNCTION("""COMPUTED_VALUE"""),3)</f>
        <v>3</v>
      </c>
      <c r="E11074" s="2">
        <f ca="1">IFERROR(__xludf.DUMMYFUNCTION("""COMPUTED_VALUE"""),1)</f>
        <v>1</v>
      </c>
    </row>
    <row r="11075" spans="1:5" ht="13">
      <c r="A11075" s="2" t="str">
        <f ca="1">IFERROR(__xludf.DUMMYFUNCTION("""COMPUTED_VALUE"""),"Hughes, Chad")</f>
        <v>Hughes, Chad</v>
      </c>
      <c r="B11075" s="3">
        <f ca="1">IFERROR(__xludf.DUMMYFUNCTION("""COMPUTED_VALUE"""),3)</f>
        <v>3</v>
      </c>
      <c r="C11075" s="7">
        <f ca="1">IFERROR(__xludf.DUMMYFUNCTION("""COMPUTED_VALUE"""),3.1)</f>
        <v>3.1</v>
      </c>
      <c r="D11075" s="8">
        <f ca="1">IFERROR(__xludf.DUMMYFUNCTION("""COMPUTED_VALUE"""),3)</f>
        <v>3</v>
      </c>
      <c r="E11075" s="2">
        <f ca="1">IFERROR(__xludf.DUMMYFUNCTION("""COMPUTED_VALUE"""),1)</f>
        <v>1</v>
      </c>
    </row>
    <row r="11076" spans="1:5" ht="13">
      <c r="A11076" s="2" t="str">
        <f ca="1">IFERROR(__xludf.DUMMYFUNCTION("""COMPUTED_VALUE"""),"Hughes, Chad ""Sir Wick""")</f>
        <v>Hughes, Chad "Sir Wick"</v>
      </c>
      <c r="B11076" s="3">
        <f ca="1">IFERROR(__xludf.DUMMYFUNCTION("""COMPUTED_VALUE"""),3)</f>
        <v>3</v>
      </c>
      <c r="C11076" s="7">
        <f ca="1">IFERROR(__xludf.DUMMYFUNCTION("""COMPUTED_VALUE"""),3.1)</f>
        <v>3.1</v>
      </c>
      <c r="D11076" s="8">
        <f ca="1">IFERROR(__xludf.DUMMYFUNCTION("""COMPUTED_VALUE"""),3)</f>
        <v>3</v>
      </c>
      <c r="E11076" s="2">
        <f ca="1">IFERROR(__xludf.DUMMYFUNCTION("""COMPUTED_VALUE"""),1)</f>
        <v>1</v>
      </c>
    </row>
    <row r="11077" spans="1:5" ht="13">
      <c r="A11077" s="2" t="str">
        <f ca="1">IFERROR(__xludf.DUMMYFUNCTION("""COMPUTED_VALUE"""),"Huízar, Candelario")</f>
        <v>Huízar, Candelario</v>
      </c>
      <c r="B11077" s="3">
        <f ca="1">IFERROR(__xludf.DUMMYFUNCTION("""COMPUTED_VALUE"""),3)</f>
        <v>3</v>
      </c>
      <c r="C11077" s="7">
        <f ca="1">IFERROR(__xludf.DUMMYFUNCTION("""COMPUTED_VALUE"""),3.2)</f>
        <v>3.2</v>
      </c>
      <c r="D11077" s="8">
        <f ca="1">IFERROR(__xludf.DUMMYFUNCTION("""COMPUTED_VALUE"""),7)</f>
        <v>7</v>
      </c>
      <c r="E11077" s="2">
        <f ca="1">IFERROR(__xludf.DUMMYFUNCTION("""COMPUTED_VALUE"""),2)</f>
        <v>2</v>
      </c>
    </row>
    <row r="11078" spans="1:5" ht="13">
      <c r="A11078" s="2" t="str">
        <f ca="1">IFERROR(__xludf.DUMMYFUNCTION("""COMPUTED_VALUE"""),"Hussain, Ashiq")</f>
        <v>Hussain, Ashiq</v>
      </c>
      <c r="B11078" s="3">
        <f ca="1">IFERROR(__xludf.DUMMYFUNCTION("""COMPUTED_VALUE"""),3)</f>
        <v>3</v>
      </c>
      <c r="C11078" s="7">
        <f ca="1">IFERROR(__xludf.DUMMYFUNCTION("""COMPUTED_VALUE"""),3.5)</f>
        <v>3.5</v>
      </c>
      <c r="D11078" s="8">
        <f ca="1">IFERROR(__xludf.DUMMYFUNCTION("""COMPUTED_VALUE"""),3)</f>
        <v>3</v>
      </c>
      <c r="E11078" s="2">
        <f ca="1">IFERROR(__xludf.DUMMYFUNCTION("""COMPUTED_VALUE"""),1)</f>
        <v>1</v>
      </c>
    </row>
    <row r="11079" spans="1:5" ht="13">
      <c r="A11079" s="2" t="str">
        <f ca="1">IFERROR(__xludf.DUMMYFUNCTION("""COMPUTED_VALUE"""),"Hussain, Zakir")</f>
        <v>Hussain, Zakir</v>
      </c>
      <c r="B11079" s="3">
        <f ca="1">IFERROR(__xludf.DUMMYFUNCTION("""COMPUTED_VALUE"""),3)</f>
        <v>3</v>
      </c>
      <c r="C11079" s="7">
        <f ca="1">IFERROR(__xludf.DUMMYFUNCTION("""COMPUTED_VALUE"""),3.5)</f>
        <v>3.5</v>
      </c>
      <c r="D11079" s="8">
        <f ca="1">IFERROR(__xludf.DUMMYFUNCTION("""COMPUTED_VALUE"""),3)</f>
        <v>3</v>
      </c>
      <c r="E11079" s="2">
        <f ca="1">IFERROR(__xludf.DUMMYFUNCTION("""COMPUTED_VALUE"""),1)</f>
        <v>1</v>
      </c>
    </row>
    <row r="11080" spans="1:5" ht="13">
      <c r="A11080" s="2" t="str">
        <f ca="1">IFERROR(__xludf.DUMMYFUNCTION("""COMPUTED_VALUE"""),"Hutcherson, Bobby")</f>
        <v>Hutcherson, Bobby</v>
      </c>
      <c r="B11080" s="3">
        <f ca="1">IFERROR(__xludf.DUMMYFUNCTION("""COMPUTED_VALUE"""),3)</f>
        <v>3</v>
      </c>
      <c r="C11080" s="7">
        <f ca="1">IFERROR(__xludf.DUMMYFUNCTION("""COMPUTED_VALUE"""),3.1)</f>
        <v>3.1</v>
      </c>
      <c r="D11080" s="8">
        <f ca="1">IFERROR(__xludf.DUMMYFUNCTION("""COMPUTED_VALUE"""),7)</f>
        <v>7</v>
      </c>
      <c r="E11080" s="2">
        <f ca="1">IFERROR(__xludf.DUMMYFUNCTION("""COMPUTED_VALUE"""),2)</f>
        <v>2</v>
      </c>
    </row>
    <row r="11081" spans="1:5" ht="13">
      <c r="A11081" s="2" t="str">
        <f ca="1">IFERROR(__xludf.DUMMYFUNCTION("""COMPUTED_VALUE"""),"Huỳnh, Oswald")</f>
        <v>Huỳnh, Oswald</v>
      </c>
      <c r="B11081" s="3">
        <f ca="1">IFERROR(__xludf.DUMMYFUNCTION("""COMPUTED_VALUE"""),3)</f>
        <v>3</v>
      </c>
      <c r="C11081" s="7">
        <f ca="1">IFERROR(__xludf.DUMMYFUNCTION("""COMPUTED_VALUE"""),3.4)</f>
        <v>3.4</v>
      </c>
      <c r="D11081" s="8">
        <f ca="1">IFERROR(__xludf.DUMMYFUNCTION("""COMPUTED_VALUE"""),3)</f>
        <v>3</v>
      </c>
      <c r="E11081" s="2">
        <f ca="1">IFERROR(__xludf.DUMMYFUNCTION("""COMPUTED_VALUE"""),1)</f>
        <v>1</v>
      </c>
    </row>
    <row r="11082" spans="1:5" ht="13">
      <c r="A11082" s="8" t="str">
        <f ca="1">IFERROR(__xludf.DUMMYFUNCTION("""COMPUTED_VALUE"""),"Ibsen, Jens")</f>
        <v>Ibsen, Jens</v>
      </c>
      <c r="B11082" s="3">
        <f ca="1">IFERROR(__xludf.DUMMYFUNCTION("""COMPUTED_VALUE"""),3)</f>
        <v>3</v>
      </c>
      <c r="C11082" s="7">
        <f ca="1">IFERROR(__xludf.DUMMYFUNCTION("""COMPUTED_VALUE"""),3.1)</f>
        <v>3.1</v>
      </c>
      <c r="D11082" s="8">
        <f ca="1">IFERROR(__xludf.DUMMYFUNCTION("""COMPUTED_VALUE"""),3)</f>
        <v>3</v>
      </c>
      <c r="E11082" s="2">
        <f ca="1">IFERROR(__xludf.DUMMYFUNCTION("""COMPUTED_VALUE"""),1)</f>
        <v>1</v>
      </c>
    </row>
    <row r="11083" spans="1:5" ht="13">
      <c r="A11083" s="2" t="str">
        <f ca="1">IFERROR(__xludf.DUMMYFUNCTION("""COMPUTED_VALUE"""),"Idio, Joshua")</f>
        <v>Idio, Joshua</v>
      </c>
      <c r="B11083" s="2">
        <f ca="1">IFERROR(__xludf.DUMMYFUNCTION("""COMPUTED_VALUE"""),3)</f>
        <v>3</v>
      </c>
      <c r="C11083" s="7">
        <f ca="1">IFERROR(__xludf.DUMMYFUNCTION("""COMPUTED_VALUE"""),3.3)</f>
        <v>3.3</v>
      </c>
      <c r="D11083" s="8">
        <f ca="1">IFERROR(__xludf.DUMMYFUNCTION("""COMPUTED_VALUE"""),3)</f>
        <v>3</v>
      </c>
      <c r="E11083" s="2">
        <f ca="1">IFERROR(__xludf.DUMMYFUNCTION("""COMPUTED_VALUE"""),1)</f>
        <v>1</v>
      </c>
    </row>
    <row r="11084" spans="1:5" ht="13">
      <c r="A11084" s="2" t="str">
        <f ca="1">IFERROR(__xludf.DUMMYFUNCTION("""COMPUTED_VALUE"""),"Idio, Joshua A.")</f>
        <v>Idio, Joshua A.</v>
      </c>
      <c r="B11084" s="3">
        <f ca="1">IFERROR(__xludf.DUMMYFUNCTION("""COMPUTED_VALUE"""),3)</f>
        <v>3</v>
      </c>
      <c r="C11084" s="7">
        <f ca="1">IFERROR(__xludf.DUMMYFUNCTION("""COMPUTED_VALUE"""),3.3)</f>
        <v>3.3</v>
      </c>
      <c r="D11084" s="8">
        <f ca="1">IFERROR(__xludf.DUMMYFUNCTION("""COMPUTED_VALUE"""),3)</f>
        <v>3</v>
      </c>
      <c r="E11084" s="2">
        <f ca="1">IFERROR(__xludf.DUMMYFUNCTION("""COMPUTED_VALUE"""),1)</f>
        <v>1</v>
      </c>
    </row>
    <row r="11085" spans="1:5" ht="13">
      <c r="A11085" s="2" t="str">
        <f ca="1">IFERROR(__xludf.DUMMYFUNCTION("""COMPUTED_VALUE"""),"Ighner, Bernard")</f>
        <v>Ighner, Bernard</v>
      </c>
      <c r="B11085" s="3">
        <f ca="1">IFERROR(__xludf.DUMMYFUNCTION("""COMPUTED_VALUE"""),3)</f>
        <v>3</v>
      </c>
      <c r="C11085" s="7">
        <f ca="1">IFERROR(__xludf.DUMMYFUNCTION("""COMPUTED_VALUE"""),3.1)</f>
        <v>3.1</v>
      </c>
      <c r="D11085" s="8">
        <f ca="1">IFERROR(__xludf.DUMMYFUNCTION("""COMPUTED_VALUE"""),3)</f>
        <v>3</v>
      </c>
      <c r="E11085" s="2">
        <f ca="1">IFERROR(__xludf.DUMMYFUNCTION("""COMPUTED_VALUE"""),1)</f>
        <v>1</v>
      </c>
    </row>
    <row r="11086" spans="1:5" ht="13">
      <c r="A11086" s="2" t="str">
        <f ca="1">IFERROR(__xludf.DUMMYFUNCTION("""COMPUTED_VALUE"""),"Iijima, Toshinari")</f>
        <v>Iijima, Toshinari</v>
      </c>
      <c r="B11086" s="3">
        <f ca="1">IFERROR(__xludf.DUMMYFUNCTION("""COMPUTED_VALUE"""),3)</f>
        <v>3</v>
      </c>
      <c r="C11086" s="7">
        <f ca="1">IFERROR(__xludf.DUMMYFUNCTION("""COMPUTED_VALUE"""),3.3)</f>
        <v>3.3</v>
      </c>
      <c r="D11086" s="8">
        <f ca="1">IFERROR(__xludf.DUMMYFUNCTION("""COMPUTED_VALUE"""),3)</f>
        <v>3</v>
      </c>
      <c r="E11086" s="2">
        <f ca="1">IFERROR(__xludf.DUMMYFUNCTION("""COMPUTED_VALUE"""),1)</f>
        <v>1</v>
      </c>
    </row>
    <row r="11087" spans="1:5" ht="13">
      <c r="A11087" s="2" t="str">
        <f ca="1">IFERROR(__xludf.DUMMYFUNCTION("""COMPUTED_VALUE"""),"Ikebe, Shin-Ichiro")</f>
        <v>Ikebe, Shin-Ichiro</v>
      </c>
      <c r="B11087" s="3">
        <f ca="1">IFERROR(__xludf.DUMMYFUNCTION("""COMPUTED_VALUE"""),3)</f>
        <v>3</v>
      </c>
      <c r="C11087" s="7">
        <f ca="1">IFERROR(__xludf.DUMMYFUNCTION("""COMPUTED_VALUE"""),3.3)</f>
        <v>3.3</v>
      </c>
      <c r="D11087" s="8">
        <f ca="1">IFERROR(__xludf.DUMMYFUNCTION("""COMPUTED_VALUE"""),3)</f>
        <v>3</v>
      </c>
      <c r="E11087" s="2">
        <f ca="1">IFERROR(__xludf.DUMMYFUNCTION("""COMPUTED_VALUE"""),1)</f>
        <v>1</v>
      </c>
    </row>
    <row r="11088" spans="1:5" ht="13">
      <c r="A11088" s="2" t="str">
        <f ca="1">IFERROR(__xludf.DUMMYFUNCTION("""COMPUTED_VALUE"""),"Ikegwuonu, Desmond")</f>
        <v>Ikegwuonu, Desmond</v>
      </c>
      <c r="B11088" s="3">
        <f ca="1">IFERROR(__xludf.DUMMYFUNCTION("""COMPUTED_VALUE"""),3)</f>
        <v>3</v>
      </c>
      <c r="C11088" s="7">
        <f ca="1">IFERROR(__xludf.DUMMYFUNCTION("""COMPUTED_VALUE"""),3.1)</f>
        <v>3.1</v>
      </c>
      <c r="D11088" s="8">
        <f ca="1">IFERROR(__xludf.DUMMYFUNCTION("""COMPUTED_VALUE"""),3)</f>
        <v>3</v>
      </c>
      <c r="E11088" s="2">
        <f ca="1">IFERROR(__xludf.DUMMYFUNCTION("""COMPUTED_VALUE"""),1)</f>
        <v>1</v>
      </c>
    </row>
    <row r="11089" spans="1:5" ht="13">
      <c r="A11089" s="2" t="str">
        <f ca="1">IFERROR(__xludf.DUMMYFUNCTION("""COMPUTED_VALUE"""),"Iliwa'alani, Richard")</f>
        <v>Iliwa'alani, Richard</v>
      </c>
      <c r="B11089" s="3">
        <f ca="1">IFERROR(__xludf.DUMMYFUNCTION("""COMPUTED_VALUE"""),3)</f>
        <v>3</v>
      </c>
      <c r="C11089" s="7">
        <f ca="1">IFERROR(__xludf.DUMMYFUNCTION("""COMPUTED_VALUE"""),3.6)</f>
        <v>3.6</v>
      </c>
      <c r="D11089" s="8">
        <f ca="1">IFERROR(__xludf.DUMMYFUNCTION("""COMPUTED_VALUE"""),7)</f>
        <v>7</v>
      </c>
      <c r="E11089" s="2">
        <f ca="1">IFERROR(__xludf.DUMMYFUNCTION("""COMPUTED_VALUE"""),2)</f>
        <v>2</v>
      </c>
    </row>
    <row r="11090" spans="1:5" ht="13">
      <c r="A11090" s="2" t="str">
        <f ca="1">IFERROR(__xludf.DUMMYFUNCTION("""COMPUTED_VALUE"""),"Inbar, Noam")</f>
        <v>Inbar, Noam</v>
      </c>
      <c r="B11090" s="2">
        <f ca="1">IFERROR(__xludf.DUMMYFUNCTION("""COMPUTED_VALUE"""),3)</f>
        <v>3</v>
      </c>
      <c r="C11090" s="7">
        <f ca="1">IFERROR(__xludf.DUMMYFUNCTION("""COMPUTED_VALUE"""),3.5)</f>
        <v>3.5</v>
      </c>
      <c r="D11090" s="8">
        <f ca="1">IFERROR(__xludf.DUMMYFUNCTION("""COMPUTED_VALUE"""),3)</f>
        <v>3</v>
      </c>
      <c r="E11090" s="2">
        <f ca="1">IFERROR(__xludf.DUMMYFUNCTION("""COMPUTED_VALUE"""),1)</f>
        <v>1</v>
      </c>
    </row>
    <row r="11091" spans="1:5" ht="13">
      <c r="A11091" s="2" t="str">
        <f ca="1">IFERROR(__xludf.DUMMYFUNCTION("""COMPUTED_VALUE"""),"Ince, Kamran")</f>
        <v>Ince, Kamran</v>
      </c>
      <c r="B11091" s="3">
        <f ca="1">IFERROR(__xludf.DUMMYFUNCTION("""COMPUTED_VALUE"""),3)</f>
        <v>3</v>
      </c>
      <c r="C11091" s="7">
        <f ca="1">IFERROR(__xludf.DUMMYFUNCTION("""COMPUTED_VALUE"""),3.5)</f>
        <v>3.5</v>
      </c>
      <c r="D11091" s="8">
        <f ca="1">IFERROR(__xludf.DUMMYFUNCTION("""COMPUTED_VALUE"""),3)</f>
        <v>3</v>
      </c>
      <c r="E11091" s="2">
        <f ca="1">IFERROR(__xludf.DUMMYFUNCTION("""COMPUTED_VALUE"""),1)</f>
        <v>1</v>
      </c>
    </row>
    <row r="11092" spans="1:5" ht="13">
      <c r="A11092" s="2" t="str">
        <f ca="1">IFERROR(__xludf.DUMMYFUNCTION("""COMPUTED_VALUE"""),"Ingram, Michael Ellis")</f>
        <v>Ingram, Michael Ellis</v>
      </c>
      <c r="B11092" s="2">
        <f ca="1">IFERROR(__xludf.DUMMYFUNCTION("""COMPUTED_VALUE"""),3)</f>
        <v>3</v>
      </c>
      <c r="C11092" s="2">
        <f ca="1">IFERROR(__xludf.DUMMYFUNCTION("""COMPUTED_VALUE"""),3.1)</f>
        <v>3.1</v>
      </c>
      <c r="D11092" s="8">
        <f ca="1">IFERROR(__xludf.DUMMYFUNCTION("""COMPUTED_VALUE"""),3)</f>
        <v>3</v>
      </c>
      <c r="E11092" s="2">
        <f ca="1">IFERROR(__xludf.DUMMYFUNCTION("""COMPUTED_VALUE"""),1)</f>
        <v>1</v>
      </c>
    </row>
    <row r="11093" spans="1:5" ht="13">
      <c r="A11093" s="2" t="str">
        <f ca="1">IFERROR(__xludf.DUMMYFUNCTION("""COMPUTED_VALUE"""),"Irby, Sherman")</f>
        <v>Irby, Sherman</v>
      </c>
      <c r="B11093" s="3">
        <f ca="1">IFERROR(__xludf.DUMMYFUNCTION("""COMPUTED_VALUE"""),3)</f>
        <v>3</v>
      </c>
      <c r="C11093" s="7">
        <f ca="1">IFERROR(__xludf.DUMMYFUNCTION("""COMPUTED_VALUE"""),3.1)</f>
        <v>3.1</v>
      </c>
      <c r="D11093" s="8">
        <f ca="1">IFERROR(__xludf.DUMMYFUNCTION("""COMPUTED_VALUE"""),3)</f>
        <v>3</v>
      </c>
      <c r="E11093" s="2">
        <f ca="1">IFERROR(__xludf.DUMMYFUNCTION("""COMPUTED_VALUE"""),1)</f>
        <v>1</v>
      </c>
    </row>
    <row r="11094" spans="1:5" ht="13">
      <c r="A11094" s="2" t="str">
        <f ca="1">IFERROR(__xludf.DUMMYFUNCTION("""COMPUTED_VALUE"""),"Ishibashi, Kaoru (Kishi Bashi)")</f>
        <v>Ishibashi, Kaoru (Kishi Bashi)</v>
      </c>
      <c r="B11094" s="3">
        <f ca="1">IFERROR(__xludf.DUMMYFUNCTION("""COMPUTED_VALUE"""),3)</f>
        <v>3</v>
      </c>
      <c r="C11094" s="7">
        <f ca="1">IFERROR(__xludf.DUMMYFUNCTION("""COMPUTED_VALUE"""),3.3)</f>
        <v>3.3</v>
      </c>
      <c r="D11094" s="8">
        <f ca="1">IFERROR(__xludf.DUMMYFUNCTION("""COMPUTED_VALUE"""),3)</f>
        <v>3</v>
      </c>
      <c r="E11094" s="2">
        <f ca="1">IFERROR(__xludf.DUMMYFUNCTION("""COMPUTED_VALUE"""),1)</f>
        <v>1</v>
      </c>
    </row>
    <row r="11095" spans="1:5" ht="13">
      <c r="A11095" s="2" t="str">
        <f ca="1">IFERROR(__xludf.DUMMYFUNCTION("""COMPUTED_VALUE"""),"Ishii, Maki")</f>
        <v>Ishii, Maki</v>
      </c>
      <c r="B11095" s="3">
        <f ca="1">IFERROR(__xludf.DUMMYFUNCTION("""COMPUTED_VALUE"""),3)</f>
        <v>3</v>
      </c>
      <c r="C11095" s="7">
        <f ca="1">IFERROR(__xludf.DUMMYFUNCTION("""COMPUTED_VALUE"""),3.3)</f>
        <v>3.3</v>
      </c>
      <c r="D11095" s="8">
        <f ca="1">IFERROR(__xludf.DUMMYFUNCTION("""COMPUTED_VALUE"""),7)</f>
        <v>7</v>
      </c>
      <c r="E11095" s="2">
        <f ca="1">IFERROR(__xludf.DUMMYFUNCTION("""COMPUTED_VALUE"""),2)</f>
        <v>2</v>
      </c>
    </row>
    <row r="11096" spans="1:5" ht="13">
      <c r="A11096" s="2" t="str">
        <f ca="1">IFERROR(__xludf.DUMMYFUNCTION("""COMPUTED_VALUE"""),"Ishikawa, Jun")</f>
        <v>Ishikawa, Jun</v>
      </c>
      <c r="B11096" s="2">
        <f ca="1">IFERROR(__xludf.DUMMYFUNCTION("""COMPUTED_VALUE"""),3)</f>
        <v>3</v>
      </c>
      <c r="C11096" s="7">
        <f ca="1">IFERROR(__xludf.DUMMYFUNCTION("""COMPUTED_VALUE"""),3.3)</f>
        <v>3.3</v>
      </c>
      <c r="D11096" s="8">
        <f ca="1">IFERROR(__xludf.DUMMYFUNCTION("""COMPUTED_VALUE"""),3)</f>
        <v>3</v>
      </c>
      <c r="E11096" s="2">
        <f ca="1">IFERROR(__xludf.DUMMYFUNCTION("""COMPUTED_VALUE"""),1)</f>
        <v>1</v>
      </c>
    </row>
    <row r="11097" spans="1:5" ht="13">
      <c r="A11097" s="2" t="str">
        <f ca="1">IFERROR(__xludf.DUMMYFUNCTION("""COMPUTED_VALUE"""),"Ishikawa, Ryota")</f>
        <v>Ishikawa, Ryota</v>
      </c>
      <c r="B11097" s="2">
        <f ca="1">IFERROR(__xludf.DUMMYFUNCTION("""COMPUTED_VALUE"""),3)</f>
        <v>3</v>
      </c>
      <c r="C11097" s="2">
        <f ca="1">IFERROR(__xludf.DUMMYFUNCTION("""COMPUTED_VALUE"""),3.3)</f>
        <v>3.3</v>
      </c>
      <c r="D11097" s="8">
        <f ca="1">IFERROR(__xludf.DUMMYFUNCTION("""COMPUTED_VALUE"""),3)</f>
        <v>3</v>
      </c>
      <c r="E11097" s="2">
        <f ca="1">IFERROR(__xludf.DUMMYFUNCTION("""COMPUTED_VALUE"""),1)</f>
        <v>1</v>
      </c>
    </row>
    <row r="11098" spans="1:5" ht="13">
      <c r="A11098" s="2" t="str">
        <f ca="1">IFERROR(__xludf.DUMMYFUNCTION("""COMPUTED_VALUE"""),"Itani, Masaki")</f>
        <v>Itani, Masaki</v>
      </c>
      <c r="B11098" s="2">
        <f ca="1">IFERROR(__xludf.DUMMYFUNCTION("""COMPUTED_VALUE"""),3)</f>
        <v>3</v>
      </c>
      <c r="C11098" s="2">
        <f ca="1">IFERROR(__xludf.DUMMYFUNCTION("""COMPUTED_VALUE"""),3.3)</f>
        <v>3.3</v>
      </c>
      <c r="D11098" s="8">
        <f ca="1">IFERROR(__xludf.DUMMYFUNCTION("""COMPUTED_VALUE"""),3)</f>
        <v>3</v>
      </c>
      <c r="E11098" s="2">
        <f ca="1">IFERROR(__xludf.DUMMYFUNCTION("""COMPUTED_VALUE"""),1)</f>
        <v>1</v>
      </c>
    </row>
    <row r="11099" spans="1:5" ht="13">
      <c r="A11099" s="2" t="str">
        <f ca="1">IFERROR(__xludf.DUMMYFUNCTION("""COMPUTED_VALUE"""),"Ito, Yasuhide")</f>
        <v>Ito, Yasuhide</v>
      </c>
      <c r="B11099" s="3">
        <f ca="1">IFERROR(__xludf.DUMMYFUNCTION("""COMPUTED_VALUE"""),3)</f>
        <v>3</v>
      </c>
      <c r="C11099" s="7">
        <f ca="1">IFERROR(__xludf.DUMMYFUNCTION("""COMPUTED_VALUE"""),3.3)</f>
        <v>3.3</v>
      </c>
      <c r="D11099" s="8">
        <f ca="1">IFERROR(__xludf.DUMMYFUNCTION("""COMPUTED_VALUE"""),3)</f>
        <v>3</v>
      </c>
      <c r="E11099" s="2">
        <f ca="1">IFERROR(__xludf.DUMMYFUNCTION("""COMPUTED_VALUE"""),1)</f>
        <v>1</v>
      </c>
    </row>
    <row r="11100" spans="1:5" ht="13">
      <c r="A11100" s="2" t="str">
        <f ca="1">IFERROR(__xludf.DUMMYFUNCTION("""COMPUTED_VALUE"""),"Itoh, Takuma")</f>
        <v>Itoh, Takuma</v>
      </c>
      <c r="B11100" s="3">
        <f ca="1">IFERROR(__xludf.DUMMYFUNCTION("""COMPUTED_VALUE"""),3)</f>
        <v>3</v>
      </c>
      <c r="C11100" s="7">
        <f ca="1">IFERROR(__xludf.DUMMYFUNCTION("""COMPUTED_VALUE"""),3.3)</f>
        <v>3.3</v>
      </c>
      <c r="D11100" s="8">
        <f ca="1">IFERROR(__xludf.DUMMYFUNCTION("""COMPUTED_VALUE"""),3)</f>
        <v>3</v>
      </c>
      <c r="E11100" s="2">
        <f ca="1">IFERROR(__xludf.DUMMYFUNCTION("""COMPUTED_VALUE"""),1)</f>
        <v>1</v>
      </c>
    </row>
    <row r="11101" spans="1:5" ht="13">
      <c r="A11101" s="8" t="str">
        <f ca="1">IFERROR(__xludf.DUMMYFUNCTION("""COMPUTED_VALUE"""),"Iwai, Naohiro")</f>
        <v>Iwai, Naohiro</v>
      </c>
      <c r="B11101" s="3">
        <f ca="1">IFERROR(__xludf.DUMMYFUNCTION("""COMPUTED_VALUE"""),3)</f>
        <v>3</v>
      </c>
      <c r="C11101" s="7">
        <f ca="1">IFERROR(__xludf.DUMMYFUNCTION("""COMPUTED_VALUE"""),3.3)</f>
        <v>3.3</v>
      </c>
      <c r="D11101" s="8">
        <f ca="1">IFERROR(__xludf.DUMMYFUNCTION("""COMPUTED_VALUE"""),7)</f>
        <v>7</v>
      </c>
      <c r="E11101" s="2">
        <f ca="1">IFERROR(__xludf.DUMMYFUNCTION("""COMPUTED_VALUE"""),2)</f>
        <v>2</v>
      </c>
    </row>
    <row r="11102" spans="1:5" ht="13">
      <c r="A11102" s="8" t="str">
        <f ca="1">IFERROR(__xludf.DUMMYFUNCTION("""COMPUTED_VALUE"""),"Iwasaki, Gabriel")</f>
        <v>Iwasaki, Gabriel</v>
      </c>
      <c r="B11102" s="3">
        <f ca="1">IFERROR(__xludf.DUMMYFUNCTION("""COMPUTED_VALUE"""),3)</f>
        <v>3</v>
      </c>
      <c r="C11102" s="7">
        <f ca="1">IFERROR(__xludf.DUMMYFUNCTION("""COMPUTED_VALUE"""),3.2)</f>
        <v>3.2</v>
      </c>
      <c r="D11102" s="8">
        <f ca="1">IFERROR(__xludf.DUMMYFUNCTION("""COMPUTED_VALUE"""),3)</f>
        <v>3</v>
      </c>
      <c r="E11102" s="2">
        <f ca="1">IFERROR(__xludf.DUMMYFUNCTION("""COMPUTED_VALUE"""),1)</f>
        <v>1</v>
      </c>
    </row>
    <row r="11103" spans="1:5" ht="13">
      <c r="A11103" s="2" t="str">
        <f ca="1">IFERROR(__xludf.DUMMYFUNCTION("""COMPUTED_VALUE"""),"Iyer, Vijay")</f>
        <v>Iyer, Vijay</v>
      </c>
      <c r="B11103" s="3">
        <f ca="1">IFERROR(__xludf.DUMMYFUNCTION("""COMPUTED_VALUE"""),3)</f>
        <v>3</v>
      </c>
      <c r="C11103" s="7">
        <f ca="1">IFERROR(__xludf.DUMMYFUNCTION("""COMPUTED_VALUE"""),3.4)</f>
        <v>3.4</v>
      </c>
      <c r="D11103" s="8">
        <f ca="1">IFERROR(__xludf.DUMMYFUNCTION("""COMPUTED_VALUE"""),3)</f>
        <v>3</v>
      </c>
      <c r="E11103" s="2">
        <f ca="1">IFERROR(__xludf.DUMMYFUNCTION("""COMPUTED_VALUE"""),1)</f>
        <v>1</v>
      </c>
    </row>
    <row r="11104" spans="1:5" ht="13">
      <c r="A11104" s="2" t="str">
        <f ca="1">IFERROR(__xludf.DUMMYFUNCTION("""COMPUTED_VALUE"""),"Izcaray, Carlos")</f>
        <v>Izcaray, Carlos</v>
      </c>
      <c r="B11104" s="3">
        <f ca="1">IFERROR(__xludf.DUMMYFUNCTION("""COMPUTED_VALUE"""),3)</f>
        <v>3</v>
      </c>
      <c r="C11104" s="7">
        <f ca="1">IFERROR(__xludf.DUMMYFUNCTION("""COMPUTED_VALUE"""),3.2)</f>
        <v>3.2</v>
      </c>
      <c r="D11104" s="8">
        <f ca="1">IFERROR(__xludf.DUMMYFUNCTION("""COMPUTED_VALUE"""),3)</f>
        <v>3</v>
      </c>
      <c r="E11104" s="2">
        <f ca="1">IFERROR(__xludf.DUMMYFUNCTION("""COMPUTED_VALUE"""),1)</f>
        <v>1</v>
      </c>
    </row>
    <row r="11105" spans="1:5" ht="13">
      <c r="A11105" s="2" t="str">
        <f ca="1">IFERROR(__xludf.DUMMYFUNCTION("""COMPUTED_VALUE"""),"Izumi, Hirotaka")</f>
        <v>Izumi, Hirotaka</v>
      </c>
      <c r="B11105" s="3">
        <f ca="1">IFERROR(__xludf.DUMMYFUNCTION("""COMPUTED_VALUE"""),3)</f>
        <v>3</v>
      </c>
      <c r="C11105" s="7">
        <f ca="1">IFERROR(__xludf.DUMMYFUNCTION("""COMPUTED_VALUE"""),3.3)</f>
        <v>3.3</v>
      </c>
      <c r="D11105" s="8">
        <f ca="1">IFERROR(__xludf.DUMMYFUNCTION("""COMPUTED_VALUE"""),7)</f>
        <v>7</v>
      </c>
      <c r="E11105" s="2">
        <f ca="1">IFERROR(__xludf.DUMMYFUNCTION("""COMPUTED_VALUE"""),2)</f>
        <v>2</v>
      </c>
    </row>
    <row r="11106" spans="1:5" ht="13">
      <c r="A11106" s="2" t="str">
        <f ca="1">IFERROR(__xludf.DUMMYFUNCTION("""COMPUTED_VALUE"""),"Izumi, Taku")</f>
        <v>Izumi, Taku</v>
      </c>
      <c r="B11106" s="3">
        <f ca="1">IFERROR(__xludf.DUMMYFUNCTION("""COMPUTED_VALUE"""),3)</f>
        <v>3</v>
      </c>
      <c r="C11106" s="7">
        <f ca="1">IFERROR(__xludf.DUMMYFUNCTION("""COMPUTED_VALUE"""),3.3)</f>
        <v>3.3</v>
      </c>
      <c r="D11106" s="8">
        <f ca="1">IFERROR(__xludf.DUMMYFUNCTION("""COMPUTED_VALUE"""),7)</f>
        <v>7</v>
      </c>
      <c r="E11106" s="2">
        <f ca="1">IFERROR(__xludf.DUMMYFUNCTION("""COMPUTED_VALUE"""),2)</f>
        <v>2</v>
      </c>
    </row>
    <row r="11107" spans="1:5" ht="13">
      <c r="A11107" s="2" t="str">
        <f ca="1">IFERROR(__xludf.DUMMYFUNCTION("""COMPUTED_VALUE"""),"Jackson, Clarence")</f>
        <v>Jackson, Clarence</v>
      </c>
      <c r="B11107" s="2">
        <f ca="1">IFERROR(__xludf.DUMMYFUNCTION("""COMPUTED_VALUE"""),3)</f>
        <v>3</v>
      </c>
      <c r="C11107" s="7">
        <f ca="1">IFERROR(__xludf.DUMMYFUNCTION("""COMPUTED_VALUE"""),3.1)</f>
        <v>3.1</v>
      </c>
      <c r="D11107" s="8">
        <f ca="1">IFERROR(__xludf.DUMMYFUNCTION("""COMPUTED_VALUE"""),7)</f>
        <v>7</v>
      </c>
      <c r="E11107" s="2">
        <f ca="1">IFERROR(__xludf.DUMMYFUNCTION("""COMPUTED_VALUE"""),2)</f>
        <v>2</v>
      </c>
    </row>
    <row r="11108" spans="1:5" ht="13">
      <c r="A11108" s="2" t="str">
        <f ca="1">IFERROR(__xludf.DUMMYFUNCTION("""COMPUTED_VALUE"""),"Jackson, Gregory")</f>
        <v>Jackson, Gregory</v>
      </c>
      <c r="B11108" s="3">
        <f ca="1">IFERROR(__xludf.DUMMYFUNCTION("""COMPUTED_VALUE"""),3)</f>
        <v>3</v>
      </c>
      <c r="C11108" s="7">
        <f ca="1">IFERROR(__xludf.DUMMYFUNCTION("""COMPUTED_VALUE"""),3.1)</f>
        <v>3.1</v>
      </c>
      <c r="D11108" s="8">
        <f ca="1">IFERROR(__xludf.DUMMYFUNCTION("""COMPUTED_VALUE"""),3)</f>
        <v>3</v>
      </c>
      <c r="E11108" s="2">
        <f ca="1">IFERROR(__xludf.DUMMYFUNCTION("""COMPUTED_VALUE"""),1)</f>
        <v>1</v>
      </c>
    </row>
    <row r="11109" spans="1:5" ht="13">
      <c r="A11109" s="2" t="str">
        <f ca="1">IFERROR(__xludf.DUMMYFUNCTION("""COMPUTED_VALUE"""),"Jackson, Michael")</f>
        <v>Jackson, Michael</v>
      </c>
      <c r="B11109" s="3">
        <f ca="1">IFERROR(__xludf.DUMMYFUNCTION("""COMPUTED_VALUE"""),3)</f>
        <v>3</v>
      </c>
      <c r="C11109" s="7">
        <f ca="1">IFERROR(__xludf.DUMMYFUNCTION("""COMPUTED_VALUE"""),3.1)</f>
        <v>3.1</v>
      </c>
      <c r="D11109" s="8">
        <f ca="1">IFERROR(__xludf.DUMMYFUNCTION("""COMPUTED_VALUE"""),7)</f>
        <v>7</v>
      </c>
      <c r="E11109" s="2">
        <f ca="1">IFERROR(__xludf.DUMMYFUNCTION("""COMPUTED_VALUE"""),2)</f>
        <v>2</v>
      </c>
    </row>
    <row r="11110" spans="1:5" ht="13">
      <c r="A11110" s="2" t="str">
        <f ca="1">IFERROR(__xludf.DUMMYFUNCTION("""COMPUTED_VALUE"""),"Jackson, Milt")</f>
        <v>Jackson, Milt</v>
      </c>
      <c r="B11110" s="2">
        <f ca="1">IFERROR(__xludf.DUMMYFUNCTION("""COMPUTED_VALUE"""),3)</f>
        <v>3</v>
      </c>
      <c r="C11110" s="7">
        <f ca="1">IFERROR(__xludf.DUMMYFUNCTION("""COMPUTED_VALUE"""),3.1)</f>
        <v>3.1</v>
      </c>
      <c r="D11110" s="8">
        <f ca="1">IFERROR(__xludf.DUMMYFUNCTION("""COMPUTED_VALUE"""),7)</f>
        <v>7</v>
      </c>
      <c r="E11110" s="2">
        <f ca="1">IFERROR(__xludf.DUMMYFUNCTION("""COMPUTED_VALUE"""),2)</f>
        <v>2</v>
      </c>
    </row>
    <row r="11111" spans="1:5" ht="13">
      <c r="A11111" s="2" t="str">
        <f ca="1">IFERROR(__xludf.DUMMYFUNCTION("""COMPUTED_VALUE"""),"Jackson, Milt / Charles, Ray")</f>
        <v>Jackson, Milt / Charles, Ray</v>
      </c>
      <c r="B11111" s="2">
        <f ca="1">IFERROR(__xludf.DUMMYFUNCTION("""COMPUTED_VALUE"""),3)</f>
        <v>3</v>
      </c>
      <c r="C11111" s="7">
        <f ca="1">IFERROR(__xludf.DUMMYFUNCTION("""COMPUTED_VALUE"""),3.1)</f>
        <v>3.1</v>
      </c>
      <c r="D11111" s="8">
        <f ca="1">IFERROR(__xludf.DUMMYFUNCTION("""COMPUTED_VALUE"""),7)</f>
        <v>7</v>
      </c>
      <c r="E11111" s="2">
        <f ca="1">IFERROR(__xludf.DUMMYFUNCTION("""COMPUTED_VALUE"""),2)</f>
        <v>2</v>
      </c>
    </row>
    <row r="11112" spans="1:5" ht="13">
      <c r="A11112" s="2" t="str">
        <f ca="1">IFERROR(__xludf.DUMMYFUNCTION("""COMPUTED_VALUE"""),"Jacobo, Salvador")</f>
        <v>Jacobo, Salvador</v>
      </c>
      <c r="B11112" s="2">
        <f ca="1">IFERROR(__xludf.DUMMYFUNCTION("""COMPUTED_VALUE"""),3)</f>
        <v>3</v>
      </c>
      <c r="C11112" s="7">
        <f ca="1">IFERROR(__xludf.DUMMYFUNCTION("""COMPUTED_VALUE"""),3.2)</f>
        <v>3.2</v>
      </c>
      <c r="D11112" s="8">
        <f ca="1">IFERROR(__xludf.DUMMYFUNCTION("""COMPUTED_VALUE"""),3)</f>
        <v>3</v>
      </c>
      <c r="E11112" s="2">
        <f ca="1">IFERROR(__xludf.DUMMYFUNCTION("""COMPUTED_VALUE"""),1)</f>
        <v>1</v>
      </c>
    </row>
    <row r="11113" spans="1:5" ht="13">
      <c r="A11113" s="2" t="str">
        <f ca="1">IFERROR(__xludf.DUMMYFUNCTION("""COMPUTED_VALUE"""),"Jaffe, Benjamin Bela")</f>
        <v>Jaffe, Benjamin Bela</v>
      </c>
      <c r="B11113" s="2">
        <f ca="1">IFERROR(__xludf.DUMMYFUNCTION("""COMPUTED_VALUE"""),3)</f>
        <v>3</v>
      </c>
      <c r="C11113" s="7">
        <f ca="1">IFERROR(__xludf.DUMMYFUNCTION("""COMPUTED_VALUE"""),3.1)</f>
        <v>3.1</v>
      </c>
      <c r="D11113" s="8">
        <f ca="1">IFERROR(__xludf.DUMMYFUNCTION("""COMPUTED_VALUE"""),3)</f>
        <v>3</v>
      </c>
      <c r="E11113" s="2">
        <f ca="1">IFERROR(__xludf.DUMMYFUNCTION("""COMPUTED_VALUE"""),1)</f>
        <v>1</v>
      </c>
    </row>
    <row r="11114" spans="1:5" ht="13">
      <c r="A11114" s="2" t="str">
        <f ca="1">IFERROR(__xludf.DUMMYFUNCTION("""COMPUTED_VALUE"""),"James, Willis L.")</f>
        <v>James, Willis L.</v>
      </c>
      <c r="B11114" s="3">
        <f ca="1">IFERROR(__xludf.DUMMYFUNCTION("""COMPUTED_VALUE"""),3)</f>
        <v>3</v>
      </c>
      <c r="C11114" s="7">
        <f ca="1">IFERROR(__xludf.DUMMYFUNCTION("""COMPUTED_VALUE"""),3.1)</f>
        <v>3.1</v>
      </c>
      <c r="D11114" s="8">
        <f ca="1">IFERROR(__xludf.DUMMYFUNCTION("""COMPUTED_VALUE"""),7)</f>
        <v>7</v>
      </c>
      <c r="E11114" s="2">
        <f ca="1">IFERROR(__xludf.DUMMYFUNCTION("""COMPUTED_VALUE"""),2)</f>
        <v>2</v>
      </c>
    </row>
    <row r="11115" spans="1:5" ht="13">
      <c r="A11115" s="2" t="str">
        <f ca="1">IFERROR(__xludf.DUMMYFUNCTION("""COMPUTED_VALUE"""),"Jandali, Malek")</f>
        <v>Jandali, Malek</v>
      </c>
      <c r="B11115" s="3">
        <f ca="1">IFERROR(__xludf.DUMMYFUNCTION("""COMPUTED_VALUE"""),3)</f>
        <v>3</v>
      </c>
      <c r="C11115" s="7">
        <f ca="1">IFERROR(__xludf.DUMMYFUNCTION("""COMPUTED_VALUE"""),3.5)</f>
        <v>3.5</v>
      </c>
      <c r="D11115" s="8">
        <f ca="1">IFERROR(__xludf.DUMMYFUNCTION("""COMPUTED_VALUE"""),3)</f>
        <v>3</v>
      </c>
      <c r="E11115" s="2">
        <f ca="1">IFERROR(__xludf.DUMMYFUNCTION("""COMPUTED_VALUE"""),1)</f>
        <v>1</v>
      </c>
    </row>
    <row r="11116" spans="1:5" ht="13">
      <c r="A11116" s="2" t="str">
        <f ca="1">IFERROR(__xludf.DUMMYFUNCTION("""COMPUTED_VALUE"""),"Jarreau, Al")</f>
        <v>Jarreau, Al</v>
      </c>
      <c r="B11116" s="3">
        <f ca="1">IFERROR(__xludf.DUMMYFUNCTION("""COMPUTED_VALUE"""),3)</f>
        <v>3</v>
      </c>
      <c r="C11116" s="7">
        <f ca="1">IFERROR(__xludf.DUMMYFUNCTION("""COMPUTED_VALUE"""),3.1)</f>
        <v>3.1</v>
      </c>
      <c r="D11116" s="8">
        <f ca="1">IFERROR(__xludf.DUMMYFUNCTION("""COMPUTED_VALUE"""),7)</f>
        <v>7</v>
      </c>
      <c r="E11116" s="2">
        <f ca="1">IFERROR(__xludf.DUMMYFUNCTION("""COMPUTED_VALUE"""),2)</f>
        <v>2</v>
      </c>
    </row>
    <row r="11117" spans="1:5" ht="13">
      <c r="A11117" s="2" t="str">
        <f ca="1">IFERROR(__xludf.DUMMYFUNCTION("""COMPUTED_VALUE"""),"Jaxson, Joe")</f>
        <v>Jaxson, Joe</v>
      </c>
      <c r="B11117" s="3">
        <f ca="1">IFERROR(__xludf.DUMMYFUNCTION("""COMPUTED_VALUE"""),3)</f>
        <v>3</v>
      </c>
      <c r="C11117" s="7">
        <f ca="1">IFERROR(__xludf.DUMMYFUNCTION("""COMPUTED_VALUE"""),3.1)</f>
        <v>3.1</v>
      </c>
      <c r="D11117" s="8">
        <f ca="1">IFERROR(__xludf.DUMMYFUNCTION("""COMPUTED_VALUE"""),3)</f>
        <v>3</v>
      </c>
      <c r="E11117" s="2">
        <f ca="1">IFERROR(__xludf.DUMMYFUNCTION("""COMPUTED_VALUE"""),1)</f>
        <v>1</v>
      </c>
    </row>
    <row r="11118" spans="1:5" ht="13">
      <c r="A11118" s="2" t="str">
        <f ca="1">IFERROR(__xludf.DUMMYFUNCTION("""COMPUTED_VALUE"""),"Jean Bares, Basile")</f>
        <v>Jean Bares, Basile</v>
      </c>
      <c r="B11118" s="2">
        <f ca="1">IFERROR(__xludf.DUMMYFUNCTION("""COMPUTED_VALUE"""),3)</f>
        <v>3</v>
      </c>
      <c r="C11118" s="7">
        <f ca="1">IFERROR(__xludf.DUMMYFUNCTION("""COMPUTED_VALUE"""),3.1)</f>
        <v>3.1</v>
      </c>
      <c r="D11118" s="8">
        <f ca="1">IFERROR(__xludf.DUMMYFUNCTION("""COMPUTED_VALUE"""),7)</f>
        <v>7</v>
      </c>
      <c r="E11118" s="2">
        <f ca="1">IFERROR(__xludf.DUMMYFUNCTION("""COMPUTED_VALUE"""),2)</f>
        <v>2</v>
      </c>
    </row>
    <row r="11119" spans="1:5" ht="13">
      <c r="A11119" s="2" t="str">
        <f ca="1">IFERROR(__xludf.DUMMYFUNCTION("""COMPUTED_VALUE"""),"Jeanty, Occide")</f>
        <v>Jeanty, Occide</v>
      </c>
      <c r="B11119" s="3">
        <f ca="1">IFERROR(__xludf.DUMMYFUNCTION("""COMPUTED_VALUE"""),3)</f>
        <v>3</v>
      </c>
      <c r="C11119" s="7">
        <f ca="1">IFERROR(__xludf.DUMMYFUNCTION("""COMPUTED_VALUE"""),3.1)</f>
        <v>3.1</v>
      </c>
      <c r="D11119" s="8">
        <f ca="1">IFERROR(__xludf.DUMMYFUNCTION("""COMPUTED_VALUE"""),7)</f>
        <v>7</v>
      </c>
      <c r="E11119" s="2">
        <f ca="1">IFERROR(__xludf.DUMMYFUNCTION("""COMPUTED_VALUE"""),2)</f>
        <v>2</v>
      </c>
    </row>
    <row r="11120" spans="1:5" ht="13">
      <c r="A11120" s="8" t="str">
        <f ca="1">IFERROR(__xludf.DUMMYFUNCTION("""COMPUTED_VALUE"""),"Jefferson, Robert")</f>
        <v>Jefferson, Robert</v>
      </c>
      <c r="B11120" s="3">
        <f ca="1">IFERROR(__xludf.DUMMYFUNCTION("""COMPUTED_VALUE"""),3)</f>
        <v>3</v>
      </c>
      <c r="C11120" s="7">
        <f ca="1">IFERROR(__xludf.DUMMYFUNCTION("""COMPUTED_VALUE"""),3.1)</f>
        <v>3.1</v>
      </c>
      <c r="D11120" s="8">
        <f ca="1">IFERROR(__xludf.DUMMYFUNCTION("""COMPUTED_VALUE"""),3)</f>
        <v>3</v>
      </c>
      <c r="E11120" s="2">
        <f ca="1">IFERROR(__xludf.DUMMYFUNCTION("""COMPUTED_VALUE"""),1)</f>
        <v>1</v>
      </c>
    </row>
    <row r="11121" spans="1:5" ht="13">
      <c r="A11121" s="2" t="str">
        <f ca="1">IFERROR(__xludf.DUMMYFUNCTION("""COMPUTED_VALUE"""),"Jenkins, Edmund Thornton")</f>
        <v>Jenkins, Edmund Thornton</v>
      </c>
      <c r="B11121" s="3">
        <f ca="1">IFERROR(__xludf.DUMMYFUNCTION("""COMPUTED_VALUE"""),3)</f>
        <v>3</v>
      </c>
      <c r="C11121" s="7">
        <f ca="1">IFERROR(__xludf.DUMMYFUNCTION("""COMPUTED_VALUE"""),3.1)</f>
        <v>3.1</v>
      </c>
      <c r="D11121" s="8">
        <f ca="1">IFERROR(__xludf.DUMMYFUNCTION("""COMPUTED_VALUE"""),7)</f>
        <v>7</v>
      </c>
      <c r="E11121" s="2">
        <f ca="1">IFERROR(__xludf.DUMMYFUNCTION("""COMPUTED_VALUE"""),2)</f>
        <v>2</v>
      </c>
    </row>
    <row r="11122" spans="1:5" ht="13">
      <c r="A11122" s="8" t="str">
        <f ca="1">IFERROR(__xludf.DUMMYFUNCTION("""COMPUTED_VALUE"""),"Jenkins, Pastor Charles")</f>
        <v>Jenkins, Pastor Charles</v>
      </c>
      <c r="B11122" s="3">
        <f ca="1">IFERROR(__xludf.DUMMYFUNCTION("""COMPUTED_VALUE"""),3)</f>
        <v>3</v>
      </c>
      <c r="C11122" s="7">
        <f ca="1">IFERROR(__xludf.DUMMYFUNCTION("""COMPUTED_VALUE"""),3.1)</f>
        <v>3.1</v>
      </c>
      <c r="D11122" s="8">
        <f ca="1">IFERROR(__xludf.DUMMYFUNCTION("""COMPUTED_VALUE"""),3)</f>
        <v>3</v>
      </c>
      <c r="E11122" s="2">
        <f ca="1">IFERROR(__xludf.DUMMYFUNCTION("""COMPUTED_VALUE"""),1)</f>
        <v>1</v>
      </c>
    </row>
    <row r="11123" spans="1:5" ht="13">
      <c r="A11123" s="2" t="str">
        <f ca="1">IFERROR(__xludf.DUMMYFUNCTION("""COMPUTED_VALUE"""),"Jennings, Joseph")</f>
        <v>Jennings, Joseph</v>
      </c>
      <c r="B11123" s="3">
        <f ca="1">IFERROR(__xludf.DUMMYFUNCTION("""COMPUTED_VALUE"""),3)</f>
        <v>3</v>
      </c>
      <c r="C11123" s="7">
        <f ca="1">IFERROR(__xludf.DUMMYFUNCTION("""COMPUTED_VALUE"""),3.1)</f>
        <v>3.1</v>
      </c>
      <c r="D11123" s="8">
        <f ca="1">IFERROR(__xludf.DUMMYFUNCTION("""COMPUTED_VALUE"""),3)</f>
        <v>3</v>
      </c>
      <c r="E11123" s="2">
        <f ca="1">IFERROR(__xludf.DUMMYFUNCTION("""COMPUTED_VALUE"""),1)</f>
        <v>1</v>
      </c>
    </row>
    <row r="11124" spans="1:5" ht="13">
      <c r="A11124" s="2" t="str">
        <f ca="1">IFERROR(__xludf.DUMMYFUNCTION("""COMPUTED_VALUE"""),"Jianfang, Yu")</f>
        <v>Jianfang, Yu</v>
      </c>
      <c r="B11124" s="3">
        <f ca="1">IFERROR(__xludf.DUMMYFUNCTION("""COMPUTED_VALUE"""),3)</f>
        <v>3</v>
      </c>
      <c r="C11124" s="7">
        <f ca="1">IFERROR(__xludf.DUMMYFUNCTION("""COMPUTED_VALUE"""),3.3)</f>
        <v>3.3</v>
      </c>
      <c r="D11124" s="8">
        <f ca="1">IFERROR(__xludf.DUMMYFUNCTION("""COMPUTED_VALUE"""),3)</f>
        <v>3</v>
      </c>
      <c r="E11124" s="2">
        <f ca="1">IFERROR(__xludf.DUMMYFUNCTION("""COMPUTED_VALUE"""),1)</f>
        <v>1</v>
      </c>
    </row>
    <row r="11125" spans="1:5" ht="13">
      <c r="A11125" s="2" t="str">
        <f ca="1">IFERROR(__xludf.DUMMYFUNCTION("""COMPUTED_VALUE"""),"Jiaqi Liu")</f>
        <v>Jiaqi Liu</v>
      </c>
      <c r="B11125" s="3">
        <f ca="1">IFERROR(__xludf.DUMMYFUNCTION("""COMPUTED_VALUE"""),3)</f>
        <v>3</v>
      </c>
      <c r="C11125" s="7">
        <f ca="1">IFERROR(__xludf.DUMMYFUNCTION("""COMPUTED_VALUE"""),3.3)</f>
        <v>3.3</v>
      </c>
      <c r="D11125" s="8">
        <f ca="1">IFERROR(__xludf.DUMMYFUNCTION("""COMPUTED_VALUE"""),3)</f>
        <v>3</v>
      </c>
      <c r="E11125" s="2">
        <f ca="1">IFERROR(__xludf.DUMMYFUNCTION("""COMPUTED_VALUE"""),1)</f>
        <v>1</v>
      </c>
    </row>
    <row r="11126" spans="1:5" ht="13">
      <c r="A11126" s="2" t="str">
        <f ca="1">IFERROR(__xludf.DUMMYFUNCTION("""COMPUTED_VALUE"""),"Jimenez, Jose Alfredo")</f>
        <v>Jimenez, Jose Alfredo</v>
      </c>
      <c r="B11126" s="3">
        <f ca="1">IFERROR(__xludf.DUMMYFUNCTION("""COMPUTED_VALUE"""),3)</f>
        <v>3</v>
      </c>
      <c r="C11126" s="7">
        <f ca="1">IFERROR(__xludf.DUMMYFUNCTION("""COMPUTED_VALUE"""),3.2)</f>
        <v>3.2</v>
      </c>
      <c r="D11126" s="8">
        <f ca="1">IFERROR(__xludf.DUMMYFUNCTION("""COMPUTED_VALUE"""),7)</f>
        <v>7</v>
      </c>
      <c r="E11126" s="2">
        <f ca="1">IFERROR(__xludf.DUMMYFUNCTION("""COMPUTED_VALUE"""),2)</f>
        <v>2</v>
      </c>
    </row>
    <row r="11127" spans="1:5" ht="13">
      <c r="A11127" s="2" t="str">
        <f ca="1">IFERROR(__xludf.DUMMYFUNCTION("""COMPUTED_VALUE"""),"Jiménez, Miguel Bernal")</f>
        <v>Jiménez, Miguel Bernal</v>
      </c>
      <c r="B11127" s="3">
        <f ca="1">IFERROR(__xludf.DUMMYFUNCTION("""COMPUTED_VALUE"""),3)</f>
        <v>3</v>
      </c>
      <c r="C11127" s="7">
        <f ca="1">IFERROR(__xludf.DUMMYFUNCTION("""COMPUTED_VALUE"""),3.2)</f>
        <v>3.2</v>
      </c>
      <c r="D11127" s="8">
        <f ca="1">IFERROR(__xludf.DUMMYFUNCTION("""COMPUTED_VALUE"""),7)</f>
        <v>7</v>
      </c>
      <c r="E11127" s="2">
        <f ca="1">IFERROR(__xludf.DUMMYFUNCTION("""COMPUTED_VALUE"""),2)</f>
        <v>2</v>
      </c>
    </row>
    <row r="11128" spans="1:5" ht="13">
      <c r="A11128" s="2" t="str">
        <f ca="1">IFERROR(__xludf.DUMMYFUNCTION("""COMPUTED_VALUE"""),"Jlin")</f>
        <v>Jlin</v>
      </c>
      <c r="B11128" s="3">
        <f ca="1">IFERROR(__xludf.DUMMYFUNCTION("""COMPUTED_VALUE"""),3)</f>
        <v>3</v>
      </c>
      <c r="C11128" s="7">
        <f ca="1">IFERROR(__xludf.DUMMYFUNCTION("""COMPUTED_VALUE"""),3.1)</f>
        <v>3.1</v>
      </c>
      <c r="D11128" s="8">
        <f ca="1">IFERROR(__xludf.DUMMYFUNCTION("""COMPUTED_VALUE"""),3)</f>
        <v>3</v>
      </c>
      <c r="E11128" s="2">
        <f ca="1">IFERROR(__xludf.DUMMYFUNCTION("""COMPUTED_VALUE"""),1)</f>
        <v>1</v>
      </c>
    </row>
    <row r="11129" spans="1:5" ht="13">
      <c r="A11129" s="2" t="str">
        <f ca="1">IFERROR(__xludf.DUMMYFUNCTION("""COMPUTED_VALUE"""),"Jobim, Antônio Carlos")</f>
        <v>Jobim, Antônio Carlos</v>
      </c>
      <c r="B11129" s="3">
        <f ca="1">IFERROR(__xludf.DUMMYFUNCTION("""COMPUTED_VALUE"""),3)</f>
        <v>3</v>
      </c>
      <c r="C11129" s="7">
        <f ca="1">IFERROR(__xludf.DUMMYFUNCTION("""COMPUTED_VALUE"""),3.2)</f>
        <v>3.2</v>
      </c>
      <c r="D11129" s="8">
        <f ca="1">IFERROR(__xludf.DUMMYFUNCTION("""COMPUTED_VALUE"""),7)</f>
        <v>7</v>
      </c>
      <c r="E11129" s="2">
        <f ca="1">IFERROR(__xludf.DUMMYFUNCTION("""COMPUTED_VALUE"""),2)</f>
        <v>2</v>
      </c>
    </row>
    <row r="11130" spans="1:5" ht="13">
      <c r="A11130" s="2" t="str">
        <f ca="1">IFERROR(__xludf.DUMMYFUNCTION("""COMPUTED_VALUE"""),"Joffre, Juan Pablo")</f>
        <v>Joffre, Juan Pablo</v>
      </c>
      <c r="B11130" s="3">
        <f ca="1">IFERROR(__xludf.DUMMYFUNCTION("""COMPUTED_VALUE"""),3)</f>
        <v>3</v>
      </c>
      <c r="C11130" s="7">
        <f ca="1">IFERROR(__xludf.DUMMYFUNCTION("""COMPUTED_VALUE"""),3.2)</f>
        <v>3.2</v>
      </c>
      <c r="D11130" s="8">
        <f ca="1">IFERROR(__xludf.DUMMYFUNCTION("""COMPUTED_VALUE"""),3)</f>
        <v>3</v>
      </c>
      <c r="E11130" s="2">
        <f ca="1">IFERROR(__xludf.DUMMYFUNCTION("""COMPUTED_VALUE"""),1)</f>
        <v>1</v>
      </c>
    </row>
    <row r="11131" spans="1:5" ht="13">
      <c r="A11131" s="2" t="str">
        <f ca="1">IFERROR(__xludf.DUMMYFUNCTION("""COMPUTED_VALUE"""),"Jofre, JP")</f>
        <v>Jofre, JP</v>
      </c>
      <c r="B11131" s="3">
        <f ca="1">IFERROR(__xludf.DUMMYFUNCTION("""COMPUTED_VALUE"""),3)</f>
        <v>3</v>
      </c>
      <c r="C11131" s="7">
        <f ca="1">IFERROR(__xludf.DUMMYFUNCTION("""COMPUTED_VALUE"""),3.2)</f>
        <v>3.2</v>
      </c>
      <c r="D11131" s="8">
        <f ca="1">IFERROR(__xludf.DUMMYFUNCTION("""COMPUTED_VALUE"""),3)</f>
        <v>3</v>
      </c>
      <c r="E11131" s="2">
        <f ca="1">IFERROR(__xludf.DUMMYFUNCTION("""COMPUTED_VALUE"""),1)</f>
        <v>1</v>
      </c>
    </row>
    <row r="11132" spans="1:5" ht="13">
      <c r="A11132" s="2" t="str">
        <f ca="1">IFERROR(__xludf.DUMMYFUNCTION("""COMPUTED_VALUE"""),"Johnson II, Darryl")</f>
        <v>Johnson II, Darryl</v>
      </c>
      <c r="B11132" s="3">
        <f ca="1">IFERROR(__xludf.DUMMYFUNCTION("""COMPUTED_VALUE"""),3)</f>
        <v>3</v>
      </c>
      <c r="C11132" s="7">
        <f ca="1">IFERROR(__xludf.DUMMYFUNCTION("""COMPUTED_VALUE"""),3.1)</f>
        <v>3.1</v>
      </c>
      <c r="D11132" s="8">
        <f ca="1">IFERROR(__xludf.DUMMYFUNCTION("""COMPUTED_VALUE"""),3)</f>
        <v>3</v>
      </c>
      <c r="E11132" s="2">
        <f ca="1">IFERROR(__xludf.DUMMYFUNCTION("""COMPUTED_VALUE"""),1)</f>
        <v>1</v>
      </c>
    </row>
    <row r="11133" spans="1:5" ht="13">
      <c r="A11133" s="2" t="str">
        <f ca="1">IFERROR(__xludf.DUMMYFUNCTION("""COMPUTED_VALUE"""),"Johnson, Brandon")</f>
        <v>Johnson, Brandon</v>
      </c>
      <c r="B11133" s="3">
        <f ca="1">IFERROR(__xludf.DUMMYFUNCTION("""COMPUTED_VALUE"""),3)</f>
        <v>3</v>
      </c>
      <c r="C11133" s="7">
        <f ca="1">IFERROR(__xludf.DUMMYFUNCTION("""COMPUTED_VALUE"""),3.1)</f>
        <v>3.1</v>
      </c>
      <c r="D11133" s="8">
        <f ca="1">IFERROR(__xludf.DUMMYFUNCTION("""COMPUTED_VALUE"""),3)</f>
        <v>3</v>
      </c>
      <c r="E11133" s="2">
        <f ca="1">IFERROR(__xludf.DUMMYFUNCTION("""COMPUTED_VALUE"""),1)</f>
        <v>1</v>
      </c>
    </row>
    <row r="11134" spans="1:5" ht="13">
      <c r="A11134" s="8" t="str">
        <f ca="1">IFERROR(__xludf.DUMMYFUNCTION("""COMPUTED_VALUE"""),"Johnson, Francis")</f>
        <v>Johnson, Francis</v>
      </c>
      <c r="B11134" s="3">
        <f ca="1">IFERROR(__xludf.DUMMYFUNCTION("""COMPUTED_VALUE"""),3)</f>
        <v>3</v>
      </c>
      <c r="C11134" s="7">
        <f ca="1">IFERROR(__xludf.DUMMYFUNCTION("""COMPUTED_VALUE"""),3.1)</f>
        <v>3.1</v>
      </c>
      <c r="D11134" s="8">
        <f ca="1">IFERROR(__xludf.DUMMYFUNCTION("""COMPUTED_VALUE"""),7)</f>
        <v>7</v>
      </c>
      <c r="E11134" s="2">
        <f ca="1">IFERROR(__xludf.DUMMYFUNCTION("""COMPUTED_VALUE"""),2)</f>
        <v>2</v>
      </c>
    </row>
    <row r="11135" spans="1:5" ht="13">
      <c r="A11135" s="8" t="str">
        <f ca="1">IFERROR(__xludf.DUMMYFUNCTION("""COMPUTED_VALUE"""),"Johnson, Hall")</f>
        <v>Johnson, Hall</v>
      </c>
      <c r="B11135" s="3">
        <f ca="1">IFERROR(__xludf.DUMMYFUNCTION("""COMPUTED_VALUE"""),3)</f>
        <v>3</v>
      </c>
      <c r="C11135" s="7">
        <f ca="1">IFERROR(__xludf.DUMMYFUNCTION("""COMPUTED_VALUE"""),3.1)</f>
        <v>3.1</v>
      </c>
      <c r="D11135" s="8">
        <f ca="1">IFERROR(__xludf.DUMMYFUNCTION("""COMPUTED_VALUE"""),7)</f>
        <v>7</v>
      </c>
      <c r="E11135" s="2">
        <f ca="1">IFERROR(__xludf.DUMMYFUNCTION("""COMPUTED_VALUE"""),2)</f>
        <v>2</v>
      </c>
    </row>
    <row r="11136" spans="1:5" ht="13">
      <c r="A11136" s="2" t="str">
        <f ca="1">IFERROR(__xludf.DUMMYFUNCTION("""COMPUTED_VALUE"""),"Johnson, J. Rosamond")</f>
        <v>Johnson, J. Rosamond</v>
      </c>
      <c r="B11136" s="3">
        <f ca="1">IFERROR(__xludf.DUMMYFUNCTION("""COMPUTED_VALUE"""),3)</f>
        <v>3</v>
      </c>
      <c r="C11136" s="7">
        <f ca="1">IFERROR(__xludf.DUMMYFUNCTION("""COMPUTED_VALUE"""),3.1)</f>
        <v>3.1</v>
      </c>
      <c r="D11136" s="8">
        <f ca="1">IFERROR(__xludf.DUMMYFUNCTION("""COMPUTED_VALUE"""),7)</f>
        <v>7</v>
      </c>
      <c r="E11136" s="2">
        <f ca="1">IFERROR(__xludf.DUMMYFUNCTION("""COMPUTED_VALUE"""),2)</f>
        <v>2</v>
      </c>
    </row>
    <row r="11137" spans="1:5" ht="13">
      <c r="A11137" s="2" t="str">
        <f ca="1">IFERROR(__xludf.DUMMYFUNCTION("""COMPUTED_VALUE"""),"Johnson, J.J.")</f>
        <v>Johnson, J.J.</v>
      </c>
      <c r="B11137" s="3">
        <f ca="1">IFERROR(__xludf.DUMMYFUNCTION("""COMPUTED_VALUE"""),3)</f>
        <v>3</v>
      </c>
      <c r="C11137" s="7">
        <f ca="1">IFERROR(__xludf.DUMMYFUNCTION("""COMPUTED_VALUE"""),3.1)</f>
        <v>3.1</v>
      </c>
      <c r="D11137" s="8">
        <f ca="1">IFERROR(__xludf.DUMMYFUNCTION("""COMPUTED_VALUE"""),7)</f>
        <v>7</v>
      </c>
      <c r="E11137" s="2">
        <f ca="1">IFERROR(__xludf.DUMMYFUNCTION("""COMPUTED_VALUE"""),2)</f>
        <v>2</v>
      </c>
    </row>
    <row r="11138" spans="1:5" ht="13">
      <c r="A11138" s="2" t="str">
        <f ca="1">IFERROR(__xludf.DUMMYFUNCTION("""COMPUTED_VALUE"""),"Johnson, J.W. / Johnson, J.R.")</f>
        <v>Johnson, J.W. / Johnson, J.R.</v>
      </c>
      <c r="B11138" s="3">
        <f ca="1">IFERROR(__xludf.DUMMYFUNCTION("""COMPUTED_VALUE"""),3)</f>
        <v>3</v>
      </c>
      <c r="C11138" s="7">
        <f ca="1">IFERROR(__xludf.DUMMYFUNCTION("""COMPUTED_VALUE"""),3.1)</f>
        <v>3.1</v>
      </c>
      <c r="D11138" s="8">
        <f ca="1">IFERROR(__xludf.DUMMYFUNCTION("""COMPUTED_VALUE"""),7)</f>
        <v>7</v>
      </c>
      <c r="E11138" s="2">
        <f ca="1">IFERROR(__xludf.DUMMYFUNCTION("""COMPUTED_VALUE"""),2)</f>
        <v>2</v>
      </c>
    </row>
    <row r="11139" spans="1:5" ht="13">
      <c r="A11139" s="2" t="str">
        <f ca="1">IFERROR(__xludf.DUMMYFUNCTION("""COMPUTED_VALUE"""),"Johnson, James Louis")</f>
        <v>Johnson, James Louis</v>
      </c>
      <c r="B11139" s="3">
        <f ca="1">IFERROR(__xludf.DUMMYFUNCTION("""COMPUTED_VALUE"""),3)</f>
        <v>3</v>
      </c>
      <c r="C11139" s="7">
        <f ca="1">IFERROR(__xludf.DUMMYFUNCTION("""COMPUTED_VALUE"""),3.1)</f>
        <v>3.1</v>
      </c>
      <c r="D11139" s="8">
        <f ca="1">IFERROR(__xludf.DUMMYFUNCTION("""COMPUTED_VALUE"""),7)</f>
        <v>7</v>
      </c>
      <c r="E11139" s="2">
        <f ca="1">IFERROR(__xludf.DUMMYFUNCTION("""COMPUTED_VALUE"""),2)</f>
        <v>2</v>
      </c>
    </row>
    <row r="11140" spans="1:5" ht="13">
      <c r="A11140" s="2" t="str">
        <f ca="1">IFERROR(__xludf.DUMMYFUNCTION("""COMPUTED_VALUE"""),"Johnson, James P.")</f>
        <v>Johnson, James P.</v>
      </c>
      <c r="B11140" s="3">
        <f ca="1">IFERROR(__xludf.DUMMYFUNCTION("""COMPUTED_VALUE"""),3)</f>
        <v>3</v>
      </c>
      <c r="C11140" s="7">
        <f ca="1">IFERROR(__xludf.DUMMYFUNCTION("""COMPUTED_VALUE"""),3.1)</f>
        <v>3.1</v>
      </c>
      <c r="D11140" s="8">
        <f ca="1">IFERROR(__xludf.DUMMYFUNCTION("""COMPUTED_VALUE"""),7)</f>
        <v>7</v>
      </c>
      <c r="E11140" s="2">
        <f ca="1">IFERROR(__xludf.DUMMYFUNCTION("""COMPUTED_VALUE"""),2)</f>
        <v>2</v>
      </c>
    </row>
    <row r="11141" spans="1:5" ht="13">
      <c r="A11141" s="2" t="str">
        <f ca="1">IFERROR(__xludf.DUMMYFUNCTION("""COMPUTED_VALUE"""),"Johnson, James P. / Mack, Charles")</f>
        <v>Johnson, James P. / Mack, Charles</v>
      </c>
      <c r="B11141" s="3">
        <f ca="1">IFERROR(__xludf.DUMMYFUNCTION("""COMPUTED_VALUE"""),3)</f>
        <v>3</v>
      </c>
      <c r="C11141" s="7">
        <f ca="1">IFERROR(__xludf.DUMMYFUNCTION("""COMPUTED_VALUE"""),3.1)</f>
        <v>3.1</v>
      </c>
      <c r="D11141" s="8">
        <f ca="1">IFERROR(__xludf.DUMMYFUNCTION("""COMPUTED_VALUE"""),7)</f>
        <v>7</v>
      </c>
      <c r="E11141" s="2">
        <f ca="1">IFERROR(__xludf.DUMMYFUNCTION("""COMPUTED_VALUE"""),2)</f>
        <v>2</v>
      </c>
    </row>
    <row r="11142" spans="1:5" ht="13">
      <c r="A11142" s="2" t="str">
        <f ca="1">IFERROR(__xludf.DUMMYFUNCTION("""COMPUTED_VALUE"""),"Johnson, James P. / Still, William Grant")</f>
        <v>Johnson, James P. / Still, William Grant</v>
      </c>
      <c r="B11142" s="3">
        <f ca="1">IFERROR(__xludf.DUMMYFUNCTION("""COMPUTED_VALUE"""),3)</f>
        <v>3</v>
      </c>
      <c r="C11142" s="7">
        <f ca="1">IFERROR(__xludf.DUMMYFUNCTION("""COMPUTED_VALUE"""),3.1)</f>
        <v>3.1</v>
      </c>
      <c r="D11142" s="8">
        <f ca="1">IFERROR(__xludf.DUMMYFUNCTION("""COMPUTED_VALUE"""),7)</f>
        <v>7</v>
      </c>
      <c r="E11142" s="2">
        <f ca="1">IFERROR(__xludf.DUMMYFUNCTION("""COMPUTED_VALUE"""),2)</f>
        <v>2</v>
      </c>
    </row>
    <row r="11143" spans="1:5" ht="13">
      <c r="A11143" s="2" t="str">
        <f ca="1">IFERROR(__xludf.DUMMYFUNCTION("""COMPUTED_VALUE"""),"Johnson, James Price")</f>
        <v>Johnson, James Price</v>
      </c>
      <c r="B11143" s="3">
        <f ca="1">IFERROR(__xludf.DUMMYFUNCTION("""COMPUTED_VALUE"""),3)</f>
        <v>3</v>
      </c>
      <c r="C11143" s="7">
        <f ca="1">IFERROR(__xludf.DUMMYFUNCTION("""COMPUTED_VALUE"""),3.1)</f>
        <v>3.1</v>
      </c>
      <c r="D11143" s="8">
        <f ca="1">IFERROR(__xludf.DUMMYFUNCTION("""COMPUTED_VALUE"""),3)</f>
        <v>3</v>
      </c>
      <c r="E11143" s="2">
        <f ca="1">IFERROR(__xludf.DUMMYFUNCTION("""COMPUTED_VALUE"""),1)</f>
        <v>1</v>
      </c>
    </row>
    <row r="11144" spans="1:5" ht="13">
      <c r="A11144" s="2" t="str">
        <f ca="1">IFERROR(__xludf.DUMMYFUNCTION("""COMPUTED_VALUE"""),"Johnson, James Weldon")</f>
        <v>Johnson, James Weldon</v>
      </c>
      <c r="B11144" s="3">
        <f ca="1">IFERROR(__xludf.DUMMYFUNCTION("""COMPUTED_VALUE"""),3)</f>
        <v>3</v>
      </c>
      <c r="C11144" s="7">
        <f ca="1">IFERROR(__xludf.DUMMYFUNCTION("""COMPUTED_VALUE"""),3.1)</f>
        <v>3.1</v>
      </c>
      <c r="D11144" s="8">
        <f ca="1">IFERROR(__xludf.DUMMYFUNCTION("""COMPUTED_VALUE"""),7)</f>
        <v>7</v>
      </c>
      <c r="E11144" s="2">
        <f ca="1">IFERROR(__xludf.DUMMYFUNCTION("""COMPUTED_VALUE"""),2)</f>
        <v>2</v>
      </c>
    </row>
    <row r="11145" spans="1:5" ht="13">
      <c r="A11145" s="8" t="str">
        <f ca="1">IFERROR(__xludf.DUMMYFUNCTION("""COMPUTED_VALUE"""),"Johnson, James Weldon / Johnson, John Rosamond")</f>
        <v>Johnson, James Weldon / Johnson, John Rosamond</v>
      </c>
      <c r="B11145" s="3">
        <f ca="1">IFERROR(__xludf.DUMMYFUNCTION("""COMPUTED_VALUE"""),3)</f>
        <v>3</v>
      </c>
      <c r="C11145" s="7">
        <f ca="1">IFERROR(__xludf.DUMMYFUNCTION("""COMPUTED_VALUE"""),3.1)</f>
        <v>3.1</v>
      </c>
      <c r="D11145" s="8">
        <f ca="1">IFERROR(__xludf.DUMMYFUNCTION("""COMPUTED_VALUE"""),3)</f>
        <v>3</v>
      </c>
      <c r="E11145" s="2">
        <f ca="1">IFERROR(__xludf.DUMMYFUNCTION("""COMPUTED_VALUE"""),1)</f>
        <v>1</v>
      </c>
    </row>
    <row r="11146" spans="1:5" ht="13">
      <c r="A11146" s="2" t="str">
        <f ca="1">IFERROR(__xludf.DUMMYFUNCTION("""COMPUTED_VALUE"""),"Johnson, Jim")</f>
        <v>Johnson, Jim</v>
      </c>
      <c r="B11146" s="2">
        <f ca="1">IFERROR(__xludf.DUMMYFUNCTION("""COMPUTED_VALUE"""),3)</f>
        <v>3</v>
      </c>
      <c r="C11146" s="7">
        <f ca="1">IFERROR(__xludf.DUMMYFUNCTION("""COMPUTED_VALUE"""),3.1)</f>
        <v>3.1</v>
      </c>
      <c r="D11146" s="8">
        <f ca="1">IFERROR(__xludf.DUMMYFUNCTION("""COMPUTED_VALUE"""),7)</f>
        <v>7</v>
      </c>
      <c r="E11146" s="2">
        <f ca="1">IFERROR(__xludf.DUMMYFUNCTION("""COMPUTED_VALUE"""),2)</f>
        <v>2</v>
      </c>
    </row>
    <row r="11147" spans="1:5" ht="13">
      <c r="A11147" s="2" t="str">
        <f ca="1">IFERROR(__xludf.DUMMYFUNCTION("""COMPUTED_VALUE"""),"Johnson, John Rosamond")</f>
        <v>Johnson, John Rosamond</v>
      </c>
      <c r="B11147" s="3">
        <f ca="1">IFERROR(__xludf.DUMMYFUNCTION("""COMPUTED_VALUE"""),3)</f>
        <v>3</v>
      </c>
      <c r="C11147" s="7">
        <f ca="1">IFERROR(__xludf.DUMMYFUNCTION("""COMPUTED_VALUE"""),3.1)</f>
        <v>3.1</v>
      </c>
      <c r="D11147" s="8">
        <f ca="1">IFERROR(__xludf.DUMMYFUNCTION("""COMPUTED_VALUE"""),3)</f>
        <v>3</v>
      </c>
      <c r="E11147" s="2">
        <f ca="1">IFERROR(__xludf.DUMMYFUNCTION("""COMPUTED_VALUE"""),1)</f>
        <v>1</v>
      </c>
    </row>
    <row r="11148" spans="1:5" ht="13">
      <c r="A11148" s="2" t="str">
        <f ca="1">IFERROR(__xludf.DUMMYFUNCTION("""COMPUTED_VALUE"""),"Johnson, Kevin")</f>
        <v>Johnson, Kevin</v>
      </c>
      <c r="B11148" s="2">
        <f ca="1">IFERROR(__xludf.DUMMYFUNCTION("""COMPUTED_VALUE"""),3)</f>
        <v>3</v>
      </c>
      <c r="C11148" s="7">
        <f ca="1">IFERROR(__xludf.DUMMYFUNCTION("""COMPUTED_VALUE"""),3.1)</f>
        <v>3.1</v>
      </c>
      <c r="D11148" s="8">
        <f ca="1">IFERROR(__xludf.DUMMYFUNCTION("""COMPUTED_VALUE"""),3)</f>
        <v>3</v>
      </c>
      <c r="E11148" s="2">
        <f ca="1">IFERROR(__xludf.DUMMYFUNCTION("""COMPUTED_VALUE"""),1)</f>
        <v>1</v>
      </c>
    </row>
    <row r="11149" spans="1:5" ht="13">
      <c r="A11149" s="2" t="str">
        <f ca="1">IFERROR(__xludf.DUMMYFUNCTION("""COMPUTED_VALUE"""),"Johnson, Kris")</f>
        <v>Johnson, Kris</v>
      </c>
      <c r="B11149" s="3">
        <f ca="1">IFERROR(__xludf.DUMMYFUNCTION("""COMPUTED_VALUE"""),3)</f>
        <v>3</v>
      </c>
      <c r="C11149" s="7">
        <f ca="1">IFERROR(__xludf.DUMMYFUNCTION("""COMPUTED_VALUE"""),3.1)</f>
        <v>3.1</v>
      </c>
      <c r="D11149" s="8">
        <f ca="1">IFERROR(__xludf.DUMMYFUNCTION("""COMPUTED_VALUE"""),3)</f>
        <v>3</v>
      </c>
      <c r="E11149" s="2">
        <f ca="1">IFERROR(__xludf.DUMMYFUNCTION("""COMPUTED_VALUE"""),1)</f>
        <v>1</v>
      </c>
    </row>
    <row r="11150" spans="1:5" ht="13">
      <c r="A11150" s="2" t="str">
        <f ca="1">IFERROR(__xludf.DUMMYFUNCTION("""COMPUTED_VALUE"""),"Johnson, Robert")</f>
        <v>Johnson, Robert</v>
      </c>
      <c r="B11150" s="2">
        <f ca="1">IFERROR(__xludf.DUMMYFUNCTION("""COMPUTED_VALUE"""),3)</f>
        <v>3</v>
      </c>
      <c r="C11150" s="7">
        <f ca="1">IFERROR(__xludf.DUMMYFUNCTION("""COMPUTED_VALUE"""),3.1)</f>
        <v>3.1</v>
      </c>
      <c r="D11150" s="8">
        <f ca="1">IFERROR(__xludf.DUMMYFUNCTION("""COMPUTED_VALUE"""),7)</f>
        <v>7</v>
      </c>
      <c r="E11150" s="2">
        <f ca="1">IFERROR(__xludf.DUMMYFUNCTION("""COMPUTED_VALUE"""),2)</f>
        <v>2</v>
      </c>
    </row>
    <row r="11151" spans="1:5" ht="13">
      <c r="A11151" s="8" t="str">
        <f ca="1">IFERROR(__xludf.DUMMYFUNCTION("""COMPUTED_VALUE"""),"Johnson, Victor")</f>
        <v>Johnson, Victor</v>
      </c>
      <c r="B11151" s="3">
        <f ca="1">IFERROR(__xludf.DUMMYFUNCTION("""COMPUTED_VALUE"""),3)</f>
        <v>3</v>
      </c>
      <c r="C11151" s="7">
        <f ca="1">IFERROR(__xludf.DUMMYFUNCTION("""COMPUTED_VALUE"""),3.1)</f>
        <v>3.1</v>
      </c>
      <c r="D11151" s="8">
        <f ca="1">IFERROR(__xludf.DUMMYFUNCTION("""COMPUTED_VALUE"""),3)</f>
        <v>3</v>
      </c>
      <c r="E11151" s="2">
        <f ca="1">IFERROR(__xludf.DUMMYFUNCTION("""COMPUTED_VALUE"""),1)</f>
        <v>1</v>
      </c>
    </row>
    <row r="11152" spans="1:5" ht="13">
      <c r="A11152" s="8" t="str">
        <f ca="1">IFERROR(__xludf.DUMMYFUNCTION("""COMPUTED_VALUE"""),"Johnson, Victor C.")</f>
        <v>Johnson, Victor C.</v>
      </c>
      <c r="B11152" s="3">
        <f ca="1">IFERROR(__xludf.DUMMYFUNCTION("""COMPUTED_VALUE"""),3)</f>
        <v>3</v>
      </c>
      <c r="C11152" s="7">
        <f ca="1">IFERROR(__xludf.DUMMYFUNCTION("""COMPUTED_VALUE"""),3.1)</f>
        <v>3.1</v>
      </c>
      <c r="D11152" s="8">
        <f ca="1">IFERROR(__xludf.DUMMYFUNCTION("""COMPUTED_VALUE"""),3)</f>
        <v>3</v>
      </c>
      <c r="E11152" s="2">
        <f ca="1">IFERROR(__xludf.DUMMYFUNCTION("""COMPUTED_VALUE"""),1)</f>
        <v>1</v>
      </c>
    </row>
    <row r="11153" spans="1:5" ht="13">
      <c r="A11153" s="2" t="str">
        <f ca="1">IFERROR(__xludf.DUMMYFUNCTION("""COMPUTED_VALUE"""),"Johnston, Douglas H.")</f>
        <v>Johnston, Douglas H.</v>
      </c>
      <c r="B11153" s="3">
        <f ca="1">IFERROR(__xludf.DUMMYFUNCTION("""COMPUTED_VALUE"""),3)</f>
        <v>3</v>
      </c>
      <c r="C11153" s="7">
        <f ca="1">IFERROR(__xludf.DUMMYFUNCTION("""COMPUTED_VALUE"""),3.7)</f>
        <v>3.7</v>
      </c>
      <c r="D11153" s="8">
        <f ca="1">IFERROR(__xludf.DUMMYFUNCTION("""COMPUTED_VALUE"""),7)</f>
        <v>7</v>
      </c>
      <c r="E11153" s="2">
        <f ca="1">IFERROR(__xludf.DUMMYFUNCTION("""COMPUTED_VALUE"""),2)</f>
        <v>2</v>
      </c>
    </row>
    <row r="11154" spans="1:5" ht="13">
      <c r="A11154" s="2" t="str">
        <f ca="1">IFERROR(__xludf.DUMMYFUNCTION("""COMPUTED_VALUE"""),"Jones, Eric")</f>
        <v>Jones, Eric</v>
      </c>
      <c r="B11154" s="2">
        <f ca="1">IFERROR(__xludf.DUMMYFUNCTION("""COMPUTED_VALUE"""),3)</f>
        <v>3</v>
      </c>
      <c r="C11154" s="2">
        <f ca="1">IFERROR(__xludf.DUMMYFUNCTION("""COMPUTED_VALUE"""),3.1)</f>
        <v>3.1</v>
      </c>
      <c r="D11154" s="8">
        <f ca="1">IFERROR(__xludf.DUMMYFUNCTION("""COMPUTED_VALUE"""),3)</f>
        <v>3</v>
      </c>
      <c r="E11154" s="2">
        <f ca="1">IFERROR(__xludf.DUMMYFUNCTION("""COMPUTED_VALUE"""),1)</f>
        <v>1</v>
      </c>
    </row>
    <row r="11155" spans="1:5" ht="13">
      <c r="A11155" s="2" t="str">
        <f ca="1">IFERROR(__xludf.DUMMYFUNCTION("""COMPUTED_VALUE"""),"Jones, Hank")</f>
        <v>Jones, Hank</v>
      </c>
      <c r="B11155" s="3">
        <f ca="1">IFERROR(__xludf.DUMMYFUNCTION("""COMPUTED_VALUE"""),3)</f>
        <v>3</v>
      </c>
      <c r="C11155" s="7">
        <f ca="1">IFERROR(__xludf.DUMMYFUNCTION("""COMPUTED_VALUE"""),3.1)</f>
        <v>3.1</v>
      </c>
      <c r="D11155" s="8">
        <f ca="1">IFERROR(__xludf.DUMMYFUNCTION("""COMPUTED_VALUE"""),7)</f>
        <v>7</v>
      </c>
      <c r="E11155" s="2">
        <f ca="1">IFERROR(__xludf.DUMMYFUNCTION("""COMPUTED_VALUE"""),2)</f>
        <v>2</v>
      </c>
    </row>
    <row r="11156" spans="1:5" ht="13">
      <c r="A11156" s="8" t="str">
        <f ca="1">IFERROR(__xludf.DUMMYFUNCTION("""COMPUTED_VALUE"""),"Jones, Joseph")</f>
        <v>Jones, Joseph</v>
      </c>
      <c r="B11156" s="3">
        <f ca="1">IFERROR(__xludf.DUMMYFUNCTION("""COMPUTED_VALUE"""),3)</f>
        <v>3</v>
      </c>
      <c r="C11156" s="7">
        <f ca="1">IFERROR(__xludf.DUMMYFUNCTION("""COMPUTED_VALUE"""),3.1)</f>
        <v>3.1</v>
      </c>
      <c r="D11156" s="8">
        <f ca="1">IFERROR(__xludf.DUMMYFUNCTION("""COMPUTED_VALUE"""),3)</f>
        <v>3</v>
      </c>
      <c r="E11156" s="2">
        <f ca="1">IFERROR(__xludf.DUMMYFUNCTION("""COMPUTED_VALUE"""),1)</f>
        <v>1</v>
      </c>
    </row>
    <row r="11157" spans="1:5" ht="13">
      <c r="A11157" s="2" t="str">
        <f ca="1">IFERROR(__xludf.DUMMYFUNCTION("""COMPUTED_VALUE"""),"Jones, Quincy")</f>
        <v>Jones, Quincy</v>
      </c>
      <c r="B11157" s="2">
        <f ca="1">IFERROR(__xludf.DUMMYFUNCTION("""COMPUTED_VALUE"""),3)</f>
        <v>3</v>
      </c>
      <c r="C11157" s="7">
        <f ca="1">IFERROR(__xludf.DUMMYFUNCTION("""COMPUTED_VALUE"""),3.1)</f>
        <v>3.1</v>
      </c>
      <c r="D11157" s="8">
        <f ca="1">IFERROR(__xludf.DUMMYFUNCTION("""COMPUTED_VALUE"""),3)</f>
        <v>3</v>
      </c>
      <c r="E11157" s="2">
        <f ca="1">IFERROR(__xludf.DUMMYFUNCTION("""COMPUTED_VALUE"""),1)</f>
        <v>1</v>
      </c>
    </row>
    <row r="11158" spans="1:5" ht="13">
      <c r="A11158" s="2" t="str">
        <f ca="1">IFERROR(__xludf.DUMMYFUNCTION("""COMPUTED_VALUE"""),"Jones, Thad")</f>
        <v>Jones, Thad</v>
      </c>
      <c r="B11158" s="2">
        <f ca="1">IFERROR(__xludf.DUMMYFUNCTION("""COMPUTED_VALUE"""),3)</f>
        <v>3</v>
      </c>
      <c r="C11158" s="7">
        <f ca="1">IFERROR(__xludf.DUMMYFUNCTION("""COMPUTED_VALUE"""),3.1)</f>
        <v>3.1</v>
      </c>
      <c r="D11158" s="8">
        <f ca="1">IFERROR(__xludf.DUMMYFUNCTION("""COMPUTED_VALUE"""),7)</f>
        <v>7</v>
      </c>
      <c r="E11158" s="2">
        <f ca="1">IFERROR(__xludf.DUMMYFUNCTION("""COMPUTED_VALUE"""),2)</f>
        <v>2</v>
      </c>
    </row>
    <row r="11159" spans="1:5" ht="13">
      <c r="A11159" s="2" t="str">
        <f ca="1">IFERROR(__xludf.DUMMYFUNCTION("""COMPUTED_VALUE"""),"Joplin, Scott")</f>
        <v>Joplin, Scott</v>
      </c>
      <c r="B11159" s="3">
        <f ca="1">IFERROR(__xludf.DUMMYFUNCTION("""COMPUTED_VALUE"""),3)</f>
        <v>3</v>
      </c>
      <c r="C11159" s="7">
        <f ca="1">IFERROR(__xludf.DUMMYFUNCTION("""COMPUTED_VALUE"""),3.1)</f>
        <v>3.1</v>
      </c>
      <c r="D11159" s="8">
        <f ca="1">IFERROR(__xludf.DUMMYFUNCTION("""COMPUTED_VALUE"""),7)</f>
        <v>7</v>
      </c>
      <c r="E11159" s="2">
        <f ca="1">IFERROR(__xludf.DUMMYFUNCTION("""COMPUTED_VALUE"""),2)</f>
        <v>2</v>
      </c>
    </row>
    <row r="11160" spans="1:5" ht="13">
      <c r="A11160" s="2" t="str">
        <f ca="1">IFERROR(__xludf.DUMMYFUNCTION("""COMPUTED_VALUE"""),"Jordan, Duke")</f>
        <v>Jordan, Duke</v>
      </c>
      <c r="B11160" s="3">
        <f ca="1">IFERROR(__xludf.DUMMYFUNCTION("""COMPUTED_VALUE"""),3)</f>
        <v>3</v>
      </c>
      <c r="C11160" s="7">
        <f ca="1">IFERROR(__xludf.DUMMYFUNCTION("""COMPUTED_VALUE"""),3.1)</f>
        <v>3.1</v>
      </c>
      <c r="D11160" s="8">
        <f ca="1">IFERROR(__xludf.DUMMYFUNCTION("""COMPUTED_VALUE"""),7)</f>
        <v>7</v>
      </c>
      <c r="E11160" s="2">
        <f ca="1">IFERROR(__xludf.DUMMYFUNCTION("""COMPUTED_VALUE"""),2)</f>
        <v>2</v>
      </c>
    </row>
    <row r="11161" spans="1:5" ht="13">
      <c r="A11161" s="2" t="str">
        <f ca="1">IFERROR(__xludf.DUMMYFUNCTION("""COMPUTED_VALUE"""),"Jordan, Irving ""Duke""")</f>
        <v>Jordan, Irving "Duke"</v>
      </c>
      <c r="B11161" s="2">
        <f ca="1">IFERROR(__xludf.DUMMYFUNCTION("""COMPUTED_VALUE"""),3)</f>
        <v>3</v>
      </c>
      <c r="C11161" s="7">
        <f ca="1">IFERROR(__xludf.DUMMYFUNCTION("""COMPUTED_VALUE"""),3.1)</f>
        <v>3.1</v>
      </c>
      <c r="D11161" s="8">
        <f ca="1">IFERROR(__xludf.DUMMYFUNCTION("""COMPUTED_VALUE"""),7)</f>
        <v>7</v>
      </c>
      <c r="E11161" s="2">
        <f ca="1">IFERROR(__xludf.DUMMYFUNCTION("""COMPUTED_VALUE"""),2)</f>
        <v>2</v>
      </c>
    </row>
    <row r="11162" spans="1:5" ht="13">
      <c r="A11162" s="2" t="str">
        <f ca="1">IFERROR(__xludf.DUMMYFUNCTION("""COMPUTED_VALUE"""),"Jorge, Martin")</f>
        <v>Jorge, Martin</v>
      </c>
      <c r="B11162" s="2">
        <f ca="1">IFERROR(__xludf.DUMMYFUNCTION("""COMPUTED_VALUE"""),3)</f>
        <v>3</v>
      </c>
      <c r="C11162" s="7">
        <f ca="1">IFERROR(__xludf.DUMMYFUNCTION("""COMPUTED_VALUE"""),3.2)</f>
        <v>3.2</v>
      </c>
      <c r="D11162" s="8">
        <f ca="1">IFERROR(__xludf.DUMMYFUNCTION("""COMPUTED_VALUE"""),3)</f>
        <v>3</v>
      </c>
      <c r="E11162" s="2">
        <f ca="1">IFERROR(__xludf.DUMMYFUNCTION("""COMPUTED_VALUE"""),1)</f>
        <v>1</v>
      </c>
    </row>
    <row r="11163" spans="1:5" ht="13">
      <c r="A11163" s="2" t="str">
        <f ca="1">IFERROR(__xludf.DUMMYFUNCTION("""COMPUTED_VALUE"""),"Joseph, Thomas")</f>
        <v>Joseph, Thomas</v>
      </c>
      <c r="B11163" s="3">
        <f ca="1">IFERROR(__xludf.DUMMYFUNCTION("""COMPUTED_VALUE"""),3)</f>
        <v>3</v>
      </c>
      <c r="C11163" s="7">
        <f ca="1">IFERROR(__xludf.DUMMYFUNCTION("""COMPUTED_VALUE"""),3.1)</f>
        <v>3.1</v>
      </c>
      <c r="D11163" s="8">
        <f ca="1">IFERROR(__xludf.DUMMYFUNCTION("""COMPUTED_VALUE"""),3)</f>
        <v>3</v>
      </c>
      <c r="E11163" s="2">
        <f ca="1">IFERROR(__xludf.DUMMYFUNCTION("""COMPUTED_VALUE"""),1)</f>
        <v>1</v>
      </c>
    </row>
    <row r="11164" spans="1:5" ht="13">
      <c r="A11164" s="8" t="str">
        <f ca="1">IFERROR(__xludf.DUMMYFUNCTION("""COMPUTED_VALUE"""),"Joubert, Joseph")</f>
        <v>Joubert, Joseph</v>
      </c>
      <c r="B11164" s="3">
        <f ca="1">IFERROR(__xludf.DUMMYFUNCTION("""COMPUTED_VALUE"""),3)</f>
        <v>3</v>
      </c>
      <c r="C11164" s="7">
        <f ca="1">IFERROR(__xludf.DUMMYFUNCTION("""COMPUTED_VALUE"""),3.1)</f>
        <v>3.1</v>
      </c>
      <c r="D11164" s="8">
        <f ca="1">IFERROR(__xludf.DUMMYFUNCTION("""COMPUTED_VALUE"""),3)</f>
        <v>3</v>
      </c>
      <c r="E11164" s="2">
        <f ca="1">IFERROR(__xludf.DUMMYFUNCTION("""COMPUTED_VALUE"""),1)</f>
        <v>1</v>
      </c>
    </row>
    <row r="11165" spans="1:5" ht="13">
      <c r="A11165" s="2" t="str">
        <f ca="1">IFERROR(__xludf.DUMMYFUNCTION("""COMPUTED_VALUE"""),"JP Jofre")</f>
        <v>JP Jofre</v>
      </c>
      <c r="B11165" s="3">
        <f ca="1">IFERROR(__xludf.DUMMYFUNCTION("""COMPUTED_VALUE"""),3)</f>
        <v>3</v>
      </c>
      <c r="C11165" s="7">
        <f ca="1">IFERROR(__xludf.DUMMYFUNCTION("""COMPUTED_VALUE"""),3.2)</f>
        <v>3.2</v>
      </c>
      <c r="D11165" s="8">
        <f ca="1">IFERROR(__xludf.DUMMYFUNCTION("""COMPUTED_VALUE"""),3)</f>
        <v>3</v>
      </c>
      <c r="E11165" s="2">
        <f ca="1">IFERROR(__xludf.DUMMYFUNCTION("""COMPUTED_VALUE"""),1)</f>
        <v>1</v>
      </c>
    </row>
    <row r="11166" spans="1:5" ht="13">
      <c r="A11166" s="2" t="str">
        <f ca="1">IFERROR(__xludf.DUMMYFUNCTION("""COMPUTED_VALUE"""),"Kagaruki, Israel")</f>
        <v>Kagaruki, Israel</v>
      </c>
      <c r="B11166" s="3">
        <f ca="1">IFERROR(__xludf.DUMMYFUNCTION("""COMPUTED_VALUE"""),3)</f>
        <v>3</v>
      </c>
      <c r="C11166" s="7">
        <f ca="1">IFERROR(__xludf.DUMMYFUNCTION("""COMPUTED_VALUE"""),3.1)</f>
        <v>3.1</v>
      </c>
      <c r="D11166" s="8">
        <f ca="1">IFERROR(__xludf.DUMMYFUNCTION("""COMPUTED_VALUE"""),3)</f>
        <v>3</v>
      </c>
      <c r="E11166" s="2">
        <f ca="1">IFERROR(__xludf.DUMMYFUNCTION("""COMPUTED_VALUE"""),1)</f>
        <v>1</v>
      </c>
    </row>
    <row r="11167" spans="1:5" ht="13">
      <c r="A11167" s="8" t="str">
        <f ca="1">IFERROR(__xludf.DUMMYFUNCTION("""COMPUTED_VALUE"""),"Kahn, Amjad Ali")</f>
        <v>Kahn, Amjad Ali</v>
      </c>
      <c r="B11167" s="3">
        <f ca="1">IFERROR(__xludf.DUMMYFUNCTION("""COMPUTED_VALUE"""),3)</f>
        <v>3</v>
      </c>
      <c r="C11167" s="7">
        <f ca="1">IFERROR(__xludf.DUMMYFUNCTION("""COMPUTED_VALUE"""),3.4)</f>
        <v>3.4</v>
      </c>
      <c r="D11167" s="8">
        <f ca="1">IFERROR(__xludf.DUMMYFUNCTION("""COMPUTED_VALUE"""),3)</f>
        <v>3</v>
      </c>
      <c r="E11167" s="2">
        <f ca="1">IFERROR(__xludf.DUMMYFUNCTION("""COMPUTED_VALUE"""),1)</f>
        <v>1</v>
      </c>
    </row>
    <row r="11168" spans="1:5" ht="13">
      <c r="A11168" s="8" t="str">
        <f ca="1">IFERROR(__xludf.DUMMYFUNCTION("""COMPUTED_VALUE"""),"Kalainaina, Sam Li`a, Jr.")</f>
        <v>Kalainaina, Sam Li`a, Jr.</v>
      </c>
      <c r="B11168" s="3">
        <f ca="1">IFERROR(__xludf.DUMMYFUNCTION("""COMPUTED_VALUE"""),3)</f>
        <v>3</v>
      </c>
      <c r="C11168" s="7">
        <f ca="1">IFERROR(__xludf.DUMMYFUNCTION("""COMPUTED_VALUE"""),3.6)</f>
        <v>3.6</v>
      </c>
      <c r="D11168" s="8">
        <f ca="1">IFERROR(__xludf.DUMMYFUNCTION("""COMPUTED_VALUE"""),7)</f>
        <v>7</v>
      </c>
      <c r="E11168" s="2">
        <f ca="1">IFERROR(__xludf.DUMMYFUNCTION("""COMPUTED_VALUE"""),2)</f>
        <v>2</v>
      </c>
    </row>
    <row r="11169" spans="1:5" ht="13">
      <c r="A11169" s="2" t="str">
        <f ca="1">IFERROR(__xludf.DUMMYFUNCTION("""COMPUTED_VALUE"""),"Kaleikini, Albert")</f>
        <v>Kaleikini, Albert</v>
      </c>
      <c r="B11169" s="3">
        <f ca="1">IFERROR(__xludf.DUMMYFUNCTION("""COMPUTED_VALUE"""),3)</f>
        <v>3</v>
      </c>
      <c r="C11169" s="7">
        <f ca="1">IFERROR(__xludf.DUMMYFUNCTION("""COMPUTED_VALUE"""),3.6)</f>
        <v>3.6</v>
      </c>
      <c r="D11169" s="8">
        <f ca="1">IFERROR(__xludf.DUMMYFUNCTION("""COMPUTED_VALUE"""),7)</f>
        <v>7</v>
      </c>
      <c r="E11169" s="2">
        <f ca="1">IFERROR(__xludf.DUMMYFUNCTION("""COMPUTED_VALUE"""),2)</f>
        <v>2</v>
      </c>
    </row>
    <row r="11170" spans="1:5" ht="13">
      <c r="A11170" s="2" t="str">
        <f ca="1">IFERROR(__xludf.DUMMYFUNCTION("""COMPUTED_VALUE"""),"Kalhor, Kayhan")</f>
        <v>Kalhor, Kayhan</v>
      </c>
      <c r="B11170" s="3">
        <f ca="1">IFERROR(__xludf.DUMMYFUNCTION("""COMPUTED_VALUE"""),3)</f>
        <v>3</v>
      </c>
      <c r="C11170" s="7">
        <f ca="1">IFERROR(__xludf.DUMMYFUNCTION("""COMPUTED_VALUE"""),3.5)</f>
        <v>3.5</v>
      </c>
      <c r="D11170" s="8">
        <f ca="1">IFERROR(__xludf.DUMMYFUNCTION("""COMPUTED_VALUE"""),3)</f>
        <v>3</v>
      </c>
      <c r="E11170" s="2">
        <f ca="1">IFERROR(__xludf.DUMMYFUNCTION("""COMPUTED_VALUE"""),1)</f>
        <v>1</v>
      </c>
    </row>
    <row r="11171" spans="1:5" ht="13">
      <c r="A11171" s="2" t="str">
        <f ca="1">IFERROR(__xludf.DUMMYFUNCTION("""COMPUTED_VALUE"""),"Kamakahi, Dennis")</f>
        <v>Kamakahi, Dennis</v>
      </c>
      <c r="B11171" s="3">
        <f ca="1">IFERROR(__xludf.DUMMYFUNCTION("""COMPUTED_VALUE"""),3)</f>
        <v>3</v>
      </c>
      <c r="C11171" s="7">
        <f ca="1">IFERROR(__xludf.DUMMYFUNCTION("""COMPUTED_VALUE"""),3.7)</f>
        <v>3.7</v>
      </c>
      <c r="D11171" s="8">
        <f ca="1">IFERROR(__xludf.DUMMYFUNCTION("""COMPUTED_VALUE"""),7)</f>
        <v>7</v>
      </c>
      <c r="E11171" s="2">
        <f ca="1">IFERROR(__xludf.DUMMYFUNCTION("""COMPUTED_VALUE"""),2)</f>
        <v>2</v>
      </c>
    </row>
    <row r="11172" spans="1:5" ht="13">
      <c r="A11172" s="2" t="str">
        <f ca="1">IFERROR(__xludf.DUMMYFUNCTION("""COMPUTED_VALUE"""),"Kaneda, Bin")</f>
        <v>Kaneda, Bin</v>
      </c>
      <c r="B11172" s="3">
        <f ca="1">IFERROR(__xludf.DUMMYFUNCTION("""COMPUTED_VALUE"""),3)</f>
        <v>3</v>
      </c>
      <c r="C11172" s="7">
        <f ca="1">IFERROR(__xludf.DUMMYFUNCTION("""COMPUTED_VALUE"""),3.3)</f>
        <v>3.3</v>
      </c>
      <c r="D11172" s="8">
        <f ca="1">IFERROR(__xludf.DUMMYFUNCTION("""COMPUTED_VALUE"""),7)</f>
        <v>7</v>
      </c>
      <c r="E11172" s="2">
        <f ca="1">IFERROR(__xludf.DUMMYFUNCTION("""COMPUTED_VALUE"""),2)</f>
        <v>2</v>
      </c>
    </row>
    <row r="11173" spans="1:5" ht="13">
      <c r="A11173" s="2" t="str">
        <f ca="1">IFERROR(__xludf.DUMMYFUNCTION("""COMPUTED_VALUE"""),"Kang, Sukhi")</f>
        <v>Kang, Sukhi</v>
      </c>
      <c r="B11173" s="3">
        <f ca="1">IFERROR(__xludf.DUMMYFUNCTION("""COMPUTED_VALUE"""),3)</f>
        <v>3</v>
      </c>
      <c r="C11173" s="7">
        <f ca="1">IFERROR(__xludf.DUMMYFUNCTION("""COMPUTED_VALUE"""),3.3)</f>
        <v>3.3</v>
      </c>
      <c r="D11173" s="8">
        <f ca="1">IFERROR(__xludf.DUMMYFUNCTION("""COMPUTED_VALUE"""),7)</f>
        <v>7</v>
      </c>
      <c r="E11173" s="2">
        <f ca="1">IFERROR(__xludf.DUMMYFUNCTION("""COMPUTED_VALUE"""),2)</f>
        <v>2</v>
      </c>
    </row>
    <row r="11174" spans="1:5" ht="13">
      <c r="A11174" s="2" t="str">
        <f ca="1">IFERROR(__xludf.DUMMYFUNCTION("""COMPUTED_VALUE"""),"Kanno, Yugo")</f>
        <v>Kanno, Yugo</v>
      </c>
      <c r="B11174" s="3">
        <f ca="1">IFERROR(__xludf.DUMMYFUNCTION("""COMPUTED_VALUE"""),3)</f>
        <v>3</v>
      </c>
      <c r="C11174" s="7">
        <f ca="1">IFERROR(__xludf.DUMMYFUNCTION("""COMPUTED_VALUE"""),3.3)</f>
        <v>3.3</v>
      </c>
      <c r="D11174" s="8">
        <f ca="1">IFERROR(__xludf.DUMMYFUNCTION("""COMPUTED_VALUE"""),3)</f>
        <v>3</v>
      </c>
      <c r="E11174" s="2">
        <f ca="1">IFERROR(__xludf.DUMMYFUNCTION("""COMPUTED_VALUE"""),1)</f>
        <v>1</v>
      </c>
    </row>
    <row r="11175" spans="1:5" ht="13">
      <c r="A11175" s="2" t="str">
        <f ca="1">IFERROR(__xludf.DUMMYFUNCTION("""COMPUTED_VALUE"""),"Kataoka, Hiroaki")</f>
        <v>Kataoka, Hiroaki</v>
      </c>
      <c r="B11175" s="3">
        <f ca="1">IFERROR(__xludf.DUMMYFUNCTION("""COMPUTED_VALUE"""),3)</f>
        <v>3</v>
      </c>
      <c r="C11175" s="7">
        <f ca="1">IFERROR(__xludf.DUMMYFUNCTION("""COMPUTED_VALUE"""),3.3)</f>
        <v>3.3</v>
      </c>
      <c r="D11175" s="8">
        <f ca="1">IFERROR(__xludf.DUMMYFUNCTION("""COMPUTED_VALUE"""),3)</f>
        <v>3</v>
      </c>
      <c r="E11175" s="2">
        <f ca="1">IFERROR(__xludf.DUMMYFUNCTION("""COMPUTED_VALUE"""),1)</f>
        <v>1</v>
      </c>
    </row>
    <row r="11176" spans="1:5" ht="13">
      <c r="A11176" s="8" t="str">
        <f ca="1">IFERROR(__xludf.DUMMYFUNCTION("""COMPUTED_VALUE"""),"Kato, Daiki")</f>
        <v>Kato, Daiki</v>
      </c>
      <c r="B11176" s="3">
        <f ca="1">IFERROR(__xludf.DUMMYFUNCTION("""COMPUTED_VALUE"""),3)</f>
        <v>3</v>
      </c>
      <c r="C11176" s="7">
        <f ca="1">IFERROR(__xludf.DUMMYFUNCTION("""COMPUTED_VALUE"""),3.3)</f>
        <v>3.3</v>
      </c>
      <c r="D11176" s="8">
        <f ca="1">IFERROR(__xludf.DUMMYFUNCTION("""COMPUTED_VALUE"""),3)</f>
        <v>3</v>
      </c>
      <c r="E11176" s="2">
        <f ca="1">IFERROR(__xludf.DUMMYFUNCTION("""COMPUTED_VALUE"""),1)</f>
        <v>1</v>
      </c>
    </row>
    <row r="11177" spans="1:5" ht="13">
      <c r="A11177" s="2" t="str">
        <f ca="1">IFERROR(__xludf.DUMMYFUNCTION("""COMPUTED_VALUE"""),"Kay, Ulysses")</f>
        <v>Kay, Ulysses</v>
      </c>
      <c r="B11177" s="3">
        <f ca="1">IFERROR(__xludf.DUMMYFUNCTION("""COMPUTED_VALUE"""),3)</f>
        <v>3</v>
      </c>
      <c r="C11177" s="7">
        <f ca="1">IFERROR(__xludf.DUMMYFUNCTION("""COMPUTED_VALUE"""),3.1)</f>
        <v>3.1</v>
      </c>
      <c r="D11177" s="8">
        <f ca="1">IFERROR(__xludf.DUMMYFUNCTION("""COMPUTED_VALUE"""),7)</f>
        <v>7</v>
      </c>
      <c r="E11177" s="2">
        <f ca="1">IFERROR(__xludf.DUMMYFUNCTION("""COMPUTED_VALUE"""),2)</f>
        <v>2</v>
      </c>
    </row>
    <row r="11178" spans="1:5" ht="13">
      <c r="A11178" s="2" t="str">
        <f ca="1">IFERROR(__xludf.DUMMYFUNCTION("""COMPUTED_VALUE"""),"Kay, Ulysses S.")</f>
        <v>Kay, Ulysses S.</v>
      </c>
      <c r="B11178" s="3">
        <f ca="1">IFERROR(__xludf.DUMMYFUNCTION("""COMPUTED_VALUE"""),3)</f>
        <v>3</v>
      </c>
      <c r="C11178" s="7">
        <f ca="1">IFERROR(__xludf.DUMMYFUNCTION("""COMPUTED_VALUE"""),3.1)</f>
        <v>3.1</v>
      </c>
      <c r="D11178" s="8">
        <f ca="1">IFERROR(__xludf.DUMMYFUNCTION("""COMPUTED_VALUE"""),3)</f>
        <v>3</v>
      </c>
      <c r="E11178" s="2">
        <f ca="1">IFERROR(__xludf.DUMMYFUNCTION("""COMPUTED_VALUE"""),1)</f>
        <v>1</v>
      </c>
    </row>
    <row r="11179" spans="1:5" ht="13">
      <c r="A11179" s="2" t="str">
        <f ca="1">IFERROR(__xludf.DUMMYFUNCTION("""COMPUTED_VALUE"""),"Kazuki, Shimoda")</f>
        <v>Kazuki, Shimoda</v>
      </c>
      <c r="B11179" s="3">
        <f ca="1">IFERROR(__xludf.DUMMYFUNCTION("""COMPUTED_VALUE"""),3)</f>
        <v>3</v>
      </c>
      <c r="C11179" s="7">
        <f ca="1">IFERROR(__xludf.DUMMYFUNCTION("""COMPUTED_VALUE"""),3.3)</f>
        <v>3.3</v>
      </c>
      <c r="D11179" s="8">
        <f ca="1">IFERROR(__xludf.DUMMYFUNCTION("""COMPUTED_VALUE"""),3)</f>
        <v>3</v>
      </c>
      <c r="E11179" s="2">
        <f ca="1">IFERROR(__xludf.DUMMYFUNCTION("""COMPUTED_VALUE"""),1)</f>
        <v>1</v>
      </c>
    </row>
    <row r="11180" spans="1:5" ht="13">
      <c r="A11180" s="2" t="str">
        <f ca="1">IFERROR(__xludf.DUMMYFUNCTION("""COMPUTED_VALUE"""),"Kelley, Anthony")</f>
        <v>Kelley, Anthony</v>
      </c>
      <c r="B11180" s="3">
        <f ca="1">IFERROR(__xludf.DUMMYFUNCTION("""COMPUTED_VALUE"""),3)</f>
        <v>3</v>
      </c>
      <c r="C11180" s="7">
        <f ca="1">IFERROR(__xludf.DUMMYFUNCTION("""COMPUTED_VALUE"""),3.1)</f>
        <v>3.1</v>
      </c>
      <c r="D11180" s="8">
        <f ca="1">IFERROR(__xludf.DUMMYFUNCTION("""COMPUTED_VALUE"""),3)</f>
        <v>3</v>
      </c>
      <c r="E11180" s="2">
        <f ca="1">IFERROR(__xludf.DUMMYFUNCTION("""COMPUTED_VALUE"""),1)</f>
        <v>1</v>
      </c>
    </row>
    <row r="11181" spans="1:5" ht="13">
      <c r="A11181" s="8" t="str">
        <f ca="1">IFERROR(__xludf.DUMMYFUNCTION("""COMPUTED_VALUE"""),"Kenyatta, Kamau")</f>
        <v>Kenyatta, Kamau</v>
      </c>
      <c r="B11181" s="3">
        <f ca="1">IFERROR(__xludf.DUMMYFUNCTION("""COMPUTED_VALUE"""),3)</f>
        <v>3</v>
      </c>
      <c r="C11181" s="7">
        <f ca="1">IFERROR(__xludf.DUMMYFUNCTION("""COMPUTED_VALUE"""),3.1)</f>
        <v>3.1</v>
      </c>
      <c r="D11181" s="8">
        <f ca="1">IFERROR(__xludf.DUMMYFUNCTION("""COMPUTED_VALUE"""),3)</f>
        <v>3</v>
      </c>
      <c r="E11181" s="2">
        <f ca="1">IFERROR(__xludf.DUMMYFUNCTION("""COMPUTED_VALUE"""),1)</f>
        <v>1</v>
      </c>
    </row>
    <row r="11182" spans="1:5" ht="13">
      <c r="A11182" s="2" t="str">
        <f ca="1">IFERROR(__xludf.DUMMYFUNCTION("""COMPUTED_VALUE"""),"Kevin, Day,")</f>
        <v>Kevin, Day,</v>
      </c>
      <c r="B11182" s="2">
        <f ca="1">IFERROR(__xludf.DUMMYFUNCTION("""COMPUTED_VALUE"""),3)</f>
        <v>3</v>
      </c>
      <c r="C11182" s="7">
        <f ca="1">IFERROR(__xludf.DUMMYFUNCTION("""COMPUTED_VALUE"""),3.1)</f>
        <v>3.1</v>
      </c>
      <c r="D11182" s="8">
        <f ca="1">IFERROR(__xludf.DUMMYFUNCTION("""COMPUTED_VALUE"""),3)</f>
        <v>3</v>
      </c>
      <c r="E11182" s="2">
        <f ca="1">IFERROR(__xludf.DUMMYFUNCTION("""COMPUTED_VALUE"""),1)</f>
        <v>1</v>
      </c>
    </row>
    <row r="11183" spans="1:5" ht="13">
      <c r="A11183" s="2" t="str">
        <f ca="1">IFERROR(__xludf.DUMMYFUNCTION("""COMPUTED_VALUE"""),"Khudyev, Farkhad")</f>
        <v>Khudyev, Farkhad</v>
      </c>
      <c r="B11183" s="3">
        <f ca="1">IFERROR(__xludf.DUMMYFUNCTION("""COMPUTED_VALUE"""),3)</f>
        <v>3</v>
      </c>
      <c r="C11183" s="7">
        <f ca="1">IFERROR(__xludf.DUMMYFUNCTION("""COMPUTED_VALUE"""),3.5)</f>
        <v>3.5</v>
      </c>
      <c r="D11183" s="8">
        <f ca="1">IFERROR(__xludf.DUMMYFUNCTION("""COMPUTED_VALUE"""),3)</f>
        <v>3</v>
      </c>
      <c r="E11183" s="2">
        <f ca="1">IFERROR(__xludf.DUMMYFUNCTION("""COMPUTED_VALUE"""),1)</f>
        <v>1</v>
      </c>
    </row>
    <row r="11184" spans="1:5" ht="13">
      <c r="A11184" s="2" t="str">
        <f ca="1">IFERROR(__xludf.DUMMYFUNCTION("""COMPUTED_VALUE"""),"Kiagiri, Chris")</f>
        <v>Kiagiri, Chris</v>
      </c>
      <c r="B11184" s="3">
        <f ca="1">IFERROR(__xludf.DUMMYFUNCTION("""COMPUTED_VALUE"""),3)</f>
        <v>3</v>
      </c>
      <c r="C11184" s="7">
        <f ca="1">IFERROR(__xludf.DUMMYFUNCTION("""COMPUTED_VALUE"""),3.1)</f>
        <v>3.1</v>
      </c>
      <c r="D11184" s="8">
        <f ca="1">IFERROR(__xludf.DUMMYFUNCTION("""COMPUTED_VALUE"""),3)</f>
        <v>3</v>
      </c>
      <c r="E11184" s="2">
        <f ca="1">IFERROR(__xludf.DUMMYFUNCTION("""COMPUTED_VALUE"""),1)</f>
        <v>1</v>
      </c>
    </row>
    <row r="11185" spans="1:5" ht="13">
      <c r="A11185" s="2" t="str">
        <f ca="1">IFERROR(__xludf.DUMMYFUNCTION("""COMPUTED_VALUE"""),"Kicklighter, Hampton")</f>
        <v>Kicklighter, Hampton</v>
      </c>
      <c r="B11185" s="3">
        <f ca="1">IFERROR(__xludf.DUMMYFUNCTION("""COMPUTED_VALUE"""),3)</f>
        <v>3</v>
      </c>
      <c r="C11185" s="7">
        <f ca="1">IFERROR(__xludf.DUMMYFUNCTION("""COMPUTED_VALUE"""),3.1)</f>
        <v>3.1</v>
      </c>
      <c r="D11185" s="8">
        <f ca="1">IFERROR(__xludf.DUMMYFUNCTION("""COMPUTED_VALUE"""),7)</f>
        <v>7</v>
      </c>
      <c r="E11185" s="2">
        <f ca="1">IFERROR(__xludf.DUMMYFUNCTION("""COMPUTED_VALUE"""),2)</f>
        <v>2</v>
      </c>
    </row>
    <row r="11186" spans="1:5" ht="13">
      <c r="A11186" s="2" t="str">
        <f ca="1">IFERROR(__xludf.DUMMYFUNCTION("""COMPUTED_VALUE"""),"Kidane, Daniel")</f>
        <v>Kidane, Daniel</v>
      </c>
      <c r="B11186" s="3">
        <f ca="1">IFERROR(__xludf.DUMMYFUNCTION("""COMPUTED_VALUE"""),3)</f>
        <v>3</v>
      </c>
      <c r="C11186" s="7">
        <f ca="1">IFERROR(__xludf.DUMMYFUNCTION("""COMPUTED_VALUE"""),3.1)</f>
        <v>3.1</v>
      </c>
      <c r="D11186" s="8">
        <f ca="1">IFERROR(__xludf.DUMMYFUNCTION("""COMPUTED_VALUE"""),3)</f>
        <v>3</v>
      </c>
      <c r="E11186" s="2">
        <f ca="1">IFERROR(__xludf.DUMMYFUNCTION("""COMPUTED_VALUE"""),1)</f>
        <v>1</v>
      </c>
    </row>
    <row r="11187" spans="1:5" ht="13">
      <c r="A11187" s="2" t="str">
        <f ca="1">IFERROR(__xludf.DUMMYFUNCTION("""COMPUTED_VALUE"""),"Kidd, Richard")</f>
        <v>Kidd, Richard</v>
      </c>
      <c r="B11187" s="3">
        <f ca="1">IFERROR(__xludf.DUMMYFUNCTION("""COMPUTED_VALUE"""),3)</f>
        <v>3</v>
      </c>
      <c r="C11187" s="7">
        <f ca="1">IFERROR(__xludf.DUMMYFUNCTION("""COMPUTED_VALUE"""),3.1)</f>
        <v>3.1</v>
      </c>
      <c r="D11187" s="8">
        <f ca="1">IFERROR(__xludf.DUMMYFUNCTION("""COMPUTED_VALUE"""),3)</f>
        <v>3</v>
      </c>
      <c r="E11187" s="2">
        <f ca="1">IFERROR(__xludf.DUMMYFUNCTION("""COMPUTED_VALUE"""),1)</f>
        <v>1</v>
      </c>
    </row>
    <row r="11188" spans="1:5" ht="13">
      <c r="A11188" s="2" t="str">
        <f ca="1">IFERROR(__xludf.DUMMYFUNCTION("""COMPUTED_VALUE"""),"Kilby III, Shelton")</f>
        <v>Kilby III, Shelton</v>
      </c>
      <c r="B11188" s="3">
        <f ca="1">IFERROR(__xludf.DUMMYFUNCTION("""COMPUTED_VALUE"""),3)</f>
        <v>3</v>
      </c>
      <c r="C11188" s="7">
        <f ca="1">IFERROR(__xludf.DUMMYFUNCTION("""COMPUTED_VALUE"""),3.1)</f>
        <v>3.1</v>
      </c>
      <c r="D11188" s="8">
        <f ca="1">IFERROR(__xludf.DUMMYFUNCTION("""COMPUTED_VALUE"""),3)</f>
        <v>3</v>
      </c>
      <c r="E11188" s="2">
        <f ca="1">IFERROR(__xludf.DUMMYFUNCTION("""COMPUTED_VALUE"""),1)</f>
        <v>1</v>
      </c>
    </row>
    <row r="11189" spans="1:5" ht="13">
      <c r="A11189" s="2" t="str">
        <f ca="1">IFERROR(__xludf.DUMMYFUNCTION("""COMPUTED_VALUE"""),"Kilpatrick, Jack")</f>
        <v>Kilpatrick, Jack</v>
      </c>
      <c r="B11189" s="3">
        <f ca="1">IFERROR(__xludf.DUMMYFUNCTION("""COMPUTED_VALUE"""),3)</f>
        <v>3</v>
      </c>
      <c r="C11189" s="7">
        <f ca="1">IFERROR(__xludf.DUMMYFUNCTION("""COMPUTED_VALUE"""),3.8)</f>
        <v>3.8</v>
      </c>
      <c r="D11189" s="8">
        <f ca="1">IFERROR(__xludf.DUMMYFUNCTION("""COMPUTED_VALUE"""),7)</f>
        <v>7</v>
      </c>
      <c r="E11189" s="2">
        <f ca="1">IFERROR(__xludf.DUMMYFUNCTION("""COMPUTED_VALUE"""),2)</f>
        <v>2</v>
      </c>
    </row>
    <row r="11190" spans="1:5" ht="13">
      <c r="A11190" s="8" t="str">
        <f ca="1">IFERROR(__xludf.DUMMYFUNCTION("""COMPUTED_VALUE"""),"Kim, Ben Jisoo")</f>
        <v>Kim, Ben Jisoo</v>
      </c>
      <c r="B11190" s="3">
        <f ca="1">IFERROR(__xludf.DUMMYFUNCTION("""COMPUTED_VALUE"""),3)</f>
        <v>3</v>
      </c>
      <c r="C11190" s="7">
        <f ca="1">IFERROR(__xludf.DUMMYFUNCTION("""COMPUTED_VALUE"""),3.3)</f>
        <v>3.3</v>
      </c>
      <c r="D11190" s="8">
        <f ca="1">IFERROR(__xludf.DUMMYFUNCTION("""COMPUTED_VALUE"""),3)</f>
        <v>3</v>
      </c>
      <c r="E11190" s="2">
        <f ca="1">IFERROR(__xludf.DUMMYFUNCTION("""COMPUTED_VALUE"""),1)</f>
        <v>1</v>
      </c>
    </row>
    <row r="11191" spans="1:5" ht="13">
      <c r="A11191" s="2" t="str">
        <f ca="1">IFERROR(__xludf.DUMMYFUNCTION("""COMPUTED_VALUE"""),"Kim, Daniel")</f>
        <v>Kim, Daniel</v>
      </c>
      <c r="B11191" s="3">
        <f ca="1">IFERROR(__xludf.DUMMYFUNCTION("""COMPUTED_VALUE"""),3)</f>
        <v>3</v>
      </c>
      <c r="C11191" s="7">
        <f ca="1">IFERROR(__xludf.DUMMYFUNCTION("""COMPUTED_VALUE"""),3.3)</f>
        <v>3.3</v>
      </c>
      <c r="D11191" s="8">
        <f ca="1">IFERROR(__xludf.DUMMYFUNCTION("""COMPUTED_VALUE"""),3)</f>
        <v>3</v>
      </c>
      <c r="E11191" s="2">
        <f ca="1">IFERROR(__xludf.DUMMYFUNCTION("""COMPUTED_VALUE"""),1)</f>
        <v>1</v>
      </c>
    </row>
    <row r="11192" spans="1:5" ht="13">
      <c r="A11192" s="2" t="str">
        <f ca="1">IFERROR(__xludf.DUMMYFUNCTION("""COMPUTED_VALUE"""),"Kim, Dong Ji")</f>
        <v>Kim, Dong Ji</v>
      </c>
      <c r="B11192" s="3">
        <f ca="1">IFERROR(__xludf.DUMMYFUNCTION("""COMPUTED_VALUE"""),3)</f>
        <v>3</v>
      </c>
      <c r="C11192" s="7">
        <f ca="1">IFERROR(__xludf.DUMMYFUNCTION("""COMPUTED_VALUE"""),3.3)</f>
        <v>3.3</v>
      </c>
      <c r="D11192" s="8">
        <f ca="1">IFERROR(__xludf.DUMMYFUNCTION("""COMPUTED_VALUE"""),7)</f>
        <v>7</v>
      </c>
      <c r="E11192" s="2">
        <f ca="1">IFERROR(__xludf.DUMMYFUNCTION("""COMPUTED_VALUE"""),2)</f>
        <v>2</v>
      </c>
    </row>
    <row r="11193" spans="1:5" ht="13">
      <c r="A11193" s="2" t="str">
        <f ca="1">IFERROR(__xludf.DUMMYFUNCTION("""COMPUTED_VALUE"""),"Kim, Dong Jo")</f>
        <v>Kim, Dong Jo</v>
      </c>
      <c r="B11193" s="3">
        <f ca="1">IFERROR(__xludf.DUMMYFUNCTION("""COMPUTED_VALUE"""),3)</f>
        <v>3</v>
      </c>
      <c r="C11193" s="7">
        <f ca="1">IFERROR(__xludf.DUMMYFUNCTION("""COMPUTED_VALUE"""),3.3)</f>
        <v>3.3</v>
      </c>
      <c r="D11193" s="8">
        <f ca="1">IFERROR(__xludf.DUMMYFUNCTION("""COMPUTED_VALUE"""),3)</f>
        <v>3</v>
      </c>
      <c r="E11193" s="2">
        <f ca="1">IFERROR(__xludf.DUMMYFUNCTION("""COMPUTED_VALUE"""),1)</f>
        <v>1</v>
      </c>
    </row>
    <row r="11194" spans="1:5" ht="13">
      <c r="A11194" s="2" t="str">
        <f ca="1">IFERROR(__xludf.DUMMYFUNCTION("""COMPUTED_VALUE"""),"Kim, Dong-jin")</f>
        <v>Kim, Dong-jin</v>
      </c>
      <c r="B11194" s="3">
        <f ca="1">IFERROR(__xludf.DUMMYFUNCTION("""COMPUTED_VALUE"""),3)</f>
        <v>3</v>
      </c>
      <c r="C11194" s="7">
        <f ca="1">IFERROR(__xludf.DUMMYFUNCTION("""COMPUTED_VALUE"""),3.3)</f>
        <v>3.3</v>
      </c>
      <c r="D11194" s="8">
        <f ca="1">IFERROR(__xludf.DUMMYFUNCTION("""COMPUTED_VALUE"""),3)</f>
        <v>3</v>
      </c>
      <c r="E11194" s="2">
        <f ca="1">IFERROR(__xludf.DUMMYFUNCTION("""COMPUTED_VALUE"""),1)</f>
        <v>1</v>
      </c>
    </row>
    <row r="11195" spans="1:5" ht="13">
      <c r="A11195" s="2" t="str">
        <f ca="1">IFERROR(__xludf.DUMMYFUNCTION("""COMPUTED_VALUE"""),"Kim, Solbong")</f>
        <v>Kim, Solbong</v>
      </c>
      <c r="B11195" s="3">
        <f ca="1">IFERROR(__xludf.DUMMYFUNCTION("""COMPUTED_VALUE"""),3)</f>
        <v>3</v>
      </c>
      <c r="C11195" s="7">
        <f ca="1">IFERROR(__xludf.DUMMYFUNCTION("""COMPUTED_VALUE"""),3.3)</f>
        <v>3.3</v>
      </c>
      <c r="D11195" s="8">
        <f ca="1">IFERROR(__xludf.DUMMYFUNCTION("""COMPUTED_VALUE"""),3)</f>
        <v>3</v>
      </c>
      <c r="E11195" s="2">
        <f ca="1">IFERROR(__xludf.DUMMYFUNCTION("""COMPUTED_VALUE"""),1)</f>
        <v>1</v>
      </c>
    </row>
    <row r="11196" spans="1:5" ht="13">
      <c r="A11196" s="2" t="str">
        <f ca="1">IFERROR(__xludf.DUMMYFUNCTION("""COMPUTED_VALUE"""),"Kim, Texu")</f>
        <v>Kim, Texu</v>
      </c>
      <c r="B11196" s="3">
        <f ca="1">IFERROR(__xludf.DUMMYFUNCTION("""COMPUTED_VALUE"""),3)</f>
        <v>3</v>
      </c>
      <c r="C11196" s="7">
        <f ca="1">IFERROR(__xludf.DUMMYFUNCTION("""COMPUTED_VALUE"""),3.3)</f>
        <v>3.3</v>
      </c>
      <c r="D11196" s="8">
        <f ca="1">IFERROR(__xludf.DUMMYFUNCTION("""COMPUTED_VALUE"""),3)</f>
        <v>3</v>
      </c>
      <c r="E11196" s="2">
        <f ca="1">IFERROR(__xludf.DUMMYFUNCTION("""COMPUTED_VALUE"""),1)</f>
        <v>1</v>
      </c>
    </row>
    <row r="11197" spans="1:5" ht="13">
      <c r="A11197" s="2" t="str">
        <f ca="1">IFERROR(__xludf.DUMMYFUNCTION("""COMPUTED_VALUE"""),"Kimbley, Matthew")</f>
        <v>Kimbley, Matthew</v>
      </c>
      <c r="B11197" s="3">
        <f ca="1">IFERROR(__xludf.DUMMYFUNCTION("""COMPUTED_VALUE"""),3)</f>
        <v>3</v>
      </c>
      <c r="C11197" s="7">
        <f ca="1">IFERROR(__xludf.DUMMYFUNCTION("""COMPUTED_VALUE"""),3.1)</f>
        <v>3.1</v>
      </c>
      <c r="D11197" s="8">
        <f ca="1">IFERROR(__xludf.DUMMYFUNCTION("""COMPUTED_VALUE"""),3)</f>
        <v>3</v>
      </c>
      <c r="E11197" s="2">
        <f ca="1">IFERROR(__xludf.DUMMYFUNCTION("""COMPUTED_VALUE"""),1)</f>
        <v>1</v>
      </c>
    </row>
    <row r="11198" spans="1:5" ht="13">
      <c r="A11198" s="2" t="str">
        <f ca="1">IFERROR(__xludf.DUMMYFUNCTION("""COMPUTED_VALUE"""),"Kimura, Makio")</f>
        <v>Kimura, Makio</v>
      </c>
      <c r="B11198" s="2">
        <f ca="1">IFERROR(__xludf.DUMMYFUNCTION("""COMPUTED_VALUE"""),3)</f>
        <v>3</v>
      </c>
      <c r="C11198" s="2">
        <f ca="1">IFERROR(__xludf.DUMMYFUNCTION("""COMPUTED_VALUE"""),3.3)</f>
        <v>3.3</v>
      </c>
      <c r="D11198" s="8">
        <f ca="1">IFERROR(__xludf.DUMMYFUNCTION("""COMPUTED_VALUE"""),3)</f>
        <v>3</v>
      </c>
      <c r="E11198" s="2">
        <f ca="1">IFERROR(__xludf.DUMMYFUNCTION("""COMPUTED_VALUE"""),1)</f>
        <v>1</v>
      </c>
    </row>
    <row r="11199" spans="1:5" ht="13">
      <c r="A11199" s="2" t="str">
        <f ca="1">IFERROR(__xludf.DUMMYFUNCTION("""COMPUTED_VALUE"""),"Kimura, Masami")</f>
        <v>Kimura, Masami</v>
      </c>
      <c r="B11199" s="2">
        <f ca="1">IFERROR(__xludf.DUMMYFUNCTION("""COMPUTED_VALUE"""),3)</f>
        <v>3</v>
      </c>
      <c r="C11199" s="2">
        <f ca="1">IFERROR(__xludf.DUMMYFUNCTION("""COMPUTED_VALUE"""),3.3)</f>
        <v>3.3</v>
      </c>
      <c r="D11199" s="8">
        <f ca="1">IFERROR(__xludf.DUMMYFUNCTION("""COMPUTED_VALUE"""),3)</f>
        <v>3</v>
      </c>
      <c r="E11199" s="2">
        <f ca="1">IFERROR(__xludf.DUMMYFUNCTION("""COMPUTED_VALUE"""),1)</f>
        <v>1</v>
      </c>
    </row>
    <row r="11200" spans="1:5" ht="13">
      <c r="A11200" s="2" t="str">
        <f ca="1">IFERROR(__xludf.DUMMYFUNCTION("""COMPUTED_VALUE"""),"Kimura, Takahashi")</f>
        <v>Kimura, Takahashi</v>
      </c>
      <c r="B11200" s="3">
        <f ca="1">IFERROR(__xludf.DUMMYFUNCTION("""COMPUTED_VALUE"""),3)</f>
        <v>3</v>
      </c>
      <c r="C11200" s="7">
        <f ca="1">IFERROR(__xludf.DUMMYFUNCTION("""COMPUTED_VALUE"""),3.3)</f>
        <v>3.3</v>
      </c>
      <c r="D11200" s="8">
        <f ca="1">IFERROR(__xludf.DUMMYFUNCTION("""COMPUTED_VALUE"""),7)</f>
        <v>7</v>
      </c>
      <c r="E11200" s="2">
        <f ca="1">IFERROR(__xludf.DUMMYFUNCTION("""COMPUTED_VALUE"""),2)</f>
        <v>2</v>
      </c>
    </row>
    <row r="11201" spans="1:5" ht="13">
      <c r="A11201" s="2" t="str">
        <f ca="1">IFERROR(__xludf.DUMMYFUNCTION("""COMPUTED_VALUE"""),"Kimura, Yoshihiro")</f>
        <v>Kimura, Yoshihiro</v>
      </c>
      <c r="B11201" s="3">
        <f ca="1">IFERROR(__xludf.DUMMYFUNCTION("""COMPUTED_VALUE"""),3)</f>
        <v>3</v>
      </c>
      <c r="C11201" s="7">
        <f ca="1">IFERROR(__xludf.DUMMYFUNCTION("""COMPUTED_VALUE"""),3.3)</f>
        <v>3.3</v>
      </c>
      <c r="D11201" s="8">
        <f ca="1">IFERROR(__xludf.DUMMYFUNCTION("""COMPUTED_VALUE"""),7)</f>
        <v>7</v>
      </c>
      <c r="E11201" s="2">
        <f ca="1">IFERROR(__xludf.DUMMYFUNCTION("""COMPUTED_VALUE"""),2)</f>
        <v>2</v>
      </c>
    </row>
    <row r="11202" spans="1:5" ht="13">
      <c r="A11202" s="2" t="str">
        <f ca="1">IFERROR(__xludf.DUMMYFUNCTION("""COMPUTED_VALUE"""),"Kinchen, James")</f>
        <v>Kinchen, James</v>
      </c>
      <c r="B11202" s="3">
        <f ca="1">IFERROR(__xludf.DUMMYFUNCTION("""COMPUTED_VALUE"""),3)</f>
        <v>3</v>
      </c>
      <c r="C11202" s="7">
        <f ca="1">IFERROR(__xludf.DUMMYFUNCTION("""COMPUTED_VALUE"""),3.1)</f>
        <v>3.1</v>
      </c>
      <c r="D11202" s="8">
        <f ca="1">IFERROR(__xludf.DUMMYFUNCTION("""COMPUTED_VALUE"""),3)</f>
        <v>3</v>
      </c>
      <c r="E11202" s="2">
        <f ca="1">IFERROR(__xludf.DUMMYFUNCTION("""COMPUTED_VALUE"""),1)</f>
        <v>1</v>
      </c>
    </row>
    <row r="11203" spans="1:5" ht="13">
      <c r="A11203" s="2" t="str">
        <f ca="1">IFERROR(__xludf.DUMMYFUNCTION("""COMPUTED_VALUE"""),"King, Ben E. / Leiber, Jerry / Stoller, Mike")</f>
        <v>King, Ben E. / Leiber, Jerry / Stoller, Mike</v>
      </c>
      <c r="B11203" s="3">
        <f ca="1">IFERROR(__xludf.DUMMYFUNCTION("""COMPUTED_VALUE"""),3)</f>
        <v>3</v>
      </c>
      <c r="C11203" s="7">
        <f ca="1">IFERROR(__xludf.DUMMYFUNCTION("""COMPUTED_VALUE"""),3.1)</f>
        <v>3.1</v>
      </c>
      <c r="D11203" s="8">
        <f ca="1">IFERROR(__xludf.DUMMYFUNCTION("""COMPUTED_VALUE"""),7)</f>
        <v>7</v>
      </c>
      <c r="E11203" s="2">
        <f ca="1">IFERROR(__xludf.DUMMYFUNCTION("""COMPUTED_VALUE"""),2)</f>
        <v>2</v>
      </c>
    </row>
    <row r="11204" spans="1:5" ht="13">
      <c r="A11204" s="2" t="str">
        <f ca="1">IFERROR(__xludf.DUMMYFUNCTION("""COMPUTED_VALUE"""),"Kirk, Roland")</f>
        <v>Kirk, Roland</v>
      </c>
      <c r="B11204" s="2">
        <f ca="1">IFERROR(__xludf.DUMMYFUNCTION("""COMPUTED_VALUE"""),3)</f>
        <v>3</v>
      </c>
      <c r="C11204" s="7">
        <f ca="1">IFERROR(__xludf.DUMMYFUNCTION("""COMPUTED_VALUE"""),3.1)</f>
        <v>3.1</v>
      </c>
      <c r="D11204" s="8">
        <f ca="1">IFERROR(__xludf.DUMMYFUNCTION("""COMPUTED_VALUE"""),7)</f>
        <v>7</v>
      </c>
      <c r="E11204" s="2">
        <f ca="1">IFERROR(__xludf.DUMMYFUNCTION("""COMPUTED_VALUE"""),2)</f>
        <v>2</v>
      </c>
    </row>
    <row r="11205" spans="1:5" ht="13">
      <c r="A11205" s="8" t="str">
        <f ca="1">IFERROR(__xludf.DUMMYFUNCTION("""COMPUTED_VALUE"""),"Kirkland, Kenny")</f>
        <v>Kirkland, Kenny</v>
      </c>
      <c r="B11205" s="3">
        <f ca="1">IFERROR(__xludf.DUMMYFUNCTION("""COMPUTED_VALUE"""),3)</f>
        <v>3</v>
      </c>
      <c r="C11205" s="7">
        <f ca="1">IFERROR(__xludf.DUMMYFUNCTION("""COMPUTED_VALUE"""),3.1)</f>
        <v>3.1</v>
      </c>
      <c r="D11205" s="8">
        <f ca="1">IFERROR(__xludf.DUMMYFUNCTION("""COMPUTED_VALUE"""),7)</f>
        <v>7</v>
      </c>
      <c r="E11205" s="2">
        <f ca="1">IFERROR(__xludf.DUMMYFUNCTION("""COMPUTED_VALUE"""),2)</f>
        <v>2</v>
      </c>
    </row>
    <row r="11206" spans="1:5" ht="13">
      <c r="A11206" s="2" t="str">
        <f ca="1">IFERROR(__xludf.DUMMYFUNCTION("""COMPUTED_VALUE"""),"Kitajima, Toru")</f>
        <v>Kitajima, Toru</v>
      </c>
      <c r="B11206" s="3">
        <f ca="1">IFERROR(__xludf.DUMMYFUNCTION("""COMPUTED_VALUE"""),3)</f>
        <v>3</v>
      </c>
      <c r="C11206" s="7">
        <f ca="1">IFERROR(__xludf.DUMMYFUNCTION("""COMPUTED_VALUE"""),3.3)</f>
        <v>3.3</v>
      </c>
      <c r="D11206" s="8">
        <f ca="1">IFERROR(__xludf.DUMMYFUNCTION("""COMPUTED_VALUE"""),3)</f>
        <v>3</v>
      </c>
      <c r="E11206" s="2">
        <f ca="1">IFERROR(__xludf.DUMMYFUNCTION("""COMPUTED_VALUE"""),1)</f>
        <v>1</v>
      </c>
    </row>
    <row r="11207" spans="1:5" ht="13">
      <c r="A11207" s="8" t="str">
        <f ca="1">IFERROR(__xludf.DUMMYFUNCTION("""COMPUTED_VALUE"""),"Klein, Guillermo")</f>
        <v>Klein, Guillermo</v>
      </c>
      <c r="B11207" s="3">
        <f ca="1">IFERROR(__xludf.DUMMYFUNCTION("""COMPUTED_VALUE"""),3)</f>
        <v>3</v>
      </c>
      <c r="C11207" s="7">
        <f ca="1">IFERROR(__xludf.DUMMYFUNCTION("""COMPUTED_VALUE"""),3.2)</f>
        <v>3.2</v>
      </c>
      <c r="D11207" s="8">
        <f ca="1">IFERROR(__xludf.DUMMYFUNCTION("""COMPUTED_VALUE"""),3)</f>
        <v>3</v>
      </c>
      <c r="E11207" s="2">
        <f ca="1">IFERROR(__xludf.DUMMYFUNCTION("""COMPUTED_VALUE"""),1)</f>
        <v>1</v>
      </c>
    </row>
    <row r="11208" spans="1:5" ht="13">
      <c r="A11208" s="2" t="str">
        <f ca="1">IFERROR(__xludf.DUMMYFUNCTION("""COMPUTED_VALUE"""),"Kokei, Hayashi")</f>
        <v>Kokei, Hayashi</v>
      </c>
      <c r="B11208" s="3">
        <f ca="1">IFERROR(__xludf.DUMMYFUNCTION("""COMPUTED_VALUE"""),3)</f>
        <v>3</v>
      </c>
      <c r="C11208" s="7">
        <f ca="1">IFERROR(__xludf.DUMMYFUNCTION("""COMPUTED_VALUE"""),3.3)</f>
        <v>3.3</v>
      </c>
      <c r="D11208" s="8">
        <f ca="1">IFERROR(__xludf.DUMMYFUNCTION("""COMPUTED_VALUE"""),3)</f>
        <v>3</v>
      </c>
      <c r="E11208" s="2">
        <f ca="1">IFERROR(__xludf.DUMMYFUNCTION("""COMPUTED_VALUE"""),1)</f>
        <v>1</v>
      </c>
    </row>
    <row r="11209" spans="1:5" ht="13">
      <c r="A11209" s="2" t="str">
        <f ca="1">IFERROR(__xludf.DUMMYFUNCTION("""COMPUTED_VALUE"""),"Konagaya, Soichi")</f>
        <v>Konagaya, Soichi</v>
      </c>
      <c r="B11209" s="2">
        <f ca="1">IFERROR(__xludf.DUMMYFUNCTION("""COMPUTED_VALUE"""),3)</f>
        <v>3</v>
      </c>
      <c r="C11209" s="7">
        <f ca="1">IFERROR(__xludf.DUMMYFUNCTION("""COMPUTED_VALUE"""),3.3)</f>
        <v>3.3</v>
      </c>
      <c r="D11209" s="8">
        <f ca="1">IFERROR(__xludf.DUMMYFUNCTION("""COMPUTED_VALUE"""),3)</f>
        <v>3</v>
      </c>
      <c r="E11209" s="2">
        <f ca="1">IFERROR(__xludf.DUMMYFUNCTION("""COMPUTED_VALUE"""),1)</f>
        <v>1</v>
      </c>
    </row>
    <row r="11210" spans="1:5" ht="13">
      <c r="A11210" s="8" t="str">
        <f ca="1">IFERROR(__xludf.DUMMYFUNCTION("""COMPUTED_VALUE"""),"Kondo, Koji")</f>
        <v>Kondo, Koji</v>
      </c>
      <c r="B11210" s="3">
        <f ca="1">IFERROR(__xludf.DUMMYFUNCTION("""COMPUTED_VALUE"""),3)</f>
        <v>3</v>
      </c>
      <c r="C11210" s="7">
        <f ca="1">IFERROR(__xludf.DUMMYFUNCTION("""COMPUTED_VALUE"""),3.3)</f>
        <v>3.3</v>
      </c>
      <c r="D11210" s="8">
        <f ca="1">IFERROR(__xludf.DUMMYFUNCTION("""COMPUTED_VALUE"""),3)</f>
        <v>3</v>
      </c>
      <c r="E11210" s="2">
        <f ca="1">IFERROR(__xludf.DUMMYFUNCTION("""COMPUTED_VALUE"""),1)</f>
        <v>1</v>
      </c>
    </row>
    <row r="11211" spans="1:5" ht="13">
      <c r="A11211" s="8" t="str">
        <f ca="1">IFERROR(__xludf.DUMMYFUNCTION("""COMPUTED_VALUE"""),"Kong-Yu, Wong")</f>
        <v>Kong-Yu, Wong</v>
      </c>
      <c r="B11211" s="3">
        <f ca="1">IFERROR(__xludf.DUMMYFUNCTION("""COMPUTED_VALUE"""),3)</f>
        <v>3</v>
      </c>
      <c r="C11211" s="7">
        <f ca="1">IFERROR(__xludf.DUMMYFUNCTION("""COMPUTED_VALUE"""),3.3)</f>
        <v>3.3</v>
      </c>
      <c r="D11211" s="8">
        <f ca="1">IFERROR(__xludf.DUMMYFUNCTION("""COMPUTED_VALUE"""),3)</f>
        <v>3</v>
      </c>
      <c r="E11211" s="2">
        <f ca="1">IFERROR(__xludf.DUMMYFUNCTION("""COMPUTED_VALUE"""),1)</f>
        <v>1</v>
      </c>
    </row>
    <row r="11212" spans="1:5" ht="13">
      <c r="A11212" s="2" t="str">
        <f ca="1">IFERROR(__xludf.DUMMYFUNCTION("""COMPUTED_VALUE"""),"Kook, Hyun")</f>
        <v>Kook, Hyun</v>
      </c>
      <c r="B11212" s="3">
        <f ca="1">IFERROR(__xludf.DUMMYFUNCTION("""COMPUTED_VALUE"""),3)</f>
        <v>3</v>
      </c>
      <c r="C11212" s="7">
        <f ca="1">IFERROR(__xludf.DUMMYFUNCTION("""COMPUTED_VALUE"""),3.3)</f>
        <v>3.3</v>
      </c>
      <c r="D11212" s="8">
        <f ca="1">IFERROR(__xludf.DUMMYFUNCTION("""COMPUTED_VALUE"""),3)</f>
        <v>3</v>
      </c>
      <c r="E11212" s="2">
        <f ca="1">IFERROR(__xludf.DUMMYFUNCTION("""COMPUTED_VALUE"""),1)</f>
        <v>1</v>
      </c>
    </row>
    <row r="11213" spans="1:5" ht="13">
      <c r="A11213" s="2" t="str">
        <f ca="1">IFERROR(__xludf.DUMMYFUNCTION("""COMPUTED_VALUE"""),"Koseki, Yuji")</f>
        <v>Koseki, Yuji</v>
      </c>
      <c r="B11213" s="3">
        <f ca="1">IFERROR(__xludf.DUMMYFUNCTION("""COMPUTED_VALUE"""),3)</f>
        <v>3</v>
      </c>
      <c r="C11213" s="7">
        <f ca="1">IFERROR(__xludf.DUMMYFUNCTION("""COMPUTED_VALUE"""),3.3)</f>
        <v>3.3</v>
      </c>
      <c r="D11213" s="8">
        <f ca="1">IFERROR(__xludf.DUMMYFUNCTION("""COMPUTED_VALUE"""),7)</f>
        <v>7</v>
      </c>
      <c r="E11213" s="2">
        <f ca="1">IFERROR(__xludf.DUMMYFUNCTION("""COMPUTED_VALUE"""),2)</f>
        <v>2</v>
      </c>
    </row>
    <row r="11214" spans="1:5" ht="13">
      <c r="A11214" s="2" t="str">
        <f ca="1">IFERROR(__xludf.DUMMYFUNCTION("""COMPUTED_VALUE"""),"Kuo, Gary")</f>
        <v>Kuo, Gary</v>
      </c>
      <c r="B11214" s="3">
        <f ca="1">IFERROR(__xludf.DUMMYFUNCTION("""COMPUTED_VALUE"""),3)</f>
        <v>3</v>
      </c>
      <c r="C11214" s="7">
        <f ca="1">IFERROR(__xludf.DUMMYFUNCTION("""COMPUTED_VALUE"""),3.3)</f>
        <v>3.3</v>
      </c>
      <c r="D11214" s="8">
        <f ca="1">IFERROR(__xludf.DUMMYFUNCTION("""COMPUTED_VALUE"""),3)</f>
        <v>3</v>
      </c>
      <c r="E11214" s="2">
        <f ca="1">IFERROR(__xludf.DUMMYFUNCTION("""COMPUTED_VALUE"""),1)</f>
        <v>1</v>
      </c>
    </row>
    <row r="11215" spans="1:5" ht="13">
      <c r="A11215" s="2" t="str">
        <f ca="1">IFERROR(__xludf.DUMMYFUNCTION("""COMPUTED_VALUE"""),"Kurokawa, Keiichi")</f>
        <v>Kurokawa, Keiichi</v>
      </c>
      <c r="B11215" s="2">
        <f ca="1">IFERROR(__xludf.DUMMYFUNCTION("""COMPUTED_VALUE"""),3)</f>
        <v>3</v>
      </c>
      <c r="C11215" s="7">
        <f ca="1">IFERROR(__xludf.DUMMYFUNCTION("""COMPUTED_VALUE"""),3.3)</f>
        <v>3.3</v>
      </c>
      <c r="D11215" s="8">
        <f ca="1">IFERROR(__xludf.DUMMYFUNCTION("""COMPUTED_VALUE"""),3)</f>
        <v>3</v>
      </c>
      <c r="E11215" s="2">
        <f ca="1">IFERROR(__xludf.DUMMYFUNCTION("""COMPUTED_VALUE"""),1)</f>
        <v>1</v>
      </c>
    </row>
    <row r="11216" spans="1:5" ht="13">
      <c r="A11216" s="2" t="str">
        <f ca="1">IFERROR(__xludf.DUMMYFUNCTION("""COMPUTED_VALUE"""),"Kushida, Tetsonusuke")</f>
        <v>Kushida, Tetsonusuke</v>
      </c>
      <c r="B11216" s="3">
        <f ca="1">IFERROR(__xludf.DUMMYFUNCTION("""COMPUTED_VALUE"""),3)</f>
        <v>3</v>
      </c>
      <c r="C11216" s="7">
        <f ca="1">IFERROR(__xludf.DUMMYFUNCTION("""COMPUTED_VALUE"""),3.3)</f>
        <v>3.3</v>
      </c>
      <c r="D11216" s="8">
        <f ca="1">IFERROR(__xludf.DUMMYFUNCTION("""COMPUTED_VALUE"""),3)</f>
        <v>3</v>
      </c>
      <c r="E11216" s="2">
        <f ca="1">IFERROR(__xludf.DUMMYFUNCTION("""COMPUTED_VALUE"""),1)</f>
        <v>1</v>
      </c>
    </row>
    <row r="11217" spans="1:5" ht="13">
      <c r="A11217" s="2" t="str">
        <f ca="1">IFERROR(__xludf.DUMMYFUNCTION("""COMPUTED_VALUE"""),"Kushida, Tetsunosuke")</f>
        <v>Kushida, Tetsunosuke</v>
      </c>
      <c r="B11217" s="3">
        <f ca="1">IFERROR(__xludf.DUMMYFUNCTION("""COMPUTED_VALUE"""),3)</f>
        <v>3</v>
      </c>
      <c r="C11217" s="7">
        <f ca="1">IFERROR(__xludf.DUMMYFUNCTION("""COMPUTED_VALUE"""),3.3)</f>
        <v>3.3</v>
      </c>
      <c r="D11217" s="8">
        <f ca="1">IFERROR(__xludf.DUMMYFUNCTION("""COMPUTED_VALUE"""),3)</f>
        <v>3</v>
      </c>
      <c r="E11217" s="2">
        <f ca="1">IFERROR(__xludf.DUMMYFUNCTION("""COMPUTED_VALUE"""),1)</f>
        <v>1</v>
      </c>
    </row>
    <row r="11218" spans="1:5" ht="13">
      <c r="A11218" s="2" t="str">
        <f ca="1">IFERROR(__xludf.DUMMYFUNCTION("""COMPUTED_VALUE"""),"Kwan, Bensen")</f>
        <v>Kwan, Bensen</v>
      </c>
      <c r="B11218" s="2">
        <f ca="1">IFERROR(__xludf.DUMMYFUNCTION("""COMPUTED_VALUE"""),3)</f>
        <v>3</v>
      </c>
      <c r="C11218" s="2">
        <f ca="1">IFERROR(__xludf.DUMMYFUNCTION("""COMPUTED_VALUE"""),3.3)</f>
        <v>3.3</v>
      </c>
      <c r="D11218" s="8">
        <f ca="1">IFERROR(__xludf.DUMMYFUNCTION("""COMPUTED_VALUE"""),3)</f>
        <v>3</v>
      </c>
      <c r="E11218" s="2">
        <f ca="1">IFERROR(__xludf.DUMMYFUNCTION("""COMPUTED_VALUE"""),1)</f>
        <v>1</v>
      </c>
    </row>
    <row r="11219" spans="1:5" ht="13">
      <c r="A11219" s="2" t="str">
        <f ca="1">IFERROR(__xludf.DUMMYFUNCTION("""COMPUTED_VALUE"""),"Kyriakides, Yannis")</f>
        <v>Kyriakides, Yannis</v>
      </c>
      <c r="B11219" s="3">
        <f ca="1">IFERROR(__xludf.DUMMYFUNCTION("""COMPUTED_VALUE"""),3)</f>
        <v>3</v>
      </c>
      <c r="C11219" s="7">
        <f ca="1">IFERROR(__xludf.DUMMYFUNCTION("""COMPUTED_VALUE"""),3.5)</f>
        <v>3.5</v>
      </c>
      <c r="D11219" s="8">
        <f ca="1">IFERROR(__xludf.DUMMYFUNCTION("""COMPUTED_VALUE"""),3)</f>
        <v>3</v>
      </c>
      <c r="E11219" s="2">
        <f ca="1">IFERROR(__xludf.DUMMYFUNCTION("""COMPUTED_VALUE"""),1)</f>
        <v>1</v>
      </c>
    </row>
    <row r="11220" spans="1:5" ht="13">
      <c r="A11220" s="2" t="str">
        <f ca="1">IFERROR(__xludf.DUMMYFUNCTION("""COMPUTED_VALUE"""),"Lacerda, Osvaldo")</f>
        <v>Lacerda, Osvaldo</v>
      </c>
      <c r="B11220" s="3">
        <f ca="1">IFERROR(__xludf.DUMMYFUNCTION("""COMPUTED_VALUE"""),3)</f>
        <v>3</v>
      </c>
      <c r="C11220" s="7">
        <f ca="1">IFERROR(__xludf.DUMMYFUNCTION("""COMPUTED_VALUE"""),3.2)</f>
        <v>3.2</v>
      </c>
      <c r="D11220" s="8">
        <f ca="1">IFERROR(__xludf.DUMMYFUNCTION("""COMPUTED_VALUE"""),7)</f>
        <v>7</v>
      </c>
      <c r="E11220" s="2">
        <f ca="1">IFERROR(__xludf.DUMMYFUNCTION("""COMPUTED_VALUE"""),2)</f>
        <v>2</v>
      </c>
    </row>
    <row r="11221" spans="1:5" ht="13">
      <c r="A11221" s="2" t="str">
        <f ca="1">IFERROR(__xludf.DUMMYFUNCTION("""COMPUTED_VALUE"""),"Lake, John Keola")</f>
        <v>Lake, John Keola</v>
      </c>
      <c r="B11221" s="3">
        <f ca="1">IFERROR(__xludf.DUMMYFUNCTION("""COMPUTED_VALUE"""),3)</f>
        <v>3</v>
      </c>
      <c r="C11221" s="7">
        <f ca="1">IFERROR(__xludf.DUMMYFUNCTION("""COMPUTED_VALUE"""),3.6)</f>
        <v>3.6</v>
      </c>
      <c r="D11221" s="8">
        <f ca="1">IFERROR(__xludf.DUMMYFUNCTION("""COMPUTED_VALUE"""),3)</f>
        <v>3</v>
      </c>
      <c r="E11221" s="2">
        <f ca="1">IFERROR(__xludf.DUMMYFUNCTION("""COMPUTED_VALUE"""),1)</f>
        <v>1</v>
      </c>
    </row>
    <row r="11222" spans="1:5" ht="13">
      <c r="A11222" s="2" t="str">
        <f ca="1">IFERROR(__xludf.DUMMYFUNCTION("""COMPUTED_VALUE"""),"Lake, Sol")</f>
        <v>Lake, Sol</v>
      </c>
      <c r="B11222" s="3">
        <f ca="1">IFERROR(__xludf.DUMMYFUNCTION("""COMPUTED_VALUE"""),3)</f>
        <v>3</v>
      </c>
      <c r="C11222" s="7">
        <f ca="1">IFERROR(__xludf.DUMMYFUNCTION("""COMPUTED_VALUE"""),3.2)</f>
        <v>3.2</v>
      </c>
      <c r="D11222" s="8">
        <f ca="1">IFERROR(__xludf.DUMMYFUNCTION("""COMPUTED_VALUE"""),7)</f>
        <v>7</v>
      </c>
      <c r="E11222" s="2">
        <f ca="1">IFERROR(__xludf.DUMMYFUNCTION("""COMPUTED_VALUE"""),2)</f>
        <v>2</v>
      </c>
    </row>
    <row r="11223" spans="1:5" ht="13">
      <c r="A11223" s="2" t="str">
        <f ca="1">IFERROR(__xludf.DUMMYFUNCTION("""COMPUTED_VALUE"""),"Lakschevitz, Eduardo")</f>
        <v>Lakschevitz, Eduardo</v>
      </c>
      <c r="B11223" s="3">
        <f ca="1">IFERROR(__xludf.DUMMYFUNCTION("""COMPUTED_VALUE"""),3)</f>
        <v>3</v>
      </c>
      <c r="C11223" s="7">
        <f ca="1">IFERROR(__xludf.DUMMYFUNCTION("""COMPUTED_VALUE"""),3.2)</f>
        <v>3.2</v>
      </c>
      <c r="D11223" s="8">
        <f ca="1">IFERROR(__xludf.DUMMYFUNCTION("""COMPUTED_VALUE"""),3)</f>
        <v>3</v>
      </c>
      <c r="E11223" s="2">
        <f ca="1">IFERROR(__xludf.DUMMYFUNCTION("""COMPUTED_VALUE"""),1)</f>
        <v>1</v>
      </c>
    </row>
    <row r="11224" spans="1:5" ht="13">
      <c r="A11224" s="2" t="str">
        <f ca="1">IFERROR(__xludf.DUMMYFUNCTION("""COMPUTED_VALUE"""),"Lam, George")</f>
        <v>Lam, George</v>
      </c>
      <c r="B11224" s="3">
        <f ca="1">IFERROR(__xludf.DUMMYFUNCTION("""COMPUTED_VALUE"""),3)</f>
        <v>3</v>
      </c>
      <c r="C11224" s="7">
        <f ca="1">IFERROR(__xludf.DUMMYFUNCTION("""COMPUTED_VALUE"""),3.3)</f>
        <v>3.3</v>
      </c>
      <c r="D11224" s="8">
        <f ca="1">IFERROR(__xludf.DUMMYFUNCTION("""COMPUTED_VALUE"""),3)</f>
        <v>3</v>
      </c>
      <c r="E11224" s="2">
        <f ca="1">IFERROR(__xludf.DUMMYFUNCTION("""COMPUTED_VALUE"""),1)</f>
        <v>1</v>
      </c>
    </row>
    <row r="11225" spans="1:5" ht="13">
      <c r="A11225" s="2" t="str">
        <f ca="1">IFERROR(__xludf.DUMMYFUNCTION("""COMPUTED_VALUE"""),"Lam, George Tsz-Kwan")</f>
        <v>Lam, George Tsz-Kwan</v>
      </c>
      <c r="B11225" s="3">
        <f ca="1">IFERROR(__xludf.DUMMYFUNCTION("""COMPUTED_VALUE"""),3)</f>
        <v>3</v>
      </c>
      <c r="C11225" s="7">
        <f ca="1">IFERROR(__xludf.DUMMYFUNCTION("""COMPUTED_VALUE"""),3.3)</f>
        <v>3.3</v>
      </c>
      <c r="D11225" s="8">
        <f ca="1">IFERROR(__xludf.DUMMYFUNCTION("""COMPUTED_VALUE"""),3)</f>
        <v>3</v>
      </c>
      <c r="E11225" s="2">
        <f ca="1">IFERROR(__xludf.DUMMYFUNCTION("""COMPUTED_VALUE"""),1)</f>
        <v>1</v>
      </c>
    </row>
    <row r="11226" spans="1:5" ht="13">
      <c r="A11226" s="2" t="str">
        <f ca="1">IFERROR(__xludf.DUMMYFUNCTION("""COMPUTED_VALUE"""),"Lara, Agustín")</f>
        <v>Lara, Agustín</v>
      </c>
      <c r="B11226" s="2">
        <f ca="1">IFERROR(__xludf.DUMMYFUNCTION("""COMPUTED_VALUE"""),3)</f>
        <v>3</v>
      </c>
      <c r="C11226" s="7">
        <f ca="1">IFERROR(__xludf.DUMMYFUNCTION("""COMPUTED_VALUE"""),3.2)</f>
        <v>3.2</v>
      </c>
      <c r="D11226" s="8">
        <f ca="1">IFERROR(__xludf.DUMMYFUNCTION("""COMPUTED_VALUE"""),7)</f>
        <v>7</v>
      </c>
      <c r="E11226" s="2">
        <f ca="1">IFERROR(__xludf.DUMMYFUNCTION("""COMPUTED_VALUE"""),2)</f>
        <v>2</v>
      </c>
    </row>
    <row r="11227" spans="1:5" ht="13">
      <c r="A11227" s="2" t="str">
        <f ca="1">IFERROR(__xludf.DUMMYFUNCTION("""COMPUTED_VALUE"""),"Lara, Felipe")</f>
        <v>Lara, Felipe</v>
      </c>
      <c r="B11227" s="3">
        <f ca="1">IFERROR(__xludf.DUMMYFUNCTION("""COMPUTED_VALUE"""),3)</f>
        <v>3</v>
      </c>
      <c r="C11227" s="7">
        <f ca="1">IFERROR(__xludf.DUMMYFUNCTION("""COMPUTED_VALUE"""),3.2)</f>
        <v>3.2</v>
      </c>
      <c r="D11227" s="8">
        <f ca="1">IFERROR(__xludf.DUMMYFUNCTION("""COMPUTED_VALUE"""),3)</f>
        <v>3</v>
      </c>
      <c r="E11227" s="2">
        <f ca="1">IFERROR(__xludf.DUMMYFUNCTION("""COMPUTED_VALUE"""),1)</f>
        <v>1</v>
      </c>
    </row>
    <row r="11228" spans="1:5" ht="13">
      <c r="A11228" s="2" t="str">
        <f ca="1">IFERROR(__xludf.DUMMYFUNCTION("""COMPUTED_VALUE"""),"Larios, Cristian")</f>
        <v>Larios, Cristian</v>
      </c>
      <c r="B11228" s="3">
        <f ca="1">IFERROR(__xludf.DUMMYFUNCTION("""COMPUTED_VALUE"""),3)</f>
        <v>3</v>
      </c>
      <c r="C11228" s="7">
        <f ca="1">IFERROR(__xludf.DUMMYFUNCTION("""COMPUTED_VALUE"""),3.2)</f>
        <v>3.2</v>
      </c>
      <c r="D11228" s="8">
        <f ca="1">IFERROR(__xludf.DUMMYFUNCTION("""COMPUTED_VALUE"""),3)</f>
        <v>3</v>
      </c>
      <c r="E11228" s="2">
        <f ca="1">IFERROR(__xludf.DUMMYFUNCTION("""COMPUTED_VALUE"""),1)</f>
        <v>1</v>
      </c>
    </row>
    <row r="11229" spans="1:5" ht="13">
      <c r="A11229" s="8" t="str">
        <f ca="1">IFERROR(__xludf.DUMMYFUNCTION("""COMPUTED_VALUE"""),"Larrea, Gustavo")</f>
        <v>Larrea, Gustavo</v>
      </c>
      <c r="B11229" s="3">
        <f ca="1">IFERROR(__xludf.DUMMYFUNCTION("""COMPUTED_VALUE"""),3)</f>
        <v>3</v>
      </c>
      <c r="C11229" s="7">
        <f ca="1">IFERROR(__xludf.DUMMYFUNCTION("""COMPUTED_VALUE"""),3.2)</f>
        <v>3.2</v>
      </c>
      <c r="D11229" s="8">
        <f ca="1">IFERROR(__xludf.DUMMYFUNCTION("""COMPUTED_VALUE"""),3)</f>
        <v>3</v>
      </c>
      <c r="E11229" s="2">
        <f ca="1">IFERROR(__xludf.DUMMYFUNCTION("""COMPUTED_VALUE"""),1)</f>
        <v>1</v>
      </c>
    </row>
    <row r="11230" spans="1:5" ht="13">
      <c r="A11230" s="2" t="str">
        <f ca="1">IFERROR(__xludf.DUMMYFUNCTION("""COMPUTED_VALUE"""),"Lau, Kevin")</f>
        <v>Lau, Kevin</v>
      </c>
      <c r="B11230" s="3">
        <f ca="1">IFERROR(__xludf.DUMMYFUNCTION("""COMPUTED_VALUE"""),3)</f>
        <v>3</v>
      </c>
      <c r="C11230" s="7">
        <f ca="1">IFERROR(__xludf.DUMMYFUNCTION("""COMPUTED_VALUE"""),3.3)</f>
        <v>3.3</v>
      </c>
      <c r="D11230" s="8">
        <f ca="1">IFERROR(__xludf.DUMMYFUNCTION("""COMPUTED_VALUE"""),3)</f>
        <v>3</v>
      </c>
      <c r="E11230" s="2">
        <f ca="1">IFERROR(__xludf.DUMMYFUNCTION("""COMPUTED_VALUE"""),1)</f>
        <v>1</v>
      </c>
    </row>
    <row r="11231" spans="1:5" ht="13">
      <c r="A11231" s="2" t="str">
        <f ca="1">IFERROR(__xludf.DUMMYFUNCTION("""COMPUTED_VALUE"""),"Lauro, Antonio / Castillo, Paz")</f>
        <v>Lauro, Antonio / Castillo, Paz</v>
      </c>
      <c r="B11231" s="3">
        <f ca="1">IFERROR(__xludf.DUMMYFUNCTION("""COMPUTED_VALUE"""),3)</f>
        <v>3</v>
      </c>
      <c r="C11231" s="7">
        <f ca="1">IFERROR(__xludf.DUMMYFUNCTION("""COMPUTED_VALUE"""),3.2)</f>
        <v>3.2</v>
      </c>
      <c r="D11231" s="8">
        <f ca="1">IFERROR(__xludf.DUMMYFUNCTION("""COMPUTED_VALUE"""),7)</f>
        <v>7</v>
      </c>
      <c r="E11231" s="2">
        <f ca="1">IFERROR(__xludf.DUMMYFUNCTION("""COMPUTED_VALUE"""),2)</f>
        <v>2</v>
      </c>
    </row>
    <row r="11232" spans="1:5" ht="13">
      <c r="A11232" s="2" t="str">
        <f ca="1">IFERROR(__xludf.DUMMYFUNCTION("""COMPUTED_VALUE"""),"Lavista, Mario")</f>
        <v>Lavista, Mario</v>
      </c>
      <c r="B11232" s="3">
        <f ca="1">IFERROR(__xludf.DUMMYFUNCTION("""COMPUTED_VALUE"""),3)</f>
        <v>3</v>
      </c>
      <c r="C11232" s="7">
        <f ca="1">IFERROR(__xludf.DUMMYFUNCTION("""COMPUTED_VALUE"""),3.2)</f>
        <v>3.2</v>
      </c>
      <c r="D11232" s="8">
        <f ca="1">IFERROR(__xludf.DUMMYFUNCTION("""COMPUTED_VALUE"""),3)</f>
        <v>3</v>
      </c>
      <c r="E11232" s="2">
        <f ca="1">IFERROR(__xludf.DUMMYFUNCTION("""COMPUTED_VALUE"""),1)</f>
        <v>1</v>
      </c>
    </row>
    <row r="11233" spans="1:5" ht="13">
      <c r="A11233" s="2" t="str">
        <f ca="1">IFERROR(__xludf.DUMMYFUNCTION("""COMPUTED_VALUE"""),"Layton, Turner")</f>
        <v>Layton, Turner</v>
      </c>
      <c r="B11233" s="2">
        <f ca="1">IFERROR(__xludf.DUMMYFUNCTION("""COMPUTED_VALUE"""),3)</f>
        <v>3</v>
      </c>
      <c r="C11233" s="7">
        <f ca="1">IFERROR(__xludf.DUMMYFUNCTION("""COMPUTED_VALUE"""),3.1)</f>
        <v>3.1</v>
      </c>
      <c r="D11233" s="8">
        <f ca="1">IFERROR(__xludf.DUMMYFUNCTION("""COMPUTED_VALUE"""),7)</f>
        <v>7</v>
      </c>
      <c r="E11233" s="2">
        <f ca="1">IFERROR(__xludf.DUMMYFUNCTION("""COMPUTED_VALUE"""),2)</f>
        <v>2</v>
      </c>
    </row>
    <row r="11234" spans="1:5" ht="13">
      <c r="A11234" s="2" t="str">
        <f ca="1">IFERROR(__xludf.DUMMYFUNCTION("""COMPUTED_VALUE"""),"Layton, Turner / Creamer, Henry")</f>
        <v>Layton, Turner / Creamer, Henry</v>
      </c>
      <c r="B11234" s="2">
        <f ca="1">IFERROR(__xludf.DUMMYFUNCTION("""COMPUTED_VALUE"""),3)</f>
        <v>3</v>
      </c>
      <c r="C11234" s="7">
        <f ca="1">IFERROR(__xludf.DUMMYFUNCTION("""COMPUTED_VALUE"""),3.1)</f>
        <v>3.1</v>
      </c>
      <c r="D11234" s="8">
        <f ca="1">IFERROR(__xludf.DUMMYFUNCTION("""COMPUTED_VALUE"""),7)</f>
        <v>7</v>
      </c>
      <c r="E11234" s="2">
        <f ca="1">IFERROR(__xludf.DUMMYFUNCTION("""COMPUTED_VALUE"""),2)</f>
        <v>2</v>
      </c>
    </row>
    <row r="11235" spans="1:5" ht="13">
      <c r="A11235" s="2" t="str">
        <f ca="1">IFERROR(__xludf.DUMMYFUNCTION("""COMPUTED_VALUE"""),"Leach, Anthony")</f>
        <v>Leach, Anthony</v>
      </c>
      <c r="B11235" s="3">
        <f ca="1">IFERROR(__xludf.DUMMYFUNCTION("""COMPUTED_VALUE"""),3)</f>
        <v>3</v>
      </c>
      <c r="C11235" s="7">
        <f ca="1">IFERROR(__xludf.DUMMYFUNCTION("""COMPUTED_VALUE"""),3.1)</f>
        <v>3.1</v>
      </c>
      <c r="D11235" s="8">
        <f ca="1">IFERROR(__xludf.DUMMYFUNCTION("""COMPUTED_VALUE"""),3)</f>
        <v>3</v>
      </c>
      <c r="E11235" s="2">
        <f ca="1">IFERROR(__xludf.DUMMYFUNCTION("""COMPUTED_VALUE"""),1)</f>
        <v>1</v>
      </c>
    </row>
    <row r="11236" spans="1:5" ht="13">
      <c r="A11236" s="8" t="str">
        <f ca="1">IFERROR(__xludf.DUMMYFUNCTION("""COMPUTED_VALUE"""),"Leavell, Cedrick")</f>
        <v>Leavell, Cedrick</v>
      </c>
      <c r="B11236" s="3">
        <f ca="1">IFERROR(__xludf.DUMMYFUNCTION("""COMPUTED_VALUE"""),3)</f>
        <v>3</v>
      </c>
      <c r="C11236" s="7">
        <f ca="1">IFERROR(__xludf.DUMMYFUNCTION("""COMPUTED_VALUE"""),3.1)</f>
        <v>3.1</v>
      </c>
      <c r="D11236" s="8">
        <f ca="1">IFERROR(__xludf.DUMMYFUNCTION("""COMPUTED_VALUE"""),3)</f>
        <v>3</v>
      </c>
      <c r="E11236" s="2">
        <f ca="1">IFERROR(__xludf.DUMMYFUNCTION("""COMPUTED_VALUE"""),1)</f>
        <v>1</v>
      </c>
    </row>
    <row r="11237" spans="1:5" ht="13">
      <c r="A11237" s="2" t="str">
        <f ca="1">IFERROR(__xludf.DUMMYFUNCTION("""COMPUTED_VALUE"""),"Lecuona, Ernesto")</f>
        <v>Lecuona, Ernesto</v>
      </c>
      <c r="B11237" s="3">
        <f ca="1">IFERROR(__xludf.DUMMYFUNCTION("""COMPUTED_VALUE"""),3)</f>
        <v>3</v>
      </c>
      <c r="C11237" s="7">
        <f ca="1">IFERROR(__xludf.DUMMYFUNCTION("""COMPUTED_VALUE"""),3.2)</f>
        <v>3.2</v>
      </c>
      <c r="D11237" s="8">
        <f ca="1">IFERROR(__xludf.DUMMYFUNCTION("""COMPUTED_VALUE"""),7)</f>
        <v>7</v>
      </c>
      <c r="E11237" s="2">
        <f ca="1">IFERROR(__xludf.DUMMYFUNCTION("""COMPUTED_VALUE"""),2)</f>
        <v>2</v>
      </c>
    </row>
    <row r="11238" spans="1:5" ht="13">
      <c r="A11238" s="2" t="str">
        <f ca="1">IFERROR(__xludf.DUMMYFUNCTION("""COMPUTED_VALUE"""),"Ledbetter, Huddie")</f>
        <v>Ledbetter, Huddie</v>
      </c>
      <c r="B11238" s="2">
        <f ca="1">IFERROR(__xludf.DUMMYFUNCTION("""COMPUTED_VALUE"""),3)</f>
        <v>3</v>
      </c>
      <c r="C11238" s="7">
        <f ca="1">IFERROR(__xludf.DUMMYFUNCTION("""COMPUTED_VALUE"""),3.1)</f>
        <v>3.1</v>
      </c>
      <c r="D11238" s="8">
        <f ca="1">IFERROR(__xludf.DUMMYFUNCTION("""COMPUTED_VALUE"""),7)</f>
        <v>7</v>
      </c>
      <c r="E11238" s="2">
        <f ca="1">IFERROR(__xludf.DUMMYFUNCTION("""COMPUTED_VALUE"""),2)</f>
        <v>2</v>
      </c>
    </row>
    <row r="11239" spans="1:5" ht="13">
      <c r="A11239" s="2" t="str">
        <f ca="1">IFERROR(__xludf.DUMMYFUNCTION("""COMPUTED_VALUE"""),"Ledesma, Florencio / Oropesa, Rafael")</f>
        <v>Ledesma, Florencio / Oropesa, Rafael</v>
      </c>
      <c r="B11239" s="2">
        <f ca="1">IFERROR(__xludf.DUMMYFUNCTION("""COMPUTED_VALUE"""),3)</f>
        <v>3</v>
      </c>
      <c r="C11239" s="7">
        <f ca="1">IFERROR(__xludf.DUMMYFUNCTION("""COMPUTED_VALUE"""),3.2)</f>
        <v>3.2</v>
      </c>
      <c r="D11239" s="8">
        <f ca="1">IFERROR(__xludf.DUMMYFUNCTION("""COMPUTED_VALUE"""),7)</f>
        <v>7</v>
      </c>
      <c r="E11239" s="2">
        <f ca="1">IFERROR(__xludf.DUMMYFUNCTION("""COMPUTED_VALUE"""),2)</f>
        <v>2</v>
      </c>
    </row>
    <row r="11240" spans="1:5" ht="13">
      <c r="A11240" s="2" t="str">
        <f ca="1">IFERROR(__xludf.DUMMYFUNCTION("""COMPUTED_VALUE"""),"Lee III, James")</f>
        <v>Lee III, James</v>
      </c>
      <c r="B11240" s="3">
        <f ca="1">IFERROR(__xludf.DUMMYFUNCTION("""COMPUTED_VALUE"""),3)</f>
        <v>3</v>
      </c>
      <c r="C11240" s="7">
        <f ca="1">IFERROR(__xludf.DUMMYFUNCTION("""COMPUTED_VALUE"""),3.1)</f>
        <v>3.1</v>
      </c>
      <c r="D11240" s="8">
        <f ca="1">IFERROR(__xludf.DUMMYFUNCTION("""COMPUTED_VALUE"""),3)</f>
        <v>3</v>
      </c>
      <c r="E11240" s="2">
        <f ca="1">IFERROR(__xludf.DUMMYFUNCTION("""COMPUTED_VALUE"""),1)</f>
        <v>1</v>
      </c>
    </row>
    <row r="11241" spans="1:5" ht="13">
      <c r="A11241" s="2" t="str">
        <f ca="1">IFERROR(__xludf.DUMMYFUNCTION("""COMPUTED_VALUE"""),"Lee Jinjun")</f>
        <v>Lee Jinjun</v>
      </c>
      <c r="B11241" s="3">
        <f ca="1">IFERROR(__xludf.DUMMYFUNCTION("""COMPUTED_VALUE"""),3)</f>
        <v>3</v>
      </c>
      <c r="C11241" s="7">
        <f ca="1">IFERROR(__xludf.DUMMYFUNCTION("""COMPUTED_VALUE"""),3.3)</f>
        <v>3.3</v>
      </c>
      <c r="D11241" s="8">
        <f ca="1">IFERROR(__xludf.DUMMYFUNCTION("""COMPUTED_VALUE"""),3)</f>
        <v>3</v>
      </c>
      <c r="E11241" s="2">
        <f ca="1">IFERROR(__xludf.DUMMYFUNCTION("""COMPUTED_VALUE"""),1)</f>
        <v>1</v>
      </c>
    </row>
    <row r="11242" spans="1:5" ht="13">
      <c r="A11242" s="2" t="str">
        <f ca="1">IFERROR(__xludf.DUMMYFUNCTION("""COMPUTED_VALUE"""),"Lee Kar Tai, Phoebus")</f>
        <v>Lee Kar Tai, Phoebus</v>
      </c>
      <c r="B11242" s="2">
        <f ca="1">IFERROR(__xludf.DUMMYFUNCTION("""COMPUTED_VALUE"""),3)</f>
        <v>3</v>
      </c>
      <c r="C11242" s="7">
        <f ca="1">IFERROR(__xludf.DUMMYFUNCTION("""COMPUTED_VALUE"""),3.3)</f>
        <v>3.3</v>
      </c>
      <c r="D11242" s="8">
        <f ca="1">IFERROR(__xludf.DUMMYFUNCTION("""COMPUTED_VALUE"""),3)</f>
        <v>3</v>
      </c>
      <c r="E11242" s="2">
        <f ca="1">IFERROR(__xludf.DUMMYFUNCTION("""COMPUTED_VALUE"""),1)</f>
        <v>1</v>
      </c>
    </row>
    <row r="11243" spans="1:5" ht="13">
      <c r="A11243" s="2" t="str">
        <f ca="1">IFERROR(__xludf.DUMMYFUNCTION("""COMPUTED_VALUE"""),"Lee, Dai-Keong")</f>
        <v>Lee, Dai-Keong</v>
      </c>
      <c r="B11243" s="3">
        <f ca="1">IFERROR(__xludf.DUMMYFUNCTION("""COMPUTED_VALUE"""),3)</f>
        <v>3</v>
      </c>
      <c r="C11243" s="7">
        <f ca="1">IFERROR(__xludf.DUMMYFUNCTION("""COMPUTED_VALUE"""),3.3)</f>
        <v>3.3</v>
      </c>
      <c r="D11243" s="8">
        <f ca="1">IFERROR(__xludf.DUMMYFUNCTION("""COMPUTED_VALUE"""),7)</f>
        <v>7</v>
      </c>
      <c r="E11243" s="2">
        <f ca="1">IFERROR(__xludf.DUMMYFUNCTION("""COMPUTED_VALUE"""),2)</f>
        <v>2</v>
      </c>
    </row>
    <row r="11244" spans="1:5" ht="13">
      <c r="A11244" s="2" t="str">
        <f ca="1">IFERROR(__xludf.DUMMYFUNCTION("""COMPUTED_VALUE"""),"Lee, Geon-Yong")</f>
        <v>Lee, Geon-Yong</v>
      </c>
      <c r="B11244" s="3">
        <f ca="1">IFERROR(__xludf.DUMMYFUNCTION("""COMPUTED_VALUE"""),3)</f>
        <v>3</v>
      </c>
      <c r="C11244" s="7">
        <f ca="1">IFERROR(__xludf.DUMMYFUNCTION("""COMPUTED_VALUE"""),3.3)</f>
        <v>3.3</v>
      </c>
      <c r="D11244" s="8">
        <f ca="1">IFERROR(__xludf.DUMMYFUNCTION("""COMPUTED_VALUE"""),3)</f>
        <v>3</v>
      </c>
      <c r="E11244" s="2">
        <f ca="1">IFERROR(__xludf.DUMMYFUNCTION("""COMPUTED_VALUE"""),1)</f>
        <v>1</v>
      </c>
    </row>
    <row r="11245" spans="1:5" ht="13">
      <c r="A11245" s="2" t="str">
        <f ca="1">IFERROR(__xludf.DUMMYFUNCTION("""COMPUTED_VALUE"""),"Lee, Hojun")</f>
        <v>Lee, Hojun</v>
      </c>
      <c r="B11245" s="3">
        <f ca="1">IFERROR(__xludf.DUMMYFUNCTION("""COMPUTED_VALUE"""),3)</f>
        <v>3</v>
      </c>
      <c r="C11245" s="7">
        <f ca="1">IFERROR(__xludf.DUMMYFUNCTION("""COMPUTED_VALUE"""),3.3)</f>
        <v>3.3</v>
      </c>
      <c r="D11245" s="8">
        <f ca="1">IFERROR(__xludf.DUMMYFUNCTION("""COMPUTED_VALUE"""),3)</f>
        <v>3</v>
      </c>
      <c r="E11245" s="2">
        <f ca="1">IFERROR(__xludf.DUMMYFUNCTION("""COMPUTED_VALUE"""),1)</f>
        <v>1</v>
      </c>
    </row>
    <row r="11246" spans="1:5" ht="13">
      <c r="A11246" s="2" t="str">
        <f ca="1">IFERROR(__xludf.DUMMYFUNCTION("""COMPUTED_VALUE"""),"Lee, Jungsun")</f>
        <v>Lee, Jungsun</v>
      </c>
      <c r="B11246" s="3">
        <f ca="1">IFERROR(__xludf.DUMMYFUNCTION("""COMPUTED_VALUE"""),3)</f>
        <v>3</v>
      </c>
      <c r="C11246" s="7">
        <f ca="1">IFERROR(__xludf.DUMMYFUNCTION("""COMPUTED_VALUE"""),3.3)</f>
        <v>3.3</v>
      </c>
      <c r="D11246" s="8">
        <f ca="1">IFERROR(__xludf.DUMMYFUNCTION("""COMPUTED_VALUE"""),3)</f>
        <v>3</v>
      </c>
      <c r="E11246" s="2">
        <f ca="1">IFERROR(__xludf.DUMMYFUNCTION("""COMPUTED_VALUE"""),1)</f>
        <v>1</v>
      </c>
    </row>
    <row r="11247" spans="1:5" ht="13">
      <c r="A11247" s="2" t="str">
        <f ca="1">IFERROR(__xludf.DUMMYFUNCTION("""COMPUTED_VALUE"""),"Lee, Kui")</f>
        <v>Lee, Kui</v>
      </c>
      <c r="B11247" s="3">
        <f ca="1">IFERROR(__xludf.DUMMYFUNCTION("""COMPUTED_VALUE"""),3)</f>
        <v>3</v>
      </c>
      <c r="C11247" s="7">
        <f ca="1">IFERROR(__xludf.DUMMYFUNCTION("""COMPUTED_VALUE"""),3.6)</f>
        <v>3.6</v>
      </c>
      <c r="D11247" s="8">
        <f ca="1">IFERROR(__xludf.DUMMYFUNCTION("""COMPUTED_VALUE"""),7)</f>
        <v>7</v>
      </c>
      <c r="E11247" s="2">
        <f ca="1">IFERROR(__xludf.DUMMYFUNCTION("""COMPUTED_VALUE"""),2)</f>
        <v>2</v>
      </c>
    </row>
    <row r="11248" spans="1:5" ht="13">
      <c r="A11248" s="2" t="str">
        <f ca="1">IFERROR(__xludf.DUMMYFUNCTION("""COMPUTED_VALUE"""),"Lee, Michael")</f>
        <v>Lee, Michael</v>
      </c>
      <c r="B11248" s="2">
        <f ca="1">IFERROR(__xludf.DUMMYFUNCTION("""COMPUTED_VALUE"""),3)</f>
        <v>3</v>
      </c>
      <c r="C11248" s="7">
        <f ca="1">IFERROR(__xludf.DUMMYFUNCTION("""COMPUTED_VALUE"""),3.3)</f>
        <v>3.3</v>
      </c>
      <c r="D11248" s="8">
        <f ca="1">IFERROR(__xludf.DUMMYFUNCTION("""COMPUTED_VALUE"""),3)</f>
        <v>3</v>
      </c>
      <c r="E11248" s="2">
        <f ca="1">IFERROR(__xludf.DUMMYFUNCTION("""COMPUTED_VALUE"""),1)</f>
        <v>1</v>
      </c>
    </row>
    <row r="11249" spans="1:5" ht="13">
      <c r="A11249" s="2" t="str">
        <f ca="1">IFERROR(__xludf.DUMMYFUNCTION("""COMPUTED_VALUE"""),"Lee, Misol")</f>
        <v>Lee, Misol</v>
      </c>
      <c r="B11249" s="2">
        <f ca="1">IFERROR(__xludf.DUMMYFUNCTION("""COMPUTED_VALUE"""),3)</f>
        <v>3</v>
      </c>
      <c r="C11249" s="2">
        <f ca="1">IFERROR(__xludf.DUMMYFUNCTION("""COMPUTED_VALUE"""),3.3)</f>
        <v>3.3</v>
      </c>
      <c r="D11249" s="8">
        <f ca="1">IFERROR(__xludf.DUMMYFUNCTION("""COMPUTED_VALUE"""),3)</f>
        <v>3</v>
      </c>
      <c r="E11249" s="2">
        <f ca="1">IFERROR(__xludf.DUMMYFUNCTION("""COMPUTED_VALUE"""),1)</f>
        <v>1</v>
      </c>
    </row>
    <row r="11250" spans="1:5" ht="13">
      <c r="A11250" s="2" t="str">
        <f ca="1">IFERROR(__xludf.DUMMYFUNCTION("""COMPUTED_VALUE"""),"Lee, Sunghyun")</f>
        <v>Lee, Sunghyun</v>
      </c>
      <c r="B11250" s="3">
        <f ca="1">IFERROR(__xludf.DUMMYFUNCTION("""COMPUTED_VALUE"""),3)</f>
        <v>3</v>
      </c>
      <c r="C11250" s="7">
        <f ca="1">IFERROR(__xludf.DUMMYFUNCTION("""COMPUTED_VALUE"""),3.3)</f>
        <v>3.3</v>
      </c>
      <c r="D11250" s="8">
        <f ca="1">IFERROR(__xludf.DUMMYFUNCTION("""COMPUTED_VALUE"""),3)</f>
        <v>3</v>
      </c>
      <c r="E11250" s="2">
        <f ca="1">IFERROR(__xludf.DUMMYFUNCTION("""COMPUTED_VALUE"""),1)</f>
        <v>1</v>
      </c>
    </row>
    <row r="11251" spans="1:5" ht="13">
      <c r="A11251" s="2" t="str">
        <f ca="1">IFERROR(__xludf.DUMMYFUNCTION("""COMPUTED_VALUE"""),"Lee, Zachary")</f>
        <v>Lee, Zachary</v>
      </c>
      <c r="B11251" s="2">
        <f ca="1">IFERROR(__xludf.DUMMYFUNCTION("""COMPUTED_VALUE"""),3)</f>
        <v>3</v>
      </c>
      <c r="C11251" s="7">
        <f ca="1">IFERROR(__xludf.DUMMYFUNCTION("""COMPUTED_VALUE"""),3.1)</f>
        <v>3.1</v>
      </c>
      <c r="D11251" s="8">
        <f ca="1">IFERROR(__xludf.DUMMYFUNCTION("""COMPUTED_VALUE"""),3)</f>
        <v>3</v>
      </c>
      <c r="E11251" s="2">
        <f ca="1">IFERROR(__xludf.DUMMYFUNCTION("""COMPUTED_VALUE"""),1)</f>
        <v>1</v>
      </c>
    </row>
    <row r="11252" spans="1:5" ht="13">
      <c r="A11252" s="2" t="str">
        <f ca="1">IFERROR(__xludf.DUMMYFUNCTION("""COMPUTED_VALUE"""),"Legend, John / Common")</f>
        <v>Legend, John / Common</v>
      </c>
      <c r="B11252" s="3">
        <f ca="1">IFERROR(__xludf.DUMMYFUNCTION("""COMPUTED_VALUE"""),3)</f>
        <v>3</v>
      </c>
      <c r="C11252" s="7">
        <f ca="1">IFERROR(__xludf.DUMMYFUNCTION("""COMPUTED_VALUE"""),3.1)</f>
        <v>3.1</v>
      </c>
      <c r="D11252" s="8">
        <f ca="1">IFERROR(__xludf.DUMMYFUNCTION("""COMPUTED_VALUE"""),3)</f>
        <v>3</v>
      </c>
      <c r="E11252" s="2">
        <f ca="1">IFERROR(__xludf.DUMMYFUNCTION("""COMPUTED_VALUE"""),1)</f>
        <v>1</v>
      </c>
    </row>
    <row r="11253" spans="1:5" ht="13">
      <c r="A11253" s="2" t="str">
        <f ca="1">IFERROR(__xludf.DUMMYFUNCTION("""COMPUTED_VALUE"""),"Legend, John; Common; and Rhymefest")</f>
        <v>Legend, John; Common; and Rhymefest</v>
      </c>
      <c r="B11253" s="2">
        <f ca="1">IFERROR(__xludf.DUMMYFUNCTION("""COMPUTED_VALUE"""),3)</f>
        <v>3</v>
      </c>
      <c r="C11253" s="7">
        <f ca="1">IFERROR(__xludf.DUMMYFUNCTION("""COMPUTED_VALUE"""),3.1)</f>
        <v>3.1</v>
      </c>
      <c r="D11253" s="8">
        <f ca="1">IFERROR(__xludf.DUMMYFUNCTION("""COMPUTED_VALUE"""),3)</f>
        <v>3</v>
      </c>
      <c r="E11253" s="2">
        <f ca="1">IFERROR(__xludf.DUMMYFUNCTION("""COMPUTED_VALUE"""),1)</f>
        <v>1</v>
      </c>
    </row>
    <row r="11254" spans="1:5" ht="13">
      <c r="A11254" s="8" t="str">
        <f ca="1">IFERROR(__xludf.DUMMYFUNCTION("""COMPUTED_VALUE"""),"Lei Liang")</f>
        <v>Lei Liang</v>
      </c>
      <c r="B11254" s="2">
        <f ca="1">IFERROR(__xludf.DUMMYFUNCTION("""COMPUTED_VALUE"""),3)</f>
        <v>3</v>
      </c>
      <c r="C11254" s="7">
        <f ca="1">IFERROR(__xludf.DUMMYFUNCTION("""COMPUTED_VALUE"""),3.3)</f>
        <v>3.3</v>
      </c>
      <c r="D11254" s="8">
        <f ca="1">IFERROR(__xludf.DUMMYFUNCTION("""COMPUTED_VALUE"""),3)</f>
        <v>3</v>
      </c>
      <c r="E11254" s="2">
        <f ca="1">IFERROR(__xludf.DUMMYFUNCTION("""COMPUTED_VALUE"""),1)</f>
        <v>1</v>
      </c>
    </row>
    <row r="11255" spans="1:5" ht="13">
      <c r="A11255" s="8" t="str">
        <f ca="1">IFERROR(__xludf.DUMMYFUNCTION("""COMPUTED_VALUE"""),"Leite, Marcos")</f>
        <v>Leite, Marcos</v>
      </c>
      <c r="B11255" s="3">
        <f ca="1">IFERROR(__xludf.DUMMYFUNCTION("""COMPUTED_VALUE"""),3)</f>
        <v>3</v>
      </c>
      <c r="C11255" s="7">
        <f ca="1">IFERROR(__xludf.DUMMYFUNCTION("""COMPUTED_VALUE"""),3.2)</f>
        <v>3.2</v>
      </c>
      <c r="D11255" s="8">
        <f ca="1">IFERROR(__xludf.DUMMYFUNCTION("""COMPUTED_VALUE"""),7)</f>
        <v>7</v>
      </c>
      <c r="E11255" s="2">
        <f ca="1">IFERROR(__xludf.DUMMYFUNCTION("""COMPUTED_VALUE"""),2)</f>
        <v>2</v>
      </c>
    </row>
    <row r="11256" spans="1:5" ht="13">
      <c r="A11256" s="2" t="str">
        <f ca="1">IFERROR(__xludf.DUMMYFUNCTION("""COMPUTED_VALUE"""),"Leng, Alfonso")</f>
        <v>Leng, Alfonso</v>
      </c>
      <c r="B11256" s="3">
        <f ca="1">IFERROR(__xludf.DUMMYFUNCTION("""COMPUTED_VALUE"""),3)</f>
        <v>3</v>
      </c>
      <c r="C11256" s="7">
        <f ca="1">IFERROR(__xludf.DUMMYFUNCTION("""COMPUTED_VALUE"""),3.2)</f>
        <v>3.2</v>
      </c>
      <c r="D11256" s="8">
        <f ca="1">IFERROR(__xludf.DUMMYFUNCTION("""COMPUTED_VALUE"""),7)</f>
        <v>7</v>
      </c>
      <c r="E11256" s="2">
        <f ca="1">IFERROR(__xludf.DUMMYFUNCTION("""COMPUTED_VALUE"""),2)</f>
        <v>2</v>
      </c>
    </row>
    <row r="11257" spans="1:5" ht="13">
      <c r="A11257" s="2" t="str">
        <f ca="1">IFERROR(__xludf.DUMMYFUNCTION("""COMPUTED_VALUE"""),"Lennox, Miles")</f>
        <v>Lennox, Miles</v>
      </c>
      <c r="B11257" s="2">
        <f ca="1">IFERROR(__xludf.DUMMYFUNCTION("""COMPUTED_VALUE"""),3)</f>
        <v>3</v>
      </c>
      <c r="C11257" s="7">
        <f ca="1">IFERROR(__xludf.DUMMYFUNCTION("""COMPUTED_VALUE"""),3.1)</f>
        <v>3.1</v>
      </c>
      <c r="D11257" s="8">
        <f ca="1">IFERROR(__xludf.DUMMYFUNCTION("""COMPUTED_VALUE"""),3)</f>
        <v>3</v>
      </c>
      <c r="E11257" s="2">
        <f ca="1">IFERROR(__xludf.DUMMYFUNCTION("""COMPUTED_VALUE"""),1)</f>
        <v>1</v>
      </c>
    </row>
    <row r="11258" spans="1:5" ht="13">
      <c r="A11258" s="2" t="str">
        <f ca="1">IFERROR(__xludf.DUMMYFUNCTION("""COMPUTED_VALUE"""),"Leon, Adi")</f>
        <v>Leon, Adi</v>
      </c>
      <c r="B11258" s="2">
        <f ca="1">IFERROR(__xludf.DUMMYFUNCTION("""COMPUTED_VALUE"""),3)</f>
        <v>3</v>
      </c>
      <c r="C11258" s="7">
        <f ca="1">IFERROR(__xludf.DUMMYFUNCTION("""COMPUTED_VALUE"""),3.5)</f>
        <v>3.5</v>
      </c>
      <c r="D11258" s="8">
        <f ca="1">IFERROR(__xludf.DUMMYFUNCTION("""COMPUTED_VALUE"""),3)</f>
        <v>3</v>
      </c>
      <c r="E11258" s="2">
        <f ca="1">IFERROR(__xludf.DUMMYFUNCTION("""COMPUTED_VALUE"""),1)</f>
        <v>1</v>
      </c>
    </row>
    <row r="11259" spans="1:5" ht="13">
      <c r="A11259" s="2" t="str">
        <f ca="1">IFERROR(__xludf.DUMMYFUNCTION("""COMPUTED_VALUE"""),"León, Mario Diaz de")</f>
        <v>León, Mario Diaz de</v>
      </c>
      <c r="B11259" s="3">
        <f ca="1">IFERROR(__xludf.DUMMYFUNCTION("""COMPUTED_VALUE"""),3)</f>
        <v>3</v>
      </c>
      <c r="C11259" s="7">
        <f ca="1">IFERROR(__xludf.DUMMYFUNCTION("""COMPUTED_VALUE"""),3.2)</f>
        <v>3.2</v>
      </c>
      <c r="D11259" s="8">
        <f ca="1">IFERROR(__xludf.DUMMYFUNCTION("""COMPUTED_VALUE"""),3)</f>
        <v>3</v>
      </c>
      <c r="E11259" s="2">
        <f ca="1">IFERROR(__xludf.DUMMYFUNCTION("""COMPUTED_VALUE"""),1)</f>
        <v>1</v>
      </c>
    </row>
    <row r="11260" spans="1:5" ht="13">
      <c r="A11260" s="2" t="str">
        <f ca="1">IFERROR(__xludf.DUMMYFUNCTION("""COMPUTED_VALUE"""),"Lett, Colin")</f>
        <v>Lett, Colin</v>
      </c>
      <c r="B11260" s="2">
        <f ca="1">IFERROR(__xludf.DUMMYFUNCTION("""COMPUTED_VALUE"""),3)</f>
        <v>3</v>
      </c>
      <c r="C11260" s="7">
        <f ca="1">IFERROR(__xludf.DUMMYFUNCTION("""COMPUTED_VALUE"""),3.1)</f>
        <v>3.1</v>
      </c>
      <c r="D11260" s="8">
        <f ca="1">IFERROR(__xludf.DUMMYFUNCTION("""COMPUTED_VALUE"""),3)</f>
        <v>3</v>
      </c>
      <c r="E11260" s="2">
        <f ca="1">IFERROR(__xludf.DUMMYFUNCTION("""COMPUTED_VALUE"""),1)</f>
        <v>1</v>
      </c>
    </row>
    <row r="11261" spans="1:5" ht="13">
      <c r="A11261" s="2" t="str">
        <f ca="1">IFERROR(__xludf.DUMMYFUNCTION("""COMPUTED_VALUE"""),"Lewis, George E.")</f>
        <v>Lewis, George E.</v>
      </c>
      <c r="B11261" s="2">
        <f ca="1">IFERROR(__xludf.DUMMYFUNCTION("""COMPUTED_VALUE"""),3)</f>
        <v>3</v>
      </c>
      <c r="C11261" s="7">
        <f ca="1">IFERROR(__xludf.DUMMYFUNCTION("""COMPUTED_VALUE"""),3.1)</f>
        <v>3.1</v>
      </c>
      <c r="D11261" s="8">
        <f ca="1">IFERROR(__xludf.DUMMYFUNCTION("""COMPUTED_VALUE"""),3)</f>
        <v>3</v>
      </c>
      <c r="E11261" s="2">
        <f ca="1">IFERROR(__xludf.DUMMYFUNCTION("""COMPUTED_VALUE"""),1)</f>
        <v>1</v>
      </c>
    </row>
    <row r="11262" spans="1:5" ht="13">
      <c r="A11262" s="2" t="str">
        <f ca="1">IFERROR(__xludf.DUMMYFUNCTION("""COMPUTED_VALUE"""),"Lewis, John")</f>
        <v>Lewis, John</v>
      </c>
      <c r="B11262" s="2">
        <f ca="1">IFERROR(__xludf.DUMMYFUNCTION("""COMPUTED_VALUE"""),3)</f>
        <v>3</v>
      </c>
      <c r="C11262" s="7">
        <f ca="1">IFERROR(__xludf.DUMMYFUNCTION("""COMPUTED_VALUE"""),3.1)</f>
        <v>3.1</v>
      </c>
      <c r="D11262" s="8">
        <f ca="1">IFERROR(__xludf.DUMMYFUNCTION("""COMPUTED_VALUE"""),7)</f>
        <v>7</v>
      </c>
      <c r="E11262" s="2">
        <f ca="1">IFERROR(__xludf.DUMMYFUNCTION("""COMPUTED_VALUE"""),2)</f>
        <v>2</v>
      </c>
    </row>
    <row r="11263" spans="1:5" ht="13">
      <c r="A11263" s="8" t="str">
        <f ca="1">IFERROR(__xludf.DUMMYFUNCTION("""COMPUTED_VALUE"""),"Lewis, Ramsey")</f>
        <v>Lewis, Ramsey</v>
      </c>
      <c r="B11263" s="3">
        <f ca="1">IFERROR(__xludf.DUMMYFUNCTION("""COMPUTED_VALUE"""),3)</f>
        <v>3</v>
      </c>
      <c r="C11263" s="7">
        <f ca="1">IFERROR(__xludf.DUMMYFUNCTION("""COMPUTED_VALUE"""),3.1)</f>
        <v>3.1</v>
      </c>
      <c r="D11263" s="8">
        <f ca="1">IFERROR(__xludf.DUMMYFUNCTION("""COMPUTED_VALUE"""),7)</f>
        <v>7</v>
      </c>
      <c r="E11263" s="2">
        <f ca="1">IFERROR(__xludf.DUMMYFUNCTION("""COMPUTED_VALUE"""),2)</f>
        <v>2</v>
      </c>
    </row>
    <row r="11264" spans="1:5" ht="13">
      <c r="A11264" s="8" t="str">
        <f ca="1">IFERROR(__xludf.DUMMYFUNCTION("""COMPUTED_VALUE"""),"Lewis, Victor")</f>
        <v>Lewis, Victor</v>
      </c>
      <c r="B11264" s="3">
        <f ca="1">IFERROR(__xludf.DUMMYFUNCTION("""COMPUTED_VALUE"""),3)</f>
        <v>3</v>
      </c>
      <c r="C11264" s="7">
        <f ca="1">IFERROR(__xludf.DUMMYFUNCTION("""COMPUTED_VALUE"""),3.1)</f>
        <v>3.1</v>
      </c>
      <c r="D11264" s="8">
        <f ca="1">IFERROR(__xludf.DUMMYFUNCTION("""COMPUTED_VALUE"""),3)</f>
        <v>3</v>
      </c>
      <c r="E11264" s="2">
        <f ca="1">IFERROR(__xludf.DUMMYFUNCTION("""COMPUTED_VALUE"""),1)</f>
        <v>1</v>
      </c>
    </row>
    <row r="11265" spans="1:5" ht="13">
      <c r="A11265" s="2" t="str">
        <f ca="1">IFERROR(__xludf.DUMMYFUNCTION("""COMPUTED_VALUE"""),"Lewis, Weston")</f>
        <v>Lewis, Weston</v>
      </c>
      <c r="B11265" s="3">
        <f ca="1">IFERROR(__xludf.DUMMYFUNCTION("""COMPUTED_VALUE"""),3)</f>
        <v>3</v>
      </c>
      <c r="C11265" s="7">
        <f ca="1">IFERROR(__xludf.DUMMYFUNCTION("""COMPUTED_VALUE"""),3.1)</f>
        <v>3.1</v>
      </c>
      <c r="D11265" s="8">
        <f ca="1">IFERROR(__xludf.DUMMYFUNCTION("""COMPUTED_VALUE"""),3)</f>
        <v>3</v>
      </c>
      <c r="E11265" s="2">
        <f ca="1">IFERROR(__xludf.DUMMYFUNCTION("""COMPUTED_VALUE"""),1)</f>
        <v>1</v>
      </c>
    </row>
    <row r="11266" spans="1:5" ht="13">
      <c r="A11266" s="2" t="str">
        <f ca="1">IFERROR(__xludf.DUMMYFUNCTION("""COMPUTED_VALUE"""),"Leysath II, Kevin")</f>
        <v>Leysath II, Kevin</v>
      </c>
      <c r="B11266" s="3">
        <f ca="1">IFERROR(__xludf.DUMMYFUNCTION("""COMPUTED_VALUE"""),3)</f>
        <v>3</v>
      </c>
      <c r="C11266" s="7">
        <f ca="1">IFERROR(__xludf.DUMMYFUNCTION("""COMPUTED_VALUE"""),3.1)</f>
        <v>3.1</v>
      </c>
      <c r="D11266" s="8">
        <f ca="1">IFERROR(__xludf.DUMMYFUNCTION("""COMPUTED_VALUE"""),3)</f>
        <v>3</v>
      </c>
      <c r="E11266" s="2">
        <f ca="1">IFERROR(__xludf.DUMMYFUNCTION("""COMPUTED_VALUE"""),1)</f>
        <v>1</v>
      </c>
    </row>
    <row r="11267" spans="1:5" ht="13">
      <c r="A11267" s="2" t="str">
        <f ca="1">IFERROR(__xludf.DUMMYFUNCTION("""COMPUTED_VALUE"""),"Lezcano, José")</f>
        <v>Lezcano, José</v>
      </c>
      <c r="B11267" s="3">
        <f ca="1">IFERROR(__xludf.DUMMYFUNCTION("""COMPUTED_VALUE"""),3)</f>
        <v>3</v>
      </c>
      <c r="C11267" s="7">
        <f ca="1">IFERROR(__xludf.DUMMYFUNCTION("""COMPUTED_VALUE"""),3.2)</f>
        <v>3.2</v>
      </c>
      <c r="D11267" s="8">
        <f ca="1">IFERROR(__xludf.DUMMYFUNCTION("""COMPUTED_VALUE"""),3)</f>
        <v>3</v>
      </c>
      <c r="E11267" s="2">
        <f ca="1">IFERROR(__xludf.DUMMYFUNCTION("""COMPUTED_VALUE"""),1)</f>
        <v>1</v>
      </c>
    </row>
    <row r="11268" spans="1:5" ht="13">
      <c r="A11268" s="2" t="str">
        <f ca="1">IFERROR(__xludf.DUMMYFUNCTION("""COMPUTED_VALUE"""),"Li Huanzhi")</f>
        <v>Li Huanzhi</v>
      </c>
      <c r="B11268" s="3">
        <f ca="1">IFERROR(__xludf.DUMMYFUNCTION("""COMPUTED_VALUE"""),3)</f>
        <v>3</v>
      </c>
      <c r="C11268" s="7">
        <f ca="1">IFERROR(__xludf.DUMMYFUNCTION("""COMPUTED_VALUE"""),3.3)</f>
        <v>3.3</v>
      </c>
      <c r="D11268" s="8">
        <f ca="1">IFERROR(__xludf.DUMMYFUNCTION("""COMPUTED_VALUE"""),7)</f>
        <v>7</v>
      </c>
      <c r="E11268" s="2">
        <f ca="1">IFERROR(__xludf.DUMMYFUNCTION("""COMPUTED_VALUE"""),2)</f>
        <v>2</v>
      </c>
    </row>
    <row r="11269" spans="1:5" ht="13">
      <c r="A11269" s="2" t="str">
        <f ca="1">IFERROR(__xludf.DUMMYFUNCTION("""COMPUTED_VALUE"""),"Li Shaosheng")</f>
        <v>Li Shaosheng</v>
      </c>
      <c r="B11269" s="2">
        <f ca="1">IFERROR(__xludf.DUMMYFUNCTION("""COMPUTED_VALUE"""),3)</f>
        <v>3</v>
      </c>
      <c r="C11269" s="2">
        <f ca="1">IFERROR(__xludf.DUMMYFUNCTION("""COMPUTED_VALUE"""),3.3)</f>
        <v>3.3</v>
      </c>
      <c r="D11269" s="8">
        <f ca="1">IFERROR(__xludf.DUMMYFUNCTION("""COMPUTED_VALUE"""),3)</f>
        <v>3</v>
      </c>
      <c r="E11269" s="2">
        <f ca="1">IFERROR(__xludf.DUMMYFUNCTION("""COMPUTED_VALUE"""),1)</f>
        <v>1</v>
      </c>
    </row>
    <row r="11270" spans="1:5" ht="13">
      <c r="A11270" s="2" t="str">
        <f ca="1">IFERROR(__xludf.DUMMYFUNCTION("""COMPUTED_VALUE"""),"Li, Chan and Qu, Chengjiu")</f>
        <v>Li, Chan and Qu, Chengjiu</v>
      </c>
      <c r="B11270" s="3">
        <f ca="1">IFERROR(__xludf.DUMMYFUNCTION("""COMPUTED_VALUE"""),3)</f>
        <v>3</v>
      </c>
      <c r="C11270" s="7">
        <f ca="1">IFERROR(__xludf.DUMMYFUNCTION("""COMPUTED_VALUE"""),3.3)</f>
        <v>3.3</v>
      </c>
      <c r="D11270" s="8">
        <f ca="1">IFERROR(__xludf.DUMMYFUNCTION("""COMPUTED_VALUE"""),3)</f>
        <v>3</v>
      </c>
      <c r="E11270" s="2">
        <f ca="1">IFERROR(__xludf.DUMMYFUNCTION("""COMPUTED_VALUE"""),1)</f>
        <v>1</v>
      </c>
    </row>
    <row r="11271" spans="1:5" ht="13">
      <c r="A11271" s="2" t="str">
        <f ca="1">IFERROR(__xludf.DUMMYFUNCTION("""COMPUTED_VALUE"""),"Liʻaokeaumoe Kalāinaina, Samuel")</f>
        <v>Liʻaokeaumoe Kalāinaina, Samuel</v>
      </c>
      <c r="B11271" s="3">
        <f ca="1">IFERROR(__xludf.DUMMYFUNCTION("""COMPUTED_VALUE"""),3)</f>
        <v>3</v>
      </c>
      <c r="C11271" s="7">
        <f ca="1">IFERROR(__xludf.DUMMYFUNCTION("""COMPUTED_VALUE"""),3.7)</f>
        <v>3.7</v>
      </c>
      <c r="D11271" s="8">
        <f ca="1">IFERROR(__xludf.DUMMYFUNCTION("""COMPUTED_VALUE"""),7)</f>
        <v>7</v>
      </c>
      <c r="E11271" s="2">
        <f ca="1">IFERROR(__xludf.DUMMYFUNCTION("""COMPUTED_VALUE"""),2)</f>
        <v>2</v>
      </c>
    </row>
    <row r="11272" spans="1:5" ht="13">
      <c r="A11272" s="2" t="str">
        <f ca="1">IFERROR(__xludf.DUMMYFUNCTION("""COMPUTED_VALUE"""),"Lim, Darius")</f>
        <v>Lim, Darius</v>
      </c>
      <c r="B11272" s="2">
        <f ca="1">IFERROR(__xludf.DUMMYFUNCTION("""COMPUTED_VALUE"""),3)</f>
        <v>3</v>
      </c>
      <c r="C11272" s="7">
        <f ca="1">IFERROR(__xludf.DUMMYFUNCTION("""COMPUTED_VALUE"""),3.3)</f>
        <v>3.3</v>
      </c>
      <c r="D11272" s="8">
        <f ca="1">IFERROR(__xludf.DUMMYFUNCTION("""COMPUTED_VALUE"""),3)</f>
        <v>3</v>
      </c>
      <c r="E11272" s="2">
        <f ca="1">IFERROR(__xludf.DUMMYFUNCTION("""COMPUTED_VALUE"""),1)</f>
        <v>1</v>
      </c>
    </row>
    <row r="11273" spans="1:5" ht="13">
      <c r="A11273" s="2" t="str">
        <f ca="1">IFERROR(__xludf.DUMMYFUNCTION("""COMPUTED_VALUE"""),"Lim, Joseph")</f>
        <v>Lim, Joseph</v>
      </c>
      <c r="B11273" s="2">
        <f ca="1">IFERROR(__xludf.DUMMYFUNCTION("""COMPUTED_VALUE"""),3)</f>
        <v>3</v>
      </c>
      <c r="C11273" s="7">
        <f ca="1">IFERROR(__xludf.DUMMYFUNCTION("""COMPUTED_VALUE"""),3.3)</f>
        <v>3.3</v>
      </c>
      <c r="D11273" s="8">
        <f ca="1">IFERROR(__xludf.DUMMYFUNCTION("""COMPUTED_VALUE"""),3)</f>
        <v>3</v>
      </c>
      <c r="E11273" s="2">
        <f ca="1">IFERROR(__xludf.DUMMYFUNCTION("""COMPUTED_VALUE"""),1)</f>
        <v>1</v>
      </c>
    </row>
    <row r="11274" spans="1:5" ht="13">
      <c r="A11274" s="2" t="str">
        <f ca="1">IFERROR(__xludf.DUMMYFUNCTION("""COMPUTED_VALUE"""),"Lima, Paulo Costa")</f>
        <v>Lima, Paulo Costa</v>
      </c>
      <c r="B11274" s="3">
        <f ca="1">IFERROR(__xludf.DUMMYFUNCTION("""COMPUTED_VALUE"""),3)</f>
        <v>3</v>
      </c>
      <c r="C11274" s="7">
        <f ca="1">IFERROR(__xludf.DUMMYFUNCTION("""COMPUTED_VALUE"""),3.2)</f>
        <v>3.2</v>
      </c>
      <c r="D11274" s="8">
        <f ca="1">IFERROR(__xludf.DUMMYFUNCTION("""COMPUTED_VALUE"""),3)</f>
        <v>3</v>
      </c>
      <c r="E11274" s="2">
        <f ca="1">IFERROR(__xludf.DUMMYFUNCTION("""COMPUTED_VALUE"""),1)</f>
        <v>1</v>
      </c>
    </row>
    <row r="11275" spans="1:5" ht="13">
      <c r="A11275" s="2" t="str">
        <f ca="1">IFERROR(__xludf.DUMMYFUNCTION("""COMPUTED_VALUE"""),"Lin Chin Cheng")</f>
        <v>Lin Chin Cheng</v>
      </c>
      <c r="B11275" s="3">
        <f ca="1">IFERROR(__xludf.DUMMYFUNCTION("""COMPUTED_VALUE"""),3)</f>
        <v>3</v>
      </c>
      <c r="C11275" s="7">
        <f ca="1">IFERROR(__xludf.DUMMYFUNCTION("""COMPUTED_VALUE"""),3.3)</f>
        <v>3.3</v>
      </c>
      <c r="D11275" s="8">
        <f ca="1">IFERROR(__xludf.DUMMYFUNCTION("""COMPUTED_VALUE"""),3)</f>
        <v>3</v>
      </c>
      <c r="E11275" s="2">
        <f ca="1">IFERROR(__xludf.DUMMYFUNCTION("""COMPUTED_VALUE"""),1)</f>
        <v>1</v>
      </c>
    </row>
    <row r="11276" spans="1:5" ht="13">
      <c r="A11276" s="8" t="str">
        <f ca="1">IFERROR(__xludf.DUMMYFUNCTION("""COMPUTED_VALUE"""),"Lin-Manuel Miranda / Winkworth")</f>
        <v>Lin-Manuel Miranda / Winkworth</v>
      </c>
      <c r="B11276" s="3">
        <f ca="1">IFERROR(__xludf.DUMMYFUNCTION("""COMPUTED_VALUE"""),3)</f>
        <v>3</v>
      </c>
      <c r="C11276" s="7">
        <f ca="1">IFERROR(__xludf.DUMMYFUNCTION("""COMPUTED_VALUE"""),3.2)</f>
        <v>3.2</v>
      </c>
      <c r="D11276" s="8">
        <f ca="1">IFERROR(__xludf.DUMMYFUNCTION("""COMPUTED_VALUE"""),3)</f>
        <v>3</v>
      </c>
      <c r="E11276" s="2">
        <f ca="1">IFERROR(__xludf.DUMMYFUNCTION("""COMPUTED_VALUE"""),1)</f>
        <v>1</v>
      </c>
    </row>
    <row r="11277" spans="1:5" ht="13">
      <c r="A11277" s="2" t="str">
        <f ca="1">IFERROR(__xludf.DUMMYFUNCTION("""COMPUTED_VALUE"""),"Lin-Manuel, Miranda,")</f>
        <v>Lin-Manuel, Miranda,</v>
      </c>
      <c r="B11277" s="2">
        <f ca="1">IFERROR(__xludf.DUMMYFUNCTION("""COMPUTED_VALUE"""),3)</f>
        <v>3</v>
      </c>
      <c r="C11277" s="7">
        <f ca="1">IFERROR(__xludf.DUMMYFUNCTION("""COMPUTED_VALUE"""),3.2)</f>
        <v>3.2</v>
      </c>
      <c r="D11277" s="8">
        <f ca="1">IFERROR(__xludf.DUMMYFUNCTION("""COMPUTED_VALUE"""),3)</f>
        <v>3</v>
      </c>
      <c r="E11277" s="2">
        <f ca="1">IFERROR(__xludf.DUMMYFUNCTION("""COMPUTED_VALUE"""),1)</f>
        <v>1</v>
      </c>
    </row>
    <row r="11278" spans="1:5" ht="13">
      <c r="A11278" s="2" t="str">
        <f ca="1">IFERROR(__xludf.DUMMYFUNCTION("""COMPUTED_VALUE"""),"Linda, Solomon")</f>
        <v>Linda, Solomon</v>
      </c>
      <c r="B11278" s="3">
        <f ca="1">IFERROR(__xludf.DUMMYFUNCTION("""COMPUTED_VALUE"""),3)</f>
        <v>3</v>
      </c>
      <c r="C11278" s="7">
        <f ca="1">IFERROR(__xludf.DUMMYFUNCTION("""COMPUTED_VALUE"""),3.1)</f>
        <v>3.1</v>
      </c>
      <c r="D11278" s="8">
        <f ca="1">IFERROR(__xludf.DUMMYFUNCTION("""COMPUTED_VALUE"""),7)</f>
        <v>7</v>
      </c>
      <c r="E11278" s="2">
        <f ca="1">IFERROR(__xludf.DUMMYFUNCTION("""COMPUTED_VALUE"""),2)</f>
        <v>2</v>
      </c>
    </row>
    <row r="11279" spans="1:5" ht="13">
      <c r="A11279" s="2" t="str">
        <f ca="1">IFERROR(__xludf.DUMMYFUNCTION("""COMPUTED_VALUE"""),"Ling, John")</f>
        <v>Ling, John</v>
      </c>
      <c r="B11279" s="3">
        <f ca="1">IFERROR(__xludf.DUMMYFUNCTION("""COMPUTED_VALUE"""),3)</f>
        <v>3</v>
      </c>
      <c r="C11279" s="7">
        <f ca="1">IFERROR(__xludf.DUMMYFUNCTION("""COMPUTED_VALUE"""),3.3)</f>
        <v>3.3</v>
      </c>
      <c r="D11279" s="8">
        <f ca="1">IFERROR(__xludf.DUMMYFUNCTION("""COMPUTED_VALUE"""),3)</f>
        <v>3</v>
      </c>
      <c r="E11279" s="2">
        <f ca="1">IFERROR(__xludf.DUMMYFUNCTION("""COMPUTED_VALUE"""),1)</f>
        <v>1</v>
      </c>
    </row>
    <row r="11280" spans="1:5" ht="13">
      <c r="A11280" s="2" t="str">
        <f ca="1">IFERROR(__xludf.DUMMYFUNCTION("""COMPUTED_VALUE"""),"Linthicum-Blackhorse, William")</f>
        <v>Linthicum-Blackhorse, William</v>
      </c>
      <c r="B11280" s="2">
        <f ca="1">IFERROR(__xludf.DUMMYFUNCTION("""COMPUTED_VALUE"""),3)</f>
        <v>3</v>
      </c>
      <c r="C11280" s="7">
        <f ca="1">IFERROR(__xludf.DUMMYFUNCTION("""COMPUTED_VALUE"""),3.7)</f>
        <v>3.7</v>
      </c>
      <c r="D11280" s="8">
        <f ca="1">IFERROR(__xludf.DUMMYFUNCTION("""COMPUTED_VALUE"""),3)</f>
        <v>3</v>
      </c>
      <c r="E11280" s="2">
        <f ca="1">IFERROR(__xludf.DUMMYFUNCTION("""COMPUTED_VALUE"""),1)</f>
        <v>1</v>
      </c>
    </row>
    <row r="11281" spans="1:5" ht="13">
      <c r="A11281" s="8" t="str">
        <f ca="1">IFERROR(__xludf.DUMMYFUNCTION("""COMPUTED_VALUE"""),"Littlefield, Ed")</f>
        <v>Littlefield, Ed</v>
      </c>
      <c r="B11281" s="3">
        <f ca="1">IFERROR(__xludf.DUMMYFUNCTION("""COMPUTED_VALUE"""),3)</f>
        <v>3</v>
      </c>
      <c r="C11281" s="7">
        <f ca="1">IFERROR(__xludf.DUMMYFUNCTION("""COMPUTED_VALUE"""),3.7)</f>
        <v>3.7</v>
      </c>
      <c r="D11281" s="8">
        <f ca="1">IFERROR(__xludf.DUMMYFUNCTION("""COMPUTED_VALUE"""),3)</f>
        <v>3</v>
      </c>
      <c r="E11281" s="2">
        <f ca="1">IFERROR(__xludf.DUMMYFUNCTION("""COMPUTED_VALUE"""),1)</f>
        <v>1</v>
      </c>
    </row>
    <row r="11282" spans="1:5" ht="13">
      <c r="A11282" s="2" t="str">
        <f ca="1">IFERROR(__xludf.DUMMYFUNCTION("""COMPUTED_VALUE"""),"Liu Tieshan")</f>
        <v>Liu Tieshan</v>
      </c>
      <c r="B11282" s="3">
        <f ca="1">IFERROR(__xludf.DUMMYFUNCTION("""COMPUTED_VALUE"""),3)</f>
        <v>3</v>
      </c>
      <c r="C11282" s="7">
        <f ca="1">IFERROR(__xludf.DUMMYFUNCTION("""COMPUTED_VALUE"""),3.3)</f>
        <v>3.3</v>
      </c>
      <c r="D11282" s="8">
        <f ca="1">IFERROR(__xludf.DUMMYFUNCTION("""COMPUTED_VALUE"""),7)</f>
        <v>7</v>
      </c>
      <c r="E11282" s="2">
        <f ca="1">IFERROR(__xludf.DUMMYFUNCTION("""COMPUTED_VALUE"""),2)</f>
        <v>2</v>
      </c>
    </row>
    <row r="11283" spans="1:5" ht="13">
      <c r="A11283" s="2" t="str">
        <f ca="1">IFERROR(__xludf.DUMMYFUNCTION("""COMPUTED_VALUE"""),"Llinás, Dennis")</f>
        <v>Llinás, Dennis</v>
      </c>
      <c r="B11283" s="3">
        <f ca="1">IFERROR(__xludf.DUMMYFUNCTION("""COMPUTED_VALUE"""),3)</f>
        <v>3</v>
      </c>
      <c r="C11283" s="7">
        <f ca="1">IFERROR(__xludf.DUMMYFUNCTION("""COMPUTED_VALUE"""),3.2)</f>
        <v>3.2</v>
      </c>
      <c r="D11283" s="8">
        <f ca="1">IFERROR(__xludf.DUMMYFUNCTION("""COMPUTED_VALUE"""),3)</f>
        <v>3</v>
      </c>
      <c r="E11283" s="2">
        <f ca="1">IFERROR(__xludf.DUMMYFUNCTION("""COMPUTED_VALUE"""),1)</f>
        <v>1</v>
      </c>
    </row>
    <row r="11284" spans="1:5" ht="13">
      <c r="A11284" s="2" t="str">
        <f ca="1">IFERROR(__xludf.DUMMYFUNCTION("""COMPUTED_VALUE"""),"Lloyd, Shavon")</f>
        <v>Lloyd, Shavon</v>
      </c>
      <c r="B11284" s="2">
        <f ca="1">IFERROR(__xludf.DUMMYFUNCTION("""COMPUTED_VALUE"""),3)</f>
        <v>3</v>
      </c>
      <c r="C11284" s="2">
        <f ca="1">IFERROR(__xludf.DUMMYFUNCTION("""COMPUTED_VALUE"""),3.1)</f>
        <v>3.1</v>
      </c>
      <c r="D11284" s="8">
        <f ca="1">IFERROR(__xludf.DUMMYFUNCTION("""COMPUTED_VALUE"""),3)</f>
        <v>3</v>
      </c>
      <c r="E11284" s="2">
        <f ca="1">IFERROR(__xludf.DUMMYFUNCTION("""COMPUTED_VALUE"""),1)</f>
        <v>1</v>
      </c>
    </row>
    <row r="11285" spans="1:5" ht="13">
      <c r="A11285" s="2" t="str">
        <f ca="1">IFERROR(__xludf.DUMMYFUNCTION("""COMPUTED_VALUE"""),"Lobo, Edú")</f>
        <v>Lobo, Edú</v>
      </c>
      <c r="B11285" s="3">
        <f ca="1">IFERROR(__xludf.DUMMYFUNCTION("""COMPUTED_VALUE"""),3)</f>
        <v>3</v>
      </c>
      <c r="C11285" s="7">
        <f ca="1">IFERROR(__xludf.DUMMYFUNCTION("""COMPUTED_VALUE"""),3.2)</f>
        <v>3.2</v>
      </c>
      <c r="D11285" s="8">
        <f ca="1">IFERROR(__xludf.DUMMYFUNCTION("""COMPUTED_VALUE"""),3)</f>
        <v>3</v>
      </c>
      <c r="E11285" s="2">
        <f ca="1">IFERROR(__xludf.DUMMYFUNCTION("""COMPUTED_VALUE"""),1)</f>
        <v>1</v>
      </c>
    </row>
    <row r="11286" spans="1:5" ht="13">
      <c r="A11286" s="2" t="str">
        <f ca="1">IFERROR(__xludf.DUMMYFUNCTION("""COMPUTED_VALUE"""),"Lobo, Edú / Capinan")</f>
        <v>Lobo, Edú / Capinan</v>
      </c>
      <c r="B11286" s="2">
        <f ca="1">IFERROR(__xludf.DUMMYFUNCTION("""COMPUTED_VALUE"""),3)</f>
        <v>3</v>
      </c>
      <c r="C11286" s="7">
        <f ca="1">IFERROR(__xludf.DUMMYFUNCTION("""COMPUTED_VALUE"""),3.2)</f>
        <v>3.2</v>
      </c>
      <c r="D11286" s="8">
        <f ca="1">IFERROR(__xludf.DUMMYFUNCTION("""COMPUTED_VALUE"""),3)</f>
        <v>3</v>
      </c>
      <c r="E11286" s="2">
        <f ca="1">IFERROR(__xludf.DUMMYFUNCTION("""COMPUTED_VALUE"""),1)</f>
        <v>1</v>
      </c>
    </row>
    <row r="11287" spans="1:5" ht="13">
      <c r="A11287" s="2" t="str">
        <f ca="1">IFERROR(__xludf.DUMMYFUNCTION("""COMPUTED_VALUE"""),"Lockett, James")</f>
        <v>Lockett, James</v>
      </c>
      <c r="B11287" s="2">
        <f ca="1">IFERROR(__xludf.DUMMYFUNCTION("""COMPUTED_VALUE"""),3)</f>
        <v>3</v>
      </c>
      <c r="C11287" s="7">
        <f ca="1">IFERROR(__xludf.DUMMYFUNCTION("""COMPUTED_VALUE"""),3.1)</f>
        <v>3.1</v>
      </c>
      <c r="D11287" s="8">
        <f ca="1">IFERROR(__xludf.DUMMYFUNCTION("""COMPUTED_VALUE"""),3)</f>
        <v>3</v>
      </c>
      <c r="E11287" s="2">
        <f ca="1">IFERROR(__xludf.DUMMYFUNCTION("""COMPUTED_VALUE"""),1)</f>
        <v>1</v>
      </c>
    </row>
    <row r="11288" spans="1:5" ht="13">
      <c r="A11288" s="2" t="str">
        <f ca="1">IFERROR(__xludf.DUMMYFUNCTION("""COMPUTED_VALUE"""),"Lokumbe, Hannibal")</f>
        <v>Lokumbe, Hannibal</v>
      </c>
      <c r="B11288" s="3">
        <f ca="1">IFERROR(__xludf.DUMMYFUNCTION("""COMPUTED_VALUE"""),3)</f>
        <v>3</v>
      </c>
      <c r="C11288" s="7">
        <f ca="1">IFERROR(__xludf.DUMMYFUNCTION("""COMPUTED_VALUE"""),3.1)</f>
        <v>3.1</v>
      </c>
      <c r="D11288" s="8">
        <f ca="1">IFERROR(__xludf.DUMMYFUNCTION("""COMPUTED_VALUE"""),3)</f>
        <v>3</v>
      </c>
      <c r="E11288" s="2">
        <f ca="1">IFERROR(__xludf.DUMMYFUNCTION("""COMPUTED_VALUE"""),1)</f>
        <v>1</v>
      </c>
    </row>
    <row r="11289" spans="1:5" ht="13">
      <c r="A11289" s="2" t="str">
        <f ca="1">IFERROR(__xludf.DUMMYFUNCTION("""COMPUTED_VALUE"""),"Loman, Rodrigo")</f>
        <v>Loman, Rodrigo</v>
      </c>
      <c r="B11289" s="3">
        <f ca="1">IFERROR(__xludf.DUMMYFUNCTION("""COMPUTED_VALUE"""),3)</f>
        <v>3</v>
      </c>
      <c r="C11289" s="7">
        <f ca="1">IFERROR(__xludf.DUMMYFUNCTION("""COMPUTED_VALUE"""),3.2)</f>
        <v>3.2</v>
      </c>
      <c r="D11289" s="8">
        <f ca="1">IFERROR(__xludf.DUMMYFUNCTION("""COMPUTED_VALUE"""),3)</f>
        <v>3</v>
      </c>
      <c r="E11289" s="2">
        <f ca="1">IFERROR(__xludf.DUMMYFUNCTION("""COMPUTED_VALUE"""),1)</f>
        <v>1</v>
      </c>
    </row>
    <row r="11290" spans="1:5" ht="13">
      <c r="A11290" s="2" t="str">
        <f ca="1">IFERROR(__xludf.DUMMYFUNCTION("""COMPUTED_VALUE"""),"Lomán, Rodrigo")</f>
        <v>Lomán, Rodrigo</v>
      </c>
      <c r="B11290" s="3">
        <f ca="1">IFERROR(__xludf.DUMMYFUNCTION("""COMPUTED_VALUE"""),3)</f>
        <v>3</v>
      </c>
      <c r="C11290" s="7">
        <f ca="1">IFERROR(__xludf.DUMMYFUNCTION("""COMPUTED_VALUE"""),3.2)</f>
        <v>3.2</v>
      </c>
      <c r="D11290" s="8">
        <f ca="1">IFERROR(__xludf.DUMMYFUNCTION("""COMPUTED_VALUE"""),3)</f>
        <v>3</v>
      </c>
      <c r="E11290" s="2">
        <f ca="1">IFERROR(__xludf.DUMMYFUNCTION("""COMPUTED_VALUE"""),1)</f>
        <v>1</v>
      </c>
    </row>
    <row r="11291" spans="1:5" ht="13">
      <c r="A11291" s="2" t="str">
        <f ca="1">IFERROR(__xludf.DUMMYFUNCTION("""COMPUTED_VALUE"""),"Long, Zhou")</f>
        <v>Long, Zhou</v>
      </c>
      <c r="B11291" s="3">
        <f ca="1">IFERROR(__xludf.DUMMYFUNCTION("""COMPUTED_VALUE"""),3)</f>
        <v>3</v>
      </c>
      <c r="C11291" s="7">
        <f ca="1">IFERROR(__xludf.DUMMYFUNCTION("""COMPUTED_VALUE"""),3.3)</f>
        <v>3.3</v>
      </c>
      <c r="D11291" s="8">
        <f ca="1">IFERROR(__xludf.DUMMYFUNCTION("""COMPUTED_VALUE"""),3)</f>
        <v>3</v>
      </c>
      <c r="E11291" s="2">
        <f ca="1">IFERROR(__xludf.DUMMYFUNCTION("""COMPUTED_VALUE"""),1)</f>
        <v>1</v>
      </c>
    </row>
    <row r="11292" spans="1:5" ht="13">
      <c r="A11292" s="2" t="str">
        <f ca="1">IFERROR(__xludf.DUMMYFUNCTION("""COMPUTED_VALUE"""),"Lopes, Will")</f>
        <v>Lopes, Will</v>
      </c>
      <c r="B11292" s="3">
        <f ca="1">IFERROR(__xludf.DUMMYFUNCTION("""COMPUTED_VALUE"""),3)</f>
        <v>3</v>
      </c>
      <c r="C11292" s="7">
        <f ca="1">IFERROR(__xludf.DUMMYFUNCTION("""COMPUTED_VALUE"""),3.2)</f>
        <v>3.2</v>
      </c>
      <c r="D11292" s="8">
        <f ca="1">IFERROR(__xludf.DUMMYFUNCTION("""COMPUTED_VALUE"""),3)</f>
        <v>3</v>
      </c>
      <c r="E11292" s="2">
        <f ca="1">IFERROR(__xludf.DUMMYFUNCTION("""COMPUTED_VALUE"""),1)</f>
        <v>1</v>
      </c>
    </row>
    <row r="11293" spans="1:5" ht="13">
      <c r="A11293" s="2" t="str">
        <f ca="1">IFERROR(__xludf.DUMMYFUNCTION("""COMPUTED_VALUE"""),"López Bellido, Jimmy")</f>
        <v>López Bellido, Jimmy</v>
      </c>
      <c r="B11293" s="3">
        <f ca="1">IFERROR(__xludf.DUMMYFUNCTION("""COMPUTED_VALUE"""),3)</f>
        <v>3</v>
      </c>
      <c r="C11293" s="7">
        <f ca="1">IFERROR(__xludf.DUMMYFUNCTION("""COMPUTED_VALUE"""),3.2)</f>
        <v>3.2</v>
      </c>
      <c r="D11293" s="8">
        <f ca="1">IFERROR(__xludf.DUMMYFUNCTION("""COMPUTED_VALUE"""),3)</f>
        <v>3</v>
      </c>
      <c r="E11293" s="2">
        <f ca="1">IFERROR(__xludf.DUMMYFUNCTION("""COMPUTED_VALUE"""),1)</f>
        <v>1</v>
      </c>
    </row>
    <row r="11294" spans="1:5" ht="13">
      <c r="A11294" s="2" t="str">
        <f ca="1">IFERROR(__xludf.DUMMYFUNCTION("""COMPUTED_VALUE"""),"López-Gavilán, Aldo")</f>
        <v>López-Gavilán, Aldo</v>
      </c>
      <c r="B11294" s="3">
        <f ca="1">IFERROR(__xludf.DUMMYFUNCTION("""COMPUTED_VALUE"""),3)</f>
        <v>3</v>
      </c>
      <c r="C11294" s="7">
        <f ca="1">IFERROR(__xludf.DUMMYFUNCTION("""COMPUTED_VALUE"""),3.2)</f>
        <v>3.2</v>
      </c>
      <c r="D11294" s="8">
        <f ca="1">IFERROR(__xludf.DUMMYFUNCTION("""COMPUTED_VALUE"""),3)</f>
        <v>3</v>
      </c>
      <c r="E11294" s="2">
        <f ca="1">IFERROR(__xludf.DUMMYFUNCTION("""COMPUTED_VALUE"""),1)</f>
        <v>1</v>
      </c>
    </row>
    <row r="11295" spans="1:5" ht="13">
      <c r="A11295" s="2" t="str">
        <f ca="1">IFERROR(__xludf.DUMMYFUNCTION("""COMPUTED_VALUE"""),"Lopez-Gavilan, Guido")</f>
        <v>Lopez-Gavilan, Guido</v>
      </c>
      <c r="B11295" s="2">
        <f ca="1">IFERROR(__xludf.DUMMYFUNCTION("""COMPUTED_VALUE"""),3)</f>
        <v>3</v>
      </c>
      <c r="C11295" s="7">
        <f ca="1">IFERROR(__xludf.DUMMYFUNCTION("""COMPUTED_VALUE"""),3.2)</f>
        <v>3.2</v>
      </c>
      <c r="D11295" s="8">
        <f ca="1">IFERROR(__xludf.DUMMYFUNCTION("""COMPUTED_VALUE"""),3)</f>
        <v>3</v>
      </c>
      <c r="E11295" s="2">
        <f ca="1">IFERROR(__xludf.DUMMYFUNCTION("""COMPUTED_VALUE"""),1)</f>
        <v>1</v>
      </c>
    </row>
    <row r="11296" spans="1:5" ht="13">
      <c r="A11296" s="2" t="str">
        <f ca="1">IFERROR(__xludf.DUMMYFUNCTION("""COMPUTED_VALUE"""),"Lopez, Robert")</f>
        <v>Lopez, Robert</v>
      </c>
      <c r="B11296" s="3">
        <f ca="1">IFERROR(__xludf.DUMMYFUNCTION("""COMPUTED_VALUE"""),3)</f>
        <v>3</v>
      </c>
      <c r="C11296" s="7">
        <f ca="1">IFERROR(__xludf.DUMMYFUNCTION("""COMPUTED_VALUE"""),3.2)</f>
        <v>3.2</v>
      </c>
      <c r="D11296" s="8">
        <f ca="1">IFERROR(__xludf.DUMMYFUNCTION("""COMPUTED_VALUE"""),3)</f>
        <v>3</v>
      </c>
      <c r="E11296" s="2">
        <f ca="1">IFERROR(__xludf.DUMMYFUNCTION("""COMPUTED_VALUE"""),1)</f>
        <v>1</v>
      </c>
    </row>
    <row r="11297" spans="1:5" ht="13">
      <c r="A11297" s="2" t="str">
        <f ca="1">IFERROR(__xludf.DUMMYFUNCTION("""COMPUTED_VALUE"""),"López, Victor")</f>
        <v>López, Victor</v>
      </c>
      <c r="B11297" s="3">
        <f ca="1">IFERROR(__xludf.DUMMYFUNCTION("""COMPUTED_VALUE"""),3)</f>
        <v>3</v>
      </c>
      <c r="C11297" s="7">
        <f ca="1">IFERROR(__xludf.DUMMYFUNCTION("""COMPUTED_VALUE"""),3.2)</f>
        <v>3.2</v>
      </c>
      <c r="D11297" s="8">
        <f ca="1">IFERROR(__xludf.DUMMYFUNCTION("""COMPUTED_VALUE"""),3)</f>
        <v>3</v>
      </c>
      <c r="E11297" s="2">
        <f ca="1">IFERROR(__xludf.DUMMYFUNCTION("""COMPUTED_VALUE"""),1)</f>
        <v>1</v>
      </c>
    </row>
    <row r="11298" spans="1:5" ht="13">
      <c r="A11298" s="2" t="str">
        <f ca="1">IFERROR(__xludf.DUMMYFUNCTION("""COMPUTED_VALUE"""),"Lorenz, Ricardo")</f>
        <v>Lorenz, Ricardo</v>
      </c>
      <c r="B11298" s="3">
        <f ca="1">IFERROR(__xludf.DUMMYFUNCTION("""COMPUTED_VALUE"""),3)</f>
        <v>3</v>
      </c>
      <c r="C11298" s="7">
        <f ca="1">IFERROR(__xludf.DUMMYFUNCTION("""COMPUTED_VALUE"""),3.2)</f>
        <v>3.2</v>
      </c>
      <c r="D11298" s="8">
        <f ca="1">IFERROR(__xludf.DUMMYFUNCTION("""COMPUTED_VALUE"""),3)</f>
        <v>3</v>
      </c>
      <c r="E11298" s="2">
        <f ca="1">IFERROR(__xludf.DUMMYFUNCTION("""COMPUTED_VALUE"""),1)</f>
        <v>1</v>
      </c>
    </row>
    <row r="11299" spans="1:5" ht="13">
      <c r="A11299" s="2" t="str">
        <f ca="1">IFERROR(__xludf.DUMMYFUNCTION("""COMPUTED_VALUE"""),"LOS ZAFIROS")</f>
        <v>LOS ZAFIROS</v>
      </c>
      <c r="B11299" s="3">
        <f ca="1">IFERROR(__xludf.DUMMYFUNCTION("""COMPUTED_VALUE"""),3)</f>
        <v>3</v>
      </c>
      <c r="C11299" s="7">
        <f ca="1">IFERROR(__xludf.DUMMYFUNCTION("""COMPUTED_VALUE"""),3.2)</f>
        <v>3.2</v>
      </c>
      <c r="D11299" s="8">
        <f ca="1">IFERROR(__xludf.DUMMYFUNCTION("""COMPUTED_VALUE"""),7)</f>
        <v>7</v>
      </c>
      <c r="E11299" s="2">
        <f ca="1">IFERROR(__xludf.DUMMYFUNCTION("""COMPUTED_VALUE"""),2)</f>
        <v>2</v>
      </c>
    </row>
    <row r="11300" spans="1:5" ht="13">
      <c r="A11300" s="2" t="str">
        <f ca="1">IFERROR(__xludf.DUMMYFUNCTION("""COMPUTED_VALUE"""),"Loueke, Lionel")</f>
        <v>Loueke, Lionel</v>
      </c>
      <c r="B11300" s="3">
        <f ca="1">IFERROR(__xludf.DUMMYFUNCTION("""COMPUTED_VALUE"""),3)</f>
        <v>3</v>
      </c>
      <c r="C11300" s="7">
        <f ca="1">IFERROR(__xludf.DUMMYFUNCTION("""COMPUTED_VALUE"""),3.1)</f>
        <v>3.1</v>
      </c>
      <c r="D11300" s="8">
        <f ca="1">IFERROR(__xludf.DUMMYFUNCTION("""COMPUTED_VALUE"""),7)</f>
        <v>7</v>
      </c>
      <c r="E11300" s="2">
        <f ca="1">IFERROR(__xludf.DUMMYFUNCTION("""COMPUTED_VALUE"""),2)</f>
        <v>2</v>
      </c>
    </row>
    <row r="11301" spans="1:5" ht="13">
      <c r="A11301" s="2" t="str">
        <f ca="1">IFERROR(__xludf.DUMMYFUNCTION("""COMPUTED_VALUE"""),"Louilarpprasert, Piyawat")</f>
        <v>Louilarpprasert, Piyawat</v>
      </c>
      <c r="B11301" s="3">
        <f ca="1">IFERROR(__xludf.DUMMYFUNCTION("""COMPUTED_VALUE"""),3)</f>
        <v>3</v>
      </c>
      <c r="C11301" s="7">
        <f ca="1">IFERROR(__xludf.DUMMYFUNCTION("""COMPUTED_VALUE"""),3.3)</f>
        <v>3.3</v>
      </c>
      <c r="D11301" s="8">
        <f ca="1">IFERROR(__xludf.DUMMYFUNCTION("""COMPUTED_VALUE"""),3)</f>
        <v>3</v>
      </c>
      <c r="E11301" s="2">
        <f ca="1">IFERROR(__xludf.DUMMYFUNCTION("""COMPUTED_VALUE"""),1)</f>
        <v>1</v>
      </c>
    </row>
    <row r="11302" spans="1:5" ht="13">
      <c r="A11302" s="2" t="str">
        <f ca="1">IFERROR(__xludf.DUMMYFUNCTION("""COMPUTED_VALUE"""),"Lu, Wayne")</f>
        <v>Lu, Wayne</v>
      </c>
      <c r="B11302" s="2">
        <f ca="1">IFERROR(__xludf.DUMMYFUNCTION("""COMPUTED_VALUE"""),3)</f>
        <v>3</v>
      </c>
      <c r="C11302" s="7">
        <f ca="1">IFERROR(__xludf.DUMMYFUNCTION("""COMPUTED_VALUE"""),3.3)</f>
        <v>3.3</v>
      </c>
      <c r="D11302" s="8">
        <f ca="1">IFERROR(__xludf.DUMMYFUNCTION("""COMPUTED_VALUE"""),3)</f>
        <v>3</v>
      </c>
      <c r="E11302" s="2">
        <f ca="1">IFERROR(__xludf.DUMMYFUNCTION("""COMPUTED_VALUE"""),1)</f>
        <v>1</v>
      </c>
    </row>
    <row r="11303" spans="1:5" ht="13">
      <c r="A11303" s="2" t="str">
        <f ca="1">IFERROR(__xludf.DUMMYFUNCTION("""COMPUTED_VALUE"""),"Lundy, Patrick")</f>
        <v>Lundy, Patrick</v>
      </c>
      <c r="B11303" s="3">
        <f ca="1">IFERROR(__xludf.DUMMYFUNCTION("""COMPUTED_VALUE"""),3)</f>
        <v>3</v>
      </c>
      <c r="C11303" s="7">
        <f ca="1">IFERROR(__xludf.DUMMYFUNCTION("""COMPUTED_VALUE"""),3.1)</f>
        <v>3.1</v>
      </c>
      <c r="D11303" s="8">
        <f ca="1">IFERROR(__xludf.DUMMYFUNCTION("""COMPUTED_VALUE"""),3)</f>
        <v>3</v>
      </c>
      <c r="E11303" s="2">
        <f ca="1">IFERROR(__xludf.DUMMYFUNCTION("""COMPUTED_VALUE"""),1)</f>
        <v>1</v>
      </c>
    </row>
    <row r="11304" spans="1:5" ht="13">
      <c r="A11304" s="2" t="str">
        <f ca="1">IFERROR(__xludf.DUMMYFUNCTION("""COMPUTED_VALUE"""),"Lusitano, Vicente")</f>
        <v>Lusitano, Vicente</v>
      </c>
      <c r="B11304" s="2">
        <f ca="1">IFERROR(__xludf.DUMMYFUNCTION("""COMPUTED_VALUE"""),3)</f>
        <v>3</v>
      </c>
      <c r="C11304" s="7">
        <f ca="1">IFERROR(__xludf.DUMMYFUNCTION("""COMPUTED_VALUE"""),3.1)</f>
        <v>3.1</v>
      </c>
      <c r="D11304" s="8">
        <f ca="1">IFERROR(__xludf.DUMMYFUNCTION("""COMPUTED_VALUE"""),7)</f>
        <v>7</v>
      </c>
      <c r="E11304" s="2">
        <f ca="1">IFERROR(__xludf.DUMMYFUNCTION("""COMPUTED_VALUE"""),2)</f>
        <v>2</v>
      </c>
    </row>
    <row r="11305" spans="1:5" ht="13">
      <c r="A11305" s="2" t="str">
        <f ca="1">IFERROR(__xludf.DUMMYFUNCTION("""COMPUTED_VALUE"""),"Luz, Andres R.")</f>
        <v>Luz, Andres R.</v>
      </c>
      <c r="B11305" s="2">
        <f ca="1">IFERROR(__xludf.DUMMYFUNCTION("""COMPUTED_VALUE"""),3)</f>
        <v>3</v>
      </c>
      <c r="C11305" s="7">
        <f ca="1">IFERROR(__xludf.DUMMYFUNCTION("""COMPUTED_VALUE"""),3.3)</f>
        <v>3.3</v>
      </c>
      <c r="D11305" s="8">
        <f ca="1">IFERROR(__xludf.DUMMYFUNCTION("""COMPUTED_VALUE"""),3)</f>
        <v>3</v>
      </c>
      <c r="E11305" s="2">
        <f ca="1">IFERROR(__xludf.DUMMYFUNCTION("""COMPUTED_VALUE"""),1)</f>
        <v>1</v>
      </c>
    </row>
    <row r="11306" spans="1:5" ht="13">
      <c r="A11306" s="2" t="str">
        <f ca="1">IFERROR(__xludf.DUMMYFUNCTION("""COMPUTED_VALUE"""),"Mabarak, Carlos Jiménez")</f>
        <v>Mabarak, Carlos Jiménez</v>
      </c>
      <c r="B11306" s="3">
        <f ca="1">IFERROR(__xludf.DUMMYFUNCTION("""COMPUTED_VALUE"""),3)</f>
        <v>3</v>
      </c>
      <c r="C11306" s="7">
        <f ca="1">IFERROR(__xludf.DUMMYFUNCTION("""COMPUTED_VALUE"""),3.2)</f>
        <v>3.2</v>
      </c>
      <c r="D11306" s="8">
        <f ca="1">IFERROR(__xludf.DUMMYFUNCTION("""COMPUTED_VALUE"""),7)</f>
        <v>7</v>
      </c>
      <c r="E11306" s="2">
        <f ca="1">IFERROR(__xludf.DUMMYFUNCTION("""COMPUTED_VALUE"""),2)</f>
        <v>2</v>
      </c>
    </row>
    <row r="11307" spans="1:5" ht="13">
      <c r="A11307" s="2" t="str">
        <f ca="1">IFERROR(__xludf.DUMMYFUNCTION("""COMPUTED_VALUE"""),"Mabuza, Mzwandile")</f>
        <v>Mabuza, Mzwandile</v>
      </c>
      <c r="B11307" s="3">
        <f ca="1">IFERROR(__xludf.DUMMYFUNCTION("""COMPUTED_VALUE"""),3)</f>
        <v>3</v>
      </c>
      <c r="C11307" s="7">
        <f ca="1">IFERROR(__xludf.DUMMYFUNCTION("""COMPUTED_VALUE"""),3.1)</f>
        <v>3.1</v>
      </c>
      <c r="D11307" s="8">
        <f ca="1">IFERROR(__xludf.DUMMYFUNCTION("""COMPUTED_VALUE"""),3)</f>
        <v>3</v>
      </c>
      <c r="E11307" s="2">
        <f ca="1">IFERROR(__xludf.DUMMYFUNCTION("""COMPUTED_VALUE"""),1)</f>
        <v>1</v>
      </c>
    </row>
    <row r="11308" spans="1:5" ht="13">
      <c r="A11308" s="2" t="str">
        <f ca="1">IFERROR(__xludf.DUMMYFUNCTION("""COMPUTED_VALUE"""),"Machain, Jorge")</f>
        <v>Machain, Jorge</v>
      </c>
      <c r="B11308" s="2">
        <f ca="1">IFERROR(__xludf.DUMMYFUNCTION("""COMPUTED_VALUE"""),3)</f>
        <v>3</v>
      </c>
      <c r="C11308" s="7">
        <f ca="1">IFERROR(__xludf.DUMMYFUNCTION("""COMPUTED_VALUE"""),3.2)</f>
        <v>3.2</v>
      </c>
      <c r="D11308" s="8">
        <f ca="1">IFERROR(__xludf.DUMMYFUNCTION("""COMPUTED_VALUE"""),3)</f>
        <v>3</v>
      </c>
      <c r="E11308" s="2">
        <f ca="1">IFERROR(__xludf.DUMMYFUNCTION("""COMPUTED_VALUE"""),1)</f>
        <v>1</v>
      </c>
    </row>
    <row r="11309" spans="1:5" ht="13">
      <c r="A11309" s="2" t="str">
        <f ca="1">IFERROR(__xludf.DUMMYFUNCTION("""COMPUTED_VALUE"""),"Mack, Cecil / Johnson, James")</f>
        <v>Mack, Cecil / Johnson, James</v>
      </c>
      <c r="B11309" s="3">
        <f ca="1">IFERROR(__xludf.DUMMYFUNCTION("""COMPUTED_VALUE"""),3)</f>
        <v>3</v>
      </c>
      <c r="C11309" s="7">
        <f ca="1">IFERROR(__xludf.DUMMYFUNCTION("""COMPUTED_VALUE"""),3.1)</f>
        <v>3.1</v>
      </c>
      <c r="D11309" s="8">
        <f ca="1">IFERROR(__xludf.DUMMYFUNCTION("""COMPUTED_VALUE"""),7)</f>
        <v>7</v>
      </c>
      <c r="E11309" s="2">
        <f ca="1">IFERROR(__xludf.DUMMYFUNCTION("""COMPUTED_VALUE"""),2)</f>
        <v>2</v>
      </c>
    </row>
    <row r="11310" spans="1:5" ht="13">
      <c r="A11310" s="2" t="str">
        <f ca="1">IFERROR(__xludf.DUMMYFUNCTION("""COMPUTED_VALUE"""),"Mackrel, Dennis")</f>
        <v>Mackrel, Dennis</v>
      </c>
      <c r="B11310" s="3">
        <f ca="1">IFERROR(__xludf.DUMMYFUNCTION("""COMPUTED_VALUE"""),3)</f>
        <v>3</v>
      </c>
      <c r="C11310" s="7">
        <f ca="1">IFERROR(__xludf.DUMMYFUNCTION("""COMPUTED_VALUE"""),3.1)</f>
        <v>3.1</v>
      </c>
      <c r="D11310" s="8">
        <f ca="1">IFERROR(__xludf.DUMMYFUNCTION("""COMPUTED_VALUE"""),3)</f>
        <v>3</v>
      </c>
      <c r="E11310" s="2">
        <f ca="1">IFERROR(__xludf.DUMMYFUNCTION("""COMPUTED_VALUE"""),1)</f>
        <v>1</v>
      </c>
    </row>
    <row r="11311" spans="1:5" ht="13">
      <c r="A11311" s="8" t="str">
        <f ca="1">IFERROR(__xludf.DUMMYFUNCTION("""COMPUTED_VALUE"""),"Magallanes, Eduardo")</f>
        <v>Magallanes, Eduardo</v>
      </c>
      <c r="B11311" s="3">
        <f ca="1">IFERROR(__xludf.DUMMYFUNCTION("""COMPUTED_VALUE"""),3)</f>
        <v>3</v>
      </c>
      <c r="C11311" s="7">
        <f ca="1">IFERROR(__xludf.DUMMYFUNCTION("""COMPUTED_VALUE"""),3.2)</f>
        <v>3.2</v>
      </c>
      <c r="D11311" s="8">
        <f ca="1">IFERROR(__xludf.DUMMYFUNCTION("""COMPUTED_VALUE"""),3)</f>
        <v>3</v>
      </c>
      <c r="E11311" s="2">
        <f ca="1">IFERROR(__xludf.DUMMYFUNCTION("""COMPUTED_VALUE"""),1)</f>
        <v>1</v>
      </c>
    </row>
    <row r="11312" spans="1:5" ht="13">
      <c r="A11312" s="2" t="str">
        <f ca="1">IFERROR(__xludf.DUMMYFUNCTION("""COMPUTED_VALUE"""),"Mahelona, Herb")</f>
        <v>Mahelona, Herb</v>
      </c>
      <c r="B11312" s="3">
        <f ca="1">IFERROR(__xludf.DUMMYFUNCTION("""COMPUTED_VALUE"""),3)</f>
        <v>3</v>
      </c>
      <c r="C11312" s="7">
        <f ca="1">IFERROR(__xludf.DUMMYFUNCTION("""COMPUTED_VALUE"""),3.6)</f>
        <v>3.6</v>
      </c>
      <c r="D11312" s="8">
        <f ca="1">IFERROR(__xludf.DUMMYFUNCTION("""COMPUTED_VALUE"""),3)</f>
        <v>3</v>
      </c>
      <c r="E11312" s="2">
        <f ca="1">IFERROR(__xludf.DUMMYFUNCTION("""COMPUTED_VALUE"""),1)</f>
        <v>1</v>
      </c>
    </row>
    <row r="11313" spans="1:5" ht="13">
      <c r="A11313" s="2" t="str">
        <f ca="1">IFERROR(__xludf.DUMMYFUNCTION("""COMPUTED_VALUE"""),"Makan, Keeril")</f>
        <v>Makan, Keeril</v>
      </c>
      <c r="B11313" s="2">
        <f ca="1">IFERROR(__xludf.DUMMYFUNCTION("""COMPUTED_VALUE"""),3)</f>
        <v>3</v>
      </c>
      <c r="C11313" s="2">
        <f ca="1">IFERROR(__xludf.DUMMYFUNCTION("""COMPUTED_VALUE"""),3.8)</f>
        <v>3.8</v>
      </c>
      <c r="D11313" s="8">
        <f ca="1">IFERROR(__xludf.DUMMYFUNCTION("""COMPUTED_VALUE"""),3)</f>
        <v>3</v>
      </c>
      <c r="E11313" s="2">
        <f ca="1">IFERROR(__xludf.DUMMYFUNCTION("""COMPUTED_VALUE"""),1)</f>
        <v>1</v>
      </c>
    </row>
    <row r="11314" spans="1:5" ht="13">
      <c r="A11314" s="2" t="str">
        <f ca="1">IFERROR(__xludf.DUMMYFUNCTION("""COMPUTED_VALUE"""),"Makil, Elmo Q.")</f>
        <v>Makil, Elmo Q.</v>
      </c>
      <c r="B11314" s="3">
        <f ca="1">IFERROR(__xludf.DUMMYFUNCTION("""COMPUTED_VALUE"""),3)</f>
        <v>3</v>
      </c>
      <c r="C11314" s="7">
        <f ca="1">IFERROR(__xludf.DUMMYFUNCTION("""COMPUTED_VALUE"""),3.9)</f>
        <v>3.9</v>
      </c>
      <c r="D11314" s="8">
        <f ca="1">IFERROR(__xludf.DUMMYFUNCTION("""COMPUTED_VALUE"""),7)</f>
        <v>7</v>
      </c>
      <c r="E11314" s="2">
        <f ca="1">IFERROR(__xludf.DUMMYFUNCTION("""COMPUTED_VALUE"""),2)</f>
        <v>2</v>
      </c>
    </row>
    <row r="11315" spans="1:5" ht="13">
      <c r="A11315" s="2" t="str">
        <f ca="1">IFERROR(__xludf.DUMMYFUNCTION("""COMPUTED_VALUE"""),"Maldonado")</f>
        <v>Maldonado</v>
      </c>
      <c r="B11315" s="3">
        <f ca="1">IFERROR(__xludf.DUMMYFUNCTION("""COMPUTED_VALUE"""),3)</f>
        <v>3</v>
      </c>
      <c r="C11315" s="7">
        <f ca="1">IFERROR(__xludf.DUMMYFUNCTION("""COMPUTED_VALUE"""),3.2)</f>
        <v>3.2</v>
      </c>
      <c r="D11315" s="8">
        <f ca="1">IFERROR(__xludf.DUMMYFUNCTION("""COMPUTED_VALUE"""),3)</f>
        <v>3</v>
      </c>
      <c r="E11315" s="2">
        <f ca="1">IFERROR(__xludf.DUMMYFUNCTION("""COMPUTED_VALUE"""),1)</f>
        <v>1</v>
      </c>
    </row>
    <row r="11316" spans="1:5" ht="13">
      <c r="A11316" s="2" t="str">
        <f ca="1">IFERROR(__xludf.DUMMYFUNCTION("""COMPUTED_VALUE"""),"Maldonado, Javier Torres")</f>
        <v>Maldonado, Javier Torres</v>
      </c>
      <c r="B11316" s="3">
        <f ca="1">IFERROR(__xludf.DUMMYFUNCTION("""COMPUTED_VALUE"""),3)</f>
        <v>3</v>
      </c>
      <c r="C11316" s="7">
        <f ca="1">IFERROR(__xludf.DUMMYFUNCTION("""COMPUTED_VALUE"""),3.2)</f>
        <v>3.2</v>
      </c>
      <c r="D11316" s="8">
        <f ca="1">IFERROR(__xludf.DUMMYFUNCTION("""COMPUTED_VALUE"""),3)</f>
        <v>3</v>
      </c>
      <c r="E11316" s="2">
        <f ca="1">IFERROR(__xludf.DUMMYFUNCTION("""COMPUTED_VALUE"""),1)</f>
        <v>1</v>
      </c>
    </row>
    <row r="11317" spans="1:5" ht="13">
      <c r="A11317" s="2" t="str">
        <f ca="1">IFERROR(__xludf.DUMMYFUNCTION("""COMPUTED_VALUE"""),"Maneein, Earl")</f>
        <v>Maneein, Earl</v>
      </c>
      <c r="B11317" s="3">
        <f ca="1">IFERROR(__xludf.DUMMYFUNCTION("""COMPUTED_VALUE"""),3)</f>
        <v>3</v>
      </c>
      <c r="C11317" s="7">
        <f ca="1">IFERROR(__xludf.DUMMYFUNCTION("""COMPUTED_VALUE"""),3.8)</f>
        <v>3.8</v>
      </c>
      <c r="D11317" s="8">
        <f ca="1">IFERROR(__xludf.DUMMYFUNCTION("""COMPUTED_VALUE"""),3)</f>
        <v>3</v>
      </c>
      <c r="E11317" s="2">
        <f ca="1">IFERROR(__xludf.DUMMYFUNCTION("""COMPUTED_VALUE"""),1)</f>
        <v>1</v>
      </c>
    </row>
    <row r="11318" spans="1:5" ht="13">
      <c r="A11318" s="8" t="str">
        <f ca="1">IFERROR(__xludf.DUMMYFUNCTION("""COMPUTED_VALUE"""),"Manzanero, Armando")</f>
        <v>Manzanero, Armando</v>
      </c>
      <c r="B11318" s="3">
        <f ca="1">IFERROR(__xludf.DUMMYFUNCTION("""COMPUTED_VALUE"""),3)</f>
        <v>3</v>
      </c>
      <c r="C11318" s="7">
        <f ca="1">IFERROR(__xludf.DUMMYFUNCTION("""COMPUTED_VALUE"""),3.2)</f>
        <v>3.2</v>
      </c>
      <c r="D11318" s="8">
        <f ca="1">IFERROR(__xludf.DUMMYFUNCTION("""COMPUTED_VALUE"""),7)</f>
        <v>7</v>
      </c>
      <c r="E11318" s="2">
        <f ca="1">IFERROR(__xludf.DUMMYFUNCTION("""COMPUTED_VALUE"""),2)</f>
        <v>2</v>
      </c>
    </row>
    <row r="11319" spans="1:5" ht="13">
      <c r="A11319" s="2" t="str">
        <f ca="1">IFERROR(__xludf.DUMMYFUNCTION("""COMPUTED_VALUE"""),"Maraire, Dumisani")</f>
        <v>Maraire, Dumisani</v>
      </c>
      <c r="B11319" s="3">
        <f ca="1">IFERROR(__xludf.DUMMYFUNCTION("""COMPUTED_VALUE"""),3)</f>
        <v>3</v>
      </c>
      <c r="C11319" s="7">
        <f ca="1">IFERROR(__xludf.DUMMYFUNCTION("""COMPUTED_VALUE"""),3.1)</f>
        <v>3.1</v>
      </c>
      <c r="D11319" s="8">
        <f ca="1">IFERROR(__xludf.DUMMYFUNCTION("""COMPUTED_VALUE"""),7)</f>
        <v>7</v>
      </c>
      <c r="E11319" s="2">
        <f ca="1">IFERROR(__xludf.DUMMYFUNCTION("""COMPUTED_VALUE"""),2)</f>
        <v>2</v>
      </c>
    </row>
    <row r="11320" spans="1:5" ht="13">
      <c r="A11320" s="2" t="str">
        <f ca="1">IFERROR(__xludf.DUMMYFUNCTION("""COMPUTED_VALUE"""),"Marcucci, Carlos")</f>
        <v>Marcucci, Carlos</v>
      </c>
      <c r="B11320" s="3">
        <f ca="1">IFERROR(__xludf.DUMMYFUNCTION("""COMPUTED_VALUE"""),3)</f>
        <v>3</v>
      </c>
      <c r="C11320" s="7">
        <f ca="1">IFERROR(__xludf.DUMMYFUNCTION("""COMPUTED_VALUE"""),3.2)</f>
        <v>3.2</v>
      </c>
      <c r="D11320" s="8">
        <f ca="1">IFERROR(__xludf.DUMMYFUNCTION("""COMPUTED_VALUE"""),7)</f>
        <v>7</v>
      </c>
      <c r="E11320" s="2">
        <f ca="1">IFERROR(__xludf.DUMMYFUNCTION("""COMPUTED_VALUE"""),2)</f>
        <v>2</v>
      </c>
    </row>
    <row r="11321" spans="1:5" ht="13">
      <c r="A11321" s="2" t="str">
        <f ca="1">IFERROR(__xludf.DUMMYFUNCTION("""COMPUTED_VALUE"""),"Mariano, Cesar Camargo")</f>
        <v>Mariano, Cesar Camargo</v>
      </c>
      <c r="B11321" s="2">
        <f ca="1">IFERROR(__xludf.DUMMYFUNCTION("""COMPUTED_VALUE"""),3)</f>
        <v>3</v>
      </c>
      <c r="C11321" s="2">
        <f ca="1">IFERROR(__xludf.DUMMYFUNCTION("""COMPUTED_VALUE"""),3.2)</f>
        <v>3.2</v>
      </c>
      <c r="D11321" s="8">
        <f ca="1">IFERROR(__xludf.DUMMYFUNCTION("""COMPUTED_VALUE"""),3)</f>
        <v>3</v>
      </c>
      <c r="E11321" s="2">
        <f ca="1">IFERROR(__xludf.DUMMYFUNCTION("""COMPUTED_VALUE"""),1)</f>
        <v>1</v>
      </c>
    </row>
    <row r="11322" spans="1:5" ht="13">
      <c r="A11322" s="8" t="str">
        <f ca="1">IFERROR(__xludf.DUMMYFUNCTION("""COMPUTED_VALUE"""),"Marín, Rafael Hernández")</f>
        <v>Marín, Rafael Hernández</v>
      </c>
      <c r="B11322" s="3">
        <f ca="1">IFERROR(__xludf.DUMMYFUNCTION("""COMPUTED_VALUE"""),3)</f>
        <v>3</v>
      </c>
      <c r="C11322" s="7">
        <f ca="1">IFERROR(__xludf.DUMMYFUNCTION("""COMPUTED_VALUE"""),3.2)</f>
        <v>3.2</v>
      </c>
      <c r="D11322" s="8">
        <f ca="1">IFERROR(__xludf.DUMMYFUNCTION("""COMPUTED_VALUE"""),7)</f>
        <v>7</v>
      </c>
      <c r="E11322" s="2">
        <f ca="1">IFERROR(__xludf.DUMMYFUNCTION("""COMPUTED_VALUE"""),2)</f>
        <v>2</v>
      </c>
    </row>
    <row r="11323" spans="1:5" ht="13">
      <c r="A11323" s="2" t="str">
        <f ca="1">IFERROR(__xludf.DUMMYFUNCTION("""COMPUTED_VALUE"""),"Márquez, Arturo")</f>
        <v>Márquez, Arturo</v>
      </c>
      <c r="B11323" s="3">
        <f ca="1">IFERROR(__xludf.DUMMYFUNCTION("""COMPUTED_VALUE"""),3)</f>
        <v>3</v>
      </c>
      <c r="C11323" s="7">
        <f ca="1">IFERROR(__xludf.DUMMYFUNCTION("""COMPUTED_VALUE"""),3.2)</f>
        <v>3.2</v>
      </c>
      <c r="D11323" s="8">
        <f ca="1">IFERROR(__xludf.DUMMYFUNCTION("""COMPUTED_VALUE"""),3)</f>
        <v>3</v>
      </c>
      <c r="E11323" s="2">
        <f ca="1">IFERROR(__xludf.DUMMYFUNCTION("""COMPUTED_VALUE"""),1)</f>
        <v>1</v>
      </c>
    </row>
    <row r="11324" spans="1:5" ht="13">
      <c r="A11324" s="2" t="str">
        <f ca="1">IFERROR(__xludf.DUMMYFUNCTION("""COMPUTED_VALUE"""),"Marsalis Jr., Ellis")</f>
        <v>Marsalis Jr., Ellis</v>
      </c>
      <c r="B11324" s="3">
        <f ca="1">IFERROR(__xludf.DUMMYFUNCTION("""COMPUTED_VALUE"""),3)</f>
        <v>3</v>
      </c>
      <c r="C11324" s="7">
        <f ca="1">IFERROR(__xludf.DUMMYFUNCTION("""COMPUTED_VALUE"""),3.1)</f>
        <v>3.1</v>
      </c>
      <c r="D11324" s="8">
        <f ca="1">IFERROR(__xludf.DUMMYFUNCTION("""COMPUTED_VALUE"""),7)</f>
        <v>7</v>
      </c>
      <c r="E11324" s="2">
        <f ca="1">IFERROR(__xludf.DUMMYFUNCTION("""COMPUTED_VALUE"""),2)</f>
        <v>2</v>
      </c>
    </row>
    <row r="11325" spans="1:5" ht="13">
      <c r="A11325" s="8" t="str">
        <f ca="1">IFERROR(__xludf.DUMMYFUNCTION("""COMPUTED_VALUE"""),"Marsalis, Branford")</f>
        <v>Marsalis, Branford</v>
      </c>
      <c r="B11325" s="3">
        <f ca="1">IFERROR(__xludf.DUMMYFUNCTION("""COMPUTED_VALUE"""),3)</f>
        <v>3</v>
      </c>
      <c r="C11325" s="7">
        <f ca="1">IFERROR(__xludf.DUMMYFUNCTION("""COMPUTED_VALUE"""),3.1)</f>
        <v>3.1</v>
      </c>
      <c r="D11325" s="8">
        <f ca="1">IFERROR(__xludf.DUMMYFUNCTION("""COMPUTED_VALUE"""),3)</f>
        <v>3</v>
      </c>
      <c r="E11325" s="2">
        <f ca="1">IFERROR(__xludf.DUMMYFUNCTION("""COMPUTED_VALUE"""),1)</f>
        <v>1</v>
      </c>
    </row>
    <row r="11326" spans="1:5" ht="13">
      <c r="A11326" s="2" t="str">
        <f ca="1">IFERROR(__xludf.DUMMYFUNCTION("""COMPUTED_VALUE"""),"Marsalis, Ellis")</f>
        <v>Marsalis, Ellis</v>
      </c>
      <c r="B11326" s="3">
        <f ca="1">IFERROR(__xludf.DUMMYFUNCTION("""COMPUTED_VALUE"""),3)</f>
        <v>3</v>
      </c>
      <c r="C11326" s="7">
        <f ca="1">IFERROR(__xludf.DUMMYFUNCTION("""COMPUTED_VALUE"""),3.1)</f>
        <v>3.1</v>
      </c>
      <c r="D11326" s="8">
        <f ca="1">IFERROR(__xludf.DUMMYFUNCTION("""COMPUTED_VALUE"""),7)</f>
        <v>7</v>
      </c>
      <c r="E11326" s="2">
        <f ca="1">IFERROR(__xludf.DUMMYFUNCTION("""COMPUTED_VALUE"""),2)</f>
        <v>2</v>
      </c>
    </row>
    <row r="11327" spans="1:5" ht="13">
      <c r="A11327" s="2" t="str">
        <f ca="1">IFERROR(__xludf.DUMMYFUNCTION("""COMPUTED_VALUE"""),"Marsalis, Rodney")</f>
        <v>Marsalis, Rodney</v>
      </c>
      <c r="B11327" s="2">
        <f ca="1">IFERROR(__xludf.DUMMYFUNCTION("""COMPUTED_VALUE"""),3)</f>
        <v>3</v>
      </c>
      <c r="C11327" s="7">
        <f ca="1">IFERROR(__xludf.DUMMYFUNCTION("""COMPUTED_VALUE"""),3.1)</f>
        <v>3.1</v>
      </c>
      <c r="D11327" s="8">
        <f ca="1">IFERROR(__xludf.DUMMYFUNCTION("""COMPUTED_VALUE"""),3)</f>
        <v>3</v>
      </c>
      <c r="E11327" s="2">
        <f ca="1">IFERROR(__xludf.DUMMYFUNCTION("""COMPUTED_VALUE"""),1)</f>
        <v>1</v>
      </c>
    </row>
    <row r="11328" spans="1:5" ht="13">
      <c r="A11328" s="2" t="str">
        <f ca="1">IFERROR(__xludf.DUMMYFUNCTION("""COMPUTED_VALUE"""),"Marsalis, Wynton")</f>
        <v>Marsalis, Wynton</v>
      </c>
      <c r="B11328" s="3">
        <f ca="1">IFERROR(__xludf.DUMMYFUNCTION("""COMPUTED_VALUE"""),3)</f>
        <v>3</v>
      </c>
      <c r="C11328" s="7">
        <f ca="1">IFERROR(__xludf.DUMMYFUNCTION("""COMPUTED_VALUE"""),3.1)</f>
        <v>3.1</v>
      </c>
      <c r="D11328" s="8">
        <f ca="1">IFERROR(__xludf.DUMMYFUNCTION("""COMPUTED_VALUE"""),3)</f>
        <v>3</v>
      </c>
      <c r="E11328" s="2">
        <f ca="1">IFERROR(__xludf.DUMMYFUNCTION("""COMPUTED_VALUE"""),1)</f>
        <v>1</v>
      </c>
    </row>
    <row r="11329" spans="1:5" ht="13">
      <c r="A11329" s="8" t="str">
        <f ca="1">IFERROR(__xludf.DUMMYFUNCTION("""COMPUTED_VALUE"""),"Marshall, Jason")</f>
        <v>Marshall, Jason</v>
      </c>
      <c r="B11329" s="3">
        <f ca="1">IFERROR(__xludf.DUMMYFUNCTION("""COMPUTED_VALUE"""),3)</f>
        <v>3</v>
      </c>
      <c r="C11329" s="7">
        <f ca="1">IFERROR(__xludf.DUMMYFUNCTION("""COMPUTED_VALUE"""),3.1)</f>
        <v>3.1</v>
      </c>
      <c r="D11329" s="8">
        <f ca="1">IFERROR(__xludf.DUMMYFUNCTION("""COMPUTED_VALUE"""),3)</f>
        <v>3</v>
      </c>
      <c r="E11329" s="2">
        <f ca="1">IFERROR(__xludf.DUMMYFUNCTION("""COMPUTED_VALUE"""),1)</f>
        <v>1</v>
      </c>
    </row>
    <row r="11330" spans="1:5" ht="13">
      <c r="A11330" s="2" t="str">
        <f ca="1">IFERROR(__xludf.DUMMYFUNCTION("""COMPUTED_VALUE"""),"Martin, Andres")</f>
        <v>Martin, Andres</v>
      </c>
      <c r="B11330" s="3">
        <f ca="1">IFERROR(__xludf.DUMMYFUNCTION("""COMPUTED_VALUE"""),3)</f>
        <v>3</v>
      </c>
      <c r="C11330" s="7">
        <f ca="1">IFERROR(__xludf.DUMMYFUNCTION("""COMPUTED_VALUE"""),3.2)</f>
        <v>3.2</v>
      </c>
      <c r="D11330" s="8">
        <f ca="1">IFERROR(__xludf.DUMMYFUNCTION("""COMPUTED_VALUE"""),3)</f>
        <v>3</v>
      </c>
      <c r="E11330" s="2">
        <f ca="1">IFERROR(__xludf.DUMMYFUNCTION("""COMPUTED_VALUE"""),1)</f>
        <v>1</v>
      </c>
    </row>
    <row r="11331" spans="1:5" ht="13">
      <c r="A11331" s="8" t="str">
        <f ca="1">IFERROR(__xludf.DUMMYFUNCTION("""COMPUTED_VALUE"""),"Martínez, Carlos")</f>
        <v>Martínez, Carlos</v>
      </c>
      <c r="B11331" s="3">
        <f ca="1">IFERROR(__xludf.DUMMYFUNCTION("""COMPUTED_VALUE"""),3)</f>
        <v>3</v>
      </c>
      <c r="C11331" s="7">
        <f ca="1">IFERROR(__xludf.DUMMYFUNCTION("""COMPUTED_VALUE"""),3.2)</f>
        <v>3.2</v>
      </c>
      <c r="D11331" s="8">
        <f ca="1">IFERROR(__xludf.DUMMYFUNCTION("""COMPUTED_VALUE"""),3)</f>
        <v>3</v>
      </c>
      <c r="E11331" s="2">
        <f ca="1">IFERROR(__xludf.DUMMYFUNCTION("""COMPUTED_VALUE"""),1)</f>
        <v>1</v>
      </c>
    </row>
    <row r="11332" spans="1:5" ht="13">
      <c r="A11332" s="8" t="str">
        <f ca="1">IFERROR(__xludf.DUMMYFUNCTION("""COMPUTED_VALUE"""),"Martinez, Jesus")</f>
        <v>Martinez, Jesus</v>
      </c>
      <c r="B11332" s="3">
        <f ca="1">IFERROR(__xludf.DUMMYFUNCTION("""COMPUTED_VALUE"""),3)</f>
        <v>3</v>
      </c>
      <c r="C11332" s="7">
        <f ca="1">IFERROR(__xludf.DUMMYFUNCTION("""COMPUTED_VALUE"""),3.2)</f>
        <v>3.2</v>
      </c>
      <c r="D11332" s="8">
        <f ca="1">IFERROR(__xludf.DUMMYFUNCTION("""COMPUTED_VALUE"""),3)</f>
        <v>3</v>
      </c>
      <c r="E11332" s="2">
        <f ca="1">IFERROR(__xludf.DUMMYFUNCTION("""COMPUTED_VALUE"""),1)</f>
        <v>1</v>
      </c>
    </row>
    <row r="11333" spans="1:5" ht="13">
      <c r="A11333" s="2" t="str">
        <f ca="1">IFERROR(__xludf.DUMMYFUNCTION("""COMPUTED_VALUE"""),"Martínez, José")</f>
        <v>Martínez, José</v>
      </c>
      <c r="B11333" s="3">
        <f ca="1">IFERROR(__xludf.DUMMYFUNCTION("""COMPUTED_VALUE"""),3)</f>
        <v>3</v>
      </c>
      <c r="C11333" s="7">
        <f ca="1">IFERROR(__xludf.DUMMYFUNCTION("""COMPUTED_VALUE"""),3.2)</f>
        <v>3.2</v>
      </c>
      <c r="D11333" s="8">
        <f ca="1">IFERROR(__xludf.DUMMYFUNCTION("""COMPUTED_VALUE"""),3)</f>
        <v>3</v>
      </c>
      <c r="E11333" s="2">
        <f ca="1">IFERROR(__xludf.DUMMYFUNCTION("""COMPUTED_VALUE"""),1)</f>
        <v>1</v>
      </c>
    </row>
    <row r="11334" spans="1:5" ht="13">
      <c r="A11334" s="2" t="str">
        <f ca="1">IFERROR(__xludf.DUMMYFUNCTION("""COMPUTED_VALUE"""),"Martínez, Rodrigo")</f>
        <v>Martínez, Rodrigo</v>
      </c>
      <c r="B11334" s="2">
        <f ca="1">IFERROR(__xludf.DUMMYFUNCTION("""COMPUTED_VALUE"""),3)</f>
        <v>3</v>
      </c>
      <c r="C11334" s="7">
        <f ca="1">IFERROR(__xludf.DUMMYFUNCTION("""COMPUTED_VALUE"""),3.2)</f>
        <v>3.2</v>
      </c>
      <c r="D11334" s="8">
        <f ca="1">IFERROR(__xludf.DUMMYFUNCTION("""COMPUTED_VALUE"""),3)</f>
        <v>3</v>
      </c>
      <c r="E11334" s="2">
        <f ca="1">IFERROR(__xludf.DUMMYFUNCTION("""COMPUTED_VALUE"""),1)</f>
        <v>1</v>
      </c>
    </row>
    <row r="11335" spans="1:5" ht="13">
      <c r="A11335" s="2" t="str">
        <f ca="1">IFERROR(__xludf.DUMMYFUNCTION("""COMPUTED_VALUE"""),"Mashima, Toshio")</f>
        <v>Mashima, Toshio</v>
      </c>
      <c r="B11335" s="3">
        <f ca="1">IFERROR(__xludf.DUMMYFUNCTION("""COMPUTED_VALUE"""),3)</f>
        <v>3</v>
      </c>
      <c r="C11335" s="7">
        <f ca="1">IFERROR(__xludf.DUMMYFUNCTION("""COMPUTED_VALUE"""),3.3)</f>
        <v>3.3</v>
      </c>
      <c r="D11335" s="8">
        <f ca="1">IFERROR(__xludf.DUMMYFUNCTION("""COMPUTED_VALUE"""),7)</f>
        <v>7</v>
      </c>
      <c r="E11335" s="2">
        <f ca="1">IFERROR(__xludf.DUMMYFUNCTION("""COMPUTED_VALUE"""),2)</f>
        <v>2</v>
      </c>
    </row>
    <row r="11336" spans="1:5" ht="13">
      <c r="A11336" s="2" t="str">
        <f ca="1">IFERROR(__xludf.DUMMYFUNCTION("""COMPUTED_VALUE"""),"Mason, Quinn")</f>
        <v>Mason, Quinn</v>
      </c>
      <c r="B11336" s="3">
        <f ca="1">IFERROR(__xludf.DUMMYFUNCTION("""COMPUTED_VALUE"""),3)</f>
        <v>3</v>
      </c>
      <c r="C11336" s="7">
        <f ca="1">IFERROR(__xludf.DUMMYFUNCTION("""COMPUTED_VALUE"""),3.1)</f>
        <v>3.1</v>
      </c>
      <c r="D11336" s="8">
        <f ca="1">IFERROR(__xludf.DUMMYFUNCTION("""COMPUTED_VALUE"""),3)</f>
        <v>3</v>
      </c>
      <c r="E11336" s="2">
        <f ca="1">IFERROR(__xludf.DUMMYFUNCTION("""COMPUTED_VALUE"""),1)</f>
        <v>1</v>
      </c>
    </row>
    <row r="11337" spans="1:5" ht="13">
      <c r="A11337" s="2" t="str">
        <f ca="1">IFERROR(__xludf.DUMMYFUNCTION("""COMPUTED_VALUE"""),"Master Kie / RoyalCity Lif")</f>
        <v>Master Kie / RoyalCity Lif</v>
      </c>
      <c r="B11337" s="3">
        <f ca="1">IFERROR(__xludf.DUMMYFUNCTION("""COMPUTED_VALUE"""),3)</f>
        <v>3</v>
      </c>
      <c r="C11337" s="7">
        <f ca="1">IFERROR(__xludf.DUMMYFUNCTION("""COMPUTED_VALUE"""),3.1)</f>
        <v>3.1</v>
      </c>
      <c r="D11337" s="8">
        <f ca="1">IFERROR(__xludf.DUMMYFUNCTION("""COMPUTED_VALUE"""),3)</f>
        <v>3</v>
      </c>
      <c r="E11337" s="2">
        <f ca="1">IFERROR(__xludf.DUMMYFUNCTION("""COMPUTED_VALUE"""),1)</f>
        <v>1</v>
      </c>
    </row>
    <row r="11338" spans="1:5" ht="13">
      <c r="A11338" s="8" t="str">
        <f ca="1">IFERROR(__xludf.DUMMYFUNCTION("""COMPUTED_VALUE"""),"Masuda, Junichi")</f>
        <v>Masuda, Junichi</v>
      </c>
      <c r="B11338" s="3">
        <f ca="1">IFERROR(__xludf.DUMMYFUNCTION("""COMPUTED_VALUE"""),3)</f>
        <v>3</v>
      </c>
      <c r="C11338" s="7">
        <f ca="1">IFERROR(__xludf.DUMMYFUNCTION("""COMPUTED_VALUE"""),3.3)</f>
        <v>3.3</v>
      </c>
      <c r="D11338" s="8">
        <f ca="1">IFERROR(__xludf.DUMMYFUNCTION("""COMPUTED_VALUE"""),3)</f>
        <v>3</v>
      </c>
      <c r="E11338" s="2">
        <f ca="1">IFERROR(__xludf.DUMMYFUNCTION("""COMPUTED_VALUE"""),1)</f>
        <v>1</v>
      </c>
    </row>
    <row r="11339" spans="1:5" ht="13">
      <c r="A11339" s="2" t="str">
        <f ca="1">IFERROR(__xludf.DUMMYFUNCTION("""COMPUTED_VALUE"""),"Mata, Eduardo")</f>
        <v>Mata, Eduardo</v>
      </c>
      <c r="B11339" s="3">
        <f ca="1">IFERROR(__xludf.DUMMYFUNCTION("""COMPUTED_VALUE"""),3)</f>
        <v>3</v>
      </c>
      <c r="C11339" s="7">
        <f ca="1">IFERROR(__xludf.DUMMYFUNCTION("""COMPUTED_VALUE"""),3.2)</f>
        <v>3.2</v>
      </c>
      <c r="D11339" s="8">
        <f ca="1">IFERROR(__xludf.DUMMYFUNCTION("""COMPUTED_VALUE"""),7)</f>
        <v>7</v>
      </c>
      <c r="E11339" s="2">
        <f ca="1">IFERROR(__xludf.DUMMYFUNCTION("""COMPUTED_VALUE"""),2)</f>
        <v>2</v>
      </c>
    </row>
    <row r="11340" spans="1:5" ht="13">
      <c r="A11340" s="2" t="str">
        <f ca="1">IFERROR(__xludf.DUMMYFUNCTION("""COMPUTED_VALUE"""),"Matamoros, Miguel")</f>
        <v>Matamoros, Miguel</v>
      </c>
      <c r="B11340" s="2">
        <f ca="1">IFERROR(__xludf.DUMMYFUNCTION("""COMPUTED_VALUE"""),3)</f>
        <v>3</v>
      </c>
      <c r="C11340" s="7">
        <f ca="1">IFERROR(__xludf.DUMMYFUNCTION("""COMPUTED_VALUE"""),3.2)</f>
        <v>3.2</v>
      </c>
      <c r="D11340" s="8">
        <f ca="1">IFERROR(__xludf.DUMMYFUNCTION("""COMPUTED_VALUE"""),7)</f>
        <v>7</v>
      </c>
      <c r="E11340" s="2">
        <f ca="1">IFERROR(__xludf.DUMMYFUNCTION("""COMPUTED_VALUE"""),2)</f>
        <v>2</v>
      </c>
    </row>
    <row r="11341" spans="1:5" ht="13">
      <c r="A11341" s="8" t="str">
        <f ca="1">IFERROR(__xludf.DUMMYFUNCTION("""COMPUTED_VALUE"""),"Mathews, Ronnie")</f>
        <v>Mathews, Ronnie</v>
      </c>
      <c r="B11341" s="3">
        <f ca="1">IFERROR(__xludf.DUMMYFUNCTION("""COMPUTED_VALUE"""),3)</f>
        <v>3</v>
      </c>
      <c r="C11341" s="7">
        <f ca="1">IFERROR(__xludf.DUMMYFUNCTION("""COMPUTED_VALUE"""),3.1)</f>
        <v>3.1</v>
      </c>
      <c r="D11341" s="8">
        <f ca="1">IFERROR(__xludf.DUMMYFUNCTION("""COMPUTED_VALUE"""),7)</f>
        <v>7</v>
      </c>
      <c r="E11341" s="2">
        <f ca="1">IFERROR(__xludf.DUMMYFUNCTION("""COMPUTED_VALUE"""),2)</f>
        <v>2</v>
      </c>
    </row>
    <row r="11342" spans="1:5" ht="13">
      <c r="A11342" s="8" t="str">
        <f ca="1">IFERROR(__xludf.DUMMYFUNCTION("""COMPUTED_VALUE"""),"Matshego, Thabo")</f>
        <v>Matshego, Thabo</v>
      </c>
      <c r="B11342" s="3">
        <f ca="1">IFERROR(__xludf.DUMMYFUNCTION("""COMPUTED_VALUE"""),3)</f>
        <v>3</v>
      </c>
      <c r="C11342" s="7">
        <f ca="1">IFERROR(__xludf.DUMMYFUNCTION("""COMPUTED_VALUE"""),3.1)</f>
        <v>3.1</v>
      </c>
      <c r="D11342" s="8">
        <f ca="1">IFERROR(__xludf.DUMMYFUNCTION("""COMPUTED_VALUE"""),3)</f>
        <v>3</v>
      </c>
      <c r="E11342" s="2">
        <f ca="1">IFERROR(__xludf.DUMMYFUNCTION("""COMPUTED_VALUE"""),1)</f>
        <v>1</v>
      </c>
    </row>
    <row r="11343" spans="1:5" ht="13">
      <c r="A11343" s="2" t="str">
        <f ca="1">IFERROR(__xludf.DUMMYFUNCTION("""COMPUTED_VALUE"""),"Matsushiro, T.")</f>
        <v>Matsushiro, T.</v>
      </c>
      <c r="B11343" s="3">
        <f ca="1">IFERROR(__xludf.DUMMYFUNCTION("""COMPUTED_VALUE"""),3)</f>
        <v>3</v>
      </c>
      <c r="C11343" s="7">
        <f ca="1">IFERROR(__xludf.DUMMYFUNCTION("""COMPUTED_VALUE"""),3.3)</f>
        <v>3.3</v>
      </c>
      <c r="D11343" s="8">
        <f ca="1">IFERROR(__xludf.DUMMYFUNCTION("""COMPUTED_VALUE"""),3)</f>
        <v>3</v>
      </c>
      <c r="E11343" s="2">
        <f ca="1">IFERROR(__xludf.DUMMYFUNCTION("""COMPUTED_VALUE"""),1)</f>
        <v>1</v>
      </c>
    </row>
    <row r="11344" spans="1:5" ht="13">
      <c r="A11344" s="2" t="str">
        <f ca="1">IFERROR(__xludf.DUMMYFUNCTION("""COMPUTED_VALUE"""),"Matsushita, Ko")</f>
        <v>Matsushita, Ko</v>
      </c>
      <c r="B11344" s="3">
        <f ca="1">IFERROR(__xludf.DUMMYFUNCTION("""COMPUTED_VALUE"""),3)</f>
        <v>3</v>
      </c>
      <c r="C11344" s="7">
        <f ca="1">IFERROR(__xludf.DUMMYFUNCTION("""COMPUTED_VALUE"""),3.3)</f>
        <v>3.3</v>
      </c>
      <c r="D11344" s="8">
        <f ca="1">IFERROR(__xludf.DUMMYFUNCTION("""COMPUTED_VALUE"""),3)</f>
        <v>3</v>
      </c>
      <c r="E11344" s="2">
        <f ca="1">IFERROR(__xludf.DUMMYFUNCTION("""COMPUTED_VALUE"""),1)</f>
        <v>1</v>
      </c>
    </row>
    <row r="11345" spans="1:5" ht="13">
      <c r="A11345" s="2" t="str">
        <f ca="1">IFERROR(__xludf.DUMMYFUNCTION("""COMPUTED_VALUE"""),"Matsushita, Tomohito")</f>
        <v>Matsushita, Tomohito</v>
      </c>
      <c r="B11345" s="2">
        <f ca="1">IFERROR(__xludf.DUMMYFUNCTION("""COMPUTED_VALUE"""),3)</f>
        <v>3</v>
      </c>
      <c r="C11345" s="7">
        <f ca="1">IFERROR(__xludf.DUMMYFUNCTION("""COMPUTED_VALUE"""),3.3)</f>
        <v>3.3</v>
      </c>
      <c r="D11345" s="8">
        <f ca="1">IFERROR(__xludf.DUMMYFUNCTION("""COMPUTED_VALUE"""),3)</f>
        <v>3</v>
      </c>
      <c r="E11345" s="2">
        <f ca="1">IFERROR(__xludf.DUMMYFUNCTION("""COMPUTED_VALUE"""),1)</f>
        <v>1</v>
      </c>
    </row>
    <row r="11346" spans="1:5" ht="13">
      <c r="A11346" s="2" t="str">
        <f ca="1">IFERROR(__xludf.DUMMYFUNCTION("""COMPUTED_VALUE"""),"Matsuura, Kinya")</f>
        <v>Matsuura, Kinya</v>
      </c>
      <c r="B11346" s="3">
        <f ca="1">IFERROR(__xludf.DUMMYFUNCTION("""COMPUTED_VALUE"""),3)</f>
        <v>3</v>
      </c>
      <c r="C11346" s="7">
        <f ca="1">IFERROR(__xludf.DUMMYFUNCTION("""COMPUTED_VALUE"""),3.3)</f>
        <v>3.3</v>
      </c>
      <c r="D11346" s="8">
        <f ca="1">IFERROR(__xludf.DUMMYFUNCTION("""COMPUTED_VALUE"""),3)</f>
        <v>3</v>
      </c>
      <c r="E11346" s="3">
        <f ca="1">IFERROR(__xludf.DUMMYFUNCTION("""COMPUTED_VALUE"""),1)</f>
        <v>1</v>
      </c>
    </row>
    <row r="11347" spans="1:5" ht="13">
      <c r="A11347" s="2" t="str">
        <f ca="1">IFERROR(__xludf.DUMMYFUNCTION("""COMPUTED_VALUE"""),"Matta, Thomas")</f>
        <v>Matta, Thomas</v>
      </c>
      <c r="B11347" s="2">
        <f ca="1">IFERROR(__xludf.DUMMYFUNCTION("""COMPUTED_VALUE"""),3)</f>
        <v>3</v>
      </c>
      <c r="C11347" s="7">
        <f ca="1">IFERROR(__xludf.DUMMYFUNCTION("""COMPUTED_VALUE"""),3.1)</f>
        <v>3.1</v>
      </c>
      <c r="D11347" s="8">
        <f ca="1">IFERROR(__xludf.DUMMYFUNCTION("""COMPUTED_VALUE"""),7)</f>
        <v>7</v>
      </c>
      <c r="E11347" s="2">
        <f ca="1">IFERROR(__xludf.DUMMYFUNCTION("""COMPUTED_VALUE"""),2)</f>
        <v>2</v>
      </c>
    </row>
    <row r="11348" spans="1:5" ht="13">
      <c r="A11348" s="8" t="str">
        <f ca="1">IFERROR(__xludf.DUMMYFUNCTION("""COMPUTED_VALUE"""),"Matyila, Archibald Arnold Mxolisi")</f>
        <v>Matyila, Archibald Arnold Mxolisi</v>
      </c>
      <c r="B11348" s="3">
        <f ca="1">IFERROR(__xludf.DUMMYFUNCTION("""COMPUTED_VALUE"""),3)</f>
        <v>3</v>
      </c>
      <c r="C11348" s="7">
        <f ca="1">IFERROR(__xludf.DUMMYFUNCTION("""COMPUTED_VALUE"""),3.1)</f>
        <v>3.1</v>
      </c>
      <c r="D11348" s="8">
        <f ca="1">IFERROR(__xludf.DUMMYFUNCTION("""COMPUTED_VALUE"""),7)</f>
        <v>7</v>
      </c>
      <c r="E11348" s="2">
        <f ca="1">IFERROR(__xludf.DUMMYFUNCTION("""COMPUTED_VALUE"""),2)</f>
        <v>2</v>
      </c>
    </row>
    <row r="11349" spans="1:5" ht="13">
      <c r="A11349" s="8" t="str">
        <f ca="1">IFERROR(__xludf.DUMMYFUNCTION("""COMPUTED_VALUE"""),"Maudlin, Michael")</f>
        <v>Maudlin, Michael</v>
      </c>
      <c r="B11349" s="3">
        <f ca="1">IFERROR(__xludf.DUMMYFUNCTION("""COMPUTED_VALUE"""),3)</f>
        <v>3</v>
      </c>
      <c r="C11349" s="7">
        <f ca="1">IFERROR(__xludf.DUMMYFUNCTION("""COMPUTED_VALUE"""),3.1)</f>
        <v>3.1</v>
      </c>
      <c r="D11349" s="8">
        <f ca="1">IFERROR(__xludf.DUMMYFUNCTION("""COMPUTED_VALUE"""),3)</f>
        <v>3</v>
      </c>
      <c r="E11349" s="2">
        <f ca="1">IFERROR(__xludf.DUMMYFUNCTION("""COMPUTED_VALUE"""),1)</f>
        <v>1</v>
      </c>
    </row>
    <row r="11350" spans="1:5" ht="13">
      <c r="A11350" s="2" t="str">
        <f ca="1">IFERROR(__xludf.DUMMYFUNCTION("""COMPUTED_VALUE"""),"Maudonnet, Daniel")</f>
        <v>Maudonnet, Daniel</v>
      </c>
      <c r="B11350" s="2">
        <f ca="1">IFERROR(__xludf.DUMMYFUNCTION("""COMPUTED_VALUE"""),3)</f>
        <v>3</v>
      </c>
      <c r="C11350" s="7">
        <f ca="1">IFERROR(__xludf.DUMMYFUNCTION("""COMPUTED_VALUE"""),3.2)</f>
        <v>3.2</v>
      </c>
      <c r="D11350" s="8">
        <f ca="1">IFERROR(__xludf.DUMMYFUNCTION("""COMPUTED_VALUE"""),3)</f>
        <v>3</v>
      </c>
      <c r="E11350" s="2">
        <f ca="1">IFERROR(__xludf.DUMMYFUNCTION("""COMPUTED_VALUE"""),1)</f>
        <v>1</v>
      </c>
    </row>
    <row r="11351" spans="1:5" ht="13">
      <c r="A11351" s="2" t="str">
        <f ca="1">IFERROR(__xludf.DUMMYFUNCTION("""COMPUTED_VALUE"""),"Maurtua, Jose Luis")</f>
        <v>Maurtua, Jose Luis</v>
      </c>
      <c r="B11351" s="2">
        <f ca="1">IFERROR(__xludf.DUMMYFUNCTION("""COMPUTED_VALUE"""),3)</f>
        <v>3</v>
      </c>
      <c r="C11351" s="2">
        <f ca="1">IFERROR(__xludf.DUMMYFUNCTION("""COMPUTED_VALUE"""),3.2)</f>
        <v>3.2</v>
      </c>
      <c r="D11351" s="8">
        <f ca="1">IFERROR(__xludf.DUMMYFUNCTION("""COMPUTED_VALUE"""),7)</f>
        <v>7</v>
      </c>
      <c r="E11351" s="2">
        <f ca="1">IFERROR(__xludf.DUMMYFUNCTION("""COMPUTED_VALUE"""),2)</f>
        <v>2</v>
      </c>
    </row>
    <row r="11352" spans="1:5" ht="13">
      <c r="A11352" s="2" t="str">
        <f ca="1">IFERROR(__xludf.DUMMYFUNCTION("""COMPUTED_VALUE"""),"Maxey, Tyler")</f>
        <v>Maxey, Tyler</v>
      </c>
      <c r="B11352" s="3">
        <f ca="1">IFERROR(__xludf.DUMMYFUNCTION("""COMPUTED_VALUE"""),3)</f>
        <v>3</v>
      </c>
      <c r="C11352" s="7">
        <f ca="1">IFERROR(__xludf.DUMMYFUNCTION("""COMPUTED_VALUE"""),3.1)</f>
        <v>3.1</v>
      </c>
      <c r="D11352" s="8">
        <f ca="1">IFERROR(__xludf.DUMMYFUNCTION("""COMPUTED_VALUE"""),3)</f>
        <v>3</v>
      </c>
      <c r="E11352" s="2">
        <f ca="1">IFERROR(__xludf.DUMMYFUNCTION("""COMPUTED_VALUE"""),1)</f>
        <v>1</v>
      </c>
    </row>
    <row r="11353" spans="1:5" ht="13">
      <c r="A11353" s="2" t="str">
        <f ca="1">IFERROR(__xludf.DUMMYFUNCTION("""COMPUTED_VALUE"""),"Maxwell")</f>
        <v>Maxwell</v>
      </c>
      <c r="B11353" s="2">
        <f ca="1">IFERROR(__xludf.DUMMYFUNCTION("""COMPUTED_VALUE"""),3)</f>
        <v>3</v>
      </c>
      <c r="C11353" s="7">
        <f ca="1">IFERROR(__xludf.DUMMYFUNCTION("""COMPUTED_VALUE"""),3.1)</f>
        <v>3.1</v>
      </c>
      <c r="D11353" s="8">
        <f ca="1">IFERROR(__xludf.DUMMYFUNCTION("""COMPUTED_VALUE"""),3)</f>
        <v>3</v>
      </c>
      <c r="E11353" s="2">
        <f ca="1">IFERROR(__xludf.DUMMYFUNCTION("""COMPUTED_VALUE"""),1)</f>
        <v>1</v>
      </c>
    </row>
    <row r="11354" spans="1:5" ht="13">
      <c r="A11354" s="2" t="str">
        <f ca="1">IFERROR(__xludf.DUMMYFUNCTION("""COMPUTED_VALUE"""),"Mayfield, Curtis")</f>
        <v>Mayfield, Curtis</v>
      </c>
      <c r="B11354" s="2">
        <f ca="1">IFERROR(__xludf.DUMMYFUNCTION("""COMPUTED_VALUE"""),3)</f>
        <v>3</v>
      </c>
      <c r="C11354" s="7">
        <f ca="1">IFERROR(__xludf.DUMMYFUNCTION("""COMPUTED_VALUE"""),3.1)</f>
        <v>3.1</v>
      </c>
      <c r="D11354" s="8">
        <f ca="1">IFERROR(__xludf.DUMMYFUNCTION("""COMPUTED_VALUE"""),7)</f>
        <v>7</v>
      </c>
      <c r="E11354" s="2">
        <f ca="1">IFERROR(__xludf.DUMMYFUNCTION("""COMPUTED_VALUE"""),2)</f>
        <v>2</v>
      </c>
    </row>
    <row r="11355" spans="1:5" ht="13">
      <c r="A11355" s="2" t="str">
        <f ca="1">IFERROR(__xludf.DUMMYFUNCTION("""COMPUTED_VALUE"""),"Mayo, Martin Francisco")</f>
        <v>Mayo, Martin Francisco</v>
      </c>
      <c r="B11355" s="3">
        <f ca="1">IFERROR(__xludf.DUMMYFUNCTION("""COMPUTED_VALUE"""),3)</f>
        <v>3</v>
      </c>
      <c r="C11355" s="7">
        <f ca="1">IFERROR(__xludf.DUMMYFUNCTION("""COMPUTED_VALUE"""),3.2)</f>
        <v>3.2</v>
      </c>
      <c r="D11355" s="8">
        <f ca="1">IFERROR(__xludf.DUMMYFUNCTION("""COMPUTED_VALUE"""),3)</f>
        <v>3</v>
      </c>
      <c r="E11355" s="2">
        <f ca="1">IFERROR(__xludf.DUMMYFUNCTION("""COMPUTED_VALUE"""),1)</f>
        <v>1</v>
      </c>
    </row>
    <row r="11356" spans="1:5" ht="13">
      <c r="A11356" s="2" t="str">
        <f ca="1">IFERROR(__xludf.DUMMYFUNCTION("""COMPUTED_VALUE"""),"Mazumdar, Gaurav")</f>
        <v>Mazumdar, Gaurav</v>
      </c>
      <c r="B11356" s="3">
        <f ca="1">IFERROR(__xludf.DUMMYFUNCTION("""COMPUTED_VALUE"""),3)</f>
        <v>3</v>
      </c>
      <c r="C11356" s="7">
        <f ca="1">IFERROR(__xludf.DUMMYFUNCTION("""COMPUTED_VALUE"""),3.4)</f>
        <v>3.4</v>
      </c>
      <c r="D11356" s="8">
        <f ca="1">IFERROR(__xludf.DUMMYFUNCTION("""COMPUTED_VALUE"""),3)</f>
        <v>3</v>
      </c>
      <c r="E11356" s="2">
        <f ca="1">IFERROR(__xludf.DUMMYFUNCTION("""COMPUTED_VALUE"""),1)</f>
        <v>1</v>
      </c>
    </row>
    <row r="11357" spans="1:5" ht="13">
      <c r="A11357" s="2" t="str">
        <f ca="1">IFERROR(__xludf.DUMMYFUNCTION("""COMPUTED_VALUE"""),"McBride, Christian")</f>
        <v>McBride, Christian</v>
      </c>
      <c r="B11357" s="3">
        <f ca="1">IFERROR(__xludf.DUMMYFUNCTION("""COMPUTED_VALUE"""),3)</f>
        <v>3</v>
      </c>
      <c r="C11357" s="7">
        <f ca="1">IFERROR(__xludf.DUMMYFUNCTION("""COMPUTED_VALUE"""),3.1)</f>
        <v>3.1</v>
      </c>
      <c r="D11357" s="8">
        <f ca="1">IFERROR(__xludf.DUMMYFUNCTION("""COMPUTED_VALUE"""),3)</f>
        <v>3</v>
      </c>
      <c r="E11357" s="2">
        <f ca="1">IFERROR(__xludf.DUMMYFUNCTION("""COMPUTED_VALUE"""),1)</f>
        <v>1</v>
      </c>
    </row>
    <row r="11358" spans="1:5" ht="13">
      <c r="A11358" s="2" t="str">
        <f ca="1">IFERROR(__xludf.DUMMYFUNCTION("""COMPUTED_VALUE"""),"McCoy, Van")</f>
        <v>McCoy, Van</v>
      </c>
      <c r="B11358" s="3">
        <f ca="1">IFERROR(__xludf.DUMMYFUNCTION("""COMPUTED_VALUE"""),3)</f>
        <v>3</v>
      </c>
      <c r="C11358" s="7">
        <f ca="1">IFERROR(__xludf.DUMMYFUNCTION("""COMPUTED_VALUE"""),3.1)</f>
        <v>3.1</v>
      </c>
      <c r="D11358" s="8">
        <f ca="1">IFERROR(__xludf.DUMMYFUNCTION("""COMPUTED_VALUE"""),7)</f>
        <v>7</v>
      </c>
      <c r="E11358" s="2">
        <f ca="1">IFERROR(__xludf.DUMMYFUNCTION("""COMPUTED_VALUE"""),2)</f>
        <v>2</v>
      </c>
    </row>
    <row r="11359" spans="1:5" ht="13">
      <c r="A11359" s="8" t="str">
        <f ca="1">IFERROR(__xludf.DUMMYFUNCTION("""COMPUTED_VALUE"""),"McCullough, James")</f>
        <v>McCullough, James</v>
      </c>
      <c r="B11359" s="3">
        <f ca="1">IFERROR(__xludf.DUMMYFUNCTION("""COMPUTED_VALUE"""),3)</f>
        <v>3</v>
      </c>
      <c r="C11359" s="7">
        <f ca="1">IFERROR(__xludf.DUMMYFUNCTION("""COMPUTED_VALUE"""),3.1)</f>
        <v>3.1</v>
      </c>
      <c r="D11359" s="8">
        <f ca="1">IFERROR(__xludf.DUMMYFUNCTION("""COMPUTED_VALUE"""),3)</f>
        <v>3</v>
      </c>
      <c r="E11359" s="2">
        <f ca="1">IFERROR(__xludf.DUMMYFUNCTION("""COMPUTED_VALUE"""),1)</f>
        <v>1</v>
      </c>
    </row>
    <row r="11360" spans="1:5" ht="13">
      <c r="A11360" s="2" t="str">
        <f ca="1">IFERROR(__xludf.DUMMYFUNCTION("""COMPUTED_VALUE"""),"McCutchen, Keith")</f>
        <v>McCutchen, Keith</v>
      </c>
      <c r="B11360" s="3">
        <f ca="1">IFERROR(__xludf.DUMMYFUNCTION("""COMPUTED_VALUE"""),3)</f>
        <v>3</v>
      </c>
      <c r="C11360" s="7">
        <f ca="1">IFERROR(__xludf.DUMMYFUNCTION("""COMPUTED_VALUE"""),3.1)</f>
        <v>3.1</v>
      </c>
      <c r="D11360" s="8">
        <f ca="1">IFERROR(__xludf.DUMMYFUNCTION("""COMPUTED_VALUE"""),3)</f>
        <v>3</v>
      </c>
      <c r="E11360" s="2">
        <f ca="1">IFERROR(__xludf.DUMMYFUNCTION("""COMPUTED_VALUE"""),1)</f>
        <v>1</v>
      </c>
    </row>
    <row r="11361" spans="1:5" ht="13">
      <c r="A11361" s="2" t="str">
        <f ca="1">IFERROR(__xludf.DUMMYFUNCTION("""COMPUTED_VALUE"""),"McFerrin, Bobby")</f>
        <v>McFerrin, Bobby</v>
      </c>
      <c r="B11361" s="2">
        <f ca="1">IFERROR(__xludf.DUMMYFUNCTION("""COMPUTED_VALUE"""),3)</f>
        <v>3</v>
      </c>
      <c r="C11361" s="7">
        <f ca="1">IFERROR(__xludf.DUMMYFUNCTION("""COMPUTED_VALUE"""),3.1)</f>
        <v>3.1</v>
      </c>
      <c r="D11361" s="8">
        <f ca="1">IFERROR(__xludf.DUMMYFUNCTION("""COMPUTED_VALUE"""),3)</f>
        <v>3</v>
      </c>
      <c r="E11361" s="2">
        <f ca="1">IFERROR(__xludf.DUMMYFUNCTION("""COMPUTED_VALUE"""),1)</f>
        <v>1</v>
      </c>
    </row>
    <row r="11362" spans="1:5" ht="13">
      <c r="A11362" s="2" t="str">
        <f ca="1">IFERROR(__xludf.DUMMYFUNCTION("""COMPUTED_VALUE"""),"McKenzie, Timothy")</f>
        <v>McKenzie, Timothy</v>
      </c>
      <c r="B11362" s="2">
        <f ca="1">IFERROR(__xludf.DUMMYFUNCTION("""COMPUTED_VALUE"""),3)</f>
        <v>3</v>
      </c>
      <c r="C11362" s="7">
        <f ca="1">IFERROR(__xludf.DUMMYFUNCTION("""COMPUTED_VALUE"""),3.1)</f>
        <v>3.1</v>
      </c>
      <c r="D11362" s="8">
        <f ca="1">IFERROR(__xludf.DUMMYFUNCTION("""COMPUTED_VALUE"""),3)</f>
        <v>3</v>
      </c>
      <c r="E11362" s="2">
        <f ca="1">IFERROR(__xludf.DUMMYFUNCTION("""COMPUTED_VALUE"""),1)</f>
        <v>1</v>
      </c>
    </row>
    <row r="11363" spans="1:5" ht="13">
      <c r="A11363" s="2" t="str">
        <f ca="1">IFERROR(__xludf.DUMMYFUNCTION("""COMPUTED_VALUE"""),"McLin, Edward")</f>
        <v>McLin, Edward</v>
      </c>
      <c r="B11363" s="2">
        <f ca="1">IFERROR(__xludf.DUMMYFUNCTION("""COMPUTED_VALUE"""),3)</f>
        <v>3</v>
      </c>
      <c r="C11363" s="7">
        <f ca="1">IFERROR(__xludf.DUMMYFUNCTION("""COMPUTED_VALUE"""),3.1)</f>
        <v>3.1</v>
      </c>
      <c r="D11363" s="8">
        <f ca="1">IFERROR(__xludf.DUMMYFUNCTION("""COMPUTED_VALUE"""),7)</f>
        <v>7</v>
      </c>
      <c r="E11363" s="2">
        <f ca="1">IFERROR(__xludf.DUMMYFUNCTION("""COMPUTED_VALUE"""),2)</f>
        <v>2</v>
      </c>
    </row>
    <row r="11364" spans="1:5" ht="13">
      <c r="A11364" s="2" t="str">
        <f ca="1">IFERROR(__xludf.DUMMYFUNCTION("""COMPUTED_VALUE"""),"Medalie, Doron")</f>
        <v>Medalie, Doron</v>
      </c>
      <c r="B11364" s="2">
        <f ca="1">IFERROR(__xludf.DUMMYFUNCTION("""COMPUTED_VALUE"""),3)</f>
        <v>3</v>
      </c>
      <c r="C11364" s="7">
        <f ca="1">IFERROR(__xludf.DUMMYFUNCTION("""COMPUTED_VALUE"""),3.5)</f>
        <v>3.5</v>
      </c>
      <c r="D11364" s="8">
        <f ca="1">IFERROR(__xludf.DUMMYFUNCTION("""COMPUTED_VALUE"""),3)</f>
        <v>3</v>
      </c>
      <c r="E11364" s="2">
        <f ca="1">IFERROR(__xludf.DUMMYFUNCTION("""COMPUTED_VALUE"""),1)</f>
        <v>1</v>
      </c>
    </row>
    <row r="11365" spans="1:5" ht="13">
      <c r="A11365" s="8" t="str">
        <f ca="1">IFERROR(__xludf.DUMMYFUNCTION("""COMPUTED_VALUE"""),"Meirelles, João Theodoro")</f>
        <v>Meirelles, João Theodoro</v>
      </c>
      <c r="B11365" s="3">
        <f ca="1">IFERROR(__xludf.DUMMYFUNCTION("""COMPUTED_VALUE"""),3)</f>
        <v>3</v>
      </c>
      <c r="C11365" s="7">
        <f ca="1">IFERROR(__xludf.DUMMYFUNCTION("""COMPUTED_VALUE"""),3.2)</f>
        <v>3.2</v>
      </c>
      <c r="D11365" s="8">
        <f ca="1">IFERROR(__xludf.DUMMYFUNCTION("""COMPUTED_VALUE"""),7)</f>
        <v>7</v>
      </c>
      <c r="E11365" s="2">
        <f ca="1">IFERROR(__xludf.DUMMYFUNCTION("""COMPUTED_VALUE"""),2)</f>
        <v>2</v>
      </c>
    </row>
    <row r="11366" spans="1:5" ht="13">
      <c r="A11366" s="2" t="str">
        <f ca="1">IFERROR(__xludf.DUMMYFUNCTION("""COMPUTED_VALUE"""),"Mendez, Rafael")</f>
        <v>Mendez, Rafael</v>
      </c>
      <c r="B11366" s="3">
        <f ca="1">IFERROR(__xludf.DUMMYFUNCTION("""COMPUTED_VALUE"""),3)</f>
        <v>3</v>
      </c>
      <c r="C11366" s="7">
        <f ca="1">IFERROR(__xludf.DUMMYFUNCTION("""COMPUTED_VALUE"""),3.2)</f>
        <v>3.2</v>
      </c>
      <c r="D11366" s="8">
        <f ca="1">IFERROR(__xludf.DUMMYFUNCTION("""COMPUTED_VALUE"""),7)</f>
        <v>7</v>
      </c>
      <c r="E11366" s="2">
        <f ca="1">IFERROR(__xludf.DUMMYFUNCTION("""COMPUTED_VALUE"""),2)</f>
        <v>2</v>
      </c>
    </row>
    <row r="11367" spans="1:5" ht="13">
      <c r="A11367" s="2" t="str">
        <f ca="1">IFERROR(__xludf.DUMMYFUNCTION("""COMPUTED_VALUE"""),"Méndez, Rafael")</f>
        <v>Méndez, Rafael</v>
      </c>
      <c r="B11367" s="2">
        <f ca="1">IFERROR(__xludf.DUMMYFUNCTION("""COMPUTED_VALUE"""),3)</f>
        <v>3</v>
      </c>
      <c r="C11367" s="7">
        <f ca="1">IFERROR(__xludf.DUMMYFUNCTION("""COMPUTED_VALUE"""),3.2)</f>
        <v>3.2</v>
      </c>
      <c r="D11367" s="8">
        <f ca="1">IFERROR(__xludf.DUMMYFUNCTION("""COMPUTED_VALUE"""),7)</f>
        <v>7</v>
      </c>
      <c r="E11367" s="2">
        <f ca="1">IFERROR(__xludf.DUMMYFUNCTION("""COMPUTED_VALUE"""),2)</f>
        <v>2</v>
      </c>
    </row>
    <row r="11368" spans="1:5" ht="13">
      <c r="A11368" s="2" t="str">
        <f ca="1">IFERROR(__xludf.DUMMYFUNCTION("""COMPUTED_VALUE"""),"Mendez, Rafael / Koff, Charles")</f>
        <v>Mendez, Rafael / Koff, Charles</v>
      </c>
      <c r="B11368" s="3">
        <f ca="1">IFERROR(__xludf.DUMMYFUNCTION("""COMPUTED_VALUE"""),3)</f>
        <v>3</v>
      </c>
      <c r="C11368" s="7">
        <f ca="1">IFERROR(__xludf.DUMMYFUNCTION("""COMPUTED_VALUE"""),3.2)</f>
        <v>3.2</v>
      </c>
      <c r="D11368" s="8">
        <f ca="1">IFERROR(__xludf.DUMMYFUNCTION("""COMPUTED_VALUE"""),7)</f>
        <v>7</v>
      </c>
      <c r="E11368" s="2">
        <f ca="1">IFERROR(__xludf.DUMMYFUNCTION("""COMPUTED_VALUE"""),2)</f>
        <v>2</v>
      </c>
    </row>
    <row r="11369" spans="1:5" ht="13">
      <c r="A11369" s="2" t="str">
        <f ca="1">IFERROR(__xludf.DUMMYFUNCTION("""COMPUTED_VALUE"""),"Mendoza")</f>
        <v>Mendoza</v>
      </c>
      <c r="B11369" s="3">
        <f ca="1">IFERROR(__xludf.DUMMYFUNCTION("""COMPUTED_VALUE"""),3)</f>
        <v>3</v>
      </c>
      <c r="C11369" s="7">
        <f ca="1">IFERROR(__xludf.DUMMYFUNCTION("""COMPUTED_VALUE"""),3.2)</f>
        <v>3.2</v>
      </c>
      <c r="D11369" s="8">
        <f ca="1">IFERROR(__xludf.DUMMYFUNCTION("""COMPUTED_VALUE"""),3)</f>
        <v>3</v>
      </c>
      <c r="E11369" s="2">
        <f ca="1">IFERROR(__xludf.DUMMYFUNCTION("""COMPUTED_VALUE"""),1)</f>
        <v>1</v>
      </c>
    </row>
    <row r="11370" spans="1:5" ht="13">
      <c r="A11370" s="2" t="str">
        <f ca="1">IFERROR(__xludf.DUMMYFUNCTION("""COMPUTED_VALUE"""),"Mendoza y Cortés, Quirino")</f>
        <v>Mendoza y Cortés, Quirino</v>
      </c>
      <c r="B11370" s="3">
        <f ca="1">IFERROR(__xludf.DUMMYFUNCTION("""COMPUTED_VALUE"""),3)</f>
        <v>3</v>
      </c>
      <c r="C11370" s="7">
        <f ca="1">IFERROR(__xludf.DUMMYFUNCTION("""COMPUTED_VALUE"""),3.2)</f>
        <v>3.2</v>
      </c>
      <c r="D11370" s="8">
        <f ca="1">IFERROR(__xludf.DUMMYFUNCTION("""COMPUTED_VALUE"""),7)</f>
        <v>7</v>
      </c>
      <c r="E11370" s="2">
        <f ca="1">IFERROR(__xludf.DUMMYFUNCTION("""COMPUTED_VALUE"""),2)</f>
        <v>2</v>
      </c>
    </row>
    <row r="11371" spans="1:5" ht="13">
      <c r="A11371" s="8" t="str">
        <f ca="1">IFERROR(__xludf.DUMMYFUNCTION("""COMPUTED_VALUE"""),"Mendoza, Ivan")</f>
        <v>Mendoza, Ivan</v>
      </c>
      <c r="B11371" s="3">
        <f ca="1">IFERROR(__xludf.DUMMYFUNCTION("""COMPUTED_VALUE"""),3)</f>
        <v>3</v>
      </c>
      <c r="C11371" s="7">
        <f ca="1">IFERROR(__xludf.DUMMYFUNCTION("""COMPUTED_VALUE"""),3.2)</f>
        <v>3.2</v>
      </c>
      <c r="D11371" s="8">
        <f ca="1">IFERROR(__xludf.DUMMYFUNCTION("""COMPUTED_VALUE"""),3)</f>
        <v>3</v>
      </c>
      <c r="E11371" s="2">
        <f ca="1">IFERROR(__xludf.DUMMYFUNCTION("""COMPUTED_VALUE"""),1)</f>
        <v>1</v>
      </c>
    </row>
    <row r="11372" spans="1:5" ht="13">
      <c r="A11372" s="8" t="str">
        <f ca="1">IFERROR(__xludf.DUMMYFUNCTION("""COMPUTED_VALUE"""),"Mendoza, Michael")</f>
        <v>Mendoza, Michael</v>
      </c>
      <c r="B11372" s="3">
        <f ca="1">IFERROR(__xludf.DUMMYFUNCTION("""COMPUTED_VALUE"""),3)</f>
        <v>3</v>
      </c>
      <c r="C11372" s="7">
        <f ca="1">IFERROR(__xludf.DUMMYFUNCTION("""COMPUTED_VALUE"""),3.2)</f>
        <v>3.2</v>
      </c>
      <c r="D11372" s="8">
        <f ca="1">IFERROR(__xludf.DUMMYFUNCTION("""COMPUTED_VALUE"""),3)</f>
        <v>3</v>
      </c>
      <c r="E11372" s="2">
        <f ca="1">IFERROR(__xludf.DUMMYFUNCTION("""COMPUTED_VALUE"""),1)</f>
        <v>1</v>
      </c>
    </row>
    <row r="11373" spans="1:5" ht="13">
      <c r="A11373" s="2" t="str">
        <f ca="1">IFERROR(__xludf.DUMMYFUNCTION("""COMPUTED_VALUE"""),"Mercury, Freddie")</f>
        <v>Mercury, Freddie</v>
      </c>
      <c r="B11373" s="3">
        <f ca="1">IFERROR(__xludf.DUMMYFUNCTION("""COMPUTED_VALUE"""),3)</f>
        <v>3</v>
      </c>
      <c r="C11373" s="7">
        <f ca="1">IFERROR(__xludf.DUMMYFUNCTION("""COMPUTED_VALUE"""),3.4)</f>
        <v>3.4</v>
      </c>
      <c r="D11373" s="8">
        <f ca="1">IFERROR(__xludf.DUMMYFUNCTION("""COMPUTED_VALUE"""),7)</f>
        <v>7</v>
      </c>
      <c r="E11373" s="2">
        <f ca="1">IFERROR(__xludf.DUMMYFUNCTION("""COMPUTED_VALUE"""),2)</f>
        <v>2</v>
      </c>
    </row>
    <row r="11374" spans="1:5" ht="13">
      <c r="A11374" s="2" t="str">
        <f ca="1">IFERROR(__xludf.DUMMYFUNCTION("""COMPUTED_VALUE"""),"Merrifield, Norman")</f>
        <v>Merrifield, Norman</v>
      </c>
      <c r="B11374" s="3">
        <f ca="1">IFERROR(__xludf.DUMMYFUNCTION("""COMPUTED_VALUE"""),3)</f>
        <v>3</v>
      </c>
      <c r="C11374" s="7">
        <f ca="1">IFERROR(__xludf.DUMMYFUNCTION("""COMPUTED_VALUE"""),3.1)</f>
        <v>3.1</v>
      </c>
      <c r="D11374" s="8">
        <f ca="1">IFERROR(__xludf.DUMMYFUNCTION("""COMPUTED_VALUE"""),7)</f>
        <v>7</v>
      </c>
      <c r="E11374" s="2">
        <f ca="1">IFERROR(__xludf.DUMMYFUNCTION("""COMPUTED_VALUE"""),2)</f>
        <v>2</v>
      </c>
    </row>
    <row r="11375" spans="1:5" ht="13">
      <c r="A11375" s="2" t="str">
        <f ca="1">IFERROR(__xludf.DUMMYFUNCTION("""COMPUTED_VALUE"""),"Mesa y Carrizo, Manuel")</f>
        <v>Mesa y Carrizo, Manuel</v>
      </c>
      <c r="B11375" s="3">
        <f ca="1">IFERROR(__xludf.DUMMYFUNCTION("""COMPUTED_VALUE"""),3)</f>
        <v>3</v>
      </c>
      <c r="C11375" s="7">
        <f ca="1">IFERROR(__xludf.DUMMYFUNCTION("""COMPUTED_VALUE"""),3.2)</f>
        <v>3.2</v>
      </c>
      <c r="D11375" s="8">
        <f ca="1">IFERROR(__xludf.DUMMYFUNCTION("""COMPUTED_VALUE"""),7)</f>
        <v>7</v>
      </c>
      <c r="E11375" s="2">
        <f ca="1">IFERROR(__xludf.DUMMYFUNCTION("""COMPUTED_VALUE"""),2)</f>
        <v>2</v>
      </c>
    </row>
    <row r="11376" spans="1:5" ht="13">
      <c r="A11376" s="2" t="str">
        <f ca="1">IFERROR(__xludf.DUMMYFUNCTION("""COMPUTED_VALUE"""),"Mesa, Vinicio A.")</f>
        <v>Mesa, Vinicio A.</v>
      </c>
      <c r="B11376" s="3">
        <f ca="1">IFERROR(__xludf.DUMMYFUNCTION("""COMPUTED_VALUE"""),3)</f>
        <v>3</v>
      </c>
      <c r="C11376" s="7">
        <f ca="1">IFERROR(__xludf.DUMMYFUNCTION("""COMPUTED_VALUE"""),3.2)</f>
        <v>3.2</v>
      </c>
      <c r="D11376" s="8">
        <f ca="1">IFERROR(__xludf.DUMMYFUNCTION("""COMPUTED_VALUE"""),3)</f>
        <v>3</v>
      </c>
      <c r="E11376" s="2">
        <f ca="1">IFERROR(__xludf.DUMMYFUNCTION("""COMPUTED_VALUE"""),1)</f>
        <v>1</v>
      </c>
    </row>
    <row r="11377" spans="1:5" ht="13">
      <c r="A11377" s="8" t="str">
        <f ca="1">IFERROR(__xludf.DUMMYFUNCTION("""COMPUTED_VALUE"""),"Mganga, Boniface")</f>
        <v>Mganga, Boniface</v>
      </c>
      <c r="B11377" s="3">
        <f ca="1">IFERROR(__xludf.DUMMYFUNCTION("""COMPUTED_VALUE"""),3)</f>
        <v>3</v>
      </c>
      <c r="C11377" s="7">
        <f ca="1">IFERROR(__xludf.DUMMYFUNCTION("""COMPUTED_VALUE"""),3.1)</f>
        <v>3.1</v>
      </c>
      <c r="D11377" s="8">
        <f ca="1">IFERROR(__xludf.DUMMYFUNCTION("""COMPUTED_VALUE"""),7)</f>
        <v>7</v>
      </c>
      <c r="E11377" s="2">
        <f ca="1">IFERROR(__xludf.DUMMYFUNCTION("""COMPUTED_VALUE"""),2)</f>
        <v>2</v>
      </c>
    </row>
    <row r="11378" spans="1:5" ht="13">
      <c r="A11378" s="2" t="str">
        <f ca="1">IFERROR(__xludf.DUMMYFUNCTION("""COMPUTED_VALUE"""),"Mignone, Francisco")</f>
        <v>Mignone, Francisco</v>
      </c>
      <c r="B11378" s="2">
        <f ca="1">IFERROR(__xludf.DUMMYFUNCTION("""COMPUTED_VALUE"""),3)</f>
        <v>3</v>
      </c>
      <c r="C11378" s="7">
        <f ca="1">IFERROR(__xludf.DUMMYFUNCTION("""COMPUTED_VALUE"""),3.2)</f>
        <v>3.2</v>
      </c>
      <c r="D11378" s="8">
        <f ca="1">IFERROR(__xludf.DUMMYFUNCTION("""COMPUTED_VALUE"""),7)</f>
        <v>7</v>
      </c>
      <c r="E11378" s="2">
        <f ca="1">IFERROR(__xludf.DUMMYFUNCTION("""COMPUTED_VALUE"""),2)</f>
        <v>2</v>
      </c>
    </row>
    <row r="11379" spans="1:5" ht="13">
      <c r="A11379" s="2" t="str">
        <f ca="1">IFERROR(__xludf.DUMMYFUNCTION("""COMPUTED_VALUE"""),"Milburn, Dwayne S.")</f>
        <v>Milburn, Dwayne S.</v>
      </c>
      <c r="B11379" s="3">
        <f ca="1">IFERROR(__xludf.DUMMYFUNCTION("""COMPUTED_VALUE"""),3)</f>
        <v>3</v>
      </c>
      <c r="C11379" s="7">
        <f ca="1">IFERROR(__xludf.DUMMYFUNCTION("""COMPUTED_VALUE"""),3.1)</f>
        <v>3.1</v>
      </c>
      <c r="D11379" s="8">
        <f ca="1">IFERROR(__xludf.DUMMYFUNCTION("""COMPUTED_VALUE"""),3)</f>
        <v>3</v>
      </c>
      <c r="E11379" s="2">
        <f ca="1">IFERROR(__xludf.DUMMYFUNCTION("""COMPUTED_VALUE"""),1)</f>
        <v>1</v>
      </c>
    </row>
    <row r="11380" spans="1:5" ht="13">
      <c r="A11380" s="2" t="str">
        <f ca="1">IFERROR(__xludf.DUMMYFUNCTION("""COMPUTED_VALUE"""),"Miller, Marcus")</f>
        <v>Miller, Marcus</v>
      </c>
      <c r="B11380" s="2">
        <f ca="1">IFERROR(__xludf.DUMMYFUNCTION("""COMPUTED_VALUE"""),3)</f>
        <v>3</v>
      </c>
      <c r="C11380" s="7">
        <f ca="1">IFERROR(__xludf.DUMMYFUNCTION("""COMPUTED_VALUE"""),3.1)</f>
        <v>3.1</v>
      </c>
      <c r="D11380" s="8">
        <f ca="1">IFERROR(__xludf.DUMMYFUNCTION("""COMPUTED_VALUE"""),3)</f>
        <v>3</v>
      </c>
      <c r="E11380" s="2">
        <f ca="1">IFERROR(__xludf.DUMMYFUNCTION("""COMPUTED_VALUE"""),1)</f>
        <v>1</v>
      </c>
    </row>
    <row r="11381" spans="1:5" ht="13">
      <c r="A11381" s="2" t="str">
        <f ca="1">IFERROR(__xludf.DUMMYFUNCTION("""COMPUTED_VALUE"""),"Miller, Mark")</f>
        <v>Miller, Mark</v>
      </c>
      <c r="B11381" s="3">
        <f ca="1">IFERROR(__xludf.DUMMYFUNCTION("""COMPUTED_VALUE"""),3)</f>
        <v>3</v>
      </c>
      <c r="C11381" s="7">
        <f ca="1">IFERROR(__xludf.DUMMYFUNCTION("""COMPUTED_VALUE"""),3.1)</f>
        <v>3.1</v>
      </c>
      <c r="D11381" s="8">
        <f ca="1">IFERROR(__xludf.DUMMYFUNCTION("""COMPUTED_VALUE"""),3)</f>
        <v>3</v>
      </c>
      <c r="E11381" s="2">
        <f ca="1">IFERROR(__xludf.DUMMYFUNCTION("""COMPUTED_VALUE"""),1)</f>
        <v>1</v>
      </c>
    </row>
    <row r="11382" spans="1:5" ht="13">
      <c r="A11382" s="8" t="str">
        <f ca="1">IFERROR(__xludf.DUMMYFUNCTION("""COMPUTED_VALUE"""),"Miller, Mulgrew")</f>
        <v>Miller, Mulgrew</v>
      </c>
      <c r="B11382" s="3">
        <f ca="1">IFERROR(__xludf.DUMMYFUNCTION("""COMPUTED_VALUE"""),3)</f>
        <v>3</v>
      </c>
      <c r="C11382" s="7">
        <f ca="1">IFERROR(__xludf.DUMMYFUNCTION("""COMPUTED_VALUE"""),3.1)</f>
        <v>3.1</v>
      </c>
      <c r="D11382" s="8">
        <f ca="1">IFERROR(__xludf.DUMMYFUNCTION("""COMPUTED_VALUE"""),7)</f>
        <v>7</v>
      </c>
      <c r="E11382" s="2">
        <f ca="1">IFERROR(__xludf.DUMMYFUNCTION("""COMPUTED_VALUE"""),2)</f>
        <v>2</v>
      </c>
    </row>
    <row r="11383" spans="1:5" ht="13">
      <c r="A11383" s="2" t="str">
        <f ca="1">IFERROR(__xludf.DUMMYFUNCTION("""COMPUTED_VALUE"""),"Minakuchi, T.")</f>
        <v>Minakuchi, T.</v>
      </c>
      <c r="B11383" s="3">
        <f ca="1">IFERROR(__xludf.DUMMYFUNCTION("""COMPUTED_VALUE"""),3)</f>
        <v>3</v>
      </c>
      <c r="C11383" s="7">
        <f ca="1">IFERROR(__xludf.DUMMYFUNCTION("""COMPUTED_VALUE"""),3.3)</f>
        <v>3.3</v>
      </c>
      <c r="D11383" s="8">
        <f ca="1">IFERROR(__xludf.DUMMYFUNCTION("""COMPUTED_VALUE"""),3)</f>
        <v>3</v>
      </c>
      <c r="E11383" s="2">
        <f ca="1">IFERROR(__xludf.DUMMYFUNCTION("""COMPUTED_VALUE"""),1)</f>
        <v>1</v>
      </c>
    </row>
    <row r="11384" spans="1:5" ht="13">
      <c r="A11384" s="2" t="str">
        <f ca="1">IFERROR(__xludf.DUMMYFUNCTION("""COMPUTED_VALUE"""),"Mingus, Charles")</f>
        <v>Mingus, Charles</v>
      </c>
      <c r="B11384" s="2">
        <f ca="1">IFERROR(__xludf.DUMMYFUNCTION("""COMPUTED_VALUE"""),3)</f>
        <v>3</v>
      </c>
      <c r="C11384" s="7">
        <f ca="1">IFERROR(__xludf.DUMMYFUNCTION("""COMPUTED_VALUE"""),3.8)</f>
        <v>3.8</v>
      </c>
      <c r="D11384" s="8">
        <f ca="1">IFERROR(__xludf.DUMMYFUNCTION("""COMPUTED_VALUE"""),7)</f>
        <v>7</v>
      </c>
      <c r="E11384" s="2">
        <f ca="1">IFERROR(__xludf.DUMMYFUNCTION("""COMPUTED_VALUE"""),2)</f>
        <v>2</v>
      </c>
    </row>
    <row r="11385" spans="1:5" ht="13">
      <c r="A11385" s="2" t="str">
        <f ca="1">IFERROR(__xludf.DUMMYFUNCTION("""COMPUTED_VALUE"""),"Miranda, Lin-Manuel")</f>
        <v>Miranda, Lin-Manuel</v>
      </c>
      <c r="B11385" s="3">
        <f ca="1">IFERROR(__xludf.DUMMYFUNCTION("""COMPUTED_VALUE"""),3)</f>
        <v>3</v>
      </c>
      <c r="C11385" s="7">
        <f ca="1">IFERROR(__xludf.DUMMYFUNCTION("""COMPUTED_VALUE"""),3.2)</f>
        <v>3.2</v>
      </c>
      <c r="D11385" s="8">
        <f ca="1">IFERROR(__xludf.DUMMYFUNCTION("""COMPUTED_VALUE"""),3)</f>
        <v>3</v>
      </c>
      <c r="E11385" s="2">
        <f ca="1">IFERROR(__xludf.DUMMYFUNCTION("""COMPUTED_VALUE"""),1)</f>
        <v>1</v>
      </c>
    </row>
    <row r="11386" spans="1:5" ht="13">
      <c r="A11386" s="2" t="str">
        <f ca="1">IFERROR(__xludf.DUMMYFUNCTION("""COMPUTED_VALUE"""),"Miranda, Ronaldo")</f>
        <v>Miranda, Ronaldo</v>
      </c>
      <c r="B11386" s="3">
        <f ca="1">IFERROR(__xludf.DUMMYFUNCTION("""COMPUTED_VALUE"""),3)</f>
        <v>3</v>
      </c>
      <c r="C11386" s="7">
        <f ca="1">IFERROR(__xludf.DUMMYFUNCTION("""COMPUTED_VALUE"""),3.2)</f>
        <v>3.2</v>
      </c>
      <c r="D11386" s="8">
        <f ca="1">IFERROR(__xludf.DUMMYFUNCTION("""COMPUTED_VALUE"""),3)</f>
        <v>3</v>
      </c>
      <c r="E11386" s="2">
        <f ca="1">IFERROR(__xludf.DUMMYFUNCTION("""COMPUTED_VALUE"""),1)</f>
        <v>1</v>
      </c>
    </row>
    <row r="11387" spans="1:5" ht="13">
      <c r="A11387" s="2" t="str">
        <f ca="1">IFERROR(__xludf.DUMMYFUNCTION("""COMPUTED_VALUE"""),"Mittal, Aakash")</f>
        <v>Mittal, Aakash</v>
      </c>
      <c r="B11387" s="3">
        <f ca="1">IFERROR(__xludf.DUMMYFUNCTION("""COMPUTED_VALUE"""),3)</f>
        <v>3</v>
      </c>
      <c r="C11387" s="7">
        <f ca="1">IFERROR(__xludf.DUMMYFUNCTION("""COMPUTED_VALUE"""),3.4)</f>
        <v>3.4</v>
      </c>
      <c r="D11387" s="8">
        <f ca="1">IFERROR(__xludf.DUMMYFUNCTION("""COMPUTED_VALUE"""),3)</f>
        <v>3</v>
      </c>
      <c r="E11387" s="2">
        <f ca="1">IFERROR(__xludf.DUMMYFUNCTION("""COMPUTED_VALUE"""),1)</f>
        <v>1</v>
      </c>
    </row>
    <row r="11388" spans="1:5" ht="13">
      <c r="A11388" s="2" t="str">
        <f ca="1">IFERROR(__xludf.DUMMYFUNCTION("""COMPUTED_VALUE"""),"Miura, H.")</f>
        <v>Miura, H.</v>
      </c>
      <c r="B11388" s="3">
        <f ca="1">IFERROR(__xludf.DUMMYFUNCTION("""COMPUTED_VALUE"""),3)</f>
        <v>3</v>
      </c>
      <c r="C11388" s="7">
        <f ca="1">IFERROR(__xludf.DUMMYFUNCTION("""COMPUTED_VALUE"""),3.3)</f>
        <v>3.3</v>
      </c>
      <c r="D11388" s="8">
        <f ca="1">IFERROR(__xludf.DUMMYFUNCTION("""COMPUTED_VALUE"""),3)</f>
        <v>3</v>
      </c>
      <c r="E11388" s="2">
        <f ca="1">IFERROR(__xludf.DUMMYFUNCTION("""COMPUTED_VALUE"""),1)</f>
        <v>1</v>
      </c>
    </row>
    <row r="11389" spans="1:5" ht="13">
      <c r="A11389" s="2" t="str">
        <f ca="1">IFERROR(__xludf.DUMMYFUNCTION("""COMPUTED_VALUE"""),"Miura, Hiroya")</f>
        <v>Miura, Hiroya</v>
      </c>
      <c r="B11389" s="3">
        <f ca="1">IFERROR(__xludf.DUMMYFUNCTION("""COMPUTED_VALUE"""),3)</f>
        <v>3</v>
      </c>
      <c r="C11389" s="7">
        <f ca="1">IFERROR(__xludf.DUMMYFUNCTION("""COMPUTED_VALUE"""),3.3)</f>
        <v>3.3</v>
      </c>
      <c r="D11389" s="8">
        <f ca="1">IFERROR(__xludf.DUMMYFUNCTION("""COMPUTED_VALUE"""),3)</f>
        <v>3</v>
      </c>
      <c r="E11389" s="2">
        <f ca="1">IFERROR(__xludf.DUMMYFUNCTION("""COMPUTED_VALUE"""),1)</f>
        <v>1</v>
      </c>
    </row>
    <row r="11390" spans="1:5" ht="13">
      <c r="A11390" s="2" t="str">
        <f ca="1">IFERROR(__xludf.DUMMYFUNCTION("""COMPUTED_VALUE"""),"Miyagawa, Akira")</f>
        <v>Miyagawa, Akira</v>
      </c>
      <c r="B11390" s="3">
        <f ca="1">IFERROR(__xludf.DUMMYFUNCTION("""COMPUTED_VALUE"""),3)</f>
        <v>3</v>
      </c>
      <c r="C11390" s="7">
        <f ca="1">IFERROR(__xludf.DUMMYFUNCTION("""COMPUTED_VALUE"""),3.3)</f>
        <v>3.3</v>
      </c>
      <c r="D11390" s="8">
        <f ca="1">IFERROR(__xludf.DUMMYFUNCTION("""COMPUTED_VALUE"""),3)</f>
        <v>3</v>
      </c>
      <c r="E11390" s="2">
        <f ca="1">IFERROR(__xludf.DUMMYFUNCTION("""COMPUTED_VALUE"""),1)</f>
        <v>1</v>
      </c>
    </row>
    <row r="11391" spans="1:5" ht="13">
      <c r="A11391" s="2" t="str">
        <f ca="1">IFERROR(__xludf.DUMMYFUNCTION("""COMPUTED_VALUE"""),"Miyagawa, Hiroshi")</f>
        <v>Miyagawa, Hiroshi</v>
      </c>
      <c r="B11391" s="3">
        <f ca="1">IFERROR(__xludf.DUMMYFUNCTION("""COMPUTED_VALUE"""),3)</f>
        <v>3</v>
      </c>
      <c r="C11391" s="7">
        <f ca="1">IFERROR(__xludf.DUMMYFUNCTION("""COMPUTED_VALUE"""),3.3)</f>
        <v>3.3</v>
      </c>
      <c r="D11391" s="8">
        <f ca="1">IFERROR(__xludf.DUMMYFUNCTION("""COMPUTED_VALUE"""),7)</f>
        <v>7</v>
      </c>
      <c r="E11391" s="2">
        <f ca="1">IFERROR(__xludf.DUMMYFUNCTION("""COMPUTED_VALUE"""),2)</f>
        <v>2</v>
      </c>
    </row>
    <row r="11392" spans="1:5" ht="13">
      <c r="A11392" s="2" t="str">
        <f ca="1">IFERROR(__xludf.DUMMYFUNCTION("""COMPUTED_VALUE"""),"Mobley, Hank")</f>
        <v>Mobley, Hank</v>
      </c>
      <c r="B11392" s="2">
        <f ca="1">IFERROR(__xludf.DUMMYFUNCTION("""COMPUTED_VALUE"""),3)</f>
        <v>3</v>
      </c>
      <c r="C11392" s="7">
        <f ca="1">IFERROR(__xludf.DUMMYFUNCTION("""COMPUTED_VALUE"""),3.1)</f>
        <v>3.1</v>
      </c>
      <c r="D11392" s="8">
        <f ca="1">IFERROR(__xludf.DUMMYFUNCTION("""COMPUTED_VALUE"""),7)</f>
        <v>7</v>
      </c>
      <c r="E11392" s="2">
        <f ca="1">IFERROR(__xludf.DUMMYFUNCTION("""COMPUTED_VALUE"""),2)</f>
        <v>2</v>
      </c>
    </row>
    <row r="11393" spans="1:5" ht="13">
      <c r="A11393" s="2" t="str">
        <f ca="1">IFERROR(__xludf.DUMMYFUNCTION("""COMPUTED_VALUE"""),"Mocoroa, Eduardo")</f>
        <v>Mocoroa, Eduardo</v>
      </c>
      <c r="B11393" s="3">
        <f ca="1">IFERROR(__xludf.DUMMYFUNCTION("""COMPUTED_VALUE"""),3)</f>
        <v>3</v>
      </c>
      <c r="C11393" s="7">
        <f ca="1">IFERROR(__xludf.DUMMYFUNCTION("""COMPUTED_VALUE"""),3.2)</f>
        <v>3.2</v>
      </c>
      <c r="D11393" s="8">
        <f ca="1">IFERROR(__xludf.DUMMYFUNCTION("""COMPUTED_VALUE"""),7)</f>
        <v>7</v>
      </c>
      <c r="E11393" s="2">
        <f ca="1">IFERROR(__xludf.DUMMYFUNCTION("""COMPUTED_VALUE"""),2)</f>
        <v>2</v>
      </c>
    </row>
    <row r="11394" spans="1:5" ht="13">
      <c r="A11394" s="2" t="str">
        <f ca="1">IFERROR(__xludf.DUMMYFUNCTION("""COMPUTED_VALUE"""),"Moleiro, Moises")</f>
        <v>Moleiro, Moises</v>
      </c>
      <c r="B11394" s="3">
        <f ca="1">IFERROR(__xludf.DUMMYFUNCTION("""COMPUTED_VALUE"""),3)</f>
        <v>3</v>
      </c>
      <c r="C11394" s="7">
        <f ca="1">IFERROR(__xludf.DUMMYFUNCTION("""COMPUTED_VALUE"""),3.2)</f>
        <v>3.2</v>
      </c>
      <c r="D11394" s="8">
        <f ca="1">IFERROR(__xludf.DUMMYFUNCTION("""COMPUTED_VALUE"""),7)</f>
        <v>7</v>
      </c>
      <c r="E11394" s="2">
        <f ca="1">IFERROR(__xludf.DUMMYFUNCTION("""COMPUTED_VALUE"""),2)</f>
        <v>2</v>
      </c>
    </row>
    <row r="11395" spans="1:5" ht="13">
      <c r="A11395" s="2" t="str">
        <f ca="1">IFERROR(__xludf.DUMMYFUNCTION("""COMPUTED_VALUE"""),"Moleiro, Moisés")</f>
        <v>Moleiro, Moisés</v>
      </c>
      <c r="B11395" s="3">
        <f ca="1">IFERROR(__xludf.DUMMYFUNCTION("""COMPUTED_VALUE"""),3)</f>
        <v>3</v>
      </c>
      <c r="C11395" s="7">
        <f ca="1">IFERROR(__xludf.DUMMYFUNCTION("""COMPUTED_VALUE"""),3.2)</f>
        <v>3.2</v>
      </c>
      <c r="D11395" s="8">
        <f ca="1">IFERROR(__xludf.DUMMYFUNCTION("""COMPUTED_VALUE"""),7)</f>
        <v>7</v>
      </c>
      <c r="E11395" s="2">
        <f ca="1">IFERROR(__xludf.DUMMYFUNCTION("""COMPUTED_VALUE"""),2)</f>
        <v>2</v>
      </c>
    </row>
    <row r="11396" spans="1:5" ht="13">
      <c r="A11396" s="8" t="str">
        <f ca="1">IFERROR(__xludf.DUMMYFUNCTION("""COMPUTED_VALUE"""),"Molina, Anton")</f>
        <v>Molina, Anton</v>
      </c>
      <c r="B11396" s="3">
        <f ca="1">IFERROR(__xludf.DUMMYFUNCTION("""COMPUTED_VALUE"""),3)</f>
        <v>3</v>
      </c>
      <c r="C11396" s="7">
        <f ca="1">IFERROR(__xludf.DUMMYFUNCTION("""COMPUTED_VALUE"""),3.3)</f>
        <v>3.3</v>
      </c>
      <c r="D11396" s="8">
        <f ca="1">IFERROR(__xludf.DUMMYFUNCTION("""COMPUTED_VALUE"""),7)</f>
        <v>7</v>
      </c>
      <c r="E11396" s="2">
        <f ca="1">IFERROR(__xludf.DUMMYFUNCTION("""COMPUTED_VALUE"""),2)</f>
        <v>2</v>
      </c>
    </row>
    <row r="11397" spans="1:5" ht="13">
      <c r="A11397" s="2" t="str">
        <f ca="1">IFERROR(__xludf.DUMMYFUNCTION("""COMPUTED_VALUE"""),"Molookpour, Amir")</f>
        <v>Molookpour, Amir</v>
      </c>
      <c r="B11397" s="3">
        <f ca="1">IFERROR(__xludf.DUMMYFUNCTION("""COMPUTED_VALUE"""),3)</f>
        <v>3</v>
      </c>
      <c r="C11397" s="7">
        <f ca="1">IFERROR(__xludf.DUMMYFUNCTION("""COMPUTED_VALUE"""),3.6)</f>
        <v>3.6</v>
      </c>
      <c r="D11397" s="8">
        <f ca="1">IFERROR(__xludf.DUMMYFUNCTION("""COMPUTED_VALUE"""),3)</f>
        <v>3</v>
      </c>
      <c r="E11397" s="2">
        <f ca="1">IFERROR(__xludf.DUMMYFUNCTION("""COMPUTED_VALUE"""),1)</f>
        <v>1</v>
      </c>
    </row>
    <row r="11398" spans="1:5" ht="13">
      <c r="A11398" s="2" t="str">
        <f ca="1">IFERROR(__xludf.DUMMYFUNCTION("""COMPUTED_VALUE"""),"Moncada, Eduardo Hernández")</f>
        <v>Moncada, Eduardo Hernández</v>
      </c>
      <c r="B11398" s="3">
        <f ca="1">IFERROR(__xludf.DUMMYFUNCTION("""COMPUTED_VALUE"""),3)</f>
        <v>3</v>
      </c>
      <c r="C11398" s="7">
        <f ca="1">IFERROR(__xludf.DUMMYFUNCTION("""COMPUTED_VALUE"""),3.2)</f>
        <v>3.2</v>
      </c>
      <c r="D11398" s="8">
        <f ca="1">IFERROR(__xludf.DUMMYFUNCTION("""COMPUTED_VALUE"""),7)</f>
        <v>7</v>
      </c>
      <c r="E11398" s="2">
        <f ca="1">IFERROR(__xludf.DUMMYFUNCTION("""COMPUTED_VALUE"""),2)</f>
        <v>2</v>
      </c>
    </row>
    <row r="11399" spans="1:5" ht="13">
      <c r="A11399" s="2" t="str">
        <f ca="1">IFERROR(__xludf.DUMMYFUNCTION("""COMPUTED_VALUE"""),"Moncayo, José Pablo")</f>
        <v>Moncayo, José Pablo</v>
      </c>
      <c r="B11399" s="3">
        <f ca="1">IFERROR(__xludf.DUMMYFUNCTION("""COMPUTED_VALUE"""),3)</f>
        <v>3</v>
      </c>
      <c r="C11399" s="7">
        <f ca="1">IFERROR(__xludf.DUMMYFUNCTION("""COMPUTED_VALUE"""),3.2)</f>
        <v>3.2</v>
      </c>
      <c r="D11399" s="8">
        <f ca="1">IFERROR(__xludf.DUMMYFUNCTION("""COMPUTED_VALUE"""),7)</f>
        <v>7</v>
      </c>
      <c r="E11399" s="2">
        <f ca="1">IFERROR(__xludf.DUMMYFUNCTION("""COMPUTED_VALUE"""),2)</f>
        <v>2</v>
      </c>
    </row>
    <row r="11400" spans="1:5" ht="13">
      <c r="A11400" s="2" t="str">
        <f ca="1">IFERROR(__xludf.DUMMYFUNCTION("""COMPUTED_VALUE"""),"Monge, De Chucho")</f>
        <v>Monge, De Chucho</v>
      </c>
      <c r="B11400" s="3">
        <f ca="1">IFERROR(__xludf.DUMMYFUNCTION("""COMPUTED_VALUE"""),3)</f>
        <v>3</v>
      </c>
      <c r="C11400" s="7">
        <f ca="1">IFERROR(__xludf.DUMMYFUNCTION("""COMPUTED_VALUE"""),3.2)</f>
        <v>3.2</v>
      </c>
      <c r="D11400" s="8">
        <f ca="1">IFERROR(__xludf.DUMMYFUNCTION("""COMPUTED_VALUE"""),7)</f>
        <v>7</v>
      </c>
      <c r="E11400" s="2">
        <f ca="1">IFERROR(__xludf.DUMMYFUNCTION("""COMPUTED_VALUE"""),2)</f>
        <v>2</v>
      </c>
    </row>
    <row r="11401" spans="1:5" ht="13">
      <c r="A11401" s="2" t="str">
        <f ca="1">IFERROR(__xludf.DUMMYFUNCTION("""COMPUTED_VALUE"""),"Monk, Thelonious")</f>
        <v>Monk, Thelonious</v>
      </c>
      <c r="B11401" s="3">
        <f ca="1">IFERROR(__xludf.DUMMYFUNCTION("""COMPUTED_VALUE"""),3)</f>
        <v>3</v>
      </c>
      <c r="C11401" s="7">
        <f ca="1">IFERROR(__xludf.DUMMYFUNCTION("""COMPUTED_VALUE"""),3.1)</f>
        <v>3.1</v>
      </c>
      <c r="D11401" s="8">
        <f ca="1">IFERROR(__xludf.DUMMYFUNCTION("""COMPUTED_VALUE"""),7)</f>
        <v>7</v>
      </c>
      <c r="E11401" s="2">
        <f ca="1">IFERROR(__xludf.DUMMYFUNCTION("""COMPUTED_VALUE"""),2)</f>
        <v>2</v>
      </c>
    </row>
    <row r="11402" spans="1:5" ht="13">
      <c r="A11402" s="2" t="str">
        <f ca="1">IFERROR(__xludf.DUMMYFUNCTION("""COMPUTED_VALUE"""),"Monk, Thelonious / Barduhn, Dave")</f>
        <v>Monk, Thelonious / Barduhn, Dave</v>
      </c>
      <c r="B11402" s="2">
        <f ca="1">IFERROR(__xludf.DUMMYFUNCTION("""COMPUTED_VALUE"""),3)</f>
        <v>3</v>
      </c>
      <c r="C11402" s="7">
        <f ca="1">IFERROR(__xludf.DUMMYFUNCTION("""COMPUTED_VALUE"""),3.1)</f>
        <v>3.1</v>
      </c>
      <c r="D11402" s="8">
        <f ca="1">IFERROR(__xludf.DUMMYFUNCTION("""COMPUTED_VALUE"""),7)</f>
        <v>7</v>
      </c>
      <c r="E11402" s="2">
        <f ca="1">IFERROR(__xludf.DUMMYFUNCTION("""COMPUTED_VALUE"""),2)</f>
        <v>2</v>
      </c>
    </row>
    <row r="11403" spans="1:5" ht="13">
      <c r="A11403" s="2" t="str">
        <f ca="1">IFERROR(__xludf.DUMMYFUNCTION("""COMPUTED_VALUE"""),"Monk, Thelonious / Clarke, Kenny")</f>
        <v>Monk, Thelonious / Clarke, Kenny</v>
      </c>
      <c r="B11403" s="3">
        <f ca="1">IFERROR(__xludf.DUMMYFUNCTION("""COMPUTED_VALUE"""),3)</f>
        <v>3</v>
      </c>
      <c r="C11403" s="7">
        <f ca="1">IFERROR(__xludf.DUMMYFUNCTION("""COMPUTED_VALUE"""),3.1)</f>
        <v>3.1</v>
      </c>
      <c r="D11403" s="8">
        <f ca="1">IFERROR(__xludf.DUMMYFUNCTION("""COMPUTED_VALUE"""),7)</f>
        <v>7</v>
      </c>
      <c r="E11403" s="2">
        <f ca="1">IFERROR(__xludf.DUMMYFUNCTION("""COMPUTED_VALUE"""),2)</f>
        <v>2</v>
      </c>
    </row>
    <row r="11404" spans="1:5" ht="13">
      <c r="A11404" s="2" t="str">
        <f ca="1">IFERROR(__xludf.DUMMYFUNCTION("""COMPUTED_VALUE"""),"Monk, Thelonious / Del Ferro, Mike")</f>
        <v>Monk, Thelonious / Del Ferro, Mike</v>
      </c>
      <c r="B11404" s="2">
        <f ca="1">IFERROR(__xludf.DUMMYFUNCTION("""COMPUTED_VALUE"""),3)</f>
        <v>3</v>
      </c>
      <c r="C11404" s="7">
        <f ca="1">IFERROR(__xludf.DUMMYFUNCTION("""COMPUTED_VALUE"""),3.1)</f>
        <v>3.1</v>
      </c>
      <c r="D11404" s="8">
        <f ca="1">IFERROR(__xludf.DUMMYFUNCTION("""COMPUTED_VALUE"""),7)</f>
        <v>7</v>
      </c>
      <c r="E11404" s="2">
        <f ca="1">IFERROR(__xludf.DUMMYFUNCTION("""COMPUTED_VALUE"""),2)</f>
        <v>2</v>
      </c>
    </row>
    <row r="11405" spans="1:5" ht="13">
      <c r="A11405" s="2" t="str">
        <f ca="1">IFERROR(__xludf.DUMMYFUNCTION("""COMPUTED_VALUE"""),"Monk, Thelonious / Williams, Cootie")</f>
        <v>Monk, Thelonious / Williams, Cootie</v>
      </c>
      <c r="B11405" s="2">
        <f ca="1">IFERROR(__xludf.DUMMYFUNCTION("""COMPUTED_VALUE"""),3)</f>
        <v>3</v>
      </c>
      <c r="C11405" s="7">
        <f ca="1">IFERROR(__xludf.DUMMYFUNCTION("""COMPUTED_VALUE"""),3.1)</f>
        <v>3.1</v>
      </c>
      <c r="D11405" s="8">
        <f ca="1">IFERROR(__xludf.DUMMYFUNCTION("""COMPUTED_VALUE"""),7)</f>
        <v>7</v>
      </c>
      <c r="E11405" s="2">
        <f ca="1">IFERROR(__xludf.DUMMYFUNCTION("""COMPUTED_VALUE"""),2)</f>
        <v>2</v>
      </c>
    </row>
    <row r="11406" spans="1:5" ht="13">
      <c r="A11406" s="2" t="str">
        <f ca="1">IFERROR(__xludf.DUMMYFUNCTION("""COMPUTED_VALUE"""),"Montgomery, John L. (Wes)")</f>
        <v>Montgomery, John L. (Wes)</v>
      </c>
      <c r="B11406" s="2">
        <f ca="1">IFERROR(__xludf.DUMMYFUNCTION("""COMPUTED_VALUE"""),3)</f>
        <v>3</v>
      </c>
      <c r="C11406" s="7">
        <f ca="1">IFERROR(__xludf.DUMMYFUNCTION("""COMPUTED_VALUE"""),3.1)</f>
        <v>3.1</v>
      </c>
      <c r="D11406" s="8">
        <f ca="1">IFERROR(__xludf.DUMMYFUNCTION("""COMPUTED_VALUE"""),7)</f>
        <v>7</v>
      </c>
      <c r="E11406" s="2">
        <f ca="1">IFERROR(__xludf.DUMMYFUNCTION("""COMPUTED_VALUE"""),2)</f>
        <v>2</v>
      </c>
    </row>
    <row r="11407" spans="1:5" ht="13">
      <c r="A11407" s="2" t="str">
        <f ca="1">IFERROR(__xludf.DUMMYFUNCTION("""COMPUTED_VALUE"""),"Montgomery, Wes")</f>
        <v>Montgomery, Wes</v>
      </c>
      <c r="B11407" s="3">
        <f ca="1">IFERROR(__xludf.DUMMYFUNCTION("""COMPUTED_VALUE"""),3)</f>
        <v>3</v>
      </c>
      <c r="C11407" s="7">
        <f ca="1">IFERROR(__xludf.DUMMYFUNCTION("""COMPUTED_VALUE"""),3.1)</f>
        <v>3.1</v>
      </c>
      <c r="D11407" s="8">
        <f ca="1">IFERROR(__xludf.DUMMYFUNCTION("""COMPUTED_VALUE"""),7)</f>
        <v>7</v>
      </c>
      <c r="E11407" s="2">
        <f ca="1">IFERROR(__xludf.DUMMYFUNCTION("""COMPUTED_VALUE"""),2)</f>
        <v>2</v>
      </c>
    </row>
    <row r="11408" spans="1:5" ht="13">
      <c r="A11408" s="2" t="str">
        <f ca="1">IFERROR(__xludf.DUMMYFUNCTION("""COMPUTED_VALUE"""),"Montoya Jr., Daniel")</f>
        <v>Montoya Jr., Daniel</v>
      </c>
      <c r="B11408" s="3">
        <f ca="1">IFERROR(__xludf.DUMMYFUNCTION("""COMPUTED_VALUE"""),3)</f>
        <v>3</v>
      </c>
      <c r="C11408" s="7">
        <f ca="1">IFERROR(__xludf.DUMMYFUNCTION("""COMPUTED_VALUE"""),3.2)</f>
        <v>3.2</v>
      </c>
      <c r="D11408" s="8">
        <f ca="1">IFERROR(__xludf.DUMMYFUNCTION("""COMPUTED_VALUE"""),3)</f>
        <v>3</v>
      </c>
      <c r="E11408" s="2">
        <f ca="1">IFERROR(__xludf.DUMMYFUNCTION("""COMPUTED_VALUE"""),1)</f>
        <v>1</v>
      </c>
    </row>
    <row r="11409" spans="1:5" ht="13">
      <c r="A11409" s="2" t="str">
        <f ca="1">IFERROR(__xludf.DUMMYFUNCTION("""COMPUTED_VALUE"""),"Moody, Greg")</f>
        <v>Moody, Greg</v>
      </c>
      <c r="B11409" s="2">
        <f ca="1">IFERROR(__xludf.DUMMYFUNCTION("""COMPUTED_VALUE"""),3)</f>
        <v>3</v>
      </c>
      <c r="C11409" s="7">
        <f ca="1">IFERROR(__xludf.DUMMYFUNCTION("""COMPUTED_VALUE"""),3.1)</f>
        <v>3.1</v>
      </c>
      <c r="D11409" s="8">
        <f ca="1">IFERROR(__xludf.DUMMYFUNCTION("""COMPUTED_VALUE"""),3)</f>
        <v>3</v>
      </c>
      <c r="E11409" s="2">
        <f ca="1">IFERROR(__xludf.DUMMYFUNCTION("""COMPUTED_VALUE"""),1)</f>
        <v>1</v>
      </c>
    </row>
    <row r="11410" spans="1:5" ht="13">
      <c r="A11410" s="2" t="str">
        <f ca="1">IFERROR(__xludf.DUMMYFUNCTION("""COMPUTED_VALUE"""),"Moody, James")</f>
        <v>Moody, James</v>
      </c>
      <c r="B11410" s="3">
        <f ca="1">IFERROR(__xludf.DUMMYFUNCTION("""COMPUTED_VALUE"""),3)</f>
        <v>3</v>
      </c>
      <c r="C11410" s="7">
        <f ca="1">IFERROR(__xludf.DUMMYFUNCTION("""COMPUTED_VALUE"""),3.1)</f>
        <v>3.1</v>
      </c>
      <c r="D11410" s="8">
        <f ca="1">IFERROR(__xludf.DUMMYFUNCTION("""COMPUTED_VALUE"""),7)</f>
        <v>7</v>
      </c>
      <c r="E11410" s="2">
        <f ca="1">IFERROR(__xludf.DUMMYFUNCTION("""COMPUTED_VALUE"""),2)</f>
        <v>2</v>
      </c>
    </row>
    <row r="11411" spans="1:5" ht="13">
      <c r="A11411" s="2" t="str">
        <f ca="1">IFERROR(__xludf.DUMMYFUNCTION("""COMPUTED_VALUE"""),"Moore III, Joe")</f>
        <v>Moore III, Joe</v>
      </c>
      <c r="B11411" s="3">
        <f ca="1">IFERROR(__xludf.DUMMYFUNCTION("""COMPUTED_VALUE"""),3)</f>
        <v>3</v>
      </c>
      <c r="C11411" s="7">
        <f ca="1">IFERROR(__xludf.DUMMYFUNCTION("""COMPUTED_VALUE"""),3.1)</f>
        <v>3.1</v>
      </c>
      <c r="D11411" s="8">
        <f ca="1">IFERROR(__xludf.DUMMYFUNCTION("""COMPUTED_VALUE"""),3)</f>
        <v>3</v>
      </c>
      <c r="E11411" s="2">
        <f ca="1">IFERROR(__xludf.DUMMYFUNCTION("""COMPUTED_VALUE"""),1)</f>
        <v>1</v>
      </c>
    </row>
    <row r="11412" spans="1:5" ht="13">
      <c r="A11412" s="2" t="str">
        <f ca="1">IFERROR(__xludf.DUMMYFUNCTION("""COMPUTED_VALUE"""),"Moore, James E.")</f>
        <v>Moore, James E.</v>
      </c>
      <c r="B11412" s="3">
        <f ca="1">IFERROR(__xludf.DUMMYFUNCTION("""COMPUTED_VALUE"""),3)</f>
        <v>3</v>
      </c>
      <c r="C11412" s="7">
        <f ca="1">IFERROR(__xludf.DUMMYFUNCTION("""COMPUTED_VALUE"""),3.1)</f>
        <v>3.1</v>
      </c>
      <c r="D11412" s="8">
        <f ca="1">IFERROR(__xludf.DUMMYFUNCTION("""COMPUTED_VALUE"""),7)</f>
        <v>7</v>
      </c>
      <c r="E11412" s="2">
        <f ca="1">IFERROR(__xludf.DUMMYFUNCTION("""COMPUTED_VALUE"""),2)</f>
        <v>2</v>
      </c>
    </row>
    <row r="11413" spans="1:5" ht="13">
      <c r="A11413" s="8" t="str">
        <f ca="1">IFERROR(__xludf.DUMMYFUNCTION("""COMPUTED_VALUE"""),"Moore, Patrick")</f>
        <v>Moore, Patrick</v>
      </c>
      <c r="B11413" s="3">
        <f ca="1">IFERROR(__xludf.DUMMYFUNCTION("""COMPUTED_VALUE"""),3)</f>
        <v>3</v>
      </c>
      <c r="C11413" s="7">
        <f ca="1">IFERROR(__xludf.DUMMYFUNCTION("""COMPUTED_VALUE"""),3.1)</f>
        <v>3.1</v>
      </c>
      <c r="D11413" s="8">
        <f ca="1">IFERROR(__xludf.DUMMYFUNCTION("""COMPUTED_VALUE"""),3)</f>
        <v>3</v>
      </c>
      <c r="E11413" s="2">
        <f ca="1">IFERROR(__xludf.DUMMYFUNCTION("""COMPUTED_VALUE"""),1)</f>
        <v>1</v>
      </c>
    </row>
    <row r="11414" spans="1:5" ht="13">
      <c r="A11414" s="2" t="str">
        <f ca="1">IFERROR(__xludf.DUMMYFUNCTION("""COMPUTED_VALUE"""),"Moore, William")</f>
        <v>Moore, William</v>
      </c>
      <c r="B11414" s="3">
        <f ca="1">IFERROR(__xludf.DUMMYFUNCTION("""COMPUTED_VALUE"""),3)</f>
        <v>3</v>
      </c>
      <c r="C11414" s="7">
        <f ca="1">IFERROR(__xludf.DUMMYFUNCTION("""COMPUTED_VALUE"""),3.1)</f>
        <v>3.1</v>
      </c>
      <c r="D11414" s="8">
        <f ca="1">IFERROR(__xludf.DUMMYFUNCTION("""COMPUTED_VALUE"""),7)</f>
        <v>7</v>
      </c>
      <c r="E11414" s="2">
        <f ca="1">IFERROR(__xludf.DUMMYFUNCTION("""COMPUTED_VALUE"""),2)</f>
        <v>2</v>
      </c>
    </row>
    <row r="11415" spans="1:5" ht="13">
      <c r="A11415" s="2" t="str">
        <f ca="1">IFERROR(__xludf.DUMMYFUNCTION("""COMPUTED_VALUE"""),"Mora, Eddie")</f>
        <v>Mora, Eddie</v>
      </c>
      <c r="B11415" s="3">
        <f ca="1">IFERROR(__xludf.DUMMYFUNCTION("""COMPUTED_VALUE"""),3)</f>
        <v>3</v>
      </c>
      <c r="C11415" s="7">
        <f ca="1">IFERROR(__xludf.DUMMYFUNCTION("""COMPUTED_VALUE"""),3.2)</f>
        <v>3.2</v>
      </c>
      <c r="D11415" s="8">
        <f ca="1">IFERROR(__xludf.DUMMYFUNCTION("""COMPUTED_VALUE"""),3)</f>
        <v>3</v>
      </c>
      <c r="E11415" s="2">
        <f ca="1">IFERROR(__xludf.DUMMYFUNCTION("""COMPUTED_VALUE"""),1)</f>
        <v>1</v>
      </c>
    </row>
    <row r="11416" spans="1:5" ht="13">
      <c r="A11416" s="2" t="str">
        <f ca="1">IFERROR(__xludf.DUMMYFUNCTION("""COMPUTED_VALUE"""),"Morales, Dion")</f>
        <v>Morales, Dion</v>
      </c>
      <c r="B11416" s="2">
        <f ca="1">IFERROR(__xludf.DUMMYFUNCTION("""COMPUTED_VALUE"""),3)</f>
        <v>3</v>
      </c>
      <c r="C11416" s="7">
        <f ca="1">IFERROR(__xludf.DUMMYFUNCTION("""COMPUTED_VALUE"""),3.2)</f>
        <v>3.2</v>
      </c>
      <c r="D11416" s="8">
        <f ca="1">IFERROR(__xludf.DUMMYFUNCTION("""COMPUTED_VALUE"""),3)</f>
        <v>3</v>
      </c>
      <c r="E11416" s="2">
        <f ca="1">IFERROR(__xludf.DUMMYFUNCTION("""COMPUTED_VALUE"""),1)</f>
        <v>1</v>
      </c>
    </row>
    <row r="11417" spans="1:5" ht="13">
      <c r="A11417" s="2" t="str">
        <f ca="1">IFERROR(__xludf.DUMMYFUNCTION("""COMPUTED_VALUE"""),"Morales, Erik")</f>
        <v>Morales, Erik</v>
      </c>
      <c r="B11417" s="3">
        <f ca="1">IFERROR(__xludf.DUMMYFUNCTION("""COMPUTED_VALUE"""),3)</f>
        <v>3</v>
      </c>
      <c r="C11417" s="7">
        <f ca="1">IFERROR(__xludf.DUMMYFUNCTION("""COMPUTED_VALUE"""),3.2)</f>
        <v>3.2</v>
      </c>
      <c r="D11417" s="8">
        <f ca="1">IFERROR(__xludf.DUMMYFUNCTION("""COMPUTED_VALUE"""),3)</f>
        <v>3</v>
      </c>
      <c r="E11417" s="2">
        <f ca="1">IFERROR(__xludf.DUMMYFUNCTION("""COMPUTED_VALUE"""),1)</f>
        <v>1</v>
      </c>
    </row>
    <row r="11418" spans="1:5" ht="13">
      <c r="A11418" s="8" t="str">
        <f ca="1">IFERROR(__xludf.DUMMYFUNCTION("""COMPUTED_VALUE"""),"Morales, Julio")</f>
        <v>Morales, Julio</v>
      </c>
      <c r="B11418" s="3">
        <f ca="1">IFERROR(__xludf.DUMMYFUNCTION("""COMPUTED_VALUE"""),3)</f>
        <v>3</v>
      </c>
      <c r="C11418" s="7">
        <f ca="1">IFERROR(__xludf.DUMMYFUNCTION("""COMPUTED_VALUE"""),3.2)</f>
        <v>3.2</v>
      </c>
      <c r="D11418" s="8">
        <f ca="1">IFERROR(__xludf.DUMMYFUNCTION("""COMPUTED_VALUE"""),3)</f>
        <v>3</v>
      </c>
      <c r="E11418" s="2">
        <f ca="1">IFERROR(__xludf.DUMMYFUNCTION("""COMPUTED_VALUE"""),1)</f>
        <v>1</v>
      </c>
    </row>
    <row r="11419" spans="1:5" ht="13">
      <c r="A11419" s="2" t="str">
        <f ca="1">IFERROR(__xludf.DUMMYFUNCTION("""COMPUTED_VALUE"""),"Morales, Mariano")</f>
        <v>Morales, Mariano</v>
      </c>
      <c r="B11419" s="3">
        <f ca="1">IFERROR(__xludf.DUMMYFUNCTION("""COMPUTED_VALUE"""),3)</f>
        <v>3</v>
      </c>
      <c r="C11419" s="7">
        <f ca="1">IFERROR(__xludf.DUMMYFUNCTION("""COMPUTED_VALUE"""),3.2)</f>
        <v>3.2</v>
      </c>
      <c r="D11419" s="8">
        <f ca="1">IFERROR(__xludf.DUMMYFUNCTION("""COMPUTED_VALUE"""),3)</f>
        <v>3</v>
      </c>
      <c r="E11419" s="2">
        <f ca="1">IFERROR(__xludf.DUMMYFUNCTION("""COMPUTED_VALUE"""),1)</f>
        <v>1</v>
      </c>
    </row>
    <row r="11420" spans="1:5" ht="13">
      <c r="A11420" s="2" t="str">
        <f ca="1">IFERROR(__xludf.DUMMYFUNCTION("""COMPUTED_VALUE"""),"Morales, Melesio")</f>
        <v>Morales, Melesio</v>
      </c>
      <c r="B11420" s="3">
        <f ca="1">IFERROR(__xludf.DUMMYFUNCTION("""COMPUTED_VALUE"""),3)</f>
        <v>3</v>
      </c>
      <c r="C11420" s="7">
        <f ca="1">IFERROR(__xludf.DUMMYFUNCTION("""COMPUTED_VALUE"""),3.2)</f>
        <v>3.2</v>
      </c>
      <c r="D11420" s="8">
        <f ca="1">IFERROR(__xludf.DUMMYFUNCTION("""COMPUTED_VALUE"""),7)</f>
        <v>7</v>
      </c>
      <c r="E11420" s="2">
        <f ca="1">IFERROR(__xludf.DUMMYFUNCTION("""COMPUTED_VALUE"""),2)</f>
        <v>2</v>
      </c>
    </row>
    <row r="11421" spans="1:5" ht="13">
      <c r="A11421" s="2" t="str">
        <f ca="1">IFERROR(__xludf.DUMMYFUNCTION("""COMPUTED_VALUE"""),"Moré, Benny")</f>
        <v>Moré, Benny</v>
      </c>
      <c r="B11421" s="2">
        <f ca="1">IFERROR(__xludf.DUMMYFUNCTION("""COMPUTED_VALUE"""),3)</f>
        <v>3</v>
      </c>
      <c r="C11421" s="7">
        <f ca="1">IFERROR(__xludf.DUMMYFUNCTION("""COMPUTED_VALUE"""),3.2)</f>
        <v>3.2</v>
      </c>
      <c r="D11421" s="8">
        <f ca="1">IFERROR(__xludf.DUMMYFUNCTION("""COMPUTED_VALUE"""),7)</f>
        <v>7</v>
      </c>
      <c r="E11421" s="2">
        <f ca="1">IFERROR(__xludf.DUMMYFUNCTION("""COMPUTED_VALUE"""),2)</f>
        <v>2</v>
      </c>
    </row>
    <row r="11422" spans="1:5" ht="13">
      <c r="A11422" s="2" t="str">
        <f ca="1">IFERROR(__xludf.DUMMYFUNCTION("""COMPUTED_VALUE"""),"Moreira, Airto")</f>
        <v>Moreira, Airto</v>
      </c>
      <c r="B11422" s="2">
        <f ca="1">IFERROR(__xludf.DUMMYFUNCTION("""COMPUTED_VALUE"""),3)</f>
        <v>3</v>
      </c>
      <c r="C11422" s="7">
        <f ca="1">IFERROR(__xludf.DUMMYFUNCTION("""COMPUTED_VALUE"""),3.2)</f>
        <v>3.2</v>
      </c>
      <c r="D11422" s="8">
        <f ca="1">IFERROR(__xludf.DUMMYFUNCTION("""COMPUTED_VALUE"""),3)</f>
        <v>3</v>
      </c>
      <c r="E11422" s="2">
        <f ca="1">IFERROR(__xludf.DUMMYFUNCTION("""COMPUTED_VALUE"""),1)</f>
        <v>1</v>
      </c>
    </row>
    <row r="11423" spans="1:5" ht="13">
      <c r="A11423" s="2" t="str">
        <f ca="1">IFERROR(__xludf.DUMMYFUNCTION("""COMPUTED_VALUE"""),"Morgan, Lee")</f>
        <v>Morgan, Lee</v>
      </c>
      <c r="B11423" s="2">
        <f ca="1">IFERROR(__xludf.DUMMYFUNCTION("""COMPUTED_VALUE"""),3)</f>
        <v>3</v>
      </c>
      <c r="C11423" s="7">
        <f ca="1">IFERROR(__xludf.DUMMYFUNCTION("""COMPUTED_VALUE"""),3.1)</f>
        <v>3.1</v>
      </c>
      <c r="D11423" s="8">
        <f ca="1">IFERROR(__xludf.DUMMYFUNCTION("""COMPUTED_VALUE"""),7)</f>
        <v>7</v>
      </c>
      <c r="E11423" s="2">
        <f ca="1">IFERROR(__xludf.DUMMYFUNCTION("""COMPUTED_VALUE"""),2)</f>
        <v>2</v>
      </c>
    </row>
    <row r="11424" spans="1:5" ht="13">
      <c r="A11424" s="2" t="str">
        <f ca="1">IFERROR(__xludf.DUMMYFUNCTION("""COMPUTED_VALUE"""),"Morita, Kazuhiro")</f>
        <v>Morita, Kazuhiro</v>
      </c>
      <c r="B11424" s="3">
        <f ca="1">IFERROR(__xludf.DUMMYFUNCTION("""COMPUTED_VALUE"""),3)</f>
        <v>3</v>
      </c>
      <c r="C11424" s="7">
        <f ca="1">IFERROR(__xludf.DUMMYFUNCTION("""COMPUTED_VALUE"""),3.3)</f>
        <v>3.3</v>
      </c>
      <c r="D11424" s="8">
        <f ca="1">IFERROR(__xludf.DUMMYFUNCTION("""COMPUTED_VALUE"""),3)</f>
        <v>3</v>
      </c>
      <c r="E11424" s="2">
        <f ca="1">IFERROR(__xludf.DUMMYFUNCTION("""COMPUTED_VALUE"""),1)</f>
        <v>1</v>
      </c>
    </row>
    <row r="11425" spans="1:5" ht="13">
      <c r="A11425" s="2" t="str">
        <f ca="1">IFERROR(__xludf.DUMMYFUNCTION("""COMPUTED_VALUE"""),"Morita, Zachary")</f>
        <v>Morita, Zachary</v>
      </c>
      <c r="B11425" s="3">
        <f ca="1">IFERROR(__xludf.DUMMYFUNCTION("""COMPUTED_VALUE"""),3)</f>
        <v>3</v>
      </c>
      <c r="C11425" s="7">
        <f ca="1">IFERROR(__xludf.DUMMYFUNCTION("""COMPUTED_VALUE"""),3.7)</f>
        <v>3.7</v>
      </c>
      <c r="D11425" s="8">
        <f ca="1">IFERROR(__xludf.DUMMYFUNCTION("""COMPUTED_VALUE"""),3)</f>
        <v>3</v>
      </c>
      <c r="E11425" s="2">
        <f ca="1">IFERROR(__xludf.DUMMYFUNCTION("""COMPUTED_VALUE"""),1)</f>
        <v>1</v>
      </c>
    </row>
    <row r="11426" spans="1:5" ht="13">
      <c r="A11426" s="2" t="str">
        <f ca="1">IFERROR(__xludf.DUMMYFUNCTION("""COMPUTED_VALUE"""),"Morrow, David")</f>
        <v>Morrow, David</v>
      </c>
      <c r="B11426" s="2">
        <f ca="1">IFERROR(__xludf.DUMMYFUNCTION("""COMPUTED_VALUE"""),3)</f>
        <v>3</v>
      </c>
      <c r="C11426" s="7">
        <f ca="1">IFERROR(__xludf.DUMMYFUNCTION("""COMPUTED_VALUE"""),3.1)</f>
        <v>3.1</v>
      </c>
      <c r="D11426" s="8">
        <f ca="1">IFERROR(__xludf.DUMMYFUNCTION("""COMPUTED_VALUE"""),3)</f>
        <v>3</v>
      </c>
      <c r="E11426" s="2">
        <f ca="1">IFERROR(__xludf.DUMMYFUNCTION("""COMPUTED_VALUE"""),1)</f>
        <v>1</v>
      </c>
    </row>
    <row r="11427" spans="1:5" ht="13">
      <c r="A11427" s="2" t="str">
        <f ca="1">IFERROR(__xludf.DUMMYFUNCTION("""COMPUTED_VALUE"""),"Morton, Jelly Roll")</f>
        <v>Morton, Jelly Roll</v>
      </c>
      <c r="B11427" s="3">
        <f ca="1">IFERROR(__xludf.DUMMYFUNCTION("""COMPUTED_VALUE"""),3)</f>
        <v>3</v>
      </c>
      <c r="C11427" s="7">
        <f ca="1">IFERROR(__xludf.DUMMYFUNCTION("""COMPUTED_VALUE"""),3.1)</f>
        <v>3.1</v>
      </c>
      <c r="D11427" s="8">
        <f ca="1">IFERROR(__xludf.DUMMYFUNCTION("""COMPUTED_VALUE"""),7)</f>
        <v>7</v>
      </c>
      <c r="E11427" s="2">
        <f ca="1">IFERROR(__xludf.DUMMYFUNCTION("""COMPUTED_VALUE"""),2)</f>
        <v>2</v>
      </c>
    </row>
    <row r="11428" spans="1:5" ht="13">
      <c r="A11428" s="2" t="str">
        <f ca="1">IFERROR(__xludf.DUMMYFUNCTION("""COMPUTED_VALUE"""),"Morton, PJ")</f>
        <v>Morton, PJ</v>
      </c>
      <c r="B11428" s="2">
        <f ca="1">IFERROR(__xludf.DUMMYFUNCTION("""COMPUTED_VALUE"""),3)</f>
        <v>3</v>
      </c>
      <c r="C11428" s="2">
        <f ca="1">IFERROR(__xludf.DUMMYFUNCTION("""COMPUTED_VALUE"""),3.1)</f>
        <v>3.1</v>
      </c>
      <c r="D11428" s="8">
        <f ca="1">IFERROR(__xludf.DUMMYFUNCTION("""COMPUTED_VALUE"""),3)</f>
        <v>3</v>
      </c>
      <c r="E11428" s="2">
        <f ca="1">IFERROR(__xludf.DUMMYFUNCTION("""COMPUTED_VALUE"""),1)</f>
        <v>1</v>
      </c>
    </row>
    <row r="11429" spans="1:5" ht="13">
      <c r="A11429" s="2" t="str">
        <f ca="1">IFERROR(__xludf.DUMMYFUNCTION("""COMPUTED_VALUE"""),"Mota, Benjamin Sánchez")</f>
        <v>Mota, Benjamin Sánchez</v>
      </c>
      <c r="B11429" s="3">
        <f ca="1">IFERROR(__xludf.DUMMYFUNCTION("""COMPUTED_VALUE"""),3)</f>
        <v>3</v>
      </c>
      <c r="C11429" s="7">
        <f ca="1">IFERROR(__xludf.DUMMYFUNCTION("""COMPUTED_VALUE"""),3.2)</f>
        <v>3.2</v>
      </c>
      <c r="D11429" s="8">
        <f ca="1">IFERROR(__xludf.DUMMYFUNCTION("""COMPUTED_VALUE"""),7)</f>
        <v>7</v>
      </c>
      <c r="E11429" s="2">
        <f ca="1">IFERROR(__xludf.DUMMYFUNCTION("""COMPUTED_VALUE"""),2)</f>
        <v>2</v>
      </c>
    </row>
    <row r="11430" spans="1:5" ht="13">
      <c r="A11430" s="2" t="str">
        <f ca="1">IFERROR(__xludf.DUMMYFUNCTION("""COMPUTED_VALUE"""),"Moten, Buster and Bennie Moten")</f>
        <v>Moten, Buster and Bennie Moten</v>
      </c>
      <c r="B11430" s="2">
        <f ca="1">IFERROR(__xludf.DUMMYFUNCTION("""COMPUTED_VALUE"""),3)</f>
        <v>3</v>
      </c>
      <c r="C11430" s="7">
        <f ca="1">IFERROR(__xludf.DUMMYFUNCTION("""COMPUTED_VALUE"""),3.1)</f>
        <v>3.1</v>
      </c>
      <c r="D11430" s="8">
        <f ca="1">IFERROR(__xludf.DUMMYFUNCTION("""COMPUTED_VALUE"""),7)</f>
        <v>7</v>
      </c>
      <c r="E11430" s="2">
        <f ca="1">IFERROR(__xludf.DUMMYFUNCTION("""COMPUTED_VALUE"""),2)</f>
        <v>2</v>
      </c>
    </row>
    <row r="11431" spans="1:5" ht="13">
      <c r="A11431" s="2" t="str">
        <f ca="1">IFERROR(__xludf.DUMMYFUNCTION("""COMPUTED_VALUE"""),"Moten, Buster and Benny")</f>
        <v>Moten, Buster and Benny</v>
      </c>
      <c r="B11431" s="3">
        <f ca="1">IFERROR(__xludf.DUMMYFUNCTION("""COMPUTED_VALUE"""),3)</f>
        <v>3</v>
      </c>
      <c r="C11431" s="7">
        <f ca="1">IFERROR(__xludf.DUMMYFUNCTION("""COMPUTED_VALUE"""),3.1)</f>
        <v>3.1</v>
      </c>
      <c r="D11431" s="8">
        <f ca="1">IFERROR(__xludf.DUMMYFUNCTION("""COMPUTED_VALUE"""),7)</f>
        <v>7</v>
      </c>
      <c r="E11431" s="2">
        <f ca="1">IFERROR(__xludf.DUMMYFUNCTION("""COMPUTED_VALUE"""),2)</f>
        <v>2</v>
      </c>
    </row>
    <row r="11432" spans="1:5" ht="13">
      <c r="A11432" s="2" t="str">
        <f ca="1">IFERROR(__xludf.DUMMYFUNCTION("""COMPUTED_VALUE"""),"Moya, Reinaldo")</f>
        <v>Moya, Reinaldo</v>
      </c>
      <c r="B11432" s="3">
        <f ca="1">IFERROR(__xludf.DUMMYFUNCTION("""COMPUTED_VALUE"""),3)</f>
        <v>3</v>
      </c>
      <c r="C11432" s="7">
        <f ca="1">IFERROR(__xludf.DUMMYFUNCTION("""COMPUTED_VALUE"""),3.2)</f>
        <v>3.2</v>
      </c>
      <c r="D11432" s="8">
        <f ca="1">IFERROR(__xludf.DUMMYFUNCTION("""COMPUTED_VALUE"""),3)</f>
        <v>3</v>
      </c>
      <c r="E11432" s="2">
        <f ca="1">IFERROR(__xludf.DUMMYFUNCTION("""COMPUTED_VALUE"""),1)</f>
        <v>1</v>
      </c>
    </row>
    <row r="11433" spans="1:5" ht="13">
      <c r="A11433" s="2" t="str">
        <f ca="1">IFERROR(__xludf.DUMMYFUNCTION("""COMPUTED_VALUE"""),"Mthembu, Sabelo")</f>
        <v>Mthembu, Sabelo</v>
      </c>
      <c r="B11433" s="2">
        <f ca="1">IFERROR(__xludf.DUMMYFUNCTION("""COMPUTED_VALUE"""),3)</f>
        <v>3</v>
      </c>
      <c r="C11433" s="7">
        <f ca="1">IFERROR(__xludf.DUMMYFUNCTION("""COMPUTED_VALUE"""),3.1)</f>
        <v>3.1</v>
      </c>
      <c r="D11433" s="8">
        <f ca="1">IFERROR(__xludf.DUMMYFUNCTION("""COMPUTED_VALUE"""),3)</f>
        <v>3</v>
      </c>
      <c r="E11433" s="2">
        <f ca="1">IFERROR(__xludf.DUMMYFUNCTION("""COMPUTED_VALUE"""),1)</f>
        <v>1</v>
      </c>
    </row>
    <row r="11434" spans="1:5" ht="13">
      <c r="A11434" s="2" t="str">
        <f ca="1">IFERROR(__xludf.DUMMYFUNCTION("""COMPUTED_VALUE"""),"Mumford, Jeffrey")</f>
        <v>Mumford, Jeffrey</v>
      </c>
      <c r="B11434" s="3">
        <f ca="1">IFERROR(__xludf.DUMMYFUNCTION("""COMPUTED_VALUE"""),3)</f>
        <v>3</v>
      </c>
      <c r="C11434" s="7">
        <f ca="1">IFERROR(__xludf.DUMMYFUNCTION("""COMPUTED_VALUE"""),3.1)</f>
        <v>3.1</v>
      </c>
      <c r="D11434" s="8">
        <f ca="1">IFERROR(__xludf.DUMMYFUNCTION("""COMPUTED_VALUE"""),3)</f>
        <v>3</v>
      </c>
      <c r="E11434" s="2">
        <f ca="1">IFERROR(__xludf.DUMMYFUNCTION("""COMPUTED_VALUE"""),1)</f>
        <v>1</v>
      </c>
    </row>
    <row r="11435" spans="1:5" ht="13">
      <c r="A11435" s="2" t="str">
        <f ca="1">IFERROR(__xludf.DUMMYFUNCTION("""COMPUTED_VALUE"""),"Muńoz, Carlos Guzmán")</f>
        <v>Muńoz, Carlos Guzmán</v>
      </c>
      <c r="B11435" s="3">
        <f ca="1">IFERROR(__xludf.DUMMYFUNCTION("""COMPUTED_VALUE"""),3)</f>
        <v>3</v>
      </c>
      <c r="C11435" s="7">
        <f ca="1">IFERROR(__xludf.DUMMYFUNCTION("""COMPUTED_VALUE"""),3.2)</f>
        <v>3.2</v>
      </c>
      <c r="D11435" s="8">
        <f ca="1">IFERROR(__xludf.DUMMYFUNCTION("""COMPUTED_VALUE"""),3)</f>
        <v>3</v>
      </c>
      <c r="E11435" s="2">
        <f ca="1">IFERROR(__xludf.DUMMYFUNCTION("""COMPUTED_VALUE"""),1)</f>
        <v>1</v>
      </c>
    </row>
    <row r="11436" spans="1:5" ht="13">
      <c r="A11436" s="8" t="str">
        <f ca="1">IFERROR(__xludf.DUMMYFUNCTION("""COMPUTED_VALUE"""),"Murata, Junichi")</f>
        <v>Murata, Junichi</v>
      </c>
      <c r="B11436" s="3">
        <f ca="1">IFERROR(__xludf.DUMMYFUNCTION("""COMPUTED_VALUE"""),3)</f>
        <v>3</v>
      </c>
      <c r="C11436" s="7">
        <f ca="1">IFERROR(__xludf.DUMMYFUNCTION("""COMPUTED_VALUE"""),3.3)</f>
        <v>3.3</v>
      </c>
      <c r="D11436" s="8">
        <f ca="1">IFERROR(__xludf.DUMMYFUNCTION("""COMPUTED_VALUE"""),3)</f>
        <v>3</v>
      </c>
      <c r="E11436" s="2">
        <f ca="1">IFERROR(__xludf.DUMMYFUNCTION("""COMPUTED_VALUE"""),1)</f>
        <v>1</v>
      </c>
    </row>
    <row r="11437" spans="1:5" ht="13">
      <c r="A11437" s="2" t="str">
        <f ca="1">IFERROR(__xludf.DUMMYFUNCTION("""COMPUTED_VALUE"""),"Murcia Bedoya, Mauricio")</f>
        <v>Murcia Bedoya, Mauricio</v>
      </c>
      <c r="B11437" s="3">
        <f ca="1">IFERROR(__xludf.DUMMYFUNCTION("""COMPUTED_VALUE"""),3)</f>
        <v>3</v>
      </c>
      <c r="C11437" s="7">
        <f ca="1">IFERROR(__xludf.DUMMYFUNCTION("""COMPUTED_VALUE"""),3.2)</f>
        <v>3.2</v>
      </c>
      <c r="D11437" s="8">
        <f ca="1">IFERROR(__xludf.DUMMYFUNCTION("""COMPUTED_VALUE"""),3)</f>
        <v>3</v>
      </c>
      <c r="E11437" s="2">
        <f ca="1">IFERROR(__xludf.DUMMYFUNCTION("""COMPUTED_VALUE"""),1)</f>
        <v>1</v>
      </c>
    </row>
    <row r="11438" spans="1:5" ht="13">
      <c r="A11438" s="2" t="str">
        <f ca="1">IFERROR(__xludf.DUMMYFUNCTION("""COMPUTED_VALUE"""),"Murphy, Stephen M.")</f>
        <v>Murphy, Stephen M.</v>
      </c>
      <c r="B11438" s="2">
        <f ca="1">IFERROR(__xludf.DUMMYFUNCTION("""COMPUTED_VALUE"""),3)</f>
        <v>3</v>
      </c>
      <c r="C11438" s="7">
        <f ca="1">IFERROR(__xludf.DUMMYFUNCTION("""COMPUTED_VALUE"""),3.1)</f>
        <v>3.1</v>
      </c>
      <c r="D11438" s="8">
        <f ca="1">IFERROR(__xludf.DUMMYFUNCTION("""COMPUTED_VALUE"""),3)</f>
        <v>3</v>
      </c>
      <c r="E11438" s="2">
        <f ca="1">IFERROR(__xludf.DUMMYFUNCTION("""COMPUTED_VALUE"""),1)</f>
        <v>1</v>
      </c>
    </row>
    <row r="11439" spans="1:5" ht="13">
      <c r="A11439" s="2" t="str">
        <f ca="1">IFERROR(__xludf.DUMMYFUNCTION("""COMPUTED_VALUE"""),"Musashi, Purojekuto")</f>
        <v>Musashi, Purojekuto</v>
      </c>
      <c r="B11439" s="2">
        <f ca="1">IFERROR(__xludf.DUMMYFUNCTION("""COMPUTED_VALUE"""),3)</f>
        <v>3</v>
      </c>
      <c r="C11439" s="7">
        <f ca="1">IFERROR(__xludf.DUMMYFUNCTION("""COMPUTED_VALUE"""),3.3)</f>
        <v>3.3</v>
      </c>
      <c r="D11439" s="8">
        <f ca="1">IFERROR(__xludf.DUMMYFUNCTION("""COMPUTED_VALUE"""),3)</f>
        <v>3</v>
      </c>
      <c r="E11439" s="2">
        <f ca="1">IFERROR(__xludf.DUMMYFUNCTION("""COMPUTED_VALUE"""),1)</f>
        <v>1</v>
      </c>
    </row>
    <row r="11440" spans="1:5" ht="13">
      <c r="A11440" s="2" t="str">
        <f ca="1">IFERROR(__xludf.DUMMYFUNCTION("""COMPUTED_VALUE"""),"Muse, Clarence / René, Leon / René, Otis")</f>
        <v>Muse, Clarence / René, Leon / René, Otis</v>
      </c>
      <c r="B11440" s="2">
        <f ca="1">IFERROR(__xludf.DUMMYFUNCTION("""COMPUTED_VALUE"""),3)</f>
        <v>3</v>
      </c>
      <c r="C11440" s="7">
        <f ca="1">IFERROR(__xludf.DUMMYFUNCTION("""COMPUTED_VALUE"""),3.1)</f>
        <v>3.1</v>
      </c>
      <c r="D11440" s="8">
        <f ca="1">IFERROR(__xludf.DUMMYFUNCTION("""COMPUTED_VALUE"""),7)</f>
        <v>7</v>
      </c>
      <c r="E11440" s="2">
        <f ca="1">IFERROR(__xludf.DUMMYFUNCTION("""COMPUTED_VALUE"""),2)</f>
        <v>2</v>
      </c>
    </row>
    <row r="11441" spans="1:5" ht="13">
      <c r="A11441" s="2" t="str">
        <f ca="1">IFERROR(__xludf.DUMMYFUNCTION("""COMPUTED_VALUE"""),"Musella, Gabriel")</f>
        <v>Musella, Gabriel</v>
      </c>
      <c r="B11441" s="3">
        <f ca="1">IFERROR(__xludf.DUMMYFUNCTION("""COMPUTED_VALUE"""),3)</f>
        <v>3</v>
      </c>
      <c r="C11441" s="7">
        <f ca="1">IFERROR(__xludf.DUMMYFUNCTION("""COMPUTED_VALUE"""),3.2)</f>
        <v>3.2</v>
      </c>
      <c r="D11441" s="8">
        <f ca="1">IFERROR(__xludf.DUMMYFUNCTION("""COMPUTED_VALUE"""),3)</f>
        <v>3</v>
      </c>
      <c r="E11441" s="2">
        <f ca="1">IFERROR(__xludf.DUMMYFUNCTION("""COMPUTED_VALUE"""),1)</f>
        <v>1</v>
      </c>
    </row>
    <row r="11442" spans="1:5" ht="13">
      <c r="A11442" s="2" t="str">
        <f ca="1">IFERROR(__xludf.DUMMYFUNCTION("""COMPUTED_VALUE"""),"Musella, Gabriel / Rodriguez, Rick")</f>
        <v>Musella, Gabriel / Rodriguez, Rick</v>
      </c>
      <c r="B11442" s="3">
        <f ca="1">IFERROR(__xludf.DUMMYFUNCTION("""COMPUTED_VALUE"""),3)</f>
        <v>3</v>
      </c>
      <c r="C11442" s="7">
        <f ca="1">IFERROR(__xludf.DUMMYFUNCTION("""COMPUTED_VALUE"""),3.2)</f>
        <v>3.2</v>
      </c>
      <c r="D11442" s="8">
        <f ca="1">IFERROR(__xludf.DUMMYFUNCTION("""COMPUTED_VALUE"""),3)</f>
        <v>3</v>
      </c>
      <c r="E11442" s="2">
        <f ca="1">IFERROR(__xludf.DUMMYFUNCTION("""COMPUTED_VALUE"""),1)</f>
        <v>1</v>
      </c>
    </row>
    <row r="11443" spans="1:5" ht="13">
      <c r="A11443" s="2" t="str">
        <f ca="1">IFERROR(__xludf.DUMMYFUNCTION("""COMPUTED_VALUE"""),"Muzik, Xavier")</f>
        <v>Muzik, Xavier</v>
      </c>
      <c r="B11443" s="3">
        <f ca="1">IFERROR(__xludf.DUMMYFUNCTION("""COMPUTED_VALUE"""),3)</f>
        <v>3</v>
      </c>
      <c r="C11443" s="7">
        <f ca="1">IFERROR(__xludf.DUMMYFUNCTION("""COMPUTED_VALUE"""),3.1)</f>
        <v>3.1</v>
      </c>
      <c r="D11443" s="8">
        <f ca="1">IFERROR(__xludf.DUMMYFUNCTION("""COMPUTED_VALUE"""),3)</f>
        <v>3</v>
      </c>
      <c r="E11443" s="2">
        <f ca="1">IFERROR(__xludf.DUMMYFUNCTION("""COMPUTED_VALUE"""),1)</f>
        <v>1</v>
      </c>
    </row>
    <row r="11444" spans="1:5" ht="13">
      <c r="A11444" s="2" t="str">
        <f ca="1">IFERROR(__xludf.DUMMYFUNCTION("""COMPUTED_VALUE"""),"Myers, Andre")</f>
        <v>Myers, Andre</v>
      </c>
      <c r="B11444" s="3">
        <f ca="1">IFERROR(__xludf.DUMMYFUNCTION("""COMPUTED_VALUE"""),3)</f>
        <v>3</v>
      </c>
      <c r="C11444" s="7">
        <f ca="1">IFERROR(__xludf.DUMMYFUNCTION("""COMPUTED_VALUE"""),3.1)</f>
        <v>3.1</v>
      </c>
      <c r="D11444" s="8">
        <f ca="1">IFERROR(__xludf.DUMMYFUNCTION("""COMPUTED_VALUE"""),3)</f>
        <v>3</v>
      </c>
      <c r="E11444" s="2">
        <f ca="1">IFERROR(__xludf.DUMMYFUNCTION("""COMPUTED_VALUE"""),1)</f>
        <v>1</v>
      </c>
    </row>
    <row r="11445" spans="1:5" ht="13">
      <c r="A11445" s="2" t="str">
        <f ca="1">IFERROR(__xludf.DUMMYFUNCTION("""COMPUTED_VALUE"""),"Myokoin, Masato")</f>
        <v>Myokoin, Masato</v>
      </c>
      <c r="B11445" s="3">
        <f ca="1">IFERROR(__xludf.DUMMYFUNCTION("""COMPUTED_VALUE"""),3)</f>
        <v>3</v>
      </c>
      <c r="C11445" s="7">
        <f ca="1">IFERROR(__xludf.DUMMYFUNCTION("""COMPUTED_VALUE"""),3.3)</f>
        <v>3.3</v>
      </c>
      <c r="D11445" s="8">
        <f ca="1">IFERROR(__xludf.DUMMYFUNCTION("""COMPUTED_VALUE"""),3)</f>
        <v>3</v>
      </c>
      <c r="E11445" s="2">
        <f ca="1">IFERROR(__xludf.DUMMYFUNCTION("""COMPUTED_VALUE"""),1)</f>
        <v>1</v>
      </c>
    </row>
    <row r="11446" spans="1:5" ht="13">
      <c r="A11446" s="2" t="str">
        <f ca="1">IFERROR(__xludf.DUMMYFUNCTION("""COMPUTED_VALUE"""),"Myrvil, Brandon")</f>
        <v>Myrvil, Brandon</v>
      </c>
      <c r="B11446" s="3">
        <f ca="1">IFERROR(__xludf.DUMMYFUNCTION("""COMPUTED_VALUE"""),3)</f>
        <v>3</v>
      </c>
      <c r="C11446" s="7">
        <f ca="1">IFERROR(__xludf.DUMMYFUNCTION("""COMPUTED_VALUE"""),3.1)</f>
        <v>3.1</v>
      </c>
      <c r="D11446" s="8">
        <f ca="1">IFERROR(__xludf.DUMMYFUNCTION("""COMPUTED_VALUE"""),3)</f>
        <v>3</v>
      </c>
      <c r="E11446" s="2">
        <f ca="1">IFERROR(__xludf.DUMMYFUNCTION("""COMPUTED_VALUE"""),1)</f>
        <v>1</v>
      </c>
    </row>
    <row r="11447" spans="1:5" ht="13">
      <c r="A11447" s="2" t="str">
        <f ca="1">IFERROR(__xludf.DUMMYFUNCTION("""COMPUTED_VALUE"""),"Nabors, Brian Raphael")</f>
        <v>Nabors, Brian Raphael</v>
      </c>
      <c r="B11447" s="3">
        <f ca="1">IFERROR(__xludf.DUMMYFUNCTION("""COMPUTED_VALUE"""),3)</f>
        <v>3</v>
      </c>
      <c r="C11447" s="7">
        <f ca="1">IFERROR(__xludf.DUMMYFUNCTION("""COMPUTED_VALUE"""),3.1)</f>
        <v>3.1</v>
      </c>
      <c r="D11447" s="8">
        <f ca="1">IFERROR(__xludf.DUMMYFUNCTION("""COMPUTED_VALUE"""),3)</f>
        <v>3</v>
      </c>
      <c r="E11447" s="2">
        <f ca="1">IFERROR(__xludf.DUMMYFUNCTION("""COMPUTED_VALUE"""),1)</f>
        <v>1</v>
      </c>
    </row>
    <row r="11448" spans="1:5" ht="13">
      <c r="A11448" s="2" t="str">
        <f ca="1">IFERROR(__xludf.DUMMYFUNCTION("""COMPUTED_VALUE"""),"Nagao, Jun")</f>
        <v>Nagao, Jun</v>
      </c>
      <c r="B11448" s="3">
        <f ca="1">IFERROR(__xludf.DUMMYFUNCTION("""COMPUTED_VALUE"""),3)</f>
        <v>3</v>
      </c>
      <c r="C11448" s="7">
        <f ca="1">IFERROR(__xludf.DUMMYFUNCTION("""COMPUTED_VALUE"""),3.3)</f>
        <v>3.3</v>
      </c>
      <c r="D11448" s="8">
        <f ca="1">IFERROR(__xludf.DUMMYFUNCTION("""COMPUTED_VALUE"""),3)</f>
        <v>3</v>
      </c>
      <c r="E11448" s="2">
        <f ca="1">IFERROR(__xludf.DUMMYFUNCTION("""COMPUTED_VALUE"""),1)</f>
        <v>1</v>
      </c>
    </row>
    <row r="11449" spans="1:5" ht="13">
      <c r="A11449" s="2" t="str">
        <f ca="1">IFERROR(__xludf.DUMMYFUNCTION("""COMPUTED_VALUE"""),"Naito, Junichi")</f>
        <v>Naito, Junichi</v>
      </c>
      <c r="B11449" s="3">
        <f ca="1">IFERROR(__xludf.DUMMYFUNCTION("""COMPUTED_VALUE"""),3)</f>
        <v>3</v>
      </c>
      <c r="C11449" s="7">
        <f ca="1">IFERROR(__xludf.DUMMYFUNCTION("""COMPUTED_VALUE"""),3.3)</f>
        <v>3.3</v>
      </c>
      <c r="D11449" s="8">
        <f ca="1">IFERROR(__xludf.DUMMYFUNCTION("""COMPUTED_VALUE"""),3)</f>
        <v>3</v>
      </c>
      <c r="E11449" s="2">
        <f ca="1">IFERROR(__xludf.DUMMYFUNCTION("""COMPUTED_VALUE"""),1)</f>
        <v>1</v>
      </c>
    </row>
    <row r="11450" spans="1:5" ht="13">
      <c r="A11450" s="2" t="str">
        <f ca="1">IFERROR(__xludf.DUMMYFUNCTION("""COMPUTED_VALUE"""),"Nakagawa, Ryohei")</f>
        <v>Nakagawa, Ryohei</v>
      </c>
      <c r="B11450" s="3">
        <f ca="1">IFERROR(__xludf.DUMMYFUNCTION("""COMPUTED_VALUE"""),3)</f>
        <v>3</v>
      </c>
      <c r="C11450" s="7">
        <f ca="1">IFERROR(__xludf.DUMMYFUNCTION("""COMPUTED_VALUE"""),3.3)</f>
        <v>3.3</v>
      </c>
      <c r="D11450" s="8">
        <f ca="1">IFERROR(__xludf.DUMMYFUNCTION("""COMPUTED_VALUE"""),3)</f>
        <v>3</v>
      </c>
      <c r="E11450" s="2">
        <f ca="1">IFERROR(__xludf.DUMMYFUNCTION("""COMPUTED_VALUE"""),1)</f>
        <v>1</v>
      </c>
    </row>
    <row r="11451" spans="1:5" ht="13">
      <c r="A11451" s="2" t="str">
        <f ca="1">IFERROR(__xludf.DUMMYFUNCTION("""COMPUTED_VALUE"""),"Nakahashi, Yoshio")</f>
        <v>Nakahashi, Yoshio</v>
      </c>
      <c r="B11451" s="3">
        <f ca="1">IFERROR(__xludf.DUMMYFUNCTION("""COMPUTED_VALUE"""),3)</f>
        <v>3</v>
      </c>
      <c r="C11451" s="7">
        <f ca="1">IFERROR(__xludf.DUMMYFUNCTION("""COMPUTED_VALUE"""),3.3)</f>
        <v>3.3</v>
      </c>
      <c r="D11451" s="8">
        <f ca="1">IFERROR(__xludf.DUMMYFUNCTION("""COMPUTED_VALUE"""),3)</f>
        <v>3</v>
      </c>
      <c r="E11451" s="2">
        <f ca="1">IFERROR(__xludf.DUMMYFUNCTION("""COMPUTED_VALUE"""),1)</f>
        <v>1</v>
      </c>
    </row>
    <row r="11452" spans="1:5" ht="13">
      <c r="A11452" s="2" t="str">
        <f ca="1">IFERROR(__xludf.DUMMYFUNCTION("""COMPUTED_VALUE"""),"Nakai, R. Carlos")</f>
        <v>Nakai, R. Carlos</v>
      </c>
      <c r="B11452" s="2">
        <f ca="1">IFERROR(__xludf.DUMMYFUNCTION("""COMPUTED_VALUE"""),3)</f>
        <v>3</v>
      </c>
      <c r="C11452" s="2">
        <f ca="1">IFERROR(__xludf.DUMMYFUNCTION("""COMPUTED_VALUE"""),3.7)</f>
        <v>3.7</v>
      </c>
      <c r="D11452" s="8">
        <f ca="1">IFERROR(__xludf.DUMMYFUNCTION("""COMPUTED_VALUE"""),3)</f>
        <v>3</v>
      </c>
      <c r="E11452" s="2">
        <f ca="1">IFERROR(__xludf.DUMMYFUNCTION("""COMPUTED_VALUE"""),1)</f>
        <v>1</v>
      </c>
    </row>
    <row r="11453" spans="1:5" ht="13">
      <c r="A11453" s="2" t="str">
        <f ca="1">IFERROR(__xludf.DUMMYFUNCTION("""COMPUTED_VALUE"""),"Nakamura, Akihiko")</f>
        <v>Nakamura, Akihiko</v>
      </c>
      <c r="B11453" s="3">
        <f ca="1">IFERROR(__xludf.DUMMYFUNCTION("""COMPUTED_VALUE"""),3)</f>
        <v>3</v>
      </c>
      <c r="C11453" s="7">
        <f ca="1">IFERROR(__xludf.DUMMYFUNCTION("""COMPUTED_VALUE"""),3.3)</f>
        <v>3.3</v>
      </c>
      <c r="D11453" s="8">
        <f ca="1">IFERROR(__xludf.DUMMYFUNCTION("""COMPUTED_VALUE"""),3)</f>
        <v>3</v>
      </c>
      <c r="E11453" s="2">
        <f ca="1">IFERROR(__xludf.DUMMYFUNCTION("""COMPUTED_VALUE"""),1)</f>
        <v>1</v>
      </c>
    </row>
    <row r="11454" spans="1:5" ht="13">
      <c r="A11454" s="2" t="str">
        <f ca="1">IFERROR(__xludf.DUMMYFUNCTION("""COMPUTED_VALUE"""),"Nakamura, Katsumi")</f>
        <v>Nakamura, Katsumi</v>
      </c>
      <c r="B11454" s="3">
        <f ca="1">IFERROR(__xludf.DUMMYFUNCTION("""COMPUTED_VALUE"""),3)</f>
        <v>3</v>
      </c>
      <c r="C11454" s="7">
        <f ca="1">IFERROR(__xludf.DUMMYFUNCTION("""COMPUTED_VALUE"""),3.3)</f>
        <v>3.3</v>
      </c>
      <c r="D11454" s="8">
        <f ca="1">IFERROR(__xludf.DUMMYFUNCTION("""COMPUTED_VALUE"""),3)</f>
        <v>3</v>
      </c>
      <c r="E11454" s="2">
        <f ca="1">IFERROR(__xludf.DUMMYFUNCTION("""COMPUTED_VALUE"""),1)</f>
        <v>1</v>
      </c>
    </row>
    <row r="11455" spans="1:5" ht="13">
      <c r="A11455" s="2" t="str">
        <f ca="1">IFERROR(__xludf.DUMMYFUNCTION("""COMPUTED_VALUE"""),"Nakayama, Shinpei")</f>
        <v>Nakayama, Shinpei</v>
      </c>
      <c r="B11455" s="3">
        <f ca="1">IFERROR(__xludf.DUMMYFUNCTION("""COMPUTED_VALUE"""),3)</f>
        <v>3</v>
      </c>
      <c r="C11455" s="7">
        <f ca="1">IFERROR(__xludf.DUMMYFUNCTION("""COMPUTED_VALUE"""),3.3)</f>
        <v>3.3</v>
      </c>
      <c r="D11455" s="8">
        <f ca="1">IFERROR(__xludf.DUMMYFUNCTION("""COMPUTED_VALUE"""),7)</f>
        <v>7</v>
      </c>
      <c r="E11455" s="2">
        <f ca="1">IFERROR(__xludf.DUMMYFUNCTION("""COMPUTED_VALUE"""),2)</f>
        <v>2</v>
      </c>
    </row>
    <row r="11456" spans="1:5" ht="13">
      <c r="A11456" s="2" t="str">
        <f ca="1">IFERROR(__xludf.DUMMYFUNCTION("""COMPUTED_VALUE"""),"Nante, Alex")</f>
        <v>Nante, Alex</v>
      </c>
      <c r="B11456" s="3">
        <f ca="1">IFERROR(__xludf.DUMMYFUNCTION("""COMPUTED_VALUE"""),3)</f>
        <v>3</v>
      </c>
      <c r="C11456" s="7">
        <f ca="1">IFERROR(__xludf.DUMMYFUNCTION("""COMPUTED_VALUE"""),3.2)</f>
        <v>3.2</v>
      </c>
      <c r="D11456" s="8">
        <f ca="1">IFERROR(__xludf.DUMMYFUNCTION("""COMPUTED_VALUE"""),3)</f>
        <v>3</v>
      </c>
      <c r="E11456" s="2">
        <f ca="1">IFERROR(__xludf.DUMMYFUNCTION("""COMPUTED_VALUE"""),1)</f>
        <v>1</v>
      </c>
    </row>
    <row r="11457" spans="1:5" ht="13">
      <c r="A11457" s="2" t="str">
        <f ca="1">IFERROR(__xludf.DUMMYFUNCTION("""COMPUTED_VALUE"""),"Naqvi, Qasim")</f>
        <v>Naqvi, Qasim</v>
      </c>
      <c r="B11457" s="2">
        <f ca="1">IFERROR(__xludf.DUMMYFUNCTION("""COMPUTED_VALUE"""),3)</f>
        <v>3</v>
      </c>
      <c r="C11457" s="2">
        <f ca="1">IFERROR(__xludf.DUMMYFUNCTION("""COMPUTED_VALUE"""),3.4)</f>
        <v>3.4</v>
      </c>
      <c r="D11457" s="8">
        <f ca="1">IFERROR(__xludf.DUMMYFUNCTION("""COMPUTED_VALUE"""),3)</f>
        <v>3</v>
      </c>
      <c r="E11457" s="2">
        <f ca="1">IFERROR(__xludf.DUMMYFUNCTION("""COMPUTED_VALUE"""),1)</f>
        <v>1</v>
      </c>
    </row>
    <row r="11458" spans="1:5" ht="13">
      <c r="A11458" s="2" t="str">
        <f ca="1">IFERROR(__xludf.DUMMYFUNCTION("""COMPUTED_VALUE"""),"Naranjo, Iván")</f>
        <v>Naranjo, Iván</v>
      </c>
      <c r="B11458" s="3">
        <f ca="1">IFERROR(__xludf.DUMMYFUNCTION("""COMPUTED_VALUE"""),3)</f>
        <v>3</v>
      </c>
      <c r="C11458" s="7">
        <f ca="1">IFERROR(__xludf.DUMMYFUNCTION("""COMPUTED_VALUE"""),3.2)</f>
        <v>3.2</v>
      </c>
      <c r="D11458" s="8">
        <f ca="1">IFERROR(__xludf.DUMMYFUNCTION("""COMPUTED_VALUE"""),3)</f>
        <v>3</v>
      </c>
      <c r="E11458" s="2">
        <f ca="1">IFERROR(__xludf.DUMMYFUNCTION("""COMPUTED_VALUE"""),1)</f>
        <v>1</v>
      </c>
    </row>
    <row r="11459" spans="1:5" ht="13">
      <c r="A11459" s="8" t="str">
        <f ca="1">IFERROR(__xludf.DUMMYFUNCTION("""COMPUTED_VALUE"""),"Nariño, Luis")</f>
        <v>Nariño, Luis</v>
      </c>
      <c r="B11459" s="3">
        <f ca="1">IFERROR(__xludf.DUMMYFUNCTION("""COMPUTED_VALUE"""),3)</f>
        <v>3</v>
      </c>
      <c r="C11459" s="7">
        <f ca="1">IFERROR(__xludf.DUMMYFUNCTION("""COMPUTED_VALUE"""),3.2)</f>
        <v>3.2</v>
      </c>
      <c r="D11459" s="8">
        <f ca="1">IFERROR(__xludf.DUMMYFUNCTION("""COMPUTED_VALUE"""),3)</f>
        <v>3</v>
      </c>
      <c r="E11459" s="2">
        <f ca="1">IFERROR(__xludf.DUMMYFUNCTION("""COMPUTED_VALUE"""),1)</f>
        <v>1</v>
      </c>
    </row>
    <row r="11460" spans="1:5" ht="13">
      <c r="A11460" s="2" t="str">
        <f ca="1">IFERROR(__xludf.DUMMYFUNCTION("""COMPUTED_VALUE"""),"Nash, Gary Powell")</f>
        <v>Nash, Gary Powell</v>
      </c>
      <c r="B11460" s="3">
        <f ca="1">IFERROR(__xludf.DUMMYFUNCTION("""COMPUTED_VALUE"""),3)</f>
        <v>3</v>
      </c>
      <c r="C11460" s="7">
        <f ca="1">IFERROR(__xludf.DUMMYFUNCTION("""COMPUTED_VALUE"""),3.1)</f>
        <v>3.1</v>
      </c>
      <c r="D11460" s="8">
        <f ca="1">IFERROR(__xludf.DUMMYFUNCTION("""COMPUTED_VALUE"""),3)</f>
        <v>3</v>
      </c>
      <c r="E11460" s="2">
        <f ca="1">IFERROR(__xludf.DUMMYFUNCTION("""COMPUTED_VALUE"""),1)</f>
        <v>1</v>
      </c>
    </row>
    <row r="11461" spans="1:5" ht="13">
      <c r="A11461" s="2" t="str">
        <f ca="1">IFERROR(__xludf.DUMMYFUNCTION("""COMPUTED_VALUE"""),"Navarro, Xander")</f>
        <v>Navarro, Xander</v>
      </c>
      <c r="B11461" s="3">
        <f ca="1">IFERROR(__xludf.DUMMYFUNCTION("""COMPUTED_VALUE"""),3)</f>
        <v>3</v>
      </c>
      <c r="C11461" s="7">
        <f ca="1">IFERROR(__xludf.DUMMYFUNCTION("""COMPUTED_VALUE"""),3.2)</f>
        <v>3.2</v>
      </c>
      <c r="D11461" s="8">
        <f ca="1">IFERROR(__xludf.DUMMYFUNCTION("""COMPUTED_VALUE"""),3)</f>
        <v>3</v>
      </c>
      <c r="E11461" s="2">
        <f ca="1">IFERROR(__xludf.DUMMYFUNCTION("""COMPUTED_VALUE"""),1)</f>
        <v>1</v>
      </c>
    </row>
    <row r="11462" spans="1:5" ht="13">
      <c r="A11462" s="2" t="str">
        <f ca="1">IFERROR(__xludf.DUMMYFUNCTION("""COMPUTED_VALUE"""),"Ndlovu, Mbuso")</f>
        <v>Ndlovu, Mbuso</v>
      </c>
      <c r="B11462" s="3">
        <f ca="1">IFERROR(__xludf.DUMMYFUNCTION("""COMPUTED_VALUE"""),3)</f>
        <v>3</v>
      </c>
      <c r="C11462" s="7">
        <f ca="1">IFERROR(__xludf.DUMMYFUNCTION("""COMPUTED_VALUE"""),3.1)</f>
        <v>3.1</v>
      </c>
      <c r="D11462" s="8">
        <f ca="1">IFERROR(__xludf.DUMMYFUNCTION("""COMPUTED_VALUE"""),3)</f>
        <v>3</v>
      </c>
      <c r="E11462" s="2">
        <f ca="1">IFERROR(__xludf.DUMMYFUNCTION("""COMPUTED_VALUE"""),1)</f>
        <v>1</v>
      </c>
    </row>
    <row r="11463" spans="1:5" ht="13">
      <c r="A11463" s="2" t="str">
        <f ca="1">IFERROR(__xludf.DUMMYFUNCTION("""COMPUTED_VALUE"""),"Ndodana-Breen, Bongani")</f>
        <v>Ndodana-Breen, Bongani</v>
      </c>
      <c r="B11463" s="3">
        <f ca="1">IFERROR(__xludf.DUMMYFUNCTION("""COMPUTED_VALUE"""),3)</f>
        <v>3</v>
      </c>
      <c r="C11463" s="7">
        <f ca="1">IFERROR(__xludf.DUMMYFUNCTION("""COMPUTED_VALUE"""),3.1)</f>
        <v>3.1</v>
      </c>
      <c r="D11463" s="8">
        <f ca="1">IFERROR(__xludf.DUMMYFUNCTION("""COMPUTED_VALUE"""),3)</f>
        <v>3</v>
      </c>
      <c r="E11463" s="2">
        <f ca="1">IFERROR(__xludf.DUMMYFUNCTION("""COMPUTED_VALUE"""),1)</f>
        <v>1</v>
      </c>
    </row>
    <row r="11464" spans="1:5" ht="13">
      <c r="A11464" s="2" t="str">
        <f ca="1">IFERROR(__xludf.DUMMYFUNCTION("""COMPUTED_VALUE"""),"Nelson, Jesus")</f>
        <v>Nelson, Jesus</v>
      </c>
      <c r="B11464" s="2">
        <f ca="1">IFERROR(__xludf.DUMMYFUNCTION("""COMPUTED_VALUE"""),3)</f>
        <v>3</v>
      </c>
      <c r="C11464" s="7">
        <f ca="1">IFERROR(__xludf.DUMMYFUNCTION("""COMPUTED_VALUE"""),3.2)</f>
        <v>3.2</v>
      </c>
      <c r="D11464" s="8">
        <f ca="1">IFERROR(__xludf.DUMMYFUNCTION("""COMPUTED_VALUE"""),3)</f>
        <v>3</v>
      </c>
      <c r="E11464" s="2">
        <f ca="1">IFERROR(__xludf.DUMMYFUNCTION("""COMPUTED_VALUE"""),1)</f>
        <v>1</v>
      </c>
    </row>
    <row r="11465" spans="1:5" ht="13">
      <c r="A11465" s="2" t="str">
        <f ca="1">IFERROR(__xludf.DUMMYFUNCTION("""COMPUTED_VALUE"""),"Nelson, Oliver")</f>
        <v>Nelson, Oliver</v>
      </c>
      <c r="B11465" s="2">
        <f ca="1">IFERROR(__xludf.DUMMYFUNCTION("""COMPUTED_VALUE"""),3)</f>
        <v>3</v>
      </c>
      <c r="C11465" s="7">
        <f ca="1">IFERROR(__xludf.DUMMYFUNCTION("""COMPUTED_VALUE"""),3.1)</f>
        <v>3.1</v>
      </c>
      <c r="D11465" s="8">
        <f ca="1">IFERROR(__xludf.DUMMYFUNCTION("""COMPUTED_VALUE"""),7)</f>
        <v>7</v>
      </c>
      <c r="E11465" s="2">
        <f ca="1">IFERROR(__xludf.DUMMYFUNCTION("""COMPUTED_VALUE"""),2)</f>
        <v>2</v>
      </c>
    </row>
    <row r="11466" spans="1:5" ht="13">
      <c r="A11466" s="2" t="str">
        <f ca="1">IFERROR(__xludf.DUMMYFUNCTION("""COMPUTED_VALUE"""),"Neri-Mancilla, Juan")</f>
        <v>Neri-Mancilla, Juan</v>
      </c>
      <c r="B11466" s="3">
        <f ca="1">IFERROR(__xludf.DUMMYFUNCTION("""COMPUTED_VALUE"""),3)</f>
        <v>3</v>
      </c>
      <c r="C11466" s="7">
        <f ca="1">IFERROR(__xludf.DUMMYFUNCTION("""COMPUTED_VALUE"""),3.1)</f>
        <v>3.1</v>
      </c>
      <c r="D11466" s="8">
        <f ca="1">IFERROR(__xludf.DUMMYFUNCTION("""COMPUTED_VALUE"""),3)</f>
        <v>3</v>
      </c>
      <c r="E11466" s="2">
        <f ca="1">IFERROR(__xludf.DUMMYFUNCTION("""COMPUTED_VALUE"""),1)</f>
        <v>1</v>
      </c>
    </row>
    <row r="11467" spans="1:5" ht="13">
      <c r="A11467" s="2" t="str">
        <f ca="1">IFERROR(__xludf.DUMMYFUNCTION("""COMPUTED_VALUE"""),"Nero, Javier")</f>
        <v>Nero, Javier</v>
      </c>
      <c r="B11467" s="2">
        <f ca="1">IFERROR(__xludf.DUMMYFUNCTION("""COMPUTED_VALUE"""),3)</f>
        <v>3</v>
      </c>
      <c r="C11467" s="7">
        <f ca="1">IFERROR(__xludf.DUMMYFUNCTION("""COMPUTED_VALUE"""),3.1)</f>
        <v>3.1</v>
      </c>
      <c r="D11467" s="8">
        <f ca="1">IFERROR(__xludf.DUMMYFUNCTION("""COMPUTED_VALUE"""),3)</f>
        <v>3</v>
      </c>
      <c r="E11467" s="2">
        <f ca="1">IFERROR(__xludf.DUMMYFUNCTION("""COMPUTED_VALUE"""),1)</f>
        <v>1</v>
      </c>
    </row>
    <row r="11468" spans="1:5" ht="13">
      <c r="A11468" s="2" t="str">
        <f ca="1">IFERROR(__xludf.DUMMYFUNCTION("""COMPUTED_VALUE"""),"Nero, SSG Javier")</f>
        <v>Nero, SSG Javier</v>
      </c>
      <c r="B11468" s="2">
        <f ca="1">IFERROR(__xludf.DUMMYFUNCTION("""COMPUTED_VALUE"""),3)</f>
        <v>3</v>
      </c>
      <c r="C11468" s="7">
        <f ca="1">IFERROR(__xludf.DUMMYFUNCTION("""COMPUTED_VALUE"""),3.8)</f>
        <v>3.8</v>
      </c>
      <c r="D11468" s="8">
        <f ca="1">IFERROR(__xludf.DUMMYFUNCTION("""COMPUTED_VALUE"""),3)</f>
        <v>3</v>
      </c>
      <c r="E11468" s="2">
        <f ca="1">IFERROR(__xludf.DUMMYFUNCTION("""COMPUTED_VALUE"""),1)</f>
        <v>1</v>
      </c>
    </row>
    <row r="11469" spans="1:5" ht="13">
      <c r="A11469" s="2" t="str">
        <f ca="1">IFERROR(__xludf.DUMMYFUNCTION("""COMPUTED_VALUE"""),"Neto, Jovino Santos")</f>
        <v>Neto, Jovino Santos</v>
      </c>
      <c r="B11469" s="3">
        <f ca="1">IFERROR(__xludf.DUMMYFUNCTION("""COMPUTED_VALUE"""),3)</f>
        <v>3</v>
      </c>
      <c r="C11469" s="7">
        <f ca="1">IFERROR(__xludf.DUMMYFUNCTION("""COMPUTED_VALUE"""),3.2)</f>
        <v>3.2</v>
      </c>
      <c r="D11469" s="8">
        <f ca="1">IFERROR(__xludf.DUMMYFUNCTION("""COMPUTED_VALUE"""),3)</f>
        <v>3</v>
      </c>
      <c r="E11469" s="2">
        <f ca="1">IFERROR(__xludf.DUMMYFUNCTION("""COMPUTED_VALUE"""),1)</f>
        <v>1</v>
      </c>
    </row>
    <row r="11470" spans="1:5" ht="13">
      <c r="A11470" s="2" t="str">
        <f ca="1">IFERROR(__xludf.DUMMYFUNCTION("""COMPUTED_VALUE"""),"Netter, Herman / Grundy, Rickey")</f>
        <v>Netter, Herman / Grundy, Rickey</v>
      </c>
      <c r="B11470" s="3">
        <f ca="1">IFERROR(__xludf.DUMMYFUNCTION("""COMPUTED_VALUE"""),3)</f>
        <v>3</v>
      </c>
      <c r="C11470" s="7">
        <f ca="1">IFERROR(__xludf.DUMMYFUNCTION("""COMPUTED_VALUE"""),3.1)</f>
        <v>3.1</v>
      </c>
      <c r="D11470" s="8">
        <f ca="1">IFERROR(__xludf.DUMMYFUNCTION("""COMPUTED_VALUE"""),3)</f>
        <v>3</v>
      </c>
      <c r="E11470" s="2">
        <f ca="1">IFERROR(__xludf.DUMMYFUNCTION("""COMPUTED_VALUE"""),1)</f>
        <v>1</v>
      </c>
    </row>
    <row r="11471" spans="1:5" ht="13">
      <c r="A11471" s="2" t="str">
        <f ca="1">IFERROR(__xludf.DUMMYFUNCTION("""COMPUTED_VALUE"""),"New, Trevor")</f>
        <v>New, Trevor</v>
      </c>
      <c r="B11471" s="3">
        <f ca="1">IFERROR(__xludf.DUMMYFUNCTION("""COMPUTED_VALUE"""),3)</f>
        <v>3</v>
      </c>
      <c r="C11471" s="7">
        <f ca="1">IFERROR(__xludf.DUMMYFUNCTION("""COMPUTED_VALUE"""),3.1)</f>
        <v>3.1</v>
      </c>
      <c r="D11471" s="8">
        <f ca="1">IFERROR(__xludf.DUMMYFUNCTION("""COMPUTED_VALUE"""),3)</f>
        <v>3</v>
      </c>
      <c r="E11471" s="2">
        <f ca="1">IFERROR(__xludf.DUMMYFUNCTION("""COMPUTED_VALUE"""),1)</f>
        <v>1</v>
      </c>
    </row>
    <row r="11472" spans="1:5" ht="13">
      <c r="A11472" s="2" t="str">
        <f ca="1">IFERROR(__xludf.DUMMYFUNCTION("""COMPUTED_VALUE"""),"Newsom, Tommy")</f>
        <v>Newsom, Tommy</v>
      </c>
      <c r="B11472" s="2">
        <f ca="1">IFERROR(__xludf.DUMMYFUNCTION("""COMPUTED_VALUE"""),3)</f>
        <v>3</v>
      </c>
      <c r="C11472" s="7">
        <f ca="1">IFERROR(__xludf.DUMMYFUNCTION("""COMPUTED_VALUE"""),3.1)</f>
        <v>3.1</v>
      </c>
      <c r="D11472" s="8">
        <f ca="1">IFERROR(__xludf.DUMMYFUNCTION("""COMPUTED_VALUE"""),7)</f>
        <v>7</v>
      </c>
      <c r="E11472" s="2">
        <f ca="1">IFERROR(__xludf.DUMMYFUNCTION("""COMPUTED_VALUE"""),2)</f>
        <v>2</v>
      </c>
    </row>
    <row r="11473" spans="1:5" ht="13">
      <c r="A11473" s="2" t="str">
        <f ca="1">IFERROR(__xludf.DUMMYFUNCTION("""COMPUTED_VALUE"""),"Ngo Hoang Quan")</f>
        <v>Ngo Hoang Quan</v>
      </c>
      <c r="B11473" s="3">
        <f ca="1">IFERROR(__xludf.DUMMYFUNCTION("""COMPUTED_VALUE"""),3)</f>
        <v>3</v>
      </c>
      <c r="C11473" s="7">
        <f ca="1">IFERROR(__xludf.DUMMYFUNCTION("""COMPUTED_VALUE"""),3.4)</f>
        <v>3.4</v>
      </c>
      <c r="D11473" s="8">
        <f ca="1">IFERROR(__xludf.DUMMYFUNCTION("""COMPUTED_VALUE"""),3)</f>
        <v>3</v>
      </c>
      <c r="E11473" s="2">
        <f ca="1">IFERROR(__xludf.DUMMYFUNCTION("""COMPUTED_VALUE"""),1)</f>
        <v>1</v>
      </c>
    </row>
    <row r="11474" spans="1:5" ht="13">
      <c r="A11474" s="2" t="str">
        <f ca="1">IFERROR(__xludf.DUMMYFUNCTION("""COMPUTED_VALUE"""),"Nguyen, Colin")</f>
        <v>Nguyen, Colin</v>
      </c>
      <c r="B11474" s="3">
        <f ca="1">IFERROR(__xludf.DUMMYFUNCTION("""COMPUTED_VALUE"""),3)</f>
        <v>3</v>
      </c>
      <c r="C11474" s="7">
        <f ca="1">IFERROR(__xludf.DUMMYFUNCTION("""COMPUTED_VALUE"""),3.9)</f>
        <v>3.9</v>
      </c>
      <c r="D11474" s="8">
        <f ca="1">IFERROR(__xludf.DUMMYFUNCTION("""COMPUTED_VALUE"""),3)</f>
        <v>3</v>
      </c>
      <c r="E11474" s="2">
        <f ca="1">IFERROR(__xludf.DUMMYFUNCTION("""COMPUTED_VALUE"""),1)</f>
        <v>1</v>
      </c>
    </row>
    <row r="11475" spans="1:5" ht="13">
      <c r="A11475" s="8" t="str">
        <f ca="1">IFERROR(__xludf.DUMMYFUNCTION("""COMPUTED_VALUE"""),"Ning Baosheng")</f>
        <v>Ning Baosheng</v>
      </c>
      <c r="B11475" s="3">
        <f ca="1">IFERROR(__xludf.DUMMYFUNCTION("""COMPUTED_VALUE"""),3)</f>
        <v>3</v>
      </c>
      <c r="C11475" s="7">
        <f ca="1">IFERROR(__xludf.DUMMYFUNCTION("""COMPUTED_VALUE"""),3.3)</f>
        <v>3.3</v>
      </c>
      <c r="D11475" s="8">
        <f ca="1">IFERROR(__xludf.DUMMYFUNCTION("""COMPUTED_VALUE"""),7)</f>
        <v>7</v>
      </c>
      <c r="E11475" s="2">
        <f ca="1">IFERROR(__xludf.DUMMYFUNCTION("""COMPUTED_VALUE"""),2)</f>
        <v>2</v>
      </c>
    </row>
    <row r="11476" spans="1:5" ht="13">
      <c r="A11476" s="8" t="str">
        <f ca="1">IFERROR(__xludf.DUMMYFUNCTION("""COMPUTED_VALUE"""),"Nishimura, You")</f>
        <v>Nishimura, You</v>
      </c>
      <c r="B11476" s="3">
        <f ca="1">IFERROR(__xludf.DUMMYFUNCTION("""COMPUTED_VALUE"""),3)</f>
        <v>3</v>
      </c>
      <c r="C11476" s="7">
        <f ca="1">IFERROR(__xludf.DUMMYFUNCTION("""COMPUTED_VALUE"""),3.3)</f>
        <v>3.3</v>
      </c>
      <c r="D11476" s="8">
        <f ca="1">IFERROR(__xludf.DUMMYFUNCTION("""COMPUTED_VALUE"""),3)</f>
        <v>3</v>
      </c>
      <c r="E11476" s="2">
        <f ca="1">IFERROR(__xludf.DUMMYFUNCTION("""COMPUTED_VALUE"""),1)</f>
        <v>1</v>
      </c>
    </row>
    <row r="11477" spans="1:5" ht="13">
      <c r="A11477" s="2" t="str">
        <f ca="1">IFERROR(__xludf.DUMMYFUNCTION("""COMPUTED_VALUE"""),"Noble, Ramon")</f>
        <v>Noble, Ramon</v>
      </c>
      <c r="B11477" s="3">
        <f ca="1">IFERROR(__xludf.DUMMYFUNCTION("""COMPUTED_VALUE"""),3)</f>
        <v>3</v>
      </c>
      <c r="C11477" s="7">
        <f ca="1">IFERROR(__xludf.DUMMYFUNCTION("""COMPUTED_VALUE"""),3.2)</f>
        <v>3.2</v>
      </c>
      <c r="D11477" s="8">
        <f ca="1">IFERROR(__xludf.DUMMYFUNCTION("""COMPUTED_VALUE"""),3)</f>
        <v>3</v>
      </c>
      <c r="E11477" s="2">
        <f ca="1">IFERROR(__xludf.DUMMYFUNCTION("""COMPUTED_VALUE"""),1)</f>
        <v>1</v>
      </c>
    </row>
    <row r="11478" spans="1:5" ht="13">
      <c r="A11478" s="2" t="str">
        <f ca="1">IFERROR(__xludf.DUMMYFUNCTION("""COMPUTED_VALUE"""),"Nobre, Marlos")</f>
        <v>Nobre, Marlos</v>
      </c>
      <c r="B11478" s="3">
        <f ca="1">IFERROR(__xludf.DUMMYFUNCTION("""COMPUTED_VALUE"""),3)</f>
        <v>3</v>
      </c>
      <c r="C11478" s="7">
        <f ca="1">IFERROR(__xludf.DUMMYFUNCTION("""COMPUTED_VALUE"""),3.2)</f>
        <v>3.2</v>
      </c>
      <c r="D11478" s="8">
        <f ca="1">IFERROR(__xludf.DUMMYFUNCTION("""COMPUTED_VALUE"""),3)</f>
        <v>3</v>
      </c>
      <c r="E11478" s="2">
        <f ca="1">IFERROR(__xludf.DUMMYFUNCTION("""COMPUTED_VALUE"""),1)</f>
        <v>1</v>
      </c>
    </row>
    <row r="11479" spans="1:5" ht="13">
      <c r="A11479" s="2" t="str">
        <f ca="1">IFERROR(__xludf.DUMMYFUNCTION("""COMPUTED_VALUE"""),"Noda, Ryo")</f>
        <v>Noda, Ryo</v>
      </c>
      <c r="B11479" s="3">
        <f ca="1">IFERROR(__xludf.DUMMYFUNCTION("""COMPUTED_VALUE"""),3)</f>
        <v>3</v>
      </c>
      <c r="C11479" s="7">
        <f ca="1">IFERROR(__xludf.DUMMYFUNCTION("""COMPUTED_VALUE"""),3.3)</f>
        <v>3.3</v>
      </c>
      <c r="D11479" s="8">
        <f ca="1">IFERROR(__xludf.DUMMYFUNCTION("""COMPUTED_VALUE"""),3)</f>
        <v>3</v>
      </c>
      <c r="E11479" s="2">
        <f ca="1">IFERROR(__xludf.DUMMYFUNCTION("""COMPUTED_VALUE"""),1)</f>
        <v>1</v>
      </c>
    </row>
    <row r="11480" spans="1:5" ht="13">
      <c r="A11480" s="2" t="str">
        <f ca="1">IFERROR(__xludf.DUMMYFUNCTION("""COMPUTED_VALUE"""),"Nogueira, Hudson")</f>
        <v>Nogueira, Hudson</v>
      </c>
      <c r="B11480" s="3">
        <f ca="1">IFERROR(__xludf.DUMMYFUNCTION("""COMPUTED_VALUE"""),3)</f>
        <v>3</v>
      </c>
      <c r="C11480" s="7">
        <f ca="1">IFERROR(__xludf.DUMMYFUNCTION("""COMPUTED_VALUE"""),3.2)</f>
        <v>3.2</v>
      </c>
      <c r="D11480" s="8">
        <f ca="1">IFERROR(__xludf.DUMMYFUNCTION("""COMPUTED_VALUE"""),3)</f>
        <v>3</v>
      </c>
      <c r="E11480" s="2">
        <f ca="1">IFERROR(__xludf.DUMMYFUNCTION("""COMPUTED_VALUE"""),1)</f>
        <v>1</v>
      </c>
    </row>
    <row r="11481" spans="1:5" ht="13">
      <c r="A11481" s="2" t="str">
        <f ca="1">IFERROR(__xludf.DUMMYFUNCTION("""COMPUTED_VALUE"""),"Noro, Nozomu")</f>
        <v>Noro, Nozomu</v>
      </c>
      <c r="B11481" s="2">
        <f ca="1">IFERROR(__xludf.DUMMYFUNCTION("""COMPUTED_VALUE"""),3)</f>
        <v>3</v>
      </c>
      <c r="C11481" s="7">
        <f ca="1">IFERROR(__xludf.DUMMYFUNCTION("""COMPUTED_VALUE"""),3.3)</f>
        <v>3.3</v>
      </c>
      <c r="D11481" s="8">
        <f ca="1">IFERROR(__xludf.DUMMYFUNCTION("""COMPUTED_VALUE"""),3)</f>
        <v>3</v>
      </c>
      <c r="E11481" s="2">
        <f ca="1">IFERROR(__xludf.DUMMYFUNCTION("""COMPUTED_VALUE"""),1)</f>
        <v>1</v>
      </c>
    </row>
    <row r="11482" spans="1:5" ht="13">
      <c r="A11482" s="2" t="str">
        <f ca="1">IFERROR(__xludf.DUMMYFUNCTION("""COMPUTED_VALUE"""),"Norris, Marcus")</f>
        <v>Norris, Marcus</v>
      </c>
      <c r="B11482" s="2">
        <f ca="1">IFERROR(__xludf.DUMMYFUNCTION("""COMPUTED_VALUE"""),3)</f>
        <v>3</v>
      </c>
      <c r="C11482" s="7">
        <f ca="1">IFERROR(__xludf.DUMMYFUNCTION("""COMPUTED_VALUE"""),3.1)</f>
        <v>3.1</v>
      </c>
      <c r="D11482" s="8">
        <f ca="1">IFERROR(__xludf.DUMMYFUNCTION("""COMPUTED_VALUE"""),3)</f>
        <v>3</v>
      </c>
      <c r="E11482" s="2">
        <f ca="1">IFERROR(__xludf.DUMMYFUNCTION("""COMPUTED_VALUE"""),1)</f>
        <v>1</v>
      </c>
    </row>
    <row r="11483" spans="1:5" ht="13">
      <c r="A11483" s="2" t="str">
        <f ca="1">IFERROR(__xludf.DUMMYFUNCTION("""COMPUTED_VALUE"""),"Novak, Lior")</f>
        <v>Novak, Lior</v>
      </c>
      <c r="B11483" s="3">
        <f ca="1">IFERROR(__xludf.DUMMYFUNCTION("""COMPUTED_VALUE"""),3)</f>
        <v>3</v>
      </c>
      <c r="C11483" s="7">
        <f ca="1">IFERROR(__xludf.DUMMYFUNCTION("""COMPUTED_VALUE"""),3.5)</f>
        <v>3.5</v>
      </c>
      <c r="D11483" s="8">
        <f ca="1">IFERROR(__xludf.DUMMYFUNCTION("""COMPUTED_VALUE"""),3)</f>
        <v>3</v>
      </c>
      <c r="E11483" s="2">
        <f ca="1">IFERROR(__xludf.DUMMYFUNCTION("""COMPUTED_VALUE"""),1)</f>
        <v>1</v>
      </c>
    </row>
    <row r="11484" spans="1:5" ht="13">
      <c r="A11484" s="2" t="str">
        <f ca="1">IFERROR(__xludf.DUMMYFUNCTION("""COMPUTED_VALUE"""),"Núñez, Francisco")</f>
        <v>Núñez, Francisco</v>
      </c>
      <c r="B11484" s="3">
        <f ca="1">IFERROR(__xludf.DUMMYFUNCTION("""COMPUTED_VALUE"""),3)</f>
        <v>3</v>
      </c>
      <c r="C11484" s="7">
        <f ca="1">IFERROR(__xludf.DUMMYFUNCTION("""COMPUTED_VALUE"""),3.2)</f>
        <v>3.2</v>
      </c>
      <c r="D11484" s="8">
        <f ca="1">IFERROR(__xludf.DUMMYFUNCTION("""COMPUTED_VALUE"""),3)</f>
        <v>3</v>
      </c>
      <c r="E11484" s="2">
        <f ca="1">IFERROR(__xludf.DUMMYFUNCTION("""COMPUTED_VALUE"""),1)</f>
        <v>1</v>
      </c>
    </row>
    <row r="11485" spans="1:5" ht="13">
      <c r="A11485" s="8" t="str">
        <f ca="1">IFERROR(__xludf.DUMMYFUNCTION("""COMPUTED_VALUE"""),"Nyamezela, Sidumo")</f>
        <v>Nyamezela, Sidumo</v>
      </c>
      <c r="B11485" s="3">
        <f ca="1">IFERROR(__xludf.DUMMYFUNCTION("""COMPUTED_VALUE"""),3)</f>
        <v>3</v>
      </c>
      <c r="C11485" s="7">
        <f ca="1">IFERROR(__xludf.DUMMYFUNCTION("""COMPUTED_VALUE"""),3.1)</f>
        <v>3.1</v>
      </c>
      <c r="D11485" s="8">
        <f ca="1">IFERROR(__xludf.DUMMYFUNCTION("""COMPUTED_VALUE"""),3)</f>
        <v>3</v>
      </c>
      <c r="E11485" s="2">
        <f ca="1">IFERROR(__xludf.DUMMYFUNCTION("""COMPUTED_VALUE"""),1)</f>
        <v>1</v>
      </c>
    </row>
    <row r="11486" spans="1:5" ht="13">
      <c r="A11486" s="2" t="str">
        <f ca="1">IFERROR(__xludf.DUMMYFUNCTION("""COMPUTED_VALUE"""),"O'Regan, Tarik")</f>
        <v>O'Regan, Tarik</v>
      </c>
      <c r="B11486" s="2">
        <f ca="1">IFERROR(__xludf.DUMMYFUNCTION("""COMPUTED_VALUE"""),3)</f>
        <v>3</v>
      </c>
      <c r="C11486" s="7">
        <f ca="1">IFERROR(__xludf.DUMMYFUNCTION("""COMPUTED_VALUE"""),3.5)</f>
        <v>3.5</v>
      </c>
      <c r="D11486" s="8">
        <f ca="1">IFERROR(__xludf.DUMMYFUNCTION("""COMPUTED_VALUE"""),3)</f>
        <v>3</v>
      </c>
      <c r="E11486" s="2">
        <f ca="1">IFERROR(__xludf.DUMMYFUNCTION("""COMPUTED_VALUE"""),1)</f>
        <v>1</v>
      </c>
    </row>
    <row r="11487" spans="1:5" ht="13">
      <c r="A11487" s="2" t="str">
        <f ca="1">IFERROR(__xludf.DUMMYFUNCTION("""COMPUTED_VALUE"""),"Obispo, Fabian")</f>
        <v>Obispo, Fabian</v>
      </c>
      <c r="B11487" s="3">
        <f ca="1">IFERROR(__xludf.DUMMYFUNCTION("""COMPUTED_VALUE"""),3)</f>
        <v>3</v>
      </c>
      <c r="C11487" s="7">
        <f ca="1">IFERROR(__xludf.DUMMYFUNCTION("""COMPUTED_VALUE"""),3.1)</f>
        <v>3.1</v>
      </c>
      <c r="D11487" s="8">
        <f ca="1">IFERROR(__xludf.DUMMYFUNCTION("""COMPUTED_VALUE"""),3)</f>
        <v>3</v>
      </c>
      <c r="E11487" s="2">
        <f ca="1">IFERROR(__xludf.DUMMYFUNCTION("""COMPUTED_VALUE"""),1)</f>
        <v>1</v>
      </c>
    </row>
    <row r="11488" spans="1:5" ht="13">
      <c r="A11488" s="2" t="str">
        <f ca="1">IFERROR(__xludf.DUMMYFUNCTION("""COMPUTED_VALUE"""),"Ochoa, Jesus")</f>
        <v>Ochoa, Jesus</v>
      </c>
      <c r="B11488" s="3">
        <f ca="1">IFERROR(__xludf.DUMMYFUNCTION("""COMPUTED_VALUE"""),3)</f>
        <v>3</v>
      </c>
      <c r="C11488" s="7">
        <f ca="1">IFERROR(__xludf.DUMMYFUNCTION("""COMPUTED_VALUE"""),3.2)</f>
        <v>3.2</v>
      </c>
      <c r="D11488" s="8">
        <f ca="1">IFERROR(__xludf.DUMMYFUNCTION("""COMPUTED_VALUE"""),3)</f>
        <v>3</v>
      </c>
      <c r="E11488" s="2">
        <f ca="1">IFERROR(__xludf.DUMMYFUNCTION("""COMPUTED_VALUE"""),1)</f>
        <v>1</v>
      </c>
    </row>
    <row r="11489" spans="1:5" ht="13">
      <c r="A11489" s="2" t="str">
        <f ca="1">IFERROR(__xludf.DUMMYFUNCTION("""COMPUTED_VALUE"""),"Odajima, Isaiah")</f>
        <v>Odajima, Isaiah</v>
      </c>
      <c r="B11489" s="3">
        <f ca="1">IFERROR(__xludf.DUMMYFUNCTION("""COMPUTED_VALUE"""),3)</f>
        <v>3</v>
      </c>
      <c r="C11489" s="7">
        <f ca="1">IFERROR(__xludf.DUMMYFUNCTION("""COMPUTED_VALUE"""),3.3)</f>
        <v>3.3</v>
      </c>
      <c r="D11489" s="8">
        <f ca="1">IFERROR(__xludf.DUMMYFUNCTION("""COMPUTED_VALUE"""),3)</f>
        <v>3</v>
      </c>
      <c r="E11489" s="2">
        <f ca="1">IFERROR(__xludf.DUMMYFUNCTION("""COMPUTED_VALUE"""),1)</f>
        <v>1</v>
      </c>
    </row>
    <row r="11490" spans="1:5" ht="13">
      <c r="A11490" s="8" t="str">
        <f ca="1">IFERROR(__xludf.DUMMYFUNCTION("""COMPUTED_VALUE"""),"Oetomo, Robert")</f>
        <v>Oetomo, Robert</v>
      </c>
      <c r="B11490" s="3">
        <f ca="1">IFERROR(__xludf.DUMMYFUNCTION("""COMPUTED_VALUE"""),3)</f>
        <v>3</v>
      </c>
      <c r="C11490" s="7">
        <f ca="1">IFERROR(__xludf.DUMMYFUNCTION("""COMPUTED_VALUE"""),3.3)</f>
        <v>3.3</v>
      </c>
      <c r="D11490" s="8">
        <f ca="1">IFERROR(__xludf.DUMMYFUNCTION("""COMPUTED_VALUE"""),3)</f>
        <v>3</v>
      </c>
      <c r="E11490" s="2">
        <f ca="1">IFERROR(__xludf.DUMMYFUNCTION("""COMPUTED_VALUE"""),1)</f>
        <v>1</v>
      </c>
    </row>
    <row r="11491" spans="1:5" ht="13">
      <c r="A11491" s="2" t="str">
        <f ca="1">IFERROR(__xludf.DUMMYFUNCTION("""COMPUTED_VALUE"""),"Ogada, Ayub")</f>
        <v>Ogada, Ayub</v>
      </c>
      <c r="B11491" s="3">
        <f ca="1">IFERROR(__xludf.DUMMYFUNCTION("""COMPUTED_VALUE"""),3)</f>
        <v>3</v>
      </c>
      <c r="C11491" s="7">
        <f ca="1">IFERROR(__xludf.DUMMYFUNCTION("""COMPUTED_VALUE"""),3.1)</f>
        <v>3.1</v>
      </c>
      <c r="D11491" s="8">
        <f ca="1">IFERROR(__xludf.DUMMYFUNCTION("""COMPUTED_VALUE"""),7)</f>
        <v>7</v>
      </c>
      <c r="E11491" s="2">
        <f ca="1">IFERROR(__xludf.DUMMYFUNCTION("""COMPUTED_VALUE"""),2)</f>
        <v>2</v>
      </c>
    </row>
    <row r="11492" spans="1:5" ht="13">
      <c r="A11492" s="2" t="str">
        <f ca="1">IFERROR(__xludf.DUMMYFUNCTION("""COMPUTED_VALUE"""),"Ogino, Mutsuhito")</f>
        <v>Ogino, Mutsuhito</v>
      </c>
      <c r="B11492" s="3">
        <f ca="1">IFERROR(__xludf.DUMMYFUNCTION("""COMPUTED_VALUE"""),3)</f>
        <v>3</v>
      </c>
      <c r="C11492" s="7">
        <f ca="1">IFERROR(__xludf.DUMMYFUNCTION("""COMPUTED_VALUE"""),3.3)</f>
        <v>3.3</v>
      </c>
      <c r="D11492" s="8">
        <f ca="1">IFERROR(__xludf.DUMMYFUNCTION("""COMPUTED_VALUE"""),3)</f>
        <v>3</v>
      </c>
      <c r="E11492" s="2">
        <f ca="1">IFERROR(__xludf.DUMMYFUNCTION("""COMPUTED_VALUE"""),1)</f>
        <v>1</v>
      </c>
    </row>
    <row r="11493" spans="1:5" ht="13">
      <c r="A11493" s="8" t="str">
        <f ca="1">IFERROR(__xludf.DUMMYFUNCTION("""COMPUTED_VALUE"""),"Ogura, Rō")</f>
        <v>Ogura, Rō</v>
      </c>
      <c r="B11493" s="3">
        <f ca="1">IFERROR(__xludf.DUMMYFUNCTION("""COMPUTED_VALUE"""),3)</f>
        <v>3</v>
      </c>
      <c r="C11493" s="7">
        <f ca="1">IFERROR(__xludf.DUMMYFUNCTION("""COMPUTED_VALUE"""),3.3)</f>
        <v>3.3</v>
      </c>
      <c r="D11493" s="8">
        <f ca="1">IFERROR(__xludf.DUMMYFUNCTION("""COMPUTED_VALUE"""),7)</f>
        <v>7</v>
      </c>
      <c r="E11493" s="2">
        <f ca="1">IFERROR(__xludf.DUMMYFUNCTION("""COMPUTED_VALUE"""),2)</f>
        <v>2</v>
      </c>
    </row>
    <row r="11494" spans="1:5" ht="13">
      <c r="A11494" s="2" t="str">
        <f ca="1">IFERROR(__xludf.DUMMYFUNCTION("""COMPUTED_VALUE"""),"Ogura, Roh")</f>
        <v>Ogura, Roh</v>
      </c>
      <c r="B11494" s="3">
        <f ca="1">IFERROR(__xludf.DUMMYFUNCTION("""COMPUTED_VALUE"""),3)</f>
        <v>3</v>
      </c>
      <c r="C11494" s="7">
        <f ca="1">IFERROR(__xludf.DUMMYFUNCTION("""COMPUTED_VALUE"""),3.3)</f>
        <v>3.3</v>
      </c>
      <c r="D11494" s="8">
        <f ca="1">IFERROR(__xludf.DUMMYFUNCTION("""COMPUTED_VALUE"""),7)</f>
        <v>7</v>
      </c>
      <c r="E11494" s="2">
        <f ca="1">IFERROR(__xludf.DUMMYFUNCTION("""COMPUTED_VALUE"""),2)</f>
        <v>2</v>
      </c>
    </row>
    <row r="11495" spans="1:5" ht="13">
      <c r="A11495" s="2" t="str">
        <f ca="1">IFERROR(__xludf.DUMMYFUNCTION("""COMPUTED_VALUE"""),"Oguri, Hiroshi")</f>
        <v>Oguri, Hiroshi</v>
      </c>
      <c r="B11495" s="3">
        <f ca="1">IFERROR(__xludf.DUMMYFUNCTION("""COMPUTED_VALUE"""),3)</f>
        <v>3</v>
      </c>
      <c r="C11495" s="7">
        <f ca="1">IFERROR(__xludf.DUMMYFUNCTION("""COMPUTED_VALUE"""),3.3)</f>
        <v>3.3</v>
      </c>
      <c r="D11495" s="8">
        <f ca="1">IFERROR(__xludf.DUMMYFUNCTION("""COMPUTED_VALUE"""),7)</f>
        <v>7</v>
      </c>
      <c r="E11495" s="2">
        <f ca="1">IFERROR(__xludf.DUMMYFUNCTION("""COMPUTED_VALUE"""),2)</f>
        <v>2</v>
      </c>
    </row>
    <row r="11496" spans="1:5" ht="13">
      <c r="A11496" s="2" t="str">
        <f ca="1">IFERROR(__xludf.DUMMYFUNCTION("""COMPUTED_VALUE"""),"Ohguri, Hiroshi")</f>
        <v>Ohguri, Hiroshi</v>
      </c>
      <c r="B11496" s="2">
        <f ca="1">IFERROR(__xludf.DUMMYFUNCTION("""COMPUTED_VALUE"""),3)</f>
        <v>3</v>
      </c>
      <c r="C11496" s="7">
        <f ca="1">IFERROR(__xludf.DUMMYFUNCTION("""COMPUTED_VALUE"""),3.3)</f>
        <v>3.3</v>
      </c>
      <c r="D11496" s="8">
        <f ca="1">IFERROR(__xludf.DUMMYFUNCTION("""COMPUTED_VALUE"""),7)</f>
        <v>7</v>
      </c>
      <c r="E11496" s="2">
        <f ca="1">IFERROR(__xludf.DUMMYFUNCTION("""COMPUTED_VALUE"""),2)</f>
        <v>2</v>
      </c>
    </row>
    <row r="11497" spans="1:5" ht="13">
      <c r="A11497" s="8" t="str">
        <f ca="1">IFERROR(__xludf.DUMMYFUNCTION("""COMPUTED_VALUE"""),"Okamura, Dwight")</f>
        <v>Okamura, Dwight</v>
      </c>
      <c r="B11497" s="3">
        <f ca="1">IFERROR(__xludf.DUMMYFUNCTION("""COMPUTED_VALUE"""),3)</f>
        <v>3</v>
      </c>
      <c r="C11497" s="7">
        <f ca="1">IFERROR(__xludf.DUMMYFUNCTION("""COMPUTED_VALUE"""),3.1)</f>
        <v>3.1</v>
      </c>
      <c r="D11497" s="8">
        <f ca="1">IFERROR(__xludf.DUMMYFUNCTION("""COMPUTED_VALUE"""),3)</f>
        <v>3</v>
      </c>
      <c r="E11497" s="2">
        <f ca="1">IFERROR(__xludf.DUMMYFUNCTION("""COMPUTED_VALUE"""),1)</f>
        <v>1</v>
      </c>
    </row>
    <row r="11498" spans="1:5" ht="13">
      <c r="A11498" s="2" t="str">
        <f ca="1">IFERROR(__xludf.DUMMYFUNCTION("""COMPUTED_VALUE"""),"Okano, Teiichi")</f>
        <v>Okano, Teiichi</v>
      </c>
      <c r="B11498" s="3">
        <f ca="1">IFERROR(__xludf.DUMMYFUNCTION("""COMPUTED_VALUE"""),3)</f>
        <v>3</v>
      </c>
      <c r="C11498" s="7">
        <f ca="1">IFERROR(__xludf.DUMMYFUNCTION("""COMPUTED_VALUE"""),3.2)</f>
        <v>3.2</v>
      </c>
      <c r="D11498" s="8">
        <f ca="1">IFERROR(__xludf.DUMMYFUNCTION("""COMPUTED_VALUE"""),7)</f>
        <v>7</v>
      </c>
      <c r="E11498" s="2">
        <f ca="1">IFERROR(__xludf.DUMMYFUNCTION("""COMPUTED_VALUE"""),2)</f>
        <v>2</v>
      </c>
    </row>
    <row r="11499" spans="1:5" ht="13">
      <c r="A11499" s="2" t="str">
        <f ca="1">IFERROR(__xludf.DUMMYFUNCTION("""COMPUTED_VALUE"""),"Okpebholo, Shawn E.")</f>
        <v>Okpebholo, Shawn E.</v>
      </c>
      <c r="B11499" s="3">
        <f ca="1">IFERROR(__xludf.DUMMYFUNCTION("""COMPUTED_VALUE"""),3)</f>
        <v>3</v>
      </c>
      <c r="C11499" s="7">
        <f ca="1">IFERROR(__xludf.DUMMYFUNCTION("""COMPUTED_VALUE"""),3.1)</f>
        <v>3.1</v>
      </c>
      <c r="D11499" s="8">
        <f ca="1">IFERROR(__xludf.DUMMYFUNCTION("""COMPUTED_VALUE"""),3)</f>
        <v>3</v>
      </c>
      <c r="E11499" s="2">
        <f ca="1">IFERROR(__xludf.DUMMYFUNCTION("""COMPUTED_VALUE"""),1)</f>
        <v>1</v>
      </c>
    </row>
    <row r="11500" spans="1:5" ht="13">
      <c r="A11500" s="2" t="str">
        <f ca="1">IFERROR(__xludf.DUMMYFUNCTION("""COMPUTED_VALUE"""),"Olatunji, Via")</f>
        <v>Olatunji, Via</v>
      </c>
      <c r="B11500" s="3">
        <f ca="1">IFERROR(__xludf.DUMMYFUNCTION("""COMPUTED_VALUE"""),3)</f>
        <v>3</v>
      </c>
      <c r="C11500" s="7">
        <f ca="1">IFERROR(__xludf.DUMMYFUNCTION("""COMPUTED_VALUE"""),3.1)</f>
        <v>3.1</v>
      </c>
      <c r="D11500" s="8">
        <f ca="1">IFERROR(__xludf.DUMMYFUNCTION("""COMPUTED_VALUE"""),3)</f>
        <v>3</v>
      </c>
      <c r="E11500" s="2">
        <f ca="1">IFERROR(__xludf.DUMMYFUNCTION("""COMPUTED_VALUE"""),1)</f>
        <v>1</v>
      </c>
    </row>
    <row r="11501" spans="1:5" ht="13">
      <c r="A11501" s="2" t="str">
        <f ca="1">IFERROR(__xludf.DUMMYFUNCTION("""COMPUTED_VALUE"""),"Oliveira, Helder")</f>
        <v>Oliveira, Helder</v>
      </c>
      <c r="B11501" s="2">
        <f ca="1">IFERROR(__xludf.DUMMYFUNCTION("""COMPUTED_VALUE"""),3)</f>
        <v>3</v>
      </c>
      <c r="C11501" s="7">
        <f ca="1">IFERROR(__xludf.DUMMYFUNCTION("""COMPUTED_VALUE"""),3.2)</f>
        <v>3.2</v>
      </c>
      <c r="D11501" s="8">
        <f ca="1">IFERROR(__xludf.DUMMYFUNCTION("""COMPUTED_VALUE"""),3)</f>
        <v>3</v>
      </c>
      <c r="E11501" s="2">
        <f ca="1">IFERROR(__xludf.DUMMYFUNCTION("""COMPUTED_VALUE"""),1)</f>
        <v>1</v>
      </c>
    </row>
    <row r="11502" spans="1:5" ht="13">
      <c r="A11502" s="2" t="str">
        <f ca="1">IFERROR(__xludf.DUMMYFUNCTION("""COMPUTED_VALUE"""),"Olivencia, Tommy")</f>
        <v>Olivencia, Tommy</v>
      </c>
      <c r="B11502" s="2">
        <f ca="1">IFERROR(__xludf.DUMMYFUNCTION("""COMPUTED_VALUE"""),3)</f>
        <v>3</v>
      </c>
      <c r="C11502" s="7">
        <f ca="1">IFERROR(__xludf.DUMMYFUNCTION("""COMPUTED_VALUE"""),3.3)</f>
        <v>3.3</v>
      </c>
      <c r="D11502" s="8">
        <f ca="1">IFERROR(__xludf.DUMMYFUNCTION("""COMPUTED_VALUE"""),7)</f>
        <v>7</v>
      </c>
      <c r="E11502" s="2">
        <f ca="1">IFERROR(__xludf.DUMMYFUNCTION("""COMPUTED_VALUE"""),2)</f>
        <v>2</v>
      </c>
    </row>
    <row r="11503" spans="1:5" ht="13">
      <c r="A11503" s="2" t="str">
        <f ca="1">IFERROR(__xludf.DUMMYFUNCTION("""COMPUTED_VALUE"""),"Oliver, Joseph / Williams, Clarence")</f>
        <v>Oliver, Joseph / Williams, Clarence</v>
      </c>
      <c r="B11503" s="2">
        <f ca="1">IFERROR(__xludf.DUMMYFUNCTION("""COMPUTED_VALUE"""),3)</f>
        <v>3</v>
      </c>
      <c r="C11503" s="7">
        <f ca="1">IFERROR(__xludf.DUMMYFUNCTION("""COMPUTED_VALUE"""),3.1)</f>
        <v>3.1</v>
      </c>
      <c r="D11503" s="8">
        <f ca="1">IFERROR(__xludf.DUMMYFUNCTION("""COMPUTED_VALUE"""),7)</f>
        <v>7</v>
      </c>
      <c r="E11503" s="2">
        <f ca="1">IFERROR(__xludf.DUMMYFUNCTION("""COMPUTED_VALUE"""),2)</f>
        <v>2</v>
      </c>
    </row>
    <row r="11504" spans="1:5" ht="13">
      <c r="A11504" s="2" t="str">
        <f ca="1">IFERROR(__xludf.DUMMYFUNCTION("""COMPUTED_VALUE"""),"Oliver, Sy")</f>
        <v>Oliver, Sy</v>
      </c>
      <c r="B11504" s="2">
        <f ca="1">IFERROR(__xludf.DUMMYFUNCTION("""COMPUTED_VALUE"""),3)</f>
        <v>3</v>
      </c>
      <c r="C11504" s="7">
        <f ca="1">IFERROR(__xludf.DUMMYFUNCTION("""COMPUTED_VALUE"""),3.1)</f>
        <v>3.1</v>
      </c>
      <c r="D11504" s="8">
        <f ca="1">IFERROR(__xludf.DUMMYFUNCTION("""COMPUTED_VALUE"""),7)</f>
        <v>7</v>
      </c>
      <c r="E11504" s="2">
        <f ca="1">IFERROR(__xludf.DUMMYFUNCTION("""COMPUTED_VALUE"""),2)</f>
        <v>2</v>
      </c>
    </row>
    <row r="11505" spans="1:5" ht="13">
      <c r="A11505" s="2" t="str">
        <f ca="1">IFERROR(__xludf.DUMMYFUNCTION("""COMPUTED_VALUE"""),"Oluranti, Ayo")</f>
        <v>Oluranti, Ayo</v>
      </c>
      <c r="B11505" s="3">
        <f ca="1">IFERROR(__xludf.DUMMYFUNCTION("""COMPUTED_VALUE"""),3)</f>
        <v>3</v>
      </c>
      <c r="C11505" s="7">
        <f ca="1">IFERROR(__xludf.DUMMYFUNCTION("""COMPUTED_VALUE"""),3.1)</f>
        <v>3.1</v>
      </c>
      <c r="D11505" s="8">
        <f ca="1">IFERROR(__xludf.DUMMYFUNCTION("""COMPUTED_VALUE"""),3)</f>
        <v>3</v>
      </c>
      <c r="E11505" s="2">
        <f ca="1">IFERROR(__xludf.DUMMYFUNCTION("""COMPUTED_VALUE"""),1)</f>
        <v>1</v>
      </c>
    </row>
    <row r="11506" spans="1:5" ht="13">
      <c r="A11506" s="2" t="str">
        <f ca="1">IFERROR(__xludf.DUMMYFUNCTION("""COMPUTED_VALUE"""),"Ono, Kai")</f>
        <v>Ono, Kai</v>
      </c>
      <c r="B11506" s="3">
        <f ca="1">IFERROR(__xludf.DUMMYFUNCTION("""COMPUTED_VALUE"""),3)</f>
        <v>3</v>
      </c>
      <c r="C11506" s="7">
        <f ca="1">IFERROR(__xludf.DUMMYFUNCTION("""COMPUTED_VALUE"""),3.3)</f>
        <v>3.3</v>
      </c>
      <c r="D11506" s="8">
        <f ca="1">IFERROR(__xludf.DUMMYFUNCTION("""COMPUTED_VALUE"""),3)</f>
        <v>3</v>
      </c>
      <c r="E11506" s="2">
        <f ca="1">IFERROR(__xludf.DUMMYFUNCTION("""COMPUTED_VALUE"""),1)</f>
        <v>1</v>
      </c>
    </row>
    <row r="11507" spans="1:5" ht="13">
      <c r="A11507" s="2" t="str">
        <f ca="1">IFERROR(__xludf.DUMMYFUNCTION("""COMPUTED_VALUE"""),"Ono, Tyler")</f>
        <v>Ono, Tyler</v>
      </c>
      <c r="B11507" s="3">
        <f ca="1">IFERROR(__xludf.DUMMYFUNCTION("""COMPUTED_VALUE"""),3)</f>
        <v>3</v>
      </c>
      <c r="C11507" s="7">
        <f ca="1">IFERROR(__xludf.DUMMYFUNCTION("""COMPUTED_VALUE"""),3.3)</f>
        <v>3.3</v>
      </c>
      <c r="D11507" s="8">
        <f ca="1">IFERROR(__xludf.DUMMYFUNCTION("""COMPUTED_VALUE"""),3)</f>
        <v>3</v>
      </c>
      <c r="E11507" s="2">
        <f ca="1">IFERROR(__xludf.DUMMYFUNCTION("""COMPUTED_VALUE"""),1)</f>
        <v>1</v>
      </c>
    </row>
    <row r="11508" spans="1:5" ht="13">
      <c r="A11508" s="2" t="str">
        <f ca="1">IFERROR(__xludf.DUMMYFUNCTION("""COMPUTED_VALUE"""),"Onodera, Makoto")</f>
        <v>Onodera, Makoto</v>
      </c>
      <c r="B11508" s="2">
        <f ca="1">IFERROR(__xludf.DUMMYFUNCTION("""COMPUTED_VALUE"""),3)</f>
        <v>3</v>
      </c>
      <c r="C11508" s="7">
        <f ca="1">IFERROR(__xludf.DUMMYFUNCTION("""COMPUTED_VALUE"""),3.3)</f>
        <v>3.3</v>
      </c>
      <c r="D11508" s="8">
        <f ca="1">IFERROR(__xludf.DUMMYFUNCTION("""COMPUTED_VALUE"""),3)</f>
        <v>3</v>
      </c>
      <c r="E11508" s="2">
        <f ca="1">IFERROR(__xludf.DUMMYFUNCTION("""COMPUTED_VALUE"""),1)</f>
        <v>1</v>
      </c>
    </row>
    <row r="11509" spans="1:5" ht="13">
      <c r="A11509" s="2" t="str">
        <f ca="1">IFERROR(__xludf.DUMMYFUNCTION("""COMPUTED_VALUE"""),"Onovwerosuoke, Fred")</f>
        <v>Onovwerosuoke, Fred</v>
      </c>
      <c r="B11509" s="3">
        <f ca="1">IFERROR(__xludf.DUMMYFUNCTION("""COMPUTED_VALUE"""),3)</f>
        <v>3</v>
      </c>
      <c r="C11509" s="7">
        <f ca="1">IFERROR(__xludf.DUMMYFUNCTION("""COMPUTED_VALUE"""),3.1)</f>
        <v>3.1</v>
      </c>
      <c r="D11509" s="8">
        <f ca="1">IFERROR(__xludf.DUMMYFUNCTION("""COMPUTED_VALUE"""),3)</f>
        <v>3</v>
      </c>
      <c r="E11509" s="2">
        <f ca="1">IFERROR(__xludf.DUMMYFUNCTION("""COMPUTED_VALUE"""),1)</f>
        <v>1</v>
      </c>
    </row>
    <row r="11510" spans="1:5" ht="13">
      <c r="A11510" s="8" t="str">
        <f ca="1">IFERROR(__xludf.DUMMYFUNCTION("""COMPUTED_VALUE"""),"Orbón, Julián")</f>
        <v>Orbón, Julián</v>
      </c>
      <c r="B11510" s="3">
        <f ca="1">IFERROR(__xludf.DUMMYFUNCTION("""COMPUTED_VALUE"""),3)</f>
        <v>3</v>
      </c>
      <c r="C11510" s="7">
        <f ca="1">IFERROR(__xludf.DUMMYFUNCTION("""COMPUTED_VALUE"""),3.2)</f>
        <v>3.2</v>
      </c>
      <c r="D11510" s="8">
        <f ca="1">IFERROR(__xludf.DUMMYFUNCTION("""COMPUTED_VALUE"""),7)</f>
        <v>7</v>
      </c>
      <c r="E11510" s="2">
        <f ca="1">IFERROR(__xludf.DUMMYFUNCTION("""COMPUTED_VALUE"""),2)</f>
        <v>2</v>
      </c>
    </row>
    <row r="11511" spans="1:5" ht="13">
      <c r="A11511" s="2" t="str">
        <f ca="1">IFERROR(__xludf.DUMMYFUNCTION("""COMPUTED_VALUE"""),"ORKESTA MENDOZA")</f>
        <v>ORKESTA MENDOZA</v>
      </c>
      <c r="B11511" s="3">
        <f ca="1">IFERROR(__xludf.DUMMYFUNCTION("""COMPUTED_VALUE"""),3)</f>
        <v>3</v>
      </c>
      <c r="C11511" s="7">
        <f ca="1">IFERROR(__xludf.DUMMYFUNCTION("""COMPUTED_VALUE"""),3.2)</f>
        <v>3.2</v>
      </c>
      <c r="D11511" s="8">
        <f ca="1">IFERROR(__xludf.DUMMYFUNCTION("""COMPUTED_VALUE"""),3)</f>
        <v>3</v>
      </c>
      <c r="E11511" s="2">
        <f ca="1">IFERROR(__xludf.DUMMYFUNCTION("""COMPUTED_VALUE"""),1)</f>
        <v>1</v>
      </c>
    </row>
    <row r="11512" spans="1:5" ht="13">
      <c r="A11512" s="8" t="str">
        <f ca="1">IFERROR(__xludf.DUMMYFUNCTION("""COMPUTED_VALUE"""),"Ornes, Rafael")</f>
        <v>Ornes, Rafael</v>
      </c>
      <c r="B11512" s="2">
        <f ca="1">IFERROR(__xludf.DUMMYFUNCTION("""COMPUTED_VALUE"""),3)</f>
        <v>3</v>
      </c>
      <c r="C11512" s="7">
        <f ca="1">IFERROR(__xludf.DUMMYFUNCTION("""COMPUTED_VALUE"""),3.2)</f>
        <v>3.2</v>
      </c>
      <c r="D11512" s="8">
        <f ca="1">IFERROR(__xludf.DUMMYFUNCTION("""COMPUTED_VALUE"""),3)</f>
        <v>3</v>
      </c>
      <c r="E11512" s="2">
        <f ca="1">IFERROR(__xludf.DUMMYFUNCTION("""COMPUTED_VALUE"""),1)</f>
        <v>1</v>
      </c>
    </row>
    <row r="11513" spans="1:5" ht="13">
      <c r="A11513" s="2" t="str">
        <f ca="1">IFERROR(__xludf.DUMMYFUNCTION("""COMPUTED_VALUE"""),"Orozco, César")</f>
        <v>Orozco, César</v>
      </c>
      <c r="B11513" s="2">
        <f ca="1">IFERROR(__xludf.DUMMYFUNCTION("""COMPUTED_VALUE"""),3)</f>
        <v>3</v>
      </c>
      <c r="C11513" s="7">
        <f ca="1">IFERROR(__xludf.DUMMYFUNCTION("""COMPUTED_VALUE"""),3.3)</f>
        <v>3.3</v>
      </c>
      <c r="D11513" s="8">
        <f ca="1">IFERROR(__xludf.DUMMYFUNCTION("""COMPUTED_VALUE"""),3)</f>
        <v>3</v>
      </c>
      <c r="E11513" s="2">
        <f ca="1">IFERROR(__xludf.DUMMYFUNCTION("""COMPUTED_VALUE"""),1)</f>
        <v>1</v>
      </c>
    </row>
    <row r="11514" spans="1:5" ht="13">
      <c r="A11514" s="2" t="str">
        <f ca="1">IFERROR(__xludf.DUMMYFUNCTION("""COMPUTED_VALUE"""),"Ortega, Aniceto")</f>
        <v>Ortega, Aniceto</v>
      </c>
      <c r="B11514" s="3">
        <f ca="1">IFERROR(__xludf.DUMMYFUNCTION("""COMPUTED_VALUE"""),3)</f>
        <v>3</v>
      </c>
      <c r="C11514" s="7">
        <f ca="1">IFERROR(__xludf.DUMMYFUNCTION("""COMPUTED_VALUE"""),3.2)</f>
        <v>3.2</v>
      </c>
      <c r="D11514" s="8">
        <f ca="1">IFERROR(__xludf.DUMMYFUNCTION("""COMPUTED_VALUE"""),7)</f>
        <v>7</v>
      </c>
      <c r="E11514" s="2">
        <f ca="1">IFERROR(__xludf.DUMMYFUNCTION("""COMPUTED_VALUE"""),2)</f>
        <v>2</v>
      </c>
    </row>
    <row r="11515" spans="1:5" ht="13">
      <c r="A11515" s="2" t="str">
        <f ca="1">IFERROR(__xludf.DUMMYFUNCTION("""COMPUTED_VALUE"""),"Ortega, Jorge Sosa")</f>
        <v>Ortega, Jorge Sosa</v>
      </c>
      <c r="B11515" s="2">
        <f ca="1">IFERROR(__xludf.DUMMYFUNCTION("""COMPUTED_VALUE"""),3)</f>
        <v>3</v>
      </c>
      <c r="C11515" s="7">
        <f ca="1">IFERROR(__xludf.DUMMYFUNCTION("""COMPUTED_VALUE"""),3.2)</f>
        <v>3.2</v>
      </c>
      <c r="D11515" s="8">
        <f ca="1">IFERROR(__xludf.DUMMYFUNCTION("""COMPUTED_VALUE"""),3)</f>
        <v>3</v>
      </c>
      <c r="E11515" s="2">
        <f ca="1">IFERROR(__xludf.DUMMYFUNCTION("""COMPUTED_VALUE"""),1)</f>
        <v>1</v>
      </c>
    </row>
    <row r="11516" spans="1:5" ht="13">
      <c r="A11516" s="2" t="str">
        <f ca="1">IFERROR(__xludf.DUMMYFUNCTION("""COMPUTED_VALUE"""),"Ortiz, Ray")</f>
        <v>Ortiz, Ray</v>
      </c>
      <c r="B11516" s="2">
        <f ca="1">IFERROR(__xludf.DUMMYFUNCTION("""COMPUTED_VALUE"""),3)</f>
        <v>3</v>
      </c>
      <c r="C11516" s="7">
        <f ca="1">IFERROR(__xludf.DUMMYFUNCTION("""COMPUTED_VALUE"""),3.2)</f>
        <v>3.2</v>
      </c>
      <c r="D11516" s="8">
        <f ca="1">IFERROR(__xludf.DUMMYFUNCTION("""COMPUTED_VALUE"""),3)</f>
        <v>3</v>
      </c>
      <c r="E11516" s="2">
        <f ca="1">IFERROR(__xludf.DUMMYFUNCTION("""COMPUTED_VALUE"""),1)</f>
        <v>1</v>
      </c>
    </row>
    <row r="11517" spans="1:5" ht="13">
      <c r="A11517" s="2" t="str">
        <f ca="1">IFERROR(__xludf.DUMMYFUNCTION("""COMPUTED_VALUE"""),"Ortiz, William")</f>
        <v>Ortiz, William</v>
      </c>
      <c r="B11517" s="3">
        <f ca="1">IFERROR(__xludf.DUMMYFUNCTION("""COMPUTED_VALUE"""),3)</f>
        <v>3</v>
      </c>
      <c r="C11517" s="7">
        <f ca="1">IFERROR(__xludf.DUMMYFUNCTION("""COMPUTED_VALUE"""),3.2)</f>
        <v>3.2</v>
      </c>
      <c r="D11517" s="8">
        <f ca="1">IFERROR(__xludf.DUMMYFUNCTION("""COMPUTED_VALUE"""),3)</f>
        <v>3</v>
      </c>
      <c r="E11517" s="2">
        <f ca="1">IFERROR(__xludf.DUMMYFUNCTION("""COMPUTED_VALUE"""),1)</f>
        <v>1</v>
      </c>
    </row>
    <row r="11518" spans="1:5" ht="13">
      <c r="A11518" s="2" t="str">
        <f ca="1">IFERROR(__xludf.DUMMYFUNCTION("""COMPUTED_VALUE"""),"Ory, Edward")</f>
        <v>Ory, Edward</v>
      </c>
      <c r="B11518" s="2">
        <f ca="1">IFERROR(__xludf.DUMMYFUNCTION("""COMPUTED_VALUE"""),3)</f>
        <v>3</v>
      </c>
      <c r="C11518" s="7">
        <f ca="1">IFERROR(__xludf.DUMMYFUNCTION("""COMPUTED_VALUE"""),3.1)</f>
        <v>3.1</v>
      </c>
      <c r="D11518" s="8">
        <f ca="1">IFERROR(__xludf.DUMMYFUNCTION("""COMPUTED_VALUE"""),7)</f>
        <v>7</v>
      </c>
      <c r="E11518" s="2">
        <f ca="1">IFERROR(__xludf.DUMMYFUNCTION("""COMPUTED_VALUE"""),2)</f>
        <v>2</v>
      </c>
    </row>
    <row r="11519" spans="1:5" ht="13">
      <c r="A11519" s="2" t="str">
        <f ca="1">IFERROR(__xludf.DUMMYFUNCTION("""COMPUTED_VALUE"""),"Ory, Kid / Gilbert, Ray")</f>
        <v>Ory, Kid / Gilbert, Ray</v>
      </c>
      <c r="B11519" s="3">
        <f ca="1">IFERROR(__xludf.DUMMYFUNCTION("""COMPUTED_VALUE"""),3)</f>
        <v>3</v>
      </c>
      <c r="C11519" s="7">
        <f ca="1">IFERROR(__xludf.DUMMYFUNCTION("""COMPUTED_VALUE"""),3.1)</f>
        <v>3.1</v>
      </c>
      <c r="D11519" s="8">
        <f ca="1">IFERROR(__xludf.DUMMYFUNCTION("""COMPUTED_VALUE"""),7)</f>
        <v>7</v>
      </c>
      <c r="E11519" s="2">
        <f ca="1">IFERROR(__xludf.DUMMYFUNCTION("""COMPUTED_VALUE"""),2)</f>
        <v>2</v>
      </c>
    </row>
    <row r="11520" spans="1:5" ht="13">
      <c r="A11520" s="2" t="str">
        <f ca="1">IFERROR(__xludf.DUMMYFUNCTION("""COMPUTED_VALUE"""),"Oscher, Efraín")</f>
        <v>Oscher, Efraín</v>
      </c>
      <c r="B11520" s="3">
        <f ca="1">IFERROR(__xludf.DUMMYFUNCTION("""COMPUTED_VALUE"""),3)</f>
        <v>3</v>
      </c>
      <c r="C11520" s="7">
        <f ca="1">IFERROR(__xludf.DUMMYFUNCTION("""COMPUTED_VALUE"""),3.2)</f>
        <v>3.2</v>
      </c>
      <c r="D11520" s="8">
        <f ca="1">IFERROR(__xludf.DUMMYFUNCTION("""COMPUTED_VALUE"""),3)</f>
        <v>3</v>
      </c>
      <c r="E11520" s="2">
        <f ca="1">IFERROR(__xludf.DUMMYFUNCTION("""COMPUTED_VALUE"""),1)</f>
        <v>1</v>
      </c>
    </row>
    <row r="11521" spans="1:5" ht="13">
      <c r="A11521" s="2" t="str">
        <f ca="1">IFERROR(__xludf.DUMMYFUNCTION("""COMPUTED_VALUE"""),"Oshrat, Kobi")</f>
        <v>Oshrat, Kobi</v>
      </c>
      <c r="B11521" s="3">
        <f ca="1">IFERROR(__xludf.DUMMYFUNCTION("""COMPUTED_VALUE"""),3)</f>
        <v>3</v>
      </c>
      <c r="C11521" s="7">
        <f ca="1">IFERROR(__xludf.DUMMYFUNCTION("""COMPUTED_VALUE"""),3.5)</f>
        <v>3.5</v>
      </c>
      <c r="D11521" s="8">
        <f ca="1">IFERROR(__xludf.DUMMYFUNCTION("""COMPUTED_VALUE"""),3)</f>
        <v>3</v>
      </c>
      <c r="E11521" s="2">
        <f ca="1">IFERROR(__xludf.DUMMYFUNCTION("""COMPUTED_VALUE"""),1)</f>
        <v>1</v>
      </c>
    </row>
    <row r="11522" spans="1:5" ht="13">
      <c r="A11522" s="2" t="str">
        <f ca="1">IFERROR(__xludf.DUMMYFUNCTION("""COMPUTED_VALUE"""),"Osorio, Juan David")</f>
        <v>Osorio, Juan David</v>
      </c>
      <c r="B11522" s="3">
        <f ca="1">IFERROR(__xludf.DUMMYFUNCTION("""COMPUTED_VALUE"""),3)</f>
        <v>3</v>
      </c>
      <c r="C11522" s="7">
        <f ca="1">IFERROR(__xludf.DUMMYFUNCTION("""COMPUTED_VALUE"""),3.2)</f>
        <v>3.2</v>
      </c>
      <c r="D11522" s="8">
        <f ca="1">IFERROR(__xludf.DUMMYFUNCTION("""COMPUTED_VALUE"""),3)</f>
        <v>3</v>
      </c>
      <c r="E11522" s="2">
        <f ca="1">IFERROR(__xludf.DUMMYFUNCTION("""COMPUTED_VALUE"""),1)</f>
        <v>1</v>
      </c>
    </row>
    <row r="11523" spans="1:5" ht="13">
      <c r="A11523" s="8" t="str">
        <f ca="1">IFERROR(__xludf.DUMMYFUNCTION("""COMPUTED_VALUE"""),"Otani, Kow")</f>
        <v>Otani, Kow</v>
      </c>
      <c r="B11523" s="3">
        <f ca="1">IFERROR(__xludf.DUMMYFUNCTION("""COMPUTED_VALUE"""),3)</f>
        <v>3</v>
      </c>
      <c r="C11523" s="7">
        <f ca="1">IFERROR(__xludf.DUMMYFUNCTION("""COMPUTED_VALUE"""),3.3)</f>
        <v>3.3</v>
      </c>
      <c r="D11523" s="8">
        <f ca="1">IFERROR(__xludf.DUMMYFUNCTION("""COMPUTED_VALUE"""),3)</f>
        <v>3</v>
      </c>
      <c r="E11523" s="2">
        <f ca="1">IFERROR(__xludf.DUMMYFUNCTION("""COMPUTED_VALUE"""),1)</f>
        <v>1</v>
      </c>
    </row>
    <row r="11524" spans="1:5" ht="13">
      <c r="A11524" s="8" t="str">
        <f ca="1">IFERROR(__xludf.DUMMYFUNCTION("""COMPUTED_VALUE"""),"Otieno, Samy A.")</f>
        <v>Otieno, Samy A.</v>
      </c>
      <c r="B11524" s="3">
        <f ca="1">IFERROR(__xludf.DUMMYFUNCTION("""COMPUTED_VALUE"""),3)</f>
        <v>3</v>
      </c>
      <c r="C11524" s="7">
        <f ca="1">IFERROR(__xludf.DUMMYFUNCTION("""COMPUTED_VALUE"""),3.1)</f>
        <v>3.1</v>
      </c>
      <c r="D11524" s="8">
        <f ca="1">IFERROR(__xludf.DUMMYFUNCTION("""COMPUTED_VALUE"""),3)</f>
        <v>3</v>
      </c>
      <c r="E11524" s="2">
        <f ca="1">IFERROR(__xludf.DUMMYFUNCTION("""COMPUTED_VALUE"""),1)</f>
        <v>1</v>
      </c>
    </row>
    <row r="11525" spans="1:5" ht="13">
      <c r="A11525" s="2" t="str">
        <f ca="1">IFERROR(__xludf.DUMMYFUNCTION("""COMPUTED_VALUE"""),"Ovalle, Jon")</f>
        <v>Ovalle, Jon</v>
      </c>
      <c r="B11525" s="3">
        <f ca="1">IFERROR(__xludf.DUMMYFUNCTION("""COMPUTED_VALUE"""),3)</f>
        <v>3</v>
      </c>
      <c r="C11525" s="7">
        <f ca="1">IFERROR(__xludf.DUMMYFUNCTION("""COMPUTED_VALUE"""),3.2)</f>
        <v>3.2</v>
      </c>
      <c r="D11525" s="8">
        <f ca="1">IFERROR(__xludf.DUMMYFUNCTION("""COMPUTED_VALUE"""),3)</f>
        <v>3</v>
      </c>
      <c r="E11525" s="2">
        <f ca="1">IFERROR(__xludf.DUMMYFUNCTION("""COMPUTED_VALUE"""),1)</f>
        <v>1</v>
      </c>
    </row>
    <row r="11526" spans="1:5" ht="13">
      <c r="A11526" s="2" t="str">
        <f ca="1">IFERROR(__xludf.DUMMYFUNCTION("""COMPUTED_VALUE"""),"Ovalle, Jonathan")</f>
        <v>Ovalle, Jonathan</v>
      </c>
      <c r="B11526" s="3">
        <f ca="1">IFERROR(__xludf.DUMMYFUNCTION("""COMPUTED_VALUE"""),3)</f>
        <v>3</v>
      </c>
      <c r="C11526" s="7">
        <f ca="1">IFERROR(__xludf.DUMMYFUNCTION("""COMPUTED_VALUE"""),3.2)</f>
        <v>3.2</v>
      </c>
      <c r="D11526" s="8">
        <f ca="1">IFERROR(__xludf.DUMMYFUNCTION("""COMPUTED_VALUE"""),3)</f>
        <v>3</v>
      </c>
      <c r="E11526" s="2">
        <f ca="1">IFERROR(__xludf.DUMMYFUNCTION("""COMPUTED_VALUE"""),1)</f>
        <v>1</v>
      </c>
    </row>
    <row r="11527" spans="1:5" ht="13">
      <c r="A11527" s="2" t="str">
        <f ca="1">IFERROR(__xludf.DUMMYFUNCTION("""COMPUTED_VALUE"""),"Overton, Carneal")</f>
        <v>Overton, Carneal</v>
      </c>
      <c r="B11527" s="3">
        <f ca="1">IFERROR(__xludf.DUMMYFUNCTION("""COMPUTED_VALUE"""),3)</f>
        <v>3</v>
      </c>
      <c r="C11527" s="7">
        <f ca="1">IFERROR(__xludf.DUMMYFUNCTION("""COMPUTED_VALUE"""),3.1)</f>
        <v>3.1</v>
      </c>
      <c r="D11527" s="8">
        <f ca="1">IFERROR(__xludf.DUMMYFUNCTION("""COMPUTED_VALUE"""),3)</f>
        <v>3</v>
      </c>
      <c r="E11527" s="2">
        <f ca="1">IFERROR(__xludf.DUMMYFUNCTION("""COMPUTED_VALUE"""),1)</f>
        <v>1</v>
      </c>
    </row>
    <row r="11528" spans="1:5" ht="13">
      <c r="A11528" s="2" t="str">
        <f ca="1">IFERROR(__xludf.DUMMYFUNCTION("""COMPUTED_VALUE"""),"Owens III, Mitchell")</f>
        <v>Owens III, Mitchell</v>
      </c>
      <c r="B11528" s="2">
        <f ca="1">IFERROR(__xludf.DUMMYFUNCTION("""COMPUTED_VALUE"""),3)</f>
        <v>3</v>
      </c>
      <c r="C11528" s="7">
        <f ca="1">IFERROR(__xludf.DUMMYFUNCTION("""COMPUTED_VALUE"""),3.1)</f>
        <v>3.1</v>
      </c>
      <c r="D11528" s="8">
        <f ca="1">IFERROR(__xludf.DUMMYFUNCTION("""COMPUTED_VALUE"""),3)</f>
        <v>3</v>
      </c>
      <c r="E11528" s="2">
        <f ca="1">IFERROR(__xludf.DUMMYFUNCTION("""COMPUTED_VALUE"""),1)</f>
        <v>1</v>
      </c>
    </row>
    <row r="11529" spans="1:5" ht="13">
      <c r="A11529" s="2" t="str">
        <f ca="1">IFERROR(__xludf.DUMMYFUNCTION("""COMPUTED_VALUE"""),"Owens, William")</f>
        <v>Owens, William</v>
      </c>
      <c r="B11529" s="3">
        <f ca="1">IFERROR(__xludf.DUMMYFUNCTION("""COMPUTED_VALUE"""),3)</f>
        <v>3</v>
      </c>
      <c r="C11529" s="7">
        <f ca="1">IFERROR(__xludf.DUMMYFUNCTION("""COMPUTED_VALUE"""),3.1)</f>
        <v>3.1</v>
      </c>
      <c r="D11529" s="8">
        <f ca="1">IFERROR(__xludf.DUMMYFUNCTION("""COMPUTED_VALUE"""),3)</f>
        <v>3</v>
      </c>
      <c r="E11529" s="2">
        <f ca="1">IFERROR(__xludf.DUMMYFUNCTION("""COMPUTED_VALUE"""),1)</f>
        <v>1</v>
      </c>
    </row>
    <row r="11530" spans="1:5" ht="13">
      <c r="A11530" s="2" t="str">
        <f ca="1">IFERROR(__xludf.DUMMYFUNCTION("""COMPUTED_VALUE"""),"Owolabi, Kola")</f>
        <v>Owolabi, Kola</v>
      </c>
      <c r="B11530" s="3">
        <f ca="1">IFERROR(__xludf.DUMMYFUNCTION("""COMPUTED_VALUE"""),3)</f>
        <v>3</v>
      </c>
      <c r="C11530" s="7">
        <f ca="1">IFERROR(__xludf.DUMMYFUNCTION("""COMPUTED_VALUE"""),3.1)</f>
        <v>3.1</v>
      </c>
      <c r="D11530" s="8">
        <f ca="1">IFERROR(__xludf.DUMMYFUNCTION("""COMPUTED_VALUE"""),3)</f>
        <v>3</v>
      </c>
      <c r="E11530" s="2">
        <f ca="1">IFERROR(__xludf.DUMMYFUNCTION("""COMPUTED_VALUE"""),1)</f>
        <v>1</v>
      </c>
    </row>
    <row r="11531" spans="1:5" ht="13">
      <c r="A11531" s="2" t="str">
        <f ca="1">IFERROR(__xludf.DUMMYFUNCTION("""COMPUTED_VALUE"""),"Paden, Kenneth")</f>
        <v>Paden, Kenneth</v>
      </c>
      <c r="B11531" s="3">
        <f ca="1">IFERROR(__xludf.DUMMYFUNCTION("""COMPUTED_VALUE"""),3)</f>
        <v>3</v>
      </c>
      <c r="C11531" s="7">
        <f ca="1">IFERROR(__xludf.DUMMYFUNCTION("""COMPUTED_VALUE"""),3.1)</f>
        <v>3.1</v>
      </c>
      <c r="D11531" s="8">
        <f ca="1">IFERROR(__xludf.DUMMYFUNCTION("""COMPUTED_VALUE"""),3)</f>
        <v>3</v>
      </c>
      <c r="E11531" s="2">
        <f ca="1">IFERROR(__xludf.DUMMYFUNCTION("""COMPUTED_VALUE"""),1)</f>
        <v>1</v>
      </c>
    </row>
    <row r="11532" spans="1:5" ht="13">
      <c r="A11532" s="2" t="str">
        <f ca="1">IFERROR(__xludf.DUMMYFUNCTION("""COMPUTED_VALUE"""),"Paden, Kenneth / Dilworth, Rollo")</f>
        <v>Paden, Kenneth / Dilworth, Rollo</v>
      </c>
      <c r="B11532" s="3">
        <f ca="1">IFERROR(__xludf.DUMMYFUNCTION("""COMPUTED_VALUE"""),3)</f>
        <v>3</v>
      </c>
      <c r="C11532" s="7">
        <f ca="1">IFERROR(__xludf.DUMMYFUNCTION("""COMPUTED_VALUE"""),3.1)</f>
        <v>3.1</v>
      </c>
      <c r="D11532" s="8">
        <f ca="1">IFERROR(__xludf.DUMMYFUNCTION("""COMPUTED_VALUE"""),3)</f>
        <v>3</v>
      </c>
      <c r="E11532" s="2">
        <f ca="1">IFERROR(__xludf.DUMMYFUNCTION("""COMPUTED_VALUE"""),1)</f>
        <v>1</v>
      </c>
    </row>
    <row r="11533" spans="1:5" ht="13">
      <c r="A11533" s="2" t="str">
        <f ca="1">IFERROR(__xludf.DUMMYFUNCTION("""COMPUTED_VALUE"""),"Padilla, José")</f>
        <v>Padilla, José</v>
      </c>
      <c r="B11533" s="3">
        <f ca="1">IFERROR(__xludf.DUMMYFUNCTION("""COMPUTED_VALUE"""),3)</f>
        <v>3</v>
      </c>
      <c r="C11533" s="7">
        <f ca="1">IFERROR(__xludf.DUMMYFUNCTION("""COMPUTED_VALUE"""),3.2)</f>
        <v>3.2</v>
      </c>
      <c r="D11533" s="8">
        <f ca="1">IFERROR(__xludf.DUMMYFUNCTION("""COMPUTED_VALUE"""),7)</f>
        <v>7</v>
      </c>
      <c r="E11533" s="2">
        <f ca="1">IFERROR(__xludf.DUMMYFUNCTION("""COMPUTED_VALUE"""),2)</f>
        <v>2</v>
      </c>
    </row>
    <row r="11534" spans="1:5" ht="13">
      <c r="A11534" s="2" t="str">
        <f ca="1">IFERROR(__xludf.DUMMYFUNCTION("""COMPUTED_VALUE"""),"Pagan-Perez, William")</f>
        <v>Pagan-Perez, William</v>
      </c>
      <c r="B11534" s="3">
        <f ca="1">IFERROR(__xludf.DUMMYFUNCTION("""COMPUTED_VALUE"""),3)</f>
        <v>3</v>
      </c>
      <c r="C11534" s="7">
        <f ca="1">IFERROR(__xludf.DUMMYFUNCTION("""COMPUTED_VALUE"""),3.2)</f>
        <v>3.2</v>
      </c>
      <c r="D11534" s="8">
        <f ca="1">IFERROR(__xludf.DUMMYFUNCTION("""COMPUTED_VALUE"""),3)</f>
        <v>3</v>
      </c>
      <c r="E11534" s="2">
        <f ca="1">IFERROR(__xludf.DUMMYFUNCTION("""COMPUTED_VALUE"""),1)</f>
        <v>1</v>
      </c>
    </row>
    <row r="11535" spans="1:5" ht="13">
      <c r="A11535" s="2" t="str">
        <f ca="1">IFERROR(__xludf.DUMMYFUNCTION("""COMPUTED_VALUE"""),"Page, Billy")</f>
        <v>Page, Billy</v>
      </c>
      <c r="B11535" s="2">
        <f ca="1">IFERROR(__xludf.DUMMYFUNCTION("""COMPUTED_VALUE"""),3)</f>
        <v>3</v>
      </c>
      <c r="C11535" s="7">
        <f ca="1">IFERROR(__xludf.DUMMYFUNCTION("""COMPUTED_VALUE"""),3.1)</f>
        <v>3.1</v>
      </c>
      <c r="D11535" s="8">
        <f ca="1">IFERROR(__xludf.DUMMYFUNCTION("""COMPUTED_VALUE"""),7)</f>
        <v>7</v>
      </c>
      <c r="E11535" s="2">
        <f ca="1">IFERROR(__xludf.DUMMYFUNCTION("""COMPUTED_VALUE"""),2)</f>
        <v>2</v>
      </c>
    </row>
    <row r="11536" spans="1:5" ht="13">
      <c r="A11536" s="2" t="str">
        <f ca="1">IFERROR(__xludf.DUMMYFUNCTION("""COMPUTED_VALUE"""),"Paik, Byung-Dong")</f>
        <v>Paik, Byung-Dong</v>
      </c>
      <c r="B11536" s="3">
        <f ca="1">IFERROR(__xludf.DUMMYFUNCTION("""COMPUTED_VALUE"""),3)</f>
        <v>3</v>
      </c>
      <c r="C11536" s="7">
        <f ca="1">IFERROR(__xludf.DUMMYFUNCTION("""COMPUTED_VALUE"""),3.3)</f>
        <v>3.3</v>
      </c>
      <c r="D11536" s="8">
        <f ca="1">IFERROR(__xludf.DUMMYFUNCTION("""COMPUTED_VALUE"""),3)</f>
        <v>3</v>
      </c>
      <c r="E11536" s="2">
        <f ca="1">IFERROR(__xludf.DUMMYFUNCTION("""COMPUTED_VALUE"""),1)</f>
        <v>1</v>
      </c>
    </row>
    <row r="11537" spans="1:5" ht="13">
      <c r="A11537" s="2" t="str">
        <f ca="1">IFERROR(__xludf.DUMMYFUNCTION("""COMPUTED_VALUE"""),"Palmieri, Eddie")</f>
        <v>Palmieri, Eddie</v>
      </c>
      <c r="B11537" s="2">
        <f ca="1">IFERROR(__xludf.DUMMYFUNCTION("""COMPUTED_VALUE"""),3)</f>
        <v>3</v>
      </c>
      <c r="C11537" s="7">
        <f ca="1">IFERROR(__xludf.DUMMYFUNCTION("""COMPUTED_VALUE"""),3.2)</f>
        <v>3.2</v>
      </c>
      <c r="D11537" s="8">
        <f ca="1">IFERROR(__xludf.DUMMYFUNCTION("""COMPUTED_VALUE"""),3)</f>
        <v>3</v>
      </c>
      <c r="E11537" s="2">
        <f ca="1">IFERROR(__xludf.DUMMYFUNCTION("""COMPUTED_VALUE"""),1)</f>
        <v>1</v>
      </c>
    </row>
    <row r="11538" spans="1:5" ht="13">
      <c r="A11538" s="2" t="str">
        <f ca="1">IFERROR(__xludf.DUMMYFUNCTION("""COMPUTED_VALUE"""),"Paloyoloyo")</f>
        <v>Paloyoloyo</v>
      </c>
      <c r="B11538" s="3">
        <f ca="1">IFERROR(__xludf.DUMMYFUNCTION("""COMPUTED_VALUE"""),3)</f>
        <v>3</v>
      </c>
      <c r="C11538" s="7">
        <f ca="1">IFERROR(__xludf.DUMMYFUNCTION("""COMPUTED_VALUE"""),3.7)</f>
        <v>3.7</v>
      </c>
      <c r="D11538" s="8">
        <f ca="1">IFERROR(__xludf.DUMMYFUNCTION("""COMPUTED_VALUE"""),7)</f>
        <v>7</v>
      </c>
      <c r="E11538" s="2">
        <f ca="1">IFERROR(__xludf.DUMMYFUNCTION("""COMPUTED_VALUE"""),2)</f>
        <v>2</v>
      </c>
    </row>
    <row r="11539" spans="1:5" ht="13">
      <c r="A11539" s="2" t="str">
        <f ca="1">IFERROR(__xludf.DUMMYFUNCTION("""COMPUTED_VALUE"""),"Paniagua, Cenobio")</f>
        <v>Paniagua, Cenobio</v>
      </c>
      <c r="B11539" s="3">
        <f ca="1">IFERROR(__xludf.DUMMYFUNCTION("""COMPUTED_VALUE"""),3)</f>
        <v>3</v>
      </c>
      <c r="C11539" s="7">
        <f ca="1">IFERROR(__xludf.DUMMYFUNCTION("""COMPUTED_VALUE"""),3.2)</f>
        <v>3.2</v>
      </c>
      <c r="D11539" s="8">
        <f ca="1">IFERROR(__xludf.DUMMYFUNCTION("""COMPUTED_VALUE"""),7)</f>
        <v>7</v>
      </c>
      <c r="E11539" s="2">
        <f ca="1">IFERROR(__xludf.DUMMYFUNCTION("""COMPUTED_VALUE"""),2)</f>
        <v>2</v>
      </c>
    </row>
    <row r="11540" spans="1:5" ht="13">
      <c r="A11540" s="8" t="str">
        <f ca="1">IFERROR(__xludf.DUMMYFUNCTION("""COMPUTED_VALUE"""),"Pareja, Carlos Silva")</f>
        <v>Pareja, Carlos Silva</v>
      </c>
      <c r="B11540" s="3">
        <f ca="1">IFERROR(__xludf.DUMMYFUNCTION("""COMPUTED_VALUE"""),3)</f>
        <v>3</v>
      </c>
      <c r="C11540" s="7">
        <f ca="1">IFERROR(__xludf.DUMMYFUNCTION("""COMPUTED_VALUE"""),3.2)</f>
        <v>3.2</v>
      </c>
      <c r="D11540" s="8">
        <f ca="1">IFERROR(__xludf.DUMMYFUNCTION("""COMPUTED_VALUE"""),7)</f>
        <v>7</v>
      </c>
      <c r="E11540" s="2">
        <f ca="1">IFERROR(__xludf.DUMMYFUNCTION("""COMPUTED_VALUE"""),2)</f>
        <v>2</v>
      </c>
    </row>
    <row r="11541" spans="1:5" ht="13">
      <c r="A11541" s="8" t="str">
        <f ca="1">IFERROR(__xludf.DUMMYFUNCTION("""COMPUTED_VALUE"""),"Park Soo-Hyun")</f>
        <v>Park Soo-Hyun</v>
      </c>
      <c r="B11541" s="3">
        <f ca="1">IFERROR(__xludf.DUMMYFUNCTION("""COMPUTED_VALUE"""),3)</f>
        <v>3</v>
      </c>
      <c r="C11541" s="7">
        <f ca="1">IFERROR(__xludf.DUMMYFUNCTION("""COMPUTED_VALUE"""),3.3)</f>
        <v>3.3</v>
      </c>
      <c r="D11541" s="8">
        <f ca="1">IFERROR(__xludf.DUMMYFUNCTION("""COMPUTED_VALUE"""),3)</f>
        <v>3</v>
      </c>
      <c r="E11541" s="2">
        <f ca="1">IFERROR(__xludf.DUMMYFUNCTION("""COMPUTED_VALUE"""),1)</f>
        <v>1</v>
      </c>
    </row>
    <row r="11542" spans="1:5" ht="13">
      <c r="A11542" s="2" t="str">
        <f ca="1">IFERROR(__xludf.DUMMYFUNCTION("""COMPUTED_VALUE"""),"Park, Shin-Hwa")</f>
        <v>Park, Shin-Hwa</v>
      </c>
      <c r="B11542" s="2">
        <f ca="1">IFERROR(__xludf.DUMMYFUNCTION("""COMPUTED_VALUE"""),3)</f>
        <v>3</v>
      </c>
      <c r="C11542" s="7">
        <f ca="1">IFERROR(__xludf.DUMMYFUNCTION("""COMPUTED_VALUE"""),3.3)</f>
        <v>3.3</v>
      </c>
      <c r="D11542" s="8">
        <f ca="1">IFERROR(__xludf.DUMMYFUNCTION("""COMPUTED_VALUE"""),3)</f>
        <v>3</v>
      </c>
      <c r="E11542" s="2">
        <f ca="1">IFERROR(__xludf.DUMMYFUNCTION("""COMPUTED_VALUE"""),1)</f>
        <v>1</v>
      </c>
    </row>
    <row r="11543" spans="1:5" ht="13">
      <c r="A11543" s="2" t="str">
        <f ca="1">IFERROR(__xludf.DUMMYFUNCTION("""COMPUTED_VALUE"""),"Parker Jr., Ray")</f>
        <v>Parker Jr., Ray</v>
      </c>
      <c r="B11543" s="3">
        <f ca="1">IFERROR(__xludf.DUMMYFUNCTION("""COMPUTED_VALUE"""),3)</f>
        <v>3</v>
      </c>
      <c r="C11543" s="7">
        <f ca="1">IFERROR(__xludf.DUMMYFUNCTION("""COMPUTED_VALUE"""),3.1)</f>
        <v>3.1</v>
      </c>
      <c r="D11543" s="8">
        <f ca="1">IFERROR(__xludf.DUMMYFUNCTION("""COMPUTED_VALUE"""),3)</f>
        <v>3</v>
      </c>
      <c r="E11543" s="2">
        <f ca="1">IFERROR(__xludf.DUMMYFUNCTION("""COMPUTED_VALUE"""),1)</f>
        <v>1</v>
      </c>
    </row>
    <row r="11544" spans="1:5" ht="13">
      <c r="A11544" s="2" t="str">
        <f ca="1">IFERROR(__xludf.DUMMYFUNCTION("""COMPUTED_VALUE"""),"Parker, Charlie")</f>
        <v>Parker, Charlie</v>
      </c>
      <c r="B11544" s="2">
        <f ca="1">IFERROR(__xludf.DUMMYFUNCTION("""COMPUTED_VALUE"""),3)</f>
        <v>3</v>
      </c>
      <c r="C11544" s="7">
        <f ca="1">IFERROR(__xludf.DUMMYFUNCTION("""COMPUTED_VALUE"""),3.1)</f>
        <v>3.1</v>
      </c>
      <c r="D11544" s="8">
        <f ca="1">IFERROR(__xludf.DUMMYFUNCTION("""COMPUTED_VALUE"""),7)</f>
        <v>7</v>
      </c>
      <c r="E11544" s="2">
        <f ca="1">IFERROR(__xludf.DUMMYFUNCTION("""COMPUTED_VALUE"""),2)</f>
        <v>2</v>
      </c>
    </row>
    <row r="11545" spans="1:5" ht="13">
      <c r="A11545" s="2" t="str">
        <f ca="1">IFERROR(__xludf.DUMMYFUNCTION("""COMPUTED_VALUE"""),"Parker, Jon Kimura")</f>
        <v>Parker, Jon Kimura</v>
      </c>
      <c r="B11545" s="3">
        <f ca="1">IFERROR(__xludf.DUMMYFUNCTION("""COMPUTED_VALUE"""),3)</f>
        <v>3</v>
      </c>
      <c r="C11545" s="7">
        <f ca="1">IFERROR(__xludf.DUMMYFUNCTION("""COMPUTED_VALUE"""),3.3)</f>
        <v>3.3</v>
      </c>
      <c r="D11545" s="8">
        <f ca="1">IFERROR(__xludf.DUMMYFUNCTION("""COMPUTED_VALUE"""),3)</f>
        <v>3</v>
      </c>
      <c r="E11545" s="2">
        <f ca="1">IFERROR(__xludf.DUMMYFUNCTION("""COMPUTED_VALUE"""),1)</f>
        <v>1</v>
      </c>
    </row>
    <row r="11546" spans="1:5" ht="13">
      <c r="A11546" s="2" t="str">
        <f ca="1">IFERROR(__xludf.DUMMYFUNCTION("""COMPUTED_VALUE"""),"Parris, Fred")</f>
        <v>Parris, Fred</v>
      </c>
      <c r="B11546" s="3">
        <f ca="1">IFERROR(__xludf.DUMMYFUNCTION("""COMPUTED_VALUE"""),3)</f>
        <v>3</v>
      </c>
      <c r="C11546" s="7">
        <f ca="1">IFERROR(__xludf.DUMMYFUNCTION("""COMPUTED_VALUE"""),3.1)</f>
        <v>3.1</v>
      </c>
      <c r="D11546" s="8">
        <f ca="1">IFERROR(__xludf.DUMMYFUNCTION("""COMPUTED_VALUE"""),7)</f>
        <v>7</v>
      </c>
      <c r="E11546" s="2">
        <f ca="1">IFERROR(__xludf.DUMMYFUNCTION("""COMPUTED_VALUE"""),2)</f>
        <v>2</v>
      </c>
    </row>
    <row r="11547" spans="1:5" ht="13">
      <c r="A11547" s="2" t="str">
        <f ca="1">IFERROR(__xludf.DUMMYFUNCTION("""COMPUTED_VALUE"""),"Parson, Malcolm")</f>
        <v>Parson, Malcolm</v>
      </c>
      <c r="B11547" s="2">
        <f ca="1">IFERROR(__xludf.DUMMYFUNCTION("""COMPUTED_VALUE"""),3)</f>
        <v>3</v>
      </c>
      <c r="C11547" s="2">
        <f ca="1">IFERROR(__xludf.DUMMYFUNCTION("""COMPUTED_VALUE"""),3.1)</f>
        <v>3.1</v>
      </c>
      <c r="D11547" s="8">
        <f ca="1">IFERROR(__xludf.DUMMYFUNCTION("""COMPUTED_VALUE"""),3)</f>
        <v>3</v>
      </c>
      <c r="E11547" s="2">
        <f ca="1">IFERROR(__xludf.DUMMYFUNCTION("""COMPUTED_VALUE"""),1)</f>
        <v>1</v>
      </c>
    </row>
    <row r="11548" spans="1:5" ht="13">
      <c r="A11548" s="2" t="str">
        <f ca="1">IFERROR(__xludf.DUMMYFUNCTION("""COMPUTED_VALUE"""),"Patel, Aakash")</f>
        <v>Patel, Aakash</v>
      </c>
      <c r="B11548" s="3">
        <f ca="1">IFERROR(__xludf.DUMMYFUNCTION("""COMPUTED_VALUE"""),3)</f>
        <v>3</v>
      </c>
      <c r="C11548" s="7">
        <f ca="1">IFERROR(__xludf.DUMMYFUNCTION("""COMPUTED_VALUE"""),3.5)</f>
        <v>3.5</v>
      </c>
      <c r="D11548" s="8">
        <f ca="1">IFERROR(__xludf.DUMMYFUNCTION("""COMPUTED_VALUE"""),3)</f>
        <v>3</v>
      </c>
      <c r="E11548" s="2">
        <f ca="1">IFERROR(__xludf.DUMMYFUNCTION("""COMPUTED_VALUE"""),1)</f>
        <v>1</v>
      </c>
    </row>
    <row r="11549" spans="1:5" ht="13">
      <c r="A11549" s="2" t="str">
        <f ca="1">IFERROR(__xludf.DUMMYFUNCTION("""COMPUTED_VALUE"""),"Patterson, Ben")</f>
        <v>Patterson, Ben</v>
      </c>
      <c r="B11549" s="2">
        <f ca="1">IFERROR(__xludf.DUMMYFUNCTION("""COMPUTED_VALUE"""),3)</f>
        <v>3</v>
      </c>
      <c r="C11549" s="7">
        <f ca="1">IFERROR(__xludf.DUMMYFUNCTION("""COMPUTED_VALUE"""),3.1)</f>
        <v>3.1</v>
      </c>
      <c r="D11549" s="8">
        <f ca="1">IFERROR(__xludf.DUMMYFUNCTION("""COMPUTED_VALUE"""),7)</f>
        <v>7</v>
      </c>
      <c r="E11549" s="2">
        <f ca="1">IFERROR(__xludf.DUMMYFUNCTION("""COMPUTED_VALUE"""),2)</f>
        <v>2</v>
      </c>
    </row>
    <row r="11550" spans="1:5" ht="13">
      <c r="A11550" s="2" t="str">
        <f ca="1">IFERROR(__xludf.DUMMYFUNCTION("""COMPUTED_VALUE"""),"Payton, Nicholas")</f>
        <v>Payton, Nicholas</v>
      </c>
      <c r="B11550" s="3">
        <f ca="1">IFERROR(__xludf.DUMMYFUNCTION("""COMPUTED_VALUE"""),3)</f>
        <v>3</v>
      </c>
      <c r="C11550" s="7">
        <f ca="1">IFERROR(__xludf.DUMMYFUNCTION("""COMPUTED_VALUE"""),3.1)</f>
        <v>3.1</v>
      </c>
      <c r="D11550" s="8">
        <f ca="1">IFERROR(__xludf.DUMMYFUNCTION("""COMPUTED_VALUE"""),3)</f>
        <v>3</v>
      </c>
      <c r="E11550" s="2">
        <f ca="1">IFERROR(__xludf.DUMMYFUNCTION("""COMPUTED_VALUE"""),1)</f>
        <v>1</v>
      </c>
    </row>
    <row r="11551" spans="1:5" ht="13">
      <c r="A11551" s="2" t="str">
        <f ca="1">IFERROR(__xludf.DUMMYFUNCTION("""COMPUTED_VALUE"""),"Pearson, Duke")</f>
        <v>Pearson, Duke</v>
      </c>
      <c r="B11551" s="2">
        <f ca="1">IFERROR(__xludf.DUMMYFUNCTION("""COMPUTED_VALUE"""),3)</f>
        <v>3</v>
      </c>
      <c r="C11551" s="7">
        <f ca="1">IFERROR(__xludf.DUMMYFUNCTION("""COMPUTED_VALUE"""),3.1)</f>
        <v>3.1</v>
      </c>
      <c r="D11551" s="8">
        <f ca="1">IFERROR(__xludf.DUMMYFUNCTION("""COMPUTED_VALUE"""),7)</f>
        <v>7</v>
      </c>
      <c r="E11551" s="2">
        <f ca="1">IFERROR(__xludf.DUMMYFUNCTION("""COMPUTED_VALUE"""),2)</f>
        <v>2</v>
      </c>
    </row>
    <row r="11552" spans="1:5" ht="13">
      <c r="A11552" s="8" t="str">
        <f ca="1">IFERROR(__xludf.DUMMYFUNCTION("""COMPUTED_VALUE"""),"Peña Laguna, Luis Ernesto")</f>
        <v>Peña Laguna, Luis Ernesto</v>
      </c>
      <c r="B11552" s="3">
        <f ca="1">IFERROR(__xludf.DUMMYFUNCTION("""COMPUTED_VALUE"""),3)</f>
        <v>3</v>
      </c>
      <c r="C11552" s="7">
        <f ca="1">IFERROR(__xludf.DUMMYFUNCTION("""COMPUTED_VALUE"""),3.2)</f>
        <v>3.2</v>
      </c>
      <c r="D11552" s="8">
        <f ca="1">IFERROR(__xludf.DUMMYFUNCTION("""COMPUTED_VALUE"""),3)</f>
        <v>3</v>
      </c>
      <c r="E11552" s="2">
        <f ca="1">IFERROR(__xludf.DUMMYFUNCTION("""COMPUTED_VALUE"""),1)</f>
        <v>1</v>
      </c>
    </row>
    <row r="11553" spans="1:5" ht="13">
      <c r="A11553" s="2" t="str">
        <f ca="1">IFERROR(__xludf.DUMMYFUNCTION("""COMPUTED_VALUE"""),"Peng-Peng Gong")</f>
        <v>Peng-Peng Gong</v>
      </c>
      <c r="B11553" s="2">
        <f ca="1">IFERROR(__xludf.DUMMYFUNCTION("""COMPUTED_VALUE"""),3)</f>
        <v>3</v>
      </c>
      <c r="C11553" s="7">
        <f ca="1">IFERROR(__xludf.DUMMYFUNCTION("""COMPUTED_VALUE"""),3.3)</f>
        <v>3.3</v>
      </c>
      <c r="D11553" s="8">
        <f ca="1">IFERROR(__xludf.DUMMYFUNCTION("""COMPUTED_VALUE"""),3)</f>
        <v>3</v>
      </c>
      <c r="E11553" s="2">
        <f ca="1">IFERROR(__xludf.DUMMYFUNCTION("""COMPUTED_VALUE"""),1)</f>
        <v>1</v>
      </c>
    </row>
    <row r="11554" spans="1:5" ht="13">
      <c r="A11554" s="2" t="str">
        <f ca="1">IFERROR(__xludf.DUMMYFUNCTION("""COMPUTED_VALUE"""),"Pereira, Heitor")</f>
        <v>Pereira, Heitor</v>
      </c>
      <c r="B11554" s="3">
        <f ca="1">IFERROR(__xludf.DUMMYFUNCTION("""COMPUTED_VALUE"""),3)</f>
        <v>3</v>
      </c>
      <c r="C11554" s="7">
        <f ca="1">IFERROR(__xludf.DUMMYFUNCTION("""COMPUTED_VALUE"""),3.2)</f>
        <v>3.2</v>
      </c>
      <c r="D11554" s="8">
        <f ca="1">IFERROR(__xludf.DUMMYFUNCTION("""COMPUTED_VALUE"""),3)</f>
        <v>3</v>
      </c>
      <c r="E11554" s="2">
        <f ca="1">IFERROR(__xludf.DUMMYFUNCTION("""COMPUTED_VALUE"""),1)</f>
        <v>1</v>
      </c>
    </row>
    <row r="11555" spans="1:5" ht="13">
      <c r="A11555" s="8" t="str">
        <f ca="1">IFERROR(__xludf.DUMMYFUNCTION("""COMPUTED_VALUE"""),"Pereira, Marco")</f>
        <v>Pereira, Marco</v>
      </c>
      <c r="B11555" s="3">
        <f ca="1">IFERROR(__xludf.DUMMYFUNCTION("""COMPUTED_VALUE"""),3)</f>
        <v>3</v>
      </c>
      <c r="C11555" s="7">
        <f ca="1">IFERROR(__xludf.DUMMYFUNCTION("""COMPUTED_VALUE"""),3.2)</f>
        <v>3.2</v>
      </c>
      <c r="D11555" s="8">
        <f ca="1">IFERROR(__xludf.DUMMYFUNCTION("""COMPUTED_VALUE"""),3)</f>
        <v>3</v>
      </c>
      <c r="E11555" s="2">
        <f ca="1">IFERROR(__xludf.DUMMYFUNCTION("""COMPUTED_VALUE"""),1)</f>
        <v>1</v>
      </c>
    </row>
    <row r="11556" spans="1:5" ht="13">
      <c r="A11556" s="2" t="str">
        <f ca="1">IFERROR(__xludf.DUMMYFUNCTION("""COMPUTED_VALUE"""),"Pérez Prado, Dámaso")</f>
        <v>Pérez Prado, Dámaso</v>
      </c>
      <c r="B11556" s="3">
        <f ca="1">IFERROR(__xludf.DUMMYFUNCTION("""COMPUTED_VALUE"""),3)</f>
        <v>3</v>
      </c>
      <c r="C11556" s="7">
        <f ca="1">IFERROR(__xludf.DUMMYFUNCTION("""COMPUTED_VALUE"""),3.2)</f>
        <v>3.2</v>
      </c>
      <c r="D11556" s="8">
        <f ca="1">IFERROR(__xludf.DUMMYFUNCTION("""COMPUTED_VALUE"""),7)</f>
        <v>7</v>
      </c>
      <c r="E11556" s="2">
        <f ca="1">IFERROR(__xludf.DUMMYFUNCTION("""COMPUTED_VALUE"""),2)</f>
        <v>2</v>
      </c>
    </row>
    <row r="11557" spans="1:5" ht="13">
      <c r="A11557" s="2" t="str">
        <f ca="1">IFERROR(__xludf.DUMMYFUNCTION("""COMPUTED_VALUE"""),"Pérez, Daniel Ayala")</f>
        <v>Pérez, Daniel Ayala</v>
      </c>
      <c r="B11557" s="3">
        <f ca="1">IFERROR(__xludf.DUMMYFUNCTION("""COMPUTED_VALUE"""),3)</f>
        <v>3</v>
      </c>
      <c r="C11557" s="7">
        <f ca="1">IFERROR(__xludf.DUMMYFUNCTION("""COMPUTED_VALUE"""),3.2)</f>
        <v>3.2</v>
      </c>
      <c r="D11557" s="8">
        <f ca="1">IFERROR(__xludf.DUMMYFUNCTION("""COMPUTED_VALUE"""),7)</f>
        <v>7</v>
      </c>
      <c r="E11557" s="2">
        <f ca="1">IFERROR(__xludf.DUMMYFUNCTION("""COMPUTED_VALUE"""),2)</f>
        <v>2</v>
      </c>
    </row>
    <row r="11558" spans="1:5" ht="13">
      <c r="A11558" s="2" t="str">
        <f ca="1">IFERROR(__xludf.DUMMYFUNCTION("""COMPUTED_VALUE"""),"Pérez, David")</f>
        <v>Pérez, David</v>
      </c>
      <c r="B11558" s="3">
        <f ca="1">IFERROR(__xludf.DUMMYFUNCTION("""COMPUTED_VALUE"""),3)</f>
        <v>3</v>
      </c>
      <c r="C11558" s="7">
        <f ca="1">IFERROR(__xludf.DUMMYFUNCTION("""COMPUTED_VALUE"""),3.2)</f>
        <v>3.2</v>
      </c>
      <c r="D11558" s="8">
        <f ca="1">IFERROR(__xludf.DUMMYFUNCTION("""COMPUTED_VALUE"""),3)</f>
        <v>3</v>
      </c>
      <c r="E11558" s="2">
        <f ca="1">IFERROR(__xludf.DUMMYFUNCTION("""COMPUTED_VALUE"""),1)</f>
        <v>1</v>
      </c>
    </row>
    <row r="11559" spans="1:5" ht="13">
      <c r="A11559" s="2" t="str">
        <f ca="1">IFERROR(__xludf.DUMMYFUNCTION("""COMPUTED_VALUE"""),"Perez, Fracisco")</f>
        <v>Perez, Fracisco</v>
      </c>
      <c r="B11559" s="3">
        <f ca="1">IFERROR(__xludf.DUMMYFUNCTION("""COMPUTED_VALUE"""),3)</f>
        <v>3</v>
      </c>
      <c r="C11559" s="7">
        <f ca="1">IFERROR(__xludf.DUMMYFUNCTION("""COMPUTED_VALUE"""),3.2)</f>
        <v>3.2</v>
      </c>
      <c r="D11559" s="8">
        <f ca="1">IFERROR(__xludf.DUMMYFUNCTION("""COMPUTED_VALUE"""),3)</f>
        <v>3</v>
      </c>
      <c r="E11559" s="2">
        <f ca="1">IFERROR(__xludf.DUMMYFUNCTION("""COMPUTED_VALUE"""),1)</f>
        <v>1</v>
      </c>
    </row>
    <row r="11560" spans="1:5" ht="13">
      <c r="A11560" s="2" t="str">
        <f ca="1">IFERROR(__xludf.DUMMYFUNCTION("""COMPUTED_VALUE"""),"Perez, Francisco")</f>
        <v>Perez, Francisco</v>
      </c>
      <c r="B11560" s="2">
        <f ca="1">IFERROR(__xludf.DUMMYFUNCTION("""COMPUTED_VALUE"""),3)</f>
        <v>3</v>
      </c>
      <c r="C11560" s="7">
        <f ca="1">IFERROR(__xludf.DUMMYFUNCTION("""COMPUTED_VALUE"""),3.2)</f>
        <v>3.2</v>
      </c>
      <c r="D11560" s="8">
        <f ca="1">IFERROR(__xludf.DUMMYFUNCTION("""COMPUTED_VALUE"""),3)</f>
        <v>3</v>
      </c>
      <c r="E11560" s="2">
        <f ca="1">IFERROR(__xludf.DUMMYFUNCTION("""COMPUTED_VALUE"""),1)</f>
        <v>1</v>
      </c>
    </row>
    <row r="11561" spans="1:5" ht="13">
      <c r="A11561" s="2" t="str">
        <f ca="1">IFERROR(__xludf.DUMMYFUNCTION("""COMPUTED_VALUE"""),"Perez, Franscisco")</f>
        <v>Perez, Franscisco</v>
      </c>
      <c r="B11561" s="3">
        <f ca="1">IFERROR(__xludf.DUMMYFUNCTION("""COMPUTED_VALUE"""),3)</f>
        <v>3</v>
      </c>
      <c r="C11561" s="7">
        <f ca="1">IFERROR(__xludf.DUMMYFUNCTION("""COMPUTED_VALUE"""),3.2)</f>
        <v>3.2</v>
      </c>
      <c r="D11561" s="8">
        <f ca="1">IFERROR(__xludf.DUMMYFUNCTION("""COMPUTED_VALUE"""),3)</f>
        <v>3</v>
      </c>
      <c r="E11561" s="2">
        <f ca="1">IFERROR(__xludf.DUMMYFUNCTION("""COMPUTED_VALUE"""),1)</f>
        <v>1</v>
      </c>
    </row>
    <row r="11562" spans="1:5" ht="13">
      <c r="A11562" s="2" t="str">
        <f ca="1">IFERROR(__xludf.DUMMYFUNCTION("""COMPUTED_VALUE"""),"Perez, Paco")</f>
        <v>Perez, Paco</v>
      </c>
      <c r="B11562" s="3">
        <f ca="1">IFERROR(__xludf.DUMMYFUNCTION("""COMPUTED_VALUE"""),3)</f>
        <v>3</v>
      </c>
      <c r="C11562" s="7">
        <f ca="1">IFERROR(__xludf.DUMMYFUNCTION("""COMPUTED_VALUE"""),3.2)</f>
        <v>3.2</v>
      </c>
      <c r="D11562" s="8">
        <f ca="1">IFERROR(__xludf.DUMMYFUNCTION("""COMPUTED_VALUE"""),7)</f>
        <v>7</v>
      </c>
      <c r="E11562" s="2">
        <f ca="1">IFERROR(__xludf.DUMMYFUNCTION("""COMPUTED_VALUE"""),2)</f>
        <v>2</v>
      </c>
    </row>
    <row r="11563" spans="1:5" ht="13">
      <c r="A11563" s="2" t="str">
        <f ca="1">IFERROR(__xludf.DUMMYFUNCTION("""COMPUTED_VALUE"""),"Perilliat, Nat")</f>
        <v>Perilliat, Nat</v>
      </c>
      <c r="B11563" s="3">
        <f ca="1">IFERROR(__xludf.DUMMYFUNCTION("""COMPUTED_VALUE"""),3)</f>
        <v>3</v>
      </c>
      <c r="C11563" s="7">
        <f ca="1">IFERROR(__xludf.DUMMYFUNCTION("""COMPUTED_VALUE"""),3.1)</f>
        <v>3.1</v>
      </c>
      <c r="D11563" s="8">
        <f ca="1">IFERROR(__xludf.DUMMYFUNCTION("""COMPUTED_VALUE"""),7)</f>
        <v>7</v>
      </c>
      <c r="E11563" s="2">
        <f ca="1">IFERROR(__xludf.DUMMYFUNCTION("""COMPUTED_VALUE"""),2)</f>
        <v>2</v>
      </c>
    </row>
    <row r="11564" spans="1:5" ht="13">
      <c r="A11564" s="2" t="str">
        <f ca="1">IFERROR(__xludf.DUMMYFUNCTION("""COMPUTED_VALUE"""),"Perkinson, Coleridge-Taylor")</f>
        <v>Perkinson, Coleridge-Taylor</v>
      </c>
      <c r="B11564" s="3">
        <f ca="1">IFERROR(__xludf.DUMMYFUNCTION("""COMPUTED_VALUE"""),3)</f>
        <v>3</v>
      </c>
      <c r="C11564" s="7">
        <f ca="1">IFERROR(__xludf.DUMMYFUNCTION("""COMPUTED_VALUE"""),3.1)</f>
        <v>3.1</v>
      </c>
      <c r="D11564" s="8">
        <f ca="1">IFERROR(__xludf.DUMMYFUNCTION("""COMPUTED_VALUE"""),7)</f>
        <v>7</v>
      </c>
      <c r="E11564" s="2">
        <f ca="1">IFERROR(__xludf.DUMMYFUNCTION("""COMPUTED_VALUE"""),2)</f>
        <v>2</v>
      </c>
    </row>
    <row r="11565" spans="1:5" ht="13">
      <c r="A11565" s="8" t="str">
        <f ca="1">IFERROR(__xludf.DUMMYFUNCTION("""COMPUTED_VALUE"""),"Peruzzolo-Vieira, Samuel")</f>
        <v>Peruzzolo-Vieira, Samuel</v>
      </c>
      <c r="B11565" s="3">
        <f ca="1">IFERROR(__xludf.DUMMYFUNCTION("""COMPUTED_VALUE"""),3)</f>
        <v>3</v>
      </c>
      <c r="C11565" s="7">
        <f ca="1">IFERROR(__xludf.DUMMYFUNCTION("""COMPUTED_VALUE"""),3.2)</f>
        <v>3.2</v>
      </c>
      <c r="D11565" s="8">
        <f ca="1">IFERROR(__xludf.DUMMYFUNCTION("""COMPUTED_VALUE"""),3)</f>
        <v>3</v>
      </c>
      <c r="E11565" s="2">
        <f ca="1">IFERROR(__xludf.DUMMYFUNCTION("""COMPUTED_VALUE"""),1)</f>
        <v>1</v>
      </c>
    </row>
    <row r="11566" spans="1:5" ht="13">
      <c r="A11566" s="2" t="str">
        <f ca="1">IFERROR(__xludf.DUMMYFUNCTION("""COMPUTED_VALUE"""),"Peterson, Christopher")</f>
        <v>Peterson, Christopher</v>
      </c>
      <c r="B11566" s="3">
        <f ca="1">IFERROR(__xludf.DUMMYFUNCTION("""COMPUTED_VALUE"""),3)</f>
        <v>3</v>
      </c>
      <c r="C11566" s="7">
        <f ca="1">IFERROR(__xludf.DUMMYFUNCTION("""COMPUTED_VALUE"""),3.1)</f>
        <v>3.1</v>
      </c>
      <c r="D11566" s="8">
        <f ca="1">IFERROR(__xludf.DUMMYFUNCTION("""COMPUTED_VALUE"""),7)</f>
        <v>7</v>
      </c>
      <c r="E11566" s="2">
        <f ca="1">IFERROR(__xludf.DUMMYFUNCTION("""COMPUTED_VALUE"""),2)</f>
        <v>2</v>
      </c>
    </row>
    <row r="11567" spans="1:5" ht="13">
      <c r="A11567" s="2" t="str">
        <f ca="1">IFERROR(__xludf.DUMMYFUNCTION("""COMPUTED_VALUE"""),"Peterson, Oscar")</f>
        <v>Peterson, Oscar</v>
      </c>
      <c r="B11567" s="3">
        <f ca="1">IFERROR(__xludf.DUMMYFUNCTION("""COMPUTED_VALUE"""),3)</f>
        <v>3</v>
      </c>
      <c r="C11567" s="7">
        <f ca="1">IFERROR(__xludf.DUMMYFUNCTION("""COMPUTED_VALUE"""),3.1)</f>
        <v>3.1</v>
      </c>
      <c r="D11567" s="8">
        <f ca="1">IFERROR(__xludf.DUMMYFUNCTION("""COMPUTED_VALUE"""),7)</f>
        <v>7</v>
      </c>
      <c r="E11567" s="2">
        <f ca="1">IFERROR(__xludf.DUMMYFUNCTION("""COMPUTED_VALUE"""),2)</f>
        <v>2</v>
      </c>
    </row>
    <row r="11568" spans="1:5" ht="13">
      <c r="A11568" s="2" t="str">
        <f ca="1">IFERROR(__xludf.DUMMYFUNCTION("""COMPUTED_VALUE"""),"Peterson, Oscar / Hamilton, Harriette")</f>
        <v>Peterson, Oscar / Hamilton, Harriette</v>
      </c>
      <c r="B11568" s="3">
        <f ca="1">IFERROR(__xludf.DUMMYFUNCTION("""COMPUTED_VALUE"""),3)</f>
        <v>3</v>
      </c>
      <c r="C11568" s="7">
        <f ca="1">IFERROR(__xludf.DUMMYFUNCTION("""COMPUTED_VALUE"""),3.1)</f>
        <v>3.1</v>
      </c>
      <c r="D11568" s="8">
        <f ca="1">IFERROR(__xludf.DUMMYFUNCTION("""COMPUTED_VALUE"""),7)</f>
        <v>7</v>
      </c>
      <c r="E11568" s="2">
        <f ca="1">IFERROR(__xludf.DUMMYFUNCTION("""COMPUTED_VALUE"""),2)</f>
        <v>2</v>
      </c>
    </row>
    <row r="11569" spans="1:5" ht="13">
      <c r="A11569" s="2" t="str">
        <f ca="1">IFERROR(__xludf.DUMMYFUNCTION("""COMPUTED_VALUE"""),"Petrushka, Shabtai")</f>
        <v>Petrushka, Shabtai</v>
      </c>
      <c r="B11569" s="3">
        <f ca="1">IFERROR(__xludf.DUMMYFUNCTION("""COMPUTED_VALUE"""),3)</f>
        <v>3</v>
      </c>
      <c r="C11569" s="7">
        <f ca="1">IFERROR(__xludf.DUMMYFUNCTION("""COMPUTED_VALUE"""),3.5)</f>
        <v>3.5</v>
      </c>
      <c r="D11569" s="8">
        <f ca="1">IFERROR(__xludf.DUMMYFUNCTION("""COMPUTED_VALUE"""),3)</f>
        <v>3</v>
      </c>
      <c r="E11569" s="2">
        <f ca="1">IFERROR(__xludf.DUMMYFUNCTION("""COMPUTED_VALUE"""),1)</f>
        <v>1</v>
      </c>
    </row>
    <row r="11570" spans="1:5" ht="13">
      <c r="A11570" s="2" t="str">
        <f ca="1">IFERROR(__xludf.DUMMYFUNCTION("""COMPUTED_VALUE"""),"Pettiford, Oscar")</f>
        <v>Pettiford, Oscar</v>
      </c>
      <c r="B11570" s="2">
        <f ca="1">IFERROR(__xludf.DUMMYFUNCTION("""COMPUTED_VALUE"""),3)</f>
        <v>3</v>
      </c>
      <c r="C11570" s="7">
        <f ca="1">IFERROR(__xludf.DUMMYFUNCTION("""COMPUTED_VALUE"""),3.1)</f>
        <v>3.1</v>
      </c>
      <c r="D11570" s="8">
        <f ca="1">IFERROR(__xludf.DUMMYFUNCTION("""COMPUTED_VALUE"""),7)</f>
        <v>7</v>
      </c>
      <c r="E11570" s="2">
        <f ca="1">IFERROR(__xludf.DUMMYFUNCTION("""COMPUTED_VALUE"""),2)</f>
        <v>2</v>
      </c>
    </row>
    <row r="11571" spans="1:5" ht="13">
      <c r="A11571" s="2" t="str">
        <f ca="1">IFERROR(__xludf.DUMMYFUNCTION("""COMPUTED_VALUE"""),"Phan, P. Q.")</f>
        <v>Phan, P. Q.</v>
      </c>
      <c r="B11571" s="3">
        <f ca="1">IFERROR(__xludf.DUMMYFUNCTION("""COMPUTED_VALUE"""),3)</f>
        <v>3</v>
      </c>
      <c r="C11571" s="7">
        <f ca="1">IFERROR(__xludf.DUMMYFUNCTION("""COMPUTED_VALUE"""),3.3)</f>
        <v>3.3</v>
      </c>
      <c r="D11571" s="8">
        <f ca="1">IFERROR(__xludf.DUMMYFUNCTION("""COMPUTED_VALUE"""),3)</f>
        <v>3</v>
      </c>
      <c r="E11571" s="2">
        <f ca="1">IFERROR(__xludf.DUMMYFUNCTION("""COMPUTED_VALUE"""),1)</f>
        <v>1</v>
      </c>
    </row>
    <row r="11572" spans="1:5" ht="13">
      <c r="A11572" s="2" t="str">
        <f ca="1">IFERROR(__xludf.DUMMYFUNCTION("""COMPUTED_VALUE"""),"Phan, P.Q.")</f>
        <v>Phan, P.Q.</v>
      </c>
      <c r="B11572" s="3">
        <f ca="1">IFERROR(__xludf.DUMMYFUNCTION("""COMPUTED_VALUE"""),3)</f>
        <v>3</v>
      </c>
      <c r="C11572" s="7">
        <f ca="1">IFERROR(__xludf.DUMMYFUNCTION("""COMPUTED_VALUE"""),3.3)</f>
        <v>3.3</v>
      </c>
      <c r="D11572" s="8">
        <f ca="1">IFERROR(__xludf.DUMMYFUNCTION("""COMPUTED_VALUE"""),3)</f>
        <v>3</v>
      </c>
      <c r="E11572" s="2">
        <f ca="1">IFERROR(__xludf.DUMMYFUNCTION("""COMPUTED_VALUE"""),1)</f>
        <v>1</v>
      </c>
    </row>
    <row r="11573" spans="1:5" ht="13">
      <c r="A11573" s="2" t="str">
        <f ca="1">IFERROR(__xludf.DUMMYFUNCTION("""COMPUTED_VALUE"""),"Phillips Jr., Joseph C")</f>
        <v>Phillips Jr., Joseph C</v>
      </c>
      <c r="B11573" s="2">
        <f ca="1">IFERROR(__xludf.DUMMYFUNCTION("""COMPUTED_VALUE"""),3)</f>
        <v>3</v>
      </c>
      <c r="C11573" s="7">
        <f ca="1">IFERROR(__xludf.DUMMYFUNCTION("""COMPUTED_VALUE"""),3.1)</f>
        <v>3.1</v>
      </c>
      <c r="D11573" s="8">
        <f ca="1">IFERROR(__xludf.DUMMYFUNCTION("""COMPUTED_VALUE"""),3)</f>
        <v>3</v>
      </c>
      <c r="E11573" s="2">
        <f ca="1">IFERROR(__xludf.DUMMYFUNCTION("""COMPUTED_VALUE"""),1)</f>
        <v>1</v>
      </c>
    </row>
    <row r="11574" spans="1:5" ht="13">
      <c r="A11574" s="2" t="str">
        <f ca="1">IFERROR(__xludf.DUMMYFUNCTION("""COMPUTED_VALUE"""),"Piana, Sebastian")</f>
        <v>Piana, Sebastian</v>
      </c>
      <c r="B11574" s="3">
        <f ca="1">IFERROR(__xludf.DUMMYFUNCTION("""COMPUTED_VALUE"""),3)</f>
        <v>3</v>
      </c>
      <c r="C11574" s="7">
        <f ca="1">IFERROR(__xludf.DUMMYFUNCTION("""COMPUTED_VALUE"""),3.2)</f>
        <v>3.2</v>
      </c>
      <c r="D11574" s="8">
        <f ca="1">IFERROR(__xludf.DUMMYFUNCTION("""COMPUTED_VALUE"""),7)</f>
        <v>7</v>
      </c>
      <c r="E11574" s="2">
        <f ca="1">IFERROR(__xludf.DUMMYFUNCTION("""COMPUTED_VALUE"""),2)</f>
        <v>2</v>
      </c>
    </row>
    <row r="11575" spans="1:5" ht="13">
      <c r="A11575" s="2" t="str">
        <f ca="1">IFERROR(__xludf.DUMMYFUNCTION("""COMPUTED_VALUE"""),"Piazolla, Astor")</f>
        <v>Piazolla, Astor</v>
      </c>
      <c r="B11575" s="2">
        <f ca="1">IFERROR(__xludf.DUMMYFUNCTION("""COMPUTED_VALUE"""),3)</f>
        <v>3</v>
      </c>
      <c r="C11575" s="7">
        <f ca="1">IFERROR(__xludf.DUMMYFUNCTION("""COMPUTED_VALUE"""),3.2)</f>
        <v>3.2</v>
      </c>
      <c r="D11575" s="8">
        <f ca="1">IFERROR(__xludf.DUMMYFUNCTION("""COMPUTED_VALUE"""),7)</f>
        <v>7</v>
      </c>
      <c r="E11575" s="2">
        <f ca="1">IFERROR(__xludf.DUMMYFUNCTION("""COMPUTED_VALUE"""),2)</f>
        <v>2</v>
      </c>
    </row>
    <row r="11576" spans="1:5" ht="13">
      <c r="A11576" s="2" t="str">
        <f ca="1">IFERROR(__xludf.DUMMYFUNCTION("""COMPUTED_VALUE"""),"Piazzolla, Astor")</f>
        <v>Piazzolla, Astor</v>
      </c>
      <c r="B11576" s="3">
        <f ca="1">IFERROR(__xludf.DUMMYFUNCTION("""COMPUTED_VALUE"""),3)</f>
        <v>3</v>
      </c>
      <c r="C11576" s="7">
        <f ca="1">IFERROR(__xludf.DUMMYFUNCTION("""COMPUTED_VALUE"""),3.2)</f>
        <v>3.2</v>
      </c>
      <c r="D11576" s="8">
        <f ca="1">IFERROR(__xludf.DUMMYFUNCTION("""COMPUTED_VALUE"""),7)</f>
        <v>7</v>
      </c>
      <c r="E11576" s="2">
        <f ca="1">IFERROR(__xludf.DUMMYFUNCTION("""COMPUTED_VALUE"""),2)</f>
        <v>2</v>
      </c>
    </row>
    <row r="11577" spans="1:5" ht="13">
      <c r="A11577" s="2" t="str">
        <f ca="1">IFERROR(__xludf.DUMMYFUNCTION("""COMPUTED_VALUE"""),"Piazzolla, Astor (Jeffrey Scott)")</f>
        <v>Piazzolla, Astor (Jeffrey Scott)</v>
      </c>
      <c r="B11577" s="3">
        <f ca="1">IFERROR(__xludf.DUMMYFUNCTION("""COMPUTED_VALUE"""),3)</f>
        <v>3</v>
      </c>
      <c r="C11577" s="7">
        <f ca="1">IFERROR(__xludf.DUMMYFUNCTION("""COMPUTED_VALUE"""),3.2)</f>
        <v>3.2</v>
      </c>
      <c r="D11577" s="8">
        <f ca="1">IFERROR(__xludf.DUMMYFUNCTION("""COMPUTED_VALUE"""),7)</f>
        <v>7</v>
      </c>
      <c r="E11577" s="2">
        <f ca="1">IFERROR(__xludf.DUMMYFUNCTION("""COMPUTED_VALUE"""),2)</f>
        <v>2</v>
      </c>
    </row>
    <row r="11578" spans="1:5" ht="13">
      <c r="A11578" s="2" t="str">
        <f ca="1">IFERROR(__xludf.DUMMYFUNCTION("""COMPUTED_VALUE"""),"Pinderhughes, Samora")</f>
        <v>Pinderhughes, Samora</v>
      </c>
      <c r="B11578" s="3">
        <f ca="1">IFERROR(__xludf.DUMMYFUNCTION("""COMPUTED_VALUE"""),3)</f>
        <v>3</v>
      </c>
      <c r="C11578" s="7">
        <f ca="1">IFERROR(__xludf.DUMMYFUNCTION("""COMPUTED_VALUE"""),3.1)</f>
        <v>3.1</v>
      </c>
      <c r="D11578" s="8">
        <f ca="1">IFERROR(__xludf.DUMMYFUNCTION("""COMPUTED_VALUE"""),3)</f>
        <v>3</v>
      </c>
      <c r="E11578" s="2">
        <f ca="1">IFERROR(__xludf.DUMMYFUNCTION("""COMPUTED_VALUE"""),1)</f>
        <v>1</v>
      </c>
    </row>
    <row r="11579" spans="1:5" ht="13">
      <c r="A11579" s="2" t="str">
        <f ca="1">IFERROR(__xludf.DUMMYFUNCTION("""COMPUTED_VALUE"""),"Pineda, Julio Morales")</f>
        <v>Pineda, Julio Morales</v>
      </c>
      <c r="B11579" s="2">
        <f ca="1">IFERROR(__xludf.DUMMYFUNCTION("""COMPUTED_VALUE"""),3)</f>
        <v>3</v>
      </c>
      <c r="C11579" s="7">
        <f ca="1">IFERROR(__xludf.DUMMYFUNCTION("""COMPUTED_VALUE"""),3.2)</f>
        <v>3.2</v>
      </c>
      <c r="D11579" s="8">
        <f ca="1">IFERROR(__xludf.DUMMYFUNCTION("""COMPUTED_VALUE"""),3)</f>
        <v>3</v>
      </c>
      <c r="E11579" s="2">
        <f ca="1">IFERROR(__xludf.DUMMYFUNCTION("""COMPUTED_VALUE"""),1)</f>
        <v>1</v>
      </c>
    </row>
    <row r="11580" spans="1:5" ht="13">
      <c r="A11580" s="8" t="str">
        <f ca="1">IFERROR(__xludf.DUMMYFUNCTION("""COMPUTED_VALUE"""),"Pineda, Raimundo")</f>
        <v>Pineda, Raimundo</v>
      </c>
      <c r="B11580" s="3">
        <f ca="1">IFERROR(__xludf.DUMMYFUNCTION("""COMPUTED_VALUE"""),3)</f>
        <v>3</v>
      </c>
      <c r="C11580" s="7">
        <f ca="1">IFERROR(__xludf.DUMMYFUNCTION("""COMPUTED_VALUE"""),3.2)</f>
        <v>3.2</v>
      </c>
      <c r="D11580" s="8">
        <f ca="1">IFERROR(__xludf.DUMMYFUNCTION("""COMPUTED_VALUE"""),3)</f>
        <v>3</v>
      </c>
      <c r="E11580" s="2">
        <f ca="1">IFERROR(__xludf.DUMMYFUNCTION("""COMPUTED_VALUE"""),1)</f>
        <v>1</v>
      </c>
    </row>
    <row r="11581" spans="1:5" ht="13">
      <c r="A11581" s="2" t="str">
        <f ca="1">IFERROR(__xludf.DUMMYFUNCTION("""COMPUTED_VALUE"""),"Pinkard, Maceo")</f>
        <v>Pinkard, Maceo</v>
      </c>
      <c r="B11581" s="2">
        <f ca="1">IFERROR(__xludf.DUMMYFUNCTION("""COMPUTED_VALUE"""),3)</f>
        <v>3</v>
      </c>
      <c r="C11581" s="7">
        <f ca="1">IFERROR(__xludf.DUMMYFUNCTION("""COMPUTED_VALUE"""),3.1)</f>
        <v>3.1</v>
      </c>
      <c r="D11581" s="8">
        <f ca="1">IFERROR(__xludf.DUMMYFUNCTION("""COMPUTED_VALUE"""),7)</f>
        <v>7</v>
      </c>
      <c r="E11581" s="2">
        <f ca="1">IFERROR(__xludf.DUMMYFUNCTION("""COMPUTED_VALUE"""),2)</f>
        <v>2</v>
      </c>
    </row>
    <row r="11582" spans="1:5" ht="13">
      <c r="A11582" s="2" t="str">
        <f ca="1">IFERROR(__xludf.DUMMYFUNCTION("""COMPUTED_VALUE"""),"Pino, Alejandro")</f>
        <v>Pino, Alejandro</v>
      </c>
      <c r="B11582" s="3">
        <f ca="1">IFERROR(__xludf.DUMMYFUNCTION("""COMPUTED_VALUE"""),3)</f>
        <v>3</v>
      </c>
      <c r="C11582" s="7">
        <f ca="1">IFERROR(__xludf.DUMMYFUNCTION("""COMPUTED_VALUE"""),3.2)</f>
        <v>3.2</v>
      </c>
      <c r="D11582" s="8">
        <f ca="1">IFERROR(__xludf.DUMMYFUNCTION("""COMPUTED_VALUE"""),3)</f>
        <v>3</v>
      </c>
      <c r="E11582" s="2">
        <f ca="1">IFERROR(__xludf.DUMMYFUNCTION("""COMPUTED_VALUE"""),1)</f>
        <v>1</v>
      </c>
    </row>
    <row r="11583" spans="1:5" ht="13">
      <c r="A11583" s="2" t="str">
        <f ca="1">IFERROR(__xludf.DUMMYFUNCTION("""COMPUTED_VALUE"""),"Pinto Fonseca, Carlos Alberto")</f>
        <v>Pinto Fonseca, Carlos Alberto</v>
      </c>
      <c r="B11583" s="3">
        <f ca="1">IFERROR(__xludf.DUMMYFUNCTION("""COMPUTED_VALUE"""),3)</f>
        <v>3</v>
      </c>
      <c r="C11583" s="7">
        <f ca="1">IFERROR(__xludf.DUMMYFUNCTION("""COMPUTED_VALUE"""),3.2)</f>
        <v>3.2</v>
      </c>
      <c r="D11583" s="8">
        <f ca="1">IFERROR(__xludf.DUMMYFUNCTION("""COMPUTED_VALUE"""),7)</f>
        <v>7</v>
      </c>
      <c r="E11583" s="2">
        <f ca="1">IFERROR(__xludf.DUMMYFUNCTION("""COMPUTED_VALUE"""),2)</f>
        <v>2</v>
      </c>
    </row>
    <row r="11584" spans="1:5" ht="13">
      <c r="A11584" s="8" t="str">
        <f ca="1">IFERROR(__xludf.DUMMYFUNCTION("""COMPUTED_VALUE"""),"Pius Cheung")</f>
        <v>Pius Cheung</v>
      </c>
      <c r="B11584" s="3">
        <f ca="1">IFERROR(__xludf.DUMMYFUNCTION("""COMPUTED_VALUE"""),3)</f>
        <v>3</v>
      </c>
      <c r="C11584" s="7">
        <f ca="1">IFERROR(__xludf.DUMMYFUNCTION("""COMPUTED_VALUE"""),3.3)</f>
        <v>3.3</v>
      </c>
      <c r="D11584" s="8">
        <f ca="1">IFERROR(__xludf.DUMMYFUNCTION("""COMPUTED_VALUE"""),3)</f>
        <v>3</v>
      </c>
      <c r="E11584" s="2">
        <f ca="1">IFERROR(__xludf.DUMMYFUNCTION("""COMPUTED_VALUE"""),1)</f>
        <v>1</v>
      </c>
    </row>
    <row r="11585" spans="1:5" ht="13">
      <c r="A11585" s="2" t="str">
        <f ca="1">IFERROR(__xludf.DUMMYFUNCTION("""COMPUTED_VALUE"""),"Plater, Bobby / Bradshaw, Tiny / Johnson, Eddie")</f>
        <v>Plater, Bobby / Bradshaw, Tiny / Johnson, Eddie</v>
      </c>
      <c r="B11585" s="2">
        <f ca="1">IFERROR(__xludf.DUMMYFUNCTION("""COMPUTED_VALUE"""),3)</f>
        <v>3</v>
      </c>
      <c r="C11585" s="7">
        <f ca="1">IFERROR(__xludf.DUMMYFUNCTION("""COMPUTED_VALUE"""),3.1)</f>
        <v>3.1</v>
      </c>
      <c r="D11585" s="8">
        <f ca="1">IFERROR(__xludf.DUMMYFUNCTION("""COMPUTED_VALUE"""),7)</f>
        <v>7</v>
      </c>
      <c r="E11585" s="2">
        <f ca="1">IFERROR(__xludf.DUMMYFUNCTION("""COMPUTED_VALUE"""),2)</f>
        <v>2</v>
      </c>
    </row>
    <row r="11586" spans="1:5" ht="13">
      <c r="A11586" s="2" t="str">
        <f ca="1">IFERROR(__xludf.DUMMYFUNCTION("""COMPUTED_VALUE"""),"Plaza, Juan Bautista")</f>
        <v>Plaza, Juan Bautista</v>
      </c>
      <c r="B11586" s="3">
        <f ca="1">IFERROR(__xludf.DUMMYFUNCTION("""COMPUTED_VALUE"""),3)</f>
        <v>3</v>
      </c>
      <c r="C11586" s="7">
        <f ca="1">IFERROR(__xludf.DUMMYFUNCTION("""COMPUTED_VALUE"""),3.2)</f>
        <v>3.2</v>
      </c>
      <c r="D11586" s="8">
        <f ca="1">IFERROR(__xludf.DUMMYFUNCTION("""COMPUTED_VALUE"""),7)</f>
        <v>7</v>
      </c>
      <c r="E11586" s="2">
        <f ca="1">IFERROR(__xludf.DUMMYFUNCTION("""COMPUTED_VALUE"""),2)</f>
        <v>2</v>
      </c>
    </row>
    <row r="11587" spans="1:5" ht="13">
      <c r="A11587" s="2" t="str">
        <f ca="1">IFERROR(__xludf.DUMMYFUNCTION("""COMPUTED_VALUE"""),"Pompey, Corey")</f>
        <v>Pompey, Corey</v>
      </c>
      <c r="B11587" s="3">
        <f ca="1">IFERROR(__xludf.DUMMYFUNCTION("""COMPUTED_VALUE"""),3)</f>
        <v>3</v>
      </c>
      <c r="C11587" s="7">
        <f ca="1">IFERROR(__xludf.DUMMYFUNCTION("""COMPUTED_VALUE"""),3.1)</f>
        <v>3.1</v>
      </c>
      <c r="D11587" s="8">
        <f ca="1">IFERROR(__xludf.DUMMYFUNCTION("""COMPUTED_VALUE"""),3)</f>
        <v>3</v>
      </c>
      <c r="E11587" s="2">
        <f ca="1">IFERROR(__xludf.DUMMYFUNCTION("""COMPUTED_VALUE"""),1)</f>
        <v>1</v>
      </c>
    </row>
    <row r="11588" spans="1:5" ht="13">
      <c r="A11588" s="2" t="str">
        <f ca="1">IFERROR(__xludf.DUMMYFUNCTION("""COMPUTED_VALUE"""),"Ponce, Daniel")</f>
        <v>Ponce, Daniel</v>
      </c>
      <c r="B11588" s="3">
        <f ca="1">IFERROR(__xludf.DUMMYFUNCTION("""COMPUTED_VALUE"""),3)</f>
        <v>3</v>
      </c>
      <c r="C11588" s="7">
        <f ca="1">IFERROR(__xludf.DUMMYFUNCTION("""COMPUTED_VALUE"""),3.2)</f>
        <v>3.2</v>
      </c>
      <c r="D11588" s="8">
        <f ca="1">IFERROR(__xludf.DUMMYFUNCTION("""COMPUTED_VALUE"""),7)</f>
        <v>7</v>
      </c>
      <c r="E11588" s="2">
        <f ca="1">IFERROR(__xludf.DUMMYFUNCTION("""COMPUTED_VALUE"""),2)</f>
        <v>2</v>
      </c>
    </row>
    <row r="11589" spans="1:5" ht="13">
      <c r="A11589" s="2" t="str">
        <f ca="1">IFERROR(__xludf.DUMMYFUNCTION("""COMPUTED_VALUE"""),"Ponce, Juan")</f>
        <v>Ponce, Juan</v>
      </c>
      <c r="B11589" s="3">
        <f ca="1">IFERROR(__xludf.DUMMYFUNCTION("""COMPUTED_VALUE"""),3)</f>
        <v>3</v>
      </c>
      <c r="C11589" s="7">
        <f ca="1">IFERROR(__xludf.DUMMYFUNCTION("""COMPUTED_VALUE"""),3.2)</f>
        <v>3.2</v>
      </c>
      <c r="D11589" s="8">
        <f ca="1">IFERROR(__xludf.DUMMYFUNCTION("""COMPUTED_VALUE"""),7)</f>
        <v>7</v>
      </c>
      <c r="E11589" s="2">
        <f ca="1">IFERROR(__xludf.DUMMYFUNCTION("""COMPUTED_VALUE"""),2)</f>
        <v>2</v>
      </c>
    </row>
    <row r="11590" spans="1:5" ht="13">
      <c r="A11590" s="2" t="str">
        <f ca="1">IFERROR(__xludf.DUMMYFUNCTION("""COMPUTED_VALUE"""),"Ponce, Manuel")</f>
        <v>Ponce, Manuel</v>
      </c>
      <c r="B11590" s="3">
        <f ca="1">IFERROR(__xludf.DUMMYFUNCTION("""COMPUTED_VALUE"""),3)</f>
        <v>3</v>
      </c>
      <c r="C11590" s="7">
        <f ca="1">IFERROR(__xludf.DUMMYFUNCTION("""COMPUTED_VALUE"""),3.2)</f>
        <v>3.2</v>
      </c>
      <c r="D11590" s="8">
        <f ca="1">IFERROR(__xludf.DUMMYFUNCTION("""COMPUTED_VALUE"""),7)</f>
        <v>7</v>
      </c>
      <c r="E11590" s="2">
        <f ca="1">IFERROR(__xludf.DUMMYFUNCTION("""COMPUTED_VALUE"""),2)</f>
        <v>2</v>
      </c>
    </row>
    <row r="11591" spans="1:5" ht="13">
      <c r="A11591" s="2" t="str">
        <f ca="1">IFERROR(__xludf.DUMMYFUNCTION("""COMPUTED_VALUE"""),"Ponce, Manuel María")</f>
        <v>Ponce, Manuel María</v>
      </c>
      <c r="B11591" s="3">
        <f ca="1">IFERROR(__xludf.DUMMYFUNCTION("""COMPUTED_VALUE"""),3)</f>
        <v>3</v>
      </c>
      <c r="C11591" s="7">
        <f ca="1">IFERROR(__xludf.DUMMYFUNCTION("""COMPUTED_VALUE"""),3.2)</f>
        <v>3.2</v>
      </c>
      <c r="D11591" s="8">
        <f ca="1">IFERROR(__xludf.DUMMYFUNCTION("""COMPUTED_VALUE"""),7)</f>
        <v>7</v>
      </c>
      <c r="E11591" s="2">
        <f ca="1">IFERROR(__xludf.DUMMYFUNCTION("""COMPUTED_VALUE"""),2)</f>
        <v>2</v>
      </c>
    </row>
    <row r="11592" spans="1:5" ht="13">
      <c r="A11592" s="8" t="str">
        <f ca="1">IFERROR(__xludf.DUMMYFUNCTION("""COMPUTED_VALUE"""),"Porter, Gregory")</f>
        <v>Porter, Gregory</v>
      </c>
      <c r="B11592" s="3">
        <f ca="1">IFERROR(__xludf.DUMMYFUNCTION("""COMPUTED_VALUE"""),3)</f>
        <v>3</v>
      </c>
      <c r="C11592" s="7">
        <f ca="1">IFERROR(__xludf.DUMMYFUNCTION("""COMPUTED_VALUE"""),3.1)</f>
        <v>3.1</v>
      </c>
      <c r="D11592" s="8">
        <f ca="1">IFERROR(__xludf.DUMMYFUNCTION("""COMPUTED_VALUE"""),3)</f>
        <v>3</v>
      </c>
      <c r="E11592" s="2">
        <f ca="1">IFERROR(__xludf.DUMMYFUNCTION("""COMPUTED_VALUE"""),1)</f>
        <v>1</v>
      </c>
    </row>
    <row r="11593" spans="1:5" ht="13">
      <c r="A11593" s="2" t="str">
        <f ca="1">IFERROR(__xludf.DUMMYFUNCTION("""COMPUTED_VALUE"""),"Potavanich, Vanich")</f>
        <v>Potavanich, Vanich</v>
      </c>
      <c r="B11593" s="3">
        <f ca="1">IFERROR(__xludf.DUMMYFUNCTION("""COMPUTED_VALUE"""),3)</f>
        <v>3</v>
      </c>
      <c r="C11593" s="7">
        <f ca="1">IFERROR(__xludf.DUMMYFUNCTION("""COMPUTED_VALUE"""),3.3)</f>
        <v>3.3</v>
      </c>
      <c r="D11593" s="8">
        <f ca="1">IFERROR(__xludf.DUMMYFUNCTION("""COMPUTED_VALUE"""),3)</f>
        <v>3</v>
      </c>
      <c r="E11593" s="2">
        <f ca="1">IFERROR(__xludf.DUMMYFUNCTION("""COMPUTED_VALUE"""),1)</f>
        <v>1</v>
      </c>
    </row>
    <row r="11594" spans="1:5" ht="13">
      <c r="A11594" s="2" t="str">
        <f ca="1">IFERROR(__xludf.DUMMYFUNCTION("""COMPUTED_VALUE"""),"Powell, Alec")</f>
        <v>Powell, Alec</v>
      </c>
      <c r="B11594" s="3">
        <f ca="1">IFERROR(__xludf.DUMMYFUNCTION("""COMPUTED_VALUE"""),3)</f>
        <v>3</v>
      </c>
      <c r="C11594" s="7">
        <f ca="1">IFERROR(__xludf.DUMMYFUNCTION("""COMPUTED_VALUE"""),3.1)</f>
        <v>3.1</v>
      </c>
      <c r="D11594" s="8">
        <f ca="1">IFERROR(__xludf.DUMMYFUNCTION("""COMPUTED_VALUE"""),3)</f>
        <v>3</v>
      </c>
      <c r="E11594" s="2">
        <f ca="1">IFERROR(__xludf.DUMMYFUNCTION("""COMPUTED_VALUE"""),1)</f>
        <v>1</v>
      </c>
    </row>
    <row r="11595" spans="1:5" ht="13">
      <c r="A11595" s="2" t="str">
        <f ca="1">IFERROR(__xludf.DUMMYFUNCTION("""COMPUTED_VALUE"""),"Powell, Bud")</f>
        <v>Powell, Bud</v>
      </c>
      <c r="B11595" s="2">
        <f ca="1">IFERROR(__xludf.DUMMYFUNCTION("""COMPUTED_VALUE"""),3)</f>
        <v>3</v>
      </c>
      <c r="C11595" s="7">
        <f ca="1">IFERROR(__xludf.DUMMYFUNCTION("""COMPUTED_VALUE"""),3.1)</f>
        <v>3.1</v>
      </c>
      <c r="D11595" s="8">
        <f ca="1">IFERROR(__xludf.DUMMYFUNCTION("""COMPUTED_VALUE"""),7)</f>
        <v>7</v>
      </c>
      <c r="E11595" s="2">
        <f ca="1">IFERROR(__xludf.DUMMYFUNCTION("""COMPUTED_VALUE"""),2)</f>
        <v>2</v>
      </c>
    </row>
    <row r="11596" spans="1:5" ht="13">
      <c r="A11596" s="2" t="str">
        <f ca="1">IFERROR(__xludf.DUMMYFUNCTION("""COMPUTED_VALUE"""),"Prado, Pérez")</f>
        <v>Prado, Pérez</v>
      </c>
      <c r="B11596" s="3">
        <f ca="1">IFERROR(__xludf.DUMMYFUNCTION("""COMPUTED_VALUE"""),3)</f>
        <v>3</v>
      </c>
      <c r="C11596" s="7">
        <f ca="1">IFERROR(__xludf.DUMMYFUNCTION("""COMPUTED_VALUE"""),3.2)</f>
        <v>3.2</v>
      </c>
      <c r="D11596" s="8">
        <f ca="1">IFERROR(__xludf.DUMMYFUNCTION("""COMPUTED_VALUE"""),7)</f>
        <v>7</v>
      </c>
      <c r="E11596" s="2">
        <f ca="1">IFERROR(__xludf.DUMMYFUNCTION("""COMPUTED_VALUE"""),2)</f>
        <v>2</v>
      </c>
    </row>
    <row r="11597" spans="1:5" ht="13">
      <c r="A11597" s="2" t="str">
        <f ca="1">IFERROR(__xludf.DUMMYFUNCTION("""COMPUTED_VALUE"""),"Prangcharoen, Narong")</f>
        <v>Prangcharoen, Narong</v>
      </c>
      <c r="B11597" s="3">
        <f ca="1">IFERROR(__xludf.DUMMYFUNCTION("""COMPUTED_VALUE"""),3)</f>
        <v>3</v>
      </c>
      <c r="C11597" s="7">
        <f ca="1">IFERROR(__xludf.DUMMYFUNCTION("""COMPUTED_VALUE"""),3.3)</f>
        <v>3.3</v>
      </c>
      <c r="D11597" s="8">
        <f ca="1">IFERROR(__xludf.DUMMYFUNCTION("""COMPUTED_VALUE"""),3)</f>
        <v>3</v>
      </c>
      <c r="E11597" s="2">
        <f ca="1">IFERROR(__xludf.DUMMYFUNCTION("""COMPUTED_VALUE"""),1)</f>
        <v>1</v>
      </c>
    </row>
    <row r="11598" spans="1:5" ht="13">
      <c r="A11598" s="2" t="str">
        <f ca="1">IFERROR(__xludf.DUMMYFUNCTION("""COMPUTED_VALUE"""),"Price, John Elwood")</f>
        <v>Price, John Elwood</v>
      </c>
      <c r="B11598" s="3">
        <f ca="1">IFERROR(__xludf.DUMMYFUNCTION("""COMPUTED_VALUE"""),3)</f>
        <v>3</v>
      </c>
      <c r="C11598" s="7">
        <f ca="1">IFERROR(__xludf.DUMMYFUNCTION("""COMPUTED_VALUE"""),3.1)</f>
        <v>3.1</v>
      </c>
      <c r="D11598" s="8">
        <f ca="1">IFERROR(__xludf.DUMMYFUNCTION("""COMPUTED_VALUE"""),7)</f>
        <v>7</v>
      </c>
      <c r="E11598" s="2">
        <f ca="1">IFERROR(__xludf.DUMMYFUNCTION("""COMPUTED_VALUE"""),2)</f>
        <v>2</v>
      </c>
    </row>
    <row r="11599" spans="1:5" ht="13">
      <c r="A11599" s="2" t="str">
        <f ca="1">IFERROR(__xludf.DUMMYFUNCTION("""COMPUTED_VALUE"""),"Prieto, Dafnis")</f>
        <v>Prieto, Dafnis</v>
      </c>
      <c r="B11599" s="3">
        <f ca="1">IFERROR(__xludf.DUMMYFUNCTION("""COMPUTED_VALUE"""),3)</f>
        <v>3</v>
      </c>
      <c r="C11599" s="7">
        <f ca="1">IFERROR(__xludf.DUMMYFUNCTION("""COMPUTED_VALUE"""),3.2)</f>
        <v>3.2</v>
      </c>
      <c r="D11599" s="8">
        <f ca="1">IFERROR(__xludf.DUMMYFUNCTION("""COMPUTED_VALUE"""),3)</f>
        <v>3</v>
      </c>
      <c r="E11599" s="2">
        <f ca="1">IFERROR(__xludf.DUMMYFUNCTION("""COMPUTED_VALUE"""),1)</f>
        <v>1</v>
      </c>
    </row>
    <row r="11600" spans="1:5" ht="13">
      <c r="A11600" s="2" t="str">
        <f ca="1">IFERROR(__xludf.DUMMYFUNCTION("""COMPUTED_VALUE"""),"Prince Leleiohoku")</f>
        <v>Prince Leleiohoku</v>
      </c>
      <c r="B11600" s="3">
        <f ca="1">IFERROR(__xludf.DUMMYFUNCTION("""COMPUTED_VALUE"""),3)</f>
        <v>3</v>
      </c>
      <c r="C11600" s="7">
        <f ca="1">IFERROR(__xludf.DUMMYFUNCTION("""COMPUTED_VALUE"""),3.6)</f>
        <v>3.6</v>
      </c>
      <c r="D11600" s="8">
        <f ca="1">IFERROR(__xludf.DUMMYFUNCTION("""COMPUTED_VALUE"""),7)</f>
        <v>7</v>
      </c>
      <c r="E11600" s="2">
        <f ca="1">IFERROR(__xludf.DUMMYFUNCTION("""COMPUTED_VALUE"""),2)</f>
        <v>2</v>
      </c>
    </row>
    <row r="11601" spans="1:5" ht="13">
      <c r="A11601" s="2" t="str">
        <f ca="1">IFERROR(__xludf.DUMMYFUNCTION("""COMPUTED_VALUE"""),"Printup, Marcus")</f>
        <v>Printup, Marcus</v>
      </c>
      <c r="B11601" s="3">
        <f ca="1">IFERROR(__xludf.DUMMYFUNCTION("""COMPUTED_VALUE"""),3)</f>
        <v>3</v>
      </c>
      <c r="C11601" s="7">
        <f ca="1">IFERROR(__xludf.DUMMYFUNCTION("""COMPUTED_VALUE"""),3.1)</f>
        <v>3.1</v>
      </c>
      <c r="D11601" s="8">
        <f ca="1">IFERROR(__xludf.DUMMYFUNCTION("""COMPUTED_VALUE"""),3)</f>
        <v>3</v>
      </c>
      <c r="E11601" s="2">
        <f ca="1">IFERROR(__xludf.DUMMYFUNCTION("""COMPUTED_VALUE"""),1)</f>
        <v>1</v>
      </c>
    </row>
    <row r="11602" spans="1:5" ht="13">
      <c r="A11602" s="2" t="str">
        <f ca="1">IFERROR(__xludf.DUMMYFUNCTION("""COMPUTED_VALUE"""),"Puente, Tito")</f>
        <v>Puente, Tito</v>
      </c>
      <c r="B11602" s="2">
        <f ca="1">IFERROR(__xludf.DUMMYFUNCTION("""COMPUTED_VALUE"""),3)</f>
        <v>3</v>
      </c>
      <c r="C11602" s="7">
        <f ca="1">IFERROR(__xludf.DUMMYFUNCTION("""COMPUTED_VALUE"""),3.2)</f>
        <v>3.2</v>
      </c>
      <c r="D11602" s="8">
        <f ca="1">IFERROR(__xludf.DUMMYFUNCTION("""COMPUTED_VALUE"""),7)</f>
        <v>7</v>
      </c>
      <c r="E11602" s="2">
        <f ca="1">IFERROR(__xludf.DUMMYFUNCTION("""COMPUTED_VALUE"""),2)</f>
        <v>2</v>
      </c>
    </row>
    <row r="11603" spans="1:5" ht="13">
      <c r="A11603" s="2" t="str">
        <f ca="1">IFERROR(__xludf.DUMMYFUNCTION("""COMPUTED_VALUE"""),"Pugliese, Osvaldo")</f>
        <v>Pugliese, Osvaldo</v>
      </c>
      <c r="B11603" s="2">
        <f ca="1">IFERROR(__xludf.DUMMYFUNCTION("""COMPUTED_VALUE"""),3)</f>
        <v>3</v>
      </c>
      <c r="C11603" s="2">
        <f ca="1">IFERROR(__xludf.DUMMYFUNCTION("""COMPUTED_VALUE"""),3.2)</f>
        <v>3.2</v>
      </c>
      <c r="D11603" s="8">
        <f ca="1">IFERROR(__xludf.DUMMYFUNCTION("""COMPUTED_VALUE"""),7)</f>
        <v>7</v>
      </c>
      <c r="E11603" s="2">
        <f ca="1">IFERROR(__xludf.DUMMYFUNCTION("""COMPUTED_VALUE"""),2)</f>
        <v>2</v>
      </c>
    </row>
    <row r="11604" spans="1:5" ht="13">
      <c r="A11604" s="2" t="str">
        <f ca="1">IFERROR(__xludf.DUMMYFUNCTION("""COMPUTED_VALUE"""),"Purba, Pontas")</f>
        <v>Purba, Pontas</v>
      </c>
      <c r="B11604" s="3">
        <f ca="1">IFERROR(__xludf.DUMMYFUNCTION("""COMPUTED_VALUE"""),3)</f>
        <v>3</v>
      </c>
      <c r="C11604" s="7">
        <f ca="1">IFERROR(__xludf.DUMMYFUNCTION("""COMPUTED_VALUE"""),3.9)</f>
        <v>3.9</v>
      </c>
      <c r="D11604" s="8">
        <f ca="1">IFERROR(__xludf.DUMMYFUNCTION("""COMPUTED_VALUE"""),7)</f>
        <v>7</v>
      </c>
      <c r="E11604" s="2">
        <f ca="1">IFERROR(__xludf.DUMMYFUNCTION("""COMPUTED_VALUE"""),2)</f>
        <v>2</v>
      </c>
    </row>
    <row r="11605" spans="1:5" ht="13">
      <c r="A11605" s="2" t="str">
        <f ca="1">IFERROR(__xludf.DUMMYFUNCTION("""COMPUTED_VALUE"""),"Qian Chen")</f>
        <v>Qian Chen</v>
      </c>
      <c r="B11605" s="3">
        <f ca="1">IFERROR(__xludf.DUMMYFUNCTION("""COMPUTED_VALUE"""),3)</f>
        <v>3</v>
      </c>
      <c r="C11605" s="7">
        <f ca="1">IFERROR(__xludf.DUMMYFUNCTION("""COMPUTED_VALUE"""),3.3)</f>
        <v>3.3</v>
      </c>
      <c r="D11605" s="8">
        <f ca="1">IFERROR(__xludf.DUMMYFUNCTION("""COMPUTED_VALUE"""),3)</f>
        <v>3</v>
      </c>
      <c r="E11605" s="2">
        <f ca="1">IFERROR(__xludf.DUMMYFUNCTION("""COMPUTED_VALUE"""),1)</f>
        <v>1</v>
      </c>
    </row>
    <row r="11606" spans="1:5" ht="13">
      <c r="A11606" s="2" t="str">
        <f ca="1">IFERROR(__xludf.DUMMYFUNCTION("""COMPUTED_VALUE"""),"Qigang Chen")</f>
        <v>Qigang Chen</v>
      </c>
      <c r="B11606" s="3">
        <f ca="1">IFERROR(__xludf.DUMMYFUNCTION("""COMPUTED_VALUE"""),3)</f>
        <v>3</v>
      </c>
      <c r="C11606" s="7">
        <f ca="1">IFERROR(__xludf.DUMMYFUNCTION("""COMPUTED_VALUE"""),3.3)</f>
        <v>3.3</v>
      </c>
      <c r="D11606" s="8">
        <f ca="1">IFERROR(__xludf.DUMMYFUNCTION("""COMPUTED_VALUE"""),3)</f>
        <v>3</v>
      </c>
      <c r="E11606" s="2">
        <f ca="1">IFERROR(__xludf.DUMMYFUNCTION("""COMPUTED_VALUE"""),1)</f>
        <v>1</v>
      </c>
    </row>
    <row r="11607" spans="1:5" ht="13">
      <c r="A11607" s="2" t="str">
        <f ca="1">IFERROR(__xludf.DUMMYFUNCTION("""COMPUTED_VALUE"""),"Quan, Ngo Hoang")</f>
        <v>Quan, Ngo Hoang</v>
      </c>
      <c r="B11607" s="2">
        <f ca="1">IFERROR(__xludf.DUMMYFUNCTION("""COMPUTED_VALUE"""),3)</f>
        <v>3</v>
      </c>
      <c r="C11607" s="2">
        <f ca="1">IFERROR(__xludf.DUMMYFUNCTION("""COMPUTED_VALUE"""),3.9)</f>
        <v>3.9</v>
      </c>
      <c r="D11607" s="8">
        <f ca="1">IFERROR(__xludf.DUMMYFUNCTION("""COMPUTED_VALUE"""),3)</f>
        <v>3</v>
      </c>
      <c r="E11607" s="2">
        <f ca="1">IFERROR(__xludf.DUMMYFUNCTION("""COMPUTED_VALUE"""),1)</f>
        <v>1</v>
      </c>
    </row>
    <row r="11608" spans="1:5" ht="13">
      <c r="A11608" s="8" t="str">
        <f ca="1">IFERROR(__xludf.DUMMYFUNCTION("""COMPUTED_VALUE"""),"Quines, Raul")</f>
        <v>Quines, Raul</v>
      </c>
      <c r="B11608" s="3">
        <f ca="1">IFERROR(__xludf.DUMMYFUNCTION("""COMPUTED_VALUE"""),3)</f>
        <v>3</v>
      </c>
      <c r="C11608" s="7">
        <f ca="1">IFERROR(__xludf.DUMMYFUNCTION("""COMPUTED_VALUE"""),3.3)</f>
        <v>3.3</v>
      </c>
      <c r="D11608" s="8">
        <f ca="1">IFERROR(__xludf.DUMMYFUNCTION("""COMPUTED_VALUE"""),3)</f>
        <v>3</v>
      </c>
      <c r="E11608" s="2">
        <f ca="1">IFERROR(__xludf.DUMMYFUNCTION("""COMPUTED_VALUE"""),1)</f>
        <v>1</v>
      </c>
    </row>
    <row r="11609" spans="1:5" ht="13">
      <c r="A11609" s="8" t="str">
        <f ca="1">IFERROR(__xludf.DUMMYFUNCTION("""COMPUTED_VALUE"""),"Quiñones, Christian")</f>
        <v>Quiñones, Christian</v>
      </c>
      <c r="B11609" s="3">
        <f ca="1">IFERROR(__xludf.DUMMYFUNCTION("""COMPUTED_VALUE"""),3)</f>
        <v>3</v>
      </c>
      <c r="C11609" s="7">
        <f ca="1">IFERROR(__xludf.DUMMYFUNCTION("""COMPUTED_VALUE"""),3.2)</f>
        <v>3.2</v>
      </c>
      <c r="D11609" s="8">
        <f ca="1">IFERROR(__xludf.DUMMYFUNCTION("""COMPUTED_VALUE"""),3)</f>
        <v>3</v>
      </c>
      <c r="E11609" s="2">
        <f ca="1">IFERROR(__xludf.DUMMYFUNCTION("""COMPUTED_VALUE"""),1)</f>
        <v>1</v>
      </c>
    </row>
    <row r="11610" spans="1:5" ht="13">
      <c r="A11610" s="2" t="str">
        <f ca="1">IFERROR(__xludf.DUMMYFUNCTION("""COMPUTED_VALUE"""),"Quintana, Ariel")</f>
        <v>Quintana, Ariel</v>
      </c>
      <c r="B11610" s="3">
        <f ca="1">IFERROR(__xludf.DUMMYFUNCTION("""COMPUTED_VALUE"""),3)</f>
        <v>3</v>
      </c>
      <c r="C11610" s="7">
        <f ca="1">IFERROR(__xludf.DUMMYFUNCTION("""COMPUTED_VALUE"""),3.2)</f>
        <v>3.2</v>
      </c>
      <c r="D11610" s="8">
        <f ca="1">IFERROR(__xludf.DUMMYFUNCTION("""COMPUTED_VALUE"""),3)</f>
        <v>3</v>
      </c>
      <c r="E11610" s="2">
        <f ca="1">IFERROR(__xludf.DUMMYFUNCTION("""COMPUTED_VALUE"""),1)</f>
        <v>1</v>
      </c>
    </row>
    <row r="11611" spans="1:5" ht="13">
      <c r="A11611" s="2" t="str">
        <f ca="1">IFERROR(__xludf.DUMMYFUNCTION("""COMPUTED_VALUE"""),"Quiroga Jr., Martin")</f>
        <v>Quiroga Jr., Martin</v>
      </c>
      <c r="B11611" s="3">
        <f ca="1">IFERROR(__xludf.DUMMYFUNCTION("""COMPUTED_VALUE"""),3)</f>
        <v>3</v>
      </c>
      <c r="C11611" s="7">
        <f ca="1">IFERROR(__xludf.DUMMYFUNCTION("""COMPUTED_VALUE"""),3.2)</f>
        <v>3.2</v>
      </c>
      <c r="D11611" s="8">
        <f ca="1">IFERROR(__xludf.DUMMYFUNCTION("""COMPUTED_VALUE"""),3)</f>
        <v>3</v>
      </c>
      <c r="E11611" s="2">
        <f ca="1">IFERROR(__xludf.DUMMYFUNCTION("""COMPUTED_VALUE"""),1)</f>
        <v>1</v>
      </c>
    </row>
    <row r="11612" spans="1:5" ht="13">
      <c r="A11612" s="2" t="str">
        <f ca="1">IFERROR(__xludf.DUMMYFUNCTION("""COMPUTED_VALUE"""),"Racine, Julio")</f>
        <v>Racine, Julio</v>
      </c>
      <c r="B11612" s="3">
        <f ca="1">IFERROR(__xludf.DUMMYFUNCTION("""COMPUTED_VALUE"""),3)</f>
        <v>3</v>
      </c>
      <c r="C11612" s="7">
        <f ca="1">IFERROR(__xludf.DUMMYFUNCTION("""COMPUTED_VALUE"""),3.1)</f>
        <v>3.1</v>
      </c>
      <c r="D11612" s="8">
        <f ca="1">IFERROR(__xludf.DUMMYFUNCTION("""COMPUTED_VALUE"""),3)</f>
        <v>3</v>
      </c>
      <c r="E11612" s="2">
        <f ca="1">IFERROR(__xludf.DUMMYFUNCTION("""COMPUTED_VALUE"""),1)</f>
        <v>1</v>
      </c>
    </row>
    <row r="11613" spans="1:5" ht="13">
      <c r="A11613" s="2" t="str">
        <f ca="1">IFERROR(__xludf.DUMMYFUNCTION("""COMPUTED_VALUE"""),"Rahman, A.R.")</f>
        <v>Rahman, A.R.</v>
      </c>
      <c r="B11613" s="3">
        <f ca="1">IFERROR(__xludf.DUMMYFUNCTION("""COMPUTED_VALUE"""),3)</f>
        <v>3</v>
      </c>
      <c r="C11613" s="7">
        <f ca="1">IFERROR(__xludf.DUMMYFUNCTION("""COMPUTED_VALUE"""),3.4)</f>
        <v>3.4</v>
      </c>
      <c r="D11613" s="8">
        <f ca="1">IFERROR(__xludf.DUMMYFUNCTION("""COMPUTED_VALUE"""),3)</f>
        <v>3</v>
      </c>
      <c r="E11613" s="2">
        <f ca="1">IFERROR(__xludf.DUMMYFUNCTION("""COMPUTED_VALUE"""),1)</f>
        <v>1</v>
      </c>
    </row>
    <row r="11614" spans="1:5" ht="13">
      <c r="A11614" s="2" t="str">
        <f ca="1">IFERROR(__xludf.DUMMYFUNCTION("""COMPUTED_VALUE"""),"Raines, Justin")</f>
        <v>Raines, Justin</v>
      </c>
      <c r="B11614" s="2">
        <f ca="1">IFERROR(__xludf.DUMMYFUNCTION("""COMPUTED_VALUE"""),3)</f>
        <v>3</v>
      </c>
      <c r="C11614" s="7">
        <f ca="1">IFERROR(__xludf.DUMMYFUNCTION("""COMPUTED_VALUE"""),3.2)</f>
        <v>3.2</v>
      </c>
      <c r="D11614" s="8">
        <f ca="1">IFERROR(__xludf.DUMMYFUNCTION("""COMPUTED_VALUE"""),3)</f>
        <v>3</v>
      </c>
      <c r="E11614" s="2">
        <f ca="1">IFERROR(__xludf.DUMMYFUNCTION("""COMPUTED_VALUE"""),1)</f>
        <v>1</v>
      </c>
    </row>
    <row r="11615" spans="1:5" ht="13">
      <c r="A11615" s="2" t="str">
        <f ca="1">IFERROR(__xludf.DUMMYFUNCTION("""COMPUTED_VALUE"""),"Ramirez, Ariel")</f>
        <v>Ramirez, Ariel</v>
      </c>
      <c r="B11615" s="3">
        <f ca="1">IFERROR(__xludf.DUMMYFUNCTION("""COMPUTED_VALUE"""),3)</f>
        <v>3</v>
      </c>
      <c r="C11615" s="7">
        <f ca="1">IFERROR(__xludf.DUMMYFUNCTION("""COMPUTED_VALUE"""),3.2)</f>
        <v>3.2</v>
      </c>
      <c r="D11615" s="8">
        <f ca="1">IFERROR(__xludf.DUMMYFUNCTION("""COMPUTED_VALUE"""),7)</f>
        <v>7</v>
      </c>
      <c r="E11615" s="2">
        <f ca="1">IFERROR(__xludf.DUMMYFUNCTION("""COMPUTED_VALUE"""),2)</f>
        <v>2</v>
      </c>
    </row>
    <row r="11616" spans="1:5" ht="13">
      <c r="A11616" s="2" t="str">
        <f ca="1">IFERROR(__xludf.DUMMYFUNCTION("""COMPUTED_VALUE"""),"Ramírez, Ariel")</f>
        <v>Ramírez, Ariel</v>
      </c>
      <c r="B11616" s="2">
        <f ca="1">IFERROR(__xludf.DUMMYFUNCTION("""COMPUTED_VALUE"""),3)</f>
        <v>3</v>
      </c>
      <c r="C11616" s="2">
        <f ca="1">IFERROR(__xludf.DUMMYFUNCTION("""COMPUTED_VALUE"""),3.2)</f>
        <v>3.2</v>
      </c>
      <c r="D11616" s="8">
        <f ca="1">IFERROR(__xludf.DUMMYFUNCTION("""COMPUTED_VALUE"""),7)</f>
        <v>7</v>
      </c>
      <c r="E11616" s="2">
        <f ca="1">IFERROR(__xludf.DUMMYFUNCTION("""COMPUTED_VALUE"""),2)</f>
        <v>2</v>
      </c>
    </row>
    <row r="11617" spans="1:5" ht="13">
      <c r="A11617" s="2" t="str">
        <f ca="1">IFERROR(__xludf.DUMMYFUNCTION("""COMPUTED_VALUE"""),"Ramirez, Juan")</f>
        <v>Ramirez, Juan</v>
      </c>
      <c r="B11617" s="2">
        <f ca="1">IFERROR(__xludf.DUMMYFUNCTION("""COMPUTED_VALUE"""),3)</f>
        <v>3</v>
      </c>
      <c r="C11617" s="7">
        <f ca="1">IFERROR(__xludf.DUMMYFUNCTION("""COMPUTED_VALUE"""),3.2)</f>
        <v>3.2</v>
      </c>
      <c r="D11617" s="8">
        <f ca="1">IFERROR(__xludf.DUMMYFUNCTION("""COMPUTED_VALUE"""),3)</f>
        <v>3</v>
      </c>
      <c r="E11617" s="2">
        <f ca="1">IFERROR(__xludf.DUMMYFUNCTION("""COMPUTED_VALUE"""),1)</f>
        <v>1</v>
      </c>
    </row>
    <row r="11618" spans="1:5" ht="13">
      <c r="A11618" s="2" t="str">
        <f ca="1">IFERROR(__xludf.DUMMYFUNCTION("""COMPUTED_VALUE"""),"Ramos, Evan")</f>
        <v>Ramos, Evan</v>
      </c>
      <c r="B11618" s="3">
        <f ca="1">IFERROR(__xludf.DUMMYFUNCTION("""COMPUTED_VALUE"""),3)</f>
        <v>3</v>
      </c>
      <c r="C11618" s="7">
        <f ca="1">IFERROR(__xludf.DUMMYFUNCTION("""COMPUTED_VALUE"""),3.2)</f>
        <v>3.2</v>
      </c>
      <c r="D11618" s="8">
        <f ca="1">IFERROR(__xludf.DUMMYFUNCTION("""COMPUTED_VALUE"""),3)</f>
        <v>3</v>
      </c>
      <c r="E11618" s="2">
        <f ca="1">IFERROR(__xludf.DUMMYFUNCTION("""COMPUTED_VALUE"""),1)</f>
        <v>1</v>
      </c>
    </row>
    <row r="11619" spans="1:5" ht="13">
      <c r="A11619" s="2" t="str">
        <f ca="1">IFERROR(__xludf.DUMMYFUNCTION("""COMPUTED_VALUE"""),"Ramsey-White, Liam")</f>
        <v>Ramsey-White, Liam</v>
      </c>
      <c r="B11619" s="2">
        <f ca="1">IFERROR(__xludf.DUMMYFUNCTION("""COMPUTED_VALUE"""),3)</f>
        <v>3</v>
      </c>
      <c r="C11619" s="7">
        <f ca="1">IFERROR(__xludf.DUMMYFUNCTION("""COMPUTED_VALUE"""),3.3)</f>
        <v>3.3</v>
      </c>
      <c r="D11619" s="8">
        <f ca="1">IFERROR(__xludf.DUMMYFUNCTION("""COMPUTED_VALUE"""),3)</f>
        <v>3</v>
      </c>
      <c r="E11619" s="2">
        <f ca="1">IFERROR(__xludf.DUMMYFUNCTION("""COMPUTED_VALUE"""),1)</f>
        <v>1</v>
      </c>
    </row>
    <row r="11620" spans="1:5" ht="13">
      <c r="A11620" s="2" t="str">
        <f ca="1">IFERROR(__xludf.DUMMYFUNCTION("""COMPUTED_VALUE"""),"Rangel, Victor")</f>
        <v>Rangel, Victor</v>
      </c>
      <c r="B11620" s="3">
        <f ca="1">IFERROR(__xludf.DUMMYFUNCTION("""COMPUTED_VALUE"""),3)</f>
        <v>3</v>
      </c>
      <c r="C11620" s="7">
        <f ca="1">IFERROR(__xludf.DUMMYFUNCTION("""COMPUTED_VALUE"""),3.2)</f>
        <v>3.2</v>
      </c>
      <c r="D11620" s="8">
        <f ca="1">IFERROR(__xludf.DUMMYFUNCTION("""COMPUTED_VALUE"""),3)</f>
        <v>3</v>
      </c>
      <c r="E11620" s="2">
        <f ca="1">IFERROR(__xludf.DUMMYFUNCTION("""COMPUTED_VALUE"""),1)</f>
        <v>1</v>
      </c>
    </row>
    <row r="11621" spans="1:5" ht="13">
      <c r="A11621" s="2" t="str">
        <f ca="1">IFERROR(__xludf.DUMMYFUNCTION("""COMPUTED_VALUE"""),"Ranjbaran, Behzad")</f>
        <v>Ranjbaran, Behzad</v>
      </c>
      <c r="B11621" s="3">
        <f ca="1">IFERROR(__xludf.DUMMYFUNCTION("""COMPUTED_VALUE"""),3)</f>
        <v>3</v>
      </c>
      <c r="C11621" s="7">
        <f ca="1">IFERROR(__xludf.DUMMYFUNCTION("""COMPUTED_VALUE"""),3.5)</f>
        <v>3.5</v>
      </c>
      <c r="D11621" s="8">
        <f ca="1">IFERROR(__xludf.DUMMYFUNCTION("""COMPUTED_VALUE"""),3)</f>
        <v>3</v>
      </c>
      <c r="E11621" s="2">
        <f ca="1">IFERROR(__xludf.DUMMYFUNCTION("""COMPUTED_VALUE"""),1)</f>
        <v>1</v>
      </c>
    </row>
    <row r="11622" spans="1:5" ht="13">
      <c r="A11622" s="2" t="str">
        <f ca="1">IFERROR(__xludf.DUMMYFUNCTION("""COMPUTED_VALUE"""),"Rasgado, Victor")</f>
        <v>Rasgado, Victor</v>
      </c>
      <c r="B11622" s="3">
        <f ca="1">IFERROR(__xludf.DUMMYFUNCTION("""COMPUTED_VALUE"""),3)</f>
        <v>3</v>
      </c>
      <c r="C11622" s="7">
        <f ca="1">IFERROR(__xludf.DUMMYFUNCTION("""COMPUTED_VALUE"""),3.2)</f>
        <v>3.2</v>
      </c>
      <c r="D11622" s="8">
        <f ca="1">IFERROR(__xludf.DUMMYFUNCTION("""COMPUTED_VALUE"""),3)</f>
        <v>3</v>
      </c>
      <c r="E11622" s="2">
        <f ca="1">IFERROR(__xludf.DUMMYFUNCTION("""COMPUTED_VALUE"""),1)</f>
        <v>1</v>
      </c>
    </row>
    <row r="11623" spans="1:5" ht="13">
      <c r="A11623" s="2" t="str">
        <f ca="1">IFERROR(__xludf.DUMMYFUNCTION("""COMPUTED_VALUE"""),"Rasgado, Víctor")</f>
        <v>Rasgado, Víctor</v>
      </c>
      <c r="B11623" s="3">
        <f ca="1">IFERROR(__xludf.DUMMYFUNCTION("""COMPUTED_VALUE"""),3)</f>
        <v>3</v>
      </c>
      <c r="C11623" s="7">
        <f ca="1">IFERROR(__xludf.DUMMYFUNCTION("""COMPUTED_VALUE"""),3.2)</f>
        <v>3.2</v>
      </c>
      <c r="D11623" s="8">
        <f ca="1">IFERROR(__xludf.DUMMYFUNCTION("""COMPUTED_VALUE"""),3)</f>
        <v>3</v>
      </c>
      <c r="E11623" s="2">
        <f ca="1">IFERROR(__xludf.DUMMYFUNCTION("""COMPUTED_VALUE"""),1)</f>
        <v>1</v>
      </c>
    </row>
    <row r="11624" spans="1:5" ht="13">
      <c r="A11624" s="8" t="str">
        <f ca="1">IFERROR(__xludf.DUMMYFUNCTION("""COMPUTED_VALUE"""),"Ravaei, Kian")</f>
        <v>Ravaei, Kian</v>
      </c>
      <c r="B11624" s="3">
        <f ca="1">IFERROR(__xludf.DUMMYFUNCTION("""COMPUTED_VALUE"""),3)</f>
        <v>3</v>
      </c>
      <c r="C11624" s="7">
        <f ca="1">IFERROR(__xludf.DUMMYFUNCTION("""COMPUTED_VALUE"""),3.5)</f>
        <v>3.5</v>
      </c>
      <c r="D11624" s="8">
        <f ca="1">IFERROR(__xludf.DUMMYFUNCTION("""COMPUTED_VALUE"""),3)</f>
        <v>3</v>
      </c>
      <c r="E11624" s="2">
        <f ca="1">IFERROR(__xludf.DUMMYFUNCTION("""COMPUTED_VALUE"""),1)</f>
        <v>1</v>
      </c>
    </row>
    <row r="11625" spans="1:5" ht="13">
      <c r="A11625" s="2" t="str">
        <f ca="1">IFERROR(__xludf.DUMMYFUNCTION("""COMPUTED_VALUE"""),"Ray, Cody")</f>
        <v>Ray, Cody</v>
      </c>
      <c r="B11625" s="3">
        <f ca="1">IFERROR(__xludf.DUMMYFUNCTION("""COMPUTED_VALUE"""),3)</f>
        <v>3</v>
      </c>
      <c r="C11625" s="7">
        <f ca="1">IFERROR(__xludf.DUMMYFUNCTION("""COMPUTED_VALUE"""),3.3)</f>
        <v>3.3</v>
      </c>
      <c r="D11625" s="8">
        <f ca="1">IFERROR(__xludf.DUMMYFUNCTION("""COMPUTED_VALUE"""),3)</f>
        <v>3</v>
      </c>
      <c r="E11625" s="2">
        <f ca="1">IFERROR(__xludf.DUMMYFUNCTION("""COMPUTED_VALUE"""),1)</f>
        <v>1</v>
      </c>
    </row>
    <row r="11626" spans="1:5" ht="13">
      <c r="A11626" s="2" t="str">
        <f ca="1">IFERROR(__xludf.DUMMYFUNCTION("""COMPUTED_VALUE"""),"Ray, Robert")</f>
        <v>Ray, Robert</v>
      </c>
      <c r="B11626" s="3">
        <f ca="1">IFERROR(__xludf.DUMMYFUNCTION("""COMPUTED_VALUE"""),3)</f>
        <v>3</v>
      </c>
      <c r="C11626" s="7">
        <f ca="1">IFERROR(__xludf.DUMMYFUNCTION("""COMPUTED_VALUE"""),3.1)</f>
        <v>3.1</v>
      </c>
      <c r="D11626" s="8">
        <f ca="1">IFERROR(__xludf.DUMMYFUNCTION("""COMPUTED_VALUE"""),3)</f>
        <v>3</v>
      </c>
      <c r="E11626" s="2">
        <f ca="1">IFERROR(__xludf.DUMMYFUNCTION("""COMPUTED_VALUE"""),1)</f>
        <v>1</v>
      </c>
    </row>
    <row r="11627" spans="1:5" ht="13">
      <c r="A11627" s="2" t="str">
        <f ca="1">IFERROR(__xludf.DUMMYFUNCTION("""COMPUTED_VALUE"""),"Raymond Yiu")</f>
        <v>Raymond Yiu</v>
      </c>
      <c r="B11627" s="3">
        <f ca="1">IFERROR(__xludf.DUMMYFUNCTION("""COMPUTED_VALUE"""),3)</f>
        <v>3</v>
      </c>
      <c r="C11627" s="7">
        <f ca="1">IFERROR(__xludf.DUMMYFUNCTION("""COMPUTED_VALUE"""),3.3)</f>
        <v>3.3</v>
      </c>
      <c r="D11627" s="8">
        <f ca="1">IFERROR(__xludf.DUMMYFUNCTION("""COMPUTED_VALUE"""),3)</f>
        <v>3</v>
      </c>
      <c r="E11627" s="2">
        <f ca="1">IFERROR(__xludf.DUMMYFUNCTION("""COMPUTED_VALUE"""),1)</f>
        <v>1</v>
      </c>
    </row>
    <row r="11628" spans="1:5" ht="13">
      <c r="A11628" s="2" t="str">
        <f ca="1">IFERROR(__xludf.DUMMYFUNCTION("""COMPUTED_VALUE"""),"Razo, Stephen")</f>
        <v>Razo, Stephen</v>
      </c>
      <c r="B11628" s="2">
        <f ca="1">IFERROR(__xludf.DUMMYFUNCTION("""COMPUTED_VALUE"""),3)</f>
        <v>3</v>
      </c>
      <c r="C11628" s="7">
        <f ca="1">IFERROR(__xludf.DUMMYFUNCTION("""COMPUTED_VALUE"""),3.1)</f>
        <v>3.1</v>
      </c>
      <c r="D11628" s="8">
        <f ca="1">IFERROR(__xludf.DUMMYFUNCTION("""COMPUTED_VALUE"""),3)</f>
        <v>3</v>
      </c>
      <c r="E11628" s="2">
        <f ca="1">IFERROR(__xludf.DUMMYFUNCTION("""COMPUTED_VALUE"""),1)</f>
        <v>1</v>
      </c>
    </row>
    <row r="11629" spans="1:5" ht="13">
      <c r="A11629" s="2" t="str">
        <f ca="1">IFERROR(__xludf.DUMMYFUNCTION("""COMPUTED_VALUE"""),"Razo, Stephen M.")</f>
        <v>Razo, Stephen M.</v>
      </c>
      <c r="B11629" s="3">
        <f ca="1">IFERROR(__xludf.DUMMYFUNCTION("""COMPUTED_VALUE"""),3)</f>
        <v>3</v>
      </c>
      <c r="C11629" s="7">
        <f ca="1">IFERROR(__xludf.DUMMYFUNCTION("""COMPUTED_VALUE"""),3.1)</f>
        <v>3.1</v>
      </c>
      <c r="D11629" s="8">
        <f ca="1">IFERROR(__xludf.DUMMYFUNCTION("""COMPUTED_VALUE"""),3)</f>
        <v>3</v>
      </c>
      <c r="E11629" s="2">
        <f ca="1">IFERROR(__xludf.DUMMYFUNCTION("""COMPUTED_VALUE"""),1)</f>
        <v>1</v>
      </c>
    </row>
    <row r="11630" spans="1:5" ht="13">
      <c r="A11630" s="8" t="str">
        <f ca="1">IFERROR(__xludf.DUMMYFUNCTION("""COMPUTED_VALUE"""),"Reagon, Toshi")</f>
        <v>Reagon, Toshi</v>
      </c>
      <c r="B11630" s="3">
        <f ca="1">IFERROR(__xludf.DUMMYFUNCTION("""COMPUTED_VALUE"""),3)</f>
        <v>3</v>
      </c>
      <c r="C11630" s="7">
        <f ca="1">IFERROR(__xludf.DUMMYFUNCTION("""COMPUTED_VALUE"""),3.1)</f>
        <v>3.1</v>
      </c>
      <c r="D11630" s="8">
        <f ca="1">IFERROR(__xludf.DUMMYFUNCTION("""COMPUTED_VALUE"""),3)</f>
        <v>3</v>
      </c>
      <c r="E11630" s="2">
        <f ca="1">IFERROR(__xludf.DUMMYFUNCTION("""COMPUTED_VALUE"""),1)</f>
        <v>1</v>
      </c>
    </row>
    <row r="11631" spans="1:5" ht="13">
      <c r="A11631" s="2" t="str">
        <f ca="1">IFERROR(__xludf.DUMMYFUNCTION("""COMPUTED_VALUE"""),"Redman, Don")</f>
        <v>Redman, Don</v>
      </c>
      <c r="B11631" s="3">
        <f ca="1">IFERROR(__xludf.DUMMYFUNCTION("""COMPUTED_VALUE"""),3)</f>
        <v>3</v>
      </c>
      <c r="C11631" s="7">
        <f ca="1">IFERROR(__xludf.DUMMYFUNCTION("""COMPUTED_VALUE"""),3.1)</f>
        <v>3.1</v>
      </c>
      <c r="D11631" s="8">
        <f ca="1">IFERROR(__xludf.DUMMYFUNCTION("""COMPUTED_VALUE"""),7)</f>
        <v>7</v>
      </c>
      <c r="E11631" s="2">
        <f ca="1">IFERROR(__xludf.DUMMYFUNCTION("""COMPUTED_VALUE"""),2)</f>
        <v>2</v>
      </c>
    </row>
    <row r="11632" spans="1:5" ht="13">
      <c r="A11632" s="8" t="str">
        <f ca="1">IFERROR(__xludf.DUMMYFUNCTION("""COMPUTED_VALUE"""),"Redman, Joshua")</f>
        <v>Redman, Joshua</v>
      </c>
      <c r="B11632" s="3">
        <f ca="1">IFERROR(__xludf.DUMMYFUNCTION("""COMPUTED_VALUE"""),3)</f>
        <v>3</v>
      </c>
      <c r="C11632" s="7">
        <f ca="1">IFERROR(__xludf.DUMMYFUNCTION("""COMPUTED_VALUE"""),3.1)</f>
        <v>3.1</v>
      </c>
      <c r="D11632" s="8">
        <f ca="1">IFERROR(__xludf.DUMMYFUNCTION("""COMPUTED_VALUE"""),3)</f>
        <v>3</v>
      </c>
      <c r="E11632" s="2">
        <f ca="1">IFERROR(__xludf.DUMMYFUNCTION("""COMPUTED_VALUE"""),1)</f>
        <v>1</v>
      </c>
    </row>
    <row r="11633" spans="1:5" ht="13">
      <c r="A11633" s="2" t="str">
        <f ca="1">IFERROR(__xludf.DUMMYFUNCTION("""COMPUTED_VALUE"""),"Repetto, Nicolas")</f>
        <v>Repetto, Nicolas</v>
      </c>
      <c r="B11633" s="2">
        <f ca="1">IFERROR(__xludf.DUMMYFUNCTION("""COMPUTED_VALUE"""),3)</f>
        <v>3</v>
      </c>
      <c r="C11633" s="7">
        <f ca="1">IFERROR(__xludf.DUMMYFUNCTION("""COMPUTED_VALUE"""),3.2)</f>
        <v>3.2</v>
      </c>
      <c r="D11633" s="8">
        <f ca="1">IFERROR(__xludf.DUMMYFUNCTION("""COMPUTED_VALUE"""),3)</f>
        <v>3</v>
      </c>
      <c r="E11633" s="2">
        <f ca="1">IFERROR(__xludf.DUMMYFUNCTION("""COMPUTED_VALUE"""),1)</f>
        <v>1</v>
      </c>
    </row>
    <row r="11634" spans="1:5" ht="13">
      <c r="A11634" s="8" t="str">
        <f ca="1">IFERROR(__xludf.DUMMYFUNCTION("""COMPUTED_VALUE"""),"Repetto, Nicolás")</f>
        <v>Repetto, Nicolás</v>
      </c>
      <c r="B11634" s="3">
        <f ca="1">IFERROR(__xludf.DUMMYFUNCTION("""COMPUTED_VALUE"""),3)</f>
        <v>3</v>
      </c>
      <c r="C11634" s="7">
        <f ca="1">IFERROR(__xludf.DUMMYFUNCTION("""COMPUTED_VALUE"""),3.2)</f>
        <v>3.2</v>
      </c>
      <c r="D11634" s="8">
        <f ca="1">IFERROR(__xludf.DUMMYFUNCTION("""COMPUTED_VALUE"""),3)</f>
        <v>3</v>
      </c>
      <c r="E11634" s="2">
        <f ca="1">IFERROR(__xludf.DUMMYFUNCTION("""COMPUTED_VALUE"""),1)</f>
        <v>1</v>
      </c>
    </row>
    <row r="11635" spans="1:5" ht="13">
      <c r="A11635" s="2" t="str">
        <f ca="1">IFERROR(__xludf.DUMMYFUNCTION("""COMPUTED_VALUE"""),"Rescala, Tim")</f>
        <v>Rescala, Tim</v>
      </c>
      <c r="B11635" s="2">
        <f ca="1">IFERROR(__xludf.DUMMYFUNCTION("""COMPUTED_VALUE"""),3)</f>
        <v>3</v>
      </c>
      <c r="C11635" s="7">
        <f ca="1">IFERROR(__xludf.DUMMYFUNCTION("""COMPUTED_VALUE"""),3.2)</f>
        <v>3.2</v>
      </c>
      <c r="D11635" s="8">
        <f ca="1">IFERROR(__xludf.DUMMYFUNCTION("""COMPUTED_VALUE"""),3)</f>
        <v>3</v>
      </c>
      <c r="E11635" s="2">
        <f ca="1">IFERROR(__xludf.DUMMYFUNCTION("""COMPUTED_VALUE"""),1)</f>
        <v>1</v>
      </c>
    </row>
    <row r="11636" spans="1:5" ht="13">
      <c r="A11636" s="2" t="str">
        <f ca="1">IFERROR(__xludf.DUMMYFUNCTION("""COMPUTED_VALUE"""),"Revueltas, Silvestre")</f>
        <v>Revueltas, Silvestre</v>
      </c>
      <c r="B11636" s="3">
        <f ca="1">IFERROR(__xludf.DUMMYFUNCTION("""COMPUTED_VALUE"""),3)</f>
        <v>3</v>
      </c>
      <c r="C11636" s="7">
        <f ca="1">IFERROR(__xludf.DUMMYFUNCTION("""COMPUTED_VALUE"""),3.2)</f>
        <v>3.2</v>
      </c>
      <c r="D11636" s="8">
        <f ca="1">IFERROR(__xludf.DUMMYFUNCTION("""COMPUTED_VALUE"""),7)</f>
        <v>7</v>
      </c>
      <c r="E11636" s="2">
        <f ca="1">IFERROR(__xludf.DUMMYFUNCTION("""COMPUTED_VALUE"""),2)</f>
        <v>2</v>
      </c>
    </row>
    <row r="11637" spans="1:5" ht="13">
      <c r="A11637" s="2" t="str">
        <f ca="1">IFERROR(__xludf.DUMMYFUNCTION("""COMPUTED_VALUE"""),"Ri-ahn, Whan")</f>
        <v>Ri-ahn, Whan</v>
      </c>
      <c r="B11637" s="3">
        <f ca="1">IFERROR(__xludf.DUMMYFUNCTION("""COMPUTED_VALUE"""),3)</f>
        <v>3</v>
      </c>
      <c r="C11637" s="7">
        <f ca="1">IFERROR(__xludf.DUMMYFUNCTION("""COMPUTED_VALUE"""),3.3)</f>
        <v>3.3</v>
      </c>
      <c r="D11637" s="8">
        <f ca="1">IFERROR(__xludf.DUMMYFUNCTION("""COMPUTED_VALUE"""),3)</f>
        <v>3</v>
      </c>
      <c r="E11637" s="2">
        <f ca="1">IFERROR(__xludf.DUMMYFUNCTION("""COMPUTED_VALUE"""),1)</f>
        <v>1</v>
      </c>
    </row>
    <row r="11638" spans="1:5" ht="13">
      <c r="A11638" s="2" t="str">
        <f ca="1">IFERROR(__xludf.DUMMYFUNCTION("""COMPUTED_VALUE"""),"Ribo, Ishay")</f>
        <v>Ribo, Ishay</v>
      </c>
      <c r="B11638" s="2">
        <f ca="1">IFERROR(__xludf.DUMMYFUNCTION("""COMPUTED_VALUE"""),3)</f>
        <v>3</v>
      </c>
      <c r="C11638" s="7">
        <f ca="1">IFERROR(__xludf.DUMMYFUNCTION("""COMPUTED_VALUE"""),3.5)</f>
        <v>3.5</v>
      </c>
      <c r="D11638" s="8">
        <f ca="1">IFERROR(__xludf.DUMMYFUNCTION("""COMPUTED_VALUE"""),3)</f>
        <v>3</v>
      </c>
      <c r="E11638" s="2">
        <f ca="1">IFERROR(__xludf.DUMMYFUNCTION("""COMPUTED_VALUE"""),1)</f>
        <v>1</v>
      </c>
    </row>
    <row r="11639" spans="1:5" ht="13">
      <c r="A11639" s="2" t="str">
        <f ca="1">IFERROR(__xludf.DUMMYFUNCTION("""COMPUTED_VALUE"""),"Richards, Johnny")</f>
        <v>Richards, Johnny</v>
      </c>
      <c r="B11639" s="3">
        <f ca="1">IFERROR(__xludf.DUMMYFUNCTION("""COMPUTED_VALUE"""),3)</f>
        <v>3</v>
      </c>
      <c r="C11639" s="7">
        <f ca="1">IFERROR(__xludf.DUMMYFUNCTION("""COMPUTED_VALUE"""),3.2)</f>
        <v>3.2</v>
      </c>
      <c r="D11639" s="8">
        <f ca="1">IFERROR(__xludf.DUMMYFUNCTION("""COMPUTED_VALUE"""),7)</f>
        <v>7</v>
      </c>
      <c r="E11639" s="2">
        <f ca="1">IFERROR(__xludf.DUMMYFUNCTION("""COMPUTED_VALUE"""),2)</f>
        <v>2</v>
      </c>
    </row>
    <row r="11640" spans="1:5" ht="13">
      <c r="A11640" s="2" t="str">
        <f ca="1">IFERROR(__xludf.DUMMYFUNCTION("""COMPUTED_VALUE"""),"Richardson, Jerome")</f>
        <v>Richardson, Jerome</v>
      </c>
      <c r="B11640" s="2">
        <f ca="1">IFERROR(__xludf.DUMMYFUNCTION("""COMPUTED_VALUE"""),3)</f>
        <v>3</v>
      </c>
      <c r="C11640" s="7">
        <f ca="1">IFERROR(__xludf.DUMMYFUNCTION("""COMPUTED_VALUE"""),3.1)</f>
        <v>3.1</v>
      </c>
      <c r="D11640" s="8">
        <f ca="1">IFERROR(__xludf.DUMMYFUNCTION("""COMPUTED_VALUE"""),7)</f>
        <v>7</v>
      </c>
      <c r="E11640" s="2">
        <f ca="1">IFERROR(__xludf.DUMMYFUNCTION("""COMPUTED_VALUE"""),2)</f>
        <v>2</v>
      </c>
    </row>
    <row r="11641" spans="1:5" ht="13">
      <c r="A11641" s="2" t="str">
        <f ca="1">IFERROR(__xludf.DUMMYFUNCTION("""COMPUTED_VALUE"""),"Rincón, José Antonio")</f>
        <v>Rincón, José Antonio</v>
      </c>
      <c r="B11641" s="3">
        <f ca="1">IFERROR(__xludf.DUMMYFUNCTION("""COMPUTED_VALUE"""),3)</f>
        <v>3</v>
      </c>
      <c r="C11641" s="7">
        <f ca="1">IFERROR(__xludf.DUMMYFUNCTION("""COMPUTED_VALUE"""),3.2)</f>
        <v>3.2</v>
      </c>
      <c r="D11641" s="8">
        <f ca="1">IFERROR(__xludf.DUMMYFUNCTION("""COMPUTED_VALUE"""),3)</f>
        <v>3</v>
      </c>
      <c r="E11641" s="2">
        <f ca="1">IFERROR(__xludf.DUMMYFUNCTION("""COMPUTED_VALUE"""),1)</f>
        <v>1</v>
      </c>
    </row>
    <row r="11642" spans="1:5" ht="13">
      <c r="A11642" s="2" t="str">
        <f ca="1">IFERROR(__xludf.DUMMYFUNCTION("""COMPUTED_VALUE"""),"Rincón, Victoriano Valencia")</f>
        <v>Rincón, Victoriano Valencia</v>
      </c>
      <c r="B11642" s="3">
        <f ca="1">IFERROR(__xludf.DUMMYFUNCTION("""COMPUTED_VALUE"""),3)</f>
        <v>3</v>
      </c>
      <c r="C11642" s="7">
        <f ca="1">IFERROR(__xludf.DUMMYFUNCTION("""COMPUTED_VALUE"""),3.2)</f>
        <v>3.2</v>
      </c>
      <c r="D11642" s="8">
        <f ca="1">IFERROR(__xludf.DUMMYFUNCTION("""COMPUTED_VALUE"""),3)</f>
        <v>3</v>
      </c>
      <c r="E11642" s="2">
        <f ca="1">IFERROR(__xludf.DUMMYFUNCTION("""COMPUTED_VALUE"""),1)</f>
        <v>1</v>
      </c>
    </row>
    <row r="11643" spans="1:5" ht="13">
      <c r="A11643" s="2" t="str">
        <f ca="1">IFERROR(__xludf.DUMMYFUNCTION("""COMPUTED_VALUE"""),"Riojas, Jose")</f>
        <v>Riojas, Jose</v>
      </c>
      <c r="B11643" s="3">
        <f ca="1">IFERROR(__xludf.DUMMYFUNCTION("""COMPUTED_VALUE"""),3)</f>
        <v>3</v>
      </c>
      <c r="C11643" s="7">
        <f ca="1">IFERROR(__xludf.DUMMYFUNCTION("""COMPUTED_VALUE"""),3.2)</f>
        <v>3.2</v>
      </c>
      <c r="D11643" s="8">
        <f ca="1">IFERROR(__xludf.DUMMYFUNCTION("""COMPUTED_VALUE"""),7)</f>
        <v>7</v>
      </c>
      <c r="E11643" s="2">
        <f ca="1">IFERROR(__xludf.DUMMYFUNCTION("""COMPUTED_VALUE"""),2)</f>
        <v>2</v>
      </c>
    </row>
    <row r="11644" spans="1:5" ht="13">
      <c r="A11644" s="2" t="str">
        <f ca="1">IFERROR(__xludf.DUMMYFUNCTION("""COMPUTED_VALUE"""),"Ripper, João Guilherme")</f>
        <v>Ripper, João Guilherme</v>
      </c>
      <c r="B11644" s="2">
        <f ca="1">IFERROR(__xludf.DUMMYFUNCTION("""COMPUTED_VALUE"""),3)</f>
        <v>3</v>
      </c>
      <c r="C11644" s="2">
        <f ca="1">IFERROR(__xludf.DUMMYFUNCTION("""COMPUTED_VALUE"""),3.2)</f>
        <v>3.2</v>
      </c>
      <c r="D11644" s="8">
        <f ca="1">IFERROR(__xludf.DUMMYFUNCTION("""COMPUTED_VALUE"""),3)</f>
        <v>3</v>
      </c>
      <c r="E11644" s="2">
        <f ca="1">IFERROR(__xludf.DUMMYFUNCTION("""COMPUTED_VALUE"""),1)</f>
        <v>1</v>
      </c>
    </row>
    <row r="11645" spans="1:5" ht="13">
      <c r="A11645" s="2" t="str">
        <f ca="1">IFERROR(__xludf.DUMMYFUNCTION("""COMPUTED_VALUE"""),"Rivas, Alejandro")</f>
        <v>Rivas, Alejandro</v>
      </c>
      <c r="B11645" s="2">
        <f ca="1">IFERROR(__xludf.DUMMYFUNCTION("""COMPUTED_VALUE"""),3)</f>
        <v>3</v>
      </c>
      <c r="C11645" s="7">
        <f ca="1">IFERROR(__xludf.DUMMYFUNCTION("""COMPUTED_VALUE"""),3.2)</f>
        <v>3.2</v>
      </c>
      <c r="D11645" s="8">
        <f ca="1">IFERROR(__xludf.DUMMYFUNCTION("""COMPUTED_VALUE"""),3)</f>
        <v>3</v>
      </c>
      <c r="E11645" s="2">
        <f ca="1">IFERROR(__xludf.DUMMYFUNCTION("""COMPUTED_VALUE"""),1)</f>
        <v>1</v>
      </c>
    </row>
    <row r="11646" spans="1:5" ht="13">
      <c r="A11646" s="2" t="str">
        <f ca="1">IFERROR(__xludf.DUMMYFUNCTION("""COMPUTED_VALUE"""),"Rivera, Anthony")</f>
        <v>Rivera, Anthony</v>
      </c>
      <c r="B11646" s="2">
        <f ca="1">IFERROR(__xludf.DUMMYFUNCTION("""COMPUTED_VALUE"""),3)</f>
        <v>3</v>
      </c>
      <c r="C11646" s="7">
        <f ca="1">IFERROR(__xludf.DUMMYFUNCTION("""COMPUTED_VALUE"""),3.2)</f>
        <v>3.2</v>
      </c>
      <c r="D11646" s="8">
        <f ca="1">IFERROR(__xludf.DUMMYFUNCTION("""COMPUTED_VALUE"""),3)</f>
        <v>3</v>
      </c>
      <c r="E11646" s="2">
        <f ca="1">IFERROR(__xludf.DUMMYFUNCTION("""COMPUTED_VALUE"""),1)</f>
        <v>1</v>
      </c>
    </row>
    <row r="11647" spans="1:5" ht="13">
      <c r="A11647" s="2" t="str">
        <f ca="1">IFERROR(__xludf.DUMMYFUNCTION("""COMPUTED_VALUE"""),"Rivera, Armando")</f>
        <v>Rivera, Armando</v>
      </c>
      <c r="B11647" s="3">
        <f ca="1">IFERROR(__xludf.DUMMYFUNCTION("""COMPUTED_VALUE"""),3)</f>
        <v>3</v>
      </c>
      <c r="C11647" s="7">
        <f ca="1">IFERROR(__xludf.DUMMYFUNCTION("""COMPUTED_VALUE"""),3.2)</f>
        <v>3.2</v>
      </c>
      <c r="D11647" s="8">
        <f ca="1">IFERROR(__xludf.DUMMYFUNCTION("""COMPUTED_VALUE"""),7)</f>
        <v>7</v>
      </c>
      <c r="E11647" s="2">
        <f ca="1">IFERROR(__xludf.DUMMYFUNCTION("""COMPUTED_VALUE"""),2)</f>
        <v>2</v>
      </c>
    </row>
    <row r="11648" spans="1:5" ht="13">
      <c r="A11648" s="2" t="str">
        <f ca="1">IFERROR(__xludf.DUMMYFUNCTION("""COMPUTED_VALUE"""),"Rivera, Guadalupe")</f>
        <v>Rivera, Guadalupe</v>
      </c>
      <c r="B11648" s="2">
        <f ca="1">IFERROR(__xludf.DUMMYFUNCTION("""COMPUTED_VALUE"""),3)</f>
        <v>3</v>
      </c>
      <c r="C11648" s="2">
        <f ca="1">IFERROR(__xludf.DUMMYFUNCTION("""COMPUTED_VALUE"""),3.2)</f>
        <v>3.2</v>
      </c>
      <c r="D11648" s="8">
        <f ca="1">IFERROR(__xludf.DUMMYFUNCTION("""COMPUTED_VALUE"""),3)</f>
        <v>3</v>
      </c>
      <c r="E11648" s="2">
        <f ca="1">IFERROR(__xludf.DUMMYFUNCTION("""COMPUTED_VALUE"""),1)</f>
        <v>1</v>
      </c>
    </row>
    <row r="11649" spans="1:5" ht="13">
      <c r="A11649" s="2" t="str">
        <f ca="1">IFERROR(__xludf.DUMMYFUNCTION("""COMPUTED_VALUE"""),"Rivera, Kyle")</f>
        <v>Rivera, Kyle</v>
      </c>
      <c r="B11649" s="3">
        <f ca="1">IFERROR(__xludf.DUMMYFUNCTION("""COMPUTED_VALUE"""),3)</f>
        <v>3</v>
      </c>
      <c r="C11649" s="7">
        <f ca="1">IFERROR(__xludf.DUMMYFUNCTION("""COMPUTED_VALUE"""),3.1)</f>
        <v>3.1</v>
      </c>
      <c r="D11649" s="8">
        <f ca="1">IFERROR(__xludf.DUMMYFUNCTION("""COMPUTED_VALUE"""),3)</f>
        <v>3</v>
      </c>
      <c r="E11649" s="2">
        <f ca="1">IFERROR(__xludf.DUMMYFUNCTION("""COMPUTED_VALUE"""),1)</f>
        <v>1</v>
      </c>
    </row>
    <row r="11650" spans="1:5" ht="13">
      <c r="A11650" s="2" t="str">
        <f ca="1">IFERROR(__xludf.DUMMYFUNCTION("""COMPUTED_VALUE"""),"Roberts, Charles Luckyth")</f>
        <v>Roberts, Charles Luckyth</v>
      </c>
      <c r="B11650" s="2">
        <f ca="1">IFERROR(__xludf.DUMMYFUNCTION("""COMPUTED_VALUE"""),3)</f>
        <v>3</v>
      </c>
      <c r="C11650" s="7">
        <f ca="1">IFERROR(__xludf.DUMMYFUNCTION("""COMPUTED_VALUE"""),3.1)</f>
        <v>3.1</v>
      </c>
      <c r="D11650" s="8">
        <f ca="1">IFERROR(__xludf.DUMMYFUNCTION("""COMPUTED_VALUE"""),7)</f>
        <v>7</v>
      </c>
      <c r="E11650" s="2">
        <f ca="1">IFERROR(__xludf.DUMMYFUNCTION("""COMPUTED_VALUE"""),2)</f>
        <v>2</v>
      </c>
    </row>
    <row r="11651" spans="1:5" ht="13">
      <c r="A11651" s="8" t="str">
        <f ca="1">IFERROR(__xludf.DUMMYFUNCTION("""COMPUTED_VALUE"""),"Roberts, Marcus")</f>
        <v>Roberts, Marcus</v>
      </c>
      <c r="B11651" s="3">
        <f ca="1">IFERROR(__xludf.DUMMYFUNCTION("""COMPUTED_VALUE"""),3)</f>
        <v>3</v>
      </c>
      <c r="C11651" s="7">
        <f ca="1">IFERROR(__xludf.DUMMYFUNCTION("""COMPUTED_VALUE"""),3.1)</f>
        <v>3.1</v>
      </c>
      <c r="D11651" s="8">
        <f ca="1">IFERROR(__xludf.DUMMYFUNCTION("""COMPUTED_VALUE"""),3)</f>
        <v>3</v>
      </c>
      <c r="E11651" s="2">
        <f ca="1">IFERROR(__xludf.DUMMYFUNCTION("""COMPUTED_VALUE"""),1)</f>
        <v>1</v>
      </c>
    </row>
    <row r="11652" spans="1:5" ht="13">
      <c r="A11652" s="8" t="str">
        <f ca="1">IFERROR(__xludf.DUMMYFUNCTION("""COMPUTED_VALUE"""),"Robinson III, David E.")</f>
        <v>Robinson III, David E.</v>
      </c>
      <c r="B11652" s="3">
        <f ca="1">IFERROR(__xludf.DUMMYFUNCTION("""COMPUTED_VALUE"""),3)</f>
        <v>3</v>
      </c>
      <c r="C11652" s="7">
        <f ca="1">IFERROR(__xludf.DUMMYFUNCTION("""COMPUTED_VALUE"""),3.1)</f>
        <v>3.1</v>
      </c>
      <c r="D11652" s="8">
        <f ca="1">IFERROR(__xludf.DUMMYFUNCTION("""COMPUTED_VALUE"""),3)</f>
        <v>3</v>
      </c>
      <c r="E11652" s="2">
        <f ca="1">IFERROR(__xludf.DUMMYFUNCTION("""COMPUTED_VALUE"""),1)</f>
        <v>1</v>
      </c>
    </row>
    <row r="11653" spans="1:5" ht="13">
      <c r="A11653" s="8" t="str">
        <f ca="1">IFERROR(__xludf.DUMMYFUNCTION("""COMPUTED_VALUE"""),"Robinson, David E.")</f>
        <v>Robinson, David E.</v>
      </c>
      <c r="B11653" s="3">
        <f ca="1">IFERROR(__xludf.DUMMYFUNCTION("""COMPUTED_VALUE"""),3)</f>
        <v>3</v>
      </c>
      <c r="C11653" s="7">
        <f ca="1">IFERROR(__xludf.DUMMYFUNCTION("""COMPUTED_VALUE"""),3.1)</f>
        <v>3.1</v>
      </c>
      <c r="D11653" s="8">
        <f ca="1">IFERROR(__xludf.DUMMYFUNCTION("""COMPUTED_VALUE"""),3)</f>
        <v>3</v>
      </c>
      <c r="E11653" s="2">
        <f ca="1">IFERROR(__xludf.DUMMYFUNCTION("""COMPUTED_VALUE"""),1)</f>
        <v>1</v>
      </c>
    </row>
    <row r="11654" spans="1:5" ht="13">
      <c r="A11654" s="2" t="str">
        <f ca="1">IFERROR(__xludf.DUMMYFUNCTION("""COMPUTED_VALUE"""),"Robinson, Eddie A.")</f>
        <v>Robinson, Eddie A.</v>
      </c>
      <c r="B11654" s="3">
        <f ca="1">IFERROR(__xludf.DUMMYFUNCTION("""COMPUTED_VALUE"""),3)</f>
        <v>3</v>
      </c>
      <c r="C11654" s="7">
        <f ca="1">IFERROR(__xludf.DUMMYFUNCTION("""COMPUTED_VALUE"""),3.1)</f>
        <v>3.1</v>
      </c>
      <c r="D11654" s="8">
        <f ca="1">IFERROR(__xludf.DUMMYFUNCTION("""COMPUTED_VALUE"""),3)</f>
        <v>3</v>
      </c>
      <c r="E11654" s="2">
        <f ca="1">IFERROR(__xludf.DUMMYFUNCTION("""COMPUTED_VALUE"""),1)</f>
        <v>1</v>
      </c>
    </row>
    <row r="11655" spans="1:5" ht="13">
      <c r="A11655" s="2" t="str">
        <f ca="1">IFERROR(__xludf.DUMMYFUNCTION("""COMPUTED_VALUE"""),"Robinson, Ricky")</f>
        <v>Robinson, Ricky</v>
      </c>
      <c r="B11655" s="3">
        <f ca="1">IFERROR(__xludf.DUMMYFUNCTION("""COMPUTED_VALUE"""),3)</f>
        <v>3</v>
      </c>
      <c r="C11655" s="7">
        <f ca="1">IFERROR(__xludf.DUMMYFUNCTION("""COMPUTED_VALUE"""),3.1)</f>
        <v>3.1</v>
      </c>
      <c r="D11655" s="8">
        <f ca="1">IFERROR(__xludf.DUMMYFUNCTION("""COMPUTED_VALUE"""),3)</f>
        <v>3</v>
      </c>
      <c r="E11655" s="2">
        <f ca="1">IFERROR(__xludf.DUMMYFUNCTION("""COMPUTED_VALUE"""),1)</f>
        <v>1</v>
      </c>
    </row>
    <row r="11656" spans="1:5" ht="13">
      <c r="A11656" s="2" t="str">
        <f ca="1">IFERROR(__xludf.DUMMYFUNCTION("""COMPUTED_VALUE"""),"Robinson, Smokey / White, Ronald")</f>
        <v>Robinson, Smokey / White, Ronald</v>
      </c>
      <c r="B11656" s="3">
        <f ca="1">IFERROR(__xludf.DUMMYFUNCTION("""COMPUTED_VALUE"""),3)</f>
        <v>3</v>
      </c>
      <c r="C11656" s="7">
        <f ca="1">IFERROR(__xludf.DUMMYFUNCTION("""COMPUTED_VALUE"""),3.1)</f>
        <v>3.1</v>
      </c>
      <c r="D11656" s="8">
        <f ca="1">IFERROR(__xludf.DUMMYFUNCTION("""COMPUTED_VALUE"""),3)</f>
        <v>3</v>
      </c>
      <c r="E11656" s="2">
        <f ca="1">IFERROR(__xludf.DUMMYFUNCTION("""COMPUTED_VALUE"""),1)</f>
        <v>1</v>
      </c>
    </row>
    <row r="11657" spans="1:5" ht="13">
      <c r="A11657" s="2" t="str">
        <f ca="1">IFERROR(__xludf.DUMMYFUNCTION("""COMPUTED_VALUE"""),"Robinson, Walter")</f>
        <v>Robinson, Walter</v>
      </c>
      <c r="B11657" s="3">
        <f ca="1">IFERROR(__xludf.DUMMYFUNCTION("""COMPUTED_VALUE"""),3)</f>
        <v>3</v>
      </c>
      <c r="C11657" s="7">
        <f ca="1">IFERROR(__xludf.DUMMYFUNCTION("""COMPUTED_VALUE"""),3.1)</f>
        <v>3.1</v>
      </c>
      <c r="D11657" s="8">
        <f ca="1">IFERROR(__xludf.DUMMYFUNCTION("""COMPUTED_VALUE"""),3)</f>
        <v>3</v>
      </c>
      <c r="E11657" s="2">
        <f ca="1">IFERROR(__xludf.DUMMYFUNCTION("""COMPUTED_VALUE"""),1)</f>
        <v>1</v>
      </c>
    </row>
    <row r="11658" spans="1:5" ht="13">
      <c r="A11658" s="2" t="str">
        <f ca="1">IFERROR(__xludf.DUMMYFUNCTION("""COMPUTED_VALUE"""),"Robles, Daniel Almonica")</f>
        <v>Robles, Daniel Almonica</v>
      </c>
      <c r="B11658" s="3">
        <f ca="1">IFERROR(__xludf.DUMMYFUNCTION("""COMPUTED_VALUE"""),3)</f>
        <v>3</v>
      </c>
      <c r="C11658" s="7">
        <f ca="1">IFERROR(__xludf.DUMMYFUNCTION("""COMPUTED_VALUE"""),3.2)</f>
        <v>3.2</v>
      </c>
      <c r="D11658" s="8">
        <f ca="1">IFERROR(__xludf.DUMMYFUNCTION("""COMPUTED_VALUE"""),7)</f>
        <v>7</v>
      </c>
      <c r="E11658" s="2">
        <f ca="1">IFERROR(__xludf.DUMMYFUNCTION("""COMPUTED_VALUE"""),2)</f>
        <v>2</v>
      </c>
    </row>
    <row r="11659" spans="1:5" ht="13">
      <c r="A11659" s="2" t="str">
        <f ca="1">IFERROR(__xludf.DUMMYFUNCTION("""COMPUTED_VALUE"""),"Roca, Jaime Nunó")</f>
        <v>Roca, Jaime Nunó</v>
      </c>
      <c r="B11659" s="3">
        <f ca="1">IFERROR(__xludf.DUMMYFUNCTION("""COMPUTED_VALUE"""),3)</f>
        <v>3</v>
      </c>
      <c r="C11659" s="7">
        <f ca="1">IFERROR(__xludf.DUMMYFUNCTION("""COMPUTED_VALUE"""),3.2)</f>
        <v>3.2</v>
      </c>
      <c r="D11659" s="8">
        <f ca="1">IFERROR(__xludf.DUMMYFUNCTION("""COMPUTED_VALUE"""),7)</f>
        <v>7</v>
      </c>
      <c r="E11659" s="2">
        <f ca="1">IFERROR(__xludf.DUMMYFUNCTION("""COMPUTED_VALUE"""),2)</f>
        <v>2</v>
      </c>
    </row>
    <row r="11660" spans="1:5" ht="13">
      <c r="A11660" s="8" t="str">
        <f ca="1">IFERROR(__xludf.DUMMYFUNCTION("""COMPUTED_VALUE"""),"Rocha, Fagner M.")</f>
        <v>Rocha, Fagner M.</v>
      </c>
      <c r="B11660" s="3">
        <f ca="1">IFERROR(__xludf.DUMMYFUNCTION("""COMPUTED_VALUE"""),3)</f>
        <v>3</v>
      </c>
      <c r="C11660" s="7">
        <f ca="1">IFERROR(__xludf.DUMMYFUNCTION("""COMPUTED_VALUE"""),3.2)</f>
        <v>3.2</v>
      </c>
      <c r="D11660" s="8">
        <f ca="1">IFERROR(__xludf.DUMMYFUNCTION("""COMPUTED_VALUE"""),3)</f>
        <v>3</v>
      </c>
      <c r="E11660" s="2">
        <f ca="1">IFERROR(__xludf.DUMMYFUNCTION("""COMPUTED_VALUE"""),1)</f>
        <v>1</v>
      </c>
    </row>
    <row r="11661" spans="1:5" ht="13">
      <c r="A11661" s="2" t="str">
        <f ca="1">IFERROR(__xludf.DUMMYFUNCTION("""COMPUTED_VALUE"""),"Rodrigues, Jose")</f>
        <v>Rodrigues, Jose</v>
      </c>
      <c r="B11661" s="2">
        <f ca="1">IFERROR(__xludf.DUMMYFUNCTION("""COMPUTED_VALUE"""),3)</f>
        <v>3</v>
      </c>
      <c r="C11661" s="7">
        <f ca="1">IFERROR(__xludf.DUMMYFUNCTION("""COMPUTED_VALUE"""),3.2)</f>
        <v>3.2</v>
      </c>
      <c r="D11661" s="8">
        <f ca="1">IFERROR(__xludf.DUMMYFUNCTION("""COMPUTED_VALUE"""),3)</f>
        <v>3</v>
      </c>
      <c r="E11661" s="2">
        <f ca="1">IFERROR(__xludf.DUMMYFUNCTION("""COMPUTED_VALUE"""),1)</f>
        <v>1</v>
      </c>
    </row>
    <row r="11662" spans="1:5" ht="13">
      <c r="A11662" s="2" t="str">
        <f ca="1">IFERROR(__xludf.DUMMYFUNCTION("""COMPUTED_VALUE"""),"Rodriguez, Arturo")</f>
        <v>Rodriguez, Arturo</v>
      </c>
      <c r="B11662" s="3">
        <f ca="1">IFERROR(__xludf.DUMMYFUNCTION("""COMPUTED_VALUE"""),3)</f>
        <v>3</v>
      </c>
      <c r="C11662" s="7">
        <f ca="1">IFERROR(__xludf.DUMMYFUNCTION("""COMPUTED_VALUE"""),3.2)</f>
        <v>3.2</v>
      </c>
      <c r="D11662" s="8">
        <f ca="1">IFERROR(__xludf.DUMMYFUNCTION("""COMPUTED_VALUE"""),3)</f>
        <v>3</v>
      </c>
      <c r="E11662" s="2">
        <f ca="1">IFERROR(__xludf.DUMMYFUNCTION("""COMPUTED_VALUE"""),1)</f>
        <v>1</v>
      </c>
    </row>
    <row r="11663" spans="1:5" ht="13">
      <c r="A11663" s="2" t="str">
        <f ca="1">IFERROR(__xludf.DUMMYFUNCTION("""COMPUTED_VALUE"""),"Rodríguez, Arturo")</f>
        <v>Rodríguez, Arturo</v>
      </c>
      <c r="B11663" s="3">
        <f ca="1">IFERROR(__xludf.DUMMYFUNCTION("""COMPUTED_VALUE"""),3)</f>
        <v>3</v>
      </c>
      <c r="C11663" s="7">
        <f ca="1">IFERROR(__xludf.DUMMYFUNCTION("""COMPUTED_VALUE"""),3.2)</f>
        <v>3.2</v>
      </c>
      <c r="D11663" s="8">
        <f ca="1">IFERROR(__xludf.DUMMYFUNCTION("""COMPUTED_VALUE"""),3)</f>
        <v>3</v>
      </c>
      <c r="E11663" s="2">
        <f ca="1">IFERROR(__xludf.DUMMYFUNCTION("""COMPUTED_VALUE"""),1)</f>
        <v>1</v>
      </c>
    </row>
    <row r="11664" spans="1:5" ht="13">
      <c r="A11664" s="2" t="str">
        <f ca="1">IFERROR(__xludf.DUMMYFUNCTION("""COMPUTED_VALUE"""),"Rodriguez, Bobby")</f>
        <v>Rodriguez, Bobby</v>
      </c>
      <c r="B11664" s="3">
        <f ca="1">IFERROR(__xludf.DUMMYFUNCTION("""COMPUTED_VALUE"""),3)</f>
        <v>3</v>
      </c>
      <c r="C11664" s="7">
        <f ca="1">IFERROR(__xludf.DUMMYFUNCTION("""COMPUTED_VALUE"""),3.2)</f>
        <v>3.2</v>
      </c>
      <c r="D11664" s="8">
        <f ca="1">IFERROR(__xludf.DUMMYFUNCTION("""COMPUTED_VALUE"""),3)</f>
        <v>3</v>
      </c>
      <c r="E11664" s="2">
        <f ca="1">IFERROR(__xludf.DUMMYFUNCTION("""COMPUTED_VALUE"""),1)</f>
        <v>1</v>
      </c>
    </row>
    <row r="11665" spans="1:5" ht="13">
      <c r="A11665" s="2" t="str">
        <f ca="1">IFERROR(__xludf.DUMMYFUNCTION("""COMPUTED_VALUE"""),"Rodríguez, G. M.")</f>
        <v>Rodríguez, G. M.</v>
      </c>
      <c r="B11665" s="3">
        <f ca="1">IFERROR(__xludf.DUMMYFUNCTION("""COMPUTED_VALUE"""),3)</f>
        <v>3</v>
      </c>
      <c r="C11665" s="7">
        <f ca="1">IFERROR(__xludf.DUMMYFUNCTION("""COMPUTED_VALUE"""),3.2)</f>
        <v>3.2</v>
      </c>
      <c r="D11665" s="8">
        <f ca="1">IFERROR(__xludf.DUMMYFUNCTION("""COMPUTED_VALUE"""),7)</f>
        <v>7</v>
      </c>
      <c r="E11665" s="2">
        <f ca="1">IFERROR(__xludf.DUMMYFUNCTION("""COMPUTED_VALUE"""),2)</f>
        <v>2</v>
      </c>
    </row>
    <row r="11666" spans="1:5" ht="13">
      <c r="A11666" s="8" t="str">
        <f ca="1">IFERROR(__xludf.DUMMYFUNCTION("""COMPUTED_VALUE"""),"Rodriguez, G. Matos")</f>
        <v>Rodriguez, G. Matos</v>
      </c>
      <c r="B11666" s="3">
        <f ca="1">IFERROR(__xludf.DUMMYFUNCTION("""COMPUTED_VALUE"""),3)</f>
        <v>3</v>
      </c>
      <c r="C11666" s="7">
        <f ca="1">IFERROR(__xludf.DUMMYFUNCTION("""COMPUTED_VALUE"""),3.2)</f>
        <v>3.2</v>
      </c>
      <c r="D11666" s="8">
        <f ca="1">IFERROR(__xludf.DUMMYFUNCTION("""COMPUTED_VALUE"""),7)</f>
        <v>7</v>
      </c>
      <c r="E11666" s="2">
        <f ca="1">IFERROR(__xludf.DUMMYFUNCTION("""COMPUTED_VALUE"""),2)</f>
        <v>2</v>
      </c>
    </row>
    <row r="11667" spans="1:5" ht="13">
      <c r="A11667" s="2" t="str">
        <f ca="1">IFERROR(__xludf.DUMMYFUNCTION("""COMPUTED_VALUE"""),"Rodriguez, Gerardo Mato")</f>
        <v>Rodriguez, Gerardo Mato</v>
      </c>
      <c r="B11667" s="3">
        <f ca="1">IFERROR(__xludf.DUMMYFUNCTION("""COMPUTED_VALUE"""),3)</f>
        <v>3</v>
      </c>
      <c r="C11667" s="7">
        <f ca="1">IFERROR(__xludf.DUMMYFUNCTION("""COMPUTED_VALUE"""),3.2)</f>
        <v>3.2</v>
      </c>
      <c r="D11667" s="8">
        <f ca="1">IFERROR(__xludf.DUMMYFUNCTION("""COMPUTED_VALUE"""),7)</f>
        <v>7</v>
      </c>
      <c r="E11667" s="2">
        <f ca="1">IFERROR(__xludf.DUMMYFUNCTION("""COMPUTED_VALUE"""),2)</f>
        <v>2</v>
      </c>
    </row>
    <row r="11668" spans="1:5" ht="13">
      <c r="A11668" s="2" t="str">
        <f ca="1">IFERROR(__xludf.DUMMYFUNCTION("""COMPUTED_VALUE"""),"Rodríguez, Iván Enrique")</f>
        <v>Rodríguez, Iván Enrique</v>
      </c>
      <c r="B11668" s="3">
        <f ca="1">IFERROR(__xludf.DUMMYFUNCTION("""COMPUTED_VALUE"""),3)</f>
        <v>3</v>
      </c>
      <c r="C11668" s="7">
        <f ca="1">IFERROR(__xludf.DUMMYFUNCTION("""COMPUTED_VALUE"""),3.2)</f>
        <v>3.2</v>
      </c>
      <c r="D11668" s="8">
        <f ca="1">IFERROR(__xludf.DUMMYFUNCTION("""COMPUTED_VALUE"""),3)</f>
        <v>3</v>
      </c>
      <c r="E11668" s="2">
        <f ca="1">IFERROR(__xludf.DUMMYFUNCTION("""COMPUTED_VALUE"""),1)</f>
        <v>1</v>
      </c>
    </row>
    <row r="11669" spans="1:5" ht="13">
      <c r="A11669" s="2" t="str">
        <f ca="1">IFERROR(__xludf.DUMMYFUNCTION("""COMPUTED_VALUE"""),"Rodríguez, Marcela")</f>
        <v>Rodríguez, Marcela</v>
      </c>
      <c r="B11669" s="3">
        <f ca="1">IFERROR(__xludf.DUMMYFUNCTION("""COMPUTED_VALUE"""),3)</f>
        <v>3</v>
      </c>
      <c r="C11669" s="7">
        <f ca="1">IFERROR(__xludf.DUMMYFUNCTION("""COMPUTED_VALUE"""),3.2)</f>
        <v>3.2</v>
      </c>
      <c r="D11669" s="8">
        <f ca="1">IFERROR(__xludf.DUMMYFUNCTION("""COMPUTED_VALUE"""),3)</f>
        <v>3</v>
      </c>
      <c r="E11669" s="2">
        <f ca="1">IFERROR(__xludf.DUMMYFUNCTION("""COMPUTED_VALUE"""),1)</f>
        <v>1</v>
      </c>
    </row>
    <row r="11670" spans="1:5" ht="13">
      <c r="A11670" s="2" t="str">
        <f ca="1">IFERROR(__xludf.DUMMYFUNCTION("""COMPUTED_VALUE"""),"Rodriguez, Robert Xavier")</f>
        <v>Rodriguez, Robert Xavier</v>
      </c>
      <c r="B11670" s="3">
        <f ca="1">IFERROR(__xludf.DUMMYFUNCTION("""COMPUTED_VALUE"""),3)</f>
        <v>3</v>
      </c>
      <c r="C11670" s="7">
        <f ca="1">IFERROR(__xludf.DUMMYFUNCTION("""COMPUTED_VALUE"""),3.2)</f>
        <v>3.2</v>
      </c>
      <c r="D11670" s="8">
        <f ca="1">IFERROR(__xludf.DUMMYFUNCTION("""COMPUTED_VALUE"""),3)</f>
        <v>3</v>
      </c>
      <c r="E11670" s="2">
        <f ca="1">IFERROR(__xludf.DUMMYFUNCTION("""COMPUTED_VALUE"""),1)</f>
        <v>1</v>
      </c>
    </row>
    <row r="11671" spans="1:5" ht="13">
      <c r="A11671" s="2" t="str">
        <f ca="1">IFERROR(__xludf.DUMMYFUNCTION("""COMPUTED_VALUE"""),"Rogers, Eugene")</f>
        <v>Rogers, Eugene</v>
      </c>
      <c r="B11671" s="2">
        <f ca="1">IFERROR(__xludf.DUMMYFUNCTION("""COMPUTED_VALUE"""),3)</f>
        <v>3</v>
      </c>
      <c r="C11671" s="7">
        <f ca="1">IFERROR(__xludf.DUMMYFUNCTION("""COMPUTED_VALUE"""),3.1)</f>
        <v>3.1</v>
      </c>
      <c r="D11671" s="8">
        <f ca="1">IFERROR(__xludf.DUMMYFUNCTION("""COMPUTED_VALUE"""),3)</f>
        <v>3</v>
      </c>
      <c r="E11671" s="2">
        <f ca="1">IFERROR(__xludf.DUMMYFUNCTION("""COMPUTED_VALUE"""),1)</f>
        <v>1</v>
      </c>
    </row>
    <row r="11672" spans="1:5" ht="13">
      <c r="A11672" s="8" t="str">
        <f ca="1">IFERROR(__xludf.DUMMYFUNCTION("""COMPUTED_VALUE"""),"Roig, Gonzalo")</f>
        <v>Roig, Gonzalo</v>
      </c>
      <c r="B11672" s="3">
        <f ca="1">IFERROR(__xludf.DUMMYFUNCTION("""COMPUTED_VALUE"""),3)</f>
        <v>3</v>
      </c>
      <c r="C11672" s="7">
        <f ca="1">IFERROR(__xludf.DUMMYFUNCTION("""COMPUTED_VALUE"""),3.2)</f>
        <v>3.2</v>
      </c>
      <c r="D11672" s="8">
        <f ca="1">IFERROR(__xludf.DUMMYFUNCTION("""COMPUTED_VALUE"""),7)</f>
        <v>7</v>
      </c>
      <c r="E11672" s="2">
        <f ca="1">IFERROR(__xludf.DUMMYFUNCTION("""COMPUTED_VALUE"""),2)</f>
        <v>2</v>
      </c>
    </row>
    <row r="11673" spans="1:5" ht="13">
      <c r="A11673" s="2" t="str">
        <f ca="1">IFERROR(__xludf.DUMMYFUNCTION("""COMPUTED_VALUE"""),"Rojas, Otto Vargas")</f>
        <v>Rojas, Otto Vargas</v>
      </c>
      <c r="B11673" s="3">
        <f ca="1">IFERROR(__xludf.DUMMYFUNCTION("""COMPUTED_VALUE"""),3)</f>
        <v>3</v>
      </c>
      <c r="C11673" s="7">
        <f ca="1">IFERROR(__xludf.DUMMYFUNCTION("""COMPUTED_VALUE"""),3.2)</f>
        <v>3.2</v>
      </c>
      <c r="D11673" s="8">
        <f ca="1">IFERROR(__xludf.DUMMYFUNCTION("""COMPUTED_VALUE"""),7)</f>
        <v>7</v>
      </c>
      <c r="E11673" s="2">
        <f ca="1">IFERROR(__xludf.DUMMYFUNCTION("""COMPUTED_VALUE"""),2)</f>
        <v>2</v>
      </c>
    </row>
    <row r="11674" spans="1:5" ht="13">
      <c r="A11674" s="2" t="str">
        <f ca="1">IFERROR(__xludf.DUMMYFUNCTION("""COMPUTED_VALUE"""),"Roldan, Jude")</f>
        <v>Roldan, Jude</v>
      </c>
      <c r="B11674" s="3">
        <f ca="1">IFERROR(__xludf.DUMMYFUNCTION("""COMPUTED_VALUE"""),3)</f>
        <v>3</v>
      </c>
      <c r="C11674" s="7">
        <f ca="1">IFERROR(__xludf.DUMMYFUNCTION("""COMPUTED_VALUE"""),3.9)</f>
        <v>3.9</v>
      </c>
      <c r="D11674" s="8">
        <f ca="1">IFERROR(__xludf.DUMMYFUNCTION("""COMPUTED_VALUE"""),3)</f>
        <v>3</v>
      </c>
      <c r="E11674" s="2">
        <f ca="1">IFERROR(__xludf.DUMMYFUNCTION("""COMPUTED_VALUE"""),1)</f>
        <v>1</v>
      </c>
    </row>
    <row r="11675" spans="1:5" ht="13">
      <c r="A11675" s="2" t="str">
        <f ca="1">IFERROR(__xludf.DUMMYFUNCTION("""COMPUTED_VALUE"""),"Rollins, Sonny")</f>
        <v>Rollins, Sonny</v>
      </c>
      <c r="B11675" s="2">
        <f ca="1">IFERROR(__xludf.DUMMYFUNCTION("""COMPUTED_VALUE"""),3)</f>
        <v>3</v>
      </c>
      <c r="C11675" s="7">
        <f ca="1">IFERROR(__xludf.DUMMYFUNCTION("""COMPUTED_VALUE"""),3.1)</f>
        <v>3.1</v>
      </c>
      <c r="D11675" s="8">
        <f ca="1">IFERROR(__xludf.DUMMYFUNCTION("""COMPUTED_VALUE"""),3)</f>
        <v>3</v>
      </c>
      <c r="E11675" s="2">
        <f ca="1">IFERROR(__xludf.DUMMYFUNCTION("""COMPUTED_VALUE"""),1)</f>
        <v>1</v>
      </c>
    </row>
    <row r="11676" spans="1:5" ht="13">
      <c r="A11676" s="2" t="str">
        <f ca="1">IFERROR(__xludf.DUMMYFUNCTION("""COMPUTED_VALUE"""),"Romero, Aldemaro")</f>
        <v>Romero, Aldemaro</v>
      </c>
      <c r="B11676" s="3">
        <f ca="1">IFERROR(__xludf.DUMMYFUNCTION("""COMPUTED_VALUE"""),3)</f>
        <v>3</v>
      </c>
      <c r="C11676" s="7">
        <f ca="1">IFERROR(__xludf.DUMMYFUNCTION("""COMPUTED_VALUE"""),3.2)</f>
        <v>3.2</v>
      </c>
      <c r="D11676" s="8">
        <f ca="1">IFERROR(__xludf.DUMMYFUNCTION("""COMPUTED_VALUE"""),7)</f>
        <v>7</v>
      </c>
      <c r="E11676" s="2">
        <f ca="1">IFERROR(__xludf.DUMMYFUNCTION("""COMPUTED_VALUE"""),2)</f>
        <v>2</v>
      </c>
    </row>
    <row r="11677" spans="1:5" ht="13">
      <c r="A11677" s="2" t="str">
        <f ca="1">IFERROR(__xludf.DUMMYFUNCTION("""COMPUTED_VALUE"""),"Romero, Casas")</f>
        <v>Romero, Casas</v>
      </c>
      <c r="B11677" s="3">
        <f ca="1">IFERROR(__xludf.DUMMYFUNCTION("""COMPUTED_VALUE"""),3)</f>
        <v>3</v>
      </c>
      <c r="C11677" s="7">
        <f ca="1">IFERROR(__xludf.DUMMYFUNCTION("""COMPUTED_VALUE"""),3.2)</f>
        <v>3.2</v>
      </c>
      <c r="D11677" s="8">
        <f ca="1">IFERROR(__xludf.DUMMYFUNCTION("""COMPUTED_VALUE"""),7)</f>
        <v>7</v>
      </c>
      <c r="E11677" s="2">
        <f ca="1">IFERROR(__xludf.DUMMYFUNCTION("""COMPUTED_VALUE"""),2)</f>
        <v>2</v>
      </c>
    </row>
    <row r="11678" spans="1:5" ht="13">
      <c r="A11678" s="2" t="str">
        <f ca="1">IFERROR(__xludf.DUMMYFUNCTION("""COMPUTED_VALUE"""),"Roncal, Simeon")</f>
        <v>Roncal, Simeon</v>
      </c>
      <c r="B11678" s="3">
        <f ca="1">IFERROR(__xludf.DUMMYFUNCTION("""COMPUTED_VALUE"""),3)</f>
        <v>3</v>
      </c>
      <c r="C11678" s="7">
        <f ca="1">IFERROR(__xludf.DUMMYFUNCTION("""COMPUTED_VALUE"""),3.2)</f>
        <v>3.2</v>
      </c>
      <c r="D11678" s="8">
        <f ca="1">IFERROR(__xludf.DUMMYFUNCTION("""COMPUTED_VALUE"""),7)</f>
        <v>7</v>
      </c>
      <c r="E11678" s="2">
        <f ca="1">IFERROR(__xludf.DUMMYFUNCTION("""COMPUTED_VALUE"""),2)</f>
        <v>2</v>
      </c>
    </row>
    <row r="11679" spans="1:5" ht="13">
      <c r="A11679" s="2" t="str">
        <f ca="1">IFERROR(__xludf.DUMMYFUNCTION("""COMPUTED_VALUE"""),"Rosa, Juventino")</f>
        <v>Rosa, Juventino</v>
      </c>
      <c r="B11679" s="3">
        <f ca="1">IFERROR(__xludf.DUMMYFUNCTION("""COMPUTED_VALUE"""),3)</f>
        <v>3</v>
      </c>
      <c r="C11679" s="7">
        <f ca="1">IFERROR(__xludf.DUMMYFUNCTION("""COMPUTED_VALUE"""),3.2)</f>
        <v>3.2</v>
      </c>
      <c r="D11679" s="8">
        <f ca="1">IFERROR(__xludf.DUMMYFUNCTION("""COMPUTED_VALUE"""),7)</f>
        <v>7</v>
      </c>
      <c r="E11679" s="2">
        <f ca="1">IFERROR(__xludf.DUMMYFUNCTION("""COMPUTED_VALUE"""),2)</f>
        <v>2</v>
      </c>
    </row>
    <row r="11680" spans="1:5" ht="13">
      <c r="A11680" s="2" t="str">
        <f ca="1">IFERROR(__xludf.DUMMYFUNCTION("""COMPUTED_VALUE"""),"Rosas, Juventino")</f>
        <v>Rosas, Juventino</v>
      </c>
      <c r="B11680" s="3">
        <f ca="1">IFERROR(__xludf.DUMMYFUNCTION("""COMPUTED_VALUE"""),3)</f>
        <v>3</v>
      </c>
      <c r="C11680" s="7">
        <f ca="1">IFERROR(__xludf.DUMMYFUNCTION("""COMPUTED_VALUE"""),3.2)</f>
        <v>3.2</v>
      </c>
      <c r="D11680" s="8">
        <f ca="1">IFERROR(__xludf.DUMMYFUNCTION("""COMPUTED_VALUE"""),7)</f>
        <v>7</v>
      </c>
      <c r="E11680" s="2">
        <f ca="1">IFERROR(__xludf.DUMMYFUNCTION("""COMPUTED_VALUE"""),2)</f>
        <v>2</v>
      </c>
    </row>
    <row r="11681" spans="1:5" ht="13">
      <c r="A11681" s="2" t="str">
        <f ca="1">IFERROR(__xludf.DUMMYFUNCTION("""COMPUTED_VALUE"""),"Rosauro, Ney")</f>
        <v>Rosauro, Ney</v>
      </c>
      <c r="B11681" s="3">
        <f ca="1">IFERROR(__xludf.DUMMYFUNCTION("""COMPUTED_VALUE"""),3)</f>
        <v>3</v>
      </c>
      <c r="C11681" s="7">
        <f ca="1">IFERROR(__xludf.DUMMYFUNCTION("""COMPUTED_VALUE"""),3.2)</f>
        <v>3.2</v>
      </c>
      <c r="D11681" s="8">
        <f ca="1">IFERROR(__xludf.DUMMYFUNCTION("""COMPUTED_VALUE"""),3)</f>
        <v>3</v>
      </c>
      <c r="E11681" s="2">
        <f ca="1">IFERROR(__xludf.DUMMYFUNCTION("""COMPUTED_VALUE"""),1)</f>
        <v>1</v>
      </c>
    </row>
    <row r="11682" spans="1:5" ht="13">
      <c r="A11682" s="2" t="str">
        <f ca="1">IFERROR(__xludf.DUMMYFUNCTION("""COMPUTED_VALUE"""),"Roukens, Joey")</f>
        <v>Roukens, Joey</v>
      </c>
      <c r="B11682" s="3">
        <f ca="1">IFERROR(__xludf.DUMMYFUNCTION("""COMPUTED_VALUE"""),3)</f>
        <v>3</v>
      </c>
      <c r="C11682" s="7">
        <f ca="1">IFERROR(__xludf.DUMMYFUNCTION("""COMPUTED_VALUE"""),3.3)</f>
        <v>3.3</v>
      </c>
      <c r="D11682" s="8">
        <f ca="1">IFERROR(__xludf.DUMMYFUNCTION("""COMPUTED_VALUE"""),3)</f>
        <v>3</v>
      </c>
      <c r="E11682" s="2">
        <f ca="1">IFERROR(__xludf.DUMMYFUNCTION("""COMPUTED_VALUE"""),1)</f>
        <v>1</v>
      </c>
    </row>
    <row r="11683" spans="1:5" ht="13">
      <c r="A11683" s="2" t="str">
        <f ca="1">IFERROR(__xludf.DUMMYFUNCTION("""COMPUTED_VALUE"""),"Roumain, Daniel Bernard")</f>
        <v>Roumain, Daniel Bernard</v>
      </c>
      <c r="B11683" s="3">
        <f ca="1">IFERROR(__xludf.DUMMYFUNCTION("""COMPUTED_VALUE"""),3)</f>
        <v>3</v>
      </c>
      <c r="C11683" s="7">
        <f ca="1">IFERROR(__xludf.DUMMYFUNCTION("""COMPUTED_VALUE"""),3.1)</f>
        <v>3.1</v>
      </c>
      <c r="D11683" s="8">
        <f ca="1">IFERROR(__xludf.DUMMYFUNCTION("""COMPUTED_VALUE"""),3)</f>
        <v>3</v>
      </c>
      <c r="E11683" s="2">
        <f ca="1">IFERROR(__xludf.DUMMYFUNCTION("""COMPUTED_VALUE"""),1)</f>
        <v>1</v>
      </c>
    </row>
    <row r="11684" spans="1:5" ht="13">
      <c r="A11684" s="2" t="str">
        <f ca="1">IFERROR(__xludf.DUMMYFUNCTION("""COMPUTED_VALUE"""),"Roustom, Kareem")</f>
        <v>Roustom, Kareem</v>
      </c>
      <c r="B11684" s="3">
        <f ca="1">IFERROR(__xludf.DUMMYFUNCTION("""COMPUTED_VALUE"""),3)</f>
        <v>3</v>
      </c>
      <c r="C11684" s="7">
        <f ca="1">IFERROR(__xludf.DUMMYFUNCTION("""COMPUTED_VALUE"""),3.5)</f>
        <v>3.5</v>
      </c>
      <c r="D11684" s="8">
        <f ca="1">IFERROR(__xludf.DUMMYFUNCTION("""COMPUTED_VALUE"""),3)</f>
        <v>3</v>
      </c>
      <c r="E11684" s="2">
        <f ca="1">IFERROR(__xludf.DUMMYFUNCTION("""COMPUTED_VALUE"""),1)</f>
        <v>1</v>
      </c>
    </row>
    <row r="11685" spans="1:5" ht="13">
      <c r="A11685" s="2" t="str">
        <f ca="1">IFERROR(__xludf.DUMMYFUNCTION("""COMPUTED_VALUE"""),"Rubén, Fuentes,")</f>
        <v>Rubén, Fuentes,</v>
      </c>
      <c r="B11685" s="3">
        <f ca="1">IFERROR(__xludf.DUMMYFUNCTION("""COMPUTED_VALUE"""),3)</f>
        <v>3</v>
      </c>
      <c r="C11685" s="7">
        <f ca="1">IFERROR(__xludf.DUMMYFUNCTION("""COMPUTED_VALUE"""),3.2)</f>
        <v>3.2</v>
      </c>
      <c r="D11685" s="8">
        <f ca="1">IFERROR(__xludf.DUMMYFUNCTION("""COMPUTED_VALUE"""),7)</f>
        <v>7</v>
      </c>
      <c r="E11685" s="2">
        <f ca="1">IFERROR(__xludf.DUMMYFUNCTION("""COMPUTED_VALUE"""),2)</f>
        <v>2</v>
      </c>
    </row>
    <row r="11686" spans="1:5" ht="13">
      <c r="A11686" s="2" t="str">
        <f ca="1">IFERROR(__xludf.DUMMYFUNCTION("""COMPUTED_VALUE"""),"Ruiz, Pablo Beltran")</f>
        <v>Ruiz, Pablo Beltran</v>
      </c>
      <c r="B11686" s="3">
        <f ca="1">IFERROR(__xludf.DUMMYFUNCTION("""COMPUTED_VALUE"""),3)</f>
        <v>3</v>
      </c>
      <c r="C11686" s="7">
        <f ca="1">IFERROR(__xludf.DUMMYFUNCTION("""COMPUTED_VALUE"""),3.2)</f>
        <v>3.2</v>
      </c>
      <c r="D11686" s="8">
        <f ca="1">IFERROR(__xludf.DUMMYFUNCTION("""COMPUTED_VALUE"""),7)</f>
        <v>7</v>
      </c>
      <c r="E11686" s="2">
        <f ca="1">IFERROR(__xludf.DUMMYFUNCTION("""COMPUTED_VALUE"""),2)</f>
        <v>2</v>
      </c>
    </row>
    <row r="11687" spans="1:5" ht="13">
      <c r="A11687" s="2" t="str">
        <f ca="1">IFERROR(__xludf.DUMMYFUNCTION("""COMPUTED_VALUE"""),"Ruiz, Pablo Beltrán")</f>
        <v>Ruiz, Pablo Beltrán</v>
      </c>
      <c r="B11687" s="2">
        <f ca="1">IFERROR(__xludf.DUMMYFUNCTION("""COMPUTED_VALUE"""),3)</f>
        <v>3</v>
      </c>
      <c r="C11687" s="7">
        <f ca="1">IFERROR(__xludf.DUMMYFUNCTION("""COMPUTED_VALUE"""),3.2)</f>
        <v>3.2</v>
      </c>
      <c r="D11687" s="8">
        <f ca="1">IFERROR(__xludf.DUMMYFUNCTION("""COMPUTED_VALUE"""),7)</f>
        <v>7</v>
      </c>
      <c r="E11687" s="2">
        <f ca="1">IFERROR(__xludf.DUMMYFUNCTION("""COMPUTED_VALUE"""),2)</f>
        <v>2</v>
      </c>
    </row>
    <row r="11688" spans="1:5" ht="13">
      <c r="A11688" s="2" t="str">
        <f ca="1">IFERROR(__xludf.DUMMYFUNCTION("""COMPUTED_VALUE"""),"Runsabove, Walter")</f>
        <v>Runsabove, Walter</v>
      </c>
      <c r="B11688" s="2">
        <f ca="1">IFERROR(__xludf.DUMMYFUNCTION("""COMPUTED_VALUE"""),3)</f>
        <v>3</v>
      </c>
      <c r="C11688" s="2">
        <f ca="1">IFERROR(__xludf.DUMMYFUNCTION("""COMPUTED_VALUE"""),3.7)</f>
        <v>3.7</v>
      </c>
      <c r="D11688" s="8">
        <f ca="1">IFERROR(__xludf.DUMMYFUNCTION("""COMPUTED_VALUE"""),3)</f>
        <v>3</v>
      </c>
      <c r="E11688" s="2">
        <f ca="1">IFERROR(__xludf.DUMMYFUNCTION("""COMPUTED_VALUE"""),1)</f>
        <v>1</v>
      </c>
    </row>
    <row r="11689" spans="1:5" ht="13">
      <c r="A11689" s="2" t="str">
        <f ca="1">IFERROR(__xludf.DUMMYFUNCTION("""COMPUTED_VALUE"""),"Ruvalcaba, Higinio")</f>
        <v>Ruvalcaba, Higinio</v>
      </c>
      <c r="B11689" s="3">
        <f ca="1">IFERROR(__xludf.DUMMYFUNCTION("""COMPUTED_VALUE"""),3)</f>
        <v>3</v>
      </c>
      <c r="C11689" s="7">
        <f ca="1">IFERROR(__xludf.DUMMYFUNCTION("""COMPUTED_VALUE"""),3.2)</f>
        <v>3.2</v>
      </c>
      <c r="D11689" s="8">
        <f ca="1">IFERROR(__xludf.DUMMYFUNCTION("""COMPUTED_VALUE"""),7)</f>
        <v>7</v>
      </c>
      <c r="E11689" s="2">
        <f ca="1">IFERROR(__xludf.DUMMYFUNCTION("""COMPUTED_VALUE"""),2)</f>
        <v>2</v>
      </c>
    </row>
    <row r="11690" spans="1:5" ht="13">
      <c r="A11690" s="2" t="str">
        <f ca="1">IFERROR(__xludf.DUMMYFUNCTION("""COMPUTED_VALUE"""),"Sabzghabaei, Daniel")</f>
        <v>Sabzghabaei, Daniel</v>
      </c>
      <c r="B11690" s="2">
        <f ca="1">IFERROR(__xludf.DUMMYFUNCTION("""COMPUTED_VALUE"""),3)</f>
        <v>3</v>
      </c>
      <c r="C11690" s="7">
        <f ca="1">IFERROR(__xludf.DUMMYFUNCTION("""COMPUTED_VALUE"""),3.5)</f>
        <v>3.5</v>
      </c>
      <c r="D11690" s="8">
        <f ca="1">IFERROR(__xludf.DUMMYFUNCTION("""COMPUTED_VALUE"""),3)</f>
        <v>3</v>
      </c>
      <c r="E11690" s="2">
        <f ca="1">IFERROR(__xludf.DUMMYFUNCTION("""COMPUTED_VALUE"""),1)</f>
        <v>1</v>
      </c>
    </row>
    <row r="11691" spans="1:5" ht="13">
      <c r="A11691" s="2" t="str">
        <f ca="1">IFERROR(__xludf.DUMMYFUNCTION("""COMPUTED_VALUE"""),"Sabzghabaei, Daniel Reza")</f>
        <v>Sabzghabaei, Daniel Reza</v>
      </c>
      <c r="B11691" s="3">
        <f ca="1">IFERROR(__xludf.DUMMYFUNCTION("""COMPUTED_VALUE"""),3)</f>
        <v>3</v>
      </c>
      <c r="C11691" s="7">
        <f ca="1">IFERROR(__xludf.DUMMYFUNCTION("""COMPUTED_VALUE"""),3.5)</f>
        <v>3.5</v>
      </c>
      <c r="D11691" s="8">
        <f ca="1">IFERROR(__xludf.DUMMYFUNCTION("""COMPUTED_VALUE"""),3)</f>
        <v>3</v>
      </c>
      <c r="E11691" s="2">
        <f ca="1">IFERROR(__xludf.DUMMYFUNCTION("""COMPUTED_VALUE"""),1)</f>
        <v>1</v>
      </c>
    </row>
    <row r="11692" spans="1:5" ht="13">
      <c r="A11692" s="2" t="str">
        <f ca="1">IFERROR(__xludf.DUMMYFUNCTION("""COMPUTED_VALUE"""),"Sadel, Alfredo")</f>
        <v>Sadel, Alfredo</v>
      </c>
      <c r="B11692" s="3">
        <f ca="1">IFERROR(__xludf.DUMMYFUNCTION("""COMPUTED_VALUE"""),3)</f>
        <v>3</v>
      </c>
      <c r="C11692" s="7">
        <f ca="1">IFERROR(__xludf.DUMMYFUNCTION("""COMPUTED_VALUE"""),3.2)</f>
        <v>3.2</v>
      </c>
      <c r="D11692" s="8">
        <f ca="1">IFERROR(__xludf.DUMMYFUNCTION("""COMPUTED_VALUE"""),7)</f>
        <v>7</v>
      </c>
      <c r="E11692" s="2">
        <f ca="1">IFERROR(__xludf.DUMMYFUNCTION("""COMPUTED_VALUE"""),2)</f>
        <v>2</v>
      </c>
    </row>
    <row r="11693" spans="1:5" ht="13">
      <c r="A11693" s="2" t="str">
        <f ca="1">IFERROR(__xludf.DUMMYFUNCTION("""COMPUTED_VALUE"""),"Sadel, Alfredo / Tucci, Terig")</f>
        <v>Sadel, Alfredo / Tucci, Terig</v>
      </c>
      <c r="B11693" s="3">
        <f ca="1">IFERROR(__xludf.DUMMYFUNCTION("""COMPUTED_VALUE"""),3)</f>
        <v>3</v>
      </c>
      <c r="C11693" s="7">
        <f ca="1">IFERROR(__xludf.DUMMYFUNCTION("""COMPUTED_VALUE"""),3.2)</f>
        <v>3.2</v>
      </c>
      <c r="D11693" s="8">
        <f ca="1">IFERROR(__xludf.DUMMYFUNCTION("""COMPUTED_VALUE"""),7)</f>
        <v>7</v>
      </c>
      <c r="E11693" s="2">
        <f ca="1">IFERROR(__xludf.DUMMYFUNCTION("""COMPUTED_VALUE"""),2)</f>
        <v>2</v>
      </c>
    </row>
    <row r="11694" spans="1:5" ht="13">
      <c r="A11694" s="2" t="str">
        <f ca="1">IFERROR(__xludf.DUMMYFUNCTION("""COMPUTED_VALUE"""),"Sainsbury, Christopher")</f>
        <v>Sainsbury, Christopher</v>
      </c>
      <c r="B11694" s="2">
        <f ca="1">IFERROR(__xludf.DUMMYFUNCTION("""COMPUTED_VALUE"""),3)</f>
        <v>3</v>
      </c>
      <c r="C11694" s="7">
        <f ca="1">IFERROR(__xludf.DUMMYFUNCTION("""COMPUTED_VALUE"""),3.6)</f>
        <v>3.6</v>
      </c>
      <c r="D11694" s="8">
        <f ca="1">IFERROR(__xludf.DUMMYFUNCTION("""COMPUTED_VALUE"""),3)</f>
        <v>3</v>
      </c>
      <c r="E11694" s="2">
        <f ca="1">IFERROR(__xludf.DUMMYFUNCTION("""COMPUTED_VALUE"""),1)</f>
        <v>1</v>
      </c>
    </row>
    <row r="11695" spans="1:5" ht="13">
      <c r="A11695" s="2" t="str">
        <f ca="1">IFERROR(__xludf.DUMMYFUNCTION("""COMPUTED_VALUE"""),"Sakai, Itaru")</f>
        <v>Sakai, Itaru</v>
      </c>
      <c r="B11695" s="3">
        <f ca="1">IFERROR(__xludf.DUMMYFUNCTION("""COMPUTED_VALUE"""),3)</f>
        <v>3</v>
      </c>
      <c r="C11695" s="7">
        <f ca="1">IFERROR(__xludf.DUMMYFUNCTION("""COMPUTED_VALUE"""),3.3)</f>
        <v>3.3</v>
      </c>
      <c r="D11695" s="8">
        <f ca="1">IFERROR(__xludf.DUMMYFUNCTION("""COMPUTED_VALUE"""),3)</f>
        <v>3</v>
      </c>
      <c r="E11695" s="2">
        <f ca="1">IFERROR(__xludf.DUMMYFUNCTION("""COMPUTED_VALUE"""),1)</f>
        <v>1</v>
      </c>
    </row>
    <row r="11696" spans="1:5" ht="13">
      <c r="A11696" s="2" t="str">
        <f ca="1">IFERROR(__xludf.DUMMYFUNCTION("""COMPUTED_VALUE"""),"Sakai, Takamasa")</f>
        <v>Sakai, Takamasa</v>
      </c>
      <c r="B11696" s="3">
        <f ca="1">IFERROR(__xludf.DUMMYFUNCTION("""COMPUTED_VALUE"""),3)</f>
        <v>3</v>
      </c>
      <c r="C11696" s="7">
        <f ca="1">IFERROR(__xludf.DUMMYFUNCTION("""COMPUTED_VALUE"""),3.3)</f>
        <v>3.3</v>
      </c>
      <c r="D11696" s="8">
        <f ca="1">IFERROR(__xludf.DUMMYFUNCTION("""COMPUTED_VALUE"""),3)</f>
        <v>3</v>
      </c>
      <c r="E11696" s="2">
        <f ca="1">IFERROR(__xludf.DUMMYFUNCTION("""COMPUTED_VALUE"""),1)</f>
        <v>1</v>
      </c>
    </row>
    <row r="11697" spans="1:5" ht="13">
      <c r="A11697" s="2" t="str">
        <f ca="1">IFERROR(__xludf.DUMMYFUNCTION("""COMPUTED_VALUE"""),"Sakamoto, Ryuichi")</f>
        <v>Sakamoto, Ryuichi</v>
      </c>
      <c r="B11697" s="3">
        <f ca="1">IFERROR(__xludf.DUMMYFUNCTION("""COMPUTED_VALUE"""),3)</f>
        <v>3</v>
      </c>
      <c r="C11697" s="7">
        <f ca="1">IFERROR(__xludf.DUMMYFUNCTION("""COMPUTED_VALUE"""),3.3)</f>
        <v>3.3</v>
      </c>
      <c r="D11697" s="8">
        <f ca="1">IFERROR(__xludf.DUMMYFUNCTION("""COMPUTED_VALUE"""),3)</f>
        <v>3</v>
      </c>
      <c r="E11697" s="2">
        <f ca="1">IFERROR(__xludf.DUMMYFUNCTION("""COMPUTED_VALUE"""),1)</f>
        <v>1</v>
      </c>
    </row>
    <row r="11698" spans="1:5" ht="13">
      <c r="A11698" s="8" t="str">
        <f ca="1">IFERROR(__xludf.DUMMYFUNCTION("""COMPUTED_VALUE"""),"Sala, Aaron")</f>
        <v>Sala, Aaron</v>
      </c>
      <c r="B11698" s="3">
        <f ca="1">IFERROR(__xludf.DUMMYFUNCTION("""COMPUTED_VALUE"""),3)</f>
        <v>3</v>
      </c>
      <c r="C11698" s="7">
        <f ca="1">IFERROR(__xludf.DUMMYFUNCTION("""COMPUTED_VALUE"""),3.6)</f>
        <v>3.6</v>
      </c>
      <c r="D11698" s="8">
        <f ca="1">IFERROR(__xludf.DUMMYFUNCTION("""COMPUTED_VALUE"""),3)</f>
        <v>3</v>
      </c>
      <c r="E11698" s="2">
        <f ca="1">IFERROR(__xludf.DUMMYFUNCTION("""COMPUTED_VALUE"""),1)</f>
        <v>1</v>
      </c>
    </row>
    <row r="11699" spans="1:5" ht="13">
      <c r="A11699" s="2" t="str">
        <f ca="1">IFERROR(__xludf.DUMMYFUNCTION("""COMPUTED_VALUE"""),"Salas y Castro, Esteban")</f>
        <v>Salas y Castro, Esteban</v>
      </c>
      <c r="B11699" s="3">
        <f ca="1">IFERROR(__xludf.DUMMYFUNCTION("""COMPUTED_VALUE"""),3)</f>
        <v>3</v>
      </c>
      <c r="C11699" s="7">
        <f ca="1">IFERROR(__xludf.DUMMYFUNCTION("""COMPUTED_VALUE"""),3.2)</f>
        <v>3.2</v>
      </c>
      <c r="D11699" s="8">
        <f ca="1">IFERROR(__xludf.DUMMYFUNCTION("""COMPUTED_VALUE"""),7)</f>
        <v>7</v>
      </c>
      <c r="E11699" s="2">
        <f ca="1">IFERROR(__xludf.DUMMYFUNCTION("""COMPUTED_VALUE"""),2)</f>
        <v>2</v>
      </c>
    </row>
    <row r="11700" spans="1:5" ht="13">
      <c r="A11700" s="2" t="str">
        <f ca="1">IFERROR(__xludf.DUMMYFUNCTION("""COMPUTED_VALUE"""),"Salazar, Antonio de")</f>
        <v>Salazar, Antonio de</v>
      </c>
      <c r="B11700" s="2">
        <f ca="1">IFERROR(__xludf.DUMMYFUNCTION("""COMPUTED_VALUE"""),3)</f>
        <v>3</v>
      </c>
      <c r="C11700" s="2">
        <f ca="1">IFERROR(__xludf.DUMMYFUNCTION("""COMPUTED_VALUE"""),3.2)</f>
        <v>3.2</v>
      </c>
      <c r="D11700" s="8">
        <f ca="1">IFERROR(__xludf.DUMMYFUNCTION("""COMPUTED_VALUE"""),7)</f>
        <v>7</v>
      </c>
      <c r="E11700" s="2">
        <f ca="1">IFERROR(__xludf.DUMMYFUNCTION("""COMPUTED_VALUE"""),2)</f>
        <v>2</v>
      </c>
    </row>
    <row r="11701" spans="1:5" ht="13">
      <c r="A11701" s="8" t="str">
        <f ca="1">IFERROR(__xludf.DUMMYFUNCTION("""COMPUTED_VALUE"""),"Salehi, Bobak")</f>
        <v>Salehi, Bobak</v>
      </c>
      <c r="B11701" s="3">
        <f ca="1">IFERROR(__xludf.DUMMYFUNCTION("""COMPUTED_VALUE"""),3)</f>
        <v>3</v>
      </c>
      <c r="C11701" s="7">
        <f ca="1">IFERROR(__xludf.DUMMYFUNCTION("""COMPUTED_VALUE"""),3.5)</f>
        <v>3.5</v>
      </c>
      <c r="D11701" s="8">
        <f ca="1">IFERROR(__xludf.DUMMYFUNCTION("""COMPUTED_VALUE"""),3)</f>
        <v>3</v>
      </c>
      <c r="E11701" s="2">
        <f ca="1">IFERROR(__xludf.DUMMYFUNCTION("""COMPUTED_VALUE"""),1)</f>
        <v>1</v>
      </c>
    </row>
    <row r="11702" spans="1:5" ht="13">
      <c r="A11702" s="2" t="str">
        <f ca="1">IFERROR(__xludf.DUMMYFUNCTION("""COMPUTED_VALUE"""),"Salles, Felipe")</f>
        <v>Salles, Felipe</v>
      </c>
      <c r="B11702" s="3">
        <f ca="1">IFERROR(__xludf.DUMMYFUNCTION("""COMPUTED_VALUE"""),3)</f>
        <v>3</v>
      </c>
      <c r="C11702" s="7">
        <f ca="1">IFERROR(__xludf.DUMMYFUNCTION("""COMPUTED_VALUE"""),3.2)</f>
        <v>3.2</v>
      </c>
      <c r="D11702" s="8">
        <f ca="1">IFERROR(__xludf.DUMMYFUNCTION("""COMPUTED_VALUE"""),3)</f>
        <v>3</v>
      </c>
      <c r="E11702" s="2">
        <f ca="1">IFERROR(__xludf.DUMMYFUNCTION("""COMPUTED_VALUE"""),1)</f>
        <v>1</v>
      </c>
    </row>
    <row r="11703" spans="1:5" ht="13">
      <c r="A11703" s="2" t="str">
        <f ca="1">IFERROR(__xludf.DUMMYFUNCTION("""COMPUTED_VALUE"""),"Salvagni, Gilberto")</f>
        <v>Salvagni, Gilberto</v>
      </c>
      <c r="B11703" s="3">
        <f ca="1">IFERROR(__xludf.DUMMYFUNCTION("""COMPUTED_VALUE"""),3)</f>
        <v>3</v>
      </c>
      <c r="C11703" s="7">
        <f ca="1">IFERROR(__xludf.DUMMYFUNCTION("""COMPUTED_VALUE"""),3.2)</f>
        <v>3.2</v>
      </c>
      <c r="D11703" s="8">
        <f ca="1">IFERROR(__xludf.DUMMYFUNCTION("""COMPUTED_VALUE"""),3)</f>
        <v>3</v>
      </c>
      <c r="E11703" s="2">
        <f ca="1">IFERROR(__xludf.DUMMYFUNCTION("""COMPUTED_VALUE"""),1)</f>
        <v>1</v>
      </c>
    </row>
    <row r="11704" spans="1:5" ht="13">
      <c r="A11704" s="2" t="str">
        <f ca="1">IFERROR(__xludf.DUMMYFUNCTION("""COMPUTED_VALUE"""),"Sample, Lance")</f>
        <v>Sample, Lance</v>
      </c>
      <c r="B11704" s="3">
        <f ca="1">IFERROR(__xludf.DUMMYFUNCTION("""COMPUTED_VALUE"""),3)</f>
        <v>3</v>
      </c>
      <c r="C11704" s="7">
        <f ca="1">IFERROR(__xludf.DUMMYFUNCTION("""COMPUTED_VALUE"""),3.1)</f>
        <v>3.1</v>
      </c>
      <c r="D11704" s="8">
        <f ca="1">IFERROR(__xludf.DUMMYFUNCTION("""COMPUTED_VALUE"""),3)</f>
        <v>3</v>
      </c>
      <c r="E11704" s="2">
        <f ca="1">IFERROR(__xludf.DUMMYFUNCTION("""COMPUTED_VALUE"""),1)</f>
        <v>1</v>
      </c>
    </row>
    <row r="11705" spans="1:5" ht="13">
      <c r="A11705" s="2" t="str">
        <f ca="1">IFERROR(__xludf.DUMMYFUNCTION("""COMPUTED_VALUE"""),"Sampson, Edgar")</f>
        <v>Sampson, Edgar</v>
      </c>
      <c r="B11705" s="2">
        <f ca="1">IFERROR(__xludf.DUMMYFUNCTION("""COMPUTED_VALUE"""),3)</f>
        <v>3</v>
      </c>
      <c r="C11705" s="7">
        <f ca="1">IFERROR(__xludf.DUMMYFUNCTION("""COMPUTED_VALUE"""),3.1)</f>
        <v>3.1</v>
      </c>
      <c r="D11705" s="8">
        <f ca="1">IFERROR(__xludf.DUMMYFUNCTION("""COMPUTED_VALUE"""),7)</f>
        <v>7</v>
      </c>
      <c r="E11705" s="2">
        <f ca="1">IFERROR(__xludf.DUMMYFUNCTION("""COMPUTED_VALUE"""),2)</f>
        <v>2</v>
      </c>
    </row>
    <row r="11706" spans="1:5" ht="13">
      <c r="A11706" s="2" t="str">
        <f ca="1">IFERROR(__xludf.DUMMYFUNCTION("""COMPUTED_VALUE"""),"Samuel, David")</f>
        <v>Samuel, David</v>
      </c>
      <c r="B11706" s="2">
        <f ca="1">IFERROR(__xludf.DUMMYFUNCTION("""COMPUTED_VALUE"""),3)</f>
        <v>3</v>
      </c>
      <c r="C11706" s="7">
        <f ca="1">IFERROR(__xludf.DUMMYFUNCTION("""COMPUTED_VALUE"""),3.1)</f>
        <v>3.1</v>
      </c>
      <c r="D11706" s="8">
        <f ca="1">IFERROR(__xludf.DUMMYFUNCTION("""COMPUTED_VALUE"""),3)</f>
        <v>3</v>
      </c>
      <c r="E11706" s="2">
        <f ca="1">IFERROR(__xludf.DUMMYFUNCTION("""COMPUTED_VALUE"""),1)</f>
        <v>1</v>
      </c>
    </row>
    <row r="11707" spans="1:5" ht="13">
      <c r="A11707" s="2" t="str">
        <f ca="1">IFERROR(__xludf.DUMMYFUNCTION("""COMPUTED_VALUE"""),"Sánchez-Gutierrez, Carlos")</f>
        <v>Sánchez-Gutierrez, Carlos</v>
      </c>
      <c r="B11707" s="3">
        <f ca="1">IFERROR(__xludf.DUMMYFUNCTION("""COMPUTED_VALUE"""),3)</f>
        <v>3</v>
      </c>
      <c r="C11707" s="7">
        <f ca="1">IFERROR(__xludf.DUMMYFUNCTION("""COMPUTED_VALUE"""),3.2)</f>
        <v>3.2</v>
      </c>
      <c r="D11707" s="8">
        <f ca="1">IFERROR(__xludf.DUMMYFUNCTION("""COMPUTED_VALUE"""),3)</f>
        <v>3</v>
      </c>
      <c r="E11707" s="2">
        <f ca="1">IFERROR(__xludf.DUMMYFUNCTION("""COMPUTED_VALUE"""),1)</f>
        <v>1</v>
      </c>
    </row>
    <row r="11708" spans="1:5" ht="13">
      <c r="A11708" s="8" t="str">
        <f ca="1">IFERROR(__xludf.DUMMYFUNCTION("""COMPUTED_VALUE"""),"Sánchez, Enriquillo")</f>
        <v>Sánchez, Enriquillo</v>
      </c>
      <c r="B11708" s="3">
        <f ca="1">IFERROR(__xludf.DUMMYFUNCTION("""COMPUTED_VALUE"""),3)</f>
        <v>3</v>
      </c>
      <c r="C11708" s="7">
        <f ca="1">IFERROR(__xludf.DUMMYFUNCTION("""COMPUTED_VALUE"""),3.2)</f>
        <v>3.2</v>
      </c>
      <c r="D11708" s="8">
        <f ca="1">IFERROR(__xludf.DUMMYFUNCTION("""COMPUTED_VALUE"""),7)</f>
        <v>7</v>
      </c>
      <c r="E11708" s="2">
        <f ca="1">IFERROR(__xludf.DUMMYFUNCTION("""COMPUTED_VALUE"""),2)</f>
        <v>2</v>
      </c>
    </row>
    <row r="11709" spans="1:5" ht="13">
      <c r="A11709" s="8" t="str">
        <f ca="1">IFERROR(__xludf.DUMMYFUNCTION("""COMPUTED_VALUE"""),"Sanchez, Noe")</f>
        <v>Sanchez, Noe</v>
      </c>
      <c r="B11709" s="3">
        <f ca="1">IFERROR(__xludf.DUMMYFUNCTION("""COMPUTED_VALUE"""),3)</f>
        <v>3</v>
      </c>
      <c r="C11709" s="7">
        <f ca="1">IFERROR(__xludf.DUMMYFUNCTION("""COMPUTED_VALUE"""),3.2)</f>
        <v>3.2</v>
      </c>
      <c r="D11709" s="8">
        <f ca="1">IFERROR(__xludf.DUMMYFUNCTION("""COMPUTED_VALUE"""),3)</f>
        <v>3</v>
      </c>
      <c r="E11709" s="2">
        <f ca="1">IFERROR(__xludf.DUMMYFUNCTION("""COMPUTED_VALUE"""),1)</f>
        <v>1</v>
      </c>
    </row>
    <row r="11710" spans="1:5" ht="13">
      <c r="A11710" s="2" t="str">
        <f ca="1">IFERROR(__xludf.DUMMYFUNCTION("""COMPUTED_VALUE"""),"Sancho, Ignatius")</f>
        <v>Sancho, Ignatius</v>
      </c>
      <c r="B11710" s="3">
        <f ca="1">IFERROR(__xludf.DUMMYFUNCTION("""COMPUTED_VALUE"""),3)</f>
        <v>3</v>
      </c>
      <c r="C11710" s="7">
        <f ca="1">IFERROR(__xludf.DUMMYFUNCTION("""COMPUTED_VALUE"""),3.2)</f>
        <v>3.2</v>
      </c>
      <c r="D11710" s="8">
        <f ca="1">IFERROR(__xludf.DUMMYFUNCTION("""COMPUTED_VALUE"""),7)</f>
        <v>7</v>
      </c>
      <c r="E11710" s="2">
        <f ca="1">IFERROR(__xludf.DUMMYFUNCTION("""COMPUTED_VALUE"""),2)</f>
        <v>2</v>
      </c>
    </row>
    <row r="11711" spans="1:5" ht="13">
      <c r="A11711" s="2" t="str">
        <f ca="1">IFERROR(__xludf.DUMMYFUNCTION("""COMPUTED_VALUE"""),"Sandi, Luis")</f>
        <v>Sandi, Luis</v>
      </c>
      <c r="B11711" s="3">
        <f ca="1">IFERROR(__xludf.DUMMYFUNCTION("""COMPUTED_VALUE"""),3)</f>
        <v>3</v>
      </c>
      <c r="C11711" s="7">
        <f ca="1">IFERROR(__xludf.DUMMYFUNCTION("""COMPUTED_VALUE"""),3.2)</f>
        <v>3.2</v>
      </c>
      <c r="D11711" s="8">
        <f ca="1">IFERROR(__xludf.DUMMYFUNCTION("""COMPUTED_VALUE"""),7)</f>
        <v>7</v>
      </c>
      <c r="E11711" s="2">
        <f ca="1">IFERROR(__xludf.DUMMYFUNCTION("""COMPUTED_VALUE"""),2)</f>
        <v>2</v>
      </c>
    </row>
    <row r="11712" spans="1:5" ht="13">
      <c r="A11712" s="2" t="str">
        <f ca="1">IFERROR(__xludf.DUMMYFUNCTION("""COMPUTED_VALUE"""),"Sandoval, Arturo")</f>
        <v>Sandoval, Arturo</v>
      </c>
      <c r="B11712" s="3">
        <f ca="1">IFERROR(__xludf.DUMMYFUNCTION("""COMPUTED_VALUE"""),3)</f>
        <v>3</v>
      </c>
      <c r="C11712" s="7">
        <f ca="1">IFERROR(__xludf.DUMMYFUNCTION("""COMPUTED_VALUE"""),3.2)</f>
        <v>3.2</v>
      </c>
      <c r="D11712" s="8">
        <f ca="1">IFERROR(__xludf.DUMMYFUNCTION("""COMPUTED_VALUE"""),3)</f>
        <v>3</v>
      </c>
      <c r="E11712" s="2">
        <f ca="1">IFERROR(__xludf.DUMMYFUNCTION("""COMPUTED_VALUE"""),1)</f>
        <v>1</v>
      </c>
    </row>
    <row r="11713" spans="1:5" ht="13">
      <c r="A11713" s="2" t="str">
        <f ca="1">IFERROR(__xludf.DUMMYFUNCTION("""COMPUTED_VALUE"""),"Sanford, David")</f>
        <v>Sanford, David</v>
      </c>
      <c r="B11713" s="3">
        <f ca="1">IFERROR(__xludf.DUMMYFUNCTION("""COMPUTED_VALUE"""),3)</f>
        <v>3</v>
      </c>
      <c r="C11713" s="7">
        <f ca="1">IFERROR(__xludf.DUMMYFUNCTION("""COMPUTED_VALUE"""),3.1)</f>
        <v>3.1</v>
      </c>
      <c r="D11713" s="8">
        <f ca="1">IFERROR(__xludf.DUMMYFUNCTION("""COMPUTED_VALUE"""),3)</f>
        <v>3</v>
      </c>
      <c r="E11713" s="2">
        <f ca="1">IFERROR(__xludf.DUMMYFUNCTION("""COMPUTED_VALUE"""),1)</f>
        <v>1</v>
      </c>
    </row>
    <row r="11714" spans="1:5" ht="13">
      <c r="A11714" s="2" t="str">
        <f ca="1">IFERROR(__xludf.DUMMYFUNCTION("""COMPUTED_VALUE"""),"Sanford, O'Neill")</f>
        <v>Sanford, O'Neill</v>
      </c>
      <c r="B11714" s="3">
        <f ca="1">IFERROR(__xludf.DUMMYFUNCTION("""COMPUTED_VALUE"""),3)</f>
        <v>3</v>
      </c>
      <c r="C11714" s="7">
        <f ca="1">IFERROR(__xludf.DUMMYFUNCTION("""COMPUTED_VALUE"""),3.1)</f>
        <v>3.1</v>
      </c>
      <c r="D11714" s="8">
        <f ca="1">IFERROR(__xludf.DUMMYFUNCTION("""COMPUTED_VALUE"""),3)</f>
        <v>3</v>
      </c>
      <c r="E11714" s="2">
        <f ca="1">IFERROR(__xludf.DUMMYFUNCTION("""COMPUTED_VALUE"""),1)</f>
        <v>1</v>
      </c>
    </row>
    <row r="11715" spans="1:5" ht="13">
      <c r="A11715" s="2" t="str">
        <f ca="1">IFERROR(__xludf.DUMMYFUNCTION("""COMPUTED_VALUE"""),"Santa Cruz, Domingo")</f>
        <v>Santa Cruz, Domingo</v>
      </c>
      <c r="B11715" s="3">
        <f ca="1">IFERROR(__xludf.DUMMYFUNCTION("""COMPUTED_VALUE"""),3)</f>
        <v>3</v>
      </c>
      <c r="C11715" s="7">
        <f ca="1">IFERROR(__xludf.DUMMYFUNCTION("""COMPUTED_VALUE"""),3.2)</f>
        <v>3.2</v>
      </c>
      <c r="D11715" s="8">
        <f ca="1">IFERROR(__xludf.DUMMYFUNCTION("""COMPUTED_VALUE"""),7)</f>
        <v>7</v>
      </c>
      <c r="E11715" s="2">
        <f ca="1">IFERROR(__xludf.DUMMYFUNCTION("""COMPUTED_VALUE"""),2)</f>
        <v>2</v>
      </c>
    </row>
    <row r="11716" spans="1:5" ht="13">
      <c r="A11716" s="2" t="str">
        <f ca="1">IFERROR(__xludf.DUMMYFUNCTION("""COMPUTED_VALUE"""),"Santamaria, Mongo")</f>
        <v>Santamaria, Mongo</v>
      </c>
      <c r="B11716" s="3">
        <f ca="1">IFERROR(__xludf.DUMMYFUNCTION("""COMPUTED_VALUE"""),3)</f>
        <v>3</v>
      </c>
      <c r="C11716" s="7">
        <f ca="1">IFERROR(__xludf.DUMMYFUNCTION("""COMPUTED_VALUE"""),3.2)</f>
        <v>3.2</v>
      </c>
      <c r="D11716" s="8">
        <f ca="1">IFERROR(__xludf.DUMMYFUNCTION("""COMPUTED_VALUE"""),7)</f>
        <v>7</v>
      </c>
      <c r="E11716" s="2">
        <f ca="1">IFERROR(__xludf.DUMMYFUNCTION("""COMPUTED_VALUE"""),2)</f>
        <v>2</v>
      </c>
    </row>
    <row r="11717" spans="1:5" ht="13">
      <c r="A11717" s="2" t="str">
        <f ca="1">IFERROR(__xludf.DUMMYFUNCTION("""COMPUTED_VALUE"""),"Santamaría, Mongo")</f>
        <v>Santamaría, Mongo</v>
      </c>
      <c r="B11717" s="2">
        <f ca="1">IFERROR(__xludf.DUMMYFUNCTION("""COMPUTED_VALUE"""),3)</f>
        <v>3</v>
      </c>
      <c r="C11717" s="7">
        <f ca="1">IFERROR(__xludf.DUMMYFUNCTION("""COMPUTED_VALUE"""),3.1)</f>
        <v>3.1</v>
      </c>
      <c r="D11717" s="8">
        <f ca="1">IFERROR(__xludf.DUMMYFUNCTION("""COMPUTED_VALUE"""),7)</f>
        <v>7</v>
      </c>
      <c r="E11717" s="2">
        <f ca="1">IFERROR(__xludf.DUMMYFUNCTION("""COMPUTED_VALUE"""),2)</f>
        <v>2</v>
      </c>
    </row>
    <row r="11718" spans="1:5" ht="13">
      <c r="A11718" s="2" t="str">
        <f ca="1">IFERROR(__xludf.DUMMYFUNCTION("""COMPUTED_VALUE"""),"Santana, Carlos")</f>
        <v>Santana, Carlos</v>
      </c>
      <c r="B11718" s="2">
        <f ca="1">IFERROR(__xludf.DUMMYFUNCTION("""COMPUTED_VALUE"""),3)</f>
        <v>3</v>
      </c>
      <c r="C11718" s="7">
        <f ca="1">IFERROR(__xludf.DUMMYFUNCTION("""COMPUTED_VALUE"""),3.2)</f>
        <v>3.2</v>
      </c>
      <c r="D11718" s="8">
        <f ca="1">IFERROR(__xludf.DUMMYFUNCTION("""COMPUTED_VALUE"""),3)</f>
        <v>3</v>
      </c>
      <c r="E11718" s="2">
        <f ca="1">IFERROR(__xludf.DUMMYFUNCTION("""COMPUTED_VALUE"""),1)</f>
        <v>1</v>
      </c>
    </row>
    <row r="11719" spans="1:5" ht="13">
      <c r="A11719" s="8" t="str">
        <f ca="1">IFERROR(__xludf.DUMMYFUNCTION("""COMPUTED_VALUE"""),"Santoro, Cláudio")</f>
        <v>Santoro, Cláudio</v>
      </c>
      <c r="B11719" s="3">
        <f ca="1">IFERROR(__xludf.DUMMYFUNCTION("""COMPUTED_VALUE"""),3)</f>
        <v>3</v>
      </c>
      <c r="C11719" s="7">
        <f ca="1">IFERROR(__xludf.DUMMYFUNCTION("""COMPUTED_VALUE"""),3.2)</f>
        <v>3.2</v>
      </c>
      <c r="D11719" s="8">
        <f ca="1">IFERROR(__xludf.DUMMYFUNCTION("""COMPUTED_VALUE"""),7)</f>
        <v>7</v>
      </c>
      <c r="E11719" s="2">
        <f ca="1">IFERROR(__xludf.DUMMYFUNCTION("""COMPUTED_VALUE"""),2)</f>
        <v>2</v>
      </c>
    </row>
    <row r="11720" spans="1:5" ht="13">
      <c r="A11720" s="2" t="str">
        <f ca="1">IFERROR(__xludf.DUMMYFUNCTION("""COMPUTED_VALUE"""),"Santos, Giovanni")</f>
        <v>Santos, Giovanni</v>
      </c>
      <c r="B11720" s="3">
        <f ca="1">IFERROR(__xludf.DUMMYFUNCTION("""COMPUTED_VALUE"""),3)</f>
        <v>3</v>
      </c>
      <c r="C11720" s="7">
        <f ca="1">IFERROR(__xludf.DUMMYFUNCTION("""COMPUTED_VALUE"""),3.2)</f>
        <v>3.2</v>
      </c>
      <c r="D11720" s="8">
        <f ca="1">IFERROR(__xludf.DUMMYFUNCTION("""COMPUTED_VALUE"""),3)</f>
        <v>3</v>
      </c>
      <c r="E11720" s="2">
        <f ca="1">IFERROR(__xludf.DUMMYFUNCTION("""COMPUTED_VALUE"""),1)</f>
        <v>1</v>
      </c>
    </row>
    <row r="11721" spans="1:5" ht="13">
      <c r="A11721" s="2" t="str">
        <f ca="1">IFERROR(__xludf.DUMMYFUNCTION("""COMPUTED_VALUE"""),"Santos, Maxi")</f>
        <v>Santos, Maxi</v>
      </c>
      <c r="B11721" s="3">
        <f ca="1">IFERROR(__xludf.DUMMYFUNCTION("""COMPUTED_VALUE"""),3)</f>
        <v>3</v>
      </c>
      <c r="C11721" s="7">
        <f ca="1">IFERROR(__xludf.DUMMYFUNCTION("""COMPUTED_VALUE"""),3.2)</f>
        <v>3.2</v>
      </c>
      <c r="D11721" s="8">
        <f ca="1">IFERROR(__xludf.DUMMYFUNCTION("""COMPUTED_VALUE"""),3)</f>
        <v>3</v>
      </c>
      <c r="E11721" s="2">
        <f ca="1">IFERROR(__xludf.DUMMYFUNCTION("""COMPUTED_VALUE"""),1)</f>
        <v>1</v>
      </c>
    </row>
    <row r="11722" spans="1:5" ht="13">
      <c r="A11722" s="8" t="str">
        <f ca="1">IFERROR(__xludf.DUMMYFUNCTION("""COMPUTED_VALUE"""),"Saplan, Jace")</f>
        <v>Saplan, Jace</v>
      </c>
      <c r="B11722" s="3">
        <f ca="1">IFERROR(__xludf.DUMMYFUNCTION("""COMPUTED_VALUE"""),3)</f>
        <v>3</v>
      </c>
      <c r="C11722" s="7">
        <f ca="1">IFERROR(__xludf.DUMMYFUNCTION("""COMPUTED_VALUE"""),3.6)</f>
        <v>3.6</v>
      </c>
      <c r="D11722" s="8">
        <f ca="1">IFERROR(__xludf.DUMMYFUNCTION("""COMPUTED_VALUE"""),3)</f>
        <v>3</v>
      </c>
      <c r="E11722" s="2">
        <f ca="1">IFERROR(__xludf.DUMMYFUNCTION("""COMPUTED_VALUE"""),1)</f>
        <v>1</v>
      </c>
    </row>
    <row r="11723" spans="1:5" ht="13">
      <c r="A11723" s="2" t="str">
        <f ca="1">IFERROR(__xludf.DUMMYFUNCTION("""COMPUTED_VALUE"""),"Sargon, Simon")</f>
        <v>Sargon, Simon</v>
      </c>
      <c r="B11723" s="3">
        <f ca="1">IFERROR(__xludf.DUMMYFUNCTION("""COMPUTED_VALUE"""),3)</f>
        <v>3</v>
      </c>
      <c r="C11723" s="7">
        <f ca="1">IFERROR(__xludf.DUMMYFUNCTION("""COMPUTED_VALUE"""),3.4)</f>
        <v>3.4</v>
      </c>
      <c r="D11723" s="8">
        <f ca="1">IFERROR(__xludf.DUMMYFUNCTION("""COMPUTED_VALUE"""),7)</f>
        <v>7</v>
      </c>
      <c r="E11723" s="2">
        <f ca="1">IFERROR(__xludf.DUMMYFUNCTION("""COMPUTED_VALUE"""),2)</f>
        <v>2</v>
      </c>
    </row>
    <row r="11724" spans="1:5" ht="13">
      <c r="A11724" s="2" t="str">
        <f ca="1">IFERROR(__xludf.DUMMYFUNCTION("""COMPUTED_VALUE"""),"Sas, Andrés")</f>
        <v>Sas, Andrés</v>
      </c>
      <c r="B11724" s="3">
        <f ca="1">IFERROR(__xludf.DUMMYFUNCTION("""COMPUTED_VALUE"""),3)</f>
        <v>3</v>
      </c>
      <c r="C11724" s="7">
        <f ca="1">IFERROR(__xludf.DUMMYFUNCTION("""COMPUTED_VALUE"""),3.2)</f>
        <v>3.2</v>
      </c>
      <c r="D11724" s="8">
        <f ca="1">IFERROR(__xludf.DUMMYFUNCTION("""COMPUTED_VALUE"""),7)</f>
        <v>7</v>
      </c>
      <c r="E11724" s="2">
        <f ca="1">IFERROR(__xludf.DUMMYFUNCTION("""COMPUTED_VALUE"""),2)</f>
        <v>2</v>
      </c>
    </row>
    <row r="11725" spans="1:5" ht="13">
      <c r="A11725" s="2" t="str">
        <f ca="1">IFERROR(__xludf.DUMMYFUNCTION("""COMPUTED_VALUE"""),"Sato, Kentaro")</f>
        <v>Sato, Kentaro</v>
      </c>
      <c r="B11725" s="3">
        <f ca="1">IFERROR(__xludf.DUMMYFUNCTION("""COMPUTED_VALUE"""),3)</f>
        <v>3</v>
      </c>
      <c r="C11725" s="7">
        <f ca="1">IFERROR(__xludf.DUMMYFUNCTION("""COMPUTED_VALUE"""),3.3)</f>
        <v>3.3</v>
      </c>
      <c r="D11725" s="8">
        <f ca="1">IFERROR(__xludf.DUMMYFUNCTION("""COMPUTED_VALUE"""),3)</f>
        <v>3</v>
      </c>
      <c r="E11725" s="2">
        <f ca="1">IFERROR(__xludf.DUMMYFUNCTION("""COMPUTED_VALUE"""),1)</f>
        <v>1</v>
      </c>
    </row>
    <row r="11726" spans="1:5" ht="13">
      <c r="A11726" s="2" t="str">
        <f ca="1">IFERROR(__xludf.DUMMYFUNCTION("""COMPUTED_VALUE"""),"Satoh, Masato")</f>
        <v>Satoh, Masato</v>
      </c>
      <c r="B11726" s="2">
        <f ca="1">IFERROR(__xludf.DUMMYFUNCTION("""COMPUTED_VALUE"""),3)</f>
        <v>3</v>
      </c>
      <c r="C11726" s="2">
        <f ca="1">IFERROR(__xludf.DUMMYFUNCTION("""COMPUTED_VALUE"""),3.3)</f>
        <v>3.3</v>
      </c>
      <c r="D11726" s="8">
        <f ca="1">IFERROR(__xludf.DUMMYFUNCTION("""COMPUTED_VALUE"""),3)</f>
        <v>3</v>
      </c>
      <c r="E11726" s="2">
        <f ca="1">IFERROR(__xludf.DUMMYFUNCTION("""COMPUTED_VALUE"""),1)</f>
        <v>1</v>
      </c>
    </row>
    <row r="11727" spans="1:5" ht="13">
      <c r="A11727" s="2" t="str">
        <f ca="1">IFERROR(__xludf.DUMMYFUNCTION("""COMPUTED_VALUE"""),"Satoh, Somei")</f>
        <v>Satoh, Somei</v>
      </c>
      <c r="B11727" s="3">
        <f ca="1">IFERROR(__xludf.DUMMYFUNCTION("""COMPUTED_VALUE"""),3)</f>
        <v>3</v>
      </c>
      <c r="C11727" s="7">
        <f ca="1">IFERROR(__xludf.DUMMYFUNCTION("""COMPUTED_VALUE"""),3.3)</f>
        <v>3.3</v>
      </c>
      <c r="D11727" s="8">
        <f ca="1">IFERROR(__xludf.DUMMYFUNCTION("""COMPUTED_VALUE"""),3)</f>
        <v>3</v>
      </c>
      <c r="E11727" s="2">
        <f ca="1">IFERROR(__xludf.DUMMYFUNCTION("""COMPUTED_VALUE"""),1)</f>
        <v>1</v>
      </c>
    </row>
    <row r="11728" spans="1:5" ht="13">
      <c r="A11728" s="8" t="str">
        <f ca="1">IFERROR(__xludf.DUMMYFUNCTION("""COMPUTED_VALUE"""),"Sauce, Angel")</f>
        <v>Sauce, Angel</v>
      </c>
      <c r="B11728" s="3">
        <f ca="1">IFERROR(__xludf.DUMMYFUNCTION("""COMPUTED_VALUE"""),3)</f>
        <v>3</v>
      </c>
      <c r="C11728" s="7">
        <f ca="1">IFERROR(__xludf.DUMMYFUNCTION("""COMPUTED_VALUE"""),3.2)</f>
        <v>3.2</v>
      </c>
      <c r="D11728" s="8">
        <f ca="1">IFERROR(__xludf.DUMMYFUNCTION("""COMPUTED_VALUE"""),3)</f>
        <v>3</v>
      </c>
      <c r="E11728" s="2">
        <f ca="1">IFERROR(__xludf.DUMMYFUNCTION("""COMPUTED_VALUE"""),1)</f>
        <v>1</v>
      </c>
    </row>
    <row r="11729" spans="1:5" ht="13">
      <c r="A11729" s="2" t="str">
        <f ca="1">IFERROR(__xludf.DUMMYFUNCTION("""COMPUTED_VALUE"""),"Saucedo, Richard L.")</f>
        <v>Saucedo, Richard L.</v>
      </c>
      <c r="B11729" s="3">
        <f ca="1">IFERROR(__xludf.DUMMYFUNCTION("""COMPUTED_VALUE"""),3)</f>
        <v>3</v>
      </c>
      <c r="C11729" s="7">
        <f ca="1">IFERROR(__xludf.DUMMYFUNCTION("""COMPUTED_VALUE"""),3.2)</f>
        <v>3.2</v>
      </c>
      <c r="D11729" s="8">
        <f ca="1">IFERROR(__xludf.DUMMYFUNCTION("""COMPUTED_VALUE"""),3)</f>
        <v>3</v>
      </c>
      <c r="E11729" s="2">
        <f ca="1">IFERROR(__xludf.DUMMYFUNCTION("""COMPUTED_VALUE"""),1)</f>
        <v>1</v>
      </c>
    </row>
    <row r="11730" spans="1:5" ht="13">
      <c r="A11730" s="2" t="str">
        <f ca="1">IFERROR(__xludf.DUMMYFUNCTION("""COMPUTED_VALUE"""),"Savín, Francisco")</f>
        <v>Savín, Francisco</v>
      </c>
      <c r="B11730" s="3">
        <f ca="1">IFERROR(__xludf.DUMMYFUNCTION("""COMPUTED_VALUE"""),3)</f>
        <v>3</v>
      </c>
      <c r="C11730" s="7">
        <f ca="1">IFERROR(__xludf.DUMMYFUNCTION("""COMPUTED_VALUE"""),3.2)</f>
        <v>3.2</v>
      </c>
      <c r="D11730" s="8">
        <f ca="1">IFERROR(__xludf.DUMMYFUNCTION("""COMPUTED_VALUE"""),7)</f>
        <v>7</v>
      </c>
      <c r="E11730" s="2">
        <f ca="1">IFERROR(__xludf.DUMMYFUNCTION("""COMPUTED_VALUE"""),2)</f>
        <v>2</v>
      </c>
    </row>
    <row r="11731" spans="1:5" ht="13">
      <c r="A11731" s="2" t="str">
        <f ca="1">IFERROR(__xludf.DUMMYFUNCTION("""COMPUTED_VALUE"""),"Say, Fazil")</f>
        <v>Say, Fazil</v>
      </c>
      <c r="B11731" s="3">
        <f ca="1">IFERROR(__xludf.DUMMYFUNCTION("""COMPUTED_VALUE"""),3)</f>
        <v>3</v>
      </c>
      <c r="C11731" s="7">
        <f ca="1">IFERROR(__xludf.DUMMYFUNCTION("""COMPUTED_VALUE"""),3.5)</f>
        <v>3.5</v>
      </c>
      <c r="D11731" s="8">
        <f ca="1">IFERROR(__xludf.DUMMYFUNCTION("""COMPUTED_VALUE"""),3)</f>
        <v>3</v>
      </c>
      <c r="E11731" s="2">
        <f ca="1">IFERROR(__xludf.DUMMYFUNCTION("""COMPUTED_VALUE"""),1)</f>
        <v>1</v>
      </c>
    </row>
    <row r="11732" spans="1:5" ht="13">
      <c r="A11732" s="2" t="str">
        <f ca="1">IFERROR(__xludf.DUMMYFUNCTION("""COMPUTED_VALUE"""),"Scott, Jeff")</f>
        <v>Scott, Jeff</v>
      </c>
      <c r="B11732" s="3">
        <f ca="1">IFERROR(__xludf.DUMMYFUNCTION("""COMPUTED_VALUE"""),3)</f>
        <v>3</v>
      </c>
      <c r="C11732" s="7">
        <f ca="1">IFERROR(__xludf.DUMMYFUNCTION("""COMPUTED_VALUE"""),3.1)</f>
        <v>3.1</v>
      </c>
      <c r="D11732" s="8">
        <f ca="1">IFERROR(__xludf.DUMMYFUNCTION("""COMPUTED_VALUE"""),3)</f>
        <v>3</v>
      </c>
      <c r="E11732" s="2">
        <f ca="1">IFERROR(__xludf.DUMMYFUNCTION("""COMPUTED_VALUE"""),1)</f>
        <v>1</v>
      </c>
    </row>
    <row r="11733" spans="1:5" ht="13">
      <c r="A11733" s="2" t="str">
        <f ca="1">IFERROR(__xludf.DUMMYFUNCTION("""COMPUTED_VALUE"""),"Scott, Jeffrey")</f>
        <v>Scott, Jeffrey</v>
      </c>
      <c r="B11733" s="3">
        <f ca="1">IFERROR(__xludf.DUMMYFUNCTION("""COMPUTED_VALUE"""),3)</f>
        <v>3</v>
      </c>
      <c r="C11733" s="7">
        <f ca="1">IFERROR(__xludf.DUMMYFUNCTION("""COMPUTED_VALUE"""),3.1)</f>
        <v>3.1</v>
      </c>
      <c r="D11733" s="8">
        <f ca="1">IFERROR(__xludf.DUMMYFUNCTION("""COMPUTED_VALUE"""),3)</f>
        <v>3</v>
      </c>
      <c r="E11733" s="2">
        <f ca="1">IFERROR(__xludf.DUMMYFUNCTION("""COMPUTED_VALUE"""),1)</f>
        <v>1</v>
      </c>
    </row>
    <row r="11734" spans="1:5" ht="13">
      <c r="A11734" s="2" t="str">
        <f ca="1">IFERROR(__xludf.DUMMYFUNCTION("""COMPUTED_VALUE"""),"Scott, Kevin")</f>
        <v>Scott, Kevin</v>
      </c>
      <c r="B11734" s="3">
        <f ca="1">IFERROR(__xludf.DUMMYFUNCTION("""COMPUTED_VALUE"""),3)</f>
        <v>3</v>
      </c>
      <c r="C11734" s="7">
        <f ca="1">IFERROR(__xludf.DUMMYFUNCTION("""COMPUTED_VALUE"""),3.1)</f>
        <v>3.1</v>
      </c>
      <c r="D11734" s="8">
        <f ca="1">IFERROR(__xludf.DUMMYFUNCTION("""COMPUTED_VALUE"""),3)</f>
        <v>3</v>
      </c>
      <c r="E11734" s="2">
        <f ca="1">IFERROR(__xludf.DUMMYFUNCTION("""COMPUTED_VALUE"""),1)</f>
        <v>1</v>
      </c>
    </row>
    <row r="11735" spans="1:5" ht="13">
      <c r="A11735" s="2" t="str">
        <f ca="1">IFERROR(__xludf.DUMMYFUNCTION("""COMPUTED_VALUE"""),"Scott, Leonard / Tyson, L. Craig")</f>
        <v>Scott, Leonard / Tyson, L. Craig</v>
      </c>
      <c r="B11735" s="3">
        <f ca="1">IFERROR(__xludf.DUMMYFUNCTION("""COMPUTED_VALUE"""),3)</f>
        <v>3</v>
      </c>
      <c r="C11735" s="7">
        <f ca="1">IFERROR(__xludf.DUMMYFUNCTION("""COMPUTED_VALUE"""),3.1)</f>
        <v>3.1</v>
      </c>
      <c r="D11735" s="8">
        <f ca="1">IFERROR(__xludf.DUMMYFUNCTION("""COMPUTED_VALUE"""),3)</f>
        <v>3</v>
      </c>
      <c r="E11735" s="2">
        <f ca="1">IFERROR(__xludf.DUMMYFUNCTION("""COMPUTED_VALUE"""),1)</f>
        <v>1</v>
      </c>
    </row>
    <row r="11736" spans="1:5" ht="13">
      <c r="A11736" s="2" t="str">
        <f ca="1">IFERROR(__xludf.DUMMYFUNCTION("""COMPUTED_VALUE"""),"Scott, Steven O.")</f>
        <v>Scott, Steven O.</v>
      </c>
      <c r="B11736" s="2">
        <f ca="1">IFERROR(__xludf.DUMMYFUNCTION("""COMPUTED_VALUE"""),3)</f>
        <v>3</v>
      </c>
      <c r="C11736" s="7">
        <f ca="1">IFERROR(__xludf.DUMMYFUNCTION("""COMPUTED_VALUE"""),3.1)</f>
        <v>3.1</v>
      </c>
      <c r="D11736" s="8">
        <f ca="1">IFERROR(__xludf.DUMMYFUNCTION("""COMPUTED_VALUE"""),3)</f>
        <v>3</v>
      </c>
      <c r="E11736" s="2">
        <f ca="1">IFERROR(__xludf.DUMMYFUNCTION("""COMPUTED_VALUE"""),1)</f>
        <v>1</v>
      </c>
    </row>
    <row r="11737" spans="1:5" ht="13">
      <c r="A11737" s="2" t="str">
        <f ca="1">IFERROR(__xludf.DUMMYFUNCTION("""COMPUTED_VALUE"""),"Scott. Leonard")</f>
        <v>Scott. Leonard</v>
      </c>
      <c r="B11737" s="3">
        <f ca="1">IFERROR(__xludf.DUMMYFUNCTION("""COMPUTED_VALUE"""),3)</f>
        <v>3</v>
      </c>
      <c r="C11737" s="7">
        <f ca="1">IFERROR(__xludf.DUMMYFUNCTION("""COMPUTED_VALUE"""),3.1)</f>
        <v>3.1</v>
      </c>
      <c r="D11737" s="8">
        <f ca="1">IFERROR(__xludf.DUMMYFUNCTION("""COMPUTED_VALUE"""),3)</f>
        <v>3</v>
      </c>
      <c r="E11737" s="2">
        <f ca="1">IFERROR(__xludf.DUMMYFUNCTION("""COMPUTED_VALUE"""),1)</f>
        <v>1</v>
      </c>
    </row>
    <row r="11738" spans="1:5" ht="13">
      <c r="A11738" s="8" t="str">
        <f ca="1">IFERROR(__xludf.DUMMYFUNCTION("""COMPUTED_VALUE"""),"Segundo, Compay")</f>
        <v>Segundo, Compay</v>
      </c>
      <c r="B11738" s="3">
        <f ca="1">IFERROR(__xludf.DUMMYFUNCTION("""COMPUTED_VALUE"""),3)</f>
        <v>3</v>
      </c>
      <c r="C11738" s="7">
        <f ca="1">IFERROR(__xludf.DUMMYFUNCTION("""COMPUTED_VALUE"""),3.2)</f>
        <v>3.2</v>
      </c>
      <c r="D11738" s="8">
        <f ca="1">IFERROR(__xludf.DUMMYFUNCTION("""COMPUTED_VALUE"""),7)</f>
        <v>7</v>
      </c>
      <c r="E11738" s="2">
        <f ca="1">IFERROR(__xludf.DUMMYFUNCTION("""COMPUTED_VALUE"""),2)</f>
        <v>2</v>
      </c>
    </row>
    <row r="11739" spans="1:5" ht="13">
      <c r="A11739" s="8" t="str">
        <f ca="1">IFERROR(__xludf.DUMMYFUNCTION("""COMPUTED_VALUE"""),"Seif, Sami")</f>
        <v>Seif, Sami</v>
      </c>
      <c r="B11739" s="3">
        <f ca="1">IFERROR(__xludf.DUMMYFUNCTION("""COMPUTED_VALUE"""),3)</f>
        <v>3</v>
      </c>
      <c r="C11739" s="7">
        <f ca="1">IFERROR(__xludf.DUMMYFUNCTION("""COMPUTED_VALUE"""),3.5)</f>
        <v>3.5</v>
      </c>
      <c r="D11739" s="8">
        <f ca="1">IFERROR(__xludf.DUMMYFUNCTION("""COMPUTED_VALUE"""),3)</f>
        <v>3</v>
      </c>
      <c r="E11739" s="2">
        <f ca="1">IFERROR(__xludf.DUMMYFUNCTION("""COMPUTED_VALUE"""),1)</f>
        <v>1</v>
      </c>
    </row>
    <row r="11740" spans="1:5" ht="13">
      <c r="A11740" s="2" t="str">
        <f ca="1">IFERROR(__xludf.DUMMYFUNCTION("""COMPUTED_VALUE"""),"Sekhon, Baljinder")</f>
        <v>Sekhon, Baljinder</v>
      </c>
      <c r="B11740" s="3">
        <f ca="1">IFERROR(__xludf.DUMMYFUNCTION("""COMPUTED_VALUE"""),3)</f>
        <v>3</v>
      </c>
      <c r="C11740" s="7">
        <f ca="1">IFERROR(__xludf.DUMMYFUNCTION("""COMPUTED_VALUE"""),3.5)</f>
        <v>3.5</v>
      </c>
      <c r="D11740" s="8">
        <f ca="1">IFERROR(__xludf.DUMMYFUNCTION("""COMPUTED_VALUE"""),3)</f>
        <v>3</v>
      </c>
      <c r="E11740" s="2">
        <f ca="1">IFERROR(__xludf.DUMMYFUNCTION("""COMPUTED_VALUE"""),1)</f>
        <v>1</v>
      </c>
    </row>
    <row r="11741" spans="1:5" ht="13">
      <c r="A11741" s="8" t="str">
        <f ca="1">IFERROR(__xludf.DUMMYFUNCTION("""COMPUTED_VALUE"""),"Selaocoe, Abel")</f>
        <v>Selaocoe, Abel</v>
      </c>
      <c r="B11741" s="3">
        <f ca="1">IFERROR(__xludf.DUMMYFUNCTION("""COMPUTED_VALUE"""),3)</f>
        <v>3</v>
      </c>
      <c r="C11741" s="7">
        <f ca="1">IFERROR(__xludf.DUMMYFUNCTION("""COMPUTED_VALUE"""),3.1)</f>
        <v>3.1</v>
      </c>
      <c r="D11741" s="8">
        <f ca="1">IFERROR(__xludf.DUMMYFUNCTION("""COMPUTED_VALUE"""),3)</f>
        <v>3</v>
      </c>
      <c r="E11741" s="2">
        <f ca="1">IFERROR(__xludf.DUMMYFUNCTION("""COMPUTED_VALUE"""),1)</f>
        <v>1</v>
      </c>
    </row>
    <row r="11742" spans="1:5" ht="13">
      <c r="A11742" s="2" t="str">
        <f ca="1">IFERROR(__xludf.DUMMYFUNCTION("""COMPUTED_VALUE"""),"Serebrier, José")</f>
        <v>Serebrier, José</v>
      </c>
      <c r="B11742" s="3">
        <f ca="1">IFERROR(__xludf.DUMMYFUNCTION("""COMPUTED_VALUE"""),3)</f>
        <v>3</v>
      </c>
      <c r="C11742" s="7">
        <f ca="1">IFERROR(__xludf.DUMMYFUNCTION("""COMPUTED_VALUE"""),3.2)</f>
        <v>3.2</v>
      </c>
      <c r="D11742" s="8">
        <f ca="1">IFERROR(__xludf.DUMMYFUNCTION("""COMPUTED_VALUE"""),3)</f>
        <v>3</v>
      </c>
      <c r="E11742" s="2">
        <f ca="1">IFERROR(__xludf.DUMMYFUNCTION("""COMPUTED_VALUE"""),1)</f>
        <v>1</v>
      </c>
    </row>
    <row r="11743" spans="1:5" ht="13">
      <c r="A11743" s="8" t="str">
        <f ca="1">IFERROR(__xludf.DUMMYFUNCTION("""COMPUTED_VALUE"""),"Sevier, Arnold")</f>
        <v>Sevier, Arnold</v>
      </c>
      <c r="B11743" s="3">
        <f ca="1">IFERROR(__xludf.DUMMYFUNCTION("""COMPUTED_VALUE"""),3)</f>
        <v>3</v>
      </c>
      <c r="C11743" s="7">
        <f ca="1">IFERROR(__xludf.DUMMYFUNCTION("""COMPUTED_VALUE"""),3.1)</f>
        <v>3.1</v>
      </c>
      <c r="D11743" s="8">
        <f ca="1">IFERROR(__xludf.DUMMYFUNCTION("""COMPUTED_VALUE"""),3)</f>
        <v>3</v>
      </c>
      <c r="E11743" s="2">
        <f ca="1">IFERROR(__xludf.DUMMYFUNCTION("""COMPUTED_VALUE"""),1)</f>
        <v>1</v>
      </c>
    </row>
    <row r="11744" spans="1:5" ht="13">
      <c r="A11744" s="2" t="str">
        <f ca="1">IFERROR(__xludf.DUMMYFUNCTION("""COMPUTED_VALUE"""),"Shabalala, Joseph")</f>
        <v>Shabalala, Joseph</v>
      </c>
      <c r="B11744" s="3">
        <f ca="1">IFERROR(__xludf.DUMMYFUNCTION("""COMPUTED_VALUE"""),3)</f>
        <v>3</v>
      </c>
      <c r="C11744" s="7">
        <f ca="1">IFERROR(__xludf.DUMMYFUNCTION("""COMPUTED_VALUE"""),3.1)</f>
        <v>3.1</v>
      </c>
      <c r="D11744" s="8">
        <f ca="1">IFERROR(__xludf.DUMMYFUNCTION("""COMPUTED_VALUE"""),7)</f>
        <v>7</v>
      </c>
      <c r="E11744" s="2">
        <f ca="1">IFERROR(__xludf.DUMMYFUNCTION("""COMPUTED_VALUE"""),2)</f>
        <v>2</v>
      </c>
    </row>
    <row r="11745" spans="1:5" ht="13">
      <c r="A11745" s="2" t="str">
        <f ca="1">IFERROR(__xludf.DUMMYFUNCTION("""COMPUTED_VALUE"""),"Shabazz, Ayatey")</f>
        <v>Shabazz, Ayatey</v>
      </c>
      <c r="B11745" s="3">
        <f ca="1">IFERROR(__xludf.DUMMYFUNCTION("""COMPUTED_VALUE"""),3)</f>
        <v>3</v>
      </c>
      <c r="C11745" s="7">
        <f ca="1">IFERROR(__xludf.DUMMYFUNCTION("""COMPUTED_VALUE"""),3.1)</f>
        <v>3.1</v>
      </c>
      <c r="D11745" s="8">
        <f ca="1">IFERROR(__xludf.DUMMYFUNCTION("""COMPUTED_VALUE"""),3)</f>
        <v>3</v>
      </c>
      <c r="E11745" s="2">
        <f ca="1">IFERROR(__xludf.DUMMYFUNCTION("""COMPUTED_VALUE"""),1)</f>
        <v>1</v>
      </c>
    </row>
    <row r="11746" spans="1:5" ht="13">
      <c r="A11746" s="2" t="str">
        <f ca="1">IFERROR(__xludf.DUMMYFUNCTION("""COMPUTED_VALUE"""),"Shah, Kevin")</f>
        <v>Shah, Kevin</v>
      </c>
      <c r="B11746" s="3">
        <f ca="1">IFERROR(__xludf.DUMMYFUNCTION("""COMPUTED_VALUE"""),3)</f>
        <v>3</v>
      </c>
      <c r="C11746" s="7">
        <f ca="1">IFERROR(__xludf.DUMMYFUNCTION("""COMPUTED_VALUE"""),3.4)</f>
        <v>3.4</v>
      </c>
      <c r="D11746" s="8">
        <f ca="1">IFERROR(__xludf.DUMMYFUNCTION("""COMPUTED_VALUE"""),3)</f>
        <v>3</v>
      </c>
      <c r="E11746" s="2">
        <f ca="1">IFERROR(__xludf.DUMMYFUNCTION("""COMPUTED_VALUE"""),1)</f>
        <v>1</v>
      </c>
    </row>
    <row r="11747" spans="1:5" ht="13">
      <c r="A11747" s="2" t="str">
        <f ca="1">IFERROR(__xludf.DUMMYFUNCTION("""COMPUTED_VALUE"""),"Shaheen, Simon")</f>
        <v>Shaheen, Simon</v>
      </c>
      <c r="B11747" s="3">
        <f ca="1">IFERROR(__xludf.DUMMYFUNCTION("""COMPUTED_VALUE"""),3)</f>
        <v>3</v>
      </c>
      <c r="C11747" s="7">
        <f ca="1">IFERROR(__xludf.DUMMYFUNCTION("""COMPUTED_VALUE"""),3.5)</f>
        <v>3.5</v>
      </c>
      <c r="D11747" s="8">
        <f ca="1">IFERROR(__xludf.DUMMYFUNCTION("""COMPUTED_VALUE"""),3)</f>
        <v>3</v>
      </c>
      <c r="E11747" s="2">
        <f ca="1">IFERROR(__xludf.DUMMYFUNCTION("""COMPUTED_VALUE"""),1)</f>
        <v>1</v>
      </c>
    </row>
    <row r="11748" spans="1:5" ht="13">
      <c r="A11748" s="8" t="str">
        <f ca="1">IFERROR(__xludf.DUMMYFUNCTION("""COMPUTED_VALUE"""),"Shan-Hua, Chien")</f>
        <v>Shan-Hua, Chien</v>
      </c>
      <c r="B11748" s="3">
        <f ca="1">IFERROR(__xludf.DUMMYFUNCTION("""COMPUTED_VALUE"""),3)</f>
        <v>3</v>
      </c>
      <c r="C11748" s="7">
        <f ca="1">IFERROR(__xludf.DUMMYFUNCTION("""COMPUTED_VALUE"""),3.3)</f>
        <v>3.3</v>
      </c>
      <c r="D11748" s="8">
        <f ca="1">IFERROR(__xludf.DUMMYFUNCTION("""COMPUTED_VALUE"""),3)</f>
        <v>3</v>
      </c>
      <c r="E11748" s="2">
        <f ca="1">IFERROR(__xludf.DUMMYFUNCTION("""COMPUTED_VALUE"""),1)</f>
        <v>1</v>
      </c>
    </row>
    <row r="11749" spans="1:5" ht="13">
      <c r="A11749" s="8" t="str">
        <f ca="1">IFERROR(__xludf.DUMMYFUNCTION("""COMPUTED_VALUE"""),"Shande, Ding")</f>
        <v>Shande, Ding</v>
      </c>
      <c r="B11749" s="2">
        <f ca="1">IFERROR(__xludf.DUMMYFUNCTION("""COMPUTED_VALUE"""),3)</f>
        <v>3</v>
      </c>
      <c r="C11749" s="2">
        <f ca="1">IFERROR(__xludf.DUMMYFUNCTION("""COMPUTED_VALUE"""),3.3)</f>
        <v>3.3</v>
      </c>
      <c r="D11749" s="8">
        <f ca="1">IFERROR(__xludf.DUMMYFUNCTION("""COMPUTED_VALUE"""),7)</f>
        <v>7</v>
      </c>
      <c r="E11749" s="2">
        <f ca="1">IFERROR(__xludf.DUMMYFUNCTION("""COMPUTED_VALUE"""),2)</f>
        <v>2</v>
      </c>
    </row>
    <row r="11750" spans="1:5" ht="13">
      <c r="A11750" s="2" t="str">
        <f ca="1">IFERROR(__xludf.DUMMYFUNCTION("""COMPUTED_VALUE"""),"Shankar, Ravi")</f>
        <v>Shankar, Ravi</v>
      </c>
      <c r="B11750" s="3">
        <f ca="1">IFERROR(__xludf.DUMMYFUNCTION("""COMPUTED_VALUE"""),3)</f>
        <v>3</v>
      </c>
      <c r="C11750" s="7">
        <f ca="1">IFERROR(__xludf.DUMMYFUNCTION("""COMPUTED_VALUE"""),3.4)</f>
        <v>3.4</v>
      </c>
      <c r="D11750" s="8">
        <f ca="1">IFERROR(__xludf.DUMMYFUNCTION("""COMPUTED_VALUE"""),7)</f>
        <v>7</v>
      </c>
      <c r="E11750" s="2">
        <f ca="1">IFERROR(__xludf.DUMMYFUNCTION("""COMPUTED_VALUE"""),2)</f>
        <v>2</v>
      </c>
    </row>
    <row r="11751" spans="1:5" ht="13">
      <c r="A11751" s="2" t="str">
        <f ca="1">IFERROR(__xludf.DUMMYFUNCTION("""COMPUTED_VALUE"""),"Shavers, Charles / Robin, Sid")</f>
        <v>Shavers, Charles / Robin, Sid</v>
      </c>
      <c r="B11751" s="3">
        <f ca="1">IFERROR(__xludf.DUMMYFUNCTION("""COMPUTED_VALUE"""),3)</f>
        <v>3</v>
      </c>
      <c r="C11751" s="7">
        <f ca="1">IFERROR(__xludf.DUMMYFUNCTION("""COMPUTED_VALUE"""),3.1)</f>
        <v>3.1</v>
      </c>
      <c r="D11751" s="8">
        <f ca="1">IFERROR(__xludf.DUMMYFUNCTION("""COMPUTED_VALUE"""),7)</f>
        <v>7</v>
      </c>
      <c r="E11751" s="2">
        <f ca="1">IFERROR(__xludf.DUMMYFUNCTION("""COMPUTED_VALUE"""),2)</f>
        <v>2</v>
      </c>
    </row>
    <row r="11752" spans="1:5" ht="13">
      <c r="A11752" s="2" t="str">
        <f ca="1">IFERROR(__xludf.DUMMYFUNCTION("""COMPUTED_VALUE"""),"Shaw, Woody")</f>
        <v>Shaw, Woody</v>
      </c>
      <c r="B11752" s="2">
        <f ca="1">IFERROR(__xludf.DUMMYFUNCTION("""COMPUTED_VALUE"""),3)</f>
        <v>3</v>
      </c>
      <c r="C11752" s="7">
        <f ca="1">IFERROR(__xludf.DUMMYFUNCTION("""COMPUTED_VALUE"""),3.1)</f>
        <v>3.1</v>
      </c>
      <c r="D11752" s="8">
        <f ca="1">IFERROR(__xludf.DUMMYFUNCTION("""COMPUTED_VALUE"""),7)</f>
        <v>7</v>
      </c>
      <c r="E11752" s="2">
        <f ca="1">IFERROR(__xludf.DUMMYFUNCTION("""COMPUTED_VALUE"""),2)</f>
        <v>2</v>
      </c>
    </row>
    <row r="11753" spans="1:5" ht="13">
      <c r="A11753" s="2" t="str">
        <f ca="1">IFERROR(__xludf.DUMMYFUNCTION("""COMPUTED_VALUE"""),"She Qian")</f>
        <v>She Qian</v>
      </c>
      <c r="B11753" s="3">
        <f ca="1">IFERROR(__xludf.DUMMYFUNCTION("""COMPUTED_VALUE"""),3)</f>
        <v>3</v>
      </c>
      <c r="C11753" s="7">
        <f ca="1">IFERROR(__xludf.DUMMYFUNCTION("""COMPUTED_VALUE"""),3.3)</f>
        <v>3.3</v>
      </c>
      <c r="D11753" s="8">
        <f ca="1">IFERROR(__xludf.DUMMYFUNCTION("""COMPUTED_VALUE"""),3)</f>
        <v>3</v>
      </c>
      <c r="E11753" s="2">
        <f ca="1">IFERROR(__xludf.DUMMYFUNCTION("""COMPUTED_VALUE"""),1)</f>
        <v>1</v>
      </c>
    </row>
    <row r="11754" spans="1:5" ht="13">
      <c r="A11754" s="2" t="str">
        <f ca="1">IFERROR(__xludf.DUMMYFUNCTION("""COMPUTED_VALUE"""),"Sheng, Bright")</f>
        <v>Sheng, Bright</v>
      </c>
      <c r="B11754" s="3">
        <f ca="1">IFERROR(__xludf.DUMMYFUNCTION("""COMPUTED_VALUE"""),3)</f>
        <v>3</v>
      </c>
      <c r="C11754" s="7">
        <f ca="1">IFERROR(__xludf.DUMMYFUNCTION("""COMPUTED_VALUE"""),3.3)</f>
        <v>3.3</v>
      </c>
      <c r="D11754" s="8">
        <f ca="1">IFERROR(__xludf.DUMMYFUNCTION("""COMPUTED_VALUE"""),3)</f>
        <v>3</v>
      </c>
      <c r="E11754" s="2">
        <f ca="1">IFERROR(__xludf.DUMMYFUNCTION("""COMPUTED_VALUE"""),1)</f>
        <v>1</v>
      </c>
    </row>
    <row r="11755" spans="1:5" ht="13">
      <c r="A11755" s="2" t="str">
        <f ca="1">IFERROR(__xludf.DUMMYFUNCTION("""COMPUTED_VALUE"""),"Sheriff, Noam")</f>
        <v>Sheriff, Noam</v>
      </c>
      <c r="B11755" s="3">
        <f ca="1">IFERROR(__xludf.DUMMYFUNCTION("""COMPUTED_VALUE"""),3)</f>
        <v>3</v>
      </c>
      <c r="C11755" s="7">
        <f ca="1">IFERROR(__xludf.DUMMYFUNCTION("""COMPUTED_VALUE"""),3.5)</f>
        <v>3.5</v>
      </c>
      <c r="D11755" s="8">
        <f ca="1">IFERROR(__xludf.DUMMYFUNCTION("""COMPUTED_VALUE"""),7)</f>
        <v>7</v>
      </c>
      <c r="E11755" s="2">
        <f ca="1">IFERROR(__xludf.DUMMYFUNCTION("""COMPUTED_VALUE"""),2)</f>
        <v>2</v>
      </c>
    </row>
    <row r="11756" spans="1:5" ht="13">
      <c r="A11756" s="2" t="str">
        <f ca="1">IFERROR(__xludf.DUMMYFUNCTION("""COMPUTED_VALUE"""),"Shiina, Go / Kaijura, Yuki")</f>
        <v>Shiina, Go / Kaijura, Yuki</v>
      </c>
      <c r="B11756" s="3">
        <f ca="1">IFERROR(__xludf.DUMMYFUNCTION("""COMPUTED_VALUE"""),3)</f>
        <v>3</v>
      </c>
      <c r="C11756" s="7">
        <f ca="1">IFERROR(__xludf.DUMMYFUNCTION("""COMPUTED_VALUE"""),3.3)</f>
        <v>3.3</v>
      </c>
      <c r="D11756" s="8">
        <f ca="1">IFERROR(__xludf.DUMMYFUNCTION("""COMPUTED_VALUE"""),3)</f>
        <v>3</v>
      </c>
      <c r="E11756" s="2">
        <f ca="1">IFERROR(__xludf.DUMMYFUNCTION("""COMPUTED_VALUE"""),1)</f>
        <v>1</v>
      </c>
    </row>
    <row r="11757" spans="1:5" ht="13">
      <c r="A11757" s="2" t="str">
        <f ca="1">IFERROR(__xludf.DUMMYFUNCTION("""COMPUTED_VALUE"""),"Shimizu, Daisuke")</f>
        <v>Shimizu, Daisuke</v>
      </c>
      <c r="B11757" s="3">
        <f ca="1">IFERROR(__xludf.DUMMYFUNCTION("""COMPUTED_VALUE"""),3)</f>
        <v>3</v>
      </c>
      <c r="C11757" s="7">
        <f ca="1">IFERROR(__xludf.DUMMYFUNCTION("""COMPUTED_VALUE"""),3.3)</f>
        <v>3.3</v>
      </c>
      <c r="D11757" s="8">
        <f ca="1">IFERROR(__xludf.DUMMYFUNCTION("""COMPUTED_VALUE"""),3)</f>
        <v>3</v>
      </c>
      <c r="E11757" s="2">
        <f ca="1">IFERROR(__xludf.DUMMYFUNCTION("""COMPUTED_VALUE"""),1)</f>
        <v>1</v>
      </c>
    </row>
    <row r="11758" spans="1:5" ht="13">
      <c r="A11758" s="2" t="str">
        <f ca="1">IFERROR(__xludf.DUMMYFUNCTION("""COMPUTED_VALUE"""),"Shimizu, Osamu")</f>
        <v>Shimizu, Osamu</v>
      </c>
      <c r="B11758" s="2">
        <f ca="1">IFERROR(__xludf.DUMMYFUNCTION("""COMPUTED_VALUE"""),3)</f>
        <v>3</v>
      </c>
      <c r="C11758" s="7">
        <f ca="1">IFERROR(__xludf.DUMMYFUNCTION("""COMPUTED_VALUE"""),3.3)</f>
        <v>3.3</v>
      </c>
      <c r="D11758" s="8">
        <f ca="1">IFERROR(__xludf.DUMMYFUNCTION("""COMPUTED_VALUE"""),7)</f>
        <v>7</v>
      </c>
      <c r="E11758" s="2">
        <f ca="1">IFERROR(__xludf.DUMMYFUNCTION("""COMPUTED_VALUE"""),2)</f>
        <v>2</v>
      </c>
    </row>
    <row r="11759" spans="1:5" ht="13">
      <c r="A11759" s="2" t="str">
        <f ca="1">IFERROR(__xludf.DUMMYFUNCTION("""COMPUTED_VALUE"""),"Shin, Donghoon")</f>
        <v>Shin, Donghoon</v>
      </c>
      <c r="B11759" s="3">
        <f ca="1">IFERROR(__xludf.DUMMYFUNCTION("""COMPUTED_VALUE"""),3)</f>
        <v>3</v>
      </c>
      <c r="C11759" s="7">
        <f ca="1">IFERROR(__xludf.DUMMYFUNCTION("""COMPUTED_VALUE"""),3.3)</f>
        <v>3.3</v>
      </c>
      <c r="D11759" s="8">
        <f ca="1">IFERROR(__xludf.DUMMYFUNCTION("""COMPUTED_VALUE"""),3)</f>
        <v>3</v>
      </c>
      <c r="E11759" s="2">
        <f ca="1">IFERROR(__xludf.DUMMYFUNCTION("""COMPUTED_VALUE"""),1)</f>
        <v>1</v>
      </c>
    </row>
    <row r="11760" spans="1:5" ht="13">
      <c r="A11760" s="2" t="str">
        <f ca="1">IFERROR(__xludf.DUMMYFUNCTION("""COMPUTED_VALUE"""),"Shin, Peter")</f>
        <v>Shin, Peter</v>
      </c>
      <c r="B11760" s="2">
        <f ca="1">IFERROR(__xludf.DUMMYFUNCTION("""COMPUTED_VALUE"""),3)</f>
        <v>3</v>
      </c>
      <c r="C11760" s="2">
        <f ca="1">IFERROR(__xludf.DUMMYFUNCTION("""COMPUTED_VALUE"""),3.3)</f>
        <v>3.3</v>
      </c>
      <c r="D11760" s="8">
        <f ca="1">IFERROR(__xludf.DUMMYFUNCTION("""COMPUTED_VALUE"""),3)</f>
        <v>3</v>
      </c>
      <c r="E11760" s="2">
        <f ca="1">IFERROR(__xludf.DUMMYFUNCTION("""COMPUTED_VALUE"""),1)</f>
        <v>1</v>
      </c>
    </row>
    <row r="11761" spans="1:5" ht="13">
      <c r="A11761" s="2" t="str">
        <f ca="1">IFERROR(__xludf.DUMMYFUNCTION("""COMPUTED_VALUE"""),"Shin, Peter S.")</f>
        <v>Shin, Peter S.</v>
      </c>
      <c r="B11761" s="3">
        <f ca="1">IFERROR(__xludf.DUMMYFUNCTION("""COMPUTED_VALUE"""),3)</f>
        <v>3</v>
      </c>
      <c r="C11761" s="7">
        <f ca="1">IFERROR(__xludf.DUMMYFUNCTION("""COMPUTED_VALUE"""),3.3)</f>
        <v>3.3</v>
      </c>
      <c r="D11761" s="8">
        <f ca="1">IFERROR(__xludf.DUMMYFUNCTION("""COMPUTED_VALUE"""),3)</f>
        <v>3</v>
      </c>
      <c r="E11761" s="2">
        <f ca="1">IFERROR(__xludf.DUMMYFUNCTION("""COMPUTED_VALUE"""),1)</f>
        <v>1</v>
      </c>
    </row>
    <row r="11762" spans="1:5" ht="13">
      <c r="A11762" s="2" t="str">
        <f ca="1">IFERROR(__xludf.DUMMYFUNCTION("""COMPUTED_VALUE"""),"Shishikura, Koh")</f>
        <v>Shishikura, Koh</v>
      </c>
      <c r="B11762" s="2">
        <f ca="1">IFERROR(__xludf.DUMMYFUNCTION("""COMPUTED_VALUE"""),3)</f>
        <v>3</v>
      </c>
      <c r="C11762" s="2">
        <f ca="1">IFERROR(__xludf.DUMMYFUNCTION("""COMPUTED_VALUE"""),3.3)</f>
        <v>3.3</v>
      </c>
      <c r="D11762" s="8">
        <f ca="1">IFERROR(__xludf.DUMMYFUNCTION("""COMPUTED_VALUE"""),3)</f>
        <v>3</v>
      </c>
      <c r="E11762" s="2">
        <f ca="1">IFERROR(__xludf.DUMMYFUNCTION("""COMPUTED_VALUE"""),1)</f>
        <v>1</v>
      </c>
    </row>
    <row r="11763" spans="1:5" ht="13">
      <c r="A11763" s="2" t="str">
        <f ca="1">IFERROR(__xludf.DUMMYFUNCTION("""COMPUTED_VALUE"""),"Shiu, Bingiee")</f>
        <v>Shiu, Bingiee</v>
      </c>
      <c r="B11763" s="3">
        <f ca="1">IFERROR(__xludf.DUMMYFUNCTION("""COMPUTED_VALUE"""),3)</f>
        <v>3</v>
      </c>
      <c r="C11763" s="7">
        <f ca="1">IFERROR(__xludf.DUMMYFUNCTION("""COMPUTED_VALUE"""),3.3)</f>
        <v>3.3</v>
      </c>
      <c r="D11763" s="8">
        <f ca="1">IFERROR(__xludf.DUMMYFUNCTION("""COMPUTED_VALUE"""),3)</f>
        <v>3</v>
      </c>
      <c r="E11763" s="2">
        <f ca="1">IFERROR(__xludf.DUMMYFUNCTION("""COMPUTED_VALUE"""),1)</f>
        <v>1</v>
      </c>
    </row>
    <row r="11764" spans="1:5" ht="13">
      <c r="A11764" s="2" t="str">
        <f ca="1">IFERROR(__xludf.DUMMYFUNCTION("""COMPUTED_VALUE"""),"Shorter, Wayne")</f>
        <v>Shorter, Wayne</v>
      </c>
      <c r="B11764" s="3">
        <f ca="1">IFERROR(__xludf.DUMMYFUNCTION("""COMPUTED_VALUE"""),3)</f>
        <v>3</v>
      </c>
      <c r="C11764" s="7">
        <f ca="1">IFERROR(__xludf.DUMMYFUNCTION("""COMPUTED_VALUE"""),3.1)</f>
        <v>3.1</v>
      </c>
      <c r="D11764" s="8">
        <f ca="1">IFERROR(__xludf.DUMMYFUNCTION("""COMPUTED_VALUE"""),3)</f>
        <v>3</v>
      </c>
      <c r="E11764" s="2">
        <f ca="1">IFERROR(__xludf.DUMMYFUNCTION("""COMPUTED_VALUE"""),1)</f>
        <v>1</v>
      </c>
    </row>
    <row r="11765" spans="1:5" ht="13">
      <c r="A11765" s="2" t="str">
        <f ca="1">IFERROR(__xludf.DUMMYFUNCTION("""COMPUTED_VALUE"""),"Shuya, Xu")</f>
        <v>Shuya, Xu</v>
      </c>
      <c r="B11765" s="3">
        <f ca="1">IFERROR(__xludf.DUMMYFUNCTION("""COMPUTED_VALUE"""),3)</f>
        <v>3</v>
      </c>
      <c r="C11765" s="7">
        <f ca="1">IFERROR(__xludf.DUMMYFUNCTION("""COMPUTED_VALUE"""),3.3)</f>
        <v>3.3</v>
      </c>
      <c r="D11765" s="8">
        <f ca="1">IFERROR(__xludf.DUMMYFUNCTION("""COMPUTED_VALUE"""),3)</f>
        <v>3</v>
      </c>
      <c r="E11765" s="2">
        <f ca="1">IFERROR(__xludf.DUMMYFUNCTION("""COMPUTED_VALUE"""),1)</f>
        <v>1</v>
      </c>
    </row>
    <row r="11766" spans="1:5" ht="13">
      <c r="A11766" s="8" t="str">
        <f ca="1">IFERROR(__xludf.DUMMYFUNCTION("""COMPUTED_VALUE"""),"Si-ang Chen")</f>
        <v>Si-ang Chen</v>
      </c>
      <c r="B11766" s="3">
        <f ca="1">IFERROR(__xludf.DUMMYFUNCTION("""COMPUTED_VALUE"""),3)</f>
        <v>3</v>
      </c>
      <c r="C11766" s="7">
        <f ca="1">IFERROR(__xludf.DUMMYFUNCTION("""COMPUTED_VALUE"""),3.3)</f>
        <v>3.3</v>
      </c>
      <c r="D11766" s="8">
        <f ca="1">IFERROR(__xludf.DUMMYFUNCTION("""COMPUTED_VALUE"""),3)</f>
        <v>3</v>
      </c>
      <c r="E11766" s="2">
        <f ca="1">IFERROR(__xludf.DUMMYFUNCTION("""COMPUTED_VALUE"""),1)</f>
        <v>1</v>
      </c>
    </row>
    <row r="11767" spans="1:5" ht="13">
      <c r="A11767" s="8" t="str">
        <f ca="1">IFERROR(__xludf.DUMMYFUNCTION("""COMPUTED_VALUE"""),"SIdiq, Mohammed Uthman")</f>
        <v>SIdiq, Mohammed Uthman</v>
      </c>
      <c r="B11767" s="3">
        <f ca="1">IFERROR(__xludf.DUMMYFUNCTION("""COMPUTED_VALUE"""),3)</f>
        <v>3</v>
      </c>
      <c r="C11767" s="7">
        <f ca="1">IFERROR(__xludf.DUMMYFUNCTION("""COMPUTED_VALUE"""),3.7)</f>
        <v>3.7</v>
      </c>
      <c r="D11767" s="8">
        <f ca="1">IFERROR(__xludf.DUMMYFUNCTION("""COMPUTED_VALUE"""),3)</f>
        <v>3</v>
      </c>
      <c r="E11767" s="2">
        <f ca="1">IFERROR(__xludf.DUMMYFUNCTION("""COMPUTED_VALUE"""),1)</f>
        <v>1</v>
      </c>
    </row>
    <row r="11768" spans="1:5" ht="13">
      <c r="A11768" s="2" t="str">
        <f ca="1">IFERROR(__xludf.DUMMYFUNCTION("""COMPUTED_VALUE"""),"Sielert, Vern")</f>
        <v>Sielert, Vern</v>
      </c>
      <c r="B11768" s="2">
        <f ca="1">IFERROR(__xludf.DUMMYFUNCTION("""COMPUTED_VALUE"""),3)</f>
        <v>3</v>
      </c>
      <c r="C11768" s="7">
        <f ca="1">IFERROR(__xludf.DUMMYFUNCTION("""COMPUTED_VALUE"""),3.1)</f>
        <v>3.1</v>
      </c>
      <c r="D11768" s="8">
        <f ca="1">IFERROR(__xludf.DUMMYFUNCTION("""COMPUTED_VALUE"""),7)</f>
        <v>7</v>
      </c>
      <c r="E11768" s="2">
        <f ca="1">IFERROR(__xludf.DUMMYFUNCTION("""COMPUTED_VALUE"""),2)</f>
        <v>2</v>
      </c>
    </row>
    <row r="11769" spans="1:5" ht="13">
      <c r="A11769" s="2" t="str">
        <f ca="1">IFERROR(__xludf.DUMMYFUNCTION("""COMPUTED_VALUE"""),"Sierra, Roberto")</f>
        <v>Sierra, Roberto</v>
      </c>
      <c r="B11769" s="3">
        <f ca="1">IFERROR(__xludf.DUMMYFUNCTION("""COMPUTED_VALUE"""),3)</f>
        <v>3</v>
      </c>
      <c r="C11769" s="7">
        <f ca="1">IFERROR(__xludf.DUMMYFUNCTION("""COMPUTED_VALUE"""),3.2)</f>
        <v>3.2</v>
      </c>
      <c r="D11769" s="8">
        <f ca="1">IFERROR(__xludf.DUMMYFUNCTION("""COMPUTED_VALUE"""),3)</f>
        <v>3</v>
      </c>
      <c r="E11769" s="2">
        <f ca="1">IFERROR(__xludf.DUMMYFUNCTION("""COMPUTED_VALUE"""),1)</f>
        <v>1</v>
      </c>
    </row>
    <row r="11770" spans="1:5" ht="13">
      <c r="A11770" s="8" t="str">
        <f ca="1">IFERROR(__xludf.DUMMYFUNCTION("""COMPUTED_VALUE"""),"Silva, Electro")</f>
        <v>Silva, Electro</v>
      </c>
      <c r="B11770" s="3">
        <f ca="1">IFERROR(__xludf.DUMMYFUNCTION("""COMPUTED_VALUE"""),3)</f>
        <v>3</v>
      </c>
      <c r="C11770" s="7">
        <f ca="1">IFERROR(__xludf.DUMMYFUNCTION("""COMPUTED_VALUE"""),3.1)</f>
        <v>3.1</v>
      </c>
      <c r="D11770" s="8">
        <f ca="1">IFERROR(__xludf.DUMMYFUNCTION("""COMPUTED_VALUE"""),3)</f>
        <v>3</v>
      </c>
      <c r="E11770" s="2">
        <f ca="1">IFERROR(__xludf.DUMMYFUNCTION("""COMPUTED_VALUE"""),1)</f>
        <v>1</v>
      </c>
    </row>
    <row r="11771" spans="1:5" ht="13">
      <c r="A11771" s="2" t="str">
        <f ca="1">IFERROR(__xludf.DUMMYFUNCTION("""COMPUTED_VALUE"""),"Silva, Ivan")</f>
        <v>Silva, Ivan</v>
      </c>
      <c r="B11771" s="3">
        <f ca="1">IFERROR(__xludf.DUMMYFUNCTION("""COMPUTED_VALUE"""),3)</f>
        <v>3</v>
      </c>
      <c r="C11771" s="7">
        <f ca="1">IFERROR(__xludf.DUMMYFUNCTION("""COMPUTED_VALUE"""),3.2)</f>
        <v>3.2</v>
      </c>
      <c r="D11771" s="8">
        <f ca="1">IFERROR(__xludf.DUMMYFUNCTION("""COMPUTED_VALUE"""),3)</f>
        <v>3</v>
      </c>
      <c r="E11771" s="2">
        <f ca="1">IFERROR(__xludf.DUMMYFUNCTION("""COMPUTED_VALUE"""),1)</f>
        <v>1</v>
      </c>
    </row>
    <row r="11772" spans="1:5" ht="13">
      <c r="A11772" s="2" t="str">
        <f ca="1">IFERROR(__xludf.DUMMYFUNCTION("""COMPUTED_VALUE"""),"Silva, Jose da")</f>
        <v>Silva, Jose da</v>
      </c>
      <c r="B11772" s="3">
        <f ca="1">IFERROR(__xludf.DUMMYFUNCTION("""COMPUTED_VALUE"""),3)</f>
        <v>3</v>
      </c>
      <c r="C11772" s="7">
        <f ca="1">IFERROR(__xludf.DUMMYFUNCTION("""COMPUTED_VALUE"""),3.2)</f>
        <v>3.2</v>
      </c>
      <c r="D11772" s="8">
        <f ca="1">IFERROR(__xludf.DUMMYFUNCTION("""COMPUTED_VALUE"""),3)</f>
        <v>3</v>
      </c>
      <c r="E11772" s="2">
        <f ca="1">IFERROR(__xludf.DUMMYFUNCTION("""COMPUTED_VALUE"""),1)</f>
        <v>1</v>
      </c>
    </row>
    <row r="11773" spans="1:5" ht="13">
      <c r="A11773" s="2" t="str">
        <f ca="1">IFERROR(__xludf.DUMMYFUNCTION("""COMPUTED_VALUE"""),"Silva, Ricardo")</f>
        <v>Silva, Ricardo</v>
      </c>
      <c r="B11773" s="2">
        <f ca="1">IFERROR(__xludf.DUMMYFUNCTION("""COMPUTED_VALUE"""),3)</f>
        <v>3</v>
      </c>
      <c r="C11773" s="7">
        <f ca="1">IFERROR(__xludf.DUMMYFUNCTION("""COMPUTED_VALUE"""),3.2)</f>
        <v>3.2</v>
      </c>
      <c r="D11773" s="8">
        <f ca="1">IFERROR(__xludf.DUMMYFUNCTION("""COMPUTED_VALUE"""),3)</f>
        <v>3</v>
      </c>
      <c r="E11773" s="2">
        <f ca="1">IFERROR(__xludf.DUMMYFUNCTION("""COMPUTED_VALUE"""),1)</f>
        <v>1</v>
      </c>
    </row>
    <row r="11774" spans="1:5" ht="13">
      <c r="A11774" s="2" t="str">
        <f ca="1">IFERROR(__xludf.DUMMYFUNCTION("""COMPUTED_VALUE"""),"Silver, Horace")</f>
        <v>Silver, Horace</v>
      </c>
      <c r="B11774" s="3">
        <f ca="1">IFERROR(__xludf.DUMMYFUNCTION("""COMPUTED_VALUE"""),3)</f>
        <v>3</v>
      </c>
      <c r="C11774" s="7">
        <f ca="1">IFERROR(__xludf.DUMMYFUNCTION("""COMPUTED_VALUE"""),3.1)</f>
        <v>3.1</v>
      </c>
      <c r="D11774" s="8">
        <f ca="1">IFERROR(__xludf.DUMMYFUNCTION("""COMPUTED_VALUE"""),7)</f>
        <v>7</v>
      </c>
      <c r="E11774" s="2">
        <f ca="1">IFERROR(__xludf.DUMMYFUNCTION("""COMPUTED_VALUE"""),2)</f>
        <v>2</v>
      </c>
    </row>
    <row r="11775" spans="1:5" ht="13">
      <c r="A11775" s="2" t="str">
        <f ca="1">IFERROR(__xludf.DUMMYFUNCTION("""COMPUTED_VALUE"""),"Simon, Carlos")</f>
        <v>Simon, Carlos</v>
      </c>
      <c r="B11775" s="3">
        <f ca="1">IFERROR(__xludf.DUMMYFUNCTION("""COMPUTED_VALUE"""),3)</f>
        <v>3</v>
      </c>
      <c r="C11775" s="7">
        <f ca="1">IFERROR(__xludf.DUMMYFUNCTION("""COMPUTED_VALUE"""),3.1)</f>
        <v>3.1</v>
      </c>
      <c r="D11775" s="8">
        <f ca="1">IFERROR(__xludf.DUMMYFUNCTION("""COMPUTED_VALUE"""),3)</f>
        <v>3</v>
      </c>
      <c r="E11775" s="2">
        <f ca="1">IFERROR(__xludf.DUMMYFUNCTION("""COMPUTED_VALUE"""),1)</f>
        <v>1</v>
      </c>
    </row>
    <row r="11776" spans="1:5" ht="13">
      <c r="A11776" s="8" t="str">
        <f ca="1">IFERROR(__xludf.DUMMYFUNCTION("""COMPUTED_VALUE"""),"Simpson, Eugene")</f>
        <v>Simpson, Eugene</v>
      </c>
      <c r="B11776" s="3">
        <f ca="1">IFERROR(__xludf.DUMMYFUNCTION("""COMPUTED_VALUE"""),3)</f>
        <v>3</v>
      </c>
      <c r="C11776" s="7">
        <f ca="1">IFERROR(__xludf.DUMMYFUNCTION("""COMPUTED_VALUE"""),3.1)</f>
        <v>3.1</v>
      </c>
      <c r="D11776" s="8">
        <f ca="1">IFERROR(__xludf.DUMMYFUNCTION("""COMPUTED_VALUE"""),7)</f>
        <v>7</v>
      </c>
      <c r="E11776" s="2">
        <f ca="1">IFERROR(__xludf.DUMMYFUNCTION("""COMPUTED_VALUE"""),2)</f>
        <v>2</v>
      </c>
    </row>
    <row r="11777" spans="1:5" ht="13">
      <c r="A11777" s="2" t="str">
        <f ca="1">IFERROR(__xludf.DUMMYFUNCTION("""COMPUTED_VALUE"""),"Sims, Adrian B.")</f>
        <v>Sims, Adrian B.</v>
      </c>
      <c r="B11777" s="2">
        <f ca="1">IFERROR(__xludf.DUMMYFUNCTION("""COMPUTED_VALUE"""),3)</f>
        <v>3</v>
      </c>
      <c r="C11777" s="7">
        <f ca="1">IFERROR(__xludf.DUMMYFUNCTION("""COMPUTED_VALUE"""),3.1)</f>
        <v>3.1</v>
      </c>
      <c r="D11777" s="8">
        <f ca="1">IFERROR(__xludf.DUMMYFUNCTION("""COMPUTED_VALUE"""),3)</f>
        <v>3</v>
      </c>
      <c r="E11777" s="2">
        <f ca="1">IFERROR(__xludf.DUMMYFUNCTION("""COMPUTED_VALUE"""),1)</f>
        <v>1</v>
      </c>
    </row>
    <row r="11778" spans="1:5" ht="13">
      <c r="A11778" s="2" t="str">
        <f ca="1">IFERROR(__xludf.DUMMYFUNCTION("""COMPUTED_VALUE"""),"Singh, Jasnam Daya")</f>
        <v>Singh, Jasnam Daya</v>
      </c>
      <c r="B11778" s="3">
        <f ca="1">IFERROR(__xludf.DUMMYFUNCTION("""COMPUTED_VALUE"""),3)</f>
        <v>3</v>
      </c>
      <c r="C11778" s="7">
        <f ca="1">IFERROR(__xludf.DUMMYFUNCTION("""COMPUTED_VALUE"""),3.2)</f>
        <v>3.2</v>
      </c>
      <c r="D11778" s="8">
        <f ca="1">IFERROR(__xludf.DUMMYFUNCTION("""COMPUTED_VALUE"""),3)</f>
        <v>3</v>
      </c>
      <c r="E11778" s="2">
        <f ca="1">IFERROR(__xludf.DUMMYFUNCTION("""COMPUTED_VALUE"""),1)</f>
        <v>1</v>
      </c>
    </row>
    <row r="11779" spans="1:5" ht="13">
      <c r="A11779" s="2" t="str">
        <f ca="1">IFERROR(__xludf.DUMMYFUNCTION("""COMPUTED_VALUE"""),"Singleton, Alvin")</f>
        <v>Singleton, Alvin</v>
      </c>
      <c r="B11779" s="3">
        <f ca="1">IFERROR(__xludf.DUMMYFUNCTION("""COMPUTED_VALUE"""),3)</f>
        <v>3</v>
      </c>
      <c r="C11779" s="7">
        <f ca="1">IFERROR(__xludf.DUMMYFUNCTION("""COMPUTED_VALUE"""),3.1)</f>
        <v>3.1</v>
      </c>
      <c r="D11779" s="8">
        <f ca="1">IFERROR(__xludf.DUMMYFUNCTION("""COMPUTED_VALUE"""),3)</f>
        <v>3</v>
      </c>
      <c r="E11779" s="2">
        <f ca="1">IFERROR(__xludf.DUMMYFUNCTION("""COMPUTED_VALUE"""),1)</f>
        <v>1</v>
      </c>
    </row>
    <row r="11780" spans="1:5" ht="13">
      <c r="A11780" s="2" t="str">
        <f ca="1">IFERROR(__xludf.DUMMYFUNCTION("""COMPUTED_VALUE"""),"Siragusa, Daniel")</f>
        <v>Siragusa, Daniel</v>
      </c>
      <c r="B11780" s="3">
        <f ca="1">IFERROR(__xludf.DUMMYFUNCTION("""COMPUTED_VALUE"""),3)</f>
        <v>3</v>
      </c>
      <c r="C11780" s="7">
        <f ca="1">IFERROR(__xludf.DUMMYFUNCTION("""COMPUTED_VALUE"""),3.9)</f>
        <v>3.9</v>
      </c>
      <c r="D11780" s="8">
        <f ca="1">IFERROR(__xludf.DUMMYFUNCTION("""COMPUTED_VALUE"""),3)</f>
        <v>3</v>
      </c>
      <c r="E11780" s="2">
        <f ca="1">IFERROR(__xludf.DUMMYFUNCTION("""COMPUTED_VALUE"""),1)</f>
        <v>1</v>
      </c>
    </row>
    <row r="11781" spans="1:5" ht="13">
      <c r="A11781" s="2" t="str">
        <f ca="1">IFERROR(__xludf.DUMMYFUNCTION("""COMPUTED_VALUE"""),"Skye, Derrick")</f>
        <v>Skye, Derrick</v>
      </c>
      <c r="B11781" s="3">
        <f ca="1">IFERROR(__xludf.DUMMYFUNCTION("""COMPUTED_VALUE"""),3)</f>
        <v>3</v>
      </c>
      <c r="C11781" s="7">
        <f ca="1">IFERROR(__xludf.DUMMYFUNCTION("""COMPUTED_VALUE"""),3.1)</f>
        <v>3.1</v>
      </c>
      <c r="D11781" s="8">
        <f ca="1">IFERROR(__xludf.DUMMYFUNCTION("""COMPUTED_VALUE"""),3)</f>
        <v>3</v>
      </c>
      <c r="E11781" s="2">
        <f ca="1">IFERROR(__xludf.DUMMYFUNCTION("""COMPUTED_VALUE"""),1)</f>
        <v>1</v>
      </c>
    </row>
    <row r="11782" spans="1:5" ht="13">
      <c r="A11782" s="2" t="str">
        <f ca="1">IFERROR(__xludf.DUMMYFUNCTION("""COMPUTED_VALUE"""),"Slim, Memphis")</f>
        <v>Slim, Memphis</v>
      </c>
      <c r="B11782" s="3">
        <f ca="1">IFERROR(__xludf.DUMMYFUNCTION("""COMPUTED_VALUE"""),3)</f>
        <v>3</v>
      </c>
      <c r="C11782" s="7">
        <f ca="1">IFERROR(__xludf.DUMMYFUNCTION("""COMPUTED_VALUE"""),3.1)</f>
        <v>3.1</v>
      </c>
      <c r="D11782" s="8">
        <f ca="1">IFERROR(__xludf.DUMMYFUNCTION("""COMPUTED_VALUE"""),7)</f>
        <v>7</v>
      </c>
      <c r="E11782" s="2">
        <f ca="1">IFERROR(__xludf.DUMMYFUNCTION("""COMPUTED_VALUE"""),2)</f>
        <v>2</v>
      </c>
    </row>
    <row r="11783" spans="1:5" ht="13">
      <c r="A11783" s="2" t="str">
        <f ca="1">IFERROR(__xludf.DUMMYFUNCTION("""COMPUTED_VALUE"""),"Smalls, Charlie")</f>
        <v>Smalls, Charlie</v>
      </c>
      <c r="B11783" s="3">
        <f ca="1">IFERROR(__xludf.DUMMYFUNCTION("""COMPUTED_VALUE"""),3)</f>
        <v>3</v>
      </c>
      <c r="C11783" s="7">
        <f ca="1">IFERROR(__xludf.DUMMYFUNCTION("""COMPUTED_VALUE"""),3.1)</f>
        <v>3.1</v>
      </c>
      <c r="D11783" s="8">
        <f ca="1">IFERROR(__xludf.DUMMYFUNCTION("""COMPUTED_VALUE"""),7)</f>
        <v>7</v>
      </c>
      <c r="E11783" s="2">
        <f ca="1">IFERROR(__xludf.DUMMYFUNCTION("""COMPUTED_VALUE"""),2)</f>
        <v>2</v>
      </c>
    </row>
    <row r="11784" spans="1:5" ht="13">
      <c r="A11784" s="8" t="str">
        <f ca="1">IFERROR(__xludf.DUMMYFUNCTION("""COMPUTED_VALUE"""),"Smallwood, Richard")</f>
        <v>Smallwood, Richard</v>
      </c>
      <c r="B11784" s="3">
        <f ca="1">IFERROR(__xludf.DUMMYFUNCTION("""COMPUTED_VALUE"""),3)</f>
        <v>3</v>
      </c>
      <c r="C11784" s="7">
        <f ca="1">IFERROR(__xludf.DUMMYFUNCTION("""COMPUTED_VALUE"""),3.1)</f>
        <v>3.1</v>
      </c>
      <c r="D11784" s="8">
        <f ca="1">IFERROR(__xludf.DUMMYFUNCTION("""COMPUTED_VALUE"""),3)</f>
        <v>3</v>
      </c>
      <c r="E11784" s="2">
        <f ca="1">IFERROR(__xludf.DUMMYFUNCTION("""COMPUTED_VALUE"""),1)</f>
        <v>1</v>
      </c>
    </row>
    <row r="11785" spans="1:5" ht="13">
      <c r="A11785" s="2" t="str">
        <f ca="1">IFERROR(__xludf.DUMMYFUNCTION("""COMPUTED_VALUE"""),"Smee Wong")</f>
        <v>Smee Wong</v>
      </c>
      <c r="B11785" s="3">
        <f ca="1">IFERROR(__xludf.DUMMYFUNCTION("""COMPUTED_VALUE"""),3)</f>
        <v>3</v>
      </c>
      <c r="C11785" s="7">
        <f ca="1">IFERROR(__xludf.DUMMYFUNCTION("""COMPUTED_VALUE"""),3.3)</f>
        <v>3.3</v>
      </c>
      <c r="D11785" s="8">
        <f ca="1">IFERROR(__xludf.DUMMYFUNCTION("""COMPUTED_VALUE"""),3)</f>
        <v>3</v>
      </c>
      <c r="E11785" s="2">
        <f ca="1">IFERROR(__xludf.DUMMYFUNCTION("""COMPUTED_VALUE"""),1)</f>
        <v>1</v>
      </c>
    </row>
    <row r="11786" spans="1:5" ht="13">
      <c r="A11786" s="2" t="str">
        <f ca="1">IFERROR(__xludf.DUMMYFUNCTION("""COMPUTED_VALUE"""),"Smith III, Walter")</f>
        <v>Smith III, Walter</v>
      </c>
      <c r="B11786" s="3">
        <f ca="1">IFERROR(__xludf.DUMMYFUNCTION("""COMPUTED_VALUE"""),3)</f>
        <v>3</v>
      </c>
      <c r="C11786" s="7">
        <f ca="1">IFERROR(__xludf.DUMMYFUNCTION("""COMPUTED_VALUE"""),3.1)</f>
        <v>3.1</v>
      </c>
      <c r="D11786" s="8">
        <f ca="1">IFERROR(__xludf.DUMMYFUNCTION("""COMPUTED_VALUE"""),3)</f>
        <v>3</v>
      </c>
      <c r="E11786" s="2">
        <f ca="1">IFERROR(__xludf.DUMMYFUNCTION("""COMPUTED_VALUE"""),1)</f>
        <v>1</v>
      </c>
    </row>
    <row r="11787" spans="1:5" ht="13">
      <c r="A11787" s="2" t="str">
        <f ca="1">IFERROR(__xludf.DUMMYFUNCTION("""COMPUTED_VALUE"""),"Smith, Byron")</f>
        <v>Smith, Byron</v>
      </c>
      <c r="B11787" s="2">
        <f ca="1">IFERROR(__xludf.DUMMYFUNCTION("""COMPUTED_VALUE"""),3)</f>
        <v>3</v>
      </c>
      <c r="C11787" s="7">
        <f ca="1">IFERROR(__xludf.DUMMYFUNCTION("""COMPUTED_VALUE"""),3.1)</f>
        <v>3.1</v>
      </c>
      <c r="D11787" s="8">
        <f ca="1">IFERROR(__xludf.DUMMYFUNCTION("""COMPUTED_VALUE"""),3)</f>
        <v>3</v>
      </c>
      <c r="E11787" s="2">
        <f ca="1">IFERROR(__xludf.DUMMYFUNCTION("""COMPUTED_VALUE"""),1)</f>
        <v>1</v>
      </c>
    </row>
    <row r="11788" spans="1:5" ht="13">
      <c r="A11788" s="2" t="str">
        <f ca="1">IFERROR(__xludf.DUMMYFUNCTION("""COMPUTED_VALUE"""),"Smith, Byron J.")</f>
        <v>Smith, Byron J.</v>
      </c>
      <c r="B11788" s="2">
        <f ca="1">IFERROR(__xludf.DUMMYFUNCTION("""COMPUTED_VALUE"""),3)</f>
        <v>3</v>
      </c>
      <c r="C11788" s="7">
        <f ca="1">IFERROR(__xludf.DUMMYFUNCTION("""COMPUTED_VALUE"""),3.1)</f>
        <v>3.1</v>
      </c>
      <c r="D11788" s="8">
        <f ca="1">IFERROR(__xludf.DUMMYFUNCTION("""COMPUTED_VALUE"""),3)</f>
        <v>3</v>
      </c>
      <c r="E11788" s="2">
        <f ca="1">IFERROR(__xludf.DUMMYFUNCTION("""COMPUTED_VALUE"""),1)</f>
        <v>1</v>
      </c>
    </row>
    <row r="11789" spans="1:5" ht="13">
      <c r="A11789" s="2" t="str">
        <f ca="1">IFERROR(__xludf.DUMMYFUNCTION("""COMPUTED_VALUE"""),"Smith, Elijah Daniel")</f>
        <v>Smith, Elijah Daniel</v>
      </c>
      <c r="B11789" s="2">
        <f ca="1">IFERROR(__xludf.DUMMYFUNCTION("""COMPUTED_VALUE"""),3)</f>
        <v>3</v>
      </c>
      <c r="C11789" s="7">
        <f ca="1">IFERROR(__xludf.DUMMYFUNCTION("""COMPUTED_VALUE"""),3.1)</f>
        <v>3.1</v>
      </c>
      <c r="D11789" s="8">
        <f ca="1">IFERROR(__xludf.DUMMYFUNCTION("""COMPUTED_VALUE"""),3)</f>
        <v>3</v>
      </c>
      <c r="E11789" s="2">
        <f ca="1">IFERROR(__xludf.DUMMYFUNCTION("""COMPUTED_VALUE"""),1)</f>
        <v>1</v>
      </c>
    </row>
    <row r="11790" spans="1:5" ht="13">
      <c r="A11790" s="2" t="str">
        <f ca="1">IFERROR(__xludf.DUMMYFUNCTION("""COMPUTED_VALUE"""),"Smith, Gerald T.")</f>
        <v>Smith, Gerald T.</v>
      </c>
      <c r="B11790" s="2">
        <f ca="1">IFERROR(__xludf.DUMMYFUNCTION("""COMPUTED_VALUE"""),3)</f>
        <v>3</v>
      </c>
      <c r="C11790" s="7">
        <f ca="1">IFERROR(__xludf.DUMMYFUNCTION("""COMPUTED_VALUE"""),3.1)</f>
        <v>3.1</v>
      </c>
      <c r="D11790" s="8">
        <f ca="1">IFERROR(__xludf.DUMMYFUNCTION("""COMPUTED_VALUE"""),3)</f>
        <v>3</v>
      </c>
      <c r="E11790" s="2">
        <f ca="1">IFERROR(__xludf.DUMMYFUNCTION("""COMPUTED_VALUE"""),1)</f>
        <v>1</v>
      </c>
    </row>
    <row r="11791" spans="1:5" ht="13">
      <c r="A11791" s="2" t="str">
        <f ca="1">IFERROR(__xludf.DUMMYFUNCTION("""COMPUTED_VALUE"""),"Smith, Hale")</f>
        <v>Smith, Hale</v>
      </c>
      <c r="B11791" s="2">
        <f ca="1">IFERROR(__xludf.DUMMYFUNCTION("""COMPUTED_VALUE"""),3)</f>
        <v>3</v>
      </c>
      <c r="C11791" s="7">
        <f ca="1">IFERROR(__xludf.DUMMYFUNCTION("""COMPUTED_VALUE"""),3.1)</f>
        <v>3.1</v>
      </c>
      <c r="D11791" s="8">
        <f ca="1">IFERROR(__xludf.DUMMYFUNCTION("""COMPUTED_VALUE"""),7)</f>
        <v>7</v>
      </c>
      <c r="E11791" s="2">
        <f ca="1">IFERROR(__xludf.DUMMYFUNCTION("""COMPUTED_VALUE"""),2)</f>
        <v>2</v>
      </c>
    </row>
    <row r="11792" spans="1:5" ht="13">
      <c r="A11792" s="2" t="str">
        <f ca="1">IFERROR(__xludf.DUMMYFUNCTION("""COMPUTED_VALUE"""),"Smith, Herb")</f>
        <v>Smith, Herb</v>
      </c>
      <c r="B11792" s="3">
        <f ca="1">IFERROR(__xludf.DUMMYFUNCTION("""COMPUTED_VALUE"""),3)</f>
        <v>3</v>
      </c>
      <c r="C11792" s="7">
        <f ca="1">IFERROR(__xludf.DUMMYFUNCTION("""COMPUTED_VALUE"""),3.1)</f>
        <v>3.1</v>
      </c>
      <c r="D11792" s="8">
        <f ca="1">IFERROR(__xludf.DUMMYFUNCTION("""COMPUTED_VALUE"""),3)</f>
        <v>3</v>
      </c>
      <c r="E11792" s="2">
        <f ca="1">IFERROR(__xludf.DUMMYFUNCTION("""COMPUTED_VALUE"""),1)</f>
        <v>1</v>
      </c>
    </row>
    <row r="11793" spans="1:5" ht="13">
      <c r="A11793" s="2" t="str">
        <f ca="1">IFERROR(__xludf.DUMMYFUNCTION("""COMPUTED_VALUE"""),"Smith, Stefan")</f>
        <v>Smith, Stefan</v>
      </c>
      <c r="B11793" s="3">
        <f ca="1">IFERROR(__xludf.DUMMYFUNCTION("""COMPUTED_VALUE"""),3)</f>
        <v>3</v>
      </c>
      <c r="C11793" s="7">
        <f ca="1">IFERROR(__xludf.DUMMYFUNCTION("""COMPUTED_VALUE"""),3.1)</f>
        <v>3.1</v>
      </c>
      <c r="D11793" s="8">
        <f ca="1">IFERROR(__xludf.DUMMYFUNCTION("""COMPUTED_VALUE"""),3)</f>
        <v>3</v>
      </c>
      <c r="E11793" s="2">
        <f ca="1">IFERROR(__xludf.DUMMYFUNCTION("""COMPUTED_VALUE"""),1)</f>
        <v>1</v>
      </c>
    </row>
    <row r="11794" spans="1:5" ht="13">
      <c r="A11794" s="2" t="str">
        <f ca="1">IFERROR(__xludf.DUMMYFUNCTION("""COMPUTED_VALUE"""),"Smith, Stefan L.")</f>
        <v>Smith, Stefan L.</v>
      </c>
      <c r="B11794" s="3">
        <f ca="1">IFERROR(__xludf.DUMMYFUNCTION("""COMPUTED_VALUE"""),3)</f>
        <v>3</v>
      </c>
      <c r="C11794" s="7">
        <f ca="1">IFERROR(__xludf.DUMMYFUNCTION("""COMPUTED_VALUE"""),3.1)</f>
        <v>3.1</v>
      </c>
      <c r="D11794" s="8">
        <f ca="1">IFERROR(__xludf.DUMMYFUNCTION("""COMPUTED_VALUE"""),3)</f>
        <v>3</v>
      </c>
      <c r="E11794" s="2">
        <f ca="1">IFERROR(__xludf.DUMMYFUNCTION("""COMPUTED_VALUE"""),1)</f>
        <v>1</v>
      </c>
    </row>
    <row r="11795" spans="1:5" ht="13">
      <c r="A11795" s="2" t="str">
        <f ca="1">IFERROR(__xludf.DUMMYFUNCTION("""COMPUTED_VALUE"""),"Smith, Willie")</f>
        <v>Smith, Willie</v>
      </c>
      <c r="B11795" s="2">
        <f ca="1">IFERROR(__xludf.DUMMYFUNCTION("""COMPUTED_VALUE"""),3)</f>
        <v>3</v>
      </c>
      <c r="C11795" s="7">
        <f ca="1">IFERROR(__xludf.DUMMYFUNCTION("""COMPUTED_VALUE"""),3.1)</f>
        <v>3.1</v>
      </c>
      <c r="D11795" s="8">
        <f ca="1">IFERROR(__xludf.DUMMYFUNCTION("""COMPUTED_VALUE"""),7)</f>
        <v>7</v>
      </c>
      <c r="E11795" s="2">
        <f ca="1">IFERROR(__xludf.DUMMYFUNCTION("""COMPUTED_VALUE"""),2)</f>
        <v>2</v>
      </c>
    </row>
    <row r="11796" spans="1:5" ht="13">
      <c r="A11796" s="2" t="str">
        <f ca="1">IFERROR(__xludf.DUMMYFUNCTION("""COMPUTED_VALUE"""),"Smith, Zane")</f>
        <v>Smith, Zane</v>
      </c>
      <c r="B11796" s="3">
        <f ca="1">IFERROR(__xludf.DUMMYFUNCTION("""COMPUTED_VALUE"""),3)</f>
        <v>3</v>
      </c>
      <c r="C11796" s="7">
        <f ca="1">IFERROR(__xludf.DUMMYFUNCTION("""COMPUTED_VALUE"""),3.1)</f>
        <v>3.1</v>
      </c>
      <c r="D11796" s="8">
        <f ca="1">IFERROR(__xludf.DUMMYFUNCTION("""COMPUTED_VALUE"""),3)</f>
        <v>3</v>
      </c>
      <c r="E11796" s="2">
        <f ca="1">IFERROR(__xludf.DUMMYFUNCTION("""COMPUTED_VALUE"""),1)</f>
        <v>1</v>
      </c>
    </row>
    <row r="11797" spans="1:5" ht="13">
      <c r="A11797" s="2" t="str">
        <f ca="1">IFERROR(__xludf.DUMMYFUNCTION("""COMPUTED_VALUE"""),"Sneed, Damien")</f>
        <v>Sneed, Damien</v>
      </c>
      <c r="B11797" s="3">
        <f ca="1">IFERROR(__xludf.DUMMYFUNCTION("""COMPUTED_VALUE"""),3)</f>
        <v>3</v>
      </c>
      <c r="C11797" s="7">
        <f ca="1">IFERROR(__xludf.DUMMYFUNCTION("""COMPUTED_VALUE"""),3.1)</f>
        <v>3.1</v>
      </c>
      <c r="D11797" s="8">
        <f ca="1">IFERROR(__xludf.DUMMYFUNCTION("""COMPUTED_VALUE"""),3)</f>
        <v>3</v>
      </c>
      <c r="E11797" s="2">
        <f ca="1">IFERROR(__xludf.DUMMYFUNCTION("""COMPUTED_VALUE"""),1)</f>
        <v>1</v>
      </c>
    </row>
    <row r="11798" spans="1:5" ht="13">
      <c r="A11798" s="2" t="str">
        <f ca="1">IFERROR(__xludf.DUMMYFUNCTION("""COMPUTED_VALUE"""),"Snoek, Ben")</f>
        <v>Snoek, Ben</v>
      </c>
      <c r="B11798" s="2">
        <f ca="1">IFERROR(__xludf.DUMMYFUNCTION("""COMPUTED_VALUE"""),3)</f>
        <v>3</v>
      </c>
      <c r="C11798" s="7">
        <f ca="1">IFERROR(__xludf.DUMMYFUNCTION("""COMPUTED_VALUE"""),3.3)</f>
        <v>3.3</v>
      </c>
      <c r="D11798" s="8">
        <f ca="1">IFERROR(__xludf.DUMMYFUNCTION("""COMPUTED_VALUE"""),3)</f>
        <v>3</v>
      </c>
      <c r="E11798" s="2">
        <f ca="1">IFERROR(__xludf.DUMMYFUNCTION("""COMPUTED_VALUE"""),1)</f>
        <v>1</v>
      </c>
    </row>
    <row r="11799" spans="1:5" ht="13">
      <c r="A11799" s="2" t="str">
        <f ca="1">IFERROR(__xludf.DUMMYFUNCTION("""COMPUTED_VALUE"""),"Soichi Konagaya")</f>
        <v>Soichi Konagaya</v>
      </c>
      <c r="B11799" s="3">
        <f ca="1">IFERROR(__xludf.DUMMYFUNCTION("""COMPUTED_VALUE"""),3)</f>
        <v>3</v>
      </c>
      <c r="C11799" s="7">
        <f ca="1">IFERROR(__xludf.DUMMYFUNCTION("""COMPUTED_VALUE"""),3.3)</f>
        <v>3.3</v>
      </c>
      <c r="D11799" s="8">
        <f ca="1">IFERROR(__xludf.DUMMYFUNCTION("""COMPUTED_VALUE"""),3)</f>
        <v>3</v>
      </c>
      <c r="E11799" s="3">
        <f ca="1">IFERROR(__xludf.DUMMYFUNCTION("""COMPUTED_VALUE"""),1)</f>
        <v>1</v>
      </c>
    </row>
    <row r="11800" spans="1:5" ht="13">
      <c r="A11800" s="2" t="str">
        <f ca="1">IFERROR(__xludf.DUMMYFUNCTION("""COMPUTED_VALUE"""),"Sontonga, Enoch")</f>
        <v>Sontonga, Enoch</v>
      </c>
      <c r="B11800" s="3">
        <f ca="1">IFERROR(__xludf.DUMMYFUNCTION("""COMPUTED_VALUE"""),3)</f>
        <v>3</v>
      </c>
      <c r="C11800" s="7">
        <f ca="1">IFERROR(__xludf.DUMMYFUNCTION("""COMPUTED_VALUE"""),3.1)</f>
        <v>3.1</v>
      </c>
      <c r="D11800" s="8">
        <f ca="1">IFERROR(__xludf.DUMMYFUNCTION("""COMPUTED_VALUE"""),3)</f>
        <v>3</v>
      </c>
      <c r="E11800" s="2">
        <f ca="1">IFERROR(__xludf.DUMMYFUNCTION("""COMPUTED_VALUE"""),1)</f>
        <v>1</v>
      </c>
    </row>
    <row r="11801" spans="1:5" ht="13">
      <c r="A11801" s="2" t="str">
        <f ca="1">IFERROR(__xludf.DUMMYFUNCTION("""COMPUTED_VALUE"""),"Sorey, Tyshawn")</f>
        <v>Sorey, Tyshawn</v>
      </c>
      <c r="B11801" s="3">
        <f ca="1">IFERROR(__xludf.DUMMYFUNCTION("""COMPUTED_VALUE"""),3)</f>
        <v>3</v>
      </c>
      <c r="C11801" s="7">
        <f ca="1">IFERROR(__xludf.DUMMYFUNCTION("""COMPUTED_VALUE"""),3.1)</f>
        <v>3.1</v>
      </c>
      <c r="D11801" s="8">
        <f ca="1">IFERROR(__xludf.DUMMYFUNCTION("""COMPUTED_VALUE"""),3)</f>
        <v>3</v>
      </c>
      <c r="E11801" s="2">
        <f ca="1">IFERROR(__xludf.DUMMYFUNCTION("""COMPUTED_VALUE"""),1)</f>
        <v>1</v>
      </c>
    </row>
    <row r="11802" spans="1:5" ht="13">
      <c r="A11802" s="2" t="str">
        <f ca="1">IFERROR(__xludf.DUMMYFUNCTION("""COMPUTED_VALUE"""),"Soro, Enrique")</f>
        <v>Soro, Enrique</v>
      </c>
      <c r="B11802" s="3">
        <f ca="1">IFERROR(__xludf.DUMMYFUNCTION("""COMPUTED_VALUE"""),3)</f>
        <v>3</v>
      </c>
      <c r="C11802" s="7">
        <f ca="1">IFERROR(__xludf.DUMMYFUNCTION("""COMPUTED_VALUE"""),3.2)</f>
        <v>3.2</v>
      </c>
      <c r="D11802" s="8">
        <f ca="1">IFERROR(__xludf.DUMMYFUNCTION("""COMPUTED_VALUE"""),7)</f>
        <v>7</v>
      </c>
      <c r="E11802" s="2">
        <f ca="1">IFERROR(__xludf.DUMMYFUNCTION("""COMPUTED_VALUE"""),2)</f>
        <v>2</v>
      </c>
    </row>
    <row r="11803" spans="1:5" ht="13">
      <c r="A11803" s="8" t="str">
        <f ca="1">IFERROR(__xludf.DUMMYFUNCTION("""COMPUTED_VALUE"""),"Sosa, Jorge")</f>
        <v>Sosa, Jorge</v>
      </c>
      <c r="B11803" s="3">
        <f ca="1">IFERROR(__xludf.DUMMYFUNCTION("""COMPUTED_VALUE"""),3)</f>
        <v>3</v>
      </c>
      <c r="C11803" s="7">
        <f ca="1">IFERROR(__xludf.DUMMYFUNCTION("""COMPUTED_VALUE"""),3.2)</f>
        <v>3.2</v>
      </c>
      <c r="D11803" s="8">
        <f ca="1">IFERROR(__xludf.DUMMYFUNCTION("""COMPUTED_VALUE"""),3)</f>
        <v>3</v>
      </c>
      <c r="E11803" s="2">
        <f ca="1">IFERROR(__xludf.DUMMYFUNCTION("""COMPUTED_VALUE"""),1)</f>
        <v>1</v>
      </c>
    </row>
    <row r="11804" spans="1:5" ht="13">
      <c r="A11804" s="8" t="str">
        <f ca="1">IFERROR(__xludf.DUMMYFUNCTION("""COMPUTED_VALUE"""),"Sosa, Pablo")</f>
        <v>Sosa, Pablo</v>
      </c>
      <c r="B11804" s="3">
        <f ca="1">IFERROR(__xludf.DUMMYFUNCTION("""COMPUTED_VALUE"""),3)</f>
        <v>3</v>
      </c>
      <c r="C11804" s="7">
        <f ca="1">IFERROR(__xludf.DUMMYFUNCTION("""COMPUTED_VALUE"""),3.2)</f>
        <v>3.2</v>
      </c>
      <c r="D11804" s="8">
        <f ca="1">IFERROR(__xludf.DUMMYFUNCTION("""COMPUTED_VALUE"""),7)</f>
        <v>7</v>
      </c>
      <c r="E11804" s="2">
        <f ca="1">IFERROR(__xludf.DUMMYFUNCTION("""COMPUTED_VALUE"""),2)</f>
        <v>2</v>
      </c>
    </row>
    <row r="11805" spans="1:5" ht="13">
      <c r="A11805" s="8" t="str">
        <f ca="1">IFERROR(__xludf.DUMMYFUNCTION("""COMPUTED_VALUE"""),"Soto, Andrés")</f>
        <v>Soto, Andrés</v>
      </c>
      <c r="B11805" s="3">
        <f ca="1">IFERROR(__xludf.DUMMYFUNCTION("""COMPUTED_VALUE"""),3)</f>
        <v>3</v>
      </c>
      <c r="C11805" s="7">
        <f ca="1">IFERROR(__xludf.DUMMYFUNCTION("""COMPUTED_VALUE"""),3.2)</f>
        <v>3.2</v>
      </c>
      <c r="D11805" s="8">
        <f ca="1">IFERROR(__xludf.DUMMYFUNCTION("""COMPUTED_VALUE"""),3)</f>
        <v>3</v>
      </c>
      <c r="E11805" s="2">
        <f ca="1">IFERROR(__xludf.DUMMYFUNCTION("""COMPUTED_VALUE"""),1)</f>
        <v>1</v>
      </c>
    </row>
    <row r="11806" spans="1:5" ht="13">
      <c r="A11806" s="2" t="str">
        <f ca="1">IFERROR(__xludf.DUMMYFUNCTION("""COMPUTED_VALUE"""),"Sowa, Joseph")</f>
        <v>Sowa, Joseph</v>
      </c>
      <c r="B11806" s="3">
        <f ca="1">IFERROR(__xludf.DUMMYFUNCTION("""COMPUTED_VALUE"""),3)</f>
        <v>3</v>
      </c>
      <c r="C11806" s="7">
        <f ca="1">IFERROR(__xludf.DUMMYFUNCTION("""COMPUTED_VALUE"""),3.2)</f>
        <v>3.2</v>
      </c>
      <c r="D11806" s="8">
        <f ca="1">IFERROR(__xludf.DUMMYFUNCTION("""COMPUTED_VALUE"""),3)</f>
        <v>3</v>
      </c>
      <c r="E11806" s="2">
        <f ca="1">IFERROR(__xludf.DUMMYFUNCTION("""COMPUTED_VALUE"""),1)</f>
        <v>1</v>
      </c>
    </row>
    <row r="11807" spans="1:5" ht="13">
      <c r="A11807" s="2" t="str">
        <f ca="1">IFERROR(__xludf.DUMMYFUNCTION("""COMPUTED_VALUE"""),"Sowande, Fela")</f>
        <v>Sowande, Fela</v>
      </c>
      <c r="B11807" s="3">
        <f ca="1">IFERROR(__xludf.DUMMYFUNCTION("""COMPUTED_VALUE"""),3)</f>
        <v>3</v>
      </c>
      <c r="C11807" s="7">
        <f ca="1">IFERROR(__xludf.DUMMYFUNCTION("""COMPUTED_VALUE"""),3.1)</f>
        <v>3.1</v>
      </c>
      <c r="D11807" s="8">
        <f ca="1">IFERROR(__xludf.DUMMYFUNCTION("""COMPUTED_VALUE"""),7)</f>
        <v>7</v>
      </c>
      <c r="E11807" s="2">
        <f ca="1">IFERROR(__xludf.DUMMYFUNCTION("""COMPUTED_VALUE"""),2)</f>
        <v>2</v>
      </c>
    </row>
    <row r="11808" spans="1:5" ht="13">
      <c r="A11808" s="2" t="str">
        <f ca="1">IFERROR(__xludf.DUMMYFUNCTION("""COMPUTED_VALUE"""),"Spainhour, Bret")</f>
        <v>Spainhour, Bret</v>
      </c>
      <c r="B11808" s="3">
        <f ca="1">IFERROR(__xludf.DUMMYFUNCTION("""COMPUTED_VALUE"""),3)</f>
        <v>3</v>
      </c>
      <c r="C11808" s="7">
        <f ca="1">IFERROR(__xludf.DUMMYFUNCTION("""COMPUTED_VALUE"""),3.1)</f>
        <v>3.1</v>
      </c>
      <c r="D11808" s="8">
        <f ca="1">IFERROR(__xludf.DUMMYFUNCTION("""COMPUTED_VALUE"""),3)</f>
        <v>3</v>
      </c>
      <c r="E11808" s="2">
        <f ca="1">IFERROR(__xludf.DUMMYFUNCTION("""COMPUTED_VALUE"""),1)</f>
        <v>1</v>
      </c>
    </row>
    <row r="11809" spans="1:5" ht="13">
      <c r="A11809" s="2" t="str">
        <f ca="1">IFERROR(__xludf.DUMMYFUNCTION("""COMPUTED_VALUE"""),"Sparks, Aaron ""Pinetop""")</f>
        <v>Sparks, Aaron "Pinetop"</v>
      </c>
      <c r="B11809" s="3">
        <f ca="1">IFERROR(__xludf.DUMMYFUNCTION("""COMPUTED_VALUE"""),3)</f>
        <v>3</v>
      </c>
      <c r="C11809" s="7">
        <f ca="1">IFERROR(__xludf.DUMMYFUNCTION("""COMPUTED_VALUE"""),3.1)</f>
        <v>3.1</v>
      </c>
      <c r="D11809" s="8">
        <f ca="1">IFERROR(__xludf.DUMMYFUNCTION("""COMPUTED_VALUE"""),7)</f>
        <v>7</v>
      </c>
      <c r="E11809" s="2">
        <f ca="1">IFERROR(__xludf.DUMMYFUNCTION("""COMPUTED_VALUE"""),2)</f>
        <v>2</v>
      </c>
    </row>
    <row r="11810" spans="1:5" ht="13">
      <c r="A11810" s="2" t="str">
        <f ca="1">IFERROR(__xludf.DUMMYFUNCTION("""COMPUTED_VALUE"""),"Sparks, Marion / Pinetop")</f>
        <v>Sparks, Marion / Pinetop</v>
      </c>
      <c r="B11810" s="3">
        <f ca="1">IFERROR(__xludf.DUMMYFUNCTION("""COMPUTED_VALUE"""),3)</f>
        <v>3</v>
      </c>
      <c r="C11810" s="7">
        <f ca="1">IFERROR(__xludf.DUMMYFUNCTION("""COMPUTED_VALUE"""),3.1)</f>
        <v>3.1</v>
      </c>
      <c r="D11810" s="8">
        <f ca="1">IFERROR(__xludf.DUMMYFUNCTION("""COMPUTED_VALUE"""),7)</f>
        <v>7</v>
      </c>
      <c r="E11810" s="2">
        <f ca="1">IFERROR(__xludf.DUMMYFUNCTION("""COMPUTED_VALUE"""),2)</f>
        <v>2</v>
      </c>
    </row>
    <row r="11811" spans="1:5" ht="13">
      <c r="A11811" s="2" t="str">
        <f ca="1">IFERROR(__xludf.DUMMYFUNCTION("""COMPUTED_VALUE"""),"spiritchild")</f>
        <v>spiritchild</v>
      </c>
      <c r="B11811" s="3">
        <f ca="1">IFERROR(__xludf.DUMMYFUNCTION("""COMPUTED_VALUE"""),3)</f>
        <v>3</v>
      </c>
      <c r="C11811" s="7">
        <f ca="1">IFERROR(__xludf.DUMMYFUNCTION("""COMPUTED_VALUE"""),3.1)</f>
        <v>3.1</v>
      </c>
      <c r="D11811" s="8">
        <f ca="1">IFERROR(__xludf.DUMMYFUNCTION("""COMPUTED_VALUE"""),3)</f>
        <v>3</v>
      </c>
      <c r="E11811" s="2">
        <f ca="1">IFERROR(__xludf.DUMMYFUNCTION("""COMPUTED_VALUE"""),1)</f>
        <v>1</v>
      </c>
    </row>
    <row r="11812" spans="1:5" ht="13">
      <c r="A11812" s="2" t="str">
        <f ca="1">IFERROR(__xludf.DUMMYFUNCTION("""COMPUTED_VALUE"""),"Spiva Jr., Derrick")</f>
        <v>Spiva Jr., Derrick</v>
      </c>
      <c r="B11812" s="3">
        <f ca="1">IFERROR(__xludf.DUMMYFUNCTION("""COMPUTED_VALUE"""),3)</f>
        <v>3</v>
      </c>
      <c r="C11812" s="7">
        <f ca="1">IFERROR(__xludf.DUMMYFUNCTION("""COMPUTED_VALUE"""),3.1)</f>
        <v>3.1</v>
      </c>
      <c r="D11812" s="8">
        <f ca="1">IFERROR(__xludf.DUMMYFUNCTION("""COMPUTED_VALUE"""),3)</f>
        <v>3</v>
      </c>
      <c r="E11812" s="2">
        <f ca="1">IFERROR(__xludf.DUMMYFUNCTION("""COMPUTED_VALUE"""),1)</f>
        <v>1</v>
      </c>
    </row>
    <row r="11813" spans="1:5" ht="13">
      <c r="A11813" s="2" t="str">
        <f ca="1">IFERROR(__xludf.DUMMYFUNCTION("""COMPUTED_VALUE"""),"Spiva, Derrick")</f>
        <v>Spiva, Derrick</v>
      </c>
      <c r="B11813" s="3">
        <f ca="1">IFERROR(__xludf.DUMMYFUNCTION("""COMPUTED_VALUE"""),3)</f>
        <v>3</v>
      </c>
      <c r="C11813" s="7">
        <f ca="1">IFERROR(__xludf.DUMMYFUNCTION("""COMPUTED_VALUE"""),3.1)</f>
        <v>3.1</v>
      </c>
      <c r="D11813" s="8">
        <f ca="1">IFERROR(__xludf.DUMMYFUNCTION("""COMPUTED_VALUE"""),3)</f>
        <v>3</v>
      </c>
      <c r="E11813" s="2">
        <f ca="1">IFERROR(__xludf.DUMMYFUNCTION("""COMPUTED_VALUE"""),1)</f>
        <v>1</v>
      </c>
    </row>
    <row r="11814" spans="1:5" ht="13">
      <c r="A11814" s="2" t="str">
        <f ca="1">IFERROR(__xludf.DUMMYFUNCTION("""COMPUTED_VALUE"""),"Spiva, Derrick Jr.")</f>
        <v>Spiva, Derrick Jr.</v>
      </c>
      <c r="B11814" s="3">
        <f ca="1">IFERROR(__xludf.DUMMYFUNCTION("""COMPUTED_VALUE"""),3)</f>
        <v>3</v>
      </c>
      <c r="C11814" s="7">
        <f ca="1">IFERROR(__xludf.DUMMYFUNCTION("""COMPUTED_VALUE"""),3.1)</f>
        <v>3.1</v>
      </c>
      <c r="D11814" s="8">
        <f ca="1">IFERROR(__xludf.DUMMYFUNCTION("""COMPUTED_VALUE"""),3)</f>
        <v>3</v>
      </c>
      <c r="E11814" s="2">
        <f ca="1">IFERROR(__xludf.DUMMYFUNCTION("""COMPUTED_VALUE"""),1)</f>
        <v>1</v>
      </c>
    </row>
    <row r="11815" spans="1:5" ht="13">
      <c r="A11815" s="2" t="str">
        <f ca="1">IFERROR(__xludf.DUMMYFUNCTION("""COMPUTED_VALUE"""),"Spottswood, Stan")</f>
        <v>Spottswood, Stan</v>
      </c>
      <c r="B11815" s="3">
        <f ca="1">IFERROR(__xludf.DUMMYFUNCTION("""COMPUTED_VALUE"""),3)</f>
        <v>3</v>
      </c>
      <c r="C11815" s="7">
        <f ca="1">IFERROR(__xludf.DUMMYFUNCTION("""COMPUTED_VALUE"""),3.1)</f>
        <v>3.1</v>
      </c>
      <c r="D11815" s="8">
        <f ca="1">IFERROR(__xludf.DUMMYFUNCTION("""COMPUTED_VALUE"""),3)</f>
        <v>3</v>
      </c>
      <c r="E11815" s="2">
        <f ca="1">IFERROR(__xludf.DUMMYFUNCTION("""COMPUTED_VALUE"""),1)</f>
        <v>1</v>
      </c>
    </row>
    <row r="11816" spans="1:5" ht="13">
      <c r="A11816" s="2" t="str">
        <f ca="1">IFERROR(__xludf.DUMMYFUNCTION("""COMPUTED_VALUE"""),"Stafford, Terell")</f>
        <v>Stafford, Terell</v>
      </c>
      <c r="B11816" s="3">
        <f ca="1">IFERROR(__xludf.DUMMYFUNCTION("""COMPUTED_VALUE"""),3)</f>
        <v>3</v>
      </c>
      <c r="C11816" s="7">
        <f ca="1">IFERROR(__xludf.DUMMYFUNCTION("""COMPUTED_VALUE"""),3.1)</f>
        <v>3.1</v>
      </c>
      <c r="D11816" s="8">
        <f ca="1">IFERROR(__xludf.DUMMYFUNCTION("""COMPUTED_VALUE"""),3)</f>
        <v>3</v>
      </c>
      <c r="E11816" s="2">
        <f ca="1">IFERROR(__xludf.DUMMYFUNCTION("""COMPUTED_VALUE"""),1)</f>
        <v>1</v>
      </c>
    </row>
    <row r="11817" spans="1:5" ht="13">
      <c r="A11817" s="8" t="str">
        <f ca="1">IFERROR(__xludf.DUMMYFUNCTION("""COMPUTED_VALUE"""),"Stallworth, John")</f>
        <v>Stallworth, John</v>
      </c>
      <c r="B11817" s="3">
        <f ca="1">IFERROR(__xludf.DUMMYFUNCTION("""COMPUTED_VALUE"""),3)</f>
        <v>3</v>
      </c>
      <c r="C11817" s="7">
        <f ca="1">IFERROR(__xludf.DUMMYFUNCTION("""COMPUTED_VALUE"""),3.1)</f>
        <v>3.1</v>
      </c>
      <c r="D11817" s="8">
        <f ca="1">IFERROR(__xludf.DUMMYFUNCTION("""COMPUTED_VALUE"""),3)</f>
        <v>3</v>
      </c>
      <c r="E11817" s="2">
        <f ca="1">IFERROR(__xludf.DUMMYFUNCTION("""COMPUTED_VALUE"""),1)</f>
        <v>1</v>
      </c>
    </row>
    <row r="11818" spans="1:5" ht="13">
      <c r="A11818" s="2" t="str">
        <f ca="1">IFERROR(__xludf.DUMMYFUNCTION("""COMPUTED_VALUE"""),"Stephens, John / Lynn, Lonnie / Smith, Che")</f>
        <v>Stephens, John / Lynn, Lonnie / Smith, Che</v>
      </c>
      <c r="B11818" s="3">
        <f ca="1">IFERROR(__xludf.DUMMYFUNCTION("""COMPUTED_VALUE"""),3)</f>
        <v>3</v>
      </c>
      <c r="C11818" s="7">
        <f ca="1">IFERROR(__xludf.DUMMYFUNCTION("""COMPUTED_VALUE"""),3.1)</f>
        <v>3.1</v>
      </c>
      <c r="D11818" s="8">
        <f ca="1">IFERROR(__xludf.DUMMYFUNCTION("""COMPUTED_VALUE"""),3)</f>
        <v>3</v>
      </c>
      <c r="E11818" s="2">
        <f ca="1">IFERROR(__xludf.DUMMYFUNCTION("""COMPUTED_VALUE"""),1)</f>
        <v>1</v>
      </c>
    </row>
    <row r="11819" spans="1:5" ht="13">
      <c r="A11819" s="8" t="str">
        <f ca="1">IFERROR(__xludf.DUMMYFUNCTION("""COMPUTED_VALUE"""),"Steven, Ken")</f>
        <v>Steven, Ken</v>
      </c>
      <c r="B11819" s="3">
        <f ca="1">IFERROR(__xludf.DUMMYFUNCTION("""COMPUTED_VALUE"""),3)</f>
        <v>3</v>
      </c>
      <c r="C11819" s="7">
        <f ca="1">IFERROR(__xludf.DUMMYFUNCTION("""COMPUTED_VALUE"""),3.3)</f>
        <v>3.3</v>
      </c>
      <c r="D11819" s="8">
        <f ca="1">IFERROR(__xludf.DUMMYFUNCTION("""COMPUTED_VALUE"""),3)</f>
        <v>3</v>
      </c>
      <c r="E11819" s="2">
        <f ca="1">IFERROR(__xludf.DUMMYFUNCTION("""COMPUTED_VALUE"""),1)</f>
        <v>1</v>
      </c>
    </row>
    <row r="11820" spans="1:5" ht="13">
      <c r="A11820" s="2" t="str">
        <f ca="1">IFERROR(__xludf.DUMMYFUNCTION("""COMPUTED_VALUE"""),"Stevens, Lynn, / Smith")</f>
        <v>Stevens, Lynn, / Smith</v>
      </c>
      <c r="B11820" s="3">
        <f ca="1">IFERROR(__xludf.DUMMYFUNCTION("""COMPUTED_VALUE"""),3)</f>
        <v>3</v>
      </c>
      <c r="C11820" s="7">
        <f ca="1">IFERROR(__xludf.DUMMYFUNCTION("""COMPUTED_VALUE"""),3.1)</f>
        <v>3.1</v>
      </c>
      <c r="D11820" s="8">
        <f ca="1">IFERROR(__xludf.DUMMYFUNCTION("""COMPUTED_VALUE"""),3)</f>
        <v>3</v>
      </c>
      <c r="E11820" s="2">
        <f ca="1">IFERROR(__xludf.DUMMYFUNCTION("""COMPUTED_VALUE"""),1)</f>
        <v>1</v>
      </c>
    </row>
    <row r="11821" spans="1:5" ht="13">
      <c r="A11821" s="8" t="str">
        <f ca="1">IFERROR(__xludf.DUMMYFUNCTION("""COMPUTED_VALUE"""),"Stewart, Curtis")</f>
        <v>Stewart, Curtis</v>
      </c>
      <c r="B11821" s="3">
        <f ca="1">IFERROR(__xludf.DUMMYFUNCTION("""COMPUTED_VALUE"""),3)</f>
        <v>3</v>
      </c>
      <c r="C11821" s="7">
        <f ca="1">IFERROR(__xludf.DUMMYFUNCTION("""COMPUTED_VALUE"""),3.1)</f>
        <v>3.1</v>
      </c>
      <c r="D11821" s="8">
        <f ca="1">IFERROR(__xludf.DUMMYFUNCTION("""COMPUTED_VALUE"""),3)</f>
        <v>3</v>
      </c>
      <c r="E11821" s="2">
        <f ca="1">IFERROR(__xludf.DUMMYFUNCTION("""COMPUTED_VALUE"""),1)</f>
        <v>1</v>
      </c>
    </row>
    <row r="11822" spans="1:5" ht="13">
      <c r="A11822" s="8" t="str">
        <f ca="1">IFERROR(__xludf.DUMMYFUNCTION("""COMPUTED_VALUE"""),"Stewart, Curtis / Roitstein, Andrew / Berry, Hamilton")</f>
        <v>Stewart, Curtis / Roitstein, Andrew / Berry, Hamilton</v>
      </c>
      <c r="B11822" s="3">
        <f ca="1">IFERROR(__xludf.DUMMYFUNCTION("""COMPUTED_VALUE"""),3)</f>
        <v>3</v>
      </c>
      <c r="C11822" s="7">
        <f ca="1">IFERROR(__xludf.DUMMYFUNCTION("""COMPUTED_VALUE"""),3.1)</f>
        <v>3.1</v>
      </c>
      <c r="D11822" s="8">
        <f ca="1">IFERROR(__xludf.DUMMYFUNCTION("""COMPUTED_VALUE"""),3)</f>
        <v>3</v>
      </c>
      <c r="E11822" s="2">
        <f ca="1">IFERROR(__xludf.DUMMYFUNCTION("""COMPUTED_VALUE"""),1)</f>
        <v>1</v>
      </c>
    </row>
    <row r="11823" spans="1:5" ht="13">
      <c r="A11823" s="8" t="str">
        <f ca="1">IFERROR(__xludf.DUMMYFUNCTION("""COMPUTED_VALUE"""),"Stewart, Elliott")</f>
        <v>Stewart, Elliott</v>
      </c>
      <c r="B11823" s="3">
        <f ca="1">IFERROR(__xludf.DUMMYFUNCTION("""COMPUTED_VALUE"""),3)</f>
        <v>3</v>
      </c>
      <c r="C11823" s="7">
        <f ca="1">IFERROR(__xludf.DUMMYFUNCTION("""COMPUTED_VALUE"""),3.1)</f>
        <v>3.1</v>
      </c>
      <c r="D11823" s="8">
        <f ca="1">IFERROR(__xludf.DUMMYFUNCTION("""COMPUTED_VALUE"""),3)</f>
        <v>3</v>
      </c>
      <c r="E11823" s="2">
        <f ca="1">IFERROR(__xludf.DUMMYFUNCTION("""COMPUTED_VALUE"""),1)</f>
        <v>1</v>
      </c>
    </row>
    <row r="11824" spans="1:5" ht="13">
      <c r="A11824" s="2" t="str">
        <f ca="1">IFERROR(__xludf.DUMMYFUNCTION("""COMPUTED_VALUE"""),"Still, William Grant")</f>
        <v>Still, William Grant</v>
      </c>
      <c r="B11824" s="3">
        <f ca="1">IFERROR(__xludf.DUMMYFUNCTION("""COMPUTED_VALUE"""),3)</f>
        <v>3</v>
      </c>
      <c r="C11824" s="7">
        <f ca="1">IFERROR(__xludf.DUMMYFUNCTION("""COMPUTED_VALUE"""),3.1)</f>
        <v>3.1</v>
      </c>
      <c r="D11824" s="8">
        <f ca="1">IFERROR(__xludf.DUMMYFUNCTION("""COMPUTED_VALUE"""),7)</f>
        <v>7</v>
      </c>
      <c r="E11824" s="2">
        <f ca="1">IFERROR(__xludf.DUMMYFUNCTION("""COMPUTED_VALUE"""),2)</f>
        <v>2</v>
      </c>
    </row>
    <row r="11825" spans="1:5" ht="13">
      <c r="A11825" s="2" t="str">
        <f ca="1">IFERROR(__xludf.DUMMYFUNCTION("""COMPUTED_VALUE"""),"Still, William Grant / Parrish, Todd")</f>
        <v>Still, William Grant / Parrish, Todd</v>
      </c>
      <c r="B11825" s="3">
        <f ca="1">IFERROR(__xludf.DUMMYFUNCTION("""COMPUTED_VALUE"""),3)</f>
        <v>3</v>
      </c>
      <c r="C11825" s="7">
        <f ca="1">IFERROR(__xludf.DUMMYFUNCTION("""COMPUTED_VALUE"""),3.1)</f>
        <v>3.1</v>
      </c>
      <c r="D11825" s="8">
        <f ca="1">IFERROR(__xludf.DUMMYFUNCTION("""COMPUTED_VALUE"""),7)</f>
        <v>7</v>
      </c>
      <c r="E11825" s="2">
        <f ca="1">IFERROR(__xludf.DUMMYFUNCTION("""COMPUTED_VALUE"""),2)</f>
        <v>2</v>
      </c>
    </row>
    <row r="11826" spans="1:5" ht="13">
      <c r="A11826" s="8" t="str">
        <f ca="1">IFERROR(__xludf.DUMMYFUNCTION("""COMPUTED_VALUE"""),"Stone, Jesse (aka Calhoun, Charles)")</f>
        <v>Stone, Jesse (aka Calhoun, Charles)</v>
      </c>
      <c r="B11826" s="3">
        <f ca="1">IFERROR(__xludf.DUMMYFUNCTION("""COMPUTED_VALUE"""),3)</f>
        <v>3</v>
      </c>
      <c r="C11826" s="7">
        <f ca="1">IFERROR(__xludf.DUMMYFUNCTION("""COMPUTED_VALUE"""),3.1)</f>
        <v>3.1</v>
      </c>
      <c r="D11826" s="8">
        <f ca="1">IFERROR(__xludf.DUMMYFUNCTION("""COMPUTED_VALUE"""),7)</f>
        <v>7</v>
      </c>
      <c r="E11826" s="2">
        <f ca="1">IFERROR(__xludf.DUMMYFUNCTION("""COMPUTED_VALUE"""),2)</f>
        <v>2</v>
      </c>
    </row>
    <row r="11827" spans="1:5" ht="13">
      <c r="A11827" s="2" t="str">
        <f ca="1">IFERROR(__xludf.DUMMYFUNCTION("""COMPUTED_VALUE"""),"Strayhorn, Billie")</f>
        <v>Strayhorn, Billie</v>
      </c>
      <c r="B11827" s="3">
        <f ca="1">IFERROR(__xludf.DUMMYFUNCTION("""COMPUTED_VALUE"""),3)</f>
        <v>3</v>
      </c>
      <c r="C11827" s="7">
        <f ca="1">IFERROR(__xludf.DUMMYFUNCTION("""COMPUTED_VALUE"""),3.1)</f>
        <v>3.1</v>
      </c>
      <c r="D11827" s="8">
        <f ca="1">IFERROR(__xludf.DUMMYFUNCTION("""COMPUTED_VALUE"""),7)</f>
        <v>7</v>
      </c>
      <c r="E11827" s="2">
        <f ca="1">IFERROR(__xludf.DUMMYFUNCTION("""COMPUTED_VALUE"""),2)</f>
        <v>2</v>
      </c>
    </row>
    <row r="11828" spans="1:5" ht="13">
      <c r="A11828" s="2" t="str">
        <f ca="1">IFERROR(__xludf.DUMMYFUNCTION("""COMPUTED_VALUE"""),"Strayhorn, Billy")</f>
        <v>Strayhorn, Billy</v>
      </c>
      <c r="B11828" s="2">
        <f ca="1">IFERROR(__xludf.DUMMYFUNCTION("""COMPUTED_VALUE"""),3)</f>
        <v>3</v>
      </c>
      <c r="C11828" s="7">
        <f ca="1">IFERROR(__xludf.DUMMYFUNCTION("""COMPUTED_VALUE"""),3.1)</f>
        <v>3.1</v>
      </c>
      <c r="D11828" s="8">
        <f ca="1">IFERROR(__xludf.DUMMYFUNCTION("""COMPUTED_VALUE"""),7)</f>
        <v>7</v>
      </c>
      <c r="E11828" s="2">
        <f ca="1">IFERROR(__xludf.DUMMYFUNCTION("""COMPUTED_VALUE"""),2)</f>
        <v>2</v>
      </c>
    </row>
    <row r="11829" spans="1:5" ht="13">
      <c r="A11829" s="2" t="str">
        <f ca="1">IFERROR(__xludf.DUMMYFUNCTION("""COMPUTED_VALUE"""),"Strayhorn, Billy and Duke Ellington")</f>
        <v>Strayhorn, Billy and Duke Ellington</v>
      </c>
      <c r="B11829" s="2">
        <f ca="1">IFERROR(__xludf.DUMMYFUNCTION("""COMPUTED_VALUE"""),3)</f>
        <v>3</v>
      </c>
      <c r="C11829" s="7">
        <f ca="1">IFERROR(__xludf.DUMMYFUNCTION("""COMPUTED_VALUE"""),3.1)</f>
        <v>3.1</v>
      </c>
      <c r="D11829" s="8">
        <f ca="1">IFERROR(__xludf.DUMMYFUNCTION("""COMPUTED_VALUE"""),7)</f>
        <v>7</v>
      </c>
      <c r="E11829" s="2">
        <f ca="1">IFERROR(__xludf.DUMMYFUNCTION("""COMPUTED_VALUE"""),2)</f>
        <v>2</v>
      </c>
    </row>
    <row r="11830" spans="1:5" ht="13">
      <c r="A11830" s="2" t="str">
        <f ca="1">IFERROR(__xludf.DUMMYFUNCTION("""COMPUTED_VALUE"""),"Strayhorn, Billy, Duke Ellington, and Johnny Mercer")</f>
        <v>Strayhorn, Billy, Duke Ellington, and Johnny Mercer</v>
      </c>
      <c r="B11830" s="2">
        <f ca="1">IFERROR(__xludf.DUMMYFUNCTION("""COMPUTED_VALUE"""),3)</f>
        <v>3</v>
      </c>
      <c r="C11830" s="7">
        <f ca="1">IFERROR(__xludf.DUMMYFUNCTION("""COMPUTED_VALUE"""),3.1)</f>
        <v>3.1</v>
      </c>
      <c r="D11830" s="8">
        <f ca="1">IFERROR(__xludf.DUMMYFUNCTION("""COMPUTED_VALUE"""),7)</f>
        <v>7</v>
      </c>
      <c r="E11830" s="2">
        <f ca="1">IFERROR(__xludf.DUMMYFUNCTION("""COMPUTED_VALUE"""),2)</f>
        <v>2</v>
      </c>
    </row>
    <row r="11831" spans="1:5" ht="13">
      <c r="A11831" s="2" t="str">
        <f ca="1">IFERROR(__xludf.DUMMYFUNCTION("""COMPUTED_VALUE"""),"Subramaniam, Lakshminarayana")</f>
        <v>Subramaniam, Lakshminarayana</v>
      </c>
      <c r="B11831" s="3">
        <f ca="1">IFERROR(__xludf.DUMMYFUNCTION("""COMPUTED_VALUE"""),3)</f>
        <v>3</v>
      </c>
      <c r="C11831" s="7">
        <f ca="1">IFERROR(__xludf.DUMMYFUNCTION("""COMPUTED_VALUE"""),3.4)</f>
        <v>3.4</v>
      </c>
      <c r="D11831" s="8">
        <f ca="1">IFERROR(__xludf.DUMMYFUNCTION("""COMPUTED_VALUE"""),3)</f>
        <v>3</v>
      </c>
      <c r="E11831" s="2">
        <f ca="1">IFERROR(__xludf.DUMMYFUNCTION("""COMPUTED_VALUE"""),1)</f>
        <v>1</v>
      </c>
    </row>
    <row r="11832" spans="1:5" ht="13">
      <c r="A11832" s="2" t="str">
        <f ca="1">IFERROR(__xludf.DUMMYFUNCTION("""COMPUTED_VALUE"""),"Sugiura, Kunihiro")</f>
        <v>Sugiura, Kunihiro</v>
      </c>
      <c r="B11832" s="2">
        <f ca="1">IFERROR(__xludf.DUMMYFUNCTION("""COMPUTED_VALUE"""),3)</f>
        <v>3</v>
      </c>
      <c r="C11832" s="7">
        <f ca="1">IFERROR(__xludf.DUMMYFUNCTION("""COMPUTED_VALUE"""),3.3)</f>
        <v>3.3</v>
      </c>
      <c r="D11832" s="8">
        <f ca="1">IFERROR(__xludf.DUMMYFUNCTION("""COMPUTED_VALUE"""),3)</f>
        <v>3</v>
      </c>
      <c r="E11832" s="2">
        <f ca="1">IFERROR(__xludf.DUMMYFUNCTION("""COMPUTED_VALUE"""),1)</f>
        <v>1</v>
      </c>
    </row>
    <row r="11833" spans="1:5" ht="13">
      <c r="A11833" s="2" t="str">
        <f ca="1">IFERROR(__xludf.DUMMYFUNCTION("""COMPUTED_VALUE"""),"Sugiyama, Kouichi")</f>
        <v>Sugiyama, Kouichi</v>
      </c>
      <c r="B11833" s="3">
        <f ca="1">IFERROR(__xludf.DUMMYFUNCTION("""COMPUTED_VALUE"""),3)</f>
        <v>3</v>
      </c>
      <c r="C11833" s="7">
        <f ca="1">IFERROR(__xludf.DUMMYFUNCTION("""COMPUTED_VALUE"""),3.3)</f>
        <v>3.3</v>
      </c>
      <c r="D11833" s="8">
        <f ca="1">IFERROR(__xludf.DUMMYFUNCTION("""COMPUTED_VALUE"""),7)</f>
        <v>7</v>
      </c>
      <c r="E11833" s="2">
        <f ca="1">IFERROR(__xludf.DUMMYFUNCTION("""COMPUTED_VALUE"""),2)</f>
        <v>2</v>
      </c>
    </row>
    <row r="11834" spans="1:5" ht="13">
      <c r="A11834" s="8" t="str">
        <f ca="1">IFERROR(__xludf.DUMMYFUNCTION("""COMPUTED_VALUE"""),"Sumitomo, Norihito")</f>
        <v>Sumitomo, Norihito</v>
      </c>
      <c r="B11834" s="3">
        <f ca="1">IFERROR(__xludf.DUMMYFUNCTION("""COMPUTED_VALUE"""),3)</f>
        <v>3</v>
      </c>
      <c r="C11834" s="7">
        <f ca="1">IFERROR(__xludf.DUMMYFUNCTION("""COMPUTED_VALUE"""),3.3)</f>
        <v>3.3</v>
      </c>
      <c r="D11834" s="8">
        <f ca="1">IFERROR(__xludf.DUMMYFUNCTION("""COMPUTED_VALUE"""),3)</f>
        <v>3</v>
      </c>
      <c r="E11834" s="2">
        <f ca="1">IFERROR(__xludf.DUMMYFUNCTION("""COMPUTED_VALUE"""),1)</f>
        <v>1</v>
      </c>
    </row>
    <row r="11835" spans="1:5" ht="13">
      <c r="A11835" s="2" t="str">
        <f ca="1">IFERROR(__xludf.DUMMYFUNCTION("""COMPUTED_VALUE"""),"Sun, Muammer")</f>
        <v>Sun, Muammer</v>
      </c>
      <c r="B11835" s="3">
        <f ca="1">IFERROR(__xludf.DUMMYFUNCTION("""COMPUTED_VALUE"""),3)</f>
        <v>3</v>
      </c>
      <c r="C11835" s="7">
        <f ca="1">IFERROR(__xludf.DUMMYFUNCTION("""COMPUTED_VALUE"""),3.5)</f>
        <v>3.5</v>
      </c>
      <c r="D11835" s="8">
        <f ca="1">IFERROR(__xludf.DUMMYFUNCTION("""COMPUTED_VALUE"""),7)</f>
        <v>7</v>
      </c>
      <c r="E11835" s="2">
        <f ca="1">IFERROR(__xludf.DUMMYFUNCTION("""COMPUTED_VALUE"""),2)</f>
        <v>2</v>
      </c>
    </row>
    <row r="11836" spans="1:5" ht="13">
      <c r="A11836" s="2" t="str">
        <f ca="1">IFERROR(__xludf.DUMMYFUNCTION("""COMPUTED_VALUE"""),"Surti, Mishaal")</f>
        <v>Surti, Mishaal</v>
      </c>
      <c r="B11836" s="3">
        <f ca="1">IFERROR(__xludf.DUMMYFUNCTION("""COMPUTED_VALUE"""),3)</f>
        <v>3</v>
      </c>
      <c r="C11836" s="7">
        <f ca="1">IFERROR(__xludf.DUMMYFUNCTION("""COMPUTED_VALUE"""),3.4)</f>
        <v>3.4</v>
      </c>
      <c r="D11836" s="8">
        <f ca="1">IFERROR(__xludf.DUMMYFUNCTION("""COMPUTED_VALUE"""),3)</f>
        <v>3</v>
      </c>
      <c r="E11836" s="2">
        <f ca="1">IFERROR(__xludf.DUMMYFUNCTION("""COMPUTED_VALUE"""),1)</f>
        <v>1</v>
      </c>
    </row>
    <row r="11837" spans="1:5" ht="13">
      <c r="A11837" s="2" t="str">
        <f ca="1">IFERROR(__xludf.DUMMYFUNCTION("""COMPUTED_VALUE"""),"Susanto, Budi")</f>
        <v>Susanto, Budi</v>
      </c>
      <c r="B11837" s="3">
        <f ca="1">IFERROR(__xludf.DUMMYFUNCTION("""COMPUTED_VALUE"""),3)</f>
        <v>3</v>
      </c>
      <c r="C11837" s="7">
        <f ca="1">IFERROR(__xludf.DUMMYFUNCTION("""COMPUTED_VALUE"""),3.9)</f>
        <v>3.9</v>
      </c>
      <c r="D11837" s="8">
        <f ca="1">IFERROR(__xludf.DUMMYFUNCTION("""COMPUTED_VALUE"""),3)</f>
        <v>3</v>
      </c>
      <c r="E11837" s="2">
        <f ca="1">IFERROR(__xludf.DUMMYFUNCTION("""COMPUTED_VALUE"""),1)</f>
        <v>1</v>
      </c>
    </row>
    <row r="11838" spans="1:5" ht="13">
      <c r="A11838" s="2" t="str">
        <f ca="1">IFERROR(__xludf.DUMMYFUNCTION("""COMPUTED_VALUE"""),"Suthiyam, Wiwat")</f>
        <v>Suthiyam, Wiwat</v>
      </c>
      <c r="B11838" s="3">
        <f ca="1">IFERROR(__xludf.DUMMYFUNCTION("""COMPUTED_VALUE"""),3)</f>
        <v>3</v>
      </c>
      <c r="C11838" s="7">
        <f ca="1">IFERROR(__xludf.DUMMYFUNCTION("""COMPUTED_VALUE"""),3.3)</f>
        <v>3.3</v>
      </c>
      <c r="D11838" s="8">
        <f ca="1">IFERROR(__xludf.DUMMYFUNCTION("""COMPUTED_VALUE"""),3)</f>
        <v>3</v>
      </c>
      <c r="E11838" s="2">
        <f ca="1">IFERROR(__xludf.DUMMYFUNCTION("""COMPUTED_VALUE"""),1)</f>
        <v>1</v>
      </c>
    </row>
    <row r="11839" spans="1:5" ht="13">
      <c r="A11839" s="2" t="str">
        <f ca="1">IFERROR(__xludf.DUMMYFUNCTION("""COMPUTED_VALUE"""),"Suzuki, Eiji")</f>
        <v>Suzuki, Eiji</v>
      </c>
      <c r="B11839" s="3">
        <f ca="1">IFERROR(__xludf.DUMMYFUNCTION("""COMPUTED_VALUE"""),3)</f>
        <v>3</v>
      </c>
      <c r="C11839" s="7">
        <f ca="1">IFERROR(__xludf.DUMMYFUNCTION("""COMPUTED_VALUE"""),3.3)</f>
        <v>3.3</v>
      </c>
      <c r="D11839" s="8">
        <f ca="1">IFERROR(__xludf.DUMMYFUNCTION("""COMPUTED_VALUE"""),3)</f>
        <v>3</v>
      </c>
      <c r="E11839" s="2">
        <f ca="1">IFERROR(__xludf.DUMMYFUNCTION("""COMPUTED_VALUE"""),1)</f>
        <v>1</v>
      </c>
    </row>
    <row r="11840" spans="1:5" ht="13">
      <c r="A11840" s="2" t="str">
        <f ca="1">IFERROR(__xludf.DUMMYFUNCTION("""COMPUTED_VALUE"""),"Suzuki, Takayoshi")</f>
        <v>Suzuki, Takayoshi</v>
      </c>
      <c r="B11840" s="3">
        <f ca="1">IFERROR(__xludf.DUMMYFUNCTION("""COMPUTED_VALUE"""),3)</f>
        <v>3</v>
      </c>
      <c r="C11840" s="7">
        <f ca="1">IFERROR(__xludf.DUMMYFUNCTION("""COMPUTED_VALUE"""),3.3)</f>
        <v>3.3</v>
      </c>
      <c r="D11840" s="8">
        <f ca="1">IFERROR(__xludf.DUMMYFUNCTION("""COMPUTED_VALUE"""),3)</f>
        <v>3</v>
      </c>
      <c r="E11840" s="2">
        <f ca="1">IFERROR(__xludf.DUMMYFUNCTION("""COMPUTED_VALUE"""),1)</f>
        <v>1</v>
      </c>
    </row>
    <row r="11841" spans="1:5" ht="13">
      <c r="A11841" s="2" t="str">
        <f ca="1">IFERROR(__xludf.DUMMYFUNCTION("""COMPUTED_VALUE"""),"Swanson, Howard")</f>
        <v>Swanson, Howard</v>
      </c>
      <c r="B11841" s="2">
        <f ca="1">IFERROR(__xludf.DUMMYFUNCTION("""COMPUTED_VALUE"""),3)</f>
        <v>3</v>
      </c>
      <c r="C11841" s="7">
        <f ca="1">IFERROR(__xludf.DUMMYFUNCTION("""COMPUTED_VALUE"""),3.1)</f>
        <v>3.1</v>
      </c>
      <c r="D11841" s="8">
        <f ca="1">IFERROR(__xludf.DUMMYFUNCTION("""COMPUTED_VALUE"""),7)</f>
        <v>7</v>
      </c>
      <c r="E11841" s="2">
        <f ca="1">IFERROR(__xludf.DUMMYFUNCTION("""COMPUTED_VALUE"""),2)</f>
        <v>2</v>
      </c>
    </row>
    <row r="11842" spans="1:5" ht="13">
      <c r="A11842" s="8" t="str">
        <f ca="1">IFERROR(__xludf.DUMMYFUNCTION("""COMPUTED_VALUE"""),"Tabbaa, Ealaph")</f>
        <v>Tabbaa, Ealaph</v>
      </c>
      <c r="B11842" s="3">
        <f ca="1">IFERROR(__xludf.DUMMYFUNCTION("""COMPUTED_VALUE"""),3)</f>
        <v>3</v>
      </c>
      <c r="C11842" s="7">
        <f ca="1">IFERROR(__xludf.DUMMYFUNCTION("""COMPUTED_VALUE"""),3.4)</f>
        <v>3.4</v>
      </c>
      <c r="D11842" s="8">
        <f ca="1">IFERROR(__xludf.DUMMYFUNCTION("""COMPUTED_VALUE"""),3)</f>
        <v>3</v>
      </c>
      <c r="E11842" s="2">
        <f ca="1">IFERROR(__xludf.DUMMYFUNCTION("""COMPUTED_VALUE"""),1)</f>
        <v>1</v>
      </c>
    </row>
    <row r="11843" spans="1:5" ht="13">
      <c r="A11843" s="2" t="str">
        <f ca="1">IFERROR(__xludf.DUMMYFUNCTION("""COMPUTED_VALUE"""),"Tabbush, Vivian")</f>
        <v>Tabbush, Vivian</v>
      </c>
      <c r="B11843" s="3">
        <f ca="1">IFERROR(__xludf.DUMMYFUNCTION("""COMPUTED_VALUE"""),3)</f>
        <v>3</v>
      </c>
      <c r="C11843" s="7">
        <f ca="1">IFERROR(__xludf.DUMMYFUNCTION("""COMPUTED_VALUE"""),3.2)</f>
        <v>3.2</v>
      </c>
      <c r="D11843" s="8">
        <f ca="1">IFERROR(__xludf.DUMMYFUNCTION("""COMPUTED_VALUE"""),3)</f>
        <v>3</v>
      </c>
      <c r="E11843" s="2">
        <f ca="1">IFERROR(__xludf.DUMMYFUNCTION("""COMPUTED_VALUE"""),1)</f>
        <v>1</v>
      </c>
    </row>
    <row r="11844" spans="1:5" ht="13">
      <c r="A11844" s="2" t="str">
        <f ca="1">IFERROR(__xludf.DUMMYFUNCTION("""COMPUTED_VALUE"""),"Takahashi, Hiroki")</f>
        <v>Takahashi, Hiroki</v>
      </c>
      <c r="B11844" s="2">
        <f ca="1">IFERROR(__xludf.DUMMYFUNCTION("""COMPUTED_VALUE"""),3)</f>
        <v>3</v>
      </c>
      <c r="C11844" s="7">
        <f ca="1">IFERROR(__xludf.DUMMYFUNCTION("""COMPUTED_VALUE"""),3.3)</f>
        <v>3.3</v>
      </c>
      <c r="D11844" s="8">
        <f ca="1">IFERROR(__xludf.DUMMYFUNCTION("""COMPUTED_VALUE"""),3)</f>
        <v>3</v>
      </c>
      <c r="E11844" s="2">
        <f ca="1">IFERROR(__xludf.DUMMYFUNCTION("""COMPUTED_VALUE"""),1)</f>
        <v>1</v>
      </c>
    </row>
    <row r="11845" spans="1:5" ht="13">
      <c r="A11845" s="2" t="str">
        <f ca="1">IFERROR(__xludf.DUMMYFUNCTION("""COMPUTED_VALUE"""),"Takahashi, Shin'ya")</f>
        <v>Takahashi, Shin'ya</v>
      </c>
      <c r="B11845" s="2">
        <f ca="1">IFERROR(__xludf.DUMMYFUNCTION("""COMPUTED_VALUE"""),3)</f>
        <v>3</v>
      </c>
      <c r="C11845" s="7">
        <f ca="1">IFERROR(__xludf.DUMMYFUNCTION("""COMPUTED_VALUE"""),3.3)</f>
        <v>3.3</v>
      </c>
      <c r="D11845" s="8">
        <f ca="1">IFERROR(__xludf.DUMMYFUNCTION("""COMPUTED_VALUE"""),3)</f>
        <v>3</v>
      </c>
      <c r="E11845" s="2">
        <f ca="1">IFERROR(__xludf.DUMMYFUNCTION("""COMPUTED_VALUE"""),1)</f>
        <v>1</v>
      </c>
    </row>
    <row r="11846" spans="1:5" ht="13">
      <c r="A11846" s="2" t="str">
        <f ca="1">IFERROR(__xludf.DUMMYFUNCTION("""COMPUTED_VALUE"""),"Takahashi, Tohru")</f>
        <v>Takahashi, Tohru</v>
      </c>
      <c r="B11846" s="3">
        <f ca="1">IFERROR(__xludf.DUMMYFUNCTION("""COMPUTED_VALUE"""),3)</f>
        <v>3</v>
      </c>
      <c r="C11846" s="7">
        <f ca="1">IFERROR(__xludf.DUMMYFUNCTION("""COMPUTED_VALUE"""),3.3)</f>
        <v>3.3</v>
      </c>
      <c r="D11846" s="8">
        <f ca="1">IFERROR(__xludf.DUMMYFUNCTION("""COMPUTED_VALUE"""),3)</f>
        <v>3</v>
      </c>
      <c r="E11846" s="2">
        <f ca="1">IFERROR(__xludf.DUMMYFUNCTION("""COMPUTED_VALUE"""),1)</f>
        <v>1</v>
      </c>
    </row>
    <row r="11847" spans="1:5" ht="13">
      <c r="A11847" s="2" t="str">
        <f ca="1">IFERROR(__xludf.DUMMYFUNCTION("""COMPUTED_VALUE"""),"Takatsugu Muramatsu")</f>
        <v>Takatsugu Muramatsu</v>
      </c>
      <c r="B11847" s="3">
        <f ca="1">IFERROR(__xludf.DUMMYFUNCTION("""COMPUTED_VALUE"""),3)</f>
        <v>3</v>
      </c>
      <c r="C11847" s="7">
        <f ca="1">IFERROR(__xludf.DUMMYFUNCTION("""COMPUTED_VALUE"""),3.3)</f>
        <v>3.3</v>
      </c>
      <c r="D11847" s="8">
        <f ca="1">IFERROR(__xludf.DUMMYFUNCTION("""COMPUTED_VALUE"""),3)</f>
        <v>3</v>
      </c>
      <c r="E11847" s="2">
        <f ca="1">IFERROR(__xludf.DUMMYFUNCTION("""COMPUTED_VALUE"""),1)</f>
        <v>1</v>
      </c>
    </row>
    <row r="11848" spans="1:5" ht="13">
      <c r="A11848" s="8" t="str">
        <f ca="1">IFERROR(__xludf.DUMMYFUNCTION("""COMPUTED_VALUE"""),"Takayama, Hidetake")</f>
        <v>Takayama, Hidetake</v>
      </c>
      <c r="B11848" s="3">
        <f ca="1">IFERROR(__xludf.DUMMYFUNCTION("""COMPUTED_VALUE"""),3)</f>
        <v>3</v>
      </c>
      <c r="C11848" s="7">
        <f ca="1">IFERROR(__xludf.DUMMYFUNCTION("""COMPUTED_VALUE"""),3.3)</f>
        <v>3.3</v>
      </c>
      <c r="D11848" s="8">
        <f ca="1">IFERROR(__xludf.DUMMYFUNCTION("""COMPUTED_VALUE"""),3)</f>
        <v>3</v>
      </c>
      <c r="E11848" s="2">
        <f ca="1">IFERROR(__xludf.DUMMYFUNCTION("""COMPUTED_VALUE"""),1)</f>
        <v>1</v>
      </c>
    </row>
    <row r="11849" spans="1:5" ht="13">
      <c r="A11849" s="2" t="str">
        <f ca="1">IFERROR(__xludf.DUMMYFUNCTION("""COMPUTED_VALUE"""),"Takemitsu, Toru")</f>
        <v>Takemitsu, Toru</v>
      </c>
      <c r="B11849" s="3">
        <f ca="1">IFERROR(__xludf.DUMMYFUNCTION("""COMPUTED_VALUE"""),3)</f>
        <v>3</v>
      </c>
      <c r="C11849" s="7">
        <f ca="1">IFERROR(__xludf.DUMMYFUNCTION("""COMPUTED_VALUE"""),3.3)</f>
        <v>3.3</v>
      </c>
      <c r="D11849" s="8">
        <f ca="1">IFERROR(__xludf.DUMMYFUNCTION("""COMPUTED_VALUE"""),7)</f>
        <v>7</v>
      </c>
      <c r="E11849" s="2">
        <f ca="1">IFERROR(__xludf.DUMMYFUNCTION("""COMPUTED_VALUE"""),2)</f>
        <v>2</v>
      </c>
    </row>
    <row r="11850" spans="1:5" ht="13">
      <c r="A11850" s="2" t="str">
        <f ca="1">IFERROR(__xludf.DUMMYFUNCTION("""COMPUTED_VALUE"""),"Taki, Rentaro")</f>
        <v>Taki, Rentaro</v>
      </c>
      <c r="B11850" s="3">
        <f ca="1">IFERROR(__xludf.DUMMYFUNCTION("""COMPUTED_VALUE"""),3)</f>
        <v>3</v>
      </c>
      <c r="C11850" s="7">
        <f ca="1">IFERROR(__xludf.DUMMYFUNCTION("""COMPUTED_VALUE"""),3.3)</f>
        <v>3.3</v>
      </c>
      <c r="D11850" s="8">
        <f ca="1">IFERROR(__xludf.DUMMYFUNCTION("""COMPUTED_VALUE"""),7)</f>
        <v>7</v>
      </c>
      <c r="E11850" s="2">
        <f ca="1">IFERROR(__xludf.DUMMYFUNCTION("""COMPUTED_VALUE"""),2)</f>
        <v>2</v>
      </c>
    </row>
    <row r="11851" spans="1:5" ht="13">
      <c r="A11851" s="2" t="str">
        <f ca="1">IFERROR(__xludf.DUMMYFUNCTION("""COMPUTED_VALUE"""),"Talaroc, Jem")</f>
        <v>Talaroc, Jem</v>
      </c>
      <c r="B11851" s="2">
        <f ca="1">IFERROR(__xludf.DUMMYFUNCTION("""COMPUTED_VALUE"""),3)</f>
        <v>3</v>
      </c>
      <c r="C11851" s="2">
        <f ca="1">IFERROR(__xludf.DUMMYFUNCTION("""COMPUTED_VALUE"""),3.9)</f>
        <v>3.9</v>
      </c>
      <c r="D11851" s="8">
        <f ca="1">IFERROR(__xludf.DUMMYFUNCTION("""COMPUTED_VALUE"""),3)</f>
        <v>3</v>
      </c>
      <c r="E11851" s="2">
        <f ca="1">IFERROR(__xludf.DUMMYFUNCTION("""COMPUTED_VALUE"""),1)</f>
        <v>1</v>
      </c>
    </row>
    <row r="11852" spans="1:5" ht="13">
      <c r="A11852" s="8" t="str">
        <f ca="1">IFERROR(__xludf.DUMMYFUNCTION("""COMPUTED_VALUE"""),"Tamaela, Christian")</f>
        <v>Tamaela, Christian</v>
      </c>
      <c r="B11852" s="3">
        <f ca="1">IFERROR(__xludf.DUMMYFUNCTION("""COMPUTED_VALUE"""),3)</f>
        <v>3</v>
      </c>
      <c r="C11852" s="7">
        <f ca="1">IFERROR(__xludf.DUMMYFUNCTION("""COMPUTED_VALUE"""),3.3)</f>
        <v>3.3</v>
      </c>
      <c r="D11852" s="8">
        <f ca="1">IFERROR(__xludf.DUMMYFUNCTION("""COMPUTED_VALUE"""),3)</f>
        <v>3</v>
      </c>
      <c r="E11852" s="2">
        <f ca="1">IFERROR(__xludf.DUMMYFUNCTION("""COMPUTED_VALUE"""),1)</f>
        <v>1</v>
      </c>
    </row>
    <row r="11853" spans="1:5" ht="13">
      <c r="A11853" s="2" t="str">
        <f ca="1">IFERROR(__xludf.DUMMYFUNCTION("""COMPUTED_VALUE"""),"Tambo, Oliver / Magatyana, Bongani")</f>
        <v>Tambo, Oliver / Magatyana, Bongani</v>
      </c>
      <c r="B11853" s="2">
        <f ca="1">IFERROR(__xludf.DUMMYFUNCTION("""COMPUTED_VALUE"""),3)</f>
        <v>3</v>
      </c>
      <c r="C11853" s="7">
        <f ca="1">IFERROR(__xludf.DUMMYFUNCTION("""COMPUTED_VALUE"""),3.1)</f>
        <v>3.1</v>
      </c>
      <c r="D11853" s="8">
        <f ca="1">IFERROR(__xludf.DUMMYFUNCTION("""COMPUTED_VALUE"""),3)</f>
        <v>3</v>
      </c>
      <c r="E11853" s="2">
        <f ca="1">IFERROR(__xludf.DUMMYFUNCTION("""COMPUTED_VALUE"""),1)</f>
        <v>1</v>
      </c>
    </row>
    <row r="11854" spans="1:5" ht="13">
      <c r="A11854" s="2" t="str">
        <f ca="1">IFERROR(__xludf.DUMMYFUNCTION("""COMPUTED_VALUE"""),"Tamura, Fumio")</f>
        <v>Tamura, Fumio</v>
      </c>
      <c r="B11854" s="2">
        <f ca="1">IFERROR(__xludf.DUMMYFUNCTION("""COMPUTED_VALUE"""),3)</f>
        <v>3</v>
      </c>
      <c r="C11854" s="2">
        <f ca="1">IFERROR(__xludf.DUMMYFUNCTION("""COMPUTED_VALUE"""),3.3)</f>
        <v>3.3</v>
      </c>
      <c r="D11854" s="8">
        <f ca="1">IFERROR(__xludf.DUMMYFUNCTION("""COMPUTED_VALUE"""),3)</f>
        <v>3</v>
      </c>
      <c r="E11854" s="2">
        <f ca="1">IFERROR(__xludf.DUMMYFUNCTION("""COMPUTED_VALUE"""),1)</f>
        <v>1</v>
      </c>
    </row>
    <row r="11855" spans="1:5" ht="13">
      <c r="A11855" s="2" t="str">
        <f ca="1">IFERROR(__xludf.DUMMYFUNCTION("""COMPUTED_VALUE"""),"Tamura, Shuhei")</f>
        <v>Tamura, Shuhei</v>
      </c>
      <c r="B11855" s="2">
        <f ca="1">IFERROR(__xludf.DUMMYFUNCTION("""COMPUTED_VALUE"""),3)</f>
        <v>3</v>
      </c>
      <c r="C11855" s="7">
        <f ca="1">IFERROR(__xludf.DUMMYFUNCTION("""COMPUTED_VALUE"""),3.3)</f>
        <v>3.3</v>
      </c>
      <c r="D11855" s="8">
        <f ca="1">IFERROR(__xludf.DUMMYFUNCTION("""COMPUTED_VALUE"""),3)</f>
        <v>3</v>
      </c>
      <c r="E11855" s="2">
        <f ca="1">IFERROR(__xludf.DUMMYFUNCTION("""COMPUTED_VALUE"""),1)</f>
        <v>1</v>
      </c>
    </row>
    <row r="11856" spans="1:5" ht="13">
      <c r="A11856" s="2" t="str">
        <f ca="1">IFERROR(__xludf.DUMMYFUNCTION("""COMPUTED_VALUE"""),"Tan Dun")</f>
        <v>Tan Dun</v>
      </c>
      <c r="B11856" s="3">
        <f ca="1">IFERROR(__xludf.DUMMYFUNCTION("""COMPUTED_VALUE"""),3)</f>
        <v>3</v>
      </c>
      <c r="C11856" s="7">
        <f ca="1">IFERROR(__xludf.DUMMYFUNCTION("""COMPUTED_VALUE"""),3.3)</f>
        <v>3.3</v>
      </c>
      <c r="D11856" s="8">
        <f ca="1">IFERROR(__xludf.DUMMYFUNCTION("""COMPUTED_VALUE"""),3)</f>
        <v>3</v>
      </c>
      <c r="E11856" s="2">
        <f ca="1">IFERROR(__xludf.DUMMYFUNCTION("""COMPUTED_VALUE"""),1)</f>
        <v>1</v>
      </c>
    </row>
    <row r="11857" spans="1:5" ht="13">
      <c r="A11857" s="2" t="str">
        <f ca="1">IFERROR(__xludf.DUMMYFUNCTION("""COMPUTED_VALUE"""),"Tanaka, Julian")</f>
        <v>Tanaka, Julian</v>
      </c>
      <c r="B11857" s="2">
        <f ca="1">IFERROR(__xludf.DUMMYFUNCTION("""COMPUTED_VALUE"""),3)</f>
        <v>3</v>
      </c>
      <c r="C11857" s="7">
        <f ca="1">IFERROR(__xludf.DUMMYFUNCTION("""COMPUTED_VALUE"""),3.3)</f>
        <v>3.3</v>
      </c>
      <c r="D11857" s="8">
        <f ca="1">IFERROR(__xludf.DUMMYFUNCTION("""COMPUTED_VALUE"""),3)</f>
        <v>3</v>
      </c>
      <c r="E11857" s="2">
        <f ca="1">IFERROR(__xludf.DUMMYFUNCTION("""COMPUTED_VALUE"""),1)</f>
        <v>1</v>
      </c>
    </row>
    <row r="11858" spans="1:5" ht="13">
      <c r="A11858" s="2" t="str">
        <f ca="1">IFERROR(__xludf.DUMMYFUNCTION("""COMPUTED_VALUE"""),"Tanaka, Masaru")</f>
        <v>Tanaka, Masaru</v>
      </c>
      <c r="B11858" s="3">
        <f ca="1">IFERROR(__xludf.DUMMYFUNCTION("""COMPUTED_VALUE"""),3)</f>
        <v>3</v>
      </c>
      <c r="C11858" s="7">
        <f ca="1">IFERROR(__xludf.DUMMYFUNCTION("""COMPUTED_VALUE"""),3.3)</f>
        <v>3.3</v>
      </c>
      <c r="D11858" s="8">
        <f ca="1">IFERROR(__xludf.DUMMYFUNCTION("""COMPUTED_VALUE"""),3)</f>
        <v>3</v>
      </c>
      <c r="E11858" s="2">
        <f ca="1">IFERROR(__xludf.DUMMYFUNCTION("""COMPUTED_VALUE"""),1)</f>
        <v>1</v>
      </c>
    </row>
    <row r="11859" spans="1:5" ht="13">
      <c r="A11859" s="2" t="str">
        <f ca="1">IFERROR(__xludf.DUMMYFUNCTION("""COMPUTED_VALUE"""),"Tanouye, Nathan")</f>
        <v>Tanouye, Nathan</v>
      </c>
      <c r="B11859" s="2">
        <f ca="1">IFERROR(__xludf.DUMMYFUNCTION("""COMPUTED_VALUE"""),3)</f>
        <v>3</v>
      </c>
      <c r="C11859" s="7">
        <f ca="1">IFERROR(__xludf.DUMMYFUNCTION("""COMPUTED_VALUE"""),3.3)</f>
        <v>3.3</v>
      </c>
      <c r="D11859" s="8">
        <f ca="1">IFERROR(__xludf.DUMMYFUNCTION("""COMPUTED_VALUE"""),3)</f>
        <v>3</v>
      </c>
      <c r="E11859" s="2">
        <f ca="1">IFERROR(__xludf.DUMMYFUNCTION("""COMPUTED_VALUE"""),1)</f>
        <v>1</v>
      </c>
    </row>
    <row r="11860" spans="1:5" ht="13">
      <c r="A11860" s="2" t="str">
        <f ca="1">IFERROR(__xludf.DUMMYFUNCTION("""COMPUTED_VALUE"""),"Tao, Conrad")</f>
        <v>Tao, Conrad</v>
      </c>
      <c r="B11860" s="3">
        <f ca="1">IFERROR(__xludf.DUMMYFUNCTION("""COMPUTED_VALUE"""),3)</f>
        <v>3</v>
      </c>
      <c r="C11860" s="7">
        <f ca="1">IFERROR(__xludf.DUMMYFUNCTION("""COMPUTED_VALUE"""),3.3)</f>
        <v>3.3</v>
      </c>
      <c r="D11860" s="8">
        <f ca="1">IFERROR(__xludf.DUMMYFUNCTION("""COMPUTED_VALUE"""),3)</f>
        <v>3</v>
      </c>
      <c r="E11860" s="2">
        <f ca="1">IFERROR(__xludf.DUMMYFUNCTION("""COMPUTED_VALUE"""),1)</f>
        <v>1</v>
      </c>
    </row>
    <row r="11861" spans="1:5" ht="13">
      <c r="A11861" s="2" t="str">
        <f ca="1">IFERROR(__xludf.DUMMYFUNCTION("""COMPUTED_VALUE"""),"Tapia, Gloria")</f>
        <v>Tapia, Gloria</v>
      </c>
      <c r="B11861" s="3">
        <f ca="1">IFERROR(__xludf.DUMMYFUNCTION("""COMPUTED_VALUE"""),3)</f>
        <v>3</v>
      </c>
      <c r="C11861" s="7">
        <f ca="1">IFERROR(__xludf.DUMMYFUNCTION("""COMPUTED_VALUE"""),3.2)</f>
        <v>3.2</v>
      </c>
      <c r="D11861" s="8">
        <f ca="1">IFERROR(__xludf.DUMMYFUNCTION("""COMPUTED_VALUE"""),7)</f>
        <v>7</v>
      </c>
      <c r="E11861" s="2">
        <f ca="1">IFERROR(__xludf.DUMMYFUNCTION("""COMPUTED_VALUE"""),2)</f>
        <v>2</v>
      </c>
    </row>
    <row r="11862" spans="1:5" ht="13">
      <c r="A11862" s="2" t="str">
        <f ca="1">IFERROR(__xludf.DUMMYFUNCTION("""COMPUTED_VALUE"""),"Taruya, Masanori")</f>
        <v>Taruya, Masanori</v>
      </c>
      <c r="B11862" s="3">
        <f ca="1">IFERROR(__xludf.DUMMYFUNCTION("""COMPUTED_VALUE"""),3)</f>
        <v>3</v>
      </c>
      <c r="C11862" s="7">
        <f ca="1">IFERROR(__xludf.DUMMYFUNCTION("""COMPUTED_VALUE"""),3.3)</f>
        <v>3.3</v>
      </c>
      <c r="D11862" s="8">
        <f ca="1">IFERROR(__xludf.DUMMYFUNCTION("""COMPUTED_VALUE"""),3)</f>
        <v>3</v>
      </c>
      <c r="E11862" s="2">
        <f ca="1">IFERROR(__xludf.DUMMYFUNCTION("""COMPUTED_VALUE"""),1)</f>
        <v>1</v>
      </c>
    </row>
    <row r="11863" spans="1:5" ht="13">
      <c r="A11863" s="2" t="str">
        <f ca="1">IFERROR(__xludf.DUMMYFUNCTION("""COMPUTED_VALUE"""),"Tasaka, Naoki")</f>
        <v>Tasaka, Naoki</v>
      </c>
      <c r="B11863" s="3">
        <f ca="1">IFERROR(__xludf.DUMMYFUNCTION("""COMPUTED_VALUE"""),3)</f>
        <v>3</v>
      </c>
      <c r="C11863" s="7">
        <f ca="1">IFERROR(__xludf.DUMMYFUNCTION("""COMPUTED_VALUE"""),3.3)</f>
        <v>3.3</v>
      </c>
      <c r="D11863" s="8">
        <f ca="1">IFERROR(__xludf.DUMMYFUNCTION("""COMPUTED_VALUE"""),3)</f>
        <v>3</v>
      </c>
      <c r="E11863" s="2">
        <f ca="1">IFERROR(__xludf.DUMMYFUNCTION("""COMPUTED_VALUE"""),1)</f>
        <v>1</v>
      </c>
    </row>
    <row r="11864" spans="1:5" ht="13">
      <c r="A11864" s="2" t="str">
        <f ca="1">IFERROR(__xludf.DUMMYFUNCTION("""COMPUTED_VALUE"""),"Tate, Jerod Impichcha̲Achaaha̕")</f>
        <v>Tate, Jerod Impichcha̲Achaaha̕</v>
      </c>
      <c r="B11864" s="3">
        <f ca="1">IFERROR(__xludf.DUMMYFUNCTION("""COMPUTED_VALUE"""),3)</f>
        <v>3</v>
      </c>
      <c r="C11864" s="7">
        <f ca="1">IFERROR(__xludf.DUMMYFUNCTION("""COMPUTED_VALUE"""),3.7)</f>
        <v>3.7</v>
      </c>
      <c r="D11864" s="8">
        <f ca="1">IFERROR(__xludf.DUMMYFUNCTION("""COMPUTED_VALUE"""),3)</f>
        <v>3</v>
      </c>
      <c r="E11864" s="2">
        <f ca="1">IFERROR(__xludf.DUMMYFUNCTION("""COMPUTED_VALUE"""),1)</f>
        <v>1</v>
      </c>
    </row>
    <row r="11865" spans="1:5" ht="13">
      <c r="A11865" s="2" t="str">
        <f ca="1">IFERROR(__xludf.DUMMYFUNCTION("""COMPUTED_VALUE"""),"Tatebe, Tomohiro")</f>
        <v>Tatebe, Tomohiro</v>
      </c>
      <c r="B11865" s="3">
        <f ca="1">IFERROR(__xludf.DUMMYFUNCTION("""COMPUTED_VALUE"""),3)</f>
        <v>3</v>
      </c>
      <c r="C11865" s="7">
        <f ca="1">IFERROR(__xludf.DUMMYFUNCTION("""COMPUTED_VALUE"""),3.3)</f>
        <v>3.3</v>
      </c>
      <c r="D11865" s="8">
        <f ca="1">IFERROR(__xludf.DUMMYFUNCTION("""COMPUTED_VALUE"""),3)</f>
        <v>3</v>
      </c>
      <c r="E11865" s="2">
        <f ca="1">IFERROR(__xludf.DUMMYFUNCTION("""COMPUTED_VALUE"""),1)</f>
        <v>1</v>
      </c>
    </row>
    <row r="11866" spans="1:5" ht="13">
      <c r="A11866" s="2" t="str">
        <f ca="1">IFERROR(__xludf.DUMMYFUNCTION("""COMPUTED_VALUE"""),"Tatsuta, Kosuke")</f>
        <v>Tatsuta, Kosuke</v>
      </c>
      <c r="B11866" s="3">
        <f ca="1">IFERROR(__xludf.DUMMYFUNCTION("""COMPUTED_VALUE"""),3)</f>
        <v>3</v>
      </c>
      <c r="C11866" s="7">
        <f ca="1">IFERROR(__xludf.DUMMYFUNCTION("""COMPUTED_VALUE"""),3.3)</f>
        <v>3.3</v>
      </c>
      <c r="D11866" s="8">
        <f ca="1">IFERROR(__xludf.DUMMYFUNCTION("""COMPUTED_VALUE"""),3)</f>
        <v>3</v>
      </c>
      <c r="E11866" s="2">
        <f ca="1">IFERROR(__xludf.DUMMYFUNCTION("""COMPUTED_VALUE"""),1)</f>
        <v>1</v>
      </c>
    </row>
    <row r="11867" spans="1:5" ht="13">
      <c r="A11867" s="2" t="str">
        <f ca="1">IFERROR(__xludf.DUMMYFUNCTION("""COMPUTED_VALUE"""),"Tatum, Art")</f>
        <v>Tatum, Art</v>
      </c>
      <c r="B11867" s="3">
        <f ca="1">IFERROR(__xludf.DUMMYFUNCTION("""COMPUTED_VALUE"""),3)</f>
        <v>3</v>
      </c>
      <c r="C11867" s="7">
        <f ca="1">IFERROR(__xludf.DUMMYFUNCTION("""COMPUTED_VALUE"""),3.1)</f>
        <v>3.1</v>
      </c>
      <c r="D11867" s="8">
        <f ca="1">IFERROR(__xludf.DUMMYFUNCTION("""COMPUTED_VALUE"""),7)</f>
        <v>7</v>
      </c>
      <c r="E11867" s="2">
        <f ca="1">IFERROR(__xludf.DUMMYFUNCTION("""COMPUTED_VALUE"""),2)</f>
        <v>2</v>
      </c>
    </row>
    <row r="11868" spans="1:5" ht="13">
      <c r="A11868" s="8" t="str">
        <f ca="1">IFERROR(__xludf.DUMMYFUNCTION("""COMPUTED_VALUE"""),"Tavárez Ropero, Manuel Gregorio")</f>
        <v>Tavárez Ropero, Manuel Gregorio</v>
      </c>
      <c r="B11868" s="3">
        <f ca="1">IFERROR(__xludf.DUMMYFUNCTION("""COMPUTED_VALUE"""),3)</f>
        <v>3</v>
      </c>
      <c r="C11868" s="7">
        <f ca="1">IFERROR(__xludf.DUMMYFUNCTION("""COMPUTED_VALUE"""),3.2)</f>
        <v>3.2</v>
      </c>
      <c r="D11868" s="8">
        <f ca="1">IFERROR(__xludf.DUMMYFUNCTION("""COMPUTED_VALUE"""),7)</f>
        <v>7</v>
      </c>
      <c r="E11868" s="2">
        <f ca="1">IFERROR(__xludf.DUMMYFUNCTION("""COMPUTED_VALUE"""),2)</f>
        <v>2</v>
      </c>
    </row>
    <row r="11869" spans="1:5" ht="13">
      <c r="A11869" s="2" t="str">
        <f ca="1">IFERROR(__xludf.DUMMYFUNCTION("""COMPUTED_VALUE"""),"Taylor, Brian")</f>
        <v>Taylor, Brian</v>
      </c>
      <c r="B11869" s="3">
        <f ca="1">IFERROR(__xludf.DUMMYFUNCTION("""COMPUTED_VALUE"""),3)</f>
        <v>3</v>
      </c>
      <c r="C11869" s="7">
        <f ca="1">IFERROR(__xludf.DUMMYFUNCTION("""COMPUTED_VALUE"""),3.1)</f>
        <v>3.1</v>
      </c>
      <c r="D11869" s="8">
        <f ca="1">IFERROR(__xludf.DUMMYFUNCTION("""COMPUTED_VALUE"""),3)</f>
        <v>3</v>
      </c>
      <c r="E11869" s="2">
        <f ca="1">IFERROR(__xludf.DUMMYFUNCTION("""COMPUTED_VALUE"""),1)</f>
        <v>1</v>
      </c>
    </row>
    <row r="11870" spans="1:5" ht="13">
      <c r="A11870" s="2" t="str">
        <f ca="1">IFERROR(__xludf.DUMMYFUNCTION("""COMPUTED_VALUE"""),"Taylor, Del'Shawn")</f>
        <v>Taylor, Del'Shawn</v>
      </c>
      <c r="B11870" s="3">
        <f ca="1">IFERROR(__xludf.DUMMYFUNCTION("""COMPUTED_VALUE"""),3)</f>
        <v>3</v>
      </c>
      <c r="C11870" s="7">
        <f ca="1">IFERROR(__xludf.DUMMYFUNCTION("""COMPUTED_VALUE"""),3.1)</f>
        <v>3.1</v>
      </c>
      <c r="D11870" s="8">
        <f ca="1">IFERROR(__xludf.DUMMYFUNCTION("""COMPUTED_VALUE"""),3)</f>
        <v>3</v>
      </c>
      <c r="E11870" s="2">
        <f ca="1">IFERROR(__xludf.DUMMYFUNCTION("""COMPUTED_VALUE"""),1)</f>
        <v>1</v>
      </c>
    </row>
    <row r="11871" spans="1:5" ht="13">
      <c r="A11871" s="2" t="str">
        <f ca="1">IFERROR(__xludf.DUMMYFUNCTION("""COMPUTED_VALUE"""),"Taylor, Matthew Evan")</f>
        <v>Taylor, Matthew Evan</v>
      </c>
      <c r="B11871" s="3">
        <f ca="1">IFERROR(__xludf.DUMMYFUNCTION("""COMPUTED_VALUE"""),3)</f>
        <v>3</v>
      </c>
      <c r="C11871" s="7">
        <f ca="1">IFERROR(__xludf.DUMMYFUNCTION("""COMPUTED_VALUE"""),3.1)</f>
        <v>3.1</v>
      </c>
      <c r="D11871" s="8">
        <f ca="1">IFERROR(__xludf.DUMMYFUNCTION("""COMPUTED_VALUE"""),3)</f>
        <v>3</v>
      </c>
      <c r="E11871" s="2">
        <f ca="1">IFERROR(__xludf.DUMMYFUNCTION("""COMPUTED_VALUE"""),1)</f>
        <v>1</v>
      </c>
    </row>
    <row r="11872" spans="1:5" ht="13">
      <c r="A11872" s="2" t="str">
        <f ca="1">IFERROR(__xludf.DUMMYFUNCTION("""COMPUTED_VALUE"""),"Teague, Liam")</f>
        <v>Teague, Liam</v>
      </c>
      <c r="B11872" s="2">
        <f ca="1">IFERROR(__xludf.DUMMYFUNCTION("""COMPUTED_VALUE"""),3)</f>
        <v>3</v>
      </c>
      <c r="C11872" s="2">
        <f ca="1">IFERROR(__xludf.DUMMYFUNCTION("""COMPUTED_VALUE"""),3.1)</f>
        <v>3.1</v>
      </c>
      <c r="D11872" s="8">
        <f ca="1">IFERROR(__xludf.DUMMYFUNCTION("""COMPUTED_VALUE"""),3)</f>
        <v>3</v>
      </c>
      <c r="E11872" s="2">
        <f ca="1">IFERROR(__xludf.DUMMYFUNCTION("""COMPUTED_VALUE"""),1)</f>
        <v>1</v>
      </c>
    </row>
    <row r="11873" spans="1:5" ht="13">
      <c r="A11873" s="2" t="str">
        <f ca="1">IFERROR(__xludf.DUMMYFUNCTION("""COMPUTED_VALUE"""),"Teja, Mical")</f>
        <v>Teja, Mical</v>
      </c>
      <c r="B11873" s="2">
        <f ca="1">IFERROR(__xludf.DUMMYFUNCTION("""COMPUTED_VALUE"""),3)</f>
        <v>3</v>
      </c>
      <c r="C11873" s="2">
        <f ca="1">IFERROR(__xludf.DUMMYFUNCTION("""COMPUTED_VALUE"""),3.2)</f>
        <v>3.2</v>
      </c>
      <c r="D11873" s="8">
        <f ca="1">IFERROR(__xludf.DUMMYFUNCTION("""COMPUTED_VALUE"""),3)</f>
        <v>3</v>
      </c>
      <c r="E11873" s="2">
        <f ca="1">IFERROR(__xludf.DUMMYFUNCTION("""COMPUTED_VALUE"""),1)</f>
        <v>1</v>
      </c>
    </row>
    <row r="11874" spans="1:5" ht="13">
      <c r="A11874" s="2" t="str">
        <f ca="1">IFERROR(__xludf.DUMMYFUNCTION("""COMPUTED_VALUE"""),"Tetsunosuke, Kushida")</f>
        <v>Tetsunosuke, Kushida</v>
      </c>
      <c r="B11874" s="3">
        <f ca="1">IFERROR(__xludf.DUMMYFUNCTION("""COMPUTED_VALUE"""),3)</f>
        <v>3</v>
      </c>
      <c r="C11874" s="7">
        <f ca="1">IFERROR(__xludf.DUMMYFUNCTION("""COMPUTED_VALUE"""),3.3)</f>
        <v>3.3</v>
      </c>
      <c r="D11874" s="8">
        <f ca="1">IFERROR(__xludf.DUMMYFUNCTION("""COMPUTED_VALUE"""),3)</f>
        <v>3</v>
      </c>
      <c r="E11874" s="2">
        <f ca="1">IFERROR(__xludf.DUMMYFUNCTION("""COMPUTED_VALUE"""),1)</f>
        <v>1</v>
      </c>
    </row>
    <row r="11875" spans="1:5" ht="13">
      <c r="A11875" s="2" t="str">
        <f ca="1">IFERROR(__xludf.DUMMYFUNCTION("""COMPUTED_VALUE"""),"Theard, Sam / Moore, Fleecie")</f>
        <v>Theard, Sam / Moore, Fleecie</v>
      </c>
      <c r="B11875" s="2">
        <f ca="1">IFERROR(__xludf.DUMMYFUNCTION("""COMPUTED_VALUE"""),3)</f>
        <v>3</v>
      </c>
      <c r="C11875" s="7">
        <f ca="1">IFERROR(__xludf.DUMMYFUNCTION("""COMPUTED_VALUE"""),3.1)</f>
        <v>3.1</v>
      </c>
      <c r="D11875" s="8">
        <f ca="1">IFERROR(__xludf.DUMMYFUNCTION("""COMPUTED_VALUE"""),7)</f>
        <v>7</v>
      </c>
      <c r="E11875" s="2">
        <f ca="1">IFERROR(__xludf.DUMMYFUNCTION("""COMPUTED_VALUE"""),2)</f>
        <v>2</v>
      </c>
    </row>
    <row r="11876" spans="1:5" ht="13">
      <c r="A11876" s="8" t="str">
        <f ca="1">IFERROR(__xludf.DUMMYFUNCTION("""COMPUTED_VALUE"""),"Thomas, Andre")</f>
        <v>Thomas, Andre</v>
      </c>
      <c r="B11876" s="3">
        <f ca="1">IFERROR(__xludf.DUMMYFUNCTION("""COMPUTED_VALUE"""),3)</f>
        <v>3</v>
      </c>
      <c r="C11876" s="7">
        <f ca="1">IFERROR(__xludf.DUMMYFUNCTION("""COMPUTED_VALUE"""),3.1)</f>
        <v>3.1</v>
      </c>
      <c r="D11876" s="8">
        <f ca="1">IFERROR(__xludf.DUMMYFUNCTION("""COMPUTED_VALUE"""),3)</f>
        <v>3</v>
      </c>
      <c r="E11876" s="2">
        <f ca="1">IFERROR(__xludf.DUMMYFUNCTION("""COMPUTED_VALUE"""),1)</f>
        <v>1</v>
      </c>
    </row>
    <row r="11877" spans="1:5" ht="13">
      <c r="A11877" s="8" t="str">
        <f ca="1">IFERROR(__xludf.DUMMYFUNCTION("""COMPUTED_VALUE"""),"Thomas, André")</f>
        <v>Thomas, André</v>
      </c>
      <c r="B11877" s="3">
        <f ca="1">IFERROR(__xludf.DUMMYFUNCTION("""COMPUTED_VALUE"""),3)</f>
        <v>3</v>
      </c>
      <c r="C11877" s="7">
        <f ca="1">IFERROR(__xludf.DUMMYFUNCTION("""COMPUTED_VALUE"""),3.1)</f>
        <v>3.1</v>
      </c>
      <c r="D11877" s="8">
        <f ca="1">IFERROR(__xludf.DUMMYFUNCTION("""COMPUTED_VALUE"""),3)</f>
        <v>3</v>
      </c>
      <c r="E11877" s="2">
        <f ca="1">IFERROR(__xludf.DUMMYFUNCTION("""COMPUTED_VALUE"""),1)</f>
        <v>1</v>
      </c>
    </row>
    <row r="11878" spans="1:5" ht="13">
      <c r="A11878" s="2" t="str">
        <f ca="1">IFERROR(__xludf.DUMMYFUNCTION("""COMPUTED_VALUE"""),"Thomas, Andre J.")</f>
        <v>Thomas, Andre J.</v>
      </c>
      <c r="B11878" s="3">
        <f ca="1">IFERROR(__xludf.DUMMYFUNCTION("""COMPUTED_VALUE"""),3)</f>
        <v>3</v>
      </c>
      <c r="C11878" s="7">
        <f ca="1">IFERROR(__xludf.DUMMYFUNCTION("""COMPUTED_VALUE"""),3.1)</f>
        <v>3.1</v>
      </c>
      <c r="D11878" s="8">
        <f ca="1">IFERROR(__xludf.DUMMYFUNCTION("""COMPUTED_VALUE"""),3)</f>
        <v>3</v>
      </c>
      <c r="E11878" s="2">
        <f ca="1">IFERROR(__xludf.DUMMYFUNCTION("""COMPUTED_VALUE"""),1)</f>
        <v>1</v>
      </c>
    </row>
    <row r="11879" spans="1:5" ht="13">
      <c r="A11879" s="2" t="str">
        <f ca="1">IFERROR(__xludf.DUMMYFUNCTION("""COMPUTED_VALUE"""),"Thomas, Eugene")</f>
        <v>Thomas, Eugene</v>
      </c>
      <c r="B11879" s="3">
        <f ca="1">IFERROR(__xludf.DUMMYFUNCTION("""COMPUTED_VALUE"""),3)</f>
        <v>3</v>
      </c>
      <c r="C11879" s="7">
        <f ca="1">IFERROR(__xludf.DUMMYFUNCTION("""COMPUTED_VALUE"""),3.1)</f>
        <v>3.1</v>
      </c>
      <c r="D11879" s="8">
        <f ca="1">IFERROR(__xludf.DUMMYFUNCTION("""COMPUTED_VALUE"""),3)</f>
        <v>3</v>
      </c>
      <c r="E11879" s="2">
        <f ca="1">IFERROR(__xludf.DUMMYFUNCTION("""COMPUTED_VALUE"""),1)</f>
        <v>1</v>
      </c>
    </row>
    <row r="11880" spans="1:5" ht="13">
      <c r="A11880" s="2" t="str">
        <f ca="1">IFERROR(__xludf.DUMMYFUNCTION("""COMPUTED_VALUE"""),"Thomas, Omar")</f>
        <v>Thomas, Omar</v>
      </c>
      <c r="B11880" s="3">
        <f ca="1">IFERROR(__xludf.DUMMYFUNCTION("""COMPUTED_VALUE"""),3)</f>
        <v>3</v>
      </c>
      <c r="C11880" s="7">
        <f ca="1">IFERROR(__xludf.DUMMYFUNCTION("""COMPUTED_VALUE"""),3.1)</f>
        <v>3.1</v>
      </c>
      <c r="D11880" s="8">
        <f ca="1">IFERROR(__xludf.DUMMYFUNCTION("""COMPUTED_VALUE"""),3)</f>
        <v>3</v>
      </c>
      <c r="E11880" s="2">
        <f ca="1">IFERROR(__xludf.DUMMYFUNCTION("""COMPUTED_VALUE"""),1)</f>
        <v>1</v>
      </c>
    </row>
    <row r="11881" spans="1:5" ht="13">
      <c r="A11881" s="2" t="str">
        <f ca="1">IFERROR(__xludf.DUMMYFUNCTION("""COMPUTED_VALUE"""),"Thomas, Reginald")</f>
        <v>Thomas, Reginald</v>
      </c>
      <c r="B11881" s="2">
        <f ca="1">IFERROR(__xludf.DUMMYFUNCTION("""COMPUTED_VALUE"""),3)</f>
        <v>3</v>
      </c>
      <c r="C11881" s="7">
        <f ca="1">IFERROR(__xludf.DUMMYFUNCTION("""COMPUTED_VALUE"""),3.1)</f>
        <v>3.1</v>
      </c>
      <c r="D11881" s="8">
        <f ca="1">IFERROR(__xludf.DUMMYFUNCTION("""COMPUTED_VALUE"""),3)</f>
        <v>3</v>
      </c>
      <c r="E11881" s="2">
        <f ca="1">IFERROR(__xludf.DUMMYFUNCTION("""COMPUTED_VALUE"""),1)</f>
        <v>1</v>
      </c>
    </row>
    <row r="11882" spans="1:5" ht="13">
      <c r="A11882" s="2" t="str">
        <f ca="1">IFERROR(__xludf.DUMMYFUNCTION("""COMPUTED_VALUE"""),"Thomas, Tawn")</f>
        <v>Thomas, Tawn</v>
      </c>
      <c r="B11882" s="3">
        <f ca="1">IFERROR(__xludf.DUMMYFUNCTION("""COMPUTED_VALUE"""),3)</f>
        <v>3</v>
      </c>
      <c r="C11882" s="7">
        <f ca="1">IFERROR(__xludf.DUMMYFUNCTION("""COMPUTED_VALUE"""),3.1)</f>
        <v>3.1</v>
      </c>
      <c r="D11882" s="8">
        <f ca="1">IFERROR(__xludf.DUMMYFUNCTION("""COMPUTED_VALUE"""),3)</f>
        <v>3</v>
      </c>
      <c r="E11882" s="2">
        <f ca="1">IFERROR(__xludf.DUMMYFUNCTION("""COMPUTED_VALUE"""),1)</f>
        <v>1</v>
      </c>
    </row>
    <row r="11883" spans="1:5" ht="13">
      <c r="A11883" s="2" t="str">
        <f ca="1">IFERROR(__xludf.DUMMYFUNCTION("""COMPUTED_VALUE"""),"Thompson, Joel")</f>
        <v>Thompson, Joel</v>
      </c>
      <c r="B11883" s="3">
        <f ca="1">IFERROR(__xludf.DUMMYFUNCTION("""COMPUTED_VALUE"""),3)</f>
        <v>3</v>
      </c>
      <c r="C11883" s="7">
        <f ca="1">IFERROR(__xludf.DUMMYFUNCTION("""COMPUTED_VALUE"""),3.1)</f>
        <v>3.1</v>
      </c>
      <c r="D11883" s="8">
        <f ca="1">IFERROR(__xludf.DUMMYFUNCTION("""COMPUTED_VALUE"""),3)</f>
        <v>3</v>
      </c>
      <c r="E11883" s="2">
        <f ca="1">IFERROR(__xludf.DUMMYFUNCTION("""COMPUTED_VALUE"""),1)</f>
        <v>1</v>
      </c>
    </row>
    <row r="11884" spans="1:5" ht="13">
      <c r="A11884" s="2" t="str">
        <f ca="1">IFERROR(__xludf.DUMMYFUNCTION("""COMPUTED_VALUE"""),"Thompson, Stefan")</f>
        <v>Thompson, Stefan</v>
      </c>
      <c r="B11884" s="2">
        <f ca="1">IFERROR(__xludf.DUMMYFUNCTION("""COMPUTED_VALUE"""),3)</f>
        <v>3</v>
      </c>
      <c r="C11884" s="2">
        <f ca="1">IFERROR(__xludf.DUMMYFUNCTION("""COMPUTED_VALUE"""),3.1)</f>
        <v>3.1</v>
      </c>
      <c r="D11884" s="8">
        <f ca="1">IFERROR(__xludf.DUMMYFUNCTION("""COMPUTED_VALUE"""),3)</f>
        <v>3</v>
      </c>
      <c r="E11884" s="2">
        <f ca="1">IFERROR(__xludf.DUMMYFUNCTION("""COMPUTED_VALUE"""),1)</f>
        <v>1</v>
      </c>
    </row>
    <row r="11885" spans="1:5" ht="13">
      <c r="A11885" s="2" t="str">
        <f ca="1">IFERROR(__xludf.DUMMYFUNCTION("""COMPUTED_VALUE"""),"Tian, Zhou")</f>
        <v>Tian, Zhou</v>
      </c>
      <c r="B11885" s="3">
        <f ca="1">IFERROR(__xludf.DUMMYFUNCTION("""COMPUTED_VALUE"""),3)</f>
        <v>3</v>
      </c>
      <c r="C11885" s="7">
        <f ca="1">IFERROR(__xludf.DUMMYFUNCTION("""COMPUTED_VALUE"""),3.3)</f>
        <v>3.3</v>
      </c>
      <c r="D11885" s="8">
        <f ca="1">IFERROR(__xludf.DUMMYFUNCTION("""COMPUTED_VALUE"""),3)</f>
        <v>3</v>
      </c>
      <c r="E11885" s="2">
        <f ca="1">IFERROR(__xludf.DUMMYFUNCTION("""COMPUTED_VALUE"""),1)</f>
        <v>1</v>
      </c>
    </row>
    <row r="11886" spans="1:5" ht="13">
      <c r="A11886" s="2" t="str">
        <f ca="1">IFERROR(__xludf.DUMMYFUNCTION("""COMPUTED_VALUE"""),"Tieshan, Liu")</f>
        <v>Tieshan, Liu</v>
      </c>
      <c r="B11886" s="3">
        <f ca="1">IFERROR(__xludf.DUMMYFUNCTION("""COMPUTED_VALUE"""),3)</f>
        <v>3</v>
      </c>
      <c r="C11886" s="7">
        <f ca="1">IFERROR(__xludf.DUMMYFUNCTION("""COMPUTED_VALUE"""),3.3)</f>
        <v>3.3</v>
      </c>
      <c r="D11886" s="8">
        <f ca="1">IFERROR(__xludf.DUMMYFUNCTION("""COMPUTED_VALUE"""),7)</f>
        <v>7</v>
      </c>
      <c r="E11886" s="2">
        <f ca="1">IFERROR(__xludf.DUMMYFUNCTION("""COMPUTED_VALUE"""),2)</f>
        <v>2</v>
      </c>
    </row>
    <row r="11887" spans="1:5" ht="13">
      <c r="A11887" s="2" t="str">
        <f ca="1">IFERROR(__xludf.DUMMYFUNCTION("""COMPUTED_VALUE"""),"Tieshan, Liu / Yuan, Mao")</f>
        <v>Tieshan, Liu / Yuan, Mao</v>
      </c>
      <c r="B11887" s="3">
        <f ca="1">IFERROR(__xludf.DUMMYFUNCTION("""COMPUTED_VALUE"""),3)</f>
        <v>3</v>
      </c>
      <c r="C11887" s="7">
        <f ca="1">IFERROR(__xludf.DUMMYFUNCTION("""COMPUTED_VALUE"""),3.3)</f>
        <v>3.3</v>
      </c>
      <c r="D11887" s="8">
        <f ca="1">IFERROR(__xludf.DUMMYFUNCTION("""COMPUTED_VALUE"""),3)</f>
        <v>3</v>
      </c>
      <c r="E11887" s="2">
        <f ca="1">IFERROR(__xludf.DUMMYFUNCTION("""COMPUTED_VALUE"""),1)</f>
        <v>1</v>
      </c>
    </row>
    <row r="11888" spans="1:5" ht="13">
      <c r="A11888" s="2" t="str">
        <f ca="1">IFERROR(__xludf.DUMMYFUNCTION("""COMPUTED_VALUE"""),"Timmons, Bobby")</f>
        <v>Timmons, Bobby</v>
      </c>
      <c r="B11888" s="3">
        <f ca="1">IFERROR(__xludf.DUMMYFUNCTION("""COMPUTED_VALUE"""),3)</f>
        <v>3</v>
      </c>
      <c r="C11888" s="7">
        <f ca="1">IFERROR(__xludf.DUMMYFUNCTION("""COMPUTED_VALUE"""),3.1)</f>
        <v>3.1</v>
      </c>
      <c r="D11888" s="8">
        <f ca="1">IFERROR(__xludf.DUMMYFUNCTION("""COMPUTED_VALUE"""),7)</f>
        <v>7</v>
      </c>
      <c r="E11888" s="2">
        <f ca="1">IFERROR(__xludf.DUMMYFUNCTION("""COMPUTED_VALUE"""),2)</f>
        <v>2</v>
      </c>
    </row>
    <row r="11889" spans="1:5" ht="13">
      <c r="A11889" s="2" t="str">
        <f ca="1">IFERROR(__xludf.DUMMYFUNCTION("""COMPUTED_VALUE"""),"Tin, Christopher")</f>
        <v>Tin, Christopher</v>
      </c>
      <c r="B11889" s="2">
        <f ca="1">IFERROR(__xludf.DUMMYFUNCTION("""COMPUTED_VALUE"""),3)</f>
        <v>3</v>
      </c>
      <c r="C11889" s="7">
        <f ca="1">IFERROR(__xludf.DUMMYFUNCTION("""COMPUTED_VALUE"""),3.3)</f>
        <v>3.3</v>
      </c>
      <c r="D11889" s="8">
        <f ca="1">IFERROR(__xludf.DUMMYFUNCTION("""COMPUTED_VALUE"""),3)</f>
        <v>3</v>
      </c>
      <c r="E11889" s="2">
        <f ca="1">IFERROR(__xludf.DUMMYFUNCTION("""COMPUTED_VALUE"""),1)</f>
        <v>1</v>
      </c>
    </row>
    <row r="11890" spans="1:5" ht="13">
      <c r="A11890" s="2" t="str">
        <f ca="1">IFERROR(__xludf.DUMMYFUNCTION("""COMPUTED_VALUE"""),"Tizol, Juan")</f>
        <v>Tizol, Juan</v>
      </c>
      <c r="B11890" s="3">
        <f ca="1">IFERROR(__xludf.DUMMYFUNCTION("""COMPUTED_VALUE"""),3)</f>
        <v>3</v>
      </c>
      <c r="C11890" s="7">
        <f ca="1">IFERROR(__xludf.DUMMYFUNCTION("""COMPUTED_VALUE"""),3.2)</f>
        <v>3.2</v>
      </c>
      <c r="D11890" s="8">
        <f ca="1">IFERROR(__xludf.DUMMYFUNCTION("""COMPUTED_VALUE"""),7)</f>
        <v>7</v>
      </c>
      <c r="E11890" s="2">
        <f ca="1">IFERROR(__xludf.DUMMYFUNCTION("""COMPUTED_VALUE"""),2)</f>
        <v>2</v>
      </c>
    </row>
    <row r="11891" spans="1:5" ht="13">
      <c r="A11891" s="2" t="str">
        <f ca="1">IFERROR(__xludf.DUMMYFUNCTION("""COMPUTED_VALUE"""),"Tizol, Juan / Ellington, Duke")</f>
        <v>Tizol, Juan / Ellington, Duke</v>
      </c>
      <c r="B11891" s="3">
        <f ca="1">IFERROR(__xludf.DUMMYFUNCTION("""COMPUTED_VALUE"""),3)</f>
        <v>3</v>
      </c>
      <c r="C11891" s="7">
        <f ca="1">IFERROR(__xludf.DUMMYFUNCTION("""COMPUTED_VALUE"""),3.2)</f>
        <v>3.2</v>
      </c>
      <c r="D11891" s="8">
        <f ca="1">IFERROR(__xludf.DUMMYFUNCTION("""COMPUTED_VALUE"""),7)</f>
        <v>7</v>
      </c>
      <c r="E11891" s="2">
        <f ca="1">IFERROR(__xludf.DUMMYFUNCTION("""COMPUTED_VALUE"""),2)</f>
        <v>2</v>
      </c>
    </row>
    <row r="11892" spans="1:5" ht="13">
      <c r="A11892" s="2" t="str">
        <f ca="1">IFERROR(__xludf.DUMMYFUNCTION("""COMPUTED_VALUE"""),"Toda, Akira")</f>
        <v>Toda, Akira</v>
      </c>
      <c r="B11892" s="3">
        <f ca="1">IFERROR(__xludf.DUMMYFUNCTION("""COMPUTED_VALUE"""),3)</f>
        <v>3</v>
      </c>
      <c r="C11892" s="7">
        <f ca="1">IFERROR(__xludf.DUMMYFUNCTION("""COMPUTED_VALUE"""),3.3)</f>
        <v>3.3</v>
      </c>
      <c r="D11892" s="8">
        <f ca="1">IFERROR(__xludf.DUMMYFUNCTION("""COMPUTED_VALUE"""),3)</f>
        <v>3</v>
      </c>
      <c r="E11892" s="2">
        <f ca="1">IFERROR(__xludf.DUMMYFUNCTION("""COMPUTED_VALUE"""),1)</f>
        <v>1</v>
      </c>
    </row>
    <row r="11893" spans="1:5" ht="13">
      <c r="A11893" s="2" t="str">
        <f ca="1">IFERROR(__xludf.DUMMYFUNCTION("""COMPUTED_VALUE"""),"Tohno, S.")</f>
        <v>Tohno, S.</v>
      </c>
      <c r="B11893" s="3">
        <f ca="1">IFERROR(__xludf.DUMMYFUNCTION("""COMPUTED_VALUE"""),3)</f>
        <v>3</v>
      </c>
      <c r="C11893" s="7">
        <f ca="1">IFERROR(__xludf.DUMMYFUNCTION("""COMPUTED_VALUE"""),3.3)</f>
        <v>3.3</v>
      </c>
      <c r="D11893" s="8">
        <f ca="1">IFERROR(__xludf.DUMMYFUNCTION("""COMPUTED_VALUE"""),3)</f>
        <v>3</v>
      </c>
      <c r="E11893" s="2">
        <f ca="1">IFERROR(__xludf.DUMMYFUNCTION("""COMPUTED_VALUE"""),1)</f>
        <v>1</v>
      </c>
    </row>
    <row r="11894" spans="1:5" ht="13">
      <c r="A11894" s="2" t="str">
        <f ca="1">IFERROR(__xludf.DUMMYFUNCTION("""COMPUTED_VALUE"""),"Toker, Hakan Ali")</f>
        <v>Toker, Hakan Ali</v>
      </c>
      <c r="B11894" s="3">
        <f ca="1">IFERROR(__xludf.DUMMYFUNCTION("""COMPUTED_VALUE"""),3)</f>
        <v>3</v>
      </c>
      <c r="C11894" s="7">
        <f ca="1">IFERROR(__xludf.DUMMYFUNCTION("""COMPUTED_VALUE"""),3.5)</f>
        <v>3.5</v>
      </c>
      <c r="D11894" s="8">
        <f ca="1">IFERROR(__xludf.DUMMYFUNCTION("""COMPUTED_VALUE"""),3)</f>
        <v>3</v>
      </c>
      <c r="E11894" s="2">
        <f ca="1">IFERROR(__xludf.DUMMYFUNCTION("""COMPUTED_VALUE"""),1)</f>
        <v>1</v>
      </c>
    </row>
    <row r="11895" spans="1:5" ht="13">
      <c r="A11895" s="2" t="str">
        <f ca="1">IFERROR(__xludf.DUMMYFUNCTION("""COMPUTED_VALUE"""),"Tôn-Thât, Tiêt,")</f>
        <v>Tôn-Thât, Tiêt,</v>
      </c>
      <c r="B11895" s="3">
        <f ca="1">IFERROR(__xludf.DUMMYFUNCTION("""COMPUTED_VALUE"""),3)</f>
        <v>3</v>
      </c>
      <c r="C11895" s="7">
        <f ca="1">IFERROR(__xludf.DUMMYFUNCTION("""COMPUTED_VALUE"""),3.3)</f>
        <v>3.3</v>
      </c>
      <c r="D11895" s="8">
        <f ca="1">IFERROR(__xludf.DUMMYFUNCTION("""COMPUTED_VALUE"""),7)</f>
        <v>7</v>
      </c>
      <c r="E11895" s="2">
        <f ca="1">IFERROR(__xludf.DUMMYFUNCTION("""COMPUTED_VALUE"""),2)</f>
        <v>2</v>
      </c>
    </row>
    <row r="11896" spans="1:5" ht="13">
      <c r="A11896" s="2" t="str">
        <f ca="1">IFERROR(__xludf.DUMMYFUNCTION("""COMPUTED_VALUE"""),"Toppenberg, Eduard")</f>
        <v>Toppenberg, Eduard</v>
      </c>
      <c r="B11896" s="3">
        <f ca="1">IFERROR(__xludf.DUMMYFUNCTION("""COMPUTED_VALUE"""),3)</f>
        <v>3</v>
      </c>
      <c r="C11896" s="7">
        <f ca="1">IFERROR(__xludf.DUMMYFUNCTION("""COMPUTED_VALUE"""),3.1)</f>
        <v>3.1</v>
      </c>
      <c r="D11896" s="8">
        <f ca="1">IFERROR(__xludf.DUMMYFUNCTION("""COMPUTED_VALUE"""),3)</f>
        <v>3</v>
      </c>
      <c r="E11896" s="2">
        <f ca="1">IFERROR(__xludf.DUMMYFUNCTION("""COMPUTED_VALUE"""),1)</f>
        <v>1</v>
      </c>
    </row>
    <row r="11897" spans="1:5" ht="13">
      <c r="A11897" s="2" t="str">
        <f ca="1">IFERROR(__xludf.DUMMYFUNCTION("""COMPUTED_VALUE"""),"Torikian, Edward")</f>
        <v>Torikian, Edward</v>
      </c>
      <c r="B11897" s="3">
        <f ca="1">IFERROR(__xludf.DUMMYFUNCTION("""COMPUTED_VALUE"""),3)</f>
        <v>3</v>
      </c>
      <c r="C11897" s="7">
        <f ca="1">IFERROR(__xludf.DUMMYFUNCTION("""COMPUTED_VALUE"""),3.5)</f>
        <v>3.5</v>
      </c>
      <c r="D11897" s="8">
        <f ca="1">IFERROR(__xludf.DUMMYFUNCTION("""COMPUTED_VALUE"""),7)</f>
        <v>7</v>
      </c>
      <c r="E11897" s="2">
        <f ca="1">IFERROR(__xludf.DUMMYFUNCTION("""COMPUTED_VALUE"""),2)</f>
        <v>2</v>
      </c>
    </row>
    <row r="11898" spans="1:5" ht="13">
      <c r="A11898" s="2" t="str">
        <f ca="1">IFERROR(__xludf.DUMMYFUNCTION("""COMPUTED_VALUE"""),"Torres-Vega, Xavier")</f>
        <v>Torres-Vega, Xavier</v>
      </c>
      <c r="B11898" s="3">
        <f ca="1">IFERROR(__xludf.DUMMYFUNCTION("""COMPUTED_VALUE"""),3)</f>
        <v>3</v>
      </c>
      <c r="C11898" s="7">
        <f ca="1">IFERROR(__xludf.DUMMYFUNCTION("""COMPUTED_VALUE"""),3.2)</f>
        <v>3.2</v>
      </c>
      <c r="D11898" s="8">
        <f ca="1">IFERROR(__xludf.DUMMYFUNCTION("""COMPUTED_VALUE"""),3)</f>
        <v>3</v>
      </c>
      <c r="E11898" s="2">
        <f ca="1">IFERROR(__xludf.DUMMYFUNCTION("""COMPUTED_VALUE"""),1)</f>
        <v>1</v>
      </c>
    </row>
    <row r="11899" spans="1:5" ht="13">
      <c r="A11899" s="2" t="str">
        <f ca="1">IFERROR(__xludf.DUMMYFUNCTION("""COMPUTED_VALUE"""),"Torres, Nestor")</f>
        <v>Torres, Nestor</v>
      </c>
      <c r="B11899" s="3">
        <f ca="1">IFERROR(__xludf.DUMMYFUNCTION("""COMPUTED_VALUE"""),3)</f>
        <v>3</v>
      </c>
      <c r="C11899" s="7">
        <f ca="1">IFERROR(__xludf.DUMMYFUNCTION("""COMPUTED_VALUE"""),3.2)</f>
        <v>3.2</v>
      </c>
      <c r="D11899" s="8">
        <f ca="1">IFERROR(__xludf.DUMMYFUNCTION("""COMPUTED_VALUE"""),3)</f>
        <v>3</v>
      </c>
      <c r="E11899" s="2">
        <f ca="1">IFERROR(__xludf.DUMMYFUNCTION("""COMPUTED_VALUE"""),1)</f>
        <v>1</v>
      </c>
    </row>
    <row r="11900" spans="1:5" ht="13">
      <c r="A11900" s="8" t="str">
        <f ca="1">IFERROR(__xludf.DUMMYFUNCTION("""COMPUTED_VALUE"""),"Torres, Rodrigo Martínez")</f>
        <v>Torres, Rodrigo Martínez</v>
      </c>
      <c r="B11900" s="3">
        <f ca="1">IFERROR(__xludf.DUMMYFUNCTION("""COMPUTED_VALUE"""),3)</f>
        <v>3</v>
      </c>
      <c r="C11900" s="7">
        <f ca="1">IFERROR(__xludf.DUMMYFUNCTION("""COMPUTED_VALUE"""),3.2)</f>
        <v>3.2</v>
      </c>
      <c r="D11900" s="8">
        <f ca="1">IFERROR(__xludf.DUMMYFUNCTION("""COMPUTED_VALUE"""),3)</f>
        <v>3</v>
      </c>
      <c r="E11900" s="2">
        <f ca="1">IFERROR(__xludf.DUMMYFUNCTION("""COMPUTED_VALUE"""),1)</f>
        <v>1</v>
      </c>
    </row>
    <row r="11901" spans="1:5" ht="13">
      <c r="A11901" s="2" t="str">
        <f ca="1">IFERROR(__xludf.DUMMYFUNCTION("""COMPUTED_VALUE"""),"Toshinari Iijima")</f>
        <v>Toshinari Iijima</v>
      </c>
      <c r="B11901" s="2">
        <f ca="1">IFERROR(__xludf.DUMMYFUNCTION("""COMPUTED_VALUE"""),3)</f>
        <v>3</v>
      </c>
      <c r="C11901" s="7">
        <f ca="1">IFERROR(__xludf.DUMMYFUNCTION("""COMPUTED_VALUE"""),3.3)</f>
        <v>3.3</v>
      </c>
      <c r="D11901" s="8">
        <f ca="1">IFERROR(__xludf.DUMMYFUNCTION("""COMPUTED_VALUE"""),3)</f>
        <v>3</v>
      </c>
      <c r="E11901" s="2">
        <f ca="1">IFERROR(__xludf.DUMMYFUNCTION("""COMPUTED_VALUE"""),1)</f>
        <v>1</v>
      </c>
    </row>
    <row r="11902" spans="1:5" ht="13">
      <c r="A11902" s="2" t="str">
        <f ca="1">IFERROR(__xludf.DUMMYFUNCTION("""COMPUTED_VALUE"""),"Toussaint, Eugenio")</f>
        <v>Toussaint, Eugenio</v>
      </c>
      <c r="B11902" s="3">
        <f ca="1">IFERROR(__xludf.DUMMYFUNCTION("""COMPUTED_VALUE"""),3)</f>
        <v>3</v>
      </c>
      <c r="C11902" s="7">
        <f ca="1">IFERROR(__xludf.DUMMYFUNCTION("""COMPUTED_VALUE"""),3.2)</f>
        <v>3.2</v>
      </c>
      <c r="D11902" s="8">
        <f ca="1">IFERROR(__xludf.DUMMYFUNCTION("""COMPUTED_VALUE"""),7)</f>
        <v>7</v>
      </c>
      <c r="E11902" s="2">
        <f ca="1">IFERROR(__xludf.DUMMYFUNCTION("""COMPUTED_VALUE"""),2)</f>
        <v>2</v>
      </c>
    </row>
    <row r="11903" spans="1:5" ht="13">
      <c r="A11903" s="8" t="str">
        <f ca="1">IFERROR(__xludf.DUMMYFUNCTION("""COMPUTED_VALUE"""),"Tovar, Daniel")</f>
        <v>Tovar, Daniel</v>
      </c>
      <c r="B11903" s="3">
        <f ca="1">IFERROR(__xludf.DUMMYFUNCTION("""COMPUTED_VALUE"""),3)</f>
        <v>3</v>
      </c>
      <c r="C11903" s="7">
        <f ca="1">IFERROR(__xludf.DUMMYFUNCTION("""COMPUTED_VALUE"""),3.2)</f>
        <v>3.2</v>
      </c>
      <c r="D11903" s="8">
        <f ca="1">IFERROR(__xludf.DUMMYFUNCTION("""COMPUTED_VALUE"""),3)</f>
        <v>3</v>
      </c>
      <c r="E11903" s="2">
        <f ca="1">IFERROR(__xludf.DUMMYFUNCTION("""COMPUTED_VALUE"""),1)</f>
        <v>1</v>
      </c>
    </row>
    <row r="11904" spans="1:5" ht="13">
      <c r="A11904" s="2" t="str">
        <f ca="1">IFERROR(__xludf.DUMMYFUNCTION("""COMPUTED_VALUE"""),"Townsend, Robert")</f>
        <v>Townsend, Robert</v>
      </c>
      <c r="B11904" s="3">
        <f ca="1">IFERROR(__xludf.DUMMYFUNCTION("""COMPUTED_VALUE"""),3)</f>
        <v>3</v>
      </c>
      <c r="C11904" s="7">
        <f ca="1">IFERROR(__xludf.DUMMYFUNCTION("""COMPUTED_VALUE"""),3.1)</f>
        <v>3.1</v>
      </c>
      <c r="D11904" s="8">
        <f ca="1">IFERROR(__xludf.DUMMYFUNCTION("""COMPUTED_VALUE"""),3)</f>
        <v>3</v>
      </c>
      <c r="E11904" s="2">
        <f ca="1">IFERROR(__xludf.DUMMYFUNCTION("""COMPUTED_VALUE"""),1)</f>
        <v>1</v>
      </c>
    </row>
    <row r="11905" spans="1:5" ht="13">
      <c r="A11905" s="2" t="str">
        <f ca="1">IFERROR(__xludf.DUMMYFUNCTION("""COMPUTED_VALUE"""),"Toyama, Yuzo")</f>
        <v>Toyama, Yuzo</v>
      </c>
      <c r="B11905" s="3">
        <f ca="1">IFERROR(__xludf.DUMMYFUNCTION("""COMPUTED_VALUE"""),3)</f>
        <v>3</v>
      </c>
      <c r="C11905" s="7">
        <f ca="1">IFERROR(__xludf.DUMMYFUNCTION("""COMPUTED_VALUE"""),3.3)</f>
        <v>3.3</v>
      </c>
      <c r="D11905" s="8">
        <f ca="1">IFERROR(__xludf.DUMMYFUNCTION("""COMPUTED_VALUE"""),3)</f>
        <v>3</v>
      </c>
      <c r="E11905" s="2">
        <f ca="1">IFERROR(__xludf.DUMMYFUNCTION("""COMPUTED_VALUE"""),1)</f>
        <v>1</v>
      </c>
    </row>
    <row r="11906" spans="1:5" ht="13">
      <c r="A11906" s="2" t="str">
        <f ca="1">IFERROR(__xludf.DUMMYFUNCTION("""COMPUTED_VALUE"""),"Trần, Dylan")</f>
        <v>Trần, Dylan</v>
      </c>
      <c r="B11906" s="3">
        <f ca="1">IFERROR(__xludf.DUMMYFUNCTION("""COMPUTED_VALUE"""),3)</f>
        <v>3</v>
      </c>
      <c r="C11906" s="7">
        <f ca="1">IFERROR(__xludf.DUMMYFUNCTION("""COMPUTED_VALUE"""),3.3)</f>
        <v>3.3</v>
      </c>
      <c r="D11906" s="8">
        <f ca="1">IFERROR(__xludf.DUMMYFUNCTION("""COMPUTED_VALUE"""),3)</f>
        <v>3</v>
      </c>
      <c r="E11906" s="2">
        <f ca="1">IFERROR(__xludf.DUMMYFUNCTION("""COMPUTED_VALUE"""),1)</f>
        <v>1</v>
      </c>
    </row>
    <row r="11907" spans="1:5" ht="13">
      <c r="A11907" s="2" t="str">
        <f ca="1">IFERROR(__xludf.DUMMYFUNCTION("""COMPUTED_VALUE"""),"Tran, Nicholas")</f>
        <v>Tran, Nicholas</v>
      </c>
      <c r="B11907" s="2">
        <f ca="1">IFERROR(__xludf.DUMMYFUNCTION("""COMPUTED_VALUE"""),3)</f>
        <v>3</v>
      </c>
      <c r="C11907" s="7">
        <f ca="1">IFERROR(__xludf.DUMMYFUNCTION("""COMPUTED_VALUE"""),3.3)</f>
        <v>3.3</v>
      </c>
      <c r="D11907" s="8">
        <f ca="1">IFERROR(__xludf.DUMMYFUNCTION("""COMPUTED_VALUE"""),3)</f>
        <v>3</v>
      </c>
      <c r="E11907" s="2">
        <f ca="1">IFERROR(__xludf.DUMMYFUNCTION("""COMPUTED_VALUE"""),1)</f>
        <v>1</v>
      </c>
    </row>
    <row r="11908" spans="1:5" ht="13">
      <c r="A11908" s="8" t="str">
        <f ca="1">IFERROR(__xludf.DUMMYFUNCTION("""COMPUTED_VALUE"""),"Trecek-King, Anthony")</f>
        <v>Trecek-King, Anthony</v>
      </c>
      <c r="B11908" s="3">
        <f ca="1">IFERROR(__xludf.DUMMYFUNCTION("""COMPUTED_VALUE"""),3)</f>
        <v>3</v>
      </c>
      <c r="C11908" s="7">
        <f ca="1">IFERROR(__xludf.DUMMYFUNCTION("""COMPUTED_VALUE"""),3.1)</f>
        <v>3.1</v>
      </c>
      <c r="D11908" s="8">
        <f ca="1">IFERROR(__xludf.DUMMYFUNCTION("""COMPUTED_VALUE"""),3)</f>
        <v>3</v>
      </c>
      <c r="E11908" s="2">
        <f ca="1">IFERROR(__xludf.DUMMYFUNCTION("""COMPUTED_VALUE"""),1)</f>
        <v>1</v>
      </c>
    </row>
    <row r="11909" spans="1:5" ht="13">
      <c r="A11909" s="2" t="str">
        <f ca="1">IFERROR(__xludf.DUMMYFUNCTION("""COMPUTED_VALUE"""),"Trevino, Ivan")</f>
        <v>Trevino, Ivan</v>
      </c>
      <c r="B11909" s="3">
        <f ca="1">IFERROR(__xludf.DUMMYFUNCTION("""COMPUTED_VALUE"""),3)</f>
        <v>3</v>
      </c>
      <c r="C11909" s="7">
        <f ca="1">IFERROR(__xludf.DUMMYFUNCTION("""COMPUTED_VALUE"""),3.2)</f>
        <v>3.2</v>
      </c>
      <c r="D11909" s="8">
        <f ca="1">IFERROR(__xludf.DUMMYFUNCTION("""COMPUTED_VALUE"""),3)</f>
        <v>3</v>
      </c>
      <c r="E11909" s="2">
        <f ca="1">IFERROR(__xludf.DUMMYFUNCTION("""COMPUTED_VALUE"""),1)</f>
        <v>1</v>
      </c>
    </row>
    <row r="11910" spans="1:5" ht="13">
      <c r="A11910" s="2" t="str">
        <f ca="1">IFERROR(__xludf.DUMMYFUNCTION("""COMPUTED_VALUE"""),"Trigos, Juan")</f>
        <v>Trigos, Juan</v>
      </c>
      <c r="B11910" s="3">
        <f ca="1">IFERROR(__xludf.DUMMYFUNCTION("""COMPUTED_VALUE"""),3)</f>
        <v>3</v>
      </c>
      <c r="C11910" s="7">
        <f ca="1">IFERROR(__xludf.DUMMYFUNCTION("""COMPUTED_VALUE"""),3.2)</f>
        <v>3.2</v>
      </c>
      <c r="D11910" s="8">
        <f ca="1">IFERROR(__xludf.DUMMYFUNCTION("""COMPUTED_VALUE"""),3)</f>
        <v>3</v>
      </c>
      <c r="E11910" s="2">
        <f ca="1">IFERROR(__xludf.DUMMYFUNCTION("""COMPUTED_VALUE"""),1)</f>
        <v>1</v>
      </c>
    </row>
    <row r="11911" spans="1:5" ht="13">
      <c r="A11911" s="2" t="str">
        <f ca="1">IFERROR(__xludf.DUMMYFUNCTION("""COMPUTED_VALUE"""),"Trujillo, Julián Carrillo")</f>
        <v>Trujillo, Julián Carrillo</v>
      </c>
      <c r="B11911" s="3">
        <f ca="1">IFERROR(__xludf.DUMMYFUNCTION("""COMPUTED_VALUE"""),3)</f>
        <v>3</v>
      </c>
      <c r="C11911" s="7">
        <f ca="1">IFERROR(__xludf.DUMMYFUNCTION("""COMPUTED_VALUE"""),3.2)</f>
        <v>3.2</v>
      </c>
      <c r="D11911" s="8">
        <f ca="1">IFERROR(__xludf.DUMMYFUNCTION("""COMPUTED_VALUE"""),7)</f>
        <v>7</v>
      </c>
      <c r="E11911" s="2">
        <f ca="1">IFERROR(__xludf.DUMMYFUNCTION("""COMPUTED_VALUE"""),2)</f>
        <v>2</v>
      </c>
    </row>
    <row r="11912" spans="1:5" ht="13">
      <c r="A11912" s="2" t="str">
        <f ca="1">IFERROR(__xludf.DUMMYFUNCTION("""COMPUTED_VALUE"""),"Tse, Roydon")</f>
        <v>Tse, Roydon</v>
      </c>
      <c r="B11912" s="2">
        <f ca="1">IFERROR(__xludf.DUMMYFUNCTION("""COMPUTED_VALUE"""),3)</f>
        <v>3</v>
      </c>
      <c r="C11912" s="2">
        <f ca="1">IFERROR(__xludf.DUMMYFUNCTION("""COMPUTED_VALUE"""),3.3)</f>
        <v>3.3</v>
      </c>
      <c r="D11912" s="8">
        <f ca="1">IFERROR(__xludf.DUMMYFUNCTION("""COMPUTED_VALUE"""),3)</f>
        <v>3</v>
      </c>
      <c r="E11912" s="2">
        <f ca="1">IFERROR(__xludf.DUMMYFUNCTION("""COMPUTED_VALUE"""),1)</f>
        <v>1</v>
      </c>
    </row>
    <row r="11913" spans="1:5" ht="13">
      <c r="A11913" s="2" t="str">
        <f ca="1">IFERROR(__xludf.DUMMYFUNCTION("""COMPUTED_VALUE"""),"Tucci, Terig")</f>
        <v>Tucci, Terig</v>
      </c>
      <c r="B11913" s="3">
        <f ca="1">IFERROR(__xludf.DUMMYFUNCTION("""COMPUTED_VALUE"""),3)</f>
        <v>3</v>
      </c>
      <c r="C11913" s="7">
        <f ca="1">IFERROR(__xludf.DUMMYFUNCTION("""COMPUTED_VALUE"""),3.2)</f>
        <v>3.2</v>
      </c>
      <c r="D11913" s="8">
        <f ca="1">IFERROR(__xludf.DUMMYFUNCTION("""COMPUTED_VALUE"""),7)</f>
        <v>7</v>
      </c>
      <c r="E11913" s="2">
        <f ca="1">IFERROR(__xludf.DUMMYFUNCTION("""COMPUTED_VALUE"""),2)</f>
        <v>2</v>
      </c>
    </row>
    <row r="11914" spans="1:5" ht="13">
      <c r="A11914" s="2" t="str">
        <f ca="1">IFERROR(__xludf.DUMMYFUNCTION("""COMPUTED_VALUE"""),"Tumalan, Christian")</f>
        <v>Tumalan, Christian</v>
      </c>
      <c r="B11914" s="3">
        <f ca="1">IFERROR(__xludf.DUMMYFUNCTION("""COMPUTED_VALUE"""),3)</f>
        <v>3</v>
      </c>
      <c r="C11914" s="7">
        <f ca="1">IFERROR(__xludf.DUMMYFUNCTION("""COMPUTED_VALUE"""),3.2)</f>
        <v>3.2</v>
      </c>
      <c r="D11914" s="8" t="str">
        <f ca="1">IFERROR(__xludf.DUMMYFUNCTION("""COMPUTED_VALUE"""),"")</f>
        <v/>
      </c>
      <c r="E11914" s="2"/>
    </row>
    <row r="11915" spans="1:5" ht="13">
      <c r="A11915" s="2" t="str">
        <f ca="1">IFERROR(__xludf.DUMMYFUNCTION("""COMPUTED_VALUE"""),"Turrentine, Stanley")</f>
        <v>Turrentine, Stanley</v>
      </c>
      <c r="B11915" s="3">
        <f ca="1">IFERROR(__xludf.DUMMYFUNCTION("""COMPUTED_VALUE"""),3)</f>
        <v>3</v>
      </c>
      <c r="C11915" s="7">
        <f ca="1">IFERROR(__xludf.DUMMYFUNCTION("""COMPUTED_VALUE"""),3.1)</f>
        <v>3.1</v>
      </c>
      <c r="D11915" s="8">
        <f ca="1">IFERROR(__xludf.DUMMYFUNCTION("""COMPUTED_VALUE"""),7)</f>
        <v>7</v>
      </c>
      <c r="E11915" s="2">
        <f ca="1">IFERROR(__xludf.DUMMYFUNCTION("""COMPUTED_VALUE"""),2)</f>
        <v>2</v>
      </c>
    </row>
    <row r="11916" spans="1:5" ht="13">
      <c r="A11916" s="2" t="str">
        <f ca="1">IFERROR(__xludf.DUMMYFUNCTION("""COMPUTED_VALUE"""),"Tyner, McCoy")</f>
        <v>Tyner, McCoy</v>
      </c>
      <c r="B11916" s="3">
        <f ca="1">IFERROR(__xludf.DUMMYFUNCTION("""COMPUTED_VALUE"""),3)</f>
        <v>3</v>
      </c>
      <c r="C11916" s="7">
        <f ca="1">IFERROR(__xludf.DUMMYFUNCTION("""COMPUTED_VALUE"""),3.1)</f>
        <v>3.1</v>
      </c>
      <c r="D11916" s="8">
        <f ca="1">IFERROR(__xludf.DUMMYFUNCTION("""COMPUTED_VALUE"""),7)</f>
        <v>7</v>
      </c>
      <c r="E11916" s="2">
        <f ca="1">IFERROR(__xludf.DUMMYFUNCTION("""COMPUTED_VALUE"""),2)</f>
        <v>2</v>
      </c>
    </row>
    <row r="11917" spans="1:5" ht="13">
      <c r="A11917" s="8" t="str">
        <f ca="1">IFERROR(__xludf.DUMMYFUNCTION("""COMPUTED_VALUE"""),"Uematsu, Nobuo")</f>
        <v>Uematsu, Nobuo</v>
      </c>
      <c r="B11917" s="3">
        <f ca="1">IFERROR(__xludf.DUMMYFUNCTION("""COMPUTED_VALUE"""),3)</f>
        <v>3</v>
      </c>
      <c r="C11917" s="7">
        <f ca="1">IFERROR(__xludf.DUMMYFUNCTION("""COMPUTED_VALUE"""),3.3)</f>
        <v>3.3</v>
      </c>
      <c r="D11917" s="8">
        <f ca="1">IFERROR(__xludf.DUMMYFUNCTION("""COMPUTED_VALUE"""),3)</f>
        <v>3</v>
      </c>
      <c r="E11917" s="2">
        <f ca="1">IFERROR(__xludf.DUMMYFUNCTION("""COMPUTED_VALUE"""),1)</f>
        <v>1</v>
      </c>
    </row>
    <row r="11918" spans="1:5" ht="13">
      <c r="A11918" s="2" t="str">
        <f ca="1">IFERROR(__xludf.DUMMYFUNCTION("""COMPUTED_VALUE"""),"Ueno, Ken")</f>
        <v>Ueno, Ken</v>
      </c>
      <c r="B11918" s="3">
        <f ca="1">IFERROR(__xludf.DUMMYFUNCTION("""COMPUTED_VALUE"""),3)</f>
        <v>3</v>
      </c>
      <c r="C11918" s="7">
        <f ca="1">IFERROR(__xludf.DUMMYFUNCTION("""COMPUTED_VALUE"""),3.3)</f>
        <v>3.3</v>
      </c>
      <c r="D11918" s="8">
        <f ca="1">IFERROR(__xludf.DUMMYFUNCTION("""COMPUTED_VALUE"""),3)</f>
        <v>3</v>
      </c>
      <c r="E11918" s="2">
        <f ca="1">IFERROR(__xludf.DUMMYFUNCTION("""COMPUTED_VALUE"""),1)</f>
        <v>1</v>
      </c>
    </row>
    <row r="11919" spans="1:5" ht="13">
      <c r="A11919" s="2" t="str">
        <f ca="1">IFERROR(__xludf.DUMMYFUNCTION("""COMPUTED_VALUE"""),"Umezaki, Kojiro")</f>
        <v>Umezaki, Kojiro</v>
      </c>
      <c r="B11919" s="3">
        <f ca="1">IFERROR(__xludf.DUMMYFUNCTION("""COMPUTED_VALUE"""),3)</f>
        <v>3</v>
      </c>
      <c r="C11919" s="7">
        <f ca="1">IFERROR(__xludf.DUMMYFUNCTION("""COMPUTED_VALUE"""),3.3)</f>
        <v>3.3</v>
      </c>
      <c r="D11919" s="8">
        <f ca="1">IFERROR(__xludf.DUMMYFUNCTION("""COMPUTED_VALUE"""),3)</f>
        <v>3</v>
      </c>
      <c r="E11919" s="2">
        <f ca="1">IFERROR(__xludf.DUMMYFUNCTION("""COMPUTED_VALUE"""),1)</f>
        <v>1</v>
      </c>
    </row>
    <row r="11920" spans="1:5" ht="13">
      <c r="A11920" s="2" t="str">
        <f ca="1">IFERROR(__xludf.DUMMYFUNCTION("""COMPUTED_VALUE"""),"Ung, Chinary")</f>
        <v>Ung, Chinary</v>
      </c>
      <c r="B11920" s="2">
        <f ca="1">IFERROR(__xludf.DUMMYFUNCTION("""COMPUTED_VALUE"""),3)</f>
        <v>3</v>
      </c>
      <c r="C11920" s="7">
        <f ca="1">IFERROR(__xludf.DUMMYFUNCTION("""COMPUTED_VALUE"""),3.3)</f>
        <v>3.3</v>
      </c>
      <c r="D11920" s="8">
        <f ca="1">IFERROR(__xludf.DUMMYFUNCTION("""COMPUTED_VALUE"""),3)</f>
        <v>3</v>
      </c>
      <c r="E11920" s="2">
        <f ca="1">IFERROR(__xludf.DUMMYFUNCTION("""COMPUTED_VALUE"""),1)</f>
        <v>1</v>
      </c>
    </row>
    <row r="11921" spans="1:5" ht="13">
      <c r="A11921" s="8" t="str">
        <f ca="1">IFERROR(__xludf.DUMMYFUNCTION("""COMPUTED_VALUE"""),"Urbiztondo, Ruben")</f>
        <v>Urbiztondo, Ruben</v>
      </c>
      <c r="B11921" s="3">
        <f ca="1">IFERROR(__xludf.DUMMYFUNCTION("""COMPUTED_VALUE"""),3)</f>
        <v>3</v>
      </c>
      <c r="C11921" s="7">
        <f ca="1">IFERROR(__xludf.DUMMYFUNCTION("""COMPUTED_VALUE"""),3.2)</f>
        <v>3.2</v>
      </c>
      <c r="D11921" s="8">
        <f ca="1">IFERROR(__xludf.DUMMYFUNCTION("""COMPUTED_VALUE"""),3)</f>
        <v>3</v>
      </c>
      <c r="E11921" s="2">
        <f ca="1">IFERROR(__xludf.DUMMYFUNCTION("""COMPUTED_VALUE"""),1)</f>
        <v>1</v>
      </c>
    </row>
    <row r="11922" spans="1:5" ht="13">
      <c r="A11922" s="2" t="str">
        <f ca="1">IFERROR(__xludf.DUMMYFUNCTION("""COMPUTED_VALUE"""),"Vails, Donald")</f>
        <v>Vails, Donald</v>
      </c>
      <c r="B11922" s="3">
        <f ca="1">IFERROR(__xludf.DUMMYFUNCTION("""COMPUTED_VALUE"""),3)</f>
        <v>3</v>
      </c>
      <c r="C11922" s="7">
        <f ca="1">IFERROR(__xludf.DUMMYFUNCTION("""COMPUTED_VALUE"""),3.1)</f>
        <v>3.1</v>
      </c>
      <c r="D11922" s="8">
        <f ca="1">IFERROR(__xludf.DUMMYFUNCTION("""COMPUTED_VALUE"""),7)</f>
        <v>7</v>
      </c>
      <c r="E11922" s="2">
        <f ca="1">IFERROR(__xludf.DUMMYFUNCTION("""COMPUTED_VALUE"""),2)</f>
        <v>2</v>
      </c>
    </row>
    <row r="11923" spans="1:5" ht="13">
      <c r="A11923" s="2" t="str">
        <f ca="1">IFERROR(__xludf.DUMMYFUNCTION("""COMPUTED_VALUE"""),"Valdes, Chucho")</f>
        <v>Valdes, Chucho</v>
      </c>
      <c r="B11923" s="3">
        <f ca="1">IFERROR(__xludf.DUMMYFUNCTION("""COMPUTED_VALUE"""),3)</f>
        <v>3</v>
      </c>
      <c r="C11923" s="7">
        <f ca="1">IFERROR(__xludf.DUMMYFUNCTION("""COMPUTED_VALUE"""),3.2)</f>
        <v>3.2</v>
      </c>
      <c r="D11923" s="8">
        <f ca="1">IFERROR(__xludf.DUMMYFUNCTION("""COMPUTED_VALUE"""),3)</f>
        <v>3</v>
      </c>
      <c r="E11923" s="2">
        <f ca="1">IFERROR(__xludf.DUMMYFUNCTION("""COMPUTED_VALUE"""),1)</f>
        <v>1</v>
      </c>
    </row>
    <row r="11924" spans="1:5" ht="13">
      <c r="A11924" s="2" t="str">
        <f ca="1">IFERROR(__xludf.DUMMYFUNCTION("""COMPUTED_VALUE"""),"Valencia, Victoriano")</f>
        <v>Valencia, Victoriano</v>
      </c>
      <c r="B11924" s="3">
        <f ca="1">IFERROR(__xludf.DUMMYFUNCTION("""COMPUTED_VALUE"""),3)</f>
        <v>3</v>
      </c>
      <c r="C11924" s="7">
        <f ca="1">IFERROR(__xludf.DUMMYFUNCTION("""COMPUTED_VALUE"""),3.2)</f>
        <v>3.2</v>
      </c>
      <c r="D11924" s="8">
        <f ca="1">IFERROR(__xludf.DUMMYFUNCTION("""COMPUTED_VALUE"""),3)</f>
        <v>3</v>
      </c>
      <c r="E11924" s="2">
        <f ca="1">IFERROR(__xludf.DUMMYFUNCTION("""COMPUTED_VALUE"""),1)</f>
        <v>1</v>
      </c>
    </row>
    <row r="11925" spans="1:5" ht="13">
      <c r="A11925" s="2" t="str">
        <f ca="1">IFERROR(__xludf.DUMMYFUNCTION("""COMPUTED_VALUE"""),"Valero, Andrés")</f>
        <v>Valero, Andrés</v>
      </c>
      <c r="B11925" s="3">
        <f ca="1">IFERROR(__xludf.DUMMYFUNCTION("""COMPUTED_VALUE"""),3)</f>
        <v>3</v>
      </c>
      <c r="C11925" s="7">
        <f ca="1">IFERROR(__xludf.DUMMYFUNCTION("""COMPUTED_VALUE"""),3.2)</f>
        <v>3.2</v>
      </c>
      <c r="D11925" s="8">
        <f ca="1">IFERROR(__xludf.DUMMYFUNCTION("""COMPUTED_VALUE"""),3)</f>
        <v>3</v>
      </c>
      <c r="E11925" s="2">
        <f ca="1">IFERROR(__xludf.DUMMYFUNCTION("""COMPUTED_VALUE"""),1)</f>
        <v>1</v>
      </c>
    </row>
    <row r="11926" spans="1:5" ht="13">
      <c r="A11926" s="2" t="str">
        <f ca="1">IFERROR(__xludf.DUMMYFUNCTION("""COMPUTED_VALUE"""),"Vali, Reza")</f>
        <v>Vali, Reza</v>
      </c>
      <c r="B11926" s="3">
        <f ca="1">IFERROR(__xludf.DUMMYFUNCTION("""COMPUTED_VALUE"""),3)</f>
        <v>3</v>
      </c>
      <c r="C11926" s="7">
        <f ca="1">IFERROR(__xludf.DUMMYFUNCTION("""COMPUTED_VALUE"""),3.5)</f>
        <v>3.5</v>
      </c>
      <c r="D11926" s="8">
        <f ca="1">IFERROR(__xludf.DUMMYFUNCTION("""COMPUTED_VALUE"""),3)</f>
        <v>3</v>
      </c>
      <c r="E11926" s="2">
        <f ca="1">IFERROR(__xludf.DUMMYFUNCTION("""COMPUTED_VALUE"""),1)</f>
        <v>1</v>
      </c>
    </row>
    <row r="11927" spans="1:5" ht="13">
      <c r="A11927" s="8" t="str">
        <f ca="1">IFERROR(__xludf.DUMMYFUNCTION("""COMPUTED_VALUE"""),"Vance, Armond")</f>
        <v>Vance, Armond</v>
      </c>
      <c r="B11927" s="3">
        <f ca="1">IFERROR(__xludf.DUMMYFUNCTION("""COMPUTED_VALUE"""),3)</f>
        <v>3</v>
      </c>
      <c r="C11927" s="7">
        <f ca="1">IFERROR(__xludf.DUMMYFUNCTION("""COMPUTED_VALUE"""),3.1)</f>
        <v>3.1</v>
      </c>
      <c r="D11927" s="8">
        <f ca="1">IFERROR(__xludf.DUMMYFUNCTION("""COMPUTED_VALUE"""),3)</f>
        <v>3</v>
      </c>
      <c r="E11927" s="2">
        <f ca="1">IFERROR(__xludf.DUMMYFUNCTION("""COMPUTED_VALUE"""),1)</f>
        <v>1</v>
      </c>
    </row>
    <row r="11928" spans="1:5" ht="13">
      <c r="A11928" s="2" t="str">
        <f ca="1">IFERROR(__xludf.DUMMYFUNCTION("""COMPUTED_VALUE"""),"Vargas, Jorge")</f>
        <v>Vargas, Jorge</v>
      </c>
      <c r="B11928" s="3">
        <f ca="1">IFERROR(__xludf.DUMMYFUNCTION("""COMPUTED_VALUE"""),3)</f>
        <v>3</v>
      </c>
      <c r="C11928" s="7">
        <f ca="1">IFERROR(__xludf.DUMMYFUNCTION("""COMPUTED_VALUE"""),3.2)</f>
        <v>3.2</v>
      </c>
      <c r="D11928" s="8">
        <f ca="1">IFERROR(__xludf.DUMMYFUNCTION("""COMPUTED_VALUE"""),3)</f>
        <v>3</v>
      </c>
      <c r="E11928" s="3">
        <f ca="1">IFERROR(__xludf.DUMMYFUNCTION("""COMPUTED_VALUE"""),1)</f>
        <v>1</v>
      </c>
    </row>
    <row r="11929" spans="1:5" ht="13">
      <c r="A11929" s="2" t="str">
        <f ca="1">IFERROR(__xludf.DUMMYFUNCTION("""COMPUTED_VALUE"""),"Vargas, Jorge L.")</f>
        <v>Vargas, Jorge L.</v>
      </c>
      <c r="B11929" s="2">
        <f ca="1">IFERROR(__xludf.DUMMYFUNCTION("""COMPUTED_VALUE"""),3)</f>
        <v>3</v>
      </c>
      <c r="C11929" s="7">
        <f ca="1">IFERROR(__xludf.DUMMYFUNCTION("""COMPUTED_VALUE"""),3.2)</f>
        <v>3.2</v>
      </c>
      <c r="D11929" s="8">
        <f ca="1">IFERROR(__xludf.DUMMYFUNCTION("""COMPUTED_VALUE"""),3)</f>
        <v>3</v>
      </c>
      <c r="E11929" s="2">
        <f ca="1">IFERROR(__xludf.DUMMYFUNCTION("""COMPUTED_VALUE"""),1)</f>
        <v>1</v>
      </c>
    </row>
    <row r="11930" spans="1:5" ht="13">
      <c r="A11930" s="2" t="str">
        <f ca="1">IFERROR(__xludf.DUMMYFUNCTION("""COMPUTED_VALUE"""),"Vasquez, Roger")</f>
        <v>Vasquez, Roger</v>
      </c>
      <c r="B11930" s="3">
        <f ca="1">IFERROR(__xludf.DUMMYFUNCTION("""COMPUTED_VALUE"""),3)</f>
        <v>3</v>
      </c>
      <c r="C11930" s="7">
        <f ca="1">IFERROR(__xludf.DUMMYFUNCTION("""COMPUTED_VALUE"""),3.2)</f>
        <v>3.2</v>
      </c>
      <c r="D11930" s="8">
        <f ca="1">IFERROR(__xludf.DUMMYFUNCTION("""COMPUTED_VALUE"""),3)</f>
        <v>3</v>
      </c>
      <c r="E11930" s="2">
        <f ca="1">IFERROR(__xludf.DUMMYFUNCTION("""COMPUTED_VALUE"""),1)</f>
        <v>1</v>
      </c>
    </row>
    <row r="11931" spans="1:5" ht="13">
      <c r="A11931" s="8" t="str">
        <f ca="1">IFERROR(__xludf.DUMMYFUNCTION("""COMPUTED_VALUE"""),"Vela, Vazquez")</f>
        <v>Vela, Vazquez</v>
      </c>
      <c r="B11931" s="3">
        <f ca="1">IFERROR(__xludf.DUMMYFUNCTION("""COMPUTED_VALUE"""),3)</f>
        <v>3</v>
      </c>
      <c r="C11931" s="7">
        <f ca="1">IFERROR(__xludf.DUMMYFUNCTION("""COMPUTED_VALUE"""),3.2)</f>
        <v>3.2</v>
      </c>
      <c r="D11931" s="8">
        <f ca="1">IFERROR(__xludf.DUMMYFUNCTION("""COMPUTED_VALUE"""),3)</f>
        <v>3</v>
      </c>
      <c r="E11931" s="2">
        <f ca="1">IFERROR(__xludf.DUMMYFUNCTION("""COMPUTED_VALUE"""),1)</f>
        <v>1</v>
      </c>
    </row>
    <row r="11932" spans="1:5" ht="13">
      <c r="A11932" s="2" t="str">
        <f ca="1">IFERROR(__xludf.DUMMYFUNCTION("""COMPUTED_VALUE"""),"Veloso, Caetano")</f>
        <v>Veloso, Caetano</v>
      </c>
      <c r="B11932" s="2">
        <f ca="1">IFERROR(__xludf.DUMMYFUNCTION("""COMPUTED_VALUE"""),3)</f>
        <v>3</v>
      </c>
      <c r="C11932" s="2">
        <f ca="1">IFERROR(__xludf.DUMMYFUNCTION("""COMPUTED_VALUE"""),3.2)</f>
        <v>3.2</v>
      </c>
      <c r="D11932" s="8">
        <f ca="1">IFERROR(__xludf.DUMMYFUNCTION("""COMPUTED_VALUE"""),3)</f>
        <v>3</v>
      </c>
      <c r="E11932" s="2">
        <f ca="1">IFERROR(__xludf.DUMMYFUNCTION("""COMPUTED_VALUE"""),1)</f>
        <v>1</v>
      </c>
    </row>
    <row r="11933" spans="1:5" ht="13">
      <c r="A11933" s="2" t="str">
        <f ca="1">IFERROR(__xludf.DUMMYFUNCTION("""COMPUTED_VALUE"""),"Verdan, Cadu")</f>
        <v>Verdan, Cadu</v>
      </c>
      <c r="B11933" s="3">
        <f ca="1">IFERROR(__xludf.DUMMYFUNCTION("""COMPUTED_VALUE"""),3)</f>
        <v>3</v>
      </c>
      <c r="C11933" s="7">
        <f ca="1">IFERROR(__xludf.DUMMYFUNCTION("""COMPUTED_VALUE"""),3.2)</f>
        <v>3.2</v>
      </c>
      <c r="D11933" s="8">
        <f ca="1">IFERROR(__xludf.DUMMYFUNCTION("""COMPUTED_VALUE"""),3)</f>
        <v>3</v>
      </c>
      <c r="E11933" s="2">
        <f ca="1">IFERROR(__xludf.DUMMYFUNCTION("""COMPUTED_VALUE"""),1)</f>
        <v>1</v>
      </c>
    </row>
    <row r="11934" spans="1:5" ht="13">
      <c r="A11934" s="2" t="str">
        <f ca="1">IFERROR(__xludf.DUMMYFUNCTION("""COMPUTED_VALUE"""),"Viana, Andersen")</f>
        <v>Viana, Andersen</v>
      </c>
      <c r="B11934" s="2">
        <f ca="1">IFERROR(__xludf.DUMMYFUNCTION("""COMPUTED_VALUE"""),3)</f>
        <v>3</v>
      </c>
      <c r="C11934" s="7">
        <f ca="1">IFERROR(__xludf.DUMMYFUNCTION("""COMPUTED_VALUE"""),3.2)</f>
        <v>3.2</v>
      </c>
      <c r="D11934" s="8">
        <f ca="1">IFERROR(__xludf.DUMMYFUNCTION("""COMPUTED_VALUE"""),3)</f>
        <v>3</v>
      </c>
      <c r="E11934" s="2">
        <f ca="1">IFERROR(__xludf.DUMMYFUNCTION("""COMPUTED_VALUE"""),1)</f>
        <v>1</v>
      </c>
    </row>
    <row r="11935" spans="1:5" ht="13">
      <c r="A11935" s="8" t="str">
        <f ca="1">IFERROR(__xludf.DUMMYFUNCTION("""COMPUTED_VALUE"""),"Vilches, Freddy")</f>
        <v>Vilches, Freddy</v>
      </c>
      <c r="B11935" s="3">
        <f ca="1">IFERROR(__xludf.DUMMYFUNCTION("""COMPUTED_VALUE"""),3)</f>
        <v>3</v>
      </c>
      <c r="C11935" s="7">
        <f ca="1">IFERROR(__xludf.DUMMYFUNCTION("""COMPUTED_VALUE"""),3.2)</f>
        <v>3.2</v>
      </c>
      <c r="D11935" s="8">
        <f ca="1">IFERROR(__xludf.DUMMYFUNCTION("""COMPUTED_VALUE"""),3)</f>
        <v>3</v>
      </c>
      <c r="E11935" s="2">
        <f ca="1">IFERROR(__xludf.DUMMYFUNCTION("""COMPUTED_VALUE"""),1)</f>
        <v>1</v>
      </c>
    </row>
    <row r="11936" spans="1:5" ht="13">
      <c r="A11936" s="2" t="str">
        <f ca="1">IFERROR(__xludf.DUMMYFUNCTION("""COMPUTED_VALUE"""),"Villa-Lobos, Heitor")</f>
        <v>Villa-Lobos, Heitor</v>
      </c>
      <c r="B11936" s="3">
        <f ca="1">IFERROR(__xludf.DUMMYFUNCTION("""COMPUTED_VALUE"""),3)</f>
        <v>3</v>
      </c>
      <c r="C11936" s="7">
        <f ca="1">IFERROR(__xludf.DUMMYFUNCTION("""COMPUTED_VALUE"""),3.2)</f>
        <v>3.2</v>
      </c>
      <c r="D11936" s="8">
        <f ca="1">IFERROR(__xludf.DUMMYFUNCTION("""COMPUTED_VALUE"""),7)</f>
        <v>7</v>
      </c>
      <c r="E11936" s="2">
        <f ca="1">IFERROR(__xludf.DUMMYFUNCTION("""COMPUTED_VALUE"""),2)</f>
        <v>2</v>
      </c>
    </row>
    <row r="11937" spans="1:5" ht="13">
      <c r="A11937" s="2" t="str">
        <f ca="1">IFERROR(__xludf.DUMMYFUNCTION("""COMPUTED_VALUE"""),"Villanueva, Felipe")</f>
        <v>Villanueva, Felipe</v>
      </c>
      <c r="B11937" s="3">
        <f ca="1">IFERROR(__xludf.DUMMYFUNCTION("""COMPUTED_VALUE"""),3)</f>
        <v>3</v>
      </c>
      <c r="C11937" s="7">
        <f ca="1">IFERROR(__xludf.DUMMYFUNCTION("""COMPUTED_VALUE"""),3.2)</f>
        <v>3.2</v>
      </c>
      <c r="D11937" s="8">
        <f ca="1">IFERROR(__xludf.DUMMYFUNCTION("""COMPUTED_VALUE"""),7)</f>
        <v>7</v>
      </c>
      <c r="E11937" s="2">
        <f ca="1">IFERROR(__xludf.DUMMYFUNCTION("""COMPUTED_VALUE"""),2)</f>
        <v>2</v>
      </c>
    </row>
    <row r="11938" spans="1:5" ht="13">
      <c r="A11938" s="2" t="str">
        <f ca="1">IFERROR(__xludf.DUMMYFUNCTION("""COMPUTED_VALUE"""),"Villanueva, Mariana")</f>
        <v>Villanueva, Mariana</v>
      </c>
      <c r="B11938" s="3">
        <f ca="1">IFERROR(__xludf.DUMMYFUNCTION("""COMPUTED_VALUE"""),3)</f>
        <v>3</v>
      </c>
      <c r="C11938" s="7">
        <f ca="1">IFERROR(__xludf.DUMMYFUNCTION("""COMPUTED_VALUE"""),3.2)</f>
        <v>3.2</v>
      </c>
      <c r="D11938" s="8">
        <f ca="1">IFERROR(__xludf.DUMMYFUNCTION("""COMPUTED_VALUE"""),3)</f>
        <v>3</v>
      </c>
      <c r="E11938" s="2">
        <f ca="1">IFERROR(__xludf.DUMMYFUNCTION("""COMPUTED_VALUE"""),1)</f>
        <v>1</v>
      </c>
    </row>
    <row r="11939" spans="1:5" ht="13">
      <c r="A11939" s="2" t="str">
        <f ca="1">IFERROR(__xludf.DUMMYFUNCTION("""COMPUTED_VALUE"""),"Villoldo, Angel")</f>
        <v>Villoldo, Angel</v>
      </c>
      <c r="B11939" s="3">
        <f ca="1">IFERROR(__xludf.DUMMYFUNCTION("""COMPUTED_VALUE"""),3)</f>
        <v>3</v>
      </c>
      <c r="C11939" s="7">
        <f ca="1">IFERROR(__xludf.DUMMYFUNCTION("""COMPUTED_VALUE"""),3.2)</f>
        <v>3.2</v>
      </c>
      <c r="D11939" s="8">
        <f ca="1">IFERROR(__xludf.DUMMYFUNCTION("""COMPUTED_VALUE"""),7)</f>
        <v>7</v>
      </c>
      <c r="E11939" s="2">
        <f ca="1">IFERROR(__xludf.DUMMYFUNCTION("""COMPUTED_VALUE"""),2)</f>
        <v>2</v>
      </c>
    </row>
    <row r="11940" spans="1:5" ht="13">
      <c r="A11940" s="2" t="str">
        <f ca="1">IFERROR(__xludf.DUMMYFUNCTION("""COMPUTED_VALUE"""),"Villoldo, Angel G.")</f>
        <v>Villoldo, Angel G.</v>
      </c>
      <c r="B11940" s="2">
        <f ca="1">IFERROR(__xludf.DUMMYFUNCTION("""COMPUTED_VALUE"""),3)</f>
        <v>3</v>
      </c>
      <c r="C11940" s="7">
        <f ca="1">IFERROR(__xludf.DUMMYFUNCTION("""COMPUTED_VALUE"""),3.2)</f>
        <v>3.2</v>
      </c>
      <c r="D11940" s="8">
        <f ca="1">IFERROR(__xludf.DUMMYFUNCTION("""COMPUTED_VALUE"""),7)</f>
        <v>7</v>
      </c>
      <c r="E11940" s="2">
        <f ca="1">IFERROR(__xludf.DUMMYFUNCTION("""COMPUTED_VALUE"""),2)</f>
        <v>2</v>
      </c>
    </row>
    <row r="11941" spans="1:5" ht="13">
      <c r="A11941" s="2" t="str">
        <f ca="1">IFERROR(__xludf.DUMMYFUNCTION("""COMPUTED_VALUE"""),"VK 克")</f>
        <v>VK 克</v>
      </c>
      <c r="B11941" s="3">
        <f ca="1">IFERROR(__xludf.DUMMYFUNCTION("""COMPUTED_VALUE"""),3)</f>
        <v>3</v>
      </c>
      <c r="C11941" s="7">
        <f ca="1">IFERROR(__xludf.DUMMYFUNCTION("""COMPUTED_VALUE"""),3.3)</f>
        <v>3.3</v>
      </c>
      <c r="D11941" s="8">
        <f ca="1">IFERROR(__xludf.DUMMYFUNCTION("""COMPUTED_VALUE"""),3)</f>
        <v>3</v>
      </c>
      <c r="E11941" s="2">
        <f ca="1">IFERROR(__xludf.DUMMYFUNCTION("""COMPUTED_VALUE"""),1)</f>
        <v>1</v>
      </c>
    </row>
    <row r="11942" spans="1:5" ht="13">
      <c r="A11942" s="2" t="str">
        <f ca="1">IFERROR(__xludf.DUMMYFUNCTION("""COMPUTED_VALUE"""),"Vu, Matthew")</f>
        <v>Vu, Matthew</v>
      </c>
      <c r="B11942" s="3">
        <f ca="1">IFERROR(__xludf.DUMMYFUNCTION("""COMPUTED_VALUE"""),3)</f>
        <v>3</v>
      </c>
      <c r="C11942" s="7">
        <f ca="1">IFERROR(__xludf.DUMMYFUNCTION("""COMPUTED_VALUE"""),3.3)</f>
        <v>3.3</v>
      </c>
      <c r="D11942" s="8">
        <f ca="1">IFERROR(__xludf.DUMMYFUNCTION("""COMPUTED_VALUE"""),3)</f>
        <v>3</v>
      </c>
      <c r="E11942" s="2">
        <f ca="1">IFERROR(__xludf.DUMMYFUNCTION("""COMPUTED_VALUE"""),1)</f>
        <v>1</v>
      </c>
    </row>
    <row r="11943" spans="1:5" ht="13">
      <c r="A11943" s="2" t="str">
        <f ca="1">IFERROR(__xludf.DUMMYFUNCTION("""COMPUTED_VALUE"""),"Wada, Kaoru")</f>
        <v>Wada, Kaoru</v>
      </c>
      <c r="B11943" s="3">
        <f ca="1">IFERROR(__xludf.DUMMYFUNCTION("""COMPUTED_VALUE"""),3)</f>
        <v>3</v>
      </c>
      <c r="C11943" s="7">
        <f ca="1">IFERROR(__xludf.DUMMYFUNCTION("""COMPUTED_VALUE"""),3.3)</f>
        <v>3.3</v>
      </c>
      <c r="D11943" s="8">
        <f ca="1">IFERROR(__xludf.DUMMYFUNCTION("""COMPUTED_VALUE"""),3)</f>
        <v>3</v>
      </c>
      <c r="E11943" s="2">
        <f ca="1">IFERROR(__xludf.DUMMYFUNCTION("""COMPUTED_VALUE"""),1)</f>
        <v>1</v>
      </c>
    </row>
    <row r="11944" spans="1:5" ht="13">
      <c r="A11944" s="2" t="str">
        <f ca="1">IFERROR(__xludf.DUMMYFUNCTION("""COMPUTED_VALUE"""),"Wada, Naoya")</f>
        <v>Wada, Naoya</v>
      </c>
      <c r="B11944" s="3">
        <f ca="1">IFERROR(__xludf.DUMMYFUNCTION("""COMPUTED_VALUE"""),3)</f>
        <v>3</v>
      </c>
      <c r="C11944" s="7">
        <f ca="1">IFERROR(__xludf.DUMMYFUNCTION("""COMPUTED_VALUE"""),3.3)</f>
        <v>3.3</v>
      </c>
      <c r="D11944" s="8">
        <f ca="1">IFERROR(__xludf.DUMMYFUNCTION("""COMPUTED_VALUE"""),3)</f>
        <v>3</v>
      </c>
      <c r="E11944" s="2">
        <f ca="1">IFERROR(__xludf.DUMMYFUNCTION("""COMPUTED_VALUE"""),1)</f>
        <v>1</v>
      </c>
    </row>
    <row r="11945" spans="1:5" ht="13">
      <c r="A11945" s="2" t="str">
        <f ca="1">IFERROR(__xludf.DUMMYFUNCTION("""COMPUTED_VALUE"""),"Waddles, Brandon")</f>
        <v>Waddles, Brandon</v>
      </c>
      <c r="B11945" s="2">
        <f ca="1">IFERROR(__xludf.DUMMYFUNCTION("""COMPUTED_VALUE"""),3)</f>
        <v>3</v>
      </c>
      <c r="C11945" s="7">
        <f ca="1">IFERROR(__xludf.DUMMYFUNCTION("""COMPUTED_VALUE"""),3.1)</f>
        <v>3.1</v>
      </c>
      <c r="D11945" s="8">
        <f ca="1">IFERROR(__xludf.DUMMYFUNCTION("""COMPUTED_VALUE"""),3)</f>
        <v>3</v>
      </c>
      <c r="E11945" s="2">
        <f ca="1">IFERROR(__xludf.DUMMYFUNCTION("""COMPUTED_VALUE"""),1)</f>
        <v>1</v>
      </c>
    </row>
    <row r="11946" spans="1:5" ht="13">
      <c r="A11946" s="2" t="str">
        <f ca="1">IFERROR(__xludf.DUMMYFUNCTION("""COMPUTED_VALUE"""),"Wakim, Alex")</f>
        <v>Wakim, Alex</v>
      </c>
      <c r="B11946" s="2">
        <f ca="1">IFERROR(__xludf.DUMMYFUNCTION("""COMPUTED_VALUE"""),3)</f>
        <v>3</v>
      </c>
      <c r="C11946" s="2">
        <f ca="1">IFERROR(__xludf.DUMMYFUNCTION("""COMPUTED_VALUE"""),3.4)</f>
        <v>3.4</v>
      </c>
      <c r="D11946" s="8">
        <f ca="1">IFERROR(__xludf.DUMMYFUNCTION("""COMPUTED_VALUE"""),3)</f>
        <v>3</v>
      </c>
      <c r="E11946" s="2">
        <f ca="1">IFERROR(__xludf.DUMMYFUNCTION("""COMPUTED_VALUE"""),1)</f>
        <v>1</v>
      </c>
    </row>
    <row r="11947" spans="1:5" ht="13">
      <c r="A11947" s="2" t="str">
        <f ca="1">IFERROR(__xludf.DUMMYFUNCTION("""COMPUTED_VALUE"""),"Walker, George")</f>
        <v>Walker, George</v>
      </c>
      <c r="B11947" s="3">
        <f ca="1">IFERROR(__xludf.DUMMYFUNCTION("""COMPUTED_VALUE"""),3)</f>
        <v>3</v>
      </c>
      <c r="C11947" s="7">
        <f ca="1">IFERROR(__xludf.DUMMYFUNCTION("""COMPUTED_VALUE"""),3.1)</f>
        <v>3.1</v>
      </c>
      <c r="D11947" s="8">
        <f ca="1">IFERROR(__xludf.DUMMYFUNCTION("""COMPUTED_VALUE"""),7)</f>
        <v>7</v>
      </c>
      <c r="E11947" s="2">
        <f ca="1">IFERROR(__xludf.DUMMYFUNCTION("""COMPUTED_VALUE"""),2)</f>
        <v>2</v>
      </c>
    </row>
    <row r="11948" spans="1:5" ht="13">
      <c r="A11948" s="8" t="str">
        <f ca="1">IFERROR(__xludf.DUMMYFUNCTION("""COMPUTED_VALUE"""),"Walker, Hezekiah")</f>
        <v>Walker, Hezekiah</v>
      </c>
      <c r="B11948" s="3">
        <f ca="1">IFERROR(__xludf.DUMMYFUNCTION("""COMPUTED_VALUE"""),3)</f>
        <v>3</v>
      </c>
      <c r="C11948" s="7">
        <f ca="1">IFERROR(__xludf.DUMMYFUNCTION("""COMPUTED_VALUE"""),3.1)</f>
        <v>3.1</v>
      </c>
      <c r="D11948" s="8">
        <f ca="1">IFERROR(__xludf.DUMMYFUNCTION("""COMPUTED_VALUE"""),3)</f>
        <v>3</v>
      </c>
      <c r="E11948" s="2">
        <f ca="1">IFERROR(__xludf.DUMMYFUNCTION("""COMPUTED_VALUE"""),1)</f>
        <v>1</v>
      </c>
    </row>
    <row r="11949" spans="1:5" ht="13">
      <c r="A11949" s="2" t="str">
        <f ca="1">IFERROR(__xludf.DUMMYFUNCTION("""COMPUTED_VALUE"""),"Wallace, Vince")</f>
        <v>Wallace, Vince</v>
      </c>
      <c r="B11949" s="3">
        <f ca="1">IFERROR(__xludf.DUMMYFUNCTION("""COMPUTED_VALUE"""),3)</f>
        <v>3</v>
      </c>
      <c r="C11949" s="7">
        <f ca="1">IFERROR(__xludf.DUMMYFUNCTION("""COMPUTED_VALUE"""),3.1)</f>
        <v>3.1</v>
      </c>
      <c r="D11949" s="8">
        <f ca="1">IFERROR(__xludf.DUMMYFUNCTION("""COMPUTED_VALUE"""),3)</f>
        <v>3</v>
      </c>
      <c r="E11949" s="2">
        <f ca="1">IFERROR(__xludf.DUMMYFUNCTION("""COMPUTED_VALUE"""),1)</f>
        <v>1</v>
      </c>
    </row>
    <row r="11950" spans="1:5" ht="13">
      <c r="A11950" s="2" t="str">
        <f ca="1">IFERROR(__xludf.DUMMYFUNCTION("""COMPUTED_VALUE"""),"Wallace, Wayne")</f>
        <v>Wallace, Wayne</v>
      </c>
      <c r="B11950" s="3">
        <f ca="1">IFERROR(__xludf.DUMMYFUNCTION("""COMPUTED_VALUE"""),3)</f>
        <v>3</v>
      </c>
      <c r="C11950" s="7">
        <f ca="1">IFERROR(__xludf.DUMMYFUNCTION("""COMPUTED_VALUE"""),1)</f>
        <v>1</v>
      </c>
      <c r="D11950" s="8">
        <f ca="1">IFERROR(__xludf.DUMMYFUNCTION("""COMPUTED_VALUE"""),3)</f>
        <v>3</v>
      </c>
      <c r="E11950" s="2">
        <f ca="1">IFERROR(__xludf.DUMMYFUNCTION("""COMPUTED_VALUE"""),1)</f>
        <v>1</v>
      </c>
    </row>
    <row r="11951" spans="1:5" ht="13">
      <c r="A11951" s="2" t="str">
        <f ca="1">IFERROR(__xludf.DUMMYFUNCTION("""COMPUTED_VALUE"""),"Waller, Fats")</f>
        <v>Waller, Fats</v>
      </c>
      <c r="B11951" s="2">
        <f ca="1">IFERROR(__xludf.DUMMYFUNCTION("""COMPUTED_VALUE"""),3)</f>
        <v>3</v>
      </c>
      <c r="C11951" s="7">
        <f ca="1">IFERROR(__xludf.DUMMYFUNCTION("""COMPUTED_VALUE"""),3.1)</f>
        <v>3.1</v>
      </c>
      <c r="D11951" s="8">
        <f ca="1">IFERROR(__xludf.DUMMYFUNCTION("""COMPUTED_VALUE"""),7)</f>
        <v>7</v>
      </c>
      <c r="E11951" s="2">
        <f ca="1">IFERROR(__xludf.DUMMYFUNCTION("""COMPUTED_VALUE"""),2)</f>
        <v>2</v>
      </c>
    </row>
    <row r="11952" spans="1:5" ht="13">
      <c r="A11952" s="2" t="str">
        <f ca="1">IFERROR(__xludf.DUMMYFUNCTION("""COMPUTED_VALUE"""),"Waller, Juan Felipe")</f>
        <v>Waller, Juan Felipe</v>
      </c>
      <c r="B11952" s="3">
        <f ca="1">IFERROR(__xludf.DUMMYFUNCTION("""COMPUTED_VALUE"""),3)</f>
        <v>3</v>
      </c>
      <c r="C11952" s="7">
        <f ca="1">IFERROR(__xludf.DUMMYFUNCTION("""COMPUTED_VALUE"""),3.2)</f>
        <v>3.2</v>
      </c>
      <c r="D11952" s="8">
        <f ca="1">IFERROR(__xludf.DUMMYFUNCTION("""COMPUTED_VALUE"""),3)</f>
        <v>3</v>
      </c>
      <c r="E11952" s="2">
        <f ca="1">IFERROR(__xludf.DUMMYFUNCTION("""COMPUTED_VALUE"""),1)</f>
        <v>1</v>
      </c>
    </row>
    <row r="11953" spans="1:5" ht="13">
      <c r="A11953" s="2" t="str">
        <f ca="1">IFERROR(__xludf.DUMMYFUNCTION("""COMPUTED_VALUE"""),"Waller, Thomas ""Fats""")</f>
        <v>Waller, Thomas "Fats"</v>
      </c>
      <c r="B11953" s="2">
        <f ca="1">IFERROR(__xludf.DUMMYFUNCTION("""COMPUTED_VALUE"""),3)</f>
        <v>3</v>
      </c>
      <c r="C11953" s="7">
        <f ca="1">IFERROR(__xludf.DUMMYFUNCTION("""COMPUTED_VALUE"""),3.1)</f>
        <v>3.1</v>
      </c>
      <c r="D11953" s="8">
        <f ca="1">IFERROR(__xludf.DUMMYFUNCTION("""COMPUTED_VALUE"""),7)</f>
        <v>7</v>
      </c>
      <c r="E11953" s="2">
        <f ca="1">IFERROR(__xludf.DUMMYFUNCTION("""COMPUTED_VALUE"""),2)</f>
        <v>2</v>
      </c>
    </row>
    <row r="11954" spans="1:5" ht="13">
      <c r="A11954" s="2" t="str">
        <f ca="1">IFERROR(__xludf.DUMMYFUNCTION("""COMPUTED_VALUE"""),"Waller, Thomas ""Fats"" / Brooks, Harry / Razaf, Andy")</f>
        <v>Waller, Thomas "Fats" / Brooks, Harry / Razaf, Andy</v>
      </c>
      <c r="B11954" s="2">
        <f ca="1">IFERROR(__xludf.DUMMYFUNCTION("""COMPUTED_VALUE"""),3)</f>
        <v>3</v>
      </c>
      <c r="C11954" s="7">
        <f ca="1">IFERROR(__xludf.DUMMYFUNCTION("""COMPUTED_VALUE"""),3.1)</f>
        <v>3.1</v>
      </c>
      <c r="D11954" s="8">
        <f ca="1">IFERROR(__xludf.DUMMYFUNCTION("""COMPUTED_VALUE"""),7)</f>
        <v>7</v>
      </c>
      <c r="E11954" s="2">
        <f ca="1">IFERROR(__xludf.DUMMYFUNCTION("""COMPUTED_VALUE"""),2)</f>
        <v>2</v>
      </c>
    </row>
    <row r="11955" spans="1:5" ht="13">
      <c r="A11955" s="8" t="str">
        <f ca="1">IFERROR(__xludf.DUMMYFUNCTION("""COMPUTED_VALUE"""),"Walton, Cedar")</f>
        <v>Walton, Cedar</v>
      </c>
      <c r="B11955" s="3">
        <f ca="1">IFERROR(__xludf.DUMMYFUNCTION("""COMPUTED_VALUE"""),3)</f>
        <v>3</v>
      </c>
      <c r="C11955" s="7">
        <f ca="1">IFERROR(__xludf.DUMMYFUNCTION("""COMPUTED_VALUE"""),3.1)</f>
        <v>3.1</v>
      </c>
      <c r="D11955" s="8">
        <f ca="1">IFERROR(__xludf.DUMMYFUNCTION("""COMPUTED_VALUE"""),3)</f>
        <v>3</v>
      </c>
      <c r="E11955" s="2">
        <f ca="1">IFERROR(__xludf.DUMMYFUNCTION("""COMPUTED_VALUE"""),1)</f>
        <v>1</v>
      </c>
    </row>
    <row r="11956" spans="1:5" ht="13">
      <c r="A11956" s="2" t="str">
        <f ca="1">IFERROR(__xludf.DUMMYFUNCTION("""COMPUTED_VALUE"""),"Wang Hesheng")</f>
        <v>Wang Hesheng</v>
      </c>
      <c r="B11956" s="3">
        <f ca="1">IFERROR(__xludf.DUMMYFUNCTION("""COMPUTED_VALUE"""),3)</f>
        <v>3</v>
      </c>
      <c r="C11956" s="7">
        <f ca="1">IFERROR(__xludf.DUMMYFUNCTION("""COMPUTED_VALUE"""),3.3)</f>
        <v>3.3</v>
      </c>
      <c r="D11956" s="8">
        <f ca="1">IFERROR(__xludf.DUMMYFUNCTION("""COMPUTED_VALUE"""),3)</f>
        <v>3</v>
      </c>
      <c r="E11956" s="2">
        <f ca="1">IFERROR(__xludf.DUMMYFUNCTION("""COMPUTED_VALUE"""),1)</f>
        <v>1</v>
      </c>
    </row>
    <row r="11957" spans="1:5" ht="13">
      <c r="A11957" s="2" t="str">
        <f ca="1">IFERROR(__xludf.DUMMYFUNCTION("""COMPUTED_VALUE"""),"Wang Li-Ping")</f>
        <v>Wang Li-Ping</v>
      </c>
      <c r="B11957" s="3">
        <f ca="1">IFERROR(__xludf.DUMMYFUNCTION("""COMPUTED_VALUE"""),3)</f>
        <v>3</v>
      </c>
      <c r="C11957" s="7">
        <f ca="1">IFERROR(__xludf.DUMMYFUNCTION("""COMPUTED_VALUE"""),3.3)</f>
        <v>3.3</v>
      </c>
      <c r="D11957" s="8">
        <f ca="1">IFERROR(__xludf.DUMMYFUNCTION("""COMPUTED_VALUE"""),3)</f>
        <v>3</v>
      </c>
      <c r="E11957" s="2">
        <f ca="1">IFERROR(__xludf.DUMMYFUNCTION("""COMPUTED_VALUE"""),1)</f>
        <v>1</v>
      </c>
    </row>
    <row r="11958" spans="1:5" ht="13">
      <c r="A11958" s="2" t="str">
        <f ca="1">IFERROR(__xludf.DUMMYFUNCTION("""COMPUTED_VALUE"""),"Wang Xilin")</f>
        <v>Wang Xilin</v>
      </c>
      <c r="B11958" s="3">
        <f ca="1">IFERROR(__xludf.DUMMYFUNCTION("""COMPUTED_VALUE"""),3)</f>
        <v>3</v>
      </c>
      <c r="C11958" s="7">
        <f ca="1">IFERROR(__xludf.DUMMYFUNCTION("""COMPUTED_VALUE"""),3.3)</f>
        <v>3.3</v>
      </c>
      <c r="D11958" s="8">
        <f ca="1">IFERROR(__xludf.DUMMYFUNCTION("""COMPUTED_VALUE"""),3)</f>
        <v>3</v>
      </c>
      <c r="E11958" s="2">
        <f ca="1">IFERROR(__xludf.DUMMYFUNCTION("""COMPUTED_VALUE"""),1)</f>
        <v>1</v>
      </c>
    </row>
    <row r="11959" spans="1:5" ht="13">
      <c r="A11959" s="2" t="str">
        <f ca="1">IFERROR(__xludf.DUMMYFUNCTION("""COMPUTED_VALUE"""),"Wang Xin")</f>
        <v>Wang Xin</v>
      </c>
      <c r="B11959" s="3">
        <f ca="1">IFERROR(__xludf.DUMMYFUNCTION("""COMPUTED_VALUE"""),3)</f>
        <v>3</v>
      </c>
      <c r="C11959" s="7">
        <f ca="1">IFERROR(__xludf.DUMMYFUNCTION("""COMPUTED_VALUE"""),3.3)</f>
        <v>3.3</v>
      </c>
      <c r="D11959" s="8">
        <f ca="1">IFERROR(__xludf.DUMMYFUNCTION("""COMPUTED_VALUE"""),7)</f>
        <v>7</v>
      </c>
      <c r="E11959" s="2">
        <f ca="1">IFERROR(__xludf.DUMMYFUNCTION("""COMPUTED_VALUE"""),2)</f>
        <v>2</v>
      </c>
    </row>
    <row r="11960" spans="1:5" ht="13">
      <c r="A11960" s="2" t="str">
        <f ca="1">IFERROR(__xludf.DUMMYFUNCTION("""COMPUTED_VALUE"""),"Wang, Albert")</f>
        <v>Wang, Albert</v>
      </c>
      <c r="B11960" s="3">
        <f ca="1">IFERROR(__xludf.DUMMYFUNCTION("""COMPUTED_VALUE"""),3)</f>
        <v>3</v>
      </c>
      <c r="C11960" s="7">
        <f ca="1">IFERROR(__xludf.DUMMYFUNCTION("""COMPUTED_VALUE"""),3.3)</f>
        <v>3.3</v>
      </c>
      <c r="D11960" s="8">
        <f ca="1">IFERROR(__xludf.DUMMYFUNCTION("""COMPUTED_VALUE"""),3)</f>
        <v>3</v>
      </c>
      <c r="E11960" s="2">
        <f ca="1">IFERROR(__xludf.DUMMYFUNCTION("""COMPUTED_VALUE"""),1)</f>
        <v>1</v>
      </c>
    </row>
    <row r="11961" spans="1:5" ht="13">
      <c r="A11961" s="2" t="str">
        <f ca="1">IFERROR(__xludf.DUMMYFUNCTION("""COMPUTED_VALUE"""),"Wang, Arthur")</f>
        <v>Wang, Arthur</v>
      </c>
      <c r="B11961" s="3">
        <f ca="1">IFERROR(__xludf.DUMMYFUNCTION("""COMPUTED_VALUE"""),3)</f>
        <v>3</v>
      </c>
      <c r="C11961" s="7">
        <f ca="1">IFERROR(__xludf.DUMMYFUNCTION("""COMPUTED_VALUE"""),3.3)</f>
        <v>3.3</v>
      </c>
      <c r="D11961" s="8">
        <f ca="1">IFERROR(__xludf.DUMMYFUNCTION("""COMPUTED_VALUE"""),3)</f>
        <v>3</v>
      </c>
      <c r="E11961" s="2">
        <f ca="1">IFERROR(__xludf.DUMMYFUNCTION("""COMPUTED_VALUE"""),1)</f>
        <v>1</v>
      </c>
    </row>
    <row r="11962" spans="1:5" ht="13">
      <c r="A11962" s="2" t="str">
        <f ca="1">IFERROR(__xludf.DUMMYFUNCTION("""COMPUTED_VALUE"""),"Wang, H.")</f>
        <v>Wang, H.</v>
      </c>
      <c r="B11962" s="3">
        <f ca="1">IFERROR(__xludf.DUMMYFUNCTION("""COMPUTED_VALUE"""),3)</f>
        <v>3</v>
      </c>
      <c r="C11962" s="7">
        <f ca="1">IFERROR(__xludf.DUMMYFUNCTION("""COMPUTED_VALUE"""),3.3)</f>
        <v>3.3</v>
      </c>
      <c r="D11962" s="8">
        <f ca="1">IFERROR(__xludf.DUMMYFUNCTION("""COMPUTED_VALUE"""),3)</f>
        <v>3</v>
      </c>
      <c r="E11962" s="2">
        <f ca="1">IFERROR(__xludf.DUMMYFUNCTION("""COMPUTED_VALUE"""),1)</f>
        <v>1</v>
      </c>
    </row>
    <row r="11963" spans="1:5" ht="13">
      <c r="A11963" s="8" t="str">
        <f ca="1">IFERROR(__xludf.DUMMYFUNCTION("""COMPUTED_VALUE"""),"Wang, Leyou")</f>
        <v>Wang, Leyou</v>
      </c>
      <c r="B11963" s="3">
        <f ca="1">IFERROR(__xludf.DUMMYFUNCTION("""COMPUTED_VALUE"""),3)</f>
        <v>3</v>
      </c>
      <c r="C11963" s="7">
        <f ca="1">IFERROR(__xludf.DUMMYFUNCTION("""COMPUTED_VALUE"""),3.3)</f>
        <v>3.3</v>
      </c>
      <c r="D11963" s="8">
        <f ca="1">IFERROR(__xludf.DUMMYFUNCTION("""COMPUTED_VALUE"""),3)</f>
        <v>3</v>
      </c>
      <c r="E11963" s="2">
        <f ca="1">IFERROR(__xludf.DUMMYFUNCTION("""COMPUTED_VALUE"""),1)</f>
        <v>1</v>
      </c>
    </row>
    <row r="11964" spans="1:5" ht="13">
      <c r="A11964" s="2" t="str">
        <f ca="1">IFERROR(__xludf.DUMMYFUNCTION("""COMPUTED_VALUE"""),"Ward, Justin")</f>
        <v>Ward, Justin</v>
      </c>
      <c r="B11964" s="3">
        <f ca="1">IFERROR(__xludf.DUMMYFUNCTION("""COMPUTED_VALUE"""),3)</f>
        <v>3</v>
      </c>
      <c r="C11964" s="7">
        <f ca="1">IFERROR(__xludf.DUMMYFUNCTION("""COMPUTED_VALUE"""),3.1)</f>
        <v>3.1</v>
      </c>
      <c r="D11964" s="8">
        <f ca="1">IFERROR(__xludf.DUMMYFUNCTION("""COMPUTED_VALUE"""),3)</f>
        <v>3</v>
      </c>
      <c r="E11964" s="2">
        <f ca="1">IFERROR(__xludf.DUMMYFUNCTION("""COMPUTED_VALUE"""),1)</f>
        <v>1</v>
      </c>
    </row>
    <row r="11965" spans="1:5" ht="13">
      <c r="A11965" s="2" t="str">
        <f ca="1">IFERROR(__xludf.DUMMYFUNCTION("""COMPUTED_VALUE"""),"Warfield, Charles / Williams, Clarence")</f>
        <v>Warfield, Charles / Williams, Clarence</v>
      </c>
      <c r="B11965" s="3">
        <f ca="1">IFERROR(__xludf.DUMMYFUNCTION("""COMPUTED_VALUE"""),3)</f>
        <v>3</v>
      </c>
      <c r="C11965" s="7">
        <f ca="1">IFERROR(__xludf.DUMMYFUNCTION("""COMPUTED_VALUE"""),3.1)</f>
        <v>3.1</v>
      </c>
      <c r="D11965" s="8">
        <f ca="1">IFERROR(__xludf.DUMMYFUNCTION("""COMPUTED_VALUE"""),7)</f>
        <v>7</v>
      </c>
      <c r="E11965" s="2">
        <f ca="1">IFERROR(__xludf.DUMMYFUNCTION("""COMPUTED_VALUE"""),2)</f>
        <v>2</v>
      </c>
    </row>
    <row r="11966" spans="1:5" ht="13">
      <c r="A11966" s="2" t="str">
        <f ca="1">IFERROR(__xludf.DUMMYFUNCTION("""COMPUTED_VALUE"""),"Warren, Mervyn")</f>
        <v>Warren, Mervyn</v>
      </c>
      <c r="B11966" s="3">
        <f ca="1">IFERROR(__xludf.DUMMYFUNCTION("""COMPUTED_VALUE"""),3)</f>
        <v>3</v>
      </c>
      <c r="C11966" s="7">
        <f ca="1">IFERROR(__xludf.DUMMYFUNCTION("""COMPUTED_VALUE"""),3.1)</f>
        <v>3.1</v>
      </c>
      <c r="D11966" s="8">
        <f ca="1">IFERROR(__xludf.DUMMYFUNCTION("""COMPUTED_VALUE"""),3)</f>
        <v>3</v>
      </c>
      <c r="E11966" s="2">
        <f ca="1">IFERROR(__xludf.DUMMYFUNCTION("""COMPUTED_VALUE"""),1)</f>
        <v>1</v>
      </c>
    </row>
    <row r="11967" spans="1:5" ht="13">
      <c r="A11967" s="2" t="str">
        <f ca="1">IFERROR(__xludf.DUMMYFUNCTION("""COMPUTED_VALUE"""),"Watanabe, Urato")</f>
        <v>Watanabe, Urato</v>
      </c>
      <c r="B11967" s="3">
        <f ca="1">IFERROR(__xludf.DUMMYFUNCTION("""COMPUTED_VALUE"""),3)</f>
        <v>3</v>
      </c>
      <c r="C11967" s="7">
        <f ca="1">IFERROR(__xludf.DUMMYFUNCTION("""COMPUTED_VALUE"""),3.3)</f>
        <v>3.3</v>
      </c>
      <c r="D11967" s="8">
        <f ca="1">IFERROR(__xludf.DUMMYFUNCTION("""COMPUTED_VALUE"""),7)</f>
        <v>7</v>
      </c>
      <c r="E11967" s="2">
        <f ca="1">IFERROR(__xludf.DUMMYFUNCTION("""COMPUTED_VALUE"""),2)</f>
        <v>2</v>
      </c>
    </row>
    <row r="11968" spans="1:5" ht="13">
      <c r="A11968" s="8" t="str">
        <f ca="1">IFERROR(__xludf.DUMMYFUNCTION("""COMPUTED_VALUE"""),"Watson, Bobby")</f>
        <v>Watson, Bobby</v>
      </c>
      <c r="B11968" s="3">
        <f ca="1">IFERROR(__xludf.DUMMYFUNCTION("""COMPUTED_VALUE"""),3)</f>
        <v>3</v>
      </c>
      <c r="C11968" s="7">
        <f ca="1">IFERROR(__xludf.DUMMYFUNCTION("""COMPUTED_VALUE"""),3.1)</f>
        <v>3.1</v>
      </c>
      <c r="D11968" s="8">
        <f ca="1">IFERROR(__xludf.DUMMYFUNCTION("""COMPUTED_VALUE"""),3)</f>
        <v>3</v>
      </c>
      <c r="E11968" s="2">
        <f ca="1">IFERROR(__xludf.DUMMYFUNCTION("""COMPUTED_VALUE"""),1)</f>
        <v>1</v>
      </c>
    </row>
    <row r="11969" spans="1:5" ht="13">
      <c r="A11969" s="2" t="str">
        <f ca="1">IFERROR(__xludf.DUMMYFUNCTION("""COMPUTED_VALUE"""),"Watson, Robert")</f>
        <v>Watson, Robert</v>
      </c>
      <c r="B11969" s="2">
        <f ca="1">IFERROR(__xludf.DUMMYFUNCTION("""COMPUTED_VALUE"""),3)</f>
        <v>3</v>
      </c>
      <c r="C11969" s="7">
        <f ca="1">IFERROR(__xludf.DUMMYFUNCTION("""COMPUTED_VALUE"""),3.1)</f>
        <v>3.1</v>
      </c>
      <c r="D11969" s="8">
        <f ca="1">IFERROR(__xludf.DUMMYFUNCTION("""COMPUTED_VALUE"""),3)</f>
        <v>3</v>
      </c>
      <c r="E11969" s="2">
        <f ca="1">IFERROR(__xludf.DUMMYFUNCTION("""COMPUTED_VALUE"""),1)</f>
        <v>1</v>
      </c>
    </row>
    <row r="11970" spans="1:5" ht="13">
      <c r="A11970" s="2" t="str">
        <f ca="1">IFERROR(__xludf.DUMMYFUNCTION("""COMPUTED_VALUE"""),"Watts, Ernie")</f>
        <v>Watts, Ernie</v>
      </c>
      <c r="B11970" s="3">
        <f ca="1">IFERROR(__xludf.DUMMYFUNCTION("""COMPUTED_VALUE"""),3)</f>
        <v>3</v>
      </c>
      <c r="C11970" s="7">
        <f ca="1">IFERROR(__xludf.DUMMYFUNCTION("""COMPUTED_VALUE"""),3.1)</f>
        <v>3.1</v>
      </c>
      <c r="D11970" s="8">
        <f ca="1">IFERROR(__xludf.DUMMYFUNCTION("""COMPUTED_VALUE"""),3)</f>
        <v>3</v>
      </c>
      <c r="E11970" s="2">
        <f ca="1">IFERROR(__xludf.DUMMYFUNCTION("""COMPUTED_VALUE"""),1)</f>
        <v>1</v>
      </c>
    </row>
    <row r="11971" spans="1:5" ht="13">
      <c r="A11971" s="2" t="str">
        <f ca="1">IFERROR(__xludf.DUMMYFUNCTION("""COMPUTED_VALUE"""),"Watts, Mayme / Wyche, Sid")</f>
        <v>Watts, Mayme / Wyche, Sid</v>
      </c>
      <c r="B11971" s="3">
        <f ca="1">IFERROR(__xludf.DUMMYFUNCTION("""COMPUTED_VALUE"""),3)</f>
        <v>3</v>
      </c>
      <c r="C11971" s="7">
        <f ca="1">IFERROR(__xludf.DUMMYFUNCTION("""COMPUTED_VALUE"""),3.1)</f>
        <v>3.1</v>
      </c>
      <c r="D11971" s="8">
        <f ca="1">IFERROR(__xludf.DUMMYFUNCTION("""COMPUTED_VALUE"""),7)</f>
        <v>7</v>
      </c>
      <c r="E11971" s="2">
        <f ca="1">IFERROR(__xludf.DUMMYFUNCTION("""COMPUTED_VALUE"""),2)</f>
        <v>2</v>
      </c>
    </row>
    <row r="11972" spans="1:5" ht="13">
      <c r="A11972" s="8" t="str">
        <f ca="1">IFERROR(__xludf.DUMMYFUNCTION("""COMPUTED_VALUE"""),"Webb, Jason Michael")</f>
        <v>Webb, Jason Michael</v>
      </c>
      <c r="B11972" s="3">
        <f ca="1">IFERROR(__xludf.DUMMYFUNCTION("""COMPUTED_VALUE"""),3)</f>
        <v>3</v>
      </c>
      <c r="C11972" s="7">
        <f ca="1">IFERROR(__xludf.DUMMYFUNCTION("""COMPUTED_VALUE"""),3.1)</f>
        <v>3.1</v>
      </c>
      <c r="D11972" s="8">
        <f ca="1">IFERROR(__xludf.DUMMYFUNCTION("""COMPUTED_VALUE"""),3)</f>
        <v>3</v>
      </c>
      <c r="E11972" s="2">
        <f ca="1">IFERROR(__xludf.DUMMYFUNCTION("""COMPUTED_VALUE"""),1)</f>
        <v>1</v>
      </c>
    </row>
    <row r="11973" spans="1:5" ht="13">
      <c r="A11973" s="8" t="str">
        <f ca="1">IFERROR(__xludf.DUMMYFUNCTION("""COMPUTED_VALUE"""),"Webster, Ben")</f>
        <v>Webster, Ben</v>
      </c>
      <c r="B11973" s="3">
        <f ca="1">IFERROR(__xludf.DUMMYFUNCTION("""COMPUTED_VALUE"""),3)</f>
        <v>3</v>
      </c>
      <c r="C11973" s="7">
        <f ca="1">IFERROR(__xludf.DUMMYFUNCTION("""COMPUTED_VALUE"""),3.1)</f>
        <v>3.1</v>
      </c>
      <c r="D11973" s="8">
        <f ca="1">IFERROR(__xludf.DUMMYFUNCTION("""COMPUTED_VALUE"""),7)</f>
        <v>7</v>
      </c>
      <c r="E11973" s="2">
        <f ca="1">IFERROR(__xludf.DUMMYFUNCTION("""COMPUTED_VALUE"""),2)</f>
        <v>2</v>
      </c>
    </row>
    <row r="11974" spans="1:5" ht="13">
      <c r="A11974" s="8" t="str">
        <f ca="1">IFERROR(__xludf.DUMMYFUNCTION("""COMPUTED_VALUE"""),"Wehi, Ngapo")</f>
        <v>Wehi, Ngapo</v>
      </c>
      <c r="B11974" s="3">
        <f ca="1">IFERROR(__xludf.DUMMYFUNCTION("""COMPUTED_VALUE"""),3)</f>
        <v>3</v>
      </c>
      <c r="C11974" s="7">
        <f ca="1">IFERROR(__xludf.DUMMYFUNCTION("""COMPUTED_VALUE"""),3.6)</f>
        <v>3.6</v>
      </c>
      <c r="D11974" s="8">
        <f ca="1">IFERROR(__xludf.DUMMYFUNCTION("""COMPUTED_VALUE"""),7)</f>
        <v>7</v>
      </c>
      <c r="E11974" s="2">
        <f ca="1">IFERROR(__xludf.DUMMYFUNCTION("""COMPUTED_VALUE"""),2)</f>
        <v>2</v>
      </c>
    </row>
    <row r="11975" spans="1:5" ht="13">
      <c r="A11975" s="2" t="str">
        <f ca="1">IFERROR(__xludf.DUMMYFUNCTION("""COMPUTED_VALUE"""),"Wei-Pin Chen")</f>
        <v>Wei-Pin Chen</v>
      </c>
      <c r="B11975" s="3">
        <f ca="1">IFERROR(__xludf.DUMMYFUNCTION("""COMPUTED_VALUE"""),3)</f>
        <v>3</v>
      </c>
      <c r="C11975" s="7">
        <f ca="1">IFERROR(__xludf.DUMMYFUNCTION("""COMPUTED_VALUE"""),3.3)</f>
        <v>3.3</v>
      </c>
      <c r="D11975" s="8">
        <f ca="1">IFERROR(__xludf.DUMMYFUNCTION("""COMPUTED_VALUE"""),3)</f>
        <v>3</v>
      </c>
      <c r="E11975" s="2">
        <f ca="1">IFERROR(__xludf.DUMMYFUNCTION("""COMPUTED_VALUE"""),1)</f>
        <v>1</v>
      </c>
    </row>
    <row r="11976" spans="1:5" ht="13">
      <c r="A11976" s="2" t="str">
        <f ca="1">IFERROR(__xludf.DUMMYFUNCTION("""COMPUTED_VALUE"""),"Wells, Henry")</f>
        <v>Wells, Henry</v>
      </c>
      <c r="B11976" s="2">
        <f ca="1">IFERROR(__xludf.DUMMYFUNCTION("""COMPUTED_VALUE"""),3)</f>
        <v>3</v>
      </c>
      <c r="C11976" s="7">
        <f ca="1">IFERROR(__xludf.DUMMYFUNCTION("""COMPUTED_VALUE"""),3.1)</f>
        <v>3.1</v>
      </c>
      <c r="D11976" s="8">
        <f ca="1">IFERROR(__xludf.DUMMYFUNCTION("""COMPUTED_VALUE"""),7)</f>
        <v>7</v>
      </c>
      <c r="E11976" s="2">
        <f ca="1">IFERROR(__xludf.DUMMYFUNCTION("""COMPUTED_VALUE"""),2)</f>
        <v>2</v>
      </c>
    </row>
    <row r="11977" spans="1:5" ht="13">
      <c r="A11977" s="2" t="str">
        <f ca="1">IFERROR(__xludf.DUMMYFUNCTION("""COMPUTED_VALUE"""),"Wen-chung, Chou")</f>
        <v>Wen-chung, Chou</v>
      </c>
      <c r="B11977" s="3">
        <f ca="1">IFERROR(__xludf.DUMMYFUNCTION("""COMPUTED_VALUE"""),3)</f>
        <v>3</v>
      </c>
      <c r="C11977" s="7">
        <f ca="1">IFERROR(__xludf.DUMMYFUNCTION("""COMPUTED_VALUE"""),3.3)</f>
        <v>3.3</v>
      </c>
      <c r="D11977" s="8">
        <f ca="1">IFERROR(__xludf.DUMMYFUNCTION("""COMPUTED_VALUE"""),7)</f>
        <v>7</v>
      </c>
      <c r="E11977" s="2">
        <f ca="1">IFERROR(__xludf.DUMMYFUNCTION("""COMPUTED_VALUE"""),2)</f>
        <v>2</v>
      </c>
    </row>
    <row r="11978" spans="1:5" ht="13">
      <c r="A11978" s="2" t="str">
        <f ca="1">IFERROR(__xludf.DUMMYFUNCTION("""COMPUTED_VALUE"""),"Wen-Jin Liu")</f>
        <v>Wen-Jin Liu</v>
      </c>
      <c r="B11978" s="3">
        <f ca="1">IFERROR(__xludf.DUMMYFUNCTION("""COMPUTED_VALUE"""),3)</f>
        <v>3</v>
      </c>
      <c r="C11978" s="7">
        <f ca="1">IFERROR(__xludf.DUMMYFUNCTION("""COMPUTED_VALUE"""),3.3)</f>
        <v>3.3</v>
      </c>
      <c r="D11978" s="8">
        <f ca="1">IFERROR(__xludf.DUMMYFUNCTION("""COMPUTED_VALUE"""),7)</f>
        <v>7</v>
      </c>
      <c r="E11978" s="2">
        <f ca="1">IFERROR(__xludf.DUMMYFUNCTION("""COMPUTED_VALUE"""),2)</f>
        <v>2</v>
      </c>
    </row>
    <row r="11979" spans="1:5" ht="13">
      <c r="A11979" s="2" t="str">
        <f ca="1">IFERROR(__xludf.DUMMYFUNCTION("""COMPUTED_VALUE"""),"Weng, Hesheng")</f>
        <v>Weng, Hesheng</v>
      </c>
      <c r="B11979" s="3">
        <f ca="1">IFERROR(__xludf.DUMMYFUNCTION("""COMPUTED_VALUE"""),3)</f>
        <v>3</v>
      </c>
      <c r="C11979" s="7">
        <f ca="1">IFERROR(__xludf.DUMMYFUNCTION("""COMPUTED_VALUE"""),3.3)</f>
        <v>3.3</v>
      </c>
      <c r="D11979" s="8">
        <f ca="1">IFERROR(__xludf.DUMMYFUNCTION("""COMPUTED_VALUE"""),3)</f>
        <v>3</v>
      </c>
      <c r="E11979" s="2">
        <f ca="1">IFERROR(__xludf.DUMMYFUNCTION("""COMPUTED_VALUE"""),1)</f>
        <v>1</v>
      </c>
    </row>
    <row r="11980" spans="1:5" ht="13">
      <c r="A11980" s="2" t="str">
        <f ca="1">IFERROR(__xludf.DUMMYFUNCTION("""COMPUTED_VALUE"""),"Weston, Trevor")</f>
        <v>Weston, Trevor</v>
      </c>
      <c r="B11980" s="3">
        <f ca="1">IFERROR(__xludf.DUMMYFUNCTION("""COMPUTED_VALUE"""),3)</f>
        <v>3</v>
      </c>
      <c r="C11980" s="7">
        <f ca="1">IFERROR(__xludf.DUMMYFUNCTION("""COMPUTED_VALUE"""),3.1)</f>
        <v>3.1</v>
      </c>
      <c r="D11980" s="8">
        <f ca="1">IFERROR(__xludf.DUMMYFUNCTION("""COMPUTED_VALUE"""),3)</f>
        <v>3</v>
      </c>
      <c r="E11980" s="2">
        <f ca="1">IFERROR(__xludf.DUMMYFUNCTION("""COMPUTED_VALUE"""),1)</f>
        <v>1</v>
      </c>
    </row>
    <row r="11981" spans="1:5" ht="13">
      <c r="A11981" s="2" t="str">
        <f ca="1">IFERROR(__xludf.DUMMYFUNCTION("""COMPUTED_VALUE"""),"Whalum, Wendell")</f>
        <v>Whalum, Wendell</v>
      </c>
      <c r="B11981" s="3">
        <f ca="1">IFERROR(__xludf.DUMMYFUNCTION("""COMPUTED_VALUE"""),3)</f>
        <v>3</v>
      </c>
      <c r="C11981" s="7">
        <f ca="1">IFERROR(__xludf.DUMMYFUNCTION("""COMPUTED_VALUE"""),3.1)</f>
        <v>3.1</v>
      </c>
      <c r="D11981" s="8">
        <f ca="1">IFERROR(__xludf.DUMMYFUNCTION("""COMPUTED_VALUE"""),7)</f>
        <v>7</v>
      </c>
      <c r="E11981" s="2">
        <f ca="1">IFERROR(__xludf.DUMMYFUNCTION("""COMPUTED_VALUE"""),2)</f>
        <v>2</v>
      </c>
    </row>
    <row r="11982" spans="1:5" ht="13">
      <c r="A11982" s="2" t="str">
        <f ca="1">IFERROR(__xludf.DUMMYFUNCTION("""COMPUTED_VALUE"""),"White, Bishiop Richard ""Mr. Clean""")</f>
        <v>White, Bishiop Richard "Mr. Clean"</v>
      </c>
      <c r="B11982" s="3">
        <f ca="1">IFERROR(__xludf.DUMMYFUNCTION("""COMPUTED_VALUE"""),3)</f>
        <v>3</v>
      </c>
      <c r="C11982" s="7">
        <f ca="1">IFERROR(__xludf.DUMMYFUNCTION("""COMPUTED_VALUE"""),3.1)</f>
        <v>3.1</v>
      </c>
      <c r="D11982" s="8">
        <f ca="1">IFERROR(__xludf.DUMMYFUNCTION("""COMPUTED_VALUE"""),3)</f>
        <v>3</v>
      </c>
      <c r="E11982" s="2">
        <f ca="1">IFERROR(__xludf.DUMMYFUNCTION("""COMPUTED_VALUE"""),1)</f>
        <v>1</v>
      </c>
    </row>
    <row r="11983" spans="1:5" ht="13">
      <c r="A11983" s="2" t="str">
        <f ca="1">IFERROR(__xludf.DUMMYFUNCTION("""COMPUTED_VALUE"""),"White, Clarence Cameron")</f>
        <v>White, Clarence Cameron</v>
      </c>
      <c r="B11983" s="2">
        <f ca="1">IFERROR(__xludf.DUMMYFUNCTION("""COMPUTED_VALUE"""),3)</f>
        <v>3</v>
      </c>
      <c r="C11983" s="7">
        <f ca="1">IFERROR(__xludf.DUMMYFUNCTION("""COMPUTED_VALUE"""),3.1)</f>
        <v>3.1</v>
      </c>
      <c r="D11983" s="8">
        <f ca="1">IFERROR(__xludf.DUMMYFUNCTION("""COMPUTED_VALUE"""),7)</f>
        <v>7</v>
      </c>
      <c r="E11983" s="2">
        <f ca="1">IFERROR(__xludf.DUMMYFUNCTION("""COMPUTED_VALUE"""),2)</f>
        <v>2</v>
      </c>
    </row>
    <row r="11984" spans="1:5" ht="13">
      <c r="A11984" s="2" t="str">
        <f ca="1">IFERROR(__xludf.DUMMYFUNCTION("""COMPUTED_VALUE"""),"White, Darrington")</f>
        <v>White, Darrington</v>
      </c>
      <c r="B11984" s="2">
        <f ca="1">IFERROR(__xludf.DUMMYFUNCTION("""COMPUTED_VALUE"""),3)</f>
        <v>3</v>
      </c>
      <c r="C11984" s="7">
        <f ca="1">IFERROR(__xludf.DUMMYFUNCTION("""COMPUTED_VALUE"""),3.1)</f>
        <v>3.1</v>
      </c>
      <c r="D11984" s="8">
        <f ca="1">IFERROR(__xludf.DUMMYFUNCTION("""COMPUTED_VALUE"""),3)</f>
        <v>3</v>
      </c>
      <c r="E11984" s="2">
        <f ca="1">IFERROR(__xludf.DUMMYFUNCTION("""COMPUTED_VALUE"""),1)</f>
        <v>1</v>
      </c>
    </row>
    <row r="11985" spans="1:5" ht="13">
      <c r="A11985" s="2" t="str">
        <f ca="1">IFERROR(__xludf.DUMMYFUNCTION("""COMPUTED_VALUE"""),"White, José Lafitte")</f>
        <v>White, José Lafitte</v>
      </c>
      <c r="B11985" s="3">
        <f ca="1">IFERROR(__xludf.DUMMYFUNCTION("""COMPUTED_VALUE"""),3)</f>
        <v>3</v>
      </c>
      <c r="C11985" s="7">
        <f ca="1">IFERROR(__xludf.DUMMYFUNCTION("""COMPUTED_VALUE"""),3.2)</f>
        <v>3.2</v>
      </c>
      <c r="D11985" s="8">
        <f ca="1">IFERROR(__xludf.DUMMYFUNCTION("""COMPUTED_VALUE"""),7)</f>
        <v>7</v>
      </c>
      <c r="E11985" s="2">
        <f ca="1">IFERROR(__xludf.DUMMYFUNCTION("""COMPUTED_VALUE"""),2)</f>
        <v>2</v>
      </c>
    </row>
    <row r="11986" spans="1:5" ht="13">
      <c r="A11986" s="2" t="str">
        <f ca="1">IFERROR(__xludf.DUMMYFUNCTION("""COMPUTED_VALUE"""),"White, Joseph (Jose)")</f>
        <v>White, Joseph (Jose)</v>
      </c>
      <c r="B11986" s="3">
        <f ca="1">IFERROR(__xludf.DUMMYFUNCTION("""COMPUTED_VALUE"""),3)</f>
        <v>3</v>
      </c>
      <c r="C11986" s="7">
        <f ca="1">IFERROR(__xludf.DUMMYFUNCTION("""COMPUTED_VALUE"""),3.8)</f>
        <v>3.8</v>
      </c>
      <c r="D11986" s="8">
        <f ca="1">IFERROR(__xludf.DUMMYFUNCTION("""COMPUTED_VALUE"""),7)</f>
        <v>7</v>
      </c>
      <c r="E11986" s="2">
        <f ca="1">IFERROR(__xludf.DUMMYFUNCTION("""COMPUTED_VALUE"""),2)</f>
        <v>2</v>
      </c>
    </row>
    <row r="11987" spans="1:5" ht="13">
      <c r="A11987" s="2" t="str">
        <f ca="1">IFERROR(__xludf.DUMMYFUNCTION("""COMPUTED_VALUE"""),"White, Maurice, McKay, Al, / Willis, Alle")</f>
        <v>White, Maurice, McKay, Al, / Willis, Alle</v>
      </c>
      <c r="B11987" s="3">
        <f ca="1">IFERROR(__xludf.DUMMYFUNCTION("""COMPUTED_VALUE"""),3)</f>
        <v>3</v>
      </c>
      <c r="C11987" s="7">
        <f ca="1">IFERROR(__xludf.DUMMYFUNCTION("""COMPUTED_VALUE"""),3.1)</f>
        <v>3.1</v>
      </c>
      <c r="D11987" s="8" t="str">
        <f ca="1">IFERROR(__xludf.DUMMYFUNCTION("""COMPUTED_VALUE"""),"")</f>
        <v/>
      </c>
      <c r="E11987" s="2" t="str">
        <f ca="1">IFERROR(__xludf.DUMMYFUNCTION("""COMPUTED_VALUE"""),"1&amp;2")</f>
        <v>1&amp;2</v>
      </c>
    </row>
    <row r="11988" spans="1:5" ht="13">
      <c r="A11988" s="2" t="str">
        <f ca="1">IFERROR(__xludf.DUMMYFUNCTION("""COMPUTED_VALUE"""),"White, Norman")</f>
        <v>White, Norman</v>
      </c>
      <c r="B11988" s="3">
        <f ca="1">IFERROR(__xludf.DUMMYFUNCTION("""COMPUTED_VALUE"""),3)</f>
        <v>3</v>
      </c>
      <c r="C11988" s="7">
        <f ca="1">IFERROR(__xludf.DUMMYFUNCTION("""COMPUTED_VALUE"""),3.1)</f>
        <v>3.1</v>
      </c>
      <c r="D11988" s="8">
        <f ca="1">IFERROR(__xludf.DUMMYFUNCTION("""COMPUTED_VALUE"""),3)</f>
        <v>3</v>
      </c>
      <c r="E11988" s="2">
        <f ca="1">IFERROR(__xludf.DUMMYFUNCTION("""COMPUTED_VALUE"""),1)</f>
        <v>1</v>
      </c>
    </row>
    <row r="11989" spans="1:5" ht="13">
      <c r="A11989" s="2" t="str">
        <f ca="1">IFERROR(__xludf.DUMMYFUNCTION("""COMPUTED_VALUE"""),"Wiggins, Thomas")</f>
        <v>Wiggins, Thomas</v>
      </c>
      <c r="B11989" s="2">
        <f ca="1">IFERROR(__xludf.DUMMYFUNCTION("""COMPUTED_VALUE"""),3)</f>
        <v>3</v>
      </c>
      <c r="C11989" s="7">
        <f ca="1">IFERROR(__xludf.DUMMYFUNCTION("""COMPUTED_VALUE"""),3.1)</f>
        <v>3.1</v>
      </c>
      <c r="D11989" s="8">
        <f ca="1">IFERROR(__xludf.DUMMYFUNCTION("""COMPUTED_VALUE"""),7)</f>
        <v>7</v>
      </c>
      <c r="E11989" s="2">
        <f ca="1">IFERROR(__xludf.DUMMYFUNCTION("""COMPUTED_VALUE"""),2)</f>
        <v>2</v>
      </c>
    </row>
    <row r="11990" spans="1:5" ht="13">
      <c r="A11990" s="2" t="str">
        <f ca="1">IFERROR(__xludf.DUMMYFUNCTION("""COMPUTED_VALUE"""),"Wijeratne, Dinuk")</f>
        <v>Wijeratne, Dinuk</v>
      </c>
      <c r="B11990" s="3">
        <f ca="1">IFERROR(__xludf.DUMMYFUNCTION("""COMPUTED_VALUE"""),3)</f>
        <v>3</v>
      </c>
      <c r="C11990" s="7">
        <f ca="1">IFERROR(__xludf.DUMMYFUNCTION("""COMPUTED_VALUE"""),3.5)</f>
        <v>3.5</v>
      </c>
      <c r="D11990" s="8">
        <f ca="1">IFERROR(__xludf.DUMMYFUNCTION("""COMPUTED_VALUE"""),3)</f>
        <v>3</v>
      </c>
      <c r="E11990" s="2">
        <f ca="1">IFERROR(__xludf.DUMMYFUNCTION("""COMPUTED_VALUE"""),1)</f>
        <v>1</v>
      </c>
    </row>
    <row r="11991" spans="1:5" ht="13">
      <c r="A11991" s="8" t="str">
        <f ca="1">IFERROR(__xludf.DUMMYFUNCTION("""COMPUTED_VALUE"""),"Wilborn, David")</f>
        <v>Wilborn, David</v>
      </c>
      <c r="B11991" s="3">
        <f ca="1">IFERROR(__xludf.DUMMYFUNCTION("""COMPUTED_VALUE"""),3)</f>
        <v>3</v>
      </c>
      <c r="C11991" s="7">
        <f ca="1">IFERROR(__xludf.DUMMYFUNCTION("""COMPUTED_VALUE"""),3.1)</f>
        <v>3.1</v>
      </c>
      <c r="D11991" s="8">
        <f ca="1">IFERROR(__xludf.DUMMYFUNCTION("""COMPUTED_VALUE"""),3)</f>
        <v>3</v>
      </c>
      <c r="E11991" s="2">
        <f ca="1">IFERROR(__xludf.DUMMYFUNCTION("""COMPUTED_VALUE"""),1)</f>
        <v>1</v>
      </c>
    </row>
    <row r="11992" spans="1:5" ht="13">
      <c r="A11992" s="2" t="str">
        <f ca="1">IFERROR(__xludf.DUMMYFUNCTION("""COMPUTED_VALUE"""),"Wilborn, David F.")</f>
        <v>Wilborn, David F.</v>
      </c>
      <c r="B11992" s="3">
        <f ca="1">IFERROR(__xludf.DUMMYFUNCTION("""COMPUTED_VALUE"""),3)</f>
        <v>3</v>
      </c>
      <c r="C11992" s="7">
        <f ca="1">IFERROR(__xludf.DUMMYFUNCTION("""COMPUTED_VALUE"""),3.1)</f>
        <v>3.1</v>
      </c>
      <c r="D11992" s="8">
        <f ca="1">IFERROR(__xludf.DUMMYFUNCTION("""COMPUTED_VALUE"""),3)</f>
        <v>3</v>
      </c>
      <c r="E11992" s="2">
        <f ca="1">IFERROR(__xludf.DUMMYFUNCTION("""COMPUTED_VALUE"""),1)</f>
        <v>1</v>
      </c>
    </row>
    <row r="11993" spans="1:5" ht="13">
      <c r="A11993" s="2" t="str">
        <f ca="1">IFERROR(__xludf.DUMMYFUNCTION("""COMPUTED_VALUE"""),"Wilcher, Marcus")</f>
        <v>Wilcher, Marcus</v>
      </c>
      <c r="B11993" s="3">
        <f ca="1">IFERROR(__xludf.DUMMYFUNCTION("""COMPUTED_VALUE"""),3)</f>
        <v>3</v>
      </c>
      <c r="C11993" s="7">
        <f ca="1">IFERROR(__xludf.DUMMYFUNCTION("""COMPUTED_VALUE"""),3.1)</f>
        <v>3.1</v>
      </c>
      <c r="D11993" s="8">
        <f ca="1">IFERROR(__xludf.DUMMYFUNCTION("""COMPUTED_VALUE"""),3)</f>
        <v>3</v>
      </c>
      <c r="E11993" s="2">
        <f ca="1">IFERROR(__xludf.DUMMYFUNCTION("""COMPUTED_VALUE"""),1)</f>
        <v>1</v>
      </c>
    </row>
    <row r="11994" spans="1:5" ht="13">
      <c r="A11994" s="2" t="str">
        <f ca="1">IFERROR(__xludf.DUMMYFUNCTION("""COMPUTED_VALUE"""),"Wilkins, Ernie")</f>
        <v>Wilkins, Ernie</v>
      </c>
      <c r="B11994" s="3">
        <f ca="1">IFERROR(__xludf.DUMMYFUNCTION("""COMPUTED_VALUE"""),3)</f>
        <v>3</v>
      </c>
      <c r="C11994" s="7">
        <f ca="1">IFERROR(__xludf.DUMMYFUNCTION("""COMPUTED_VALUE"""),3.1)</f>
        <v>3.1</v>
      </c>
      <c r="D11994" s="8">
        <f ca="1">IFERROR(__xludf.DUMMYFUNCTION("""COMPUTED_VALUE"""),7)</f>
        <v>7</v>
      </c>
      <c r="E11994" s="2">
        <f ca="1">IFERROR(__xludf.DUMMYFUNCTION("""COMPUTED_VALUE"""),2)</f>
        <v>2</v>
      </c>
    </row>
    <row r="11995" spans="1:5" ht="13">
      <c r="A11995" s="2" t="str">
        <f ca="1">IFERROR(__xludf.DUMMYFUNCTION("""COMPUTED_VALUE"""),"Williams, Alberto")</f>
        <v>Williams, Alberto</v>
      </c>
      <c r="B11995" s="3">
        <f ca="1">IFERROR(__xludf.DUMMYFUNCTION("""COMPUTED_VALUE"""),3)</f>
        <v>3</v>
      </c>
      <c r="C11995" s="7">
        <f ca="1">IFERROR(__xludf.DUMMYFUNCTION("""COMPUTED_VALUE"""),3.2)</f>
        <v>3.2</v>
      </c>
      <c r="D11995" s="8">
        <f ca="1">IFERROR(__xludf.DUMMYFUNCTION("""COMPUTED_VALUE"""),7)</f>
        <v>7</v>
      </c>
      <c r="E11995" s="2">
        <f ca="1">IFERROR(__xludf.DUMMYFUNCTION("""COMPUTED_VALUE"""),2)</f>
        <v>2</v>
      </c>
    </row>
    <row r="11996" spans="1:5" ht="13">
      <c r="A11996" s="2" t="str">
        <f ca="1">IFERROR(__xludf.DUMMYFUNCTION("""COMPUTED_VALUE"""),"Williams, Brandon")</f>
        <v>Williams, Brandon</v>
      </c>
      <c r="B11996" s="3">
        <f ca="1">IFERROR(__xludf.DUMMYFUNCTION("""COMPUTED_VALUE"""),3)</f>
        <v>3</v>
      </c>
      <c r="C11996" s="7">
        <f ca="1">IFERROR(__xludf.DUMMYFUNCTION("""COMPUTED_VALUE"""),3.1)</f>
        <v>3.1</v>
      </c>
      <c r="D11996" s="8">
        <f ca="1">IFERROR(__xludf.DUMMYFUNCTION("""COMPUTED_VALUE"""),3)</f>
        <v>3</v>
      </c>
      <c r="E11996" s="2">
        <f ca="1">IFERROR(__xludf.DUMMYFUNCTION("""COMPUTED_VALUE"""),1)</f>
        <v>1</v>
      </c>
    </row>
    <row r="11997" spans="1:5" ht="13">
      <c r="A11997" s="2" t="str">
        <f ca="1">IFERROR(__xludf.DUMMYFUNCTION("""COMPUTED_VALUE"""),"Williams, Cheldon R.")</f>
        <v>Williams, Cheldon R.</v>
      </c>
      <c r="B11997" s="2">
        <f ca="1">IFERROR(__xludf.DUMMYFUNCTION("""COMPUTED_VALUE"""),3)</f>
        <v>3</v>
      </c>
      <c r="C11997" s="7">
        <f ca="1">IFERROR(__xludf.DUMMYFUNCTION("""COMPUTED_VALUE"""),3.1)</f>
        <v>3.1</v>
      </c>
      <c r="D11997" s="8">
        <f ca="1">IFERROR(__xludf.DUMMYFUNCTION("""COMPUTED_VALUE"""),3)</f>
        <v>3</v>
      </c>
      <c r="E11997" s="2">
        <f ca="1">IFERROR(__xludf.DUMMYFUNCTION("""COMPUTED_VALUE"""),1)</f>
        <v>1</v>
      </c>
    </row>
    <row r="11998" spans="1:5" ht="13">
      <c r="A11998" s="2" t="str">
        <f ca="1">IFERROR(__xludf.DUMMYFUNCTION("""COMPUTED_VALUE"""),"Williams, Clarence / Williams, Spencer")</f>
        <v>Williams, Clarence / Williams, Spencer</v>
      </c>
      <c r="B11998" s="2">
        <f ca="1">IFERROR(__xludf.DUMMYFUNCTION("""COMPUTED_VALUE"""),3)</f>
        <v>3</v>
      </c>
      <c r="C11998" s="7">
        <f ca="1">IFERROR(__xludf.DUMMYFUNCTION("""COMPUTED_VALUE"""),3.1)</f>
        <v>3.1</v>
      </c>
      <c r="D11998" s="8">
        <f ca="1">IFERROR(__xludf.DUMMYFUNCTION("""COMPUTED_VALUE"""),7)</f>
        <v>7</v>
      </c>
      <c r="E11998" s="2">
        <f ca="1">IFERROR(__xludf.DUMMYFUNCTION("""COMPUTED_VALUE"""),2)</f>
        <v>2</v>
      </c>
    </row>
    <row r="11999" spans="1:5" ht="13">
      <c r="A11999" s="2" t="str">
        <f ca="1">IFERROR(__xludf.DUMMYFUNCTION("""COMPUTED_VALUE"""),"Williams, Evan")</f>
        <v>Williams, Evan</v>
      </c>
      <c r="B11999" s="3">
        <f ca="1">IFERROR(__xludf.DUMMYFUNCTION("""COMPUTED_VALUE"""),3)</f>
        <v>3</v>
      </c>
      <c r="C11999" s="7">
        <f ca="1">IFERROR(__xludf.DUMMYFUNCTION("""COMPUTED_VALUE"""),3.1)</f>
        <v>3.1</v>
      </c>
      <c r="D11999" s="8">
        <f ca="1">IFERROR(__xludf.DUMMYFUNCTION("""COMPUTED_VALUE"""),3)</f>
        <v>3</v>
      </c>
      <c r="E11999" s="2">
        <f ca="1">IFERROR(__xludf.DUMMYFUNCTION("""COMPUTED_VALUE"""),1)</f>
        <v>1</v>
      </c>
    </row>
    <row r="12000" spans="1:5" ht="13">
      <c r="A12000" s="2" t="str">
        <f ca="1">IFERROR(__xludf.DUMMYFUNCTION("""COMPUTED_VALUE"""),"Williams, J. Kimo")</f>
        <v>Williams, J. Kimo</v>
      </c>
      <c r="B12000" s="3">
        <f ca="1">IFERROR(__xludf.DUMMYFUNCTION("""COMPUTED_VALUE"""),3)</f>
        <v>3</v>
      </c>
      <c r="C12000" s="7">
        <f ca="1">IFERROR(__xludf.DUMMYFUNCTION("""COMPUTED_VALUE"""),3.1)</f>
        <v>3.1</v>
      </c>
      <c r="D12000" s="8">
        <f ca="1">IFERROR(__xludf.DUMMYFUNCTION("""COMPUTED_VALUE"""),3)</f>
        <v>3</v>
      </c>
      <c r="E12000" s="2">
        <f ca="1">IFERROR(__xludf.DUMMYFUNCTION("""COMPUTED_VALUE"""),1)</f>
        <v>1</v>
      </c>
    </row>
    <row r="12001" spans="1:5" ht="13">
      <c r="A12001" s="8" t="str">
        <f ca="1">IFERROR(__xludf.DUMMYFUNCTION("""COMPUTED_VALUE"""),"Williams, James")</f>
        <v>Williams, James</v>
      </c>
      <c r="B12001" s="3">
        <f ca="1">IFERROR(__xludf.DUMMYFUNCTION("""COMPUTED_VALUE"""),3)</f>
        <v>3</v>
      </c>
      <c r="C12001" s="7">
        <f ca="1">IFERROR(__xludf.DUMMYFUNCTION("""COMPUTED_VALUE"""),3.1)</f>
        <v>3.1</v>
      </c>
      <c r="D12001" s="8">
        <f ca="1">IFERROR(__xludf.DUMMYFUNCTION("""COMPUTED_VALUE"""),7)</f>
        <v>7</v>
      </c>
      <c r="E12001" s="2">
        <f ca="1">IFERROR(__xludf.DUMMYFUNCTION("""COMPUTED_VALUE"""),2)</f>
        <v>2</v>
      </c>
    </row>
    <row r="12002" spans="1:5" ht="13">
      <c r="A12002" s="2" t="str">
        <f ca="1">IFERROR(__xludf.DUMMYFUNCTION("""COMPUTED_VALUE"""),"Williams, Jr., Spencer")</f>
        <v>Williams, Jr., Spencer</v>
      </c>
      <c r="B12002" s="3">
        <f ca="1">IFERROR(__xludf.DUMMYFUNCTION("""COMPUTED_VALUE"""),3)</f>
        <v>3</v>
      </c>
      <c r="C12002" s="7">
        <f ca="1">IFERROR(__xludf.DUMMYFUNCTION("""COMPUTED_VALUE"""),3.1)</f>
        <v>3.1</v>
      </c>
      <c r="D12002" s="8">
        <f ca="1">IFERROR(__xludf.DUMMYFUNCTION("""COMPUTED_VALUE"""),7)</f>
        <v>7</v>
      </c>
      <c r="E12002" s="2">
        <f ca="1">IFERROR(__xludf.DUMMYFUNCTION("""COMPUTED_VALUE"""),2)</f>
        <v>2</v>
      </c>
    </row>
    <row r="12003" spans="1:5" ht="13">
      <c r="A12003" s="2" t="str">
        <f ca="1">IFERROR(__xludf.DUMMYFUNCTION("""COMPUTED_VALUE"""),"Williams, Julius Penson")</f>
        <v>Williams, Julius Penson</v>
      </c>
      <c r="B12003" s="3">
        <f ca="1">IFERROR(__xludf.DUMMYFUNCTION("""COMPUTED_VALUE"""),3)</f>
        <v>3</v>
      </c>
      <c r="C12003" s="7">
        <f ca="1">IFERROR(__xludf.DUMMYFUNCTION("""COMPUTED_VALUE"""),3.1)</f>
        <v>3.1</v>
      </c>
      <c r="D12003" s="8">
        <f ca="1">IFERROR(__xludf.DUMMYFUNCTION("""COMPUTED_VALUE"""),3)</f>
        <v>3</v>
      </c>
      <c r="E12003" s="2">
        <f ca="1">IFERROR(__xludf.DUMMYFUNCTION("""COMPUTED_VALUE"""),1)</f>
        <v>1</v>
      </c>
    </row>
    <row r="12004" spans="1:5" ht="13">
      <c r="A12004" s="2" t="str">
        <f ca="1">IFERROR(__xludf.DUMMYFUNCTION("""COMPUTED_VALUE"""),"Williams, Nicholas Enrico")</f>
        <v>Williams, Nicholas Enrico</v>
      </c>
      <c r="B12004" s="3">
        <f ca="1">IFERROR(__xludf.DUMMYFUNCTION("""COMPUTED_VALUE"""),3)</f>
        <v>3</v>
      </c>
      <c r="C12004" s="7">
        <f ca="1">IFERROR(__xludf.DUMMYFUNCTION("""COMPUTED_VALUE"""),3.1)</f>
        <v>3.1</v>
      </c>
      <c r="D12004" s="8">
        <f ca="1">IFERROR(__xludf.DUMMYFUNCTION("""COMPUTED_VALUE"""),3)</f>
        <v>3</v>
      </c>
      <c r="E12004" s="2">
        <f ca="1">IFERROR(__xludf.DUMMYFUNCTION("""COMPUTED_VALUE"""),1)</f>
        <v>1</v>
      </c>
    </row>
    <row r="12005" spans="1:5" ht="13">
      <c r="A12005" s="2" t="str">
        <f ca="1">IFERROR(__xludf.DUMMYFUNCTION("""COMPUTED_VALUE"""),"Williams, Shiree X.")</f>
        <v>Williams, Shiree X.</v>
      </c>
      <c r="B12005" s="3">
        <f ca="1">IFERROR(__xludf.DUMMYFUNCTION("""COMPUTED_VALUE"""),3)</f>
        <v>3</v>
      </c>
      <c r="C12005" s="7">
        <f ca="1">IFERROR(__xludf.DUMMYFUNCTION("""COMPUTED_VALUE"""),3.1)</f>
        <v>3.1</v>
      </c>
      <c r="D12005" s="8">
        <f ca="1">IFERROR(__xludf.DUMMYFUNCTION("""COMPUTED_VALUE"""),3)</f>
        <v>3</v>
      </c>
      <c r="E12005" s="2">
        <f ca="1">IFERROR(__xludf.DUMMYFUNCTION("""COMPUTED_VALUE"""),1)</f>
        <v>1</v>
      </c>
    </row>
    <row r="12006" spans="1:5" ht="13">
      <c r="A12006" s="2" t="str">
        <f ca="1">IFERROR(__xludf.DUMMYFUNCTION("""COMPUTED_VALUE"""),"Williams, Spencer")</f>
        <v>Williams, Spencer</v>
      </c>
      <c r="B12006" s="3">
        <f ca="1">IFERROR(__xludf.DUMMYFUNCTION("""COMPUTED_VALUE"""),3)</f>
        <v>3</v>
      </c>
      <c r="C12006" s="7">
        <f ca="1">IFERROR(__xludf.DUMMYFUNCTION("""COMPUTED_VALUE"""),3.1)</f>
        <v>3.1</v>
      </c>
      <c r="D12006" s="8">
        <f ca="1">IFERROR(__xludf.DUMMYFUNCTION("""COMPUTED_VALUE"""),7)</f>
        <v>7</v>
      </c>
      <c r="E12006" s="2">
        <f ca="1">IFERROR(__xludf.DUMMYFUNCTION("""COMPUTED_VALUE"""),2)</f>
        <v>2</v>
      </c>
    </row>
    <row r="12007" spans="1:5" ht="13">
      <c r="A12007" s="2" t="str">
        <f ca="1">IFERROR(__xludf.DUMMYFUNCTION("""COMPUTED_VALUE"""),"Willis, Wallace")</f>
        <v>Willis, Wallace</v>
      </c>
      <c r="B12007" s="3">
        <f ca="1">IFERROR(__xludf.DUMMYFUNCTION("""COMPUTED_VALUE"""),3)</f>
        <v>3</v>
      </c>
      <c r="C12007" s="7">
        <f ca="1">IFERROR(__xludf.DUMMYFUNCTION("""COMPUTED_VALUE"""),3.8)</f>
        <v>3.8</v>
      </c>
      <c r="D12007" s="8">
        <f ca="1">IFERROR(__xludf.DUMMYFUNCTION("""COMPUTED_VALUE"""),7)</f>
        <v>7</v>
      </c>
      <c r="E12007" s="2">
        <f ca="1">IFERROR(__xludf.DUMMYFUNCTION("""COMPUTED_VALUE"""),2)</f>
        <v>2</v>
      </c>
    </row>
    <row r="12008" spans="1:5" ht="13">
      <c r="A12008" s="2" t="str">
        <f ca="1">IFERROR(__xludf.DUMMYFUNCTION("""COMPUTED_VALUE"""),"Wilson, Chandler L.")</f>
        <v>Wilson, Chandler L.</v>
      </c>
      <c r="B12008" s="2">
        <f ca="1">IFERROR(__xludf.DUMMYFUNCTION("""COMPUTED_VALUE"""),3)</f>
        <v>3</v>
      </c>
      <c r="C12008" s="7">
        <f ca="1">IFERROR(__xludf.DUMMYFUNCTION("""COMPUTED_VALUE"""),3.1)</f>
        <v>3.1</v>
      </c>
      <c r="D12008" s="8">
        <f ca="1">IFERROR(__xludf.DUMMYFUNCTION("""COMPUTED_VALUE"""),3)</f>
        <v>3</v>
      </c>
      <c r="E12008" s="2">
        <f ca="1">IFERROR(__xludf.DUMMYFUNCTION("""COMPUTED_VALUE"""),1)</f>
        <v>1</v>
      </c>
    </row>
    <row r="12009" spans="1:5" ht="13">
      <c r="A12009" s="2" t="str">
        <f ca="1">IFERROR(__xludf.DUMMYFUNCTION("""COMPUTED_VALUE"""),"Wilson, Dax")</f>
        <v>Wilson, Dax</v>
      </c>
      <c r="B12009" s="2">
        <f ca="1">IFERROR(__xludf.DUMMYFUNCTION("""COMPUTED_VALUE"""),3)</f>
        <v>3</v>
      </c>
      <c r="C12009" s="7">
        <f ca="1">IFERROR(__xludf.DUMMYFUNCTION("""COMPUTED_VALUE"""),3.3)</f>
        <v>3.3</v>
      </c>
      <c r="D12009" s="8">
        <f ca="1">IFERROR(__xludf.DUMMYFUNCTION("""COMPUTED_VALUE"""),3)</f>
        <v>3</v>
      </c>
      <c r="E12009" s="2">
        <f ca="1">IFERROR(__xludf.DUMMYFUNCTION("""COMPUTED_VALUE"""),1)</f>
        <v>1</v>
      </c>
    </row>
    <row r="12010" spans="1:5" ht="13">
      <c r="A12010" s="2" t="str">
        <f ca="1">IFERROR(__xludf.DUMMYFUNCTION("""COMPUTED_VALUE"""),"Wilson, Domingo Santa Cruz")</f>
        <v>Wilson, Domingo Santa Cruz</v>
      </c>
      <c r="B12010" s="3">
        <f ca="1">IFERROR(__xludf.DUMMYFUNCTION("""COMPUTED_VALUE"""),3)</f>
        <v>3</v>
      </c>
      <c r="C12010" s="7">
        <f ca="1">IFERROR(__xludf.DUMMYFUNCTION("""COMPUTED_VALUE"""),3.2)</f>
        <v>3.2</v>
      </c>
      <c r="D12010" s="8">
        <f ca="1">IFERROR(__xludf.DUMMYFUNCTION("""COMPUTED_VALUE"""),7)</f>
        <v>7</v>
      </c>
      <c r="E12010" s="2">
        <f ca="1">IFERROR(__xludf.DUMMYFUNCTION("""COMPUTED_VALUE"""),2)</f>
        <v>2</v>
      </c>
    </row>
    <row r="12011" spans="1:5" ht="13">
      <c r="A12011" s="2" t="str">
        <f ca="1">IFERROR(__xludf.DUMMYFUNCTION("""COMPUTED_VALUE"""),"Wilson, Gerald")</f>
        <v>Wilson, Gerald</v>
      </c>
      <c r="B12011" s="3">
        <f ca="1">IFERROR(__xludf.DUMMYFUNCTION("""COMPUTED_VALUE"""),3)</f>
        <v>3</v>
      </c>
      <c r="C12011" s="7">
        <f ca="1">IFERROR(__xludf.DUMMYFUNCTION("""COMPUTED_VALUE"""),3.1)</f>
        <v>3.1</v>
      </c>
      <c r="D12011" s="8">
        <f ca="1">IFERROR(__xludf.DUMMYFUNCTION("""COMPUTED_VALUE"""),7)</f>
        <v>7</v>
      </c>
      <c r="E12011" s="2">
        <f ca="1">IFERROR(__xludf.DUMMYFUNCTION("""COMPUTED_VALUE"""),2)</f>
        <v>2</v>
      </c>
    </row>
    <row r="12012" spans="1:5" ht="13">
      <c r="A12012" s="2" t="str">
        <f ca="1">IFERROR(__xludf.DUMMYFUNCTION("""COMPUTED_VALUE"""),"Wilson, James B.")</f>
        <v>Wilson, James B.</v>
      </c>
      <c r="B12012" s="3">
        <f ca="1">IFERROR(__xludf.DUMMYFUNCTION("""COMPUTED_VALUE"""),3)</f>
        <v>3</v>
      </c>
      <c r="C12012" s="7">
        <f ca="1">IFERROR(__xludf.DUMMYFUNCTION("""COMPUTED_VALUE"""),3.1)</f>
        <v>3.1</v>
      </c>
      <c r="D12012" s="8">
        <f ca="1">IFERROR(__xludf.DUMMYFUNCTION("""COMPUTED_VALUE"""),3)</f>
        <v>3</v>
      </c>
      <c r="E12012" s="2">
        <f ca="1">IFERROR(__xludf.DUMMYFUNCTION("""COMPUTED_VALUE"""),1)</f>
        <v>1</v>
      </c>
    </row>
    <row r="12013" spans="1:5" ht="13">
      <c r="A12013" s="2" t="str">
        <f ca="1">IFERROR(__xludf.DUMMYFUNCTION("""COMPUTED_VALUE"""),"Wilson, Olly")</f>
        <v>Wilson, Olly</v>
      </c>
      <c r="B12013" s="3">
        <f ca="1">IFERROR(__xludf.DUMMYFUNCTION("""COMPUTED_VALUE"""),3)</f>
        <v>3</v>
      </c>
      <c r="C12013" s="7">
        <f ca="1">IFERROR(__xludf.DUMMYFUNCTION("""COMPUTED_VALUE"""),3.1)</f>
        <v>3.1</v>
      </c>
      <c r="D12013" s="8">
        <f ca="1">IFERROR(__xludf.DUMMYFUNCTION("""COMPUTED_VALUE"""),7)</f>
        <v>7</v>
      </c>
      <c r="E12013" s="2">
        <f ca="1">IFERROR(__xludf.DUMMYFUNCTION("""COMPUTED_VALUE"""),2)</f>
        <v>2</v>
      </c>
    </row>
    <row r="12014" spans="1:5" ht="13">
      <c r="A12014" s="2" t="str">
        <f ca="1">IFERROR(__xludf.DUMMYFUNCTION("""COMPUTED_VALUE"""),"Wimberley, Armond")</f>
        <v>Wimberley, Armond</v>
      </c>
      <c r="B12014" s="3">
        <f ca="1">IFERROR(__xludf.DUMMYFUNCTION("""COMPUTED_VALUE"""),3)</f>
        <v>3</v>
      </c>
      <c r="C12014" s="7">
        <f ca="1">IFERROR(__xludf.DUMMYFUNCTION("""COMPUTED_VALUE"""),3.1)</f>
        <v>3.1</v>
      </c>
      <c r="D12014" s="8">
        <f ca="1">IFERROR(__xludf.DUMMYFUNCTION("""COMPUTED_VALUE"""),3)</f>
        <v>3</v>
      </c>
      <c r="E12014" s="2">
        <f ca="1">IFERROR(__xludf.DUMMYFUNCTION("""COMPUTED_VALUE"""),1)</f>
        <v>1</v>
      </c>
    </row>
    <row r="12015" spans="1:5" ht="13">
      <c r="A12015" s="2" t="str">
        <f ca="1">IFERROR(__xludf.DUMMYFUNCTION("""COMPUTED_VALUE"""),"Wineglass, John")</f>
        <v>Wineglass, John</v>
      </c>
      <c r="B12015" s="3">
        <f ca="1">IFERROR(__xludf.DUMMYFUNCTION("""COMPUTED_VALUE"""),3)</f>
        <v>3</v>
      </c>
      <c r="C12015" s="7">
        <f ca="1">IFERROR(__xludf.DUMMYFUNCTION("""COMPUTED_VALUE"""),3.1)</f>
        <v>3.1</v>
      </c>
      <c r="D12015" s="8">
        <f ca="1">IFERROR(__xludf.DUMMYFUNCTION("""COMPUTED_VALUE"""),3)</f>
        <v>3</v>
      </c>
      <c r="E12015" s="2">
        <f ca="1">IFERROR(__xludf.DUMMYFUNCTION("""COMPUTED_VALUE"""),1)</f>
        <v>1</v>
      </c>
    </row>
    <row r="12016" spans="1:5" ht="13">
      <c r="A12016" s="2" t="str">
        <f ca="1">IFERROR(__xludf.DUMMYFUNCTION("""COMPUTED_VALUE"""),"Winston, Carlton")</f>
        <v>Winston, Carlton</v>
      </c>
      <c r="B12016" s="3">
        <f ca="1">IFERROR(__xludf.DUMMYFUNCTION("""COMPUTED_VALUE"""),3)</f>
        <v>3</v>
      </c>
      <c r="C12016" s="7">
        <f ca="1">IFERROR(__xludf.DUMMYFUNCTION("""COMPUTED_VALUE"""),3.1)</f>
        <v>3.1</v>
      </c>
      <c r="D12016" s="8">
        <f ca="1">IFERROR(__xludf.DUMMYFUNCTION("""COMPUTED_VALUE"""),3)</f>
        <v>3</v>
      </c>
      <c r="E12016" s="2">
        <f ca="1">IFERROR(__xludf.DUMMYFUNCTION("""COMPUTED_VALUE"""),1)</f>
        <v>1</v>
      </c>
    </row>
    <row r="12017" spans="1:5" ht="13">
      <c r="A12017" s="2" t="str">
        <f ca="1">IFERROR(__xludf.DUMMYFUNCTION("""COMPUTED_VALUE"""),"Wise, Raymond")</f>
        <v>Wise, Raymond</v>
      </c>
      <c r="B12017" s="2">
        <f ca="1">IFERROR(__xludf.DUMMYFUNCTION("""COMPUTED_VALUE"""),3)</f>
        <v>3</v>
      </c>
      <c r="C12017" s="7">
        <f ca="1">IFERROR(__xludf.DUMMYFUNCTION("""COMPUTED_VALUE"""),3.1)</f>
        <v>3.1</v>
      </c>
      <c r="D12017" s="8">
        <f ca="1">IFERROR(__xludf.DUMMYFUNCTION("""COMPUTED_VALUE"""),3)</f>
        <v>3</v>
      </c>
      <c r="E12017" s="2">
        <f ca="1">IFERROR(__xludf.DUMMYFUNCTION("""COMPUTED_VALUE"""),1)</f>
        <v>1</v>
      </c>
    </row>
    <row r="12018" spans="1:5" ht="13">
      <c r="A12018" s="2" t="str">
        <f ca="1">IFERROR(__xludf.DUMMYFUNCTION("""COMPUTED_VALUE"""),"Withers, Bill")</f>
        <v>Withers, Bill</v>
      </c>
      <c r="B12018" s="2">
        <f ca="1">IFERROR(__xludf.DUMMYFUNCTION("""COMPUTED_VALUE"""),3)</f>
        <v>3</v>
      </c>
      <c r="C12018" s="7">
        <f ca="1">IFERROR(__xludf.DUMMYFUNCTION("""COMPUTED_VALUE"""),3.1)</f>
        <v>3.1</v>
      </c>
      <c r="D12018" s="8">
        <f ca="1">IFERROR(__xludf.DUMMYFUNCTION("""COMPUTED_VALUE"""),7)</f>
        <v>7</v>
      </c>
      <c r="E12018" s="2">
        <f ca="1">IFERROR(__xludf.DUMMYFUNCTION("""COMPUTED_VALUE"""),2)</f>
        <v>2</v>
      </c>
    </row>
    <row r="12019" spans="1:5" ht="13">
      <c r="A12019" s="2" t="str">
        <f ca="1">IFERROR(__xludf.DUMMYFUNCTION("""COMPUTED_VALUE"""),"Withers, Bill / Scarborough, Skip")</f>
        <v>Withers, Bill / Scarborough, Skip</v>
      </c>
      <c r="B12019" s="2">
        <f ca="1">IFERROR(__xludf.DUMMYFUNCTION("""COMPUTED_VALUE"""),3)</f>
        <v>3</v>
      </c>
      <c r="C12019" s="7">
        <f ca="1">IFERROR(__xludf.DUMMYFUNCTION("""COMPUTED_VALUE"""),3.1)</f>
        <v>3.1</v>
      </c>
      <c r="D12019" s="8">
        <f ca="1">IFERROR(__xludf.DUMMYFUNCTION("""COMPUTED_VALUE"""),7)</f>
        <v>7</v>
      </c>
      <c r="E12019" s="2">
        <f ca="1">IFERROR(__xludf.DUMMYFUNCTION("""COMPUTED_VALUE"""),2)</f>
        <v>2</v>
      </c>
    </row>
    <row r="12020" spans="1:5" ht="13">
      <c r="A12020" s="2" t="str">
        <f ca="1">IFERROR(__xludf.DUMMYFUNCTION("""COMPUTED_VALUE"""),"Wondemagegnehu, Tesfa")</f>
        <v>Wondemagegnehu, Tesfa</v>
      </c>
      <c r="B12020" s="2">
        <f ca="1">IFERROR(__xludf.DUMMYFUNCTION("""COMPUTED_VALUE"""),3)</f>
        <v>3</v>
      </c>
      <c r="C12020" s="7">
        <f ca="1">IFERROR(__xludf.DUMMYFUNCTION("""COMPUTED_VALUE"""),3.1)</f>
        <v>3.1</v>
      </c>
      <c r="D12020" s="8">
        <f ca="1">IFERROR(__xludf.DUMMYFUNCTION("""COMPUTED_VALUE"""),3)</f>
        <v>3</v>
      </c>
      <c r="E12020" s="2">
        <f ca="1">IFERROR(__xludf.DUMMYFUNCTION("""COMPUTED_VALUE"""),1)</f>
        <v>1</v>
      </c>
    </row>
    <row r="12021" spans="1:5" ht="13">
      <c r="A12021" s="2" t="str">
        <f ca="1">IFERROR(__xludf.DUMMYFUNCTION("""COMPUTED_VALUE"""),"Wonder, Stevie")</f>
        <v>Wonder, Stevie</v>
      </c>
      <c r="B12021" s="3">
        <f ca="1">IFERROR(__xludf.DUMMYFUNCTION("""COMPUTED_VALUE"""),3)</f>
        <v>3</v>
      </c>
      <c r="C12021" s="7">
        <f ca="1">IFERROR(__xludf.DUMMYFUNCTION("""COMPUTED_VALUE"""),3.1)</f>
        <v>3.1</v>
      </c>
      <c r="D12021" s="8">
        <f ca="1">IFERROR(__xludf.DUMMYFUNCTION("""COMPUTED_VALUE"""),3)</f>
        <v>3</v>
      </c>
      <c r="E12021" s="2">
        <f ca="1">IFERROR(__xludf.DUMMYFUNCTION("""COMPUTED_VALUE"""),1)</f>
        <v>1</v>
      </c>
    </row>
    <row r="12022" spans="1:5" ht="13">
      <c r="A12022" s="2" t="str">
        <f ca="1">IFERROR(__xludf.DUMMYFUNCTION("""COMPUTED_VALUE"""),"Wong Kong-Yu")</f>
        <v>Wong Kong-Yu</v>
      </c>
      <c r="B12022" s="2">
        <f ca="1">IFERROR(__xludf.DUMMYFUNCTION("""COMPUTED_VALUE"""),3)</f>
        <v>3</v>
      </c>
      <c r="C12022" s="7">
        <f ca="1">IFERROR(__xludf.DUMMYFUNCTION("""COMPUTED_VALUE"""),3.3)</f>
        <v>3.3</v>
      </c>
      <c r="D12022" s="8">
        <f ca="1">IFERROR(__xludf.DUMMYFUNCTION("""COMPUTED_VALUE"""),3)</f>
        <v>3</v>
      </c>
      <c r="E12022" s="2">
        <f ca="1">IFERROR(__xludf.DUMMYFUNCTION("""COMPUTED_VALUE"""),1)</f>
        <v>1</v>
      </c>
    </row>
    <row r="12023" spans="1:5" ht="13">
      <c r="A12023" s="2" t="str">
        <f ca="1">IFERROR(__xludf.DUMMYFUNCTION("""COMPUTED_VALUE"""),"Wong, Addison")</f>
        <v>Wong, Addison</v>
      </c>
      <c r="B12023" s="2">
        <f ca="1">IFERROR(__xludf.DUMMYFUNCTION("""COMPUTED_VALUE"""),3)</f>
        <v>3</v>
      </c>
      <c r="C12023" s="7">
        <f ca="1">IFERROR(__xludf.DUMMYFUNCTION("""COMPUTED_VALUE"""),3.3)</f>
        <v>3.3</v>
      </c>
      <c r="D12023" s="8">
        <f ca="1">IFERROR(__xludf.DUMMYFUNCTION("""COMPUTED_VALUE"""),3)</f>
        <v>3</v>
      </c>
      <c r="E12023" s="2">
        <f ca="1">IFERROR(__xludf.DUMMYFUNCTION("""COMPUTED_VALUE"""),1)</f>
        <v>1</v>
      </c>
    </row>
    <row r="12024" spans="1:5" ht="13">
      <c r="A12024" s="8" t="str">
        <f ca="1">IFERROR(__xludf.DUMMYFUNCTION("""COMPUTED_VALUE"""),"Wong, Smee")</f>
        <v>Wong, Smee</v>
      </c>
      <c r="B12024" s="3">
        <f ca="1">IFERROR(__xludf.DUMMYFUNCTION("""COMPUTED_VALUE"""),3)</f>
        <v>3</v>
      </c>
      <c r="C12024" s="7">
        <f ca="1">IFERROR(__xludf.DUMMYFUNCTION("""COMPUTED_VALUE"""),3.3)</f>
        <v>3.3</v>
      </c>
      <c r="D12024" s="8">
        <f ca="1">IFERROR(__xludf.DUMMYFUNCTION("""COMPUTED_VALUE"""),3)</f>
        <v>3</v>
      </c>
      <c r="E12024" s="2">
        <f ca="1">IFERROR(__xludf.DUMMYFUNCTION("""COMPUTED_VALUE"""),1)</f>
        <v>1</v>
      </c>
    </row>
    <row r="12025" spans="1:5" ht="13">
      <c r="A12025" s="8" t="str">
        <f ca="1">IFERROR(__xludf.DUMMYFUNCTION("""COMPUTED_VALUE"""),"Woodson, Josiah")</f>
        <v>Woodson, Josiah</v>
      </c>
      <c r="B12025" s="3">
        <f ca="1">IFERROR(__xludf.DUMMYFUNCTION("""COMPUTED_VALUE"""),3)</f>
        <v>3</v>
      </c>
      <c r="C12025" s="7">
        <f ca="1">IFERROR(__xludf.DUMMYFUNCTION("""COMPUTED_VALUE"""),3.1)</f>
        <v>3.1</v>
      </c>
      <c r="D12025" s="8">
        <f ca="1">IFERROR(__xludf.DUMMYFUNCTION("""COMPUTED_VALUE"""),3)</f>
        <v>3</v>
      </c>
      <c r="E12025" s="2">
        <f ca="1">IFERROR(__xludf.DUMMYFUNCTION("""COMPUTED_VALUE"""),1)</f>
        <v>1</v>
      </c>
    </row>
    <row r="12026" spans="1:5" ht="13">
      <c r="A12026" s="2" t="str">
        <f ca="1">IFERROR(__xludf.DUMMYFUNCTION("""COMPUTED_VALUE"""),"Wooten, Victor")</f>
        <v>Wooten, Victor</v>
      </c>
      <c r="B12026" s="3">
        <f ca="1">IFERROR(__xludf.DUMMYFUNCTION("""COMPUTED_VALUE"""),3)</f>
        <v>3</v>
      </c>
      <c r="C12026" s="7">
        <f ca="1">IFERROR(__xludf.DUMMYFUNCTION("""COMPUTED_VALUE"""),3.1)</f>
        <v>3.1</v>
      </c>
      <c r="D12026" s="8">
        <f ca="1">IFERROR(__xludf.DUMMYFUNCTION("""COMPUTED_VALUE"""),3)</f>
        <v>3</v>
      </c>
      <c r="E12026" s="2">
        <f ca="1">IFERROR(__xludf.DUMMYFUNCTION("""COMPUTED_VALUE"""),1)</f>
        <v>1</v>
      </c>
    </row>
    <row r="12027" spans="1:5" ht="13">
      <c r="A12027" s="2" t="str">
        <f ca="1">IFERROR(__xludf.DUMMYFUNCTION("""COMPUTED_VALUE"""),"Work, John Wesley")</f>
        <v>Work, John Wesley</v>
      </c>
      <c r="B12027" s="3">
        <f ca="1">IFERROR(__xludf.DUMMYFUNCTION("""COMPUTED_VALUE"""),3)</f>
        <v>3</v>
      </c>
      <c r="C12027" s="7">
        <f ca="1">IFERROR(__xludf.DUMMYFUNCTION("""COMPUTED_VALUE"""),3.1)</f>
        <v>3.1</v>
      </c>
      <c r="D12027" s="8">
        <f ca="1">IFERROR(__xludf.DUMMYFUNCTION("""COMPUTED_VALUE"""),7)</f>
        <v>7</v>
      </c>
      <c r="E12027" s="2">
        <f ca="1">IFERROR(__xludf.DUMMYFUNCTION("""COMPUTED_VALUE"""),2)</f>
        <v>2</v>
      </c>
    </row>
    <row r="12028" spans="1:5" ht="13">
      <c r="A12028" s="2" t="str">
        <f ca="1">IFERROR(__xludf.DUMMYFUNCTION("""COMPUTED_VALUE"""),"Wright, Reginal")</f>
        <v>Wright, Reginal</v>
      </c>
      <c r="B12028" s="2">
        <f ca="1">IFERROR(__xludf.DUMMYFUNCTION("""COMPUTED_VALUE"""),3)</f>
        <v>3</v>
      </c>
      <c r="C12028" s="7">
        <f ca="1">IFERROR(__xludf.DUMMYFUNCTION("""COMPUTED_VALUE"""),3.1)</f>
        <v>3.1</v>
      </c>
      <c r="D12028" s="8">
        <f ca="1">IFERROR(__xludf.DUMMYFUNCTION("""COMPUTED_VALUE"""),3)</f>
        <v>3</v>
      </c>
      <c r="E12028" s="2">
        <f ca="1">IFERROR(__xludf.DUMMYFUNCTION("""COMPUTED_VALUE"""),1)</f>
        <v>1</v>
      </c>
    </row>
    <row r="12029" spans="1:5" ht="13">
      <c r="A12029" s="2" t="str">
        <f ca="1">IFERROR(__xludf.DUMMYFUNCTION("""COMPUTED_VALUE"""),"Wright, Timothy")</f>
        <v>Wright, Timothy</v>
      </c>
      <c r="B12029" s="3">
        <f ca="1">IFERROR(__xludf.DUMMYFUNCTION("""COMPUTED_VALUE"""),3)</f>
        <v>3</v>
      </c>
      <c r="C12029" s="7">
        <f ca="1">IFERROR(__xludf.DUMMYFUNCTION("""COMPUTED_VALUE"""),3.1)</f>
        <v>3.1</v>
      </c>
      <c r="D12029" s="8">
        <f ca="1">IFERROR(__xludf.DUMMYFUNCTION("""COMPUTED_VALUE"""),7)</f>
        <v>7</v>
      </c>
      <c r="E12029" s="2">
        <f ca="1">IFERROR(__xludf.DUMMYFUNCTION("""COMPUTED_VALUE"""),2)</f>
        <v>2</v>
      </c>
    </row>
    <row r="12030" spans="1:5" ht="13">
      <c r="A12030" s="2" t="str">
        <f ca="1">IFERROR(__xludf.DUMMYFUNCTION("""COMPUTED_VALUE"""),"Wu Zuqiang / Liu Dehai")</f>
        <v>Wu Zuqiang / Liu Dehai</v>
      </c>
      <c r="B12030" s="2">
        <f ca="1">IFERROR(__xludf.DUMMYFUNCTION("""COMPUTED_VALUE"""),3)</f>
        <v>3</v>
      </c>
      <c r="C12030" s="2">
        <f ca="1">IFERROR(__xludf.DUMMYFUNCTION("""COMPUTED_VALUE"""),3.3)</f>
        <v>3.3</v>
      </c>
      <c r="D12030" s="8">
        <f ca="1">IFERROR(__xludf.DUMMYFUNCTION("""COMPUTED_VALUE"""),7)</f>
        <v>7</v>
      </c>
      <c r="E12030" s="2">
        <f ca="1">IFERROR(__xludf.DUMMYFUNCTION("""COMPUTED_VALUE"""),2)</f>
        <v>2</v>
      </c>
    </row>
    <row r="12031" spans="1:5" ht="13">
      <c r="A12031" s="2" t="str">
        <f ca="1">IFERROR(__xludf.DUMMYFUNCTION("""COMPUTED_VALUE"""),"Wu Zuqiang / Wang Yanqiao / Liu Dehai")</f>
        <v>Wu Zuqiang / Wang Yanqiao / Liu Dehai</v>
      </c>
      <c r="B12031" s="2">
        <f ca="1">IFERROR(__xludf.DUMMYFUNCTION("""COMPUTED_VALUE"""),3)</f>
        <v>3</v>
      </c>
      <c r="C12031" s="2">
        <f ca="1">IFERROR(__xludf.DUMMYFUNCTION("""COMPUTED_VALUE"""),3.3)</f>
        <v>3.3</v>
      </c>
      <c r="D12031" s="8">
        <f ca="1">IFERROR(__xludf.DUMMYFUNCTION("""COMPUTED_VALUE"""),7)</f>
        <v>7</v>
      </c>
      <c r="E12031" s="2">
        <f ca="1">IFERROR(__xludf.DUMMYFUNCTION("""COMPUTED_VALUE"""),2)</f>
        <v>2</v>
      </c>
    </row>
    <row r="12032" spans="1:5" ht="13">
      <c r="A12032" s="2" t="str">
        <f ca="1">IFERROR(__xludf.DUMMYFUNCTION("""COMPUTED_VALUE"""),"Wu, Sam")</f>
        <v>Wu, Sam</v>
      </c>
      <c r="B12032" s="2">
        <f ca="1">IFERROR(__xludf.DUMMYFUNCTION("""COMPUTED_VALUE"""),3)</f>
        <v>3</v>
      </c>
      <c r="C12032" s="2">
        <f ca="1">IFERROR(__xludf.DUMMYFUNCTION("""COMPUTED_VALUE"""),3.3)</f>
        <v>3.3</v>
      </c>
      <c r="D12032" s="8">
        <f ca="1">IFERROR(__xludf.DUMMYFUNCTION("""COMPUTED_VALUE"""),3)</f>
        <v>3</v>
      </c>
      <c r="E12032" s="2">
        <f ca="1">IFERROR(__xludf.DUMMYFUNCTION("""COMPUTED_VALUE"""),1)</f>
        <v>1</v>
      </c>
    </row>
    <row r="12033" spans="1:5" ht="13">
      <c r="A12033" s="2" t="str">
        <f ca="1">IFERROR(__xludf.DUMMYFUNCTION("""COMPUTED_VALUE"""),"Wyche, Sid / Watts, Mayme")</f>
        <v>Wyche, Sid / Watts, Mayme</v>
      </c>
      <c r="B12033" s="3">
        <f ca="1">IFERROR(__xludf.DUMMYFUNCTION("""COMPUTED_VALUE"""),3)</f>
        <v>3</v>
      </c>
      <c r="C12033" s="7">
        <f ca="1">IFERROR(__xludf.DUMMYFUNCTION("""COMPUTED_VALUE"""),3.1)</f>
        <v>3.1</v>
      </c>
      <c r="D12033" s="8">
        <f ca="1">IFERROR(__xludf.DUMMYFUNCTION("""COMPUTED_VALUE"""),7)</f>
        <v>7</v>
      </c>
      <c r="E12033" s="2">
        <f ca="1">IFERROR(__xludf.DUMMYFUNCTION("""COMPUTED_VALUE"""),2)</f>
        <v>2</v>
      </c>
    </row>
    <row r="12034" spans="1:5" ht="13">
      <c r="A12034" s="2" t="str">
        <f ca="1">IFERROR(__xludf.DUMMYFUNCTION("""COMPUTED_VALUE"""),"Xian Xinghai")</f>
        <v>Xian Xinghai</v>
      </c>
      <c r="B12034" s="3">
        <f ca="1">IFERROR(__xludf.DUMMYFUNCTION("""COMPUTED_VALUE"""),3)</f>
        <v>3</v>
      </c>
      <c r="C12034" s="7">
        <f ca="1">IFERROR(__xludf.DUMMYFUNCTION("""COMPUTED_VALUE"""),3.3)</f>
        <v>3.3</v>
      </c>
      <c r="D12034" s="8">
        <f ca="1">IFERROR(__xludf.DUMMYFUNCTION("""COMPUTED_VALUE"""),7)</f>
        <v>7</v>
      </c>
      <c r="E12034" s="2">
        <f ca="1">IFERROR(__xludf.DUMMYFUNCTION("""COMPUTED_VALUE"""),2)</f>
        <v>2</v>
      </c>
    </row>
    <row r="12035" spans="1:5" ht="13">
      <c r="A12035" s="2" t="str">
        <f ca="1">IFERROR(__xludf.DUMMYFUNCTION("""COMPUTED_VALUE"""),"Xiaokang Deng")</f>
        <v>Xiaokang Deng</v>
      </c>
      <c r="B12035" s="2">
        <f ca="1">IFERROR(__xludf.DUMMYFUNCTION("""COMPUTED_VALUE"""),3)</f>
        <v>3</v>
      </c>
      <c r="C12035" s="7">
        <f ca="1">IFERROR(__xludf.DUMMYFUNCTION("""COMPUTED_VALUE"""),3.3)</f>
        <v>3.3</v>
      </c>
      <c r="D12035" s="8">
        <f ca="1">IFERROR(__xludf.DUMMYFUNCTION("""COMPUTED_VALUE"""),3)</f>
        <v>3</v>
      </c>
      <c r="E12035" s="2">
        <f ca="1">IFERROR(__xludf.DUMMYFUNCTION("""COMPUTED_VALUE"""),1)</f>
        <v>1</v>
      </c>
    </row>
    <row r="12036" spans="1:5" ht="13">
      <c r="A12036" s="2" t="str">
        <f ca="1">IFERROR(__xludf.DUMMYFUNCTION("""COMPUTED_VALUE"""),"Xilin, Wang")</f>
        <v>Xilin, Wang</v>
      </c>
      <c r="B12036" s="3">
        <f ca="1">IFERROR(__xludf.DUMMYFUNCTION("""COMPUTED_VALUE"""),3)</f>
        <v>3</v>
      </c>
      <c r="C12036" s="7">
        <f ca="1">IFERROR(__xludf.DUMMYFUNCTION("""COMPUTED_VALUE"""),3.3)</f>
        <v>3.3</v>
      </c>
      <c r="D12036" s="8">
        <f ca="1">IFERROR(__xludf.DUMMYFUNCTION("""COMPUTED_VALUE"""),3)</f>
        <v>3</v>
      </c>
      <c r="E12036" s="2">
        <f ca="1">IFERROR(__xludf.DUMMYFUNCTION("""COMPUTED_VALUE"""),1)</f>
        <v>1</v>
      </c>
    </row>
    <row r="12037" spans="1:5" ht="13">
      <c r="A12037" s="8" t="str">
        <f ca="1">IFERROR(__xludf.DUMMYFUNCTION("""COMPUTED_VALUE"""),"Xiu-Lan Yang")</f>
        <v>Xiu-Lan Yang</v>
      </c>
      <c r="B12037" s="2">
        <f ca="1">IFERROR(__xludf.DUMMYFUNCTION("""COMPUTED_VALUE"""),3)</f>
        <v>3</v>
      </c>
      <c r="C12037" s="7">
        <f ca="1">IFERROR(__xludf.DUMMYFUNCTION("""COMPUTED_VALUE"""),3.3)</f>
        <v>3.3</v>
      </c>
      <c r="D12037" s="8">
        <f ca="1">IFERROR(__xludf.DUMMYFUNCTION("""COMPUTED_VALUE"""),3)</f>
        <v>3</v>
      </c>
      <c r="E12037" s="2">
        <f ca="1">IFERROR(__xludf.DUMMYFUNCTION("""COMPUTED_VALUE"""),1)</f>
        <v>1</v>
      </c>
    </row>
    <row r="12038" spans="1:5" ht="13">
      <c r="A12038" s="2" t="str">
        <f ca="1">IFERROR(__xludf.DUMMYFUNCTION("""COMPUTED_VALUE"""),"Yagisawa, Satoshi")</f>
        <v>Yagisawa, Satoshi</v>
      </c>
      <c r="B12038" s="3">
        <f ca="1">IFERROR(__xludf.DUMMYFUNCTION("""COMPUTED_VALUE"""),3)</f>
        <v>3</v>
      </c>
      <c r="C12038" s="7">
        <f ca="1">IFERROR(__xludf.DUMMYFUNCTION("""COMPUTED_VALUE"""),3.3)</f>
        <v>3.3</v>
      </c>
      <c r="D12038" s="8">
        <f ca="1">IFERROR(__xludf.DUMMYFUNCTION("""COMPUTED_VALUE"""),3)</f>
        <v>3</v>
      </c>
      <c r="E12038" s="2">
        <f ca="1">IFERROR(__xludf.DUMMYFUNCTION("""COMPUTED_VALUE"""),1)</f>
        <v>1</v>
      </c>
    </row>
    <row r="12039" spans="1:5" ht="13">
      <c r="A12039" s="2" t="str">
        <f ca="1">IFERROR(__xludf.DUMMYFUNCTION("""COMPUTED_VALUE"""),"Yamada, Kōsaku")</f>
        <v>Yamada, Kōsaku</v>
      </c>
      <c r="B12039" s="3">
        <f ca="1">IFERROR(__xludf.DUMMYFUNCTION("""COMPUTED_VALUE"""),3)</f>
        <v>3</v>
      </c>
      <c r="C12039" s="7">
        <f ca="1">IFERROR(__xludf.DUMMYFUNCTION("""COMPUTED_VALUE"""),3.3)</f>
        <v>3.3</v>
      </c>
      <c r="D12039" s="8">
        <f ca="1">IFERROR(__xludf.DUMMYFUNCTION("""COMPUTED_VALUE"""),7)</f>
        <v>7</v>
      </c>
      <c r="E12039" s="2">
        <f ca="1">IFERROR(__xludf.DUMMYFUNCTION("""COMPUTED_VALUE"""),2)</f>
        <v>2</v>
      </c>
    </row>
    <row r="12040" spans="1:5" ht="13">
      <c r="A12040" s="2" t="str">
        <f ca="1">IFERROR(__xludf.DUMMYFUNCTION("""COMPUTED_VALUE"""),"Yamamoto, Kenji")</f>
        <v>Yamamoto, Kenji</v>
      </c>
      <c r="B12040" s="3">
        <f ca="1">IFERROR(__xludf.DUMMYFUNCTION("""COMPUTED_VALUE"""),3)</f>
        <v>3</v>
      </c>
      <c r="C12040" s="7">
        <f ca="1">IFERROR(__xludf.DUMMYFUNCTION("""COMPUTED_VALUE"""),3.3)</f>
        <v>3.3</v>
      </c>
      <c r="D12040" s="8">
        <f ca="1">IFERROR(__xludf.DUMMYFUNCTION("""COMPUTED_VALUE"""),3)</f>
        <v>3</v>
      </c>
      <c r="E12040" s="2">
        <f ca="1">IFERROR(__xludf.DUMMYFUNCTION("""COMPUTED_VALUE"""),1)</f>
        <v>1</v>
      </c>
    </row>
    <row r="12041" spans="1:5" ht="13">
      <c r="A12041" s="2" t="str">
        <f ca="1">IFERROR(__xludf.DUMMYFUNCTION("""COMPUTED_VALUE"""),"Yamazawa, Hiroyuki")</f>
        <v>Yamazawa, Hiroyuki</v>
      </c>
      <c r="B12041" s="2">
        <f ca="1">IFERROR(__xludf.DUMMYFUNCTION("""COMPUTED_VALUE"""),3)</f>
        <v>3</v>
      </c>
      <c r="C12041" s="7">
        <f ca="1">IFERROR(__xludf.DUMMYFUNCTION("""COMPUTED_VALUE"""),3.3)</f>
        <v>3.3</v>
      </c>
      <c r="D12041" s="8">
        <f ca="1">IFERROR(__xludf.DUMMYFUNCTION("""COMPUTED_VALUE"""),3)</f>
        <v>3</v>
      </c>
      <c r="E12041" s="2">
        <f ca="1">IFERROR(__xludf.DUMMYFUNCTION("""COMPUTED_VALUE"""),1)</f>
        <v>1</v>
      </c>
    </row>
    <row r="12042" spans="1:5" ht="13">
      <c r="A12042" s="2" t="str">
        <f ca="1">IFERROR(__xludf.DUMMYFUNCTION("""COMPUTED_VALUE"""),"Yanchen Ye")</f>
        <v>Yanchen Ye</v>
      </c>
      <c r="B12042" s="2">
        <f ca="1">IFERROR(__xludf.DUMMYFUNCTION("""COMPUTED_VALUE"""),3)</f>
        <v>3</v>
      </c>
      <c r="C12042" s="2">
        <f ca="1">IFERROR(__xludf.DUMMYFUNCTION("""COMPUTED_VALUE"""),3.3)</f>
        <v>3.3</v>
      </c>
      <c r="D12042" s="8">
        <f ca="1">IFERROR(__xludf.DUMMYFUNCTION("""COMPUTED_VALUE"""),3)</f>
        <v>3</v>
      </c>
      <c r="E12042" s="2">
        <f ca="1">IFERROR(__xludf.DUMMYFUNCTION("""COMPUTED_VALUE"""),1)</f>
        <v>1</v>
      </c>
    </row>
    <row r="12043" spans="1:5" ht="13">
      <c r="A12043" s="2" t="str">
        <f ca="1">IFERROR(__xludf.DUMMYFUNCTION("""COMPUTED_VALUE"""),"Yang Wei")</f>
        <v>Yang Wei</v>
      </c>
      <c r="B12043" s="3">
        <f ca="1">IFERROR(__xludf.DUMMYFUNCTION("""COMPUTED_VALUE"""),3)</f>
        <v>3</v>
      </c>
      <c r="C12043" s="7">
        <f ca="1">IFERROR(__xludf.DUMMYFUNCTION("""COMPUTED_VALUE"""),3.3)</f>
        <v>3.3</v>
      </c>
      <c r="D12043" s="8">
        <f ca="1">IFERROR(__xludf.DUMMYFUNCTION("""COMPUTED_VALUE"""),3)</f>
        <v>3</v>
      </c>
      <c r="E12043" s="2">
        <f ca="1">IFERROR(__xludf.DUMMYFUNCTION("""COMPUTED_VALUE"""),1)</f>
        <v>1</v>
      </c>
    </row>
    <row r="12044" spans="1:5" ht="13">
      <c r="A12044" s="2" t="str">
        <f ca="1">IFERROR(__xludf.DUMMYFUNCTION("""COMPUTED_VALUE"""),"Yasuhide, Ito")</f>
        <v>Yasuhide, Ito</v>
      </c>
      <c r="B12044" s="2">
        <f ca="1">IFERROR(__xludf.DUMMYFUNCTION("""COMPUTED_VALUE"""),3)</f>
        <v>3</v>
      </c>
      <c r="C12044" s="7">
        <f ca="1">IFERROR(__xludf.DUMMYFUNCTION("""COMPUTED_VALUE"""),3.3)</f>
        <v>3.3</v>
      </c>
      <c r="D12044" s="8">
        <f ca="1">IFERROR(__xludf.DUMMYFUNCTION("""COMPUTED_VALUE"""),3)</f>
        <v>3</v>
      </c>
      <c r="E12044" s="2">
        <f ca="1">IFERROR(__xludf.DUMMYFUNCTION("""COMPUTED_VALUE"""),1)</f>
        <v>1</v>
      </c>
    </row>
    <row r="12045" spans="1:5" ht="13">
      <c r="A12045" s="8" t="str">
        <f ca="1">IFERROR(__xludf.DUMMYFUNCTION("""COMPUTED_VALUE"""),"Yasui, Byron")</f>
        <v>Yasui, Byron</v>
      </c>
      <c r="B12045" s="3">
        <f ca="1">IFERROR(__xludf.DUMMYFUNCTION("""COMPUTED_VALUE"""),3)</f>
        <v>3</v>
      </c>
      <c r="C12045" s="7">
        <f ca="1">IFERROR(__xludf.DUMMYFUNCTION("""COMPUTED_VALUE"""),3.3)</f>
        <v>3.3</v>
      </c>
      <c r="D12045" s="8">
        <f ca="1">IFERROR(__xludf.DUMMYFUNCTION("""COMPUTED_VALUE"""),3)</f>
        <v>3</v>
      </c>
      <c r="E12045" s="2">
        <f ca="1">IFERROR(__xludf.DUMMYFUNCTION("""COMPUTED_VALUE"""),1)</f>
        <v>1</v>
      </c>
    </row>
    <row r="12046" spans="1:5" ht="13">
      <c r="A12046" s="2" t="str">
        <f ca="1">IFERROR(__xludf.DUMMYFUNCTION("""COMPUTED_VALUE"""),"Yatham, Somesh")</f>
        <v>Yatham, Somesh</v>
      </c>
      <c r="B12046" s="3">
        <f ca="1">IFERROR(__xludf.DUMMYFUNCTION("""COMPUTED_VALUE"""),3)</f>
        <v>3</v>
      </c>
      <c r="C12046" s="7">
        <f ca="1">IFERROR(__xludf.DUMMYFUNCTION("""COMPUTED_VALUE"""),3.4)</f>
        <v>3.4</v>
      </c>
      <c r="D12046" s="8">
        <f ca="1">IFERROR(__xludf.DUMMYFUNCTION("""COMPUTED_VALUE"""),3)</f>
        <v>3</v>
      </c>
      <c r="E12046" s="2">
        <f ca="1">IFERROR(__xludf.DUMMYFUNCTION("""COMPUTED_VALUE"""),1)</f>
        <v>1</v>
      </c>
    </row>
    <row r="12047" spans="1:5" ht="13">
      <c r="A12047" s="2" t="str">
        <f ca="1">IFERROR(__xludf.DUMMYFUNCTION("""COMPUTED_VALUE"""),"Ye Xiaogang")</f>
        <v>Ye Xiaogang</v>
      </c>
      <c r="B12047" s="3">
        <f ca="1">IFERROR(__xludf.DUMMYFUNCTION("""COMPUTED_VALUE"""),3)</f>
        <v>3</v>
      </c>
      <c r="C12047" s="7">
        <f ca="1">IFERROR(__xludf.DUMMYFUNCTION("""COMPUTED_VALUE"""),3.3)</f>
        <v>3.3</v>
      </c>
      <c r="D12047" s="8">
        <f ca="1">IFERROR(__xludf.DUMMYFUNCTION("""COMPUTED_VALUE"""),3)</f>
        <v>3</v>
      </c>
      <c r="E12047" s="2">
        <f ca="1">IFERROR(__xludf.DUMMYFUNCTION("""COMPUTED_VALUE"""),1)</f>
        <v>1</v>
      </c>
    </row>
    <row r="12048" spans="1:5" ht="13">
      <c r="A12048" s="2" t="str">
        <f ca="1">IFERROR(__xludf.DUMMYFUNCTION("""COMPUTED_VALUE"""),"Yee, Thomas")</f>
        <v>Yee, Thomas</v>
      </c>
      <c r="B12048" s="3">
        <f ca="1">IFERROR(__xludf.DUMMYFUNCTION("""COMPUTED_VALUE"""),3)</f>
        <v>3</v>
      </c>
      <c r="C12048" s="7">
        <f ca="1">IFERROR(__xludf.DUMMYFUNCTION("""COMPUTED_VALUE"""),3.3)</f>
        <v>3.3</v>
      </c>
      <c r="D12048" s="8">
        <f ca="1">IFERROR(__xludf.DUMMYFUNCTION("""COMPUTED_VALUE"""),3)</f>
        <v>3</v>
      </c>
      <c r="E12048" s="2">
        <f ca="1">IFERROR(__xludf.DUMMYFUNCTION("""COMPUTED_VALUE"""),1)</f>
        <v>1</v>
      </c>
    </row>
    <row r="12049" spans="1:5" ht="13">
      <c r="A12049" s="2" t="str">
        <f ca="1">IFERROR(__xludf.DUMMYFUNCTION("""COMPUTED_VALUE"""),"Yee, Thomas B.")</f>
        <v>Yee, Thomas B.</v>
      </c>
      <c r="B12049" s="2">
        <f ca="1">IFERROR(__xludf.DUMMYFUNCTION("""COMPUTED_VALUE"""),3)</f>
        <v>3</v>
      </c>
      <c r="C12049" s="7">
        <f ca="1">IFERROR(__xludf.DUMMYFUNCTION("""COMPUTED_VALUE"""),3.3)</f>
        <v>3.3</v>
      </c>
      <c r="D12049" s="8">
        <f ca="1">IFERROR(__xludf.DUMMYFUNCTION("""COMPUTED_VALUE"""),3)</f>
        <v>3</v>
      </c>
      <c r="E12049" s="2">
        <f ca="1">IFERROR(__xludf.DUMMYFUNCTION("""COMPUTED_VALUE"""),1)</f>
        <v>1</v>
      </c>
    </row>
    <row r="12050" spans="1:5" ht="13">
      <c r="A12050" s="2" t="str">
        <f ca="1">IFERROR(__xludf.DUMMYFUNCTION("""COMPUTED_VALUE"""),"Yeo, Benjamin")</f>
        <v>Yeo, Benjamin</v>
      </c>
      <c r="B12050" s="3">
        <f ca="1">IFERROR(__xludf.DUMMYFUNCTION("""COMPUTED_VALUE"""),3)</f>
        <v>3</v>
      </c>
      <c r="C12050" s="7">
        <f ca="1">IFERROR(__xludf.DUMMYFUNCTION("""COMPUTED_VALUE"""),3.3)</f>
        <v>3.3</v>
      </c>
      <c r="D12050" s="8">
        <f ca="1">IFERROR(__xludf.DUMMYFUNCTION("""COMPUTED_VALUE"""),3)</f>
        <v>3</v>
      </c>
      <c r="E12050" s="2">
        <f ca="1">IFERROR(__xludf.DUMMYFUNCTION("""COMPUTED_VALUE"""),1)</f>
        <v>1</v>
      </c>
    </row>
    <row r="12051" spans="1:5" ht="13">
      <c r="A12051" s="2" t="str">
        <f ca="1">IFERROR(__xludf.DUMMYFUNCTION("""COMPUTED_VALUE"""),"Yi-De Chen")</f>
        <v>Yi-De Chen</v>
      </c>
      <c r="B12051" s="3">
        <f ca="1">IFERROR(__xludf.DUMMYFUNCTION("""COMPUTED_VALUE"""),3)</f>
        <v>3</v>
      </c>
      <c r="C12051" s="7">
        <f ca="1">IFERROR(__xludf.DUMMYFUNCTION("""COMPUTED_VALUE"""),3.3)</f>
        <v>3.3</v>
      </c>
      <c r="D12051" s="8">
        <f ca="1">IFERROR(__xludf.DUMMYFUNCTION("""COMPUTED_VALUE"""),3)</f>
        <v>3</v>
      </c>
      <c r="E12051" s="2">
        <f ca="1">IFERROR(__xludf.DUMMYFUNCTION("""COMPUTED_VALUE"""),1)</f>
        <v>1</v>
      </c>
    </row>
    <row r="12052" spans="1:5" ht="13">
      <c r="A12052" s="2" t="str">
        <f ca="1">IFERROR(__xludf.DUMMYFUNCTION("""COMPUTED_VALUE"""),"Yim, Chee Weng")</f>
        <v>Yim, Chee Weng</v>
      </c>
      <c r="B12052" s="3">
        <f ca="1">IFERROR(__xludf.DUMMYFUNCTION("""COMPUTED_VALUE"""),3)</f>
        <v>3</v>
      </c>
      <c r="C12052" s="7">
        <f ca="1">IFERROR(__xludf.DUMMYFUNCTION("""COMPUTED_VALUE"""),3.3)</f>
        <v>3.3</v>
      </c>
      <c r="D12052" s="8">
        <f ca="1">IFERROR(__xludf.DUMMYFUNCTION("""COMPUTED_VALUE"""),7)</f>
        <v>7</v>
      </c>
      <c r="E12052" s="2">
        <f ca="1">IFERROR(__xludf.DUMMYFUNCTION("""COMPUTED_VALUE"""),2)</f>
        <v>2</v>
      </c>
    </row>
    <row r="12053" spans="1:5" ht="13">
      <c r="A12053" s="8" t="str">
        <f ca="1">IFERROR(__xludf.DUMMYFUNCTION("""COMPUTED_VALUE"""),"Yin Chengzong / Chu Wanghua")</f>
        <v>Yin Chengzong / Chu Wanghua</v>
      </c>
      <c r="B12053" s="3">
        <f ca="1">IFERROR(__xludf.DUMMYFUNCTION("""COMPUTED_VALUE"""),3)</f>
        <v>3</v>
      </c>
      <c r="C12053" s="7">
        <f ca="1">IFERROR(__xludf.DUMMYFUNCTION("""COMPUTED_VALUE"""),3.3)</f>
        <v>3.3</v>
      </c>
      <c r="D12053" s="8">
        <f ca="1">IFERROR(__xludf.DUMMYFUNCTION("""COMPUTED_VALUE"""),3)</f>
        <v>3</v>
      </c>
      <c r="E12053" s="2">
        <f ca="1">IFERROR(__xludf.DUMMYFUNCTION("""COMPUTED_VALUE"""),1)</f>
        <v>1</v>
      </c>
    </row>
    <row r="12054" spans="1:5" ht="13">
      <c r="A12054" s="2" t="str">
        <f ca="1">IFERROR(__xludf.DUMMYFUNCTION("""COMPUTED_VALUE"""),"Yiruma")</f>
        <v>Yiruma</v>
      </c>
      <c r="B12054" s="3">
        <f ca="1">IFERROR(__xludf.DUMMYFUNCTION("""COMPUTED_VALUE"""),3)</f>
        <v>3</v>
      </c>
      <c r="C12054" s="7">
        <f ca="1">IFERROR(__xludf.DUMMYFUNCTION("""COMPUTED_VALUE"""),3.3)</f>
        <v>3.3</v>
      </c>
      <c r="D12054" s="8">
        <f ca="1">IFERROR(__xludf.DUMMYFUNCTION("""COMPUTED_VALUE"""),3)</f>
        <v>3</v>
      </c>
      <c r="E12054" s="2">
        <f ca="1">IFERROR(__xludf.DUMMYFUNCTION("""COMPUTED_VALUE"""),1)</f>
        <v>1</v>
      </c>
    </row>
    <row r="12055" spans="1:5" ht="13">
      <c r="A12055" s="2" t="str">
        <f ca="1">IFERROR(__xludf.DUMMYFUNCTION("""COMPUTED_VALUE"""),"Yiu-Kwong Chung")</f>
        <v>Yiu-Kwong Chung</v>
      </c>
      <c r="B12055" s="3">
        <f ca="1">IFERROR(__xludf.DUMMYFUNCTION("""COMPUTED_VALUE"""),3)</f>
        <v>3</v>
      </c>
      <c r="C12055" s="7">
        <f ca="1">IFERROR(__xludf.DUMMYFUNCTION("""COMPUTED_VALUE"""),3.3)</f>
        <v>3.3</v>
      </c>
      <c r="D12055" s="8">
        <f ca="1">IFERROR(__xludf.DUMMYFUNCTION("""COMPUTED_VALUE"""),3)</f>
        <v>3</v>
      </c>
      <c r="E12055" s="2">
        <f ca="1">IFERROR(__xludf.DUMMYFUNCTION("""COMPUTED_VALUE"""),1)</f>
        <v>1</v>
      </c>
    </row>
    <row r="12056" spans="1:5" ht="13">
      <c r="A12056" s="2" t="str">
        <f ca="1">IFERROR(__xludf.DUMMYFUNCTION("""COMPUTED_VALUE"""),"Yiu, Raymond")</f>
        <v>Yiu, Raymond</v>
      </c>
      <c r="B12056" s="2">
        <f ca="1">IFERROR(__xludf.DUMMYFUNCTION("""COMPUTED_VALUE"""),3)</f>
        <v>3</v>
      </c>
      <c r="C12056" s="2">
        <f ca="1">IFERROR(__xludf.DUMMYFUNCTION("""COMPUTED_VALUE"""),3.3)</f>
        <v>3.3</v>
      </c>
      <c r="D12056" s="8">
        <f ca="1">IFERROR(__xludf.DUMMYFUNCTION("""COMPUTED_VALUE"""),3)</f>
        <v>3</v>
      </c>
      <c r="E12056" s="2">
        <f ca="1">IFERROR(__xludf.DUMMYFUNCTION("""COMPUTED_VALUE"""),1)</f>
        <v>1</v>
      </c>
    </row>
    <row r="12057" spans="1:5" ht="13">
      <c r="A12057" s="2" t="str">
        <f ca="1">IFERROR(__xludf.DUMMYFUNCTION("""COMPUTED_VALUE"""),"Yodo, Akira")</f>
        <v>Yodo, Akira</v>
      </c>
      <c r="B12057" s="2">
        <f ca="1">IFERROR(__xludf.DUMMYFUNCTION("""COMPUTED_VALUE"""),3)</f>
        <v>3</v>
      </c>
      <c r="C12057" s="2">
        <f ca="1">IFERROR(__xludf.DUMMYFUNCTION("""COMPUTED_VALUE"""),3.3)</f>
        <v>3.3</v>
      </c>
      <c r="D12057" s="8">
        <f ca="1">IFERROR(__xludf.DUMMYFUNCTION("""COMPUTED_VALUE"""),3)</f>
        <v>3</v>
      </c>
      <c r="E12057" s="2">
        <f ca="1">IFERROR(__xludf.DUMMYFUNCTION("""COMPUTED_VALUE"""),1)</f>
        <v>1</v>
      </c>
    </row>
    <row r="12058" spans="1:5" ht="13">
      <c r="A12058" s="2" t="str">
        <f ca="1">IFERROR(__xludf.DUMMYFUNCTION("""COMPUTED_VALUE"""),"Yohanes, Budi Susanto")</f>
        <v>Yohanes, Budi Susanto</v>
      </c>
      <c r="B12058" s="2">
        <f ca="1">IFERROR(__xludf.DUMMYFUNCTION("""COMPUTED_VALUE"""),3)</f>
        <v>3</v>
      </c>
      <c r="C12058" s="7">
        <f ca="1">IFERROR(__xludf.DUMMYFUNCTION("""COMPUTED_VALUE"""),3.3)</f>
        <v>3.3</v>
      </c>
      <c r="D12058" s="8">
        <f ca="1">IFERROR(__xludf.DUMMYFUNCTION("""COMPUTED_VALUE"""),3)</f>
        <v>3</v>
      </c>
      <c r="E12058" s="2">
        <f ca="1">IFERROR(__xludf.DUMMYFUNCTION("""COMPUTED_VALUE"""),1)</f>
        <v>1</v>
      </c>
    </row>
    <row r="12059" spans="1:5" ht="13">
      <c r="A12059" s="2" t="str">
        <f ca="1">IFERROR(__xludf.DUMMYFUNCTION("""COMPUTED_VALUE"""),"Yoshida")</f>
        <v>Yoshida</v>
      </c>
      <c r="B12059" s="3">
        <f ca="1">IFERROR(__xludf.DUMMYFUNCTION("""COMPUTED_VALUE"""),3)</f>
        <v>3</v>
      </c>
      <c r="C12059" s="7">
        <f ca="1">IFERROR(__xludf.DUMMYFUNCTION("""COMPUTED_VALUE"""),3.3)</f>
        <v>3.3</v>
      </c>
      <c r="D12059" s="8">
        <f ca="1">IFERROR(__xludf.DUMMYFUNCTION("""COMPUTED_VALUE"""),3)</f>
        <v>3</v>
      </c>
      <c r="E12059" s="2">
        <f ca="1">IFERROR(__xludf.DUMMYFUNCTION("""COMPUTED_VALUE"""),1)</f>
        <v>1</v>
      </c>
    </row>
    <row r="12060" spans="1:5" ht="13">
      <c r="A12060" s="2" t="str">
        <f ca="1">IFERROR(__xludf.DUMMYFUNCTION("""COMPUTED_VALUE"""),"Yoshida, Yusaku")</f>
        <v>Yoshida, Yusaku</v>
      </c>
      <c r="B12060" s="2">
        <f ca="1">IFERROR(__xludf.DUMMYFUNCTION("""COMPUTED_VALUE"""),3)</f>
        <v>3</v>
      </c>
      <c r="C12060" s="2">
        <f ca="1">IFERROR(__xludf.DUMMYFUNCTION("""COMPUTED_VALUE"""),3.3)</f>
        <v>3.3</v>
      </c>
      <c r="D12060" s="8">
        <f ca="1">IFERROR(__xludf.DUMMYFUNCTION("""COMPUTED_VALUE"""),3)</f>
        <v>3</v>
      </c>
      <c r="E12060" s="2">
        <f ca="1">IFERROR(__xludf.DUMMYFUNCTION("""COMPUTED_VALUE"""),1)</f>
        <v>1</v>
      </c>
    </row>
    <row r="12061" spans="1:5" ht="13">
      <c r="A12061" s="2" t="str">
        <f ca="1">IFERROR(__xludf.DUMMYFUNCTION("""COMPUTED_VALUE"""),"Yoshimatsu, Takashi")</f>
        <v>Yoshimatsu, Takashi</v>
      </c>
      <c r="B12061" s="3">
        <f ca="1">IFERROR(__xludf.DUMMYFUNCTION("""COMPUTED_VALUE"""),3)</f>
        <v>3</v>
      </c>
      <c r="C12061" s="7">
        <f ca="1">IFERROR(__xludf.DUMMYFUNCTION("""COMPUTED_VALUE"""),3.3)</f>
        <v>3.3</v>
      </c>
      <c r="D12061" s="8">
        <f ca="1">IFERROR(__xludf.DUMMYFUNCTION("""COMPUTED_VALUE"""),3)</f>
        <v>3</v>
      </c>
      <c r="E12061" s="2">
        <f ca="1">IFERROR(__xludf.DUMMYFUNCTION("""COMPUTED_VALUE"""),1)</f>
        <v>1</v>
      </c>
    </row>
    <row r="12062" spans="1:5" ht="13">
      <c r="A12062" s="2" t="str">
        <f ca="1">IFERROR(__xludf.DUMMYFUNCTION("""COMPUTED_VALUE"""),"Youichi, Kamioka")</f>
        <v>Youichi, Kamioka</v>
      </c>
      <c r="B12062" s="3">
        <f ca="1">IFERROR(__xludf.DUMMYFUNCTION("""COMPUTED_VALUE"""),3)</f>
        <v>3</v>
      </c>
      <c r="C12062" s="7">
        <f ca="1">IFERROR(__xludf.DUMMYFUNCTION("""COMPUTED_VALUE"""),3.3)</f>
        <v>3.3</v>
      </c>
      <c r="D12062" s="8">
        <f ca="1">IFERROR(__xludf.DUMMYFUNCTION("""COMPUTED_VALUE"""),3)</f>
        <v>3</v>
      </c>
      <c r="E12062" s="2">
        <f ca="1">IFERROR(__xludf.DUMMYFUNCTION("""COMPUTED_VALUE"""),1)</f>
        <v>1</v>
      </c>
    </row>
    <row r="12063" spans="1:5" ht="13">
      <c r="A12063" s="2" t="str">
        <f ca="1">IFERROR(__xludf.DUMMYFUNCTION("""COMPUTED_VALUE"""),"Young, Lester")</f>
        <v>Young, Lester</v>
      </c>
      <c r="B12063" s="3">
        <f ca="1">IFERROR(__xludf.DUMMYFUNCTION("""COMPUTED_VALUE"""),3)</f>
        <v>3</v>
      </c>
      <c r="C12063" s="7">
        <f ca="1">IFERROR(__xludf.DUMMYFUNCTION("""COMPUTED_VALUE"""),3.1)</f>
        <v>3.1</v>
      </c>
      <c r="D12063" s="8">
        <f ca="1">IFERROR(__xludf.DUMMYFUNCTION("""COMPUTED_VALUE"""),7)</f>
        <v>7</v>
      </c>
      <c r="E12063" s="2">
        <f ca="1">IFERROR(__xludf.DUMMYFUNCTION("""COMPUTED_VALUE"""),2)</f>
        <v>2</v>
      </c>
    </row>
    <row r="12064" spans="1:5" ht="13">
      <c r="A12064" s="2" t="str">
        <f ca="1">IFERROR(__xludf.DUMMYFUNCTION("""COMPUTED_VALUE"""),"Yousufi, Milad")</f>
        <v>Yousufi, Milad</v>
      </c>
      <c r="B12064" s="3">
        <f ca="1">IFERROR(__xludf.DUMMYFUNCTION("""COMPUTED_VALUE"""),3)</f>
        <v>3</v>
      </c>
      <c r="C12064" s="7">
        <f ca="1">IFERROR(__xludf.DUMMYFUNCTION("""COMPUTED_VALUE"""),3.3)</f>
        <v>3.3</v>
      </c>
      <c r="D12064" s="8">
        <f ca="1">IFERROR(__xludf.DUMMYFUNCTION("""COMPUTED_VALUE"""),3)</f>
        <v>3</v>
      </c>
      <c r="E12064" s="2">
        <f ca="1">IFERROR(__xludf.DUMMYFUNCTION("""COMPUTED_VALUE"""),1)</f>
        <v>1</v>
      </c>
    </row>
    <row r="12065" spans="1:5" ht="13">
      <c r="A12065" s="2" t="str">
        <f ca="1">IFERROR(__xludf.DUMMYFUNCTION("""COMPUTED_VALUE"""),"Yu Jianfang")</f>
        <v>Yu Jianfang</v>
      </c>
      <c r="B12065" s="3">
        <f ca="1">IFERROR(__xludf.DUMMYFUNCTION("""COMPUTED_VALUE"""),3)</f>
        <v>3</v>
      </c>
      <c r="C12065" s="7">
        <f ca="1">IFERROR(__xludf.DUMMYFUNCTION("""COMPUTED_VALUE"""),3.3)</f>
        <v>3.3</v>
      </c>
      <c r="D12065" s="8">
        <f ca="1">IFERROR(__xludf.DUMMYFUNCTION("""COMPUTED_VALUE"""),3)</f>
        <v>3</v>
      </c>
      <c r="E12065" s="2">
        <f ca="1">IFERROR(__xludf.DUMMYFUNCTION("""COMPUTED_VALUE"""),1)</f>
        <v>1</v>
      </c>
    </row>
    <row r="12066" spans="1:5" ht="13">
      <c r="A12066" s="8" t="str">
        <f ca="1">IFERROR(__xludf.DUMMYFUNCTION("""COMPUTED_VALUE"""),"Yu-Chou Chen")</f>
        <v>Yu-Chou Chen</v>
      </c>
      <c r="B12066" s="3">
        <f ca="1">IFERROR(__xludf.DUMMYFUNCTION("""COMPUTED_VALUE"""),3)</f>
        <v>3</v>
      </c>
      <c r="C12066" s="7">
        <f ca="1">IFERROR(__xludf.DUMMYFUNCTION("""COMPUTED_VALUE"""),3.3)</f>
        <v>3.3</v>
      </c>
      <c r="D12066" s="8">
        <f ca="1">IFERROR(__xludf.DUMMYFUNCTION("""COMPUTED_VALUE"""),3)</f>
        <v>3</v>
      </c>
      <c r="E12066" s="2">
        <f ca="1">IFERROR(__xludf.DUMMYFUNCTION("""COMPUTED_VALUE"""),1)</f>
        <v>1</v>
      </c>
    </row>
    <row r="12067" spans="1:5" ht="13">
      <c r="A12067" s="2" t="str">
        <f ca="1">IFERROR(__xludf.DUMMYFUNCTION("""COMPUTED_VALUE"""),"Yu, Tommy")</f>
        <v>Yu, Tommy</v>
      </c>
      <c r="B12067" s="3">
        <f ca="1">IFERROR(__xludf.DUMMYFUNCTION("""COMPUTED_VALUE"""),3)</f>
        <v>3</v>
      </c>
      <c r="C12067" s="7">
        <f ca="1">IFERROR(__xludf.DUMMYFUNCTION("""COMPUTED_VALUE"""),3.3)</f>
        <v>3.3</v>
      </c>
      <c r="D12067" s="8">
        <f ca="1">IFERROR(__xludf.DUMMYFUNCTION("""COMPUTED_VALUE"""),3)</f>
        <v>3</v>
      </c>
      <c r="E12067" s="2">
        <f ca="1">IFERROR(__xludf.DUMMYFUNCTION("""COMPUTED_VALUE"""),1)</f>
        <v>1</v>
      </c>
    </row>
    <row r="12068" spans="1:5" ht="13">
      <c r="A12068" s="2" t="str">
        <f ca="1">IFERROR(__xludf.DUMMYFUNCTION("""COMPUTED_VALUE"""),"Yuan, Mao")</f>
        <v>Yuan, Mao</v>
      </c>
      <c r="B12068" s="3">
        <f ca="1">IFERROR(__xludf.DUMMYFUNCTION("""COMPUTED_VALUE"""),3)</f>
        <v>3</v>
      </c>
      <c r="C12068" s="7">
        <f ca="1">IFERROR(__xludf.DUMMYFUNCTION("""COMPUTED_VALUE"""),3.3)</f>
        <v>3.3</v>
      </c>
      <c r="D12068" s="8">
        <f ca="1">IFERROR(__xludf.DUMMYFUNCTION("""COMPUTED_VALUE"""),3)</f>
        <v>3</v>
      </c>
      <c r="E12068" s="2">
        <f ca="1">IFERROR(__xludf.DUMMYFUNCTION("""COMPUTED_VALUE"""),1)</f>
        <v>1</v>
      </c>
    </row>
    <row r="12069" spans="1:5" ht="13">
      <c r="A12069" s="2" t="str">
        <f ca="1">IFERROR(__xludf.DUMMYFUNCTION("""COMPUTED_VALUE"""),"Yuankai Bao")</f>
        <v>Yuankai Bao</v>
      </c>
      <c r="B12069" s="3">
        <f ca="1">IFERROR(__xludf.DUMMYFUNCTION("""COMPUTED_VALUE"""),3)</f>
        <v>3</v>
      </c>
      <c r="C12069" s="7">
        <f ca="1">IFERROR(__xludf.DUMMYFUNCTION("""COMPUTED_VALUE"""),3.3)</f>
        <v>3.3</v>
      </c>
      <c r="D12069" s="8">
        <f ca="1">IFERROR(__xludf.DUMMYFUNCTION("""COMPUTED_VALUE"""),3)</f>
        <v>3</v>
      </c>
      <c r="E12069" s="2">
        <f ca="1">IFERROR(__xludf.DUMMYFUNCTION("""COMPUTED_VALUE"""),1)</f>
        <v>1</v>
      </c>
    </row>
    <row r="12070" spans="1:5" ht="13">
      <c r="A12070" s="8" t="str">
        <f ca="1">IFERROR(__xludf.DUMMYFUNCTION("""COMPUTED_VALUE"""),"Yukumoto, Todd")</f>
        <v>Yukumoto, Todd</v>
      </c>
      <c r="B12070" s="3">
        <f ca="1">IFERROR(__xludf.DUMMYFUNCTION("""COMPUTED_VALUE"""),3)</f>
        <v>3</v>
      </c>
      <c r="C12070" s="7">
        <f ca="1">IFERROR(__xludf.DUMMYFUNCTION("""COMPUTED_VALUE"""),3.3)</f>
        <v>3.3</v>
      </c>
      <c r="D12070" s="8">
        <f ca="1">IFERROR(__xludf.DUMMYFUNCTION("""COMPUTED_VALUE"""),3)</f>
        <v>3</v>
      </c>
      <c r="E12070" s="2">
        <f ca="1">IFERROR(__xludf.DUMMYFUNCTION("""COMPUTED_VALUE"""),1)</f>
        <v>1</v>
      </c>
    </row>
    <row r="12071" spans="1:5" ht="13">
      <c r="A12071" s="2" t="str">
        <f ca="1">IFERROR(__xludf.DUMMYFUNCTION("""COMPUTED_VALUE"""),"Yun, Isang")</f>
        <v>Yun, Isang</v>
      </c>
      <c r="B12071" s="3">
        <f ca="1">IFERROR(__xludf.DUMMYFUNCTION("""COMPUTED_VALUE"""),3)</f>
        <v>3</v>
      </c>
      <c r="C12071" s="7">
        <f ca="1">IFERROR(__xludf.DUMMYFUNCTION("""COMPUTED_VALUE"""),3.3)</f>
        <v>3.3</v>
      </c>
      <c r="D12071" s="8">
        <f ca="1">IFERROR(__xludf.DUMMYFUNCTION("""COMPUTED_VALUE"""),7)</f>
        <v>7</v>
      </c>
      <c r="E12071" s="2">
        <f ca="1">IFERROR(__xludf.DUMMYFUNCTION("""COMPUTED_VALUE"""),2)</f>
        <v>2</v>
      </c>
    </row>
    <row r="12072" spans="1:5" ht="13">
      <c r="A12072" s="8" t="str">
        <f ca="1">IFERROR(__xludf.DUMMYFUNCTION("""COMPUTED_VALUE"""),"Yun, Isang")</f>
        <v>Yun, Isang</v>
      </c>
      <c r="B12072" s="3">
        <f ca="1">IFERROR(__xludf.DUMMYFUNCTION("""COMPUTED_VALUE"""),3)</f>
        <v>3</v>
      </c>
      <c r="C12072" s="7">
        <f ca="1">IFERROR(__xludf.DUMMYFUNCTION("""COMPUTED_VALUE"""),3.3)</f>
        <v>3.3</v>
      </c>
      <c r="D12072" s="8">
        <f ca="1">IFERROR(__xludf.DUMMYFUNCTION("""COMPUTED_VALUE"""),3)</f>
        <v>3</v>
      </c>
      <c r="E12072" s="2">
        <f ca="1">IFERROR(__xludf.DUMMYFUNCTION("""COMPUTED_VALUE"""),1)</f>
        <v>1</v>
      </c>
    </row>
    <row r="12073" spans="1:5" ht="13">
      <c r="A12073" s="2" t="str">
        <f ca="1">IFERROR(__xludf.DUMMYFUNCTION("""COMPUTED_VALUE"""),"Yupanqui, Atahualpa")</f>
        <v>Yupanqui, Atahualpa</v>
      </c>
      <c r="B12073" s="3">
        <f ca="1">IFERROR(__xludf.DUMMYFUNCTION("""COMPUTED_VALUE"""),3)</f>
        <v>3</v>
      </c>
      <c r="C12073" s="7">
        <f ca="1">IFERROR(__xludf.DUMMYFUNCTION("""COMPUTED_VALUE"""),3.2)</f>
        <v>3.2</v>
      </c>
      <c r="D12073" s="8">
        <f ca="1">IFERROR(__xludf.DUMMYFUNCTION("""COMPUTED_VALUE"""),7)</f>
        <v>7</v>
      </c>
      <c r="E12073" s="2">
        <f ca="1">IFERROR(__xludf.DUMMYFUNCTION("""COMPUTED_VALUE"""),2)</f>
        <v>2</v>
      </c>
    </row>
    <row r="12074" spans="1:5" ht="13">
      <c r="A12074" s="2" t="str">
        <f ca="1">IFERROR(__xludf.DUMMYFUNCTION("""COMPUTED_VALUE"""),"Yuponce, Wendell")</f>
        <v>Yuponce, Wendell</v>
      </c>
      <c r="B12074" s="3">
        <f ca="1">IFERROR(__xludf.DUMMYFUNCTION("""COMPUTED_VALUE"""),3)</f>
        <v>3</v>
      </c>
      <c r="C12074" s="7">
        <f ca="1">IFERROR(__xludf.DUMMYFUNCTION("""COMPUTED_VALUE"""),3.3)</f>
        <v>3.3</v>
      </c>
      <c r="D12074" s="8">
        <f ca="1">IFERROR(__xludf.DUMMYFUNCTION("""COMPUTED_VALUE"""),3)</f>
        <v>3</v>
      </c>
      <c r="E12074" s="2">
        <f ca="1">IFERROR(__xludf.DUMMYFUNCTION("""COMPUTED_VALUE"""),1)</f>
        <v>1</v>
      </c>
    </row>
    <row r="12075" spans="1:5" ht="13">
      <c r="A12075" s="2" t="str">
        <f ca="1">IFERROR(__xludf.DUMMYFUNCTION("""COMPUTED_VALUE"""),"Zamora, Carlos")</f>
        <v>Zamora, Carlos</v>
      </c>
      <c r="B12075" s="2">
        <f ca="1">IFERROR(__xludf.DUMMYFUNCTION("""COMPUTED_VALUE"""),3)</f>
        <v>3</v>
      </c>
      <c r="C12075" s="2">
        <f ca="1">IFERROR(__xludf.DUMMYFUNCTION("""COMPUTED_VALUE"""),3.2)</f>
        <v>3.2</v>
      </c>
      <c r="D12075" s="8">
        <f ca="1">IFERROR(__xludf.DUMMYFUNCTION("""COMPUTED_VALUE"""),3)</f>
        <v>3</v>
      </c>
      <c r="E12075" s="2">
        <f ca="1">IFERROR(__xludf.DUMMYFUNCTION("""COMPUTED_VALUE"""),1)</f>
        <v>1</v>
      </c>
    </row>
    <row r="12076" spans="1:5" ht="13">
      <c r="A12076" s="2" t="str">
        <f ca="1">IFERROR(__xludf.DUMMYFUNCTION("""COMPUTED_VALUE"""),"Zare, Roger")</f>
        <v>Zare, Roger</v>
      </c>
      <c r="B12076" s="3">
        <f ca="1">IFERROR(__xludf.DUMMYFUNCTION("""COMPUTED_VALUE"""),3)</f>
        <v>3</v>
      </c>
      <c r="C12076" s="7">
        <f ca="1">IFERROR(__xludf.DUMMYFUNCTION("""COMPUTED_VALUE"""),3.3)</f>
        <v>3.3</v>
      </c>
      <c r="D12076" s="8">
        <f ca="1">IFERROR(__xludf.DUMMYFUNCTION("""COMPUTED_VALUE"""),3)</f>
        <v>3</v>
      </c>
      <c r="E12076" s="2">
        <f ca="1">IFERROR(__xludf.DUMMYFUNCTION("""COMPUTED_VALUE"""),1)</f>
        <v>1</v>
      </c>
    </row>
    <row r="12077" spans="1:5" ht="13">
      <c r="A12077" s="2" t="str">
        <f ca="1">IFERROR(__xludf.DUMMYFUNCTION("""COMPUTED_VALUE"""),"Zehavi, Oded")</f>
        <v>Zehavi, Oded</v>
      </c>
      <c r="B12077" s="3">
        <f ca="1">IFERROR(__xludf.DUMMYFUNCTION("""COMPUTED_VALUE"""),3)</f>
        <v>3</v>
      </c>
      <c r="C12077" s="7">
        <f ca="1">IFERROR(__xludf.DUMMYFUNCTION("""COMPUTED_VALUE"""),3.5)</f>
        <v>3.5</v>
      </c>
      <c r="D12077" s="8">
        <f ca="1">IFERROR(__xludf.DUMMYFUNCTION("""COMPUTED_VALUE"""),3)</f>
        <v>3</v>
      </c>
      <c r="E12077" s="2">
        <f ca="1">IFERROR(__xludf.DUMMYFUNCTION("""COMPUTED_VALUE"""),1)</f>
        <v>1</v>
      </c>
    </row>
    <row r="12078" spans="1:5" ht="13">
      <c r="A12078" s="2" t="str">
        <f ca="1">IFERROR(__xludf.DUMMYFUNCTION("""COMPUTED_VALUE"""),"Zenón, Miguel")</f>
        <v>Zenón, Miguel</v>
      </c>
      <c r="B12078" s="3">
        <f ca="1">IFERROR(__xludf.DUMMYFUNCTION("""COMPUTED_VALUE"""),3)</f>
        <v>3</v>
      </c>
      <c r="C12078" s="7">
        <f ca="1">IFERROR(__xludf.DUMMYFUNCTION("""COMPUTED_VALUE"""),3.2)</f>
        <v>3.2</v>
      </c>
      <c r="D12078" s="8">
        <f ca="1">IFERROR(__xludf.DUMMYFUNCTION("""COMPUTED_VALUE"""),3)</f>
        <v>3</v>
      </c>
      <c r="E12078" s="2">
        <f ca="1">IFERROR(__xludf.DUMMYFUNCTION("""COMPUTED_VALUE"""),1)</f>
        <v>1</v>
      </c>
    </row>
    <row r="12079" spans="1:5" ht="13">
      <c r="A12079" s="2" t="str">
        <f ca="1">IFERROR(__xludf.DUMMYFUNCTION("""COMPUTED_VALUE"""),"Zhao Jiping")</f>
        <v>Zhao Jiping</v>
      </c>
      <c r="B12079" s="3">
        <f ca="1">IFERROR(__xludf.DUMMYFUNCTION("""COMPUTED_VALUE"""),3)</f>
        <v>3</v>
      </c>
      <c r="C12079" s="7">
        <f ca="1">IFERROR(__xludf.DUMMYFUNCTION("""COMPUTED_VALUE"""),3.3)</f>
        <v>3.3</v>
      </c>
      <c r="D12079" s="8">
        <f ca="1">IFERROR(__xludf.DUMMYFUNCTION("""COMPUTED_VALUE"""),3)</f>
        <v>3</v>
      </c>
      <c r="E12079" s="2">
        <f ca="1">IFERROR(__xludf.DUMMYFUNCTION("""COMPUTED_VALUE"""),1)</f>
        <v>1</v>
      </c>
    </row>
    <row r="12080" spans="1:5" ht="13">
      <c r="A12080" s="8" t="str">
        <f ca="1">IFERROR(__xludf.DUMMYFUNCTION("""COMPUTED_VALUE"""),"Zhao, Derek")</f>
        <v>Zhao, Derek</v>
      </c>
      <c r="B12080" s="3">
        <f ca="1">IFERROR(__xludf.DUMMYFUNCTION("""COMPUTED_VALUE"""),3)</f>
        <v>3</v>
      </c>
      <c r="C12080" s="7">
        <f ca="1">IFERROR(__xludf.DUMMYFUNCTION("""COMPUTED_VALUE"""),3.3)</f>
        <v>3.3</v>
      </c>
      <c r="D12080" s="8">
        <f ca="1">IFERROR(__xludf.DUMMYFUNCTION("""COMPUTED_VALUE"""),3)</f>
        <v>3</v>
      </c>
      <c r="E12080" s="2">
        <f ca="1">IFERROR(__xludf.DUMMYFUNCTION("""COMPUTED_VALUE"""),1)</f>
        <v>1</v>
      </c>
    </row>
    <row r="12081" spans="1:5" ht="13">
      <c r="A12081" s="2" t="str">
        <f ca="1">IFERROR(__xludf.DUMMYFUNCTION("""COMPUTED_VALUE"""),"Zheng Lu")</f>
        <v>Zheng Lu</v>
      </c>
      <c r="B12081" s="3">
        <f ca="1">IFERROR(__xludf.DUMMYFUNCTION("""COMPUTED_VALUE"""),3)</f>
        <v>3</v>
      </c>
      <c r="C12081" s="7">
        <f ca="1">IFERROR(__xludf.DUMMYFUNCTION("""COMPUTED_VALUE"""),3.3)</f>
        <v>3.3</v>
      </c>
      <c r="D12081" s="8">
        <f ca="1">IFERROR(__xludf.DUMMYFUNCTION("""COMPUTED_VALUE"""),3)</f>
        <v>3</v>
      </c>
      <c r="E12081" s="2">
        <f ca="1">IFERROR(__xludf.DUMMYFUNCTION("""COMPUTED_VALUE"""),1)</f>
        <v>1</v>
      </c>
    </row>
    <row r="12082" spans="1:5" ht="13">
      <c r="A12082" s="2" t="str">
        <f ca="1">IFERROR(__xludf.DUMMYFUNCTION("""COMPUTED_VALUE"""),"Zhou Long")</f>
        <v>Zhou Long</v>
      </c>
      <c r="B12082" s="3">
        <f ca="1">IFERROR(__xludf.DUMMYFUNCTION("""COMPUTED_VALUE"""),3)</f>
        <v>3</v>
      </c>
      <c r="C12082" s="7">
        <f ca="1">IFERROR(__xludf.DUMMYFUNCTION("""COMPUTED_VALUE"""),3.3)</f>
        <v>3.3</v>
      </c>
      <c r="D12082" s="8">
        <f ca="1">IFERROR(__xludf.DUMMYFUNCTION("""COMPUTED_VALUE"""),3)</f>
        <v>3</v>
      </c>
      <c r="E12082" s="2">
        <f ca="1">IFERROR(__xludf.DUMMYFUNCTION("""COMPUTED_VALUE"""),1)</f>
        <v>1</v>
      </c>
    </row>
    <row r="12083" spans="1:5" ht="13">
      <c r="A12083" s="2" t="str">
        <f ca="1">IFERROR(__xludf.DUMMYFUNCTION("""COMPUTED_VALUE"""),"Zhou Tian")</f>
        <v>Zhou Tian</v>
      </c>
      <c r="B12083" s="3">
        <f ca="1">IFERROR(__xludf.DUMMYFUNCTION("""COMPUTED_VALUE"""),3)</f>
        <v>3</v>
      </c>
      <c r="C12083" s="7">
        <f ca="1">IFERROR(__xludf.DUMMYFUNCTION("""COMPUTED_VALUE"""),3.3)</f>
        <v>3.3</v>
      </c>
      <c r="D12083" s="8">
        <f ca="1">IFERROR(__xludf.DUMMYFUNCTION("""COMPUTED_VALUE"""),3)</f>
        <v>3</v>
      </c>
      <c r="E12083" s="2">
        <f ca="1">IFERROR(__xludf.DUMMYFUNCTION("""COMPUTED_VALUE"""),1)</f>
        <v>1</v>
      </c>
    </row>
    <row r="12084" spans="1:5" ht="13">
      <c r="A12084" s="2" t="str">
        <f ca="1">IFERROR(__xludf.DUMMYFUNCTION("""COMPUTED_VALUE"""),"Zinn, William")</f>
        <v>Zinn, William</v>
      </c>
      <c r="B12084" s="3">
        <f ca="1">IFERROR(__xludf.DUMMYFUNCTION("""COMPUTED_VALUE"""),3)</f>
        <v>3</v>
      </c>
      <c r="C12084" s="7">
        <f ca="1">IFERROR(__xludf.DUMMYFUNCTION("""COMPUTED_VALUE"""),3.1)</f>
        <v>3.1</v>
      </c>
      <c r="D12084" s="8">
        <f ca="1">IFERROR(__xludf.DUMMYFUNCTION("""COMPUTED_VALUE"""),7)</f>
        <v>7</v>
      </c>
      <c r="E12084" s="2">
        <f ca="1">IFERROR(__xludf.DUMMYFUNCTION("""COMPUTED_VALUE"""),2)</f>
        <v>2</v>
      </c>
    </row>
    <row r="12085" spans="1:5" ht="13">
      <c r="A12085" s="2" t="str">
        <f ca="1">IFERROR(__xludf.DUMMYFUNCTION("""COMPUTED_VALUE"""),"Zohn-Muldoon, Ricardo")</f>
        <v>Zohn-Muldoon, Ricardo</v>
      </c>
      <c r="B12085" s="3">
        <f ca="1">IFERROR(__xludf.DUMMYFUNCTION("""COMPUTED_VALUE"""),3)</f>
        <v>3</v>
      </c>
      <c r="C12085" s="7">
        <f ca="1">IFERROR(__xludf.DUMMYFUNCTION("""COMPUTED_VALUE"""),3.2)</f>
        <v>3.2</v>
      </c>
      <c r="D12085" s="8">
        <f ca="1">IFERROR(__xludf.DUMMYFUNCTION("""COMPUTED_VALUE"""),3)</f>
        <v>3</v>
      </c>
      <c r="E12085" s="2">
        <f ca="1">IFERROR(__xludf.DUMMYFUNCTION("""COMPUTED_VALUE"""),1)</f>
        <v>1</v>
      </c>
    </row>
    <row r="12086" spans="1:5" ht="13">
      <c r="A12086" s="8" t="str">
        <f ca="1">IFERROR(__xludf.DUMMYFUNCTION("""COMPUTED_VALUE"""),"Zuleta, Alejandro")</f>
        <v>Zuleta, Alejandro</v>
      </c>
      <c r="B12086" s="3">
        <f ca="1">IFERROR(__xludf.DUMMYFUNCTION("""COMPUTED_VALUE"""),3)</f>
        <v>3</v>
      </c>
      <c r="C12086" s="7">
        <f ca="1">IFERROR(__xludf.DUMMYFUNCTION("""COMPUTED_VALUE"""),3.2)</f>
        <v>3.2</v>
      </c>
      <c r="D12086" s="8">
        <f ca="1">IFERROR(__xludf.DUMMYFUNCTION("""COMPUTED_VALUE"""),3)</f>
        <v>3</v>
      </c>
      <c r="E12086" s="2">
        <f ca="1">IFERROR(__xludf.DUMMYFUNCTION("""COMPUTED_VALUE"""),1)</f>
        <v>1</v>
      </c>
    </row>
    <row r="12087" spans="1:5" ht="13">
      <c r="A12087" s="8" t="str">
        <f ca="1">IFERROR(__xludf.DUMMYFUNCTION("""COMPUTED_VALUE"""),"Zur, Inon")</f>
        <v>Zur, Inon</v>
      </c>
      <c r="B12087" s="3">
        <f ca="1">IFERROR(__xludf.DUMMYFUNCTION("""COMPUTED_VALUE"""),3)</f>
        <v>3</v>
      </c>
      <c r="C12087" s="7">
        <f ca="1">IFERROR(__xludf.DUMMYFUNCTION("""COMPUTED_VALUE"""),3.5)</f>
        <v>3.5</v>
      </c>
      <c r="D12087" s="8">
        <f ca="1">IFERROR(__xludf.DUMMYFUNCTION("""COMPUTED_VALUE"""),3)</f>
        <v>3</v>
      </c>
      <c r="E12087" s="2">
        <f ca="1">IFERROR(__xludf.DUMMYFUNCTION("""COMPUTED_VALUE"""),1)</f>
        <v>1</v>
      </c>
    </row>
    <row r="12088" spans="1:5" ht="13">
      <c r="A12088" s="2" t="str">
        <f ca="1">IFERROR(__xludf.DUMMYFUNCTION("""COMPUTED_VALUE"""),"Zyman, Samuel")</f>
        <v>Zyman, Samuel</v>
      </c>
      <c r="B12088" s="3">
        <f ca="1">IFERROR(__xludf.DUMMYFUNCTION("""COMPUTED_VALUE"""),3)</f>
        <v>3</v>
      </c>
      <c r="C12088" s="7">
        <f ca="1">IFERROR(__xludf.DUMMYFUNCTION("""COMPUTED_VALUE"""),3.2)</f>
        <v>3.2</v>
      </c>
      <c r="D12088" s="8">
        <f ca="1">IFERROR(__xludf.DUMMYFUNCTION("""COMPUTED_VALUE"""),3)</f>
        <v>3</v>
      </c>
      <c r="E12088" s="2">
        <f ca="1">IFERROR(__xludf.DUMMYFUNCTION("""COMPUTED_VALUE"""),1)</f>
        <v>1</v>
      </c>
    </row>
    <row r="12089" spans="1:5" ht="13">
      <c r="A12089" s="2" t="str">
        <f ca="1">IFERROR(__xludf.DUMMYFUNCTION("""COMPUTED_VALUE"""),"Abe, Keiko")</f>
        <v>Abe, Keiko</v>
      </c>
      <c r="B12089" s="3">
        <f ca="1">IFERROR(__xludf.DUMMYFUNCTION("""COMPUTED_VALUE"""),4)</f>
        <v>4</v>
      </c>
      <c r="C12089" s="7">
        <f ca="1">IFERROR(__xludf.DUMMYFUNCTION("""COMPUTED_VALUE"""),4.3)</f>
        <v>4.3</v>
      </c>
      <c r="D12089" s="8">
        <f ca="1">IFERROR(__xludf.DUMMYFUNCTION("""COMPUTED_VALUE"""),4)</f>
        <v>4</v>
      </c>
      <c r="E12089" s="2">
        <f ca="1">IFERROR(__xludf.DUMMYFUNCTION("""COMPUTED_VALUE"""),1)</f>
        <v>1</v>
      </c>
    </row>
    <row r="12090" spans="1:5" ht="13">
      <c r="A12090" s="2" t="str">
        <f ca="1">IFERROR(__xludf.DUMMYFUNCTION("""COMPUTED_VALUE"""),"Abondano, Michele")</f>
        <v>Abondano, Michele</v>
      </c>
      <c r="B12090" s="2">
        <f ca="1">IFERROR(__xludf.DUMMYFUNCTION("""COMPUTED_VALUE"""),4)</f>
        <v>4</v>
      </c>
      <c r="C12090" s="7">
        <f ca="1">IFERROR(__xludf.DUMMYFUNCTION("""COMPUTED_VALUE"""),4.2)</f>
        <v>4.2</v>
      </c>
      <c r="D12090" s="8">
        <f ca="1">IFERROR(__xludf.DUMMYFUNCTION("""COMPUTED_VALUE"""),4)</f>
        <v>4</v>
      </c>
      <c r="E12090" s="2">
        <f ca="1">IFERROR(__xludf.DUMMYFUNCTION("""COMPUTED_VALUE"""),1)</f>
        <v>1</v>
      </c>
    </row>
    <row r="12091" spans="1:5" ht="13">
      <c r="A12091" s="8" t="str">
        <f ca="1">IFERROR(__xludf.DUMMYFUNCTION("""COMPUTED_VALUE"""),"Abu-Khader, Shireen")</f>
        <v>Abu-Khader, Shireen</v>
      </c>
      <c r="B12091" s="3">
        <f ca="1">IFERROR(__xludf.DUMMYFUNCTION("""COMPUTED_VALUE"""),4)</f>
        <v>4</v>
      </c>
      <c r="C12091" s="7">
        <f ca="1">IFERROR(__xludf.DUMMYFUNCTION("""COMPUTED_VALUE"""),4.5)</f>
        <v>4.5</v>
      </c>
      <c r="D12091" s="8">
        <f ca="1">IFERROR(__xludf.DUMMYFUNCTION("""COMPUTED_VALUE"""),4)</f>
        <v>4</v>
      </c>
      <c r="E12091" s="2">
        <f ca="1">IFERROR(__xludf.DUMMYFUNCTION("""COMPUTED_VALUE"""),1)</f>
        <v>1</v>
      </c>
    </row>
    <row r="12092" spans="1:5" ht="13">
      <c r="A12092" s="8" t="str">
        <f ca="1">IFERROR(__xludf.DUMMYFUNCTION("""COMPUTED_VALUE"""),"Adu, Lelia")</f>
        <v>Adu, Lelia</v>
      </c>
      <c r="B12092" s="3">
        <f ca="1">IFERROR(__xludf.DUMMYFUNCTION("""COMPUTED_VALUE"""),4)</f>
        <v>4</v>
      </c>
      <c r="C12092" s="7">
        <f ca="1">IFERROR(__xludf.DUMMYFUNCTION("""COMPUTED_VALUE"""),4.1)</f>
        <v>4.0999999999999996</v>
      </c>
      <c r="D12092" s="8">
        <f ca="1">IFERROR(__xludf.DUMMYFUNCTION("""COMPUTED_VALUE"""),4)</f>
        <v>4</v>
      </c>
      <c r="E12092" s="2">
        <f ca="1">IFERROR(__xludf.DUMMYFUNCTION("""COMPUTED_VALUE"""),1)</f>
        <v>1</v>
      </c>
    </row>
    <row r="12093" spans="1:5" ht="13">
      <c r="A12093" s="8" t="str">
        <f ca="1">IFERROR(__xludf.DUMMYFUNCTION("""COMPUTED_VALUE"""),"Afariogun, Bunmi")</f>
        <v>Afariogun, Bunmi</v>
      </c>
      <c r="B12093" s="3">
        <f ca="1">IFERROR(__xludf.DUMMYFUNCTION("""COMPUTED_VALUE"""),4)</f>
        <v>4</v>
      </c>
      <c r="C12093" s="7">
        <f ca="1">IFERROR(__xludf.DUMMYFUNCTION("""COMPUTED_VALUE"""),4.1)</f>
        <v>4.0999999999999996</v>
      </c>
      <c r="D12093" s="8">
        <f ca="1">IFERROR(__xludf.DUMMYFUNCTION("""COMPUTED_VALUE"""),4)</f>
        <v>4</v>
      </c>
      <c r="E12093" s="2">
        <f ca="1">IFERROR(__xludf.DUMMYFUNCTION("""COMPUTED_VALUE"""),1)</f>
        <v>1</v>
      </c>
    </row>
    <row r="12094" spans="1:5" ht="13">
      <c r="A12094" s="2" t="str">
        <f ca="1">IFERROR(__xludf.DUMMYFUNCTION("""COMPUTED_VALUE"""),"Agudelo, Graciela")</f>
        <v>Agudelo, Graciela</v>
      </c>
      <c r="B12094" s="2">
        <f ca="1">IFERROR(__xludf.DUMMYFUNCTION("""COMPUTED_VALUE"""),4)</f>
        <v>4</v>
      </c>
      <c r="C12094" s="7">
        <f ca="1">IFERROR(__xludf.DUMMYFUNCTION("""COMPUTED_VALUE"""),4.2)</f>
        <v>4.2</v>
      </c>
      <c r="D12094" s="8">
        <f ca="1">IFERROR(__xludf.DUMMYFUNCTION("""COMPUTED_VALUE"""),4)</f>
        <v>4</v>
      </c>
      <c r="E12094" s="2">
        <f ca="1">IFERROR(__xludf.DUMMYFUNCTION("""COMPUTED_VALUE"""),1)</f>
        <v>1</v>
      </c>
    </row>
    <row r="12095" spans="1:5" ht="13">
      <c r="A12095" s="8" t="str">
        <f ca="1">IFERROR(__xludf.DUMMYFUNCTION("""COMPUTED_VALUE"""),"Ahn, Caroline")</f>
        <v>Ahn, Caroline</v>
      </c>
      <c r="B12095" s="3">
        <f ca="1">IFERROR(__xludf.DUMMYFUNCTION("""COMPUTED_VALUE"""),4)</f>
        <v>4</v>
      </c>
      <c r="C12095" s="7">
        <f ca="1">IFERROR(__xludf.DUMMYFUNCTION("""COMPUTED_VALUE"""),4.3)</f>
        <v>4.3</v>
      </c>
      <c r="D12095" s="8">
        <f ca="1">IFERROR(__xludf.DUMMYFUNCTION("""COMPUTED_VALUE"""),4)</f>
        <v>4</v>
      </c>
      <c r="E12095" s="2">
        <f ca="1">IFERROR(__xludf.DUMMYFUNCTION("""COMPUTED_VALUE"""),1)</f>
        <v>1</v>
      </c>
    </row>
    <row r="12096" spans="1:5" ht="13">
      <c r="A12096" s="8" t="str">
        <f ca="1">IFERROR(__xludf.DUMMYFUNCTION("""COMPUTED_VALUE"""),"Ahn, Jean")</f>
        <v>Ahn, Jean</v>
      </c>
      <c r="B12096" s="3">
        <f ca="1">IFERROR(__xludf.DUMMYFUNCTION("""COMPUTED_VALUE"""),4)</f>
        <v>4</v>
      </c>
      <c r="C12096" s="7">
        <f ca="1">IFERROR(__xludf.DUMMYFUNCTION("""COMPUTED_VALUE"""),4.3)</f>
        <v>4.3</v>
      </c>
      <c r="D12096" s="8">
        <f ca="1">IFERROR(__xludf.DUMMYFUNCTION("""COMPUTED_VALUE"""),4)</f>
        <v>4</v>
      </c>
      <c r="E12096" s="2">
        <f ca="1">IFERROR(__xludf.DUMMYFUNCTION("""COMPUTED_VALUE"""),1)</f>
        <v>1</v>
      </c>
    </row>
    <row r="12097" spans="1:5" ht="13">
      <c r="A12097" s="2" t="str">
        <f ca="1">IFERROR(__xludf.DUMMYFUNCTION("""COMPUTED_VALUE"""),"Akiyoshi, Toshiko")</f>
        <v>Akiyoshi, Toshiko</v>
      </c>
      <c r="B12097" s="2">
        <f ca="1">IFERROR(__xludf.DUMMYFUNCTION("""COMPUTED_VALUE"""),4)</f>
        <v>4</v>
      </c>
      <c r="C12097" s="7">
        <f ca="1">IFERROR(__xludf.DUMMYFUNCTION("""COMPUTED_VALUE"""),4.3)</f>
        <v>4.3</v>
      </c>
      <c r="D12097" s="8">
        <f ca="1">IFERROR(__xludf.DUMMYFUNCTION("""COMPUTED_VALUE"""),4)</f>
        <v>4</v>
      </c>
      <c r="E12097" s="2">
        <f ca="1">IFERROR(__xludf.DUMMYFUNCTION("""COMPUTED_VALUE"""),1)</f>
        <v>1</v>
      </c>
    </row>
    <row r="12098" spans="1:5" ht="13">
      <c r="A12098" s="8" t="str">
        <f ca="1">IFERROR(__xludf.DUMMYFUNCTION("""COMPUTED_VALUE"""),"Alarcon, Liliana")</f>
        <v>Alarcon, Liliana</v>
      </c>
      <c r="B12098" s="3">
        <f ca="1">IFERROR(__xludf.DUMMYFUNCTION("""COMPUTED_VALUE"""),4)</f>
        <v>4</v>
      </c>
      <c r="C12098" s="7">
        <f ca="1">IFERROR(__xludf.DUMMYFUNCTION("""COMPUTED_VALUE"""),4.2)</f>
        <v>4.2</v>
      </c>
      <c r="D12098" s="8">
        <f ca="1">IFERROR(__xludf.DUMMYFUNCTION("""COMPUTED_VALUE"""),4)</f>
        <v>4</v>
      </c>
      <c r="E12098" s="2">
        <f ca="1">IFERROR(__xludf.DUMMYFUNCTION("""COMPUTED_VALUE"""),1)</f>
        <v>1</v>
      </c>
    </row>
    <row r="12099" spans="1:5" ht="13">
      <c r="A12099" s="8" t="str">
        <f ca="1">IFERROR(__xludf.DUMMYFUNCTION("""COMPUTED_VALUE"""),"Alberga, Eleanor")</f>
        <v>Alberga, Eleanor</v>
      </c>
      <c r="B12099" s="3">
        <f ca="1">IFERROR(__xludf.DUMMYFUNCTION("""COMPUTED_VALUE"""),4)</f>
        <v>4</v>
      </c>
      <c r="C12099" s="7">
        <f ca="1">IFERROR(__xludf.DUMMYFUNCTION("""COMPUTED_VALUE"""),4.1)</f>
        <v>4.0999999999999996</v>
      </c>
      <c r="D12099" s="8">
        <f ca="1">IFERROR(__xludf.DUMMYFUNCTION("""COMPUTED_VALUE"""),4)</f>
        <v>4</v>
      </c>
      <c r="E12099" s="2">
        <f ca="1">IFERROR(__xludf.DUMMYFUNCTION("""COMPUTED_VALUE"""),1)</f>
        <v>1</v>
      </c>
    </row>
    <row r="12100" spans="1:5" ht="13">
      <c r="A12100" s="2" t="str">
        <f ca="1">IFERROR(__xludf.DUMMYFUNCTION("""COMPUTED_VALUE"""),"Aldana, Melissa")</f>
        <v>Aldana, Melissa</v>
      </c>
      <c r="B12100" s="3">
        <f ca="1">IFERROR(__xludf.DUMMYFUNCTION("""COMPUTED_VALUE"""),4)</f>
        <v>4</v>
      </c>
      <c r="C12100" s="7">
        <f ca="1">IFERROR(__xludf.DUMMYFUNCTION("""COMPUTED_VALUE"""),4.2)</f>
        <v>4.2</v>
      </c>
      <c r="D12100" s="8">
        <f ca="1">IFERROR(__xludf.DUMMYFUNCTION("""COMPUTED_VALUE"""),4)</f>
        <v>4</v>
      </c>
      <c r="E12100" s="2">
        <f ca="1">IFERROR(__xludf.DUMMYFUNCTION("""COMPUTED_VALUE"""),1)</f>
        <v>1</v>
      </c>
    </row>
    <row r="12101" spans="1:5" ht="13">
      <c r="A12101" s="8" t="str">
        <f ca="1">IFERROR(__xludf.DUMMYFUNCTION("""COMPUTED_VALUE"""),"Aldridge, Amanda C.E.")</f>
        <v>Aldridge, Amanda C.E.</v>
      </c>
      <c r="B12101" s="3">
        <f ca="1">IFERROR(__xludf.DUMMYFUNCTION("""COMPUTED_VALUE"""),4)</f>
        <v>4</v>
      </c>
      <c r="C12101" s="7">
        <f ca="1">IFERROR(__xludf.DUMMYFUNCTION("""COMPUTED_VALUE"""),4.1)</f>
        <v>4.0999999999999996</v>
      </c>
      <c r="D12101" s="8">
        <f ca="1">IFERROR(__xludf.DUMMYFUNCTION("""COMPUTED_VALUE"""),8)</f>
        <v>8</v>
      </c>
      <c r="E12101" s="2">
        <f ca="1">IFERROR(__xludf.DUMMYFUNCTION("""COMPUTED_VALUE"""),2)</f>
        <v>2</v>
      </c>
    </row>
    <row r="12102" spans="1:5" ht="13">
      <c r="A12102" s="8" t="str">
        <f ca="1">IFERROR(__xludf.DUMMYFUNCTION("""COMPUTED_VALUE"""),"Ali-Zadeh, Franghiz")</f>
        <v>Ali-Zadeh, Franghiz</v>
      </c>
      <c r="B12102" s="3">
        <f ca="1">IFERROR(__xludf.DUMMYFUNCTION("""COMPUTED_VALUE"""),4)</f>
        <v>4</v>
      </c>
      <c r="C12102" s="7">
        <f ca="1">IFERROR(__xludf.DUMMYFUNCTION("""COMPUTED_VALUE"""),4.5)</f>
        <v>4.5</v>
      </c>
      <c r="D12102" s="8">
        <f ca="1">IFERROR(__xludf.DUMMYFUNCTION("""COMPUTED_VALUE"""),4)</f>
        <v>4</v>
      </c>
      <c r="E12102" s="2">
        <f ca="1">IFERROR(__xludf.DUMMYFUNCTION("""COMPUTED_VALUE"""),1)</f>
        <v>1</v>
      </c>
    </row>
    <row r="12103" spans="1:5" ht="13">
      <c r="A12103" s="8" t="str">
        <f ca="1">IFERROR(__xludf.DUMMYFUNCTION("""COMPUTED_VALUE"""),"Altan, Sinem")</f>
        <v>Altan, Sinem</v>
      </c>
      <c r="B12103" s="3">
        <f ca="1">IFERROR(__xludf.DUMMYFUNCTION("""COMPUTED_VALUE"""),4)</f>
        <v>4</v>
      </c>
      <c r="C12103" s="7">
        <f ca="1">IFERROR(__xludf.DUMMYFUNCTION("""COMPUTED_VALUE"""),4.5)</f>
        <v>4.5</v>
      </c>
      <c r="D12103" s="8">
        <f ca="1">IFERROR(__xludf.DUMMYFUNCTION("""COMPUTED_VALUE"""),4)</f>
        <v>4</v>
      </c>
      <c r="E12103" s="2">
        <f ca="1">IFERROR(__xludf.DUMMYFUNCTION("""COMPUTED_VALUE"""),1)</f>
        <v>1</v>
      </c>
    </row>
    <row r="12104" spans="1:5" ht="13">
      <c r="A12104" s="2" t="str">
        <f ca="1">IFERROR(__xludf.DUMMYFUNCTION("""COMPUTED_VALUE"""),"Andaya, Mitos")</f>
        <v>Andaya, Mitos</v>
      </c>
      <c r="B12104" s="2">
        <f ca="1">IFERROR(__xludf.DUMMYFUNCTION("""COMPUTED_VALUE"""),4)</f>
        <v>4</v>
      </c>
      <c r="C12104" s="2">
        <f ca="1">IFERROR(__xludf.DUMMYFUNCTION("""COMPUTED_VALUE"""),4.9)</f>
        <v>4.9000000000000004</v>
      </c>
      <c r="D12104" s="8">
        <f ca="1">IFERROR(__xludf.DUMMYFUNCTION("""COMPUTED_VALUE"""),4)</f>
        <v>4</v>
      </c>
      <c r="E12104" s="2">
        <f ca="1">IFERROR(__xludf.DUMMYFUNCTION("""COMPUTED_VALUE"""),1)</f>
        <v>1</v>
      </c>
    </row>
    <row r="12105" spans="1:5" ht="13">
      <c r="A12105" s="8" t="str">
        <f ca="1">IFERROR(__xludf.DUMMYFUNCTION("""COMPUTED_VALUE"""),"Anders, Erslyn")</f>
        <v>Anders, Erslyn</v>
      </c>
      <c r="B12105" s="3">
        <f ca="1">IFERROR(__xludf.DUMMYFUNCTION("""COMPUTED_VALUE"""),4)</f>
        <v>4</v>
      </c>
      <c r="C12105" s="7">
        <f ca="1">IFERROR(__xludf.DUMMYFUNCTION("""COMPUTED_VALUE"""),4.1)</f>
        <v>4.0999999999999996</v>
      </c>
      <c r="D12105" s="8">
        <f ca="1">IFERROR(__xludf.DUMMYFUNCTION("""COMPUTED_VALUE"""),8)</f>
        <v>8</v>
      </c>
      <c r="E12105" s="2">
        <f ca="1">IFERROR(__xludf.DUMMYFUNCTION("""COMPUTED_VALUE"""),2)</f>
        <v>2</v>
      </c>
    </row>
    <row r="12106" spans="1:5" ht="13">
      <c r="A12106" s="2" t="str">
        <f ca="1">IFERROR(__xludf.DUMMYFUNCTION("""COMPUTED_VALUE"""),"Andro, Alma Bazel")</f>
        <v>Andro, Alma Bazel</v>
      </c>
      <c r="B12106" s="3">
        <f ca="1">IFERROR(__xludf.DUMMYFUNCTION("""COMPUTED_VALUE"""),4)</f>
        <v>4</v>
      </c>
      <c r="C12106" s="7">
        <f ca="1">IFERROR(__xludf.DUMMYFUNCTION("""COMPUTED_VALUE"""),4.1)</f>
        <v>4.0999999999999996</v>
      </c>
      <c r="D12106" s="8">
        <f ca="1">IFERROR(__xludf.DUMMYFUNCTION("""COMPUTED_VALUE"""),8)</f>
        <v>8</v>
      </c>
      <c r="E12106" s="2">
        <f ca="1">IFERROR(__xludf.DUMMYFUNCTION("""COMPUTED_VALUE"""),2)</f>
        <v>2</v>
      </c>
    </row>
    <row r="12107" spans="1:5" ht="13">
      <c r="A12107" s="2" t="str">
        <f ca="1">IFERROR(__xludf.DUMMYFUNCTION("""COMPUTED_VALUE"""),"Androzzo, Alma Bazel")</f>
        <v>Androzzo, Alma Bazel</v>
      </c>
      <c r="B12107" s="2">
        <f ca="1">IFERROR(__xludf.DUMMYFUNCTION("""COMPUTED_VALUE"""),4)</f>
        <v>4</v>
      </c>
      <c r="C12107" s="7">
        <f ca="1">IFERROR(__xludf.DUMMYFUNCTION("""COMPUTED_VALUE"""),4.1)</f>
        <v>4.0999999999999996</v>
      </c>
      <c r="D12107" s="8">
        <f ca="1">IFERROR(__xludf.DUMMYFUNCTION("""COMPUTED_VALUE"""),8)</f>
        <v>8</v>
      </c>
      <c r="E12107" s="2">
        <f ca="1">IFERROR(__xludf.DUMMYFUNCTION("""COMPUTED_VALUE"""),2)</f>
        <v>2</v>
      </c>
    </row>
    <row r="12108" spans="1:5" ht="13">
      <c r="A12108" s="8" t="str">
        <f ca="1">IFERROR(__xludf.DUMMYFUNCTION("""COMPUTED_VALUE"""),"Angélique Kidjo")</f>
        <v>Angélique Kidjo</v>
      </c>
      <c r="B12108" s="3">
        <f ca="1">IFERROR(__xludf.DUMMYFUNCTION("""COMPUTED_VALUE"""),4)</f>
        <v>4</v>
      </c>
      <c r="C12108" s="7">
        <f ca="1">IFERROR(__xludf.DUMMYFUNCTION("""COMPUTED_VALUE"""),4.1)</f>
        <v>4.0999999999999996</v>
      </c>
      <c r="D12108" s="8">
        <f ca="1">IFERROR(__xludf.DUMMYFUNCTION("""COMPUTED_VALUE"""),4)</f>
        <v>4</v>
      </c>
      <c r="E12108" s="2">
        <f ca="1">IFERROR(__xludf.DUMMYFUNCTION("""COMPUTED_VALUE"""),1)</f>
        <v>1</v>
      </c>
    </row>
    <row r="12109" spans="1:5" ht="13">
      <c r="A12109" s="8" t="str">
        <f ca="1">IFERROR(__xludf.DUMMYFUNCTION("""COMPUTED_VALUE"""),"Anh, Dang Hong")</f>
        <v>Anh, Dang Hong</v>
      </c>
      <c r="B12109" s="3">
        <f ca="1">IFERROR(__xludf.DUMMYFUNCTION("""COMPUTED_VALUE"""),4)</f>
        <v>4</v>
      </c>
      <c r="C12109" s="7">
        <f ca="1">IFERROR(__xludf.DUMMYFUNCTION("""COMPUTED_VALUE"""),4.9)</f>
        <v>4.9000000000000004</v>
      </c>
      <c r="D12109" s="8">
        <f ca="1">IFERROR(__xludf.DUMMYFUNCTION("""COMPUTED_VALUE"""),4)</f>
        <v>4</v>
      </c>
      <c r="E12109" s="2">
        <f ca="1">IFERROR(__xludf.DUMMYFUNCTION("""COMPUTED_VALUE"""),1)</f>
        <v>1</v>
      </c>
    </row>
    <row r="12110" spans="1:5" ht="13">
      <c r="A12110" s="2" t="str">
        <f ca="1">IFERROR(__xludf.DUMMYFUNCTION("""COMPUTED_VALUE"""),"Armstrong, Lil Hardin / Raye, Don")</f>
        <v>Armstrong, Lil Hardin / Raye, Don</v>
      </c>
      <c r="B12110" s="3">
        <f ca="1">IFERROR(__xludf.DUMMYFUNCTION("""COMPUTED_VALUE"""),4)</f>
        <v>4</v>
      </c>
      <c r="C12110" s="7">
        <f ca="1">IFERROR(__xludf.DUMMYFUNCTION("""COMPUTED_VALUE"""),4.1)</f>
        <v>4.0999999999999996</v>
      </c>
      <c r="D12110" s="8">
        <f ca="1">IFERROR(__xludf.DUMMYFUNCTION("""COMPUTED_VALUE"""),8)</f>
        <v>8</v>
      </c>
      <c r="E12110" s="2">
        <f ca="1">IFERROR(__xludf.DUMMYFUNCTION("""COMPUTED_VALUE"""),2)</f>
        <v>2</v>
      </c>
    </row>
    <row r="12111" spans="1:5" ht="13">
      <c r="A12111" s="8" t="str">
        <f ca="1">IFERROR(__xludf.DUMMYFUNCTION("""COMPUTED_VALUE"""),"Assad, Clarice")</f>
        <v>Assad, Clarice</v>
      </c>
      <c r="B12111" s="3">
        <f ca="1">IFERROR(__xludf.DUMMYFUNCTION("""COMPUTED_VALUE"""),4)</f>
        <v>4</v>
      </c>
      <c r="C12111" s="7">
        <f ca="1">IFERROR(__xludf.DUMMYFUNCTION("""COMPUTED_VALUE"""),4.2)</f>
        <v>4.2</v>
      </c>
      <c r="D12111" s="8">
        <f ca="1">IFERROR(__xludf.DUMMYFUNCTION("""COMPUTED_VALUE"""),4)</f>
        <v>4</v>
      </c>
      <c r="E12111" s="2">
        <f ca="1">IFERROR(__xludf.DUMMYFUNCTION("""COMPUTED_VALUE"""),1)</f>
        <v>1</v>
      </c>
    </row>
    <row r="12112" spans="1:5" ht="13">
      <c r="A12112" s="8" t="str">
        <f ca="1">IFERROR(__xludf.DUMMYFUNCTION("""COMPUTED_VALUE"""),"Assiginaak, Barbara")</f>
        <v>Assiginaak, Barbara</v>
      </c>
      <c r="B12112" s="3">
        <f ca="1">IFERROR(__xludf.DUMMYFUNCTION("""COMPUTED_VALUE"""),4)</f>
        <v>4</v>
      </c>
      <c r="C12112" s="7">
        <f ca="1">IFERROR(__xludf.DUMMYFUNCTION("""COMPUTED_VALUE"""),4.7)</f>
        <v>4.7</v>
      </c>
      <c r="D12112" s="8">
        <f ca="1">IFERROR(__xludf.DUMMYFUNCTION("""COMPUTED_VALUE"""),4)</f>
        <v>4</v>
      </c>
      <c r="E12112" s="2">
        <f ca="1">IFERROR(__xludf.DUMMYFUNCTION("""COMPUTED_VALUE"""),1)</f>
        <v>1</v>
      </c>
    </row>
    <row r="12113" spans="1:5" ht="13">
      <c r="A12113" s="8" t="str">
        <f ca="1">IFERROR(__xludf.DUMMYFUNCTION("""COMPUTED_VALUE"""),"Avery, Dawn Ieri’hó:kwats")</f>
        <v>Avery, Dawn Ieri’hó:kwats</v>
      </c>
      <c r="B12113" s="3">
        <f ca="1">IFERROR(__xludf.DUMMYFUNCTION("""COMPUTED_VALUE"""),4)</f>
        <v>4</v>
      </c>
      <c r="C12113" s="7">
        <f ca="1">IFERROR(__xludf.DUMMYFUNCTION("""COMPUTED_VALUE"""),4.7)</f>
        <v>4.7</v>
      </c>
      <c r="D12113" s="8">
        <f ca="1">IFERROR(__xludf.DUMMYFUNCTION("""COMPUTED_VALUE"""),4)</f>
        <v>4</v>
      </c>
      <c r="E12113" s="2">
        <f ca="1">IFERROR(__xludf.DUMMYFUNCTION("""COMPUTED_VALUE"""),1)</f>
        <v>1</v>
      </c>
    </row>
    <row r="12114" spans="1:5" ht="13">
      <c r="A12114" s="8" t="str">
        <f ca="1">IFERROR(__xludf.DUMMYFUNCTION("""COMPUTED_VALUE"""),"Ayodele Pinderhughes, Elena")</f>
        <v>Ayodele Pinderhughes, Elena</v>
      </c>
      <c r="B12114" s="3">
        <f ca="1">IFERROR(__xludf.DUMMYFUNCTION("""COMPUTED_VALUE"""),4)</f>
        <v>4</v>
      </c>
      <c r="C12114" s="7">
        <f ca="1">IFERROR(__xludf.DUMMYFUNCTION("""COMPUTED_VALUE"""),4.1)</f>
        <v>4.0999999999999996</v>
      </c>
      <c r="D12114" s="8">
        <f ca="1">IFERROR(__xludf.DUMMYFUNCTION("""COMPUTED_VALUE"""),4)</f>
        <v>4</v>
      </c>
      <c r="E12114" s="2">
        <f ca="1">IFERROR(__xludf.DUMMYFUNCTION("""COMPUTED_VALUE"""),1)</f>
        <v>1</v>
      </c>
    </row>
    <row r="12115" spans="1:5" ht="13">
      <c r="A12115" s="2" t="str">
        <f ca="1">IFERROR(__xludf.DUMMYFUNCTION("""COMPUTED_VALUE"""),"Bagley, Freda Pullen / Boyer, Horace Clarence")</f>
        <v>Bagley, Freda Pullen / Boyer, Horace Clarence</v>
      </c>
      <c r="B12115" s="3">
        <f ca="1">IFERROR(__xludf.DUMMYFUNCTION("""COMPUTED_VALUE"""),4)</f>
        <v>4</v>
      </c>
      <c r="C12115" s="7">
        <f ca="1">IFERROR(__xludf.DUMMYFUNCTION("""COMPUTED_VALUE"""),4.1)</f>
        <v>4.0999999999999996</v>
      </c>
      <c r="D12115" s="8">
        <f ca="1">IFERROR(__xludf.DUMMYFUNCTION("""COMPUTED_VALUE"""),4)</f>
        <v>4</v>
      </c>
      <c r="E12115" s="2">
        <f ca="1">IFERROR(__xludf.DUMMYFUNCTION("""COMPUTED_VALUE"""),1)</f>
        <v>1</v>
      </c>
    </row>
    <row r="12116" spans="1:5" ht="13">
      <c r="A12116" s="2" t="str">
        <f ca="1">IFERROR(__xludf.DUMMYFUNCTION("""COMPUTED_VALUE"""),"Bailey, Sandra")</f>
        <v>Bailey, Sandra</v>
      </c>
      <c r="B12116" s="2">
        <f ca="1">IFERROR(__xludf.DUMMYFUNCTION("""COMPUTED_VALUE"""),4)</f>
        <v>4</v>
      </c>
      <c r="C12116" s="2">
        <f ca="1">IFERROR(__xludf.DUMMYFUNCTION("""COMPUTED_VALUE"""),4.1)</f>
        <v>4.0999999999999996</v>
      </c>
      <c r="D12116" s="8">
        <f ca="1">IFERROR(__xludf.DUMMYFUNCTION("""COMPUTED_VALUE"""),4)</f>
        <v>4</v>
      </c>
      <c r="E12116" s="2">
        <f ca="1">IFERROR(__xludf.DUMMYFUNCTION("""COMPUTED_VALUE"""),1)</f>
        <v>1</v>
      </c>
    </row>
    <row r="12117" spans="1:5" ht="13">
      <c r="A12117" s="8" t="str">
        <f ca="1">IFERROR(__xludf.DUMMYFUNCTION("""COMPUTED_VALUE"""),"Baiocchi, Regina Harris")</f>
        <v>Baiocchi, Regina Harris</v>
      </c>
      <c r="B12117" s="3">
        <f ca="1">IFERROR(__xludf.DUMMYFUNCTION("""COMPUTED_VALUE"""),4)</f>
        <v>4</v>
      </c>
      <c r="C12117" s="7">
        <f ca="1">IFERROR(__xludf.DUMMYFUNCTION("""COMPUTED_VALUE"""),4.1)</f>
        <v>4.0999999999999996</v>
      </c>
      <c r="D12117" s="8">
        <f ca="1">IFERROR(__xludf.DUMMYFUNCTION("""COMPUTED_VALUE"""),4)</f>
        <v>4</v>
      </c>
      <c r="E12117" s="2">
        <f ca="1">IFERROR(__xludf.DUMMYFUNCTION("""COMPUTED_VALUE"""),1)</f>
        <v>1</v>
      </c>
    </row>
    <row r="12118" spans="1:5" ht="13">
      <c r="A12118" s="8" t="str">
        <f ca="1">IFERROR(__xludf.DUMMYFUNCTION("""COMPUTED_VALUE"""),"Baker, Barbara")</f>
        <v>Baker, Barbara</v>
      </c>
      <c r="B12118" s="3">
        <f ca="1">IFERROR(__xludf.DUMMYFUNCTION("""COMPUTED_VALUE"""),4)</f>
        <v>4</v>
      </c>
      <c r="C12118" s="7">
        <f ca="1">IFERROR(__xludf.DUMMYFUNCTION("""COMPUTED_VALUE"""),4.1)</f>
        <v>4.0999999999999996</v>
      </c>
      <c r="D12118" s="8">
        <f ca="1">IFERROR(__xludf.DUMMYFUNCTION("""COMPUTED_VALUE"""),4)</f>
        <v>4</v>
      </c>
      <c r="E12118" s="2">
        <f ca="1">IFERROR(__xludf.DUMMYFUNCTION("""COMPUTED_VALUE"""),1)</f>
        <v>1</v>
      </c>
    </row>
    <row r="12119" spans="1:5" ht="13">
      <c r="A12119" s="8" t="str">
        <f ca="1">IFERROR(__xludf.DUMMYFUNCTION("""COMPUTED_VALUE"""),"Bansal, Juhi")</f>
        <v>Bansal, Juhi</v>
      </c>
      <c r="B12119" s="3">
        <f ca="1">IFERROR(__xludf.DUMMYFUNCTION("""COMPUTED_VALUE"""),4)</f>
        <v>4</v>
      </c>
      <c r="C12119" s="7">
        <f ca="1">IFERROR(__xludf.DUMMYFUNCTION("""COMPUTED_VALUE"""),4.4)</f>
        <v>4.4000000000000004</v>
      </c>
      <c r="D12119" s="8">
        <f ca="1">IFERROR(__xludf.DUMMYFUNCTION("""COMPUTED_VALUE"""),4)</f>
        <v>4</v>
      </c>
      <c r="E12119" s="2">
        <f ca="1">IFERROR(__xludf.DUMMYFUNCTION("""COMPUTED_VALUE"""),1)</f>
        <v>1</v>
      </c>
    </row>
    <row r="12120" spans="1:5" ht="13">
      <c r="A12120" s="2" t="str">
        <f ca="1">IFERROR(__xludf.DUMMYFUNCTION("""COMPUTED_VALUE"""),"Barnell, Ysaye")</f>
        <v>Barnell, Ysaye</v>
      </c>
      <c r="B12120" s="3">
        <f ca="1">IFERROR(__xludf.DUMMYFUNCTION("""COMPUTED_VALUE"""),4)</f>
        <v>4</v>
      </c>
      <c r="C12120" s="7">
        <f ca="1">IFERROR(__xludf.DUMMYFUNCTION("""COMPUTED_VALUE"""),4.1)</f>
        <v>4.0999999999999996</v>
      </c>
      <c r="D12120" s="8">
        <f ca="1">IFERROR(__xludf.DUMMYFUNCTION("""COMPUTED_VALUE"""),4)</f>
        <v>4</v>
      </c>
      <c r="E12120" s="2">
        <f ca="1">IFERROR(__xludf.DUMMYFUNCTION("""COMPUTED_VALUE"""),1)</f>
        <v>1</v>
      </c>
    </row>
    <row r="12121" spans="1:5" ht="13">
      <c r="A12121" s="2" t="str">
        <f ca="1">IFERROR(__xludf.DUMMYFUNCTION("""COMPUTED_VALUE"""),"Barnell, Ysaye M")</f>
        <v>Barnell, Ysaye M</v>
      </c>
      <c r="B12121" s="3">
        <f ca="1">IFERROR(__xludf.DUMMYFUNCTION("""COMPUTED_VALUE"""),4)</f>
        <v>4</v>
      </c>
      <c r="C12121" s="7">
        <f ca="1">IFERROR(__xludf.DUMMYFUNCTION("""COMPUTED_VALUE"""),4.1)</f>
        <v>4.0999999999999996</v>
      </c>
      <c r="D12121" s="8">
        <f ca="1">IFERROR(__xludf.DUMMYFUNCTION("""COMPUTED_VALUE"""),4)</f>
        <v>4</v>
      </c>
      <c r="E12121" s="2">
        <f ca="1">IFERROR(__xludf.DUMMYFUNCTION("""COMPUTED_VALUE"""),1)</f>
        <v>1</v>
      </c>
    </row>
    <row r="12122" spans="1:5" ht="13">
      <c r="A12122" s="2" t="str">
        <f ca="1">IFERROR(__xludf.DUMMYFUNCTION("""COMPUTED_VALUE"""),"Barnes, Jasmine")</f>
        <v>Barnes, Jasmine</v>
      </c>
      <c r="B12122" s="2">
        <f ca="1">IFERROR(__xludf.DUMMYFUNCTION("""COMPUTED_VALUE"""),4)</f>
        <v>4</v>
      </c>
      <c r="C12122" s="2">
        <f ca="1">IFERROR(__xludf.DUMMYFUNCTION("""COMPUTED_VALUE"""),4.1)</f>
        <v>4.0999999999999996</v>
      </c>
      <c r="D12122" s="8">
        <f ca="1">IFERROR(__xludf.DUMMYFUNCTION("""COMPUTED_VALUE"""),4)</f>
        <v>4</v>
      </c>
      <c r="E12122" s="2">
        <f ca="1">IFERROR(__xludf.DUMMYFUNCTION("""COMPUTED_VALUE"""),1)</f>
        <v>1</v>
      </c>
    </row>
    <row r="12123" spans="1:5" ht="13">
      <c r="A12123" s="2" t="str">
        <f ca="1">IFERROR(__xludf.DUMMYFUNCTION("""COMPUTED_VALUE"""),"Barnwell, Ysaye")</f>
        <v>Barnwell, Ysaye</v>
      </c>
      <c r="B12123" s="2">
        <f ca="1">IFERROR(__xludf.DUMMYFUNCTION("""COMPUTED_VALUE"""),4)</f>
        <v>4</v>
      </c>
      <c r="C12123" s="7">
        <f ca="1">IFERROR(__xludf.DUMMYFUNCTION("""COMPUTED_VALUE"""),4.1)</f>
        <v>4.0999999999999996</v>
      </c>
      <c r="D12123" s="8">
        <f ca="1">IFERROR(__xludf.DUMMYFUNCTION("""COMPUTED_VALUE"""),4)</f>
        <v>4</v>
      </c>
      <c r="E12123" s="2">
        <f ca="1">IFERROR(__xludf.DUMMYFUNCTION("""COMPUTED_VALUE"""),1)</f>
        <v>1</v>
      </c>
    </row>
    <row r="12124" spans="1:5" ht="13">
      <c r="A12124" s="8" t="str">
        <f ca="1">IFERROR(__xludf.DUMMYFUNCTION("""COMPUTED_VALUE"""),"Baskin-Watson, Pamela")</f>
        <v>Baskin-Watson, Pamela</v>
      </c>
      <c r="B12124" s="3">
        <f ca="1">IFERROR(__xludf.DUMMYFUNCTION("""COMPUTED_VALUE"""),4)</f>
        <v>4</v>
      </c>
      <c r="C12124" s="7">
        <f ca="1">IFERROR(__xludf.DUMMYFUNCTION("""COMPUTED_VALUE"""),4.1)</f>
        <v>4.0999999999999996</v>
      </c>
      <c r="D12124" s="8">
        <f ca="1">IFERROR(__xludf.DUMMYFUNCTION("""COMPUTED_VALUE"""),4)</f>
        <v>4</v>
      </c>
      <c r="E12124" s="2">
        <f ca="1">IFERROR(__xludf.DUMMYFUNCTION("""COMPUTED_VALUE"""),1)</f>
        <v>1</v>
      </c>
    </row>
    <row r="12125" spans="1:5" ht="13">
      <c r="A12125" s="8" t="str">
        <f ca="1">IFERROR(__xludf.DUMMYFUNCTION("""COMPUTED_VALUE"""),"Benn, Hanna")</f>
        <v>Benn, Hanna</v>
      </c>
      <c r="B12125" s="3">
        <f ca="1">IFERROR(__xludf.DUMMYFUNCTION("""COMPUTED_VALUE"""),4)</f>
        <v>4</v>
      </c>
      <c r="C12125" s="7">
        <f ca="1">IFERROR(__xludf.DUMMYFUNCTION("""COMPUTED_VALUE"""),4.1)</f>
        <v>4.0999999999999996</v>
      </c>
      <c r="D12125" s="8">
        <f ca="1">IFERROR(__xludf.DUMMYFUNCTION("""COMPUTED_VALUE"""),4)</f>
        <v>4</v>
      </c>
      <c r="E12125" s="2">
        <f ca="1">IFERROR(__xludf.DUMMYFUNCTION("""COMPUTED_VALUE"""),1)</f>
        <v>1</v>
      </c>
    </row>
    <row r="12126" spans="1:5" ht="13">
      <c r="A12126" s="8" t="str">
        <f ca="1">IFERROR(__xludf.DUMMYFUNCTION("""COMPUTED_VALUE"""),"Berg, Stephanie")</f>
        <v>Berg, Stephanie</v>
      </c>
      <c r="B12126" s="3">
        <f ca="1">IFERROR(__xludf.DUMMYFUNCTION("""COMPUTED_VALUE"""),4)</f>
        <v>4</v>
      </c>
      <c r="C12126" s="7">
        <f ca="1">IFERROR(__xludf.DUMMYFUNCTION("""COMPUTED_VALUE"""),4.3)</f>
        <v>4.3</v>
      </c>
      <c r="D12126" s="8">
        <f ca="1">IFERROR(__xludf.DUMMYFUNCTION("""COMPUTED_VALUE"""),4)</f>
        <v>4</v>
      </c>
      <c r="E12126" s="2">
        <f ca="1">IFERROR(__xludf.DUMMYFUNCTION("""COMPUTED_VALUE"""),1)</f>
        <v>1</v>
      </c>
    </row>
    <row r="12127" spans="1:5" ht="13">
      <c r="A12127" s="8" t="str">
        <f ca="1">IFERROR(__xludf.DUMMYFUNCTION("""COMPUTED_VALUE"""),"Biol, Amparo Edo")</f>
        <v>Biol, Amparo Edo</v>
      </c>
      <c r="B12127" s="3">
        <f ca="1">IFERROR(__xludf.DUMMYFUNCTION("""COMPUTED_VALUE"""),4)</f>
        <v>4</v>
      </c>
      <c r="C12127" s="7">
        <f ca="1">IFERROR(__xludf.DUMMYFUNCTION("""COMPUTED_VALUE"""),4.2)</f>
        <v>4.2</v>
      </c>
      <c r="D12127" s="8">
        <f ca="1">IFERROR(__xludf.DUMMYFUNCTION("""COMPUTED_VALUE"""),4)</f>
        <v>4</v>
      </c>
      <c r="E12127" s="2">
        <f ca="1">IFERROR(__xludf.DUMMYFUNCTION("""COMPUTED_VALUE"""),1)</f>
        <v>1</v>
      </c>
    </row>
    <row r="12128" spans="1:5" ht="13">
      <c r="A12128" s="2" t="str">
        <f ca="1">IFERROR(__xludf.DUMMYFUNCTION("""COMPUTED_VALUE"""),"Black, Joy")</f>
        <v>Black, Joy</v>
      </c>
      <c r="B12128" s="3">
        <f ca="1">IFERROR(__xludf.DUMMYFUNCTION("""COMPUTED_VALUE"""),4)</f>
        <v>4</v>
      </c>
      <c r="C12128" s="7">
        <f ca="1">IFERROR(__xludf.DUMMYFUNCTION("""COMPUTED_VALUE"""),4.1)</f>
        <v>4.0999999999999996</v>
      </c>
      <c r="D12128" s="8">
        <f ca="1">IFERROR(__xludf.DUMMYFUNCTION("""COMPUTED_VALUE"""),4)</f>
        <v>4</v>
      </c>
      <c r="E12128" s="2">
        <f ca="1">IFERROR(__xludf.DUMMYFUNCTION("""COMPUTED_VALUE"""),1)</f>
        <v>1</v>
      </c>
    </row>
    <row r="12129" spans="1:5" ht="13">
      <c r="A12129" s="2" t="str">
        <f ca="1">IFERROR(__xludf.DUMMYFUNCTION("""COMPUTED_VALUE"""),"Bolano, Lenia")</f>
        <v>Bolano, Lenia</v>
      </c>
      <c r="B12129" s="2">
        <f ca="1">IFERROR(__xludf.DUMMYFUNCTION("""COMPUTED_VALUE"""),4)</f>
        <v>4</v>
      </c>
      <c r="C12129" s="7">
        <f ca="1">IFERROR(__xludf.DUMMYFUNCTION("""COMPUTED_VALUE"""),4.2)</f>
        <v>4.2</v>
      </c>
      <c r="D12129" s="8">
        <f ca="1">IFERROR(__xludf.DUMMYFUNCTION("""COMPUTED_VALUE"""),4)</f>
        <v>4</v>
      </c>
      <c r="E12129" s="2">
        <f ca="1">IFERROR(__xludf.DUMMYFUNCTION("""COMPUTED_VALUE"""),1)</f>
        <v>1</v>
      </c>
    </row>
    <row r="12130" spans="1:5" ht="13">
      <c r="A12130" s="2" t="str">
        <f ca="1">IFERROR(__xludf.DUMMYFUNCTION("""COMPUTED_VALUE"""),"Bonds, Margaret")</f>
        <v>Bonds, Margaret</v>
      </c>
      <c r="B12130" s="2">
        <f ca="1">IFERROR(__xludf.DUMMYFUNCTION("""COMPUTED_VALUE"""),4)</f>
        <v>4</v>
      </c>
      <c r="C12130" s="7">
        <f ca="1">IFERROR(__xludf.DUMMYFUNCTION("""COMPUTED_VALUE"""),4.1)</f>
        <v>4.0999999999999996</v>
      </c>
      <c r="D12130" s="8">
        <f ca="1">IFERROR(__xludf.DUMMYFUNCTION("""COMPUTED_VALUE"""),8)</f>
        <v>8</v>
      </c>
      <c r="E12130" s="2">
        <f ca="1">IFERROR(__xludf.DUMMYFUNCTION("""COMPUTED_VALUE"""),2)</f>
        <v>2</v>
      </c>
    </row>
    <row r="12131" spans="1:5" ht="13">
      <c r="A12131" s="2" t="str">
        <f ca="1">IFERROR(__xludf.DUMMYFUNCTION("""COMPUTED_VALUE"""),"Bor, Modesta")</f>
        <v>Bor, Modesta</v>
      </c>
      <c r="B12131" s="2">
        <f ca="1">IFERROR(__xludf.DUMMYFUNCTION("""COMPUTED_VALUE"""),4)</f>
        <v>4</v>
      </c>
      <c r="C12131" s="7">
        <f ca="1">IFERROR(__xludf.DUMMYFUNCTION("""COMPUTED_VALUE"""),4.3)</f>
        <v>4.3</v>
      </c>
      <c r="D12131" s="8">
        <f ca="1">IFERROR(__xludf.DUMMYFUNCTION("""COMPUTED_VALUE"""),8)</f>
        <v>8</v>
      </c>
      <c r="E12131" s="2">
        <f ca="1">IFERROR(__xludf.DUMMYFUNCTION("""COMPUTED_VALUE"""),2)</f>
        <v>2</v>
      </c>
    </row>
    <row r="12132" spans="1:5" ht="13">
      <c r="A12132" s="8" t="str">
        <f ca="1">IFERROR(__xludf.DUMMYFUNCTION("""COMPUTED_VALUE"""),"Bostic, Kathryn")</f>
        <v>Bostic, Kathryn</v>
      </c>
      <c r="B12132" s="3">
        <f ca="1">IFERROR(__xludf.DUMMYFUNCTION("""COMPUTED_VALUE"""),4)</f>
        <v>4</v>
      </c>
      <c r="C12132" s="7">
        <f ca="1">IFERROR(__xludf.DUMMYFUNCTION("""COMPUTED_VALUE"""),4.1)</f>
        <v>4.0999999999999996</v>
      </c>
      <c r="D12132" s="8">
        <f ca="1">IFERROR(__xludf.DUMMYFUNCTION("""COMPUTED_VALUE"""),4)</f>
        <v>4</v>
      </c>
      <c r="E12132" s="2">
        <f ca="1">IFERROR(__xludf.DUMMYFUNCTION("""COMPUTED_VALUE"""),1)</f>
        <v>1</v>
      </c>
    </row>
    <row r="12133" spans="1:5" ht="13">
      <c r="A12133" s="2" t="str">
        <f ca="1">IFERROR(__xludf.DUMMYFUNCTION("""COMPUTED_VALUE"""),"Boykin, B.E.")</f>
        <v>Boykin, B.E.</v>
      </c>
      <c r="B12133" s="3">
        <f ca="1">IFERROR(__xludf.DUMMYFUNCTION("""COMPUTED_VALUE"""),4)</f>
        <v>4</v>
      </c>
      <c r="C12133" s="7">
        <f ca="1">IFERROR(__xludf.DUMMYFUNCTION("""COMPUTED_VALUE"""),4.1)</f>
        <v>4.0999999999999996</v>
      </c>
      <c r="D12133" s="8">
        <f ca="1">IFERROR(__xludf.DUMMYFUNCTION("""COMPUTED_VALUE"""),4)</f>
        <v>4</v>
      </c>
      <c r="E12133" s="2">
        <f ca="1">IFERROR(__xludf.DUMMYFUNCTION("""COMPUTED_VALUE"""),1)</f>
        <v>1</v>
      </c>
    </row>
    <row r="12134" spans="1:5" ht="13">
      <c r="A12134" s="8" t="str">
        <f ca="1">IFERROR(__xludf.DUMMYFUNCTION("""COMPUTED_VALUE"""),"Brackney, Laura")</f>
        <v>Brackney, Laura</v>
      </c>
      <c r="B12134" s="3">
        <f ca="1">IFERROR(__xludf.DUMMYFUNCTION("""COMPUTED_VALUE"""),4)</f>
        <v>4</v>
      </c>
      <c r="C12134" s="7">
        <f ca="1">IFERROR(__xludf.DUMMYFUNCTION("""COMPUTED_VALUE"""),4.8)</f>
        <v>4.8</v>
      </c>
      <c r="D12134" s="8">
        <f ca="1">IFERROR(__xludf.DUMMYFUNCTION("""COMPUTED_VALUE"""),4)</f>
        <v>4</v>
      </c>
      <c r="E12134" s="2">
        <f ca="1">IFERROR(__xludf.DUMMYFUNCTION("""COMPUTED_VALUE"""),1)</f>
        <v>1</v>
      </c>
    </row>
    <row r="12135" spans="1:5" ht="13">
      <c r="A12135" s="8" t="str">
        <f ca="1">IFERROR(__xludf.DUMMYFUNCTION("""COMPUTED_VALUE"""),"Bridges, KiMani")</f>
        <v>Bridges, KiMani</v>
      </c>
      <c r="B12135" s="3">
        <f ca="1">IFERROR(__xludf.DUMMYFUNCTION("""COMPUTED_VALUE"""),4)</f>
        <v>4</v>
      </c>
      <c r="C12135" s="7">
        <f ca="1">IFERROR(__xludf.DUMMYFUNCTION("""COMPUTED_VALUE"""),4.1)</f>
        <v>4.0999999999999996</v>
      </c>
      <c r="D12135" s="8">
        <f ca="1">IFERROR(__xludf.DUMMYFUNCTION("""COMPUTED_VALUE"""),4)</f>
        <v>4</v>
      </c>
      <c r="E12135" s="2">
        <f ca="1">IFERROR(__xludf.DUMMYFUNCTION("""COMPUTED_VALUE"""),1)</f>
        <v>1</v>
      </c>
    </row>
    <row r="12136" spans="1:5" ht="13">
      <c r="A12136" s="8" t="str">
        <f ca="1">IFERROR(__xludf.DUMMYFUNCTION("""COMPUTED_VALUE"""),"Brown, Julia")</f>
        <v>Brown, Julia</v>
      </c>
      <c r="B12136" s="3">
        <f ca="1">IFERROR(__xludf.DUMMYFUNCTION("""COMPUTED_VALUE"""),4)</f>
        <v>4</v>
      </c>
      <c r="C12136" s="7">
        <f ca="1">IFERROR(__xludf.DUMMYFUNCTION("""COMPUTED_VALUE"""),4.2)</f>
        <v>4.2</v>
      </c>
      <c r="D12136" s="8">
        <f ca="1">IFERROR(__xludf.DUMMYFUNCTION("""COMPUTED_VALUE"""),4)</f>
        <v>4</v>
      </c>
      <c r="E12136" s="2">
        <f ca="1">IFERROR(__xludf.DUMMYFUNCTION("""COMPUTED_VALUE"""),1)</f>
        <v>1</v>
      </c>
    </row>
    <row r="12137" spans="1:5" ht="13">
      <c r="A12137" s="8" t="str">
        <f ca="1">IFERROR(__xludf.DUMMYFUNCTION("""COMPUTED_VALUE"""),"Bryan, Courtney")</f>
        <v>Bryan, Courtney</v>
      </c>
      <c r="B12137" s="3">
        <f ca="1">IFERROR(__xludf.DUMMYFUNCTION("""COMPUTED_VALUE"""),4)</f>
        <v>4</v>
      </c>
      <c r="C12137" s="7">
        <f ca="1">IFERROR(__xludf.DUMMYFUNCTION("""COMPUTED_VALUE"""),4.1)</f>
        <v>4.0999999999999996</v>
      </c>
      <c r="D12137" s="8">
        <f ca="1">IFERROR(__xludf.DUMMYFUNCTION("""COMPUTED_VALUE"""),4)</f>
        <v>4</v>
      </c>
      <c r="E12137" s="2">
        <f ca="1">IFERROR(__xludf.DUMMYFUNCTION("""COMPUTED_VALUE"""),1)</f>
        <v>1</v>
      </c>
    </row>
    <row r="12138" spans="1:5" ht="13">
      <c r="A12138" s="8" t="str">
        <f ca="1">IFERROR(__xludf.DUMMYFUNCTION("""COMPUTED_VALUE"""),"Busby, Starr")</f>
        <v>Busby, Starr</v>
      </c>
      <c r="B12138" s="3">
        <f ca="1">IFERROR(__xludf.DUMMYFUNCTION("""COMPUTED_VALUE"""),4)</f>
        <v>4</v>
      </c>
      <c r="C12138" s="7">
        <f ca="1">IFERROR(__xludf.DUMMYFUNCTION("""COMPUTED_VALUE"""),4.1)</f>
        <v>4.0999999999999996</v>
      </c>
      <c r="D12138" s="8">
        <f ca="1">IFERROR(__xludf.DUMMYFUNCTION("""COMPUTED_VALUE"""),4)</f>
        <v>4</v>
      </c>
      <c r="E12138" s="2">
        <f ca="1">IFERROR(__xludf.DUMMYFUNCTION("""COMPUTED_VALUE"""),1)</f>
        <v>1</v>
      </c>
    </row>
    <row r="12139" spans="1:5" ht="13">
      <c r="A12139" s="8" t="str">
        <f ca="1">IFERROR(__xludf.DUMMYFUNCTION("""COMPUTED_VALUE"""),"Bushnaq, Suad")</f>
        <v>Bushnaq, Suad</v>
      </c>
      <c r="B12139" s="3">
        <f ca="1">IFERROR(__xludf.DUMMYFUNCTION("""COMPUTED_VALUE"""),4)</f>
        <v>4</v>
      </c>
      <c r="C12139" s="7">
        <f ca="1">IFERROR(__xludf.DUMMYFUNCTION("""COMPUTED_VALUE"""),4.5)</f>
        <v>4.5</v>
      </c>
      <c r="D12139" s="8">
        <f ca="1">IFERROR(__xludf.DUMMYFUNCTION("""COMPUTED_VALUE"""),4)</f>
        <v>4</v>
      </c>
      <c r="E12139" s="2">
        <f ca="1">IFERROR(__xludf.DUMMYFUNCTION("""COMPUTED_VALUE"""),1)</f>
        <v>1</v>
      </c>
    </row>
    <row r="12140" spans="1:5" ht="13">
      <c r="A12140" s="2" t="str">
        <f ca="1">IFERROR(__xludf.DUMMYFUNCTION("""COMPUTED_VALUE"""),"Cabello, Camila")</f>
        <v>Cabello, Camila</v>
      </c>
      <c r="B12140" s="2">
        <f ca="1">IFERROR(__xludf.DUMMYFUNCTION("""COMPUTED_VALUE"""),4)</f>
        <v>4</v>
      </c>
      <c r="C12140" s="7">
        <f ca="1">IFERROR(__xludf.DUMMYFUNCTION("""COMPUTED_VALUE"""),4.2)</f>
        <v>4.2</v>
      </c>
      <c r="D12140" s="8">
        <f ca="1">IFERROR(__xludf.DUMMYFUNCTION("""COMPUTED_VALUE"""),4)</f>
        <v>4</v>
      </c>
      <c r="E12140" s="2">
        <f ca="1">IFERROR(__xludf.DUMMYFUNCTION("""COMPUTED_VALUE"""),1)</f>
        <v>1</v>
      </c>
    </row>
    <row r="12141" spans="1:5" ht="13">
      <c r="A12141" s="2" t="str">
        <f ca="1">IFERROR(__xludf.DUMMYFUNCTION("""COMPUTED_VALUE"""),"Cangiano, Liliana")</f>
        <v>Cangiano, Liliana</v>
      </c>
      <c r="B12141" s="2">
        <f ca="1">IFERROR(__xludf.DUMMYFUNCTION("""COMPUTED_VALUE"""),4)</f>
        <v>4</v>
      </c>
      <c r="C12141" s="2">
        <f ca="1">IFERROR(__xludf.DUMMYFUNCTION("""COMPUTED_VALUE"""),4.2)</f>
        <v>4.2</v>
      </c>
      <c r="D12141" s="8">
        <f ca="1">IFERROR(__xludf.DUMMYFUNCTION("""COMPUTED_VALUE"""),8)</f>
        <v>8</v>
      </c>
      <c r="E12141" s="2">
        <f ca="1">IFERROR(__xludf.DUMMYFUNCTION("""COMPUTED_VALUE"""),2)</f>
        <v>2</v>
      </c>
    </row>
    <row r="12142" spans="1:5" ht="13">
      <c r="A12142" s="2" t="str">
        <f ca="1">IFERROR(__xludf.DUMMYFUNCTION("""COMPUTED_VALUE"""),"Carey, Mariah")</f>
        <v>Carey, Mariah</v>
      </c>
      <c r="B12142" s="2">
        <f ca="1">IFERROR(__xludf.DUMMYFUNCTION("""COMPUTED_VALUE"""),4)</f>
        <v>4</v>
      </c>
      <c r="C12142" s="2">
        <f ca="1">IFERROR(__xludf.DUMMYFUNCTION("""COMPUTED_VALUE"""),4.1)</f>
        <v>4.0999999999999996</v>
      </c>
      <c r="D12142" s="8">
        <f ca="1">IFERROR(__xludf.DUMMYFUNCTION("""COMPUTED_VALUE"""),4)</f>
        <v>4</v>
      </c>
      <c r="E12142" s="2">
        <f ca="1">IFERROR(__xludf.DUMMYFUNCTION("""COMPUTED_VALUE"""),1)</f>
        <v>1</v>
      </c>
    </row>
    <row r="12143" spans="1:5" ht="13">
      <c r="A12143" s="8" t="str">
        <f ca="1">IFERROR(__xludf.DUMMYFUNCTION("""COMPUTED_VALUE"""),"Carillo, Isolina")</f>
        <v>Carillo, Isolina</v>
      </c>
      <c r="B12143" s="3">
        <f ca="1">IFERROR(__xludf.DUMMYFUNCTION("""COMPUTED_VALUE"""),4)</f>
        <v>4</v>
      </c>
      <c r="C12143" s="7">
        <f ca="1">IFERROR(__xludf.DUMMYFUNCTION("""COMPUTED_VALUE"""),4.2)</f>
        <v>4.2</v>
      </c>
      <c r="D12143" s="8">
        <f ca="1">IFERROR(__xludf.DUMMYFUNCTION("""COMPUTED_VALUE"""),8)</f>
        <v>8</v>
      </c>
      <c r="E12143" s="2">
        <f ca="1">IFERROR(__xludf.DUMMYFUNCTION("""COMPUTED_VALUE"""),2)</f>
        <v>2</v>
      </c>
    </row>
    <row r="12144" spans="1:5" ht="13">
      <c r="A12144" s="8" t="str">
        <f ca="1">IFERROR(__xludf.DUMMYFUNCTION("""COMPUTED_VALUE"""),"Carreño, Teresa")</f>
        <v>Carreño, Teresa</v>
      </c>
      <c r="B12144" s="3">
        <f ca="1">IFERROR(__xludf.DUMMYFUNCTION("""COMPUTED_VALUE"""),4)</f>
        <v>4</v>
      </c>
      <c r="C12144" s="7">
        <f ca="1">IFERROR(__xludf.DUMMYFUNCTION("""COMPUTED_VALUE"""),4.2)</f>
        <v>4.2</v>
      </c>
      <c r="D12144" s="8">
        <f ca="1">IFERROR(__xludf.DUMMYFUNCTION("""COMPUTED_VALUE"""),8)</f>
        <v>8</v>
      </c>
      <c r="E12144" s="2">
        <f ca="1">IFERROR(__xludf.DUMMYFUNCTION("""COMPUTED_VALUE"""),2)</f>
        <v>2</v>
      </c>
    </row>
    <row r="12145" spans="1:5" ht="13">
      <c r="A12145" s="8" t="str">
        <f ca="1">IFERROR(__xludf.DUMMYFUNCTION("""COMPUTED_VALUE"""),"Carrington, Terri Lyne")</f>
        <v>Carrington, Terri Lyne</v>
      </c>
      <c r="B12145" s="3">
        <f ca="1">IFERROR(__xludf.DUMMYFUNCTION("""COMPUTED_VALUE"""),4)</f>
        <v>4</v>
      </c>
      <c r="C12145" s="7">
        <f ca="1">IFERROR(__xludf.DUMMYFUNCTION("""COMPUTED_VALUE"""),4.1)</f>
        <v>4.0999999999999996</v>
      </c>
      <c r="D12145" s="8">
        <f ca="1">IFERROR(__xludf.DUMMYFUNCTION("""COMPUTED_VALUE"""),4)</f>
        <v>4</v>
      </c>
      <c r="E12145" s="2">
        <f ca="1">IFERROR(__xludf.DUMMYFUNCTION("""COMPUTED_VALUE"""),1)</f>
        <v>1</v>
      </c>
    </row>
    <row r="12146" spans="1:5" ht="13">
      <c r="A12146" s="2" t="str">
        <f ca="1">IFERROR(__xludf.DUMMYFUNCTION("""COMPUTED_VALUE"""),"Carroll, Nansi")</f>
        <v>Carroll, Nansi</v>
      </c>
      <c r="B12146" s="3">
        <f ca="1">IFERROR(__xludf.DUMMYFUNCTION("""COMPUTED_VALUE"""),4)</f>
        <v>4</v>
      </c>
      <c r="C12146" s="7">
        <f ca="1">IFERROR(__xludf.DUMMYFUNCTION("""COMPUTED_VALUE"""),4.1)</f>
        <v>4.0999999999999996</v>
      </c>
      <c r="D12146" s="8">
        <f ca="1">IFERROR(__xludf.DUMMYFUNCTION("""COMPUTED_VALUE"""),4)</f>
        <v>4</v>
      </c>
      <c r="E12146" s="2">
        <f ca="1">IFERROR(__xludf.DUMMYFUNCTION("""COMPUTED_VALUE"""),1)</f>
        <v>1</v>
      </c>
    </row>
    <row r="12147" spans="1:5" ht="13">
      <c r="A12147" s="2" t="str">
        <f ca="1">IFERROR(__xludf.DUMMYFUNCTION("""COMPUTED_VALUE"""),"Carter, Betty")</f>
        <v>Carter, Betty</v>
      </c>
      <c r="B12147" s="3">
        <f ca="1">IFERROR(__xludf.DUMMYFUNCTION("""COMPUTED_VALUE"""),4)</f>
        <v>4</v>
      </c>
      <c r="C12147" s="7">
        <f ca="1">IFERROR(__xludf.DUMMYFUNCTION("""COMPUTED_VALUE"""),4.1)</f>
        <v>4.0999999999999996</v>
      </c>
      <c r="D12147" s="8">
        <f ca="1">IFERROR(__xludf.DUMMYFUNCTION("""COMPUTED_VALUE"""),8)</f>
        <v>8</v>
      </c>
      <c r="E12147" s="2">
        <f ca="1">IFERROR(__xludf.DUMMYFUNCTION("""COMPUTED_VALUE"""),2)</f>
        <v>2</v>
      </c>
    </row>
    <row r="12148" spans="1:5" ht="13">
      <c r="A12148" s="2" t="str">
        <f ca="1">IFERROR(__xludf.DUMMYFUNCTION("""COMPUTED_VALUE"""),"Carvajal, Ailem")</f>
        <v>Carvajal, Ailem</v>
      </c>
      <c r="B12148" s="3">
        <f ca="1">IFERROR(__xludf.DUMMYFUNCTION("""COMPUTED_VALUE"""),4)</f>
        <v>4</v>
      </c>
      <c r="C12148" s="7">
        <f ca="1">IFERROR(__xludf.DUMMYFUNCTION("""COMPUTED_VALUE"""),4.2)</f>
        <v>4.2</v>
      </c>
      <c r="D12148" s="8">
        <f ca="1">IFERROR(__xludf.DUMMYFUNCTION("""COMPUTED_VALUE"""),4)</f>
        <v>4</v>
      </c>
      <c r="E12148" s="2">
        <f ca="1">IFERROR(__xludf.DUMMYFUNCTION("""COMPUTED_VALUE"""),1)</f>
        <v>1</v>
      </c>
    </row>
    <row r="12149" spans="1:5" ht="13">
      <c r="A12149" s="8" t="str">
        <f ca="1">IFERROR(__xludf.DUMMYFUNCTION("""COMPUTED_VALUE"""),"Cassey, Sara")</f>
        <v>Cassey, Sara</v>
      </c>
      <c r="B12149" s="3">
        <f ca="1">IFERROR(__xludf.DUMMYFUNCTION("""COMPUTED_VALUE"""),4)</f>
        <v>4</v>
      </c>
      <c r="C12149" s="7">
        <f ca="1">IFERROR(__xludf.DUMMYFUNCTION("""COMPUTED_VALUE"""),4.1)</f>
        <v>4.0999999999999996</v>
      </c>
      <c r="D12149" s="8">
        <f ca="1">IFERROR(__xludf.DUMMYFUNCTION("""COMPUTED_VALUE"""),8)</f>
        <v>8</v>
      </c>
      <c r="E12149" s="2">
        <f ca="1">IFERROR(__xludf.DUMMYFUNCTION("""COMPUTED_VALUE"""),2)</f>
        <v>2</v>
      </c>
    </row>
    <row r="12150" spans="1:5" ht="13">
      <c r="A12150" s="8" t="str">
        <f ca="1">IFERROR(__xludf.DUMMYFUNCTION("""COMPUTED_VALUE"""),"Castelló, Angélica")</f>
        <v>Castelló, Angélica</v>
      </c>
      <c r="B12150" s="3">
        <f ca="1">IFERROR(__xludf.DUMMYFUNCTION("""COMPUTED_VALUE"""),4)</f>
        <v>4</v>
      </c>
      <c r="C12150" s="7">
        <f ca="1">IFERROR(__xludf.DUMMYFUNCTION("""COMPUTED_VALUE"""),4.2)</f>
        <v>4.2</v>
      </c>
      <c r="D12150" s="8">
        <f ca="1">IFERROR(__xludf.DUMMYFUNCTION("""COMPUTED_VALUE"""),4)</f>
        <v>4</v>
      </c>
      <c r="E12150" s="2">
        <f ca="1">IFERROR(__xludf.DUMMYFUNCTION("""COMPUTED_VALUE"""),1)</f>
        <v>1</v>
      </c>
    </row>
    <row r="12151" spans="1:5" ht="13">
      <c r="A12151" s="8" t="str">
        <f ca="1">IFERROR(__xludf.DUMMYFUNCTION("""COMPUTED_VALUE"""),"Castillo, Alicia")</f>
        <v>Castillo, Alicia</v>
      </c>
      <c r="B12151" s="3">
        <f ca="1">IFERROR(__xludf.DUMMYFUNCTION("""COMPUTED_VALUE"""),4)</f>
        <v>4</v>
      </c>
      <c r="C12151" s="7">
        <f ca="1">IFERROR(__xludf.DUMMYFUNCTION("""COMPUTED_VALUE"""),4.3)</f>
        <v>4.3</v>
      </c>
      <c r="D12151" s="8">
        <f ca="1">IFERROR(__xludf.DUMMYFUNCTION("""COMPUTED_VALUE"""),4)</f>
        <v>4</v>
      </c>
      <c r="E12151" s="2">
        <f ca="1">IFERROR(__xludf.DUMMYFUNCTION("""COMPUTED_VALUE"""),1)</f>
        <v>1</v>
      </c>
    </row>
    <row r="12152" spans="1:5" ht="13">
      <c r="A12152" s="8" t="str">
        <f ca="1">IFERROR(__xludf.DUMMYFUNCTION("""COMPUTED_VALUE"""),"Cerin, Nathalie")</f>
        <v>Cerin, Nathalie</v>
      </c>
      <c r="B12152" s="3">
        <f ca="1">IFERROR(__xludf.DUMMYFUNCTION("""COMPUTED_VALUE"""),4)</f>
        <v>4</v>
      </c>
      <c r="C12152" s="7">
        <f ca="1">IFERROR(__xludf.DUMMYFUNCTION("""COMPUTED_VALUE"""),4.1)</f>
        <v>4.0999999999999996</v>
      </c>
      <c r="D12152" s="8">
        <f ca="1">IFERROR(__xludf.DUMMYFUNCTION("""COMPUTED_VALUE"""),4)</f>
        <v>4</v>
      </c>
      <c r="E12152" s="2">
        <f ca="1">IFERROR(__xludf.DUMMYFUNCTION("""COMPUTED_VALUE"""),1)</f>
        <v>1</v>
      </c>
    </row>
    <row r="12153" spans="1:5" ht="13">
      <c r="A12153" s="2" t="str">
        <f ca="1">IFERROR(__xludf.DUMMYFUNCTION("""COMPUTED_VALUE"""),"Cetilia, Laura")</f>
        <v>Cetilia, Laura</v>
      </c>
      <c r="B12153" s="3">
        <f ca="1">IFERROR(__xludf.DUMMYFUNCTION("""COMPUTED_VALUE"""),4)</f>
        <v>4</v>
      </c>
      <c r="C12153" s="7">
        <f ca="1">IFERROR(__xludf.DUMMYFUNCTION("""COMPUTED_VALUE"""),4.8)</f>
        <v>4.8</v>
      </c>
      <c r="D12153" s="8">
        <f ca="1">IFERROR(__xludf.DUMMYFUNCTION("""COMPUTED_VALUE"""),4)</f>
        <v>4</v>
      </c>
      <c r="E12153" s="2">
        <f ca="1">IFERROR(__xludf.DUMMYFUNCTION("""COMPUTED_VALUE"""),1)</f>
        <v>1</v>
      </c>
    </row>
    <row r="12154" spans="1:5" ht="13">
      <c r="A12154" s="2" t="str">
        <f ca="1">IFERROR(__xludf.DUMMYFUNCTION("""COMPUTED_VALUE"""),"Chang, Dorothy")</f>
        <v>Chang, Dorothy</v>
      </c>
      <c r="B12154" s="2">
        <f ca="1">IFERROR(__xludf.DUMMYFUNCTION("""COMPUTED_VALUE"""),4)</f>
        <v>4</v>
      </c>
      <c r="C12154" s="7">
        <f ca="1">IFERROR(__xludf.DUMMYFUNCTION("""COMPUTED_VALUE"""),4.3)</f>
        <v>4.3</v>
      </c>
      <c r="D12154" s="8">
        <f ca="1">IFERROR(__xludf.DUMMYFUNCTION("""COMPUTED_VALUE"""),4)</f>
        <v>4</v>
      </c>
      <c r="E12154" s="2">
        <f ca="1">IFERROR(__xludf.DUMMYFUNCTION("""COMPUTED_VALUE"""),1)</f>
        <v>1</v>
      </c>
    </row>
    <row r="12155" spans="1:5" ht="13">
      <c r="A12155" s="2" t="str">
        <f ca="1">IFERROR(__xludf.DUMMYFUNCTION("""COMPUTED_VALUE"""),"Chen Yi")</f>
        <v>Chen Yi</v>
      </c>
      <c r="B12155" s="2">
        <f ca="1">IFERROR(__xludf.DUMMYFUNCTION("""COMPUTED_VALUE"""),4)</f>
        <v>4</v>
      </c>
      <c r="C12155" s="7">
        <f ca="1">IFERROR(__xludf.DUMMYFUNCTION("""COMPUTED_VALUE"""),4.3)</f>
        <v>4.3</v>
      </c>
      <c r="D12155" s="8">
        <f ca="1">IFERROR(__xludf.DUMMYFUNCTION("""COMPUTED_VALUE"""),4)</f>
        <v>4</v>
      </c>
      <c r="E12155" s="2">
        <f ca="1">IFERROR(__xludf.DUMMYFUNCTION("""COMPUTED_VALUE"""),1)</f>
        <v>1</v>
      </c>
    </row>
    <row r="12156" spans="1:5" ht="13">
      <c r="A12156" s="8" t="str">
        <f ca="1">IFERROR(__xludf.DUMMYFUNCTION("""COMPUTED_VALUE"""),"Chen, Shih-Hui")</f>
        <v>Chen, Shih-Hui</v>
      </c>
      <c r="B12156" s="3">
        <f ca="1">IFERROR(__xludf.DUMMYFUNCTION("""COMPUTED_VALUE"""),4)</f>
        <v>4</v>
      </c>
      <c r="C12156" s="7">
        <f ca="1">IFERROR(__xludf.DUMMYFUNCTION("""COMPUTED_VALUE"""),4.3)</f>
        <v>4.3</v>
      </c>
      <c r="D12156" s="8">
        <f ca="1">IFERROR(__xludf.DUMMYFUNCTION("""COMPUTED_VALUE"""),4)</f>
        <v>4</v>
      </c>
      <c r="E12156" s="2">
        <f ca="1">IFERROR(__xludf.DUMMYFUNCTION("""COMPUTED_VALUE"""),1)</f>
        <v>1</v>
      </c>
    </row>
    <row r="12157" spans="1:5" ht="13">
      <c r="A12157" s="2" t="str">
        <f ca="1">IFERROR(__xludf.DUMMYFUNCTION("""COMPUTED_VALUE"""),"Chen, Yi")</f>
        <v>Chen, Yi</v>
      </c>
      <c r="B12157" s="3">
        <f ca="1">IFERROR(__xludf.DUMMYFUNCTION("""COMPUTED_VALUE"""),4)</f>
        <v>4</v>
      </c>
      <c r="C12157" s="7">
        <f ca="1">IFERROR(__xludf.DUMMYFUNCTION("""COMPUTED_VALUE"""),4.3)</f>
        <v>4.3</v>
      </c>
      <c r="D12157" s="8">
        <f ca="1">IFERROR(__xludf.DUMMYFUNCTION("""COMPUTED_VALUE"""),4)</f>
        <v>4</v>
      </c>
      <c r="E12157" s="2">
        <f ca="1">IFERROR(__xludf.DUMMYFUNCTION("""COMPUTED_VALUE"""),1)</f>
        <v>1</v>
      </c>
    </row>
    <row r="12158" spans="1:5" ht="13">
      <c r="A12158" s="2" t="str">
        <f ca="1">IFERROR(__xludf.DUMMYFUNCTION("""COMPUTED_VALUE"""),"Chia-Yu Hsu")</f>
        <v>Chia-Yu Hsu</v>
      </c>
      <c r="B12158" s="2">
        <f ca="1">IFERROR(__xludf.DUMMYFUNCTION("""COMPUTED_VALUE"""),4)</f>
        <v>4</v>
      </c>
      <c r="C12158" s="7">
        <f ca="1">IFERROR(__xludf.DUMMYFUNCTION("""COMPUTED_VALUE"""),4.3)</f>
        <v>4.3</v>
      </c>
      <c r="D12158" s="8">
        <f ca="1">IFERROR(__xludf.DUMMYFUNCTION("""COMPUTED_VALUE"""),4)</f>
        <v>4</v>
      </c>
      <c r="E12158" s="2">
        <f ca="1">IFERROR(__xludf.DUMMYFUNCTION("""COMPUTED_VALUE"""),1)</f>
        <v>1</v>
      </c>
    </row>
    <row r="12159" spans="1:5" ht="13">
      <c r="A12159" s="8" t="str">
        <f ca="1">IFERROR(__xludf.DUMMYFUNCTION("""COMPUTED_VALUE"""),"Chiayu Hsu")</f>
        <v>Chiayu Hsu</v>
      </c>
      <c r="B12159" s="3">
        <f ca="1">IFERROR(__xludf.DUMMYFUNCTION("""COMPUTED_VALUE"""),4)</f>
        <v>4</v>
      </c>
      <c r="C12159" s="7">
        <f ca="1">IFERROR(__xludf.DUMMYFUNCTION("""COMPUTED_VALUE"""),4.3)</f>
        <v>4.3</v>
      </c>
      <c r="D12159" s="8">
        <f ca="1">IFERROR(__xludf.DUMMYFUNCTION("""COMPUTED_VALUE"""),4)</f>
        <v>4</v>
      </c>
      <c r="E12159" s="2">
        <f ca="1">IFERROR(__xludf.DUMMYFUNCTION("""COMPUTED_VALUE"""),1)</f>
        <v>1</v>
      </c>
    </row>
    <row r="12160" spans="1:5" ht="13">
      <c r="A12160" s="8" t="str">
        <f ca="1">IFERROR(__xludf.DUMMYFUNCTION("""COMPUTED_VALUE"""),"Chihchun Chi-sun Lee")</f>
        <v>Chihchun Chi-sun Lee</v>
      </c>
      <c r="B12160" s="3">
        <f ca="1">IFERROR(__xludf.DUMMYFUNCTION("""COMPUTED_VALUE"""),4)</f>
        <v>4</v>
      </c>
      <c r="C12160" s="7">
        <f ca="1">IFERROR(__xludf.DUMMYFUNCTION("""COMPUTED_VALUE"""),4.3)</f>
        <v>4.3</v>
      </c>
      <c r="D12160" s="8">
        <f ca="1">IFERROR(__xludf.DUMMYFUNCTION("""COMPUTED_VALUE"""),4)</f>
        <v>4</v>
      </c>
      <c r="E12160" s="2">
        <f ca="1">IFERROR(__xludf.DUMMYFUNCTION("""COMPUTED_VALUE"""),1)</f>
        <v>1</v>
      </c>
    </row>
    <row r="12161" spans="1:5" ht="13">
      <c r="A12161" s="8" t="str">
        <f ca="1">IFERROR(__xludf.DUMMYFUNCTION("""COMPUTED_VALUE"""),"Chin, Unsuk")</f>
        <v>Chin, Unsuk</v>
      </c>
      <c r="B12161" s="3">
        <f ca="1">IFERROR(__xludf.DUMMYFUNCTION("""COMPUTED_VALUE"""),4)</f>
        <v>4</v>
      </c>
      <c r="C12161" s="7">
        <f ca="1">IFERROR(__xludf.DUMMYFUNCTION("""COMPUTED_VALUE"""),4.3)</f>
        <v>4.3</v>
      </c>
      <c r="D12161" s="8">
        <f ca="1">IFERROR(__xludf.DUMMYFUNCTION("""COMPUTED_VALUE"""),4)</f>
        <v>4</v>
      </c>
      <c r="E12161" s="2">
        <f ca="1">IFERROR(__xludf.DUMMYFUNCTION("""COMPUTED_VALUE"""),1)</f>
        <v>1</v>
      </c>
    </row>
    <row r="12162" spans="1:5" ht="13">
      <c r="A12162" s="8" t="str">
        <f ca="1">IFERROR(__xludf.DUMMYFUNCTION("""COMPUTED_VALUE"""),"Cho Hye-Young")</f>
        <v>Cho Hye-Young</v>
      </c>
      <c r="B12162" s="3">
        <f ca="1">IFERROR(__xludf.DUMMYFUNCTION("""COMPUTED_VALUE"""),4)</f>
        <v>4</v>
      </c>
      <c r="C12162" s="7">
        <f ca="1">IFERROR(__xludf.DUMMYFUNCTION("""COMPUTED_VALUE"""),4.3)</f>
        <v>4.3</v>
      </c>
      <c r="D12162" s="8">
        <f ca="1">IFERROR(__xludf.DUMMYFUNCTION("""COMPUTED_VALUE"""),4)</f>
        <v>4</v>
      </c>
      <c r="E12162" s="2">
        <f ca="1">IFERROR(__xludf.DUMMYFUNCTION("""COMPUTED_VALUE"""),1)</f>
        <v>1</v>
      </c>
    </row>
    <row r="12163" spans="1:5" ht="13">
      <c r="A12163" s="2" t="str">
        <f ca="1">IFERROR(__xludf.DUMMYFUNCTION("""COMPUTED_VALUE"""),"Chobania, Loris")</f>
        <v>Chobania, Loris</v>
      </c>
      <c r="B12163" s="2">
        <f ca="1">IFERROR(__xludf.DUMMYFUNCTION("""COMPUTED_VALUE"""),4)</f>
        <v>4</v>
      </c>
      <c r="C12163" s="2">
        <f ca="1">IFERROR(__xludf.DUMMYFUNCTION("""COMPUTED_VALUE"""),4.5)</f>
        <v>4.5</v>
      </c>
      <c r="D12163" s="8">
        <f ca="1">IFERROR(__xludf.DUMMYFUNCTION("""COMPUTED_VALUE"""),8)</f>
        <v>8</v>
      </c>
      <c r="E12163" s="2">
        <f ca="1">IFERROR(__xludf.DUMMYFUNCTION("""COMPUTED_VALUE"""),2)</f>
        <v>2</v>
      </c>
    </row>
    <row r="12164" spans="1:5" ht="13">
      <c r="A12164" s="8" t="str">
        <f ca="1">IFERROR(__xludf.DUMMYFUNCTION("""COMPUTED_VALUE"""),"Choi, Kyong Mee")</f>
        <v>Choi, Kyong Mee</v>
      </c>
      <c r="B12164" s="3">
        <f ca="1">IFERROR(__xludf.DUMMYFUNCTION("""COMPUTED_VALUE"""),4)</f>
        <v>4</v>
      </c>
      <c r="C12164" s="7">
        <f ca="1">IFERROR(__xludf.DUMMYFUNCTION("""COMPUTED_VALUE"""),4.3)</f>
        <v>4.3</v>
      </c>
      <c r="D12164" s="8">
        <f ca="1">IFERROR(__xludf.DUMMYFUNCTION("""COMPUTED_VALUE"""),4)</f>
        <v>4</v>
      </c>
      <c r="E12164" s="2">
        <f ca="1">IFERROR(__xludf.DUMMYFUNCTION("""COMPUTED_VALUE"""),1)</f>
        <v>1</v>
      </c>
    </row>
    <row r="12165" spans="1:5" ht="13">
      <c r="A12165" s="2" t="str">
        <f ca="1">IFERROR(__xludf.DUMMYFUNCTION("""COMPUTED_VALUE"""),"Chou, Sarana")</f>
        <v>Chou, Sarana</v>
      </c>
      <c r="B12165" s="2">
        <f ca="1">IFERROR(__xludf.DUMMYFUNCTION("""COMPUTED_VALUE"""),4)</f>
        <v>4</v>
      </c>
      <c r="C12165" s="7">
        <f ca="1">IFERROR(__xludf.DUMMYFUNCTION("""COMPUTED_VALUE"""),4.3)</f>
        <v>4.3</v>
      </c>
      <c r="D12165" s="8">
        <f ca="1">IFERROR(__xludf.DUMMYFUNCTION("""COMPUTED_VALUE"""),4)</f>
        <v>4</v>
      </c>
      <c r="E12165" s="2">
        <f ca="1">IFERROR(__xludf.DUMMYFUNCTION("""COMPUTED_VALUE"""),1)</f>
        <v>1</v>
      </c>
    </row>
    <row r="12166" spans="1:5" ht="13">
      <c r="A12166" s="8" t="str">
        <f ca="1">IFERROR(__xludf.DUMMYFUNCTION("""COMPUTED_VALUE"""),"Chung, Sherri")</f>
        <v>Chung, Sherri</v>
      </c>
      <c r="B12166" s="3">
        <f ca="1">IFERROR(__xludf.DUMMYFUNCTION("""COMPUTED_VALUE"""),4)</f>
        <v>4</v>
      </c>
      <c r="C12166" s="7">
        <f ca="1">IFERROR(__xludf.DUMMYFUNCTION("""COMPUTED_VALUE"""),4.3)</f>
        <v>4.3</v>
      </c>
      <c r="D12166" s="8">
        <f ca="1">IFERROR(__xludf.DUMMYFUNCTION("""COMPUTED_VALUE"""),4)</f>
        <v>4</v>
      </c>
      <c r="E12166" s="2">
        <f ca="1">IFERROR(__xludf.DUMMYFUNCTION("""COMPUTED_VALUE"""),1)</f>
        <v>1</v>
      </c>
    </row>
    <row r="12167" spans="1:5" ht="13">
      <c r="A12167" s="8" t="str">
        <f ca="1">IFERROR(__xludf.DUMMYFUNCTION("""COMPUTED_VALUE"""),"Coleman, Valerie")</f>
        <v>Coleman, Valerie</v>
      </c>
      <c r="B12167" s="3">
        <f ca="1">IFERROR(__xludf.DUMMYFUNCTION("""COMPUTED_VALUE"""),4)</f>
        <v>4</v>
      </c>
      <c r="C12167" s="7">
        <f ca="1">IFERROR(__xludf.DUMMYFUNCTION("""COMPUTED_VALUE"""),4.1)</f>
        <v>4.0999999999999996</v>
      </c>
      <c r="D12167" s="8">
        <f ca="1">IFERROR(__xludf.DUMMYFUNCTION("""COMPUTED_VALUE"""),4)</f>
        <v>4</v>
      </c>
      <c r="E12167" s="2">
        <f ca="1">IFERROR(__xludf.DUMMYFUNCTION("""COMPUTED_VALUE"""),1)</f>
        <v>1</v>
      </c>
    </row>
    <row r="12168" spans="1:5" ht="13">
      <c r="A12168" s="2" t="str">
        <f ca="1">IFERROR(__xludf.DUMMYFUNCTION("""COMPUTED_VALUE"""),"Coltrane Turiyasangitananda, Alice")</f>
        <v>Coltrane Turiyasangitananda, Alice</v>
      </c>
      <c r="B12168" s="2">
        <f ca="1">IFERROR(__xludf.DUMMYFUNCTION("""COMPUTED_VALUE"""),4)</f>
        <v>4</v>
      </c>
      <c r="C12168" s="2">
        <f ca="1">IFERROR(__xludf.DUMMYFUNCTION("""COMPUTED_VALUE"""),4.1)</f>
        <v>4.0999999999999996</v>
      </c>
      <c r="D12168" s="8">
        <f ca="1">IFERROR(__xludf.DUMMYFUNCTION("""COMPUTED_VALUE"""),8)</f>
        <v>8</v>
      </c>
      <c r="E12168" s="2">
        <f ca="1">IFERROR(__xludf.DUMMYFUNCTION("""COMPUTED_VALUE"""),2)</f>
        <v>2</v>
      </c>
    </row>
    <row r="12169" spans="1:5" ht="13">
      <c r="A12169" s="2" t="str">
        <f ca="1">IFERROR(__xludf.DUMMYFUNCTION("""COMPUTED_VALUE"""),"Dai Wei")</f>
        <v>Dai Wei</v>
      </c>
      <c r="B12169" s="3">
        <f ca="1">IFERROR(__xludf.DUMMYFUNCTION("""COMPUTED_VALUE"""),4)</f>
        <v>4</v>
      </c>
      <c r="C12169" s="7">
        <f ca="1">IFERROR(__xludf.DUMMYFUNCTION("""COMPUTED_VALUE"""),4.3)</f>
        <v>4.3</v>
      </c>
      <c r="D12169" s="8">
        <f ca="1">IFERROR(__xludf.DUMMYFUNCTION("""COMPUTED_VALUE"""),4)</f>
        <v>4</v>
      </c>
      <c r="E12169" s="2">
        <f ca="1">IFERROR(__xludf.DUMMYFUNCTION("""COMPUTED_VALUE"""),1)</f>
        <v>1</v>
      </c>
    </row>
    <row r="12170" spans="1:5" ht="13">
      <c r="A12170" s="8" t="str">
        <f ca="1">IFERROR(__xludf.DUMMYFUNCTION("""COMPUTED_VALUE"""),"Dancy, Chanda")</f>
        <v>Dancy, Chanda</v>
      </c>
      <c r="B12170" s="3">
        <f ca="1">IFERROR(__xludf.DUMMYFUNCTION("""COMPUTED_VALUE"""),4)</f>
        <v>4</v>
      </c>
      <c r="C12170" s="7">
        <f ca="1">IFERROR(__xludf.DUMMYFUNCTION("""COMPUTED_VALUE"""),4.1)</f>
        <v>4.0999999999999996</v>
      </c>
      <c r="D12170" s="8">
        <f ca="1">IFERROR(__xludf.DUMMYFUNCTION("""COMPUTED_VALUE"""),4)</f>
        <v>4</v>
      </c>
      <c r="E12170" s="2">
        <f ca="1">IFERROR(__xludf.DUMMYFUNCTION("""COMPUTED_VALUE"""),1)</f>
        <v>1</v>
      </c>
    </row>
    <row r="12171" spans="1:5" ht="13">
      <c r="A12171" s="8" t="str">
        <f ca="1">IFERROR(__xludf.DUMMYFUNCTION("""COMPUTED_VALUE"""),"Davis, Jordyn")</f>
        <v>Davis, Jordyn</v>
      </c>
      <c r="B12171" s="3">
        <f ca="1">IFERROR(__xludf.DUMMYFUNCTION("""COMPUTED_VALUE"""),4)</f>
        <v>4</v>
      </c>
      <c r="C12171" s="7">
        <f ca="1">IFERROR(__xludf.DUMMYFUNCTION("""COMPUTED_VALUE"""),4.1)</f>
        <v>4.0999999999999996</v>
      </c>
      <c r="D12171" s="8">
        <f ca="1">IFERROR(__xludf.DUMMYFUNCTION("""COMPUTED_VALUE"""),4)</f>
        <v>4</v>
      </c>
      <c r="E12171" s="2">
        <f ca="1">IFERROR(__xludf.DUMMYFUNCTION("""COMPUTED_VALUE"""),1)</f>
        <v>1</v>
      </c>
    </row>
    <row r="12172" spans="1:5" ht="13">
      <c r="A12172" s="2" t="str">
        <f ca="1">IFERROR(__xludf.DUMMYFUNCTION("""COMPUTED_VALUE"""),"de Benedetti, Josefina Punceles")</f>
        <v>de Benedetti, Josefina Punceles</v>
      </c>
      <c r="B12172" s="3">
        <f ca="1">IFERROR(__xludf.DUMMYFUNCTION("""COMPUTED_VALUE"""),4)</f>
        <v>4</v>
      </c>
      <c r="C12172" s="7">
        <f ca="1">IFERROR(__xludf.DUMMYFUNCTION("""COMPUTED_VALUE"""),4.2)</f>
        <v>4.2</v>
      </c>
      <c r="D12172" s="8">
        <f ca="1">IFERROR(__xludf.DUMMYFUNCTION("""COMPUTED_VALUE"""),4)</f>
        <v>4</v>
      </c>
      <c r="E12172" s="2">
        <f ca="1">IFERROR(__xludf.DUMMYFUNCTION("""COMPUTED_VALUE"""),1)</f>
        <v>1</v>
      </c>
    </row>
    <row r="12173" spans="1:5" ht="13">
      <c r="A12173" s="8" t="str">
        <f ca="1">IFERROR(__xludf.DUMMYFUNCTION("""COMPUTED_VALUE"""),"De Velasco, Esperanza")</f>
        <v>De Velasco, Esperanza</v>
      </c>
      <c r="B12173" s="3">
        <f ca="1">IFERROR(__xludf.DUMMYFUNCTION("""COMPUTED_VALUE"""),4)</f>
        <v>4</v>
      </c>
      <c r="C12173" s="7">
        <f ca="1">IFERROR(__xludf.DUMMYFUNCTION("""COMPUTED_VALUE"""),4.2)</f>
        <v>4.2</v>
      </c>
      <c r="D12173" s="8">
        <f ca="1">IFERROR(__xludf.DUMMYFUNCTION("""COMPUTED_VALUE"""),4)</f>
        <v>4</v>
      </c>
      <c r="E12173" s="2">
        <f ca="1">IFERROR(__xludf.DUMMYFUNCTION("""COMPUTED_VALUE"""),1)</f>
        <v>1</v>
      </c>
    </row>
    <row r="12174" spans="1:5" ht="13">
      <c r="A12174" s="8" t="str">
        <f ca="1">IFERROR(__xludf.DUMMYFUNCTION("""COMPUTED_VALUE"""),"Dekaney, Elisa Macedo")</f>
        <v>Dekaney, Elisa Macedo</v>
      </c>
      <c r="B12174" s="3">
        <f ca="1">IFERROR(__xludf.DUMMYFUNCTION("""COMPUTED_VALUE"""),4)</f>
        <v>4</v>
      </c>
      <c r="C12174" s="7">
        <f ca="1">IFERROR(__xludf.DUMMYFUNCTION("""COMPUTED_VALUE"""),4.8)</f>
        <v>4.8</v>
      </c>
      <c r="D12174" s="8">
        <f ca="1">IFERROR(__xludf.DUMMYFUNCTION("""COMPUTED_VALUE"""),4)</f>
        <v>4</v>
      </c>
      <c r="E12174" s="2">
        <f ca="1">IFERROR(__xludf.DUMMYFUNCTION("""COMPUTED_VALUE"""),1)</f>
        <v>1</v>
      </c>
    </row>
    <row r="12175" spans="1:5" ht="13">
      <c r="A12175" s="8" t="str">
        <f ca="1">IFERROR(__xludf.DUMMYFUNCTION("""COMPUTED_VALUE"""),"Demaio, Nicole")</f>
        <v>Demaio, Nicole</v>
      </c>
      <c r="B12175" s="3">
        <f ca="1">IFERROR(__xludf.DUMMYFUNCTION("""COMPUTED_VALUE"""),4)</f>
        <v>4</v>
      </c>
      <c r="C12175" s="7">
        <f ca="1">IFERROR(__xludf.DUMMYFUNCTION("""COMPUTED_VALUE"""),4.2)</f>
        <v>4.2</v>
      </c>
      <c r="D12175" s="8">
        <f ca="1">IFERROR(__xludf.DUMMYFUNCTION("""COMPUTED_VALUE"""),4)</f>
        <v>4</v>
      </c>
      <c r="E12175" s="2">
        <f ca="1">IFERROR(__xludf.DUMMYFUNCTION("""COMPUTED_VALUE"""),1)</f>
        <v>1</v>
      </c>
    </row>
    <row r="12176" spans="1:5" ht="13">
      <c r="A12176" s="8" t="str">
        <f ca="1">IFERROR(__xludf.DUMMYFUNCTION("""COMPUTED_VALUE"""),"Desarmes, Jealyna")</f>
        <v>Desarmes, Jealyna</v>
      </c>
      <c r="B12176" s="3">
        <f ca="1">IFERROR(__xludf.DUMMYFUNCTION("""COMPUTED_VALUE"""),4)</f>
        <v>4</v>
      </c>
      <c r="C12176" s="7">
        <f ca="1">IFERROR(__xludf.DUMMYFUNCTION("""COMPUTED_VALUE"""),4.1)</f>
        <v>4.0999999999999996</v>
      </c>
      <c r="D12176" s="8">
        <f ca="1">IFERROR(__xludf.DUMMYFUNCTION("""COMPUTED_VALUE"""),4)</f>
        <v>4</v>
      </c>
      <c r="E12176" s="2">
        <f ca="1">IFERROR(__xludf.DUMMYFUNCTION("""COMPUTED_VALUE"""),1)</f>
        <v>1</v>
      </c>
    </row>
    <row r="12177" spans="1:5" ht="13">
      <c r="A12177" s="8" t="str">
        <f ca="1">IFERROR(__xludf.DUMMYFUNCTION("""COMPUTED_VALUE"""),"Dobson, Abby")</f>
        <v>Dobson, Abby</v>
      </c>
      <c r="B12177" s="3">
        <f ca="1">IFERROR(__xludf.DUMMYFUNCTION("""COMPUTED_VALUE"""),4)</f>
        <v>4</v>
      </c>
      <c r="C12177" s="7">
        <f ca="1">IFERROR(__xludf.DUMMYFUNCTION("""COMPUTED_VALUE"""),4.1)</f>
        <v>4.0999999999999996</v>
      </c>
      <c r="D12177" s="8">
        <f ca="1">IFERROR(__xludf.DUMMYFUNCTION("""COMPUTED_VALUE"""),4)</f>
        <v>4</v>
      </c>
      <c r="E12177" s="2">
        <f ca="1">IFERROR(__xludf.DUMMYFUNCTION("""COMPUTED_VALUE"""),1)</f>
        <v>1</v>
      </c>
    </row>
    <row r="12178" spans="1:5" ht="13">
      <c r="A12178" s="2" t="str">
        <f ca="1">IFERROR(__xludf.DUMMYFUNCTION("""COMPUTED_VALUE"""),"Donjuan, Nubia Jaime")</f>
        <v>Donjuan, Nubia Jaime</v>
      </c>
      <c r="B12178" s="2">
        <f ca="1">IFERROR(__xludf.DUMMYFUNCTION("""COMPUTED_VALUE"""),4)</f>
        <v>4</v>
      </c>
      <c r="C12178" s="7">
        <f ca="1">IFERROR(__xludf.DUMMYFUNCTION("""COMPUTED_VALUE"""),4.2)</f>
        <v>4.2</v>
      </c>
      <c r="D12178" s="8">
        <f ca="1">IFERROR(__xludf.DUMMYFUNCTION("""COMPUTED_VALUE"""),4)</f>
        <v>4</v>
      </c>
      <c r="E12178" s="2">
        <f ca="1">IFERROR(__xludf.DUMMYFUNCTION("""COMPUTED_VALUE"""),1)</f>
        <v>1</v>
      </c>
    </row>
    <row r="12179" spans="1:5" ht="13">
      <c r="A12179" s="2" t="str">
        <f ca="1">IFERROR(__xludf.DUMMYFUNCTION("""COMPUTED_VALUE"""),"Douglas, Marie")</f>
        <v>Douglas, Marie</v>
      </c>
      <c r="B12179" s="2">
        <f ca="1">IFERROR(__xludf.DUMMYFUNCTION("""COMPUTED_VALUE"""),4)</f>
        <v>4</v>
      </c>
      <c r="C12179" s="7">
        <f ca="1">IFERROR(__xludf.DUMMYFUNCTION("""COMPUTED_VALUE"""),4.1)</f>
        <v>4.0999999999999996</v>
      </c>
      <c r="D12179" s="8">
        <f ca="1">IFERROR(__xludf.DUMMYFUNCTION("""COMPUTED_VALUE"""),4)</f>
        <v>4</v>
      </c>
      <c r="E12179" s="2">
        <f ca="1">IFERROR(__xludf.DUMMYFUNCTION("""COMPUTED_VALUE"""),1)</f>
        <v>1</v>
      </c>
    </row>
    <row r="12180" spans="1:5" ht="13">
      <c r="A12180" s="8" t="str">
        <f ca="1">IFERROR(__xludf.DUMMYFUNCTION("""COMPUTED_VALUE"""),"Dower, Kellori R.")</f>
        <v>Dower, Kellori R.</v>
      </c>
      <c r="B12180" s="3">
        <f ca="1">IFERROR(__xludf.DUMMYFUNCTION("""COMPUTED_VALUE"""),4)</f>
        <v>4</v>
      </c>
      <c r="C12180" s="7">
        <f ca="1">IFERROR(__xludf.DUMMYFUNCTION("""COMPUTED_VALUE"""),4.1)</f>
        <v>4.0999999999999996</v>
      </c>
      <c r="D12180" s="8">
        <f ca="1">IFERROR(__xludf.DUMMYFUNCTION("""COMPUTED_VALUE"""),4)</f>
        <v>4</v>
      </c>
      <c r="E12180" s="2">
        <f ca="1">IFERROR(__xludf.DUMMYFUNCTION("""COMPUTED_VALUE"""),1)</f>
        <v>1</v>
      </c>
    </row>
    <row r="12181" spans="1:5" ht="13">
      <c r="A12181" s="8" t="str">
        <f ca="1">IFERROR(__xludf.DUMMYFUNCTION("""COMPUTED_VALUE"""),"Du Yun")</f>
        <v>Du Yun</v>
      </c>
      <c r="B12181" s="3">
        <f ca="1">IFERROR(__xludf.DUMMYFUNCTION("""COMPUTED_VALUE"""),4)</f>
        <v>4</v>
      </c>
      <c r="C12181" s="7">
        <f ca="1">IFERROR(__xludf.DUMMYFUNCTION("""COMPUTED_VALUE"""),4.3)</f>
        <v>4.3</v>
      </c>
      <c r="D12181" s="8">
        <f ca="1">IFERROR(__xludf.DUMMYFUNCTION("""COMPUTED_VALUE"""),4)</f>
        <v>4</v>
      </c>
      <c r="E12181" s="2">
        <f ca="1">IFERROR(__xludf.DUMMYFUNCTION("""COMPUTED_VALUE"""),1)</f>
        <v>1</v>
      </c>
    </row>
    <row r="12182" spans="1:5" ht="13">
      <c r="A12182" s="2" t="str">
        <f ca="1">IFERROR(__xludf.DUMMYFUNCTION("""COMPUTED_VALUE"""),"Duncan, Norah")</f>
        <v>Duncan, Norah</v>
      </c>
      <c r="B12182" s="3">
        <f ca="1">IFERROR(__xludf.DUMMYFUNCTION("""COMPUTED_VALUE"""),4)</f>
        <v>4</v>
      </c>
      <c r="C12182" s="7">
        <f ca="1">IFERROR(__xludf.DUMMYFUNCTION("""COMPUTED_VALUE"""),4.1)</f>
        <v>4.0999999999999996</v>
      </c>
      <c r="D12182" s="8">
        <f ca="1">IFERROR(__xludf.DUMMYFUNCTION("""COMPUTED_VALUE"""),4)</f>
        <v>4</v>
      </c>
      <c r="E12182" s="2">
        <f ca="1">IFERROR(__xludf.DUMMYFUNCTION("""COMPUTED_VALUE"""),1)</f>
        <v>1</v>
      </c>
    </row>
    <row r="12183" spans="1:5" ht="13">
      <c r="A12183" s="2" t="str">
        <f ca="1">IFERROR(__xludf.DUMMYFUNCTION("""COMPUTED_VALUE"""),"Dunphy, Melissa")</f>
        <v>Dunphy, Melissa</v>
      </c>
      <c r="B12183" s="2">
        <f ca="1">IFERROR(__xludf.DUMMYFUNCTION("""COMPUTED_VALUE"""),4)</f>
        <v>4</v>
      </c>
      <c r="C12183" s="7">
        <f ca="1">IFERROR(__xludf.DUMMYFUNCTION("""COMPUTED_VALUE"""),4.3)</f>
        <v>4.3</v>
      </c>
      <c r="D12183" s="8">
        <f ca="1">IFERROR(__xludf.DUMMYFUNCTION("""COMPUTED_VALUE"""),4)</f>
        <v>4</v>
      </c>
      <c r="E12183" s="2">
        <f ca="1">IFERROR(__xludf.DUMMYFUNCTION("""COMPUTED_VALUE"""),1)</f>
        <v>1</v>
      </c>
    </row>
    <row r="12184" spans="1:5" ht="13">
      <c r="A12184" s="8" t="str">
        <f ca="1">IFERROR(__xludf.DUMMYFUNCTION("""COMPUTED_VALUE"""),"Edo Biol, Amparo")</f>
        <v>Edo Biol, Amparo</v>
      </c>
      <c r="B12184" s="3">
        <f ca="1">IFERROR(__xludf.DUMMYFUNCTION("""COMPUTED_VALUE"""),4)</f>
        <v>4</v>
      </c>
      <c r="C12184" s="7">
        <f ca="1">IFERROR(__xludf.DUMMYFUNCTION("""COMPUTED_VALUE"""),4.2)</f>
        <v>4.2</v>
      </c>
      <c r="D12184" s="8">
        <f ca="1">IFERROR(__xludf.DUMMYFUNCTION("""COMPUTED_VALUE"""),4)</f>
        <v>4</v>
      </c>
      <c r="E12184" s="2">
        <f ca="1">IFERROR(__xludf.DUMMYFUNCTION("""COMPUTED_VALUE"""),1)</f>
        <v>1</v>
      </c>
    </row>
    <row r="12185" spans="1:5" ht="13">
      <c r="A12185" s="2" t="str">
        <f ca="1">IFERROR(__xludf.DUMMYFUNCTION("""COMPUTED_VALUE"""),"Esmail, Reena")</f>
        <v>Esmail, Reena</v>
      </c>
      <c r="B12185" s="3">
        <f ca="1">IFERROR(__xludf.DUMMYFUNCTION("""COMPUTED_VALUE"""),4)</f>
        <v>4</v>
      </c>
      <c r="C12185" s="7">
        <f ca="1">IFERROR(__xludf.DUMMYFUNCTION("""COMPUTED_VALUE"""),4.4)</f>
        <v>4.4000000000000004</v>
      </c>
      <c r="D12185" s="8">
        <f ca="1">IFERROR(__xludf.DUMMYFUNCTION("""COMPUTED_VALUE"""),4)</f>
        <v>4</v>
      </c>
      <c r="E12185" s="2">
        <f ca="1">IFERROR(__xludf.DUMMYFUNCTION("""COMPUTED_VALUE"""),1)</f>
        <v>1</v>
      </c>
    </row>
    <row r="12186" spans="1:5" ht="13">
      <c r="A12186" s="2" t="str">
        <f ca="1">IFERROR(__xludf.DUMMYFUNCTION("""COMPUTED_VALUE"""),"Estilo, Sarah")</f>
        <v>Estilo, Sarah</v>
      </c>
      <c r="B12186" s="2">
        <f ca="1">IFERROR(__xludf.DUMMYFUNCTION("""COMPUTED_VALUE"""),4)</f>
        <v>4</v>
      </c>
      <c r="C12186" s="7">
        <f ca="1">IFERROR(__xludf.DUMMYFUNCTION("""COMPUTED_VALUE"""),4.3)</f>
        <v>4.3</v>
      </c>
      <c r="D12186" s="8">
        <f ca="1">IFERROR(__xludf.DUMMYFUNCTION("""COMPUTED_VALUE"""),4)</f>
        <v>4</v>
      </c>
      <c r="E12186" s="2">
        <f ca="1">IFERROR(__xludf.DUMMYFUNCTION("""COMPUTED_VALUE"""),1)</f>
        <v>1</v>
      </c>
    </row>
    <row r="12187" spans="1:5" ht="13">
      <c r="A12187" s="2" t="str">
        <f ca="1">IFERROR(__xludf.DUMMYFUNCTION("""COMPUTED_VALUE"""),"Eun Young Lee")</f>
        <v>Eun Young Lee</v>
      </c>
      <c r="B12187" s="2">
        <f ca="1">IFERROR(__xludf.DUMMYFUNCTION("""COMPUTED_VALUE"""),4)</f>
        <v>4</v>
      </c>
      <c r="C12187" s="7">
        <f ca="1">IFERROR(__xludf.DUMMYFUNCTION("""COMPUTED_VALUE"""),4.3)</f>
        <v>4.3</v>
      </c>
      <c r="D12187" s="8">
        <f ca="1">IFERROR(__xludf.DUMMYFUNCTION("""COMPUTED_VALUE"""),4)</f>
        <v>4</v>
      </c>
      <c r="E12187" s="2">
        <f ca="1">IFERROR(__xludf.DUMMYFUNCTION("""COMPUTED_VALUE"""),1)</f>
        <v>1</v>
      </c>
    </row>
    <row r="12188" spans="1:5" ht="13">
      <c r="A12188" s="2" t="str">
        <f ca="1">IFERROR(__xludf.DUMMYFUNCTION("""COMPUTED_VALUE"""),"Faizullina, Adeliia")</f>
        <v>Faizullina, Adeliia</v>
      </c>
      <c r="B12188" s="3">
        <f ca="1">IFERROR(__xludf.DUMMYFUNCTION("""COMPUTED_VALUE"""),4)</f>
        <v>4</v>
      </c>
      <c r="C12188" s="7">
        <f ca="1">IFERROR(__xludf.DUMMYFUNCTION("""COMPUTED_VALUE"""),4.5)</f>
        <v>4.5</v>
      </c>
      <c r="D12188" s="8">
        <f ca="1">IFERROR(__xludf.DUMMYFUNCTION("""COMPUTED_VALUE"""),4)</f>
        <v>4</v>
      </c>
      <c r="E12188" s="2">
        <f ca="1">IFERROR(__xludf.DUMMYFUNCTION("""COMPUTED_VALUE"""),1)</f>
        <v>1</v>
      </c>
    </row>
    <row r="12189" spans="1:5" ht="13">
      <c r="A12189" s="2" t="str">
        <f ca="1">IFERROR(__xludf.DUMMYFUNCTION("""COMPUTED_VALUE"""),"Fang Man")</f>
        <v>Fang Man</v>
      </c>
      <c r="B12189" s="3">
        <f ca="1">IFERROR(__xludf.DUMMYFUNCTION("""COMPUTED_VALUE"""),4)</f>
        <v>4</v>
      </c>
      <c r="C12189" s="7">
        <f ca="1">IFERROR(__xludf.DUMMYFUNCTION("""COMPUTED_VALUE"""),4.3)</f>
        <v>4.3</v>
      </c>
      <c r="D12189" s="8">
        <f ca="1">IFERROR(__xludf.DUMMYFUNCTION("""COMPUTED_VALUE"""),4)</f>
        <v>4</v>
      </c>
      <c r="E12189" s="2">
        <f ca="1">IFERROR(__xludf.DUMMYFUNCTION("""COMPUTED_VALUE"""),1)</f>
        <v>1</v>
      </c>
    </row>
    <row r="12190" spans="1:5" ht="13">
      <c r="A12190" s="2" t="str">
        <f ca="1">IFERROR(__xludf.DUMMYFUNCTION("""COMPUTED_VALUE"""),"Fang, Man")</f>
        <v>Fang, Man</v>
      </c>
      <c r="B12190" s="3">
        <f ca="1">IFERROR(__xludf.DUMMYFUNCTION("""COMPUTED_VALUE"""),4)</f>
        <v>4</v>
      </c>
      <c r="C12190" s="7">
        <f ca="1">IFERROR(__xludf.DUMMYFUNCTION("""COMPUTED_VALUE"""),4.3)</f>
        <v>4.3</v>
      </c>
      <c r="D12190" s="8">
        <f ca="1">IFERROR(__xludf.DUMMYFUNCTION("""COMPUTED_VALUE"""),4)</f>
        <v>4</v>
      </c>
      <c r="E12190" s="2">
        <f ca="1">IFERROR(__xludf.DUMMYFUNCTION("""COMPUTED_VALUE"""),1)</f>
        <v>1</v>
      </c>
    </row>
    <row r="12191" spans="1:5" ht="13">
      <c r="A12191" s="2" t="str">
        <f ca="1">IFERROR(__xludf.DUMMYFUNCTION("""COMPUTED_VALUE"""),"Feliciano, Miyoshi")</f>
        <v>Feliciano, Miyoshi</v>
      </c>
      <c r="B12191" s="3">
        <f ca="1">IFERROR(__xludf.DUMMYFUNCTION("""COMPUTED_VALUE"""),4)</f>
        <v>4</v>
      </c>
      <c r="C12191" s="7">
        <f ca="1">IFERROR(__xludf.DUMMYFUNCTION("""COMPUTED_VALUE"""),4.3)</f>
        <v>4.3</v>
      </c>
      <c r="D12191" s="8">
        <f ca="1">IFERROR(__xludf.DUMMYFUNCTION("""COMPUTED_VALUE"""),4)</f>
        <v>4</v>
      </c>
      <c r="E12191" s="2">
        <f ca="1">IFERROR(__xludf.DUMMYFUNCTION("""COMPUTED_VALUE"""),1)</f>
        <v>1</v>
      </c>
    </row>
    <row r="12192" spans="1:5" ht="13">
      <c r="A12192" s="2" t="str">
        <f ca="1">IFERROR(__xludf.DUMMYFUNCTION("""COMPUTED_VALUE"""),"Fernandez, Michele")</f>
        <v>Fernandez, Michele</v>
      </c>
      <c r="B12192" s="2">
        <f ca="1">IFERROR(__xludf.DUMMYFUNCTION("""COMPUTED_VALUE"""),4)</f>
        <v>4</v>
      </c>
      <c r="C12192" s="7">
        <f ca="1">IFERROR(__xludf.DUMMYFUNCTION("""COMPUTED_VALUE"""),4.2)</f>
        <v>4.2</v>
      </c>
      <c r="D12192" s="8">
        <f ca="1">IFERROR(__xludf.DUMMYFUNCTION("""COMPUTED_VALUE"""),4)</f>
        <v>4</v>
      </c>
      <c r="E12192" s="2">
        <f ca="1">IFERROR(__xludf.DUMMYFUNCTION("""COMPUTED_VALUE"""),1)</f>
        <v>1</v>
      </c>
    </row>
    <row r="12193" spans="1:5" ht="13">
      <c r="A12193" s="2" t="str">
        <f ca="1">IFERROR(__xludf.DUMMYFUNCTION("""COMPUTED_VALUE"""),"Fernández, Michele")</f>
        <v>Fernández, Michele</v>
      </c>
      <c r="B12193" s="2">
        <f ca="1">IFERROR(__xludf.DUMMYFUNCTION("""COMPUTED_VALUE"""),4)</f>
        <v>4</v>
      </c>
      <c r="C12193" s="7">
        <f ca="1">IFERROR(__xludf.DUMMYFUNCTION("""COMPUTED_VALUE"""),4.2)</f>
        <v>4.2</v>
      </c>
      <c r="D12193" s="8">
        <f ca="1">IFERROR(__xludf.DUMMYFUNCTION("""COMPUTED_VALUE"""),4)</f>
        <v>4</v>
      </c>
      <c r="E12193" s="2">
        <f ca="1">IFERROR(__xludf.DUMMYFUNCTION("""COMPUTED_VALUE"""),1)</f>
        <v>1</v>
      </c>
    </row>
    <row r="12194" spans="1:5" ht="13">
      <c r="A12194" s="2" t="str">
        <f ca="1">IFERROR(__xludf.DUMMYFUNCTION("""COMPUTED_VALUE"""),"Fisher, Salina")</f>
        <v>Fisher, Salina</v>
      </c>
      <c r="B12194" s="3">
        <f ca="1">IFERROR(__xludf.DUMMYFUNCTION("""COMPUTED_VALUE"""),4)</f>
        <v>4</v>
      </c>
      <c r="C12194" s="7">
        <f ca="1">IFERROR(__xludf.DUMMYFUNCTION("""COMPUTED_VALUE"""),4.3)</f>
        <v>4.3</v>
      </c>
      <c r="D12194" s="8">
        <f ca="1">IFERROR(__xludf.DUMMYFUNCTION("""COMPUTED_VALUE"""),4)</f>
        <v>4</v>
      </c>
      <c r="E12194" s="2">
        <f ca="1">IFERROR(__xludf.DUMMYFUNCTION("""COMPUTED_VALUE"""),1)</f>
        <v>1</v>
      </c>
    </row>
    <row r="12195" spans="1:5" ht="13">
      <c r="A12195" s="2" t="str">
        <f ca="1">IFERROR(__xludf.DUMMYFUNCTION("""COMPUTED_VALUE"""),"Fitzhugh, Melika M.")</f>
        <v>Fitzhugh, Melika M.</v>
      </c>
      <c r="B12195" s="3">
        <f ca="1">IFERROR(__xludf.DUMMYFUNCTION("""COMPUTED_VALUE"""),4)</f>
        <v>4</v>
      </c>
      <c r="C12195" s="7">
        <f ca="1">IFERROR(__xludf.DUMMYFUNCTION("""COMPUTED_VALUE"""),4.1)</f>
        <v>4.0999999999999996</v>
      </c>
      <c r="D12195" s="8">
        <f ca="1">IFERROR(__xludf.DUMMYFUNCTION("""COMPUTED_VALUE"""),4)</f>
        <v>4</v>
      </c>
      <c r="E12195" s="2">
        <f ca="1">IFERROR(__xludf.DUMMYFUNCTION("""COMPUTED_VALUE"""),1)</f>
        <v>1</v>
      </c>
    </row>
    <row r="12196" spans="1:5" ht="13">
      <c r="A12196" s="2" t="str">
        <f ca="1">IFERROR(__xludf.DUMMYFUNCTION("""COMPUTED_VALUE"""),"Franco, Germaine")</f>
        <v>Franco, Germaine</v>
      </c>
      <c r="B12196" s="3">
        <f ca="1">IFERROR(__xludf.DUMMYFUNCTION("""COMPUTED_VALUE"""),4)</f>
        <v>4</v>
      </c>
      <c r="C12196" s="7">
        <f ca="1">IFERROR(__xludf.DUMMYFUNCTION("""COMPUTED_VALUE"""),4.2)</f>
        <v>4.2</v>
      </c>
      <c r="D12196" s="8">
        <f ca="1">IFERROR(__xludf.DUMMYFUNCTION("""COMPUTED_VALUE"""),4)</f>
        <v>4</v>
      </c>
      <c r="E12196" s="2">
        <f ca="1">IFERROR(__xludf.DUMMYFUNCTION("""COMPUTED_VALUE"""),1)</f>
        <v>1</v>
      </c>
    </row>
    <row r="12197" spans="1:5" ht="13">
      <c r="A12197" s="2" t="str">
        <f ca="1">IFERROR(__xludf.DUMMYFUNCTION("""COMPUTED_VALUE"""),"Frank, Gabriela Lena")</f>
        <v>Frank, Gabriela Lena</v>
      </c>
      <c r="B12197" s="3">
        <f ca="1">IFERROR(__xludf.DUMMYFUNCTION("""COMPUTED_VALUE"""),4)</f>
        <v>4</v>
      </c>
      <c r="C12197" s="7">
        <f ca="1">IFERROR(__xludf.DUMMYFUNCTION("""COMPUTED_VALUE"""),4.8)</f>
        <v>4.8</v>
      </c>
      <c r="D12197" s="8">
        <f ca="1">IFERROR(__xludf.DUMMYFUNCTION("""COMPUTED_VALUE"""),4)</f>
        <v>4</v>
      </c>
      <c r="E12197" s="2">
        <f ca="1">IFERROR(__xludf.DUMMYFUNCTION("""COMPUTED_VALUE"""),1)</f>
        <v>1</v>
      </c>
    </row>
    <row r="12198" spans="1:5" ht="13">
      <c r="A12198" s="2" t="str">
        <f ca="1">IFERROR(__xludf.DUMMYFUNCTION("""COMPUTED_VALUE"""),"French, PaviElle")</f>
        <v>French, PaviElle</v>
      </c>
      <c r="B12198" s="3">
        <f ca="1">IFERROR(__xludf.DUMMYFUNCTION("""COMPUTED_VALUE"""),4)</f>
        <v>4</v>
      </c>
      <c r="C12198" s="7">
        <f ca="1">IFERROR(__xludf.DUMMYFUNCTION("""COMPUTED_VALUE"""),4.1)</f>
        <v>4.0999999999999996</v>
      </c>
      <c r="D12198" s="8">
        <f ca="1">IFERROR(__xludf.DUMMYFUNCTION("""COMPUTED_VALUE"""),4)</f>
        <v>4</v>
      </c>
      <c r="E12198" s="2">
        <f ca="1">IFERROR(__xludf.DUMMYFUNCTION("""COMPUTED_VALUE"""),1)</f>
        <v>1</v>
      </c>
    </row>
    <row r="12199" spans="1:5" ht="13">
      <c r="A12199" s="2" t="str">
        <f ca="1">IFERROR(__xludf.DUMMYFUNCTION("""COMPUTED_VALUE"""),"Fung, Vivian")</f>
        <v>Fung, Vivian</v>
      </c>
      <c r="B12199" s="3">
        <f ca="1">IFERROR(__xludf.DUMMYFUNCTION("""COMPUTED_VALUE"""),4)</f>
        <v>4</v>
      </c>
      <c r="C12199" s="7">
        <f ca="1">IFERROR(__xludf.DUMMYFUNCTION("""COMPUTED_VALUE"""),4.3)</f>
        <v>4.3</v>
      </c>
      <c r="D12199" s="8">
        <f ca="1">IFERROR(__xludf.DUMMYFUNCTION("""COMPUTED_VALUE"""),4)</f>
        <v>4</v>
      </c>
      <c r="E12199" s="2">
        <f ca="1">IFERROR(__xludf.DUMMYFUNCTION("""COMPUTED_VALUE"""),1)</f>
        <v>1</v>
      </c>
    </row>
    <row r="12200" spans="1:5" ht="13">
      <c r="A12200" s="2" t="str">
        <f ca="1">IFERROR(__xludf.DUMMYFUNCTION("""COMPUTED_VALUE"""),"Gao Hong")</f>
        <v>Gao Hong</v>
      </c>
      <c r="B12200" s="3">
        <f ca="1">IFERROR(__xludf.DUMMYFUNCTION("""COMPUTED_VALUE"""),4)</f>
        <v>4</v>
      </c>
      <c r="C12200" s="7">
        <f ca="1">IFERROR(__xludf.DUMMYFUNCTION("""COMPUTED_VALUE"""),4.3)</f>
        <v>4.3</v>
      </c>
      <c r="D12200" s="8">
        <f ca="1">IFERROR(__xludf.DUMMYFUNCTION("""COMPUTED_VALUE"""),4)</f>
        <v>4</v>
      </c>
      <c r="E12200" s="2">
        <f ca="1">IFERROR(__xludf.DUMMYFUNCTION("""COMPUTED_VALUE"""),1)</f>
        <v>1</v>
      </c>
    </row>
    <row r="12201" spans="1:5" ht="13">
      <c r="A12201" s="2" t="str">
        <f ca="1">IFERROR(__xludf.DUMMYFUNCTION("""COMPUTED_VALUE"""),"Giddens, Rhiannon")</f>
        <v>Giddens, Rhiannon</v>
      </c>
      <c r="B12201" s="2">
        <f ca="1">IFERROR(__xludf.DUMMYFUNCTION("""COMPUTED_VALUE"""),4)</f>
        <v>4</v>
      </c>
      <c r="C12201" s="7">
        <f ca="1">IFERROR(__xludf.DUMMYFUNCTION("""COMPUTED_VALUE"""),4.1)</f>
        <v>4.0999999999999996</v>
      </c>
      <c r="D12201" s="8">
        <f ca="1">IFERROR(__xludf.DUMMYFUNCTION("""COMPUTED_VALUE"""),4)</f>
        <v>4</v>
      </c>
      <c r="E12201" s="2">
        <f ca="1">IFERROR(__xludf.DUMMYFUNCTION("""COMPUTED_VALUE"""),1)</f>
        <v>1</v>
      </c>
    </row>
    <row r="12202" spans="1:5" ht="13">
      <c r="A12202" s="2" t="str">
        <f ca="1">IFERROR(__xludf.DUMMYFUNCTION("""COMPUTED_VALUE"""),"Gomez, Alice")</f>
        <v>Gomez, Alice</v>
      </c>
      <c r="B12202" s="3">
        <f ca="1">IFERROR(__xludf.DUMMYFUNCTION("""COMPUTED_VALUE"""),4)</f>
        <v>4</v>
      </c>
      <c r="C12202" s="7">
        <f ca="1">IFERROR(__xludf.DUMMYFUNCTION("""COMPUTED_VALUE"""),4.2)</f>
        <v>4.2</v>
      </c>
      <c r="D12202" s="8">
        <f ca="1">IFERROR(__xludf.DUMMYFUNCTION("""COMPUTED_VALUE"""),4)</f>
        <v>4</v>
      </c>
      <c r="E12202" s="2">
        <f ca="1">IFERROR(__xludf.DUMMYFUNCTION("""COMPUTED_VALUE"""),1)</f>
        <v>1</v>
      </c>
    </row>
    <row r="12203" spans="1:5" ht="13">
      <c r="A12203" s="2" t="str">
        <f ca="1">IFERROR(__xludf.DUMMYFUNCTION("""COMPUTED_VALUE"""),"Gonzaga, Francisca ""Chiquinha""")</f>
        <v>Gonzaga, Francisca "Chiquinha"</v>
      </c>
      <c r="B12203" s="3">
        <f ca="1">IFERROR(__xludf.DUMMYFUNCTION("""COMPUTED_VALUE"""),4)</f>
        <v>4</v>
      </c>
      <c r="C12203" s="7">
        <f ca="1">IFERROR(__xludf.DUMMYFUNCTION("""COMPUTED_VALUE"""),4.2)</f>
        <v>4.2</v>
      </c>
      <c r="D12203" s="8">
        <f ca="1">IFERROR(__xludf.DUMMYFUNCTION("""COMPUTED_VALUE"""),8)</f>
        <v>8</v>
      </c>
      <c r="E12203" s="2">
        <f ca="1">IFERROR(__xludf.DUMMYFUNCTION("""COMPUTED_VALUE"""),2)</f>
        <v>2</v>
      </c>
    </row>
    <row r="12204" spans="1:5" ht="13">
      <c r="A12204" s="8" t="str">
        <f ca="1">IFERROR(__xludf.DUMMYFUNCTION("""COMPUTED_VALUE"""),"Graham Du Bois, Shirley")</f>
        <v>Graham Du Bois, Shirley</v>
      </c>
      <c r="B12204" s="3">
        <f ca="1">IFERROR(__xludf.DUMMYFUNCTION("""COMPUTED_VALUE"""),4)</f>
        <v>4</v>
      </c>
      <c r="C12204" s="7">
        <f ca="1">IFERROR(__xludf.DUMMYFUNCTION("""COMPUTED_VALUE"""),4.1)</f>
        <v>4.0999999999999996</v>
      </c>
      <c r="D12204" s="8">
        <f ca="1">IFERROR(__xludf.DUMMYFUNCTION("""COMPUTED_VALUE"""),8)</f>
        <v>8</v>
      </c>
      <c r="E12204" s="2">
        <f ca="1">IFERROR(__xludf.DUMMYFUNCTION("""COMPUTED_VALUE"""),2)</f>
        <v>2</v>
      </c>
    </row>
    <row r="12205" spans="1:5" ht="13">
      <c r="A12205" s="8" t="str">
        <f ca="1">IFERROR(__xludf.DUMMYFUNCTION("""COMPUTED_VALUE"""),"Green, Brittany J.")</f>
        <v>Green, Brittany J.</v>
      </c>
      <c r="B12205" s="3">
        <f ca="1">IFERROR(__xludf.DUMMYFUNCTION("""COMPUTED_VALUE"""),4)</f>
        <v>4</v>
      </c>
      <c r="C12205" s="7">
        <f ca="1">IFERROR(__xludf.DUMMYFUNCTION("""COMPUTED_VALUE"""),4.1)</f>
        <v>4.0999999999999996</v>
      </c>
      <c r="D12205" s="8">
        <f ca="1">IFERROR(__xludf.DUMMYFUNCTION("""COMPUTED_VALUE"""),4)</f>
        <v>4</v>
      </c>
      <c r="E12205" s="2">
        <f ca="1">IFERROR(__xludf.DUMMYFUNCTION("""COMPUTED_VALUE"""),1)</f>
        <v>1</v>
      </c>
    </row>
    <row r="12206" spans="1:5" ht="13">
      <c r="A12206" s="2" t="str">
        <f ca="1">IFERROR(__xludf.DUMMYFUNCTION("""COMPUTED_VALUE"""),"Grever, Maria")</f>
        <v>Grever, Maria</v>
      </c>
      <c r="B12206" s="3">
        <f ca="1">IFERROR(__xludf.DUMMYFUNCTION("""COMPUTED_VALUE"""),4)</f>
        <v>4</v>
      </c>
      <c r="C12206" s="7">
        <f ca="1">IFERROR(__xludf.DUMMYFUNCTION("""COMPUTED_VALUE"""),4.2)</f>
        <v>4.2</v>
      </c>
      <c r="D12206" s="8">
        <f ca="1">IFERROR(__xludf.DUMMYFUNCTION("""COMPUTED_VALUE"""),8)</f>
        <v>8</v>
      </c>
      <c r="E12206" s="2">
        <f ca="1">IFERROR(__xludf.DUMMYFUNCTION("""COMPUTED_VALUE"""),2)</f>
        <v>2</v>
      </c>
    </row>
    <row r="12207" spans="1:5" ht="13">
      <c r="A12207" s="2" t="str">
        <f ca="1">IFERROR(__xludf.DUMMYFUNCTION("""COMPUTED_VALUE"""),"Gudipati, Meera")</f>
        <v>Gudipati, Meera</v>
      </c>
      <c r="B12207" s="3">
        <f ca="1">IFERROR(__xludf.DUMMYFUNCTION("""COMPUTED_VALUE"""),4)</f>
        <v>4</v>
      </c>
      <c r="C12207" s="7">
        <f ca="1">IFERROR(__xludf.DUMMYFUNCTION("""COMPUTED_VALUE"""),4.4)</f>
        <v>4.4000000000000004</v>
      </c>
      <c r="D12207" s="8">
        <f ca="1">IFERROR(__xludf.DUMMYFUNCTION("""COMPUTED_VALUE"""),4)</f>
        <v>4</v>
      </c>
      <c r="E12207" s="2">
        <f ca="1">IFERROR(__xludf.DUMMYFUNCTION("""COMPUTED_VALUE"""),1)</f>
        <v>1</v>
      </c>
    </row>
    <row r="12208" spans="1:5" ht="13">
      <c r="A12208" s="2" t="str">
        <f ca="1">IFERROR(__xludf.DUMMYFUNCTION("""COMPUTED_VALUE"""),"Hagan, Helen")</f>
        <v>Hagan, Helen</v>
      </c>
      <c r="B12208" s="3">
        <f ca="1">IFERROR(__xludf.DUMMYFUNCTION("""COMPUTED_VALUE"""),4)</f>
        <v>4</v>
      </c>
      <c r="C12208" s="7">
        <f ca="1">IFERROR(__xludf.DUMMYFUNCTION("""COMPUTED_VALUE"""),4.1)</f>
        <v>4.0999999999999996</v>
      </c>
      <c r="D12208" s="8">
        <f ca="1">IFERROR(__xludf.DUMMYFUNCTION("""COMPUTED_VALUE"""),8)</f>
        <v>8</v>
      </c>
      <c r="E12208" s="2">
        <f ca="1">IFERROR(__xludf.DUMMYFUNCTION("""COMPUTED_VALUE"""),2)</f>
        <v>2</v>
      </c>
    </row>
    <row r="12209" spans="1:5" ht="13">
      <c r="A12209" s="2" t="str">
        <f ca="1">IFERROR(__xludf.DUMMYFUNCTION("""COMPUTED_VALUE"""),"Han, Charlotte")</f>
        <v>Han, Charlotte</v>
      </c>
      <c r="B12209" s="3">
        <f ca="1">IFERROR(__xludf.DUMMYFUNCTION("""COMPUTED_VALUE"""),4)</f>
        <v>4</v>
      </c>
      <c r="C12209" s="7">
        <f ca="1">IFERROR(__xludf.DUMMYFUNCTION("""COMPUTED_VALUE"""),4.3)</f>
        <v>4.3</v>
      </c>
      <c r="D12209" s="8">
        <f ca="1">IFERROR(__xludf.DUMMYFUNCTION("""COMPUTED_VALUE"""),4)</f>
        <v>4</v>
      </c>
      <c r="E12209" s="2">
        <f ca="1">IFERROR(__xludf.DUMMYFUNCTION("""COMPUTED_VALUE"""),1)</f>
        <v>1</v>
      </c>
    </row>
    <row r="12210" spans="1:5" ht="13">
      <c r="A12210" s="8" t="str">
        <f ca="1">IFERROR(__xludf.DUMMYFUNCTION("""COMPUTED_VALUE"""),"Hancock, Susanna")</f>
        <v>Hancock, Susanna</v>
      </c>
      <c r="B12210" s="3">
        <f ca="1">IFERROR(__xludf.DUMMYFUNCTION("""COMPUTED_VALUE"""),4)</f>
        <v>4</v>
      </c>
      <c r="C12210" s="7">
        <f ca="1">IFERROR(__xludf.DUMMYFUNCTION("""COMPUTED_VALUE"""),4.3)</f>
        <v>4.3</v>
      </c>
      <c r="D12210" s="8">
        <f ca="1">IFERROR(__xludf.DUMMYFUNCTION("""COMPUTED_VALUE"""),4)</f>
        <v>4</v>
      </c>
      <c r="E12210" s="2">
        <f ca="1">IFERROR(__xludf.DUMMYFUNCTION("""COMPUTED_VALUE"""),1)</f>
        <v>1</v>
      </c>
    </row>
    <row r="12211" spans="1:5" ht="13">
      <c r="A12211" s="2" t="str">
        <f ca="1">IFERROR(__xludf.DUMMYFUNCTION("""COMPUTED_VALUE"""),"He, Yuanyuan (Kay)")</f>
        <v>He, Yuanyuan (Kay)</v>
      </c>
      <c r="B12211" s="3">
        <f ca="1">IFERROR(__xludf.DUMMYFUNCTION("""COMPUTED_VALUE"""),4)</f>
        <v>4</v>
      </c>
      <c r="C12211" s="7">
        <f ca="1">IFERROR(__xludf.DUMMYFUNCTION("""COMPUTED_VALUE"""),4.3)</f>
        <v>4.3</v>
      </c>
      <c r="D12211" s="8">
        <f ca="1">IFERROR(__xludf.DUMMYFUNCTION("""COMPUTED_VALUE"""),4)</f>
        <v>4</v>
      </c>
      <c r="E12211" s="2">
        <f ca="1">IFERROR(__xludf.DUMMYFUNCTION("""COMPUTED_VALUE"""),1)</f>
        <v>1</v>
      </c>
    </row>
    <row r="12212" spans="1:5" ht="13">
      <c r="A12212" s="8" t="str">
        <f ca="1">IFERROR(__xludf.DUMMYFUNCTION("""COMPUTED_VALUE"""),"Hendryx, Nona")</f>
        <v>Hendryx, Nona</v>
      </c>
      <c r="B12212" s="3">
        <f ca="1">IFERROR(__xludf.DUMMYFUNCTION("""COMPUTED_VALUE"""),4)</f>
        <v>4</v>
      </c>
      <c r="C12212" s="7">
        <f ca="1">IFERROR(__xludf.DUMMYFUNCTION("""COMPUTED_VALUE"""),4.1)</f>
        <v>4.0999999999999996</v>
      </c>
      <c r="D12212" s="8">
        <f ca="1">IFERROR(__xludf.DUMMYFUNCTION("""COMPUTED_VALUE"""),4)</f>
        <v>4</v>
      </c>
      <c r="E12212" s="2">
        <f ca="1">IFERROR(__xludf.DUMMYFUNCTION("""COMPUTED_VALUE"""),1)</f>
        <v>1</v>
      </c>
    </row>
    <row r="12213" spans="1:5" ht="13">
      <c r="A12213" s="8" t="str">
        <f ca="1">IFERROR(__xludf.DUMMYFUNCTION("""COMPUTED_VALUE"""),"Herbison, Jeraldine Saunders")</f>
        <v>Herbison, Jeraldine Saunders</v>
      </c>
      <c r="B12213" s="3">
        <f ca="1">IFERROR(__xludf.DUMMYFUNCTION("""COMPUTED_VALUE"""),4)</f>
        <v>4</v>
      </c>
      <c r="C12213" s="7">
        <f ca="1">IFERROR(__xludf.DUMMYFUNCTION("""COMPUTED_VALUE"""),4.1)</f>
        <v>4.0999999999999996</v>
      </c>
      <c r="D12213" s="8">
        <f ca="1">IFERROR(__xludf.DUMMYFUNCTION("""COMPUTED_VALUE"""),8)</f>
        <v>8</v>
      </c>
      <c r="E12213" s="2">
        <f ca="1">IFERROR(__xludf.DUMMYFUNCTION("""COMPUTED_VALUE"""),2)</f>
        <v>2</v>
      </c>
    </row>
    <row r="12214" spans="1:5" ht="13">
      <c r="A12214" s="2" t="str">
        <f ca="1">IFERROR(__xludf.DUMMYFUNCTION("""COMPUTED_VALUE"""),"Herryman, Ivette")</f>
        <v>Herryman, Ivette</v>
      </c>
      <c r="B12214" s="3">
        <f ca="1">IFERROR(__xludf.DUMMYFUNCTION("""COMPUTED_VALUE"""),4)</f>
        <v>4</v>
      </c>
      <c r="C12214" s="7">
        <f ca="1">IFERROR(__xludf.DUMMYFUNCTION("""COMPUTED_VALUE"""),4.2)</f>
        <v>4.2</v>
      </c>
      <c r="D12214" s="8">
        <f ca="1">IFERROR(__xludf.DUMMYFUNCTION("""COMPUTED_VALUE"""),4)</f>
        <v>4</v>
      </c>
      <c r="E12214" s="2">
        <f ca="1">IFERROR(__xludf.DUMMYFUNCTION("""COMPUTED_VALUE"""),1)</f>
        <v>1</v>
      </c>
    </row>
    <row r="12215" spans="1:5" ht="13">
      <c r="A12215" s="2" t="str">
        <f ca="1">IFERROR(__xludf.DUMMYFUNCTION("""COMPUTED_VALUE"""),"Higgenbotham, Irene")</f>
        <v>Higgenbotham, Irene</v>
      </c>
      <c r="B12215" s="2">
        <f ca="1">IFERROR(__xludf.DUMMYFUNCTION("""COMPUTED_VALUE"""),4)</f>
        <v>4</v>
      </c>
      <c r="C12215" s="7">
        <f ca="1">IFERROR(__xludf.DUMMYFUNCTION("""COMPUTED_VALUE"""),4.1)</f>
        <v>4.0999999999999996</v>
      </c>
      <c r="D12215" s="8">
        <f ca="1">IFERROR(__xludf.DUMMYFUNCTION("""COMPUTED_VALUE"""),8)</f>
        <v>8</v>
      </c>
      <c r="E12215" s="2">
        <f ca="1">IFERROR(__xludf.DUMMYFUNCTION("""COMPUTED_VALUE"""),2)</f>
        <v>2</v>
      </c>
    </row>
    <row r="12216" spans="1:5" ht="13">
      <c r="A12216" s="8" t="str">
        <f ca="1">IFERROR(__xludf.DUMMYFUNCTION("""COMPUTED_VALUE"""),"Hirsh, Nurit")</f>
        <v>Hirsh, Nurit</v>
      </c>
      <c r="B12216" s="3">
        <f ca="1">IFERROR(__xludf.DUMMYFUNCTION("""COMPUTED_VALUE"""),4)</f>
        <v>4</v>
      </c>
      <c r="C12216" s="7">
        <f ca="1">IFERROR(__xludf.DUMMYFUNCTION("""COMPUTED_VALUE"""),4.5)</f>
        <v>4.5</v>
      </c>
      <c r="D12216" s="8">
        <f ca="1">IFERROR(__xludf.DUMMYFUNCTION("""COMPUTED_VALUE"""),4)</f>
        <v>4</v>
      </c>
      <c r="E12216" s="2">
        <f ca="1">IFERROR(__xludf.DUMMYFUNCTION("""COMPUTED_VALUE"""),1)</f>
        <v>1</v>
      </c>
    </row>
    <row r="12217" spans="1:5" ht="13">
      <c r="A12217" s="2" t="str">
        <f ca="1">IFERROR(__xludf.DUMMYFUNCTION("""COMPUTED_VALUE"""),"Holiday, Billie and Arthur Herzog Jr.")</f>
        <v>Holiday, Billie and Arthur Herzog Jr.</v>
      </c>
      <c r="B12217" s="2">
        <f ca="1">IFERROR(__xludf.DUMMYFUNCTION("""COMPUTED_VALUE"""),4)</f>
        <v>4</v>
      </c>
      <c r="C12217" s="7">
        <f ca="1">IFERROR(__xludf.DUMMYFUNCTION("""COMPUTED_VALUE"""),4.1)</f>
        <v>4.0999999999999996</v>
      </c>
      <c r="D12217" s="8">
        <f ca="1">IFERROR(__xludf.DUMMYFUNCTION("""COMPUTED_VALUE"""),8)</f>
        <v>8</v>
      </c>
      <c r="E12217" s="2">
        <f ca="1">IFERROR(__xludf.DUMMYFUNCTION("""COMPUTED_VALUE"""),2)</f>
        <v>2</v>
      </c>
    </row>
    <row r="12218" spans="1:5" ht="13">
      <c r="A12218" s="2" t="str">
        <f ca="1">IFERROR(__xludf.DUMMYFUNCTION("""COMPUTED_VALUE"""),"Hsu, Chia-Yu")</f>
        <v>Hsu, Chia-Yu</v>
      </c>
      <c r="B12218" s="3">
        <f ca="1">IFERROR(__xludf.DUMMYFUNCTION("""COMPUTED_VALUE"""),4)</f>
        <v>4</v>
      </c>
      <c r="C12218" s="7">
        <f ca="1">IFERROR(__xludf.DUMMYFUNCTION("""COMPUTED_VALUE"""),4.3)</f>
        <v>4.3</v>
      </c>
      <c r="D12218" s="8">
        <f ca="1">IFERROR(__xludf.DUMMYFUNCTION("""COMPUTED_VALUE"""),4)</f>
        <v>4</v>
      </c>
      <c r="E12218" s="2">
        <f ca="1">IFERROR(__xludf.DUMMYFUNCTION("""COMPUTED_VALUE"""),1)</f>
        <v>1</v>
      </c>
    </row>
    <row r="12219" spans="1:5" ht="13">
      <c r="A12219" s="2" t="str">
        <f ca="1">IFERROR(__xludf.DUMMYFUNCTION("""COMPUTED_VALUE"""),"Huang, Ssu-Yu")</f>
        <v>Huang, Ssu-Yu</v>
      </c>
      <c r="B12219" s="3">
        <f ca="1">IFERROR(__xludf.DUMMYFUNCTION("""COMPUTED_VALUE"""),4)</f>
        <v>4</v>
      </c>
      <c r="C12219" s="7">
        <f ca="1">IFERROR(__xludf.DUMMYFUNCTION("""COMPUTED_VALUE"""),4.3)</f>
        <v>4.3</v>
      </c>
      <c r="D12219" s="8">
        <f ca="1">IFERROR(__xludf.DUMMYFUNCTION("""COMPUTED_VALUE"""),4)</f>
        <v>4</v>
      </c>
      <c r="E12219" s="2">
        <f ca="1">IFERROR(__xludf.DUMMYFUNCTION("""COMPUTED_VALUE"""),1)</f>
        <v>1</v>
      </c>
    </row>
    <row r="12220" spans="1:5" ht="13">
      <c r="A12220" s="2" t="str">
        <f ca="1">IFERROR(__xludf.DUMMYFUNCTION("""COMPUTED_VALUE"""),"Hyekyung Lee")</f>
        <v>Hyekyung Lee</v>
      </c>
      <c r="B12220" s="3">
        <f ca="1">IFERROR(__xludf.DUMMYFUNCTION("""COMPUTED_VALUE"""),4)</f>
        <v>4</v>
      </c>
      <c r="C12220" s="7">
        <f ca="1">IFERROR(__xludf.DUMMYFUNCTION("""COMPUTED_VALUE"""),4.3)</f>
        <v>4.3</v>
      </c>
      <c r="D12220" s="8">
        <f ca="1">IFERROR(__xludf.DUMMYFUNCTION("""COMPUTED_VALUE"""),4)</f>
        <v>4</v>
      </c>
      <c r="E12220" s="2">
        <f ca="1">IFERROR(__xludf.DUMMYFUNCTION("""COMPUTED_VALUE"""),1)</f>
        <v>1</v>
      </c>
    </row>
    <row r="12221" spans="1:5" ht="13">
      <c r="A12221" s="2" t="str">
        <f ca="1">IFERROR(__xludf.DUMMYFUNCTION("""COMPUTED_VALUE"""),"Ingram, Karena")</f>
        <v>Ingram, Karena</v>
      </c>
      <c r="B12221" s="2">
        <f ca="1">IFERROR(__xludf.DUMMYFUNCTION("""COMPUTED_VALUE"""),4)</f>
        <v>4</v>
      </c>
      <c r="C12221" s="2">
        <f ca="1">IFERROR(__xludf.DUMMYFUNCTION("""COMPUTED_VALUE"""),4.1)</f>
        <v>4.0999999999999996</v>
      </c>
      <c r="D12221" s="8">
        <f ca="1">IFERROR(__xludf.DUMMYFUNCTION("""COMPUTED_VALUE"""),4)</f>
        <v>4</v>
      </c>
      <c r="E12221" s="2">
        <f ca="1">IFERROR(__xludf.DUMMYFUNCTION("""COMPUTED_VALUE"""),1)</f>
        <v>1</v>
      </c>
    </row>
    <row r="12222" spans="1:5" ht="13">
      <c r="A12222" s="2" t="str">
        <f ca="1">IFERROR(__xludf.DUMMYFUNCTION("""COMPUTED_VALUE"""),"Iravani, Niloufar")</f>
        <v>Iravani, Niloufar</v>
      </c>
      <c r="B12222" s="3">
        <f ca="1">IFERROR(__xludf.DUMMYFUNCTION("""COMPUTED_VALUE"""),4)</f>
        <v>4</v>
      </c>
      <c r="C12222" s="7">
        <f ca="1">IFERROR(__xludf.DUMMYFUNCTION("""COMPUTED_VALUE"""),4.5)</f>
        <v>4.5</v>
      </c>
      <c r="D12222" s="8">
        <f ca="1">IFERROR(__xludf.DUMMYFUNCTION("""COMPUTED_VALUE"""),4)</f>
        <v>4</v>
      </c>
      <c r="E12222" s="2">
        <f ca="1">IFERROR(__xludf.DUMMYFUNCTION("""COMPUTED_VALUE"""),1)</f>
        <v>1</v>
      </c>
    </row>
    <row r="12223" spans="1:5" ht="13">
      <c r="A12223" s="2" t="str">
        <f ca="1">IFERROR(__xludf.DUMMYFUNCTION("""COMPUTED_VALUE"""),"Ishige, Rika")</f>
        <v>Ishige, Rika</v>
      </c>
      <c r="B12223" s="3">
        <f ca="1">IFERROR(__xludf.DUMMYFUNCTION("""COMPUTED_VALUE"""),4)</f>
        <v>4</v>
      </c>
      <c r="C12223" s="7">
        <f ca="1">IFERROR(__xludf.DUMMYFUNCTION("""COMPUTED_VALUE"""),4.3)</f>
        <v>4.3</v>
      </c>
      <c r="D12223" s="8">
        <f ca="1">IFERROR(__xludf.DUMMYFUNCTION("""COMPUTED_VALUE"""),4)</f>
        <v>4</v>
      </c>
      <c r="E12223" s="2">
        <f ca="1">IFERROR(__xludf.DUMMYFUNCTION("""COMPUTED_VALUE"""),1)</f>
        <v>1</v>
      </c>
    </row>
    <row r="12224" spans="1:5" ht="13">
      <c r="A12224" s="2" t="str">
        <f ca="1">IFERROR(__xludf.DUMMYFUNCTION("""COMPUTED_VALUE"""),"Ishizaki, Hannah")</f>
        <v>Ishizaki, Hannah</v>
      </c>
      <c r="B12224" s="3">
        <f ca="1">IFERROR(__xludf.DUMMYFUNCTION("""COMPUTED_VALUE"""),4)</f>
        <v>4</v>
      </c>
      <c r="C12224" s="7">
        <f ca="1">IFERROR(__xludf.DUMMYFUNCTION("""COMPUTED_VALUE"""),4.3)</f>
        <v>4.3</v>
      </c>
      <c r="D12224" s="8">
        <f ca="1">IFERROR(__xludf.DUMMYFUNCTION("""COMPUTED_VALUE"""),4)</f>
        <v>4</v>
      </c>
      <c r="E12224" s="2">
        <f ca="1">IFERROR(__xludf.DUMMYFUNCTION("""COMPUTED_VALUE"""),1)</f>
        <v>1</v>
      </c>
    </row>
    <row r="12225" spans="1:5" ht="13">
      <c r="A12225" s="2" t="str">
        <f ca="1">IFERROR(__xludf.DUMMYFUNCTION("""COMPUTED_VALUE"""),"Izarra, Adina")</f>
        <v>Izarra, Adina</v>
      </c>
      <c r="B12225" s="3">
        <f ca="1">IFERROR(__xludf.DUMMYFUNCTION("""COMPUTED_VALUE"""),4)</f>
        <v>4</v>
      </c>
      <c r="C12225" s="7">
        <f ca="1">IFERROR(__xludf.DUMMYFUNCTION("""COMPUTED_VALUE"""),4.2)</f>
        <v>4.2</v>
      </c>
      <c r="D12225" s="8">
        <f ca="1">IFERROR(__xludf.DUMMYFUNCTION("""COMPUTED_VALUE"""),4)</f>
        <v>4</v>
      </c>
      <c r="E12225" s="2">
        <f ca="1">IFERROR(__xludf.DUMMYFUNCTION("""COMPUTED_VALUE"""),1)</f>
        <v>1</v>
      </c>
    </row>
    <row r="12226" spans="1:5" ht="13">
      <c r="A12226" s="2" t="str">
        <f ca="1">IFERROR(__xludf.DUMMYFUNCTION("""COMPUTED_VALUE"""),"Jackson, Yvette Janine")</f>
        <v>Jackson, Yvette Janine</v>
      </c>
      <c r="B12226" s="2">
        <f ca="1">IFERROR(__xludf.DUMMYFUNCTION("""COMPUTED_VALUE"""),4)</f>
        <v>4</v>
      </c>
      <c r="C12226" s="7">
        <f ca="1">IFERROR(__xludf.DUMMYFUNCTION("""COMPUTED_VALUE"""),4.1)</f>
        <v>4.0999999999999996</v>
      </c>
      <c r="D12226" s="8">
        <f ca="1">IFERROR(__xludf.DUMMYFUNCTION("""COMPUTED_VALUE"""),4)</f>
        <v>4</v>
      </c>
      <c r="E12226" s="2">
        <f ca="1">IFERROR(__xludf.DUMMYFUNCTION("""COMPUTED_VALUE"""),1)</f>
        <v>1</v>
      </c>
    </row>
    <row r="12227" spans="1:5" ht="13">
      <c r="A12227" s="8" t="str">
        <f ca="1">IFERROR(__xludf.DUMMYFUNCTION("""COMPUTED_VALUE"""),"Janae, Abeni")</f>
        <v>Janae, Abeni</v>
      </c>
      <c r="B12227" s="3">
        <f ca="1">IFERROR(__xludf.DUMMYFUNCTION("""COMPUTED_VALUE"""),4)</f>
        <v>4</v>
      </c>
      <c r="C12227" s="7">
        <f ca="1">IFERROR(__xludf.DUMMYFUNCTION("""COMPUTED_VALUE"""),4.1)</f>
        <v>4.0999999999999996</v>
      </c>
      <c r="D12227" s="8">
        <f ca="1">IFERROR(__xludf.DUMMYFUNCTION("""COMPUTED_VALUE"""),4)</f>
        <v>4</v>
      </c>
      <c r="E12227" s="2">
        <f ca="1">IFERROR(__xludf.DUMMYFUNCTION("""COMPUTED_VALUE"""),1)</f>
        <v>1</v>
      </c>
    </row>
    <row r="12228" spans="1:5" ht="13">
      <c r="A12228" s="2" t="str">
        <f ca="1">IFERROR(__xludf.DUMMYFUNCTION("""COMPUTED_VALUE"""),"Jeanty, Val")</f>
        <v>Jeanty, Val</v>
      </c>
      <c r="B12228" s="2">
        <f ca="1">IFERROR(__xludf.DUMMYFUNCTION("""COMPUTED_VALUE"""),4)</f>
        <v>4</v>
      </c>
      <c r="C12228" s="2">
        <f ca="1">IFERROR(__xludf.DUMMYFUNCTION("""COMPUTED_VALUE"""),4.1)</f>
        <v>4.0999999999999996</v>
      </c>
      <c r="D12228" s="8">
        <f ca="1">IFERROR(__xludf.DUMMYFUNCTION("""COMPUTED_VALUE"""),4)</f>
        <v>4</v>
      </c>
      <c r="E12228" s="2">
        <f ca="1">IFERROR(__xludf.DUMMYFUNCTION("""COMPUTED_VALUE"""),1)</f>
        <v>1</v>
      </c>
    </row>
    <row r="12229" spans="1:5" ht="13">
      <c r="A12229" s="2" t="str">
        <f ca="1">IFERROR(__xludf.DUMMYFUNCTION("""COMPUTED_VALUE"""),"Jie, Wang")</f>
        <v>Jie, Wang</v>
      </c>
      <c r="B12229" s="3">
        <f ca="1">IFERROR(__xludf.DUMMYFUNCTION("""COMPUTED_VALUE"""),4)</f>
        <v>4</v>
      </c>
      <c r="C12229" s="7">
        <f ca="1">IFERROR(__xludf.DUMMYFUNCTION("""COMPUTED_VALUE"""),4.3)</f>
        <v>4.3</v>
      </c>
      <c r="D12229" s="8">
        <f ca="1">IFERROR(__xludf.DUMMYFUNCTION("""COMPUTED_VALUE"""),4)</f>
        <v>4</v>
      </c>
      <c r="E12229" s="2">
        <f ca="1">IFERROR(__xludf.DUMMYFUNCTION("""COMPUTED_VALUE"""),1)</f>
        <v>1</v>
      </c>
    </row>
    <row r="12230" spans="1:5" ht="13">
      <c r="A12230" s="2" t="str">
        <f ca="1">IFERROR(__xludf.DUMMYFUNCTION("""COMPUTED_VALUE"""),"Joachim, Nathalie")</f>
        <v>Joachim, Nathalie</v>
      </c>
      <c r="B12230" s="3">
        <f ca="1">IFERROR(__xludf.DUMMYFUNCTION("""COMPUTED_VALUE"""),4)</f>
        <v>4</v>
      </c>
      <c r="C12230" s="7">
        <f ca="1">IFERROR(__xludf.DUMMYFUNCTION("""COMPUTED_VALUE"""),4.1)</f>
        <v>4.0999999999999996</v>
      </c>
      <c r="D12230" s="8">
        <f ca="1">IFERROR(__xludf.DUMMYFUNCTION("""COMPUTED_VALUE"""),4)</f>
        <v>4</v>
      </c>
      <c r="E12230" s="2">
        <f ca="1">IFERROR(__xludf.DUMMYFUNCTION("""COMPUTED_VALUE"""),1)</f>
        <v>1</v>
      </c>
    </row>
    <row r="12231" spans="1:5" ht="13">
      <c r="A12231" s="2" t="str">
        <f ca="1">IFERROR(__xludf.DUMMYFUNCTION("""COMPUTED_VALUE"""),"Joachim, Nathalie / Loggins-Hull, Allison")</f>
        <v>Joachim, Nathalie / Loggins-Hull, Allison</v>
      </c>
      <c r="B12231" s="2">
        <f ca="1">IFERROR(__xludf.DUMMYFUNCTION("""COMPUTED_VALUE"""),4)</f>
        <v>4</v>
      </c>
      <c r="C12231" s="2">
        <f ca="1">IFERROR(__xludf.DUMMYFUNCTION("""COMPUTED_VALUE"""),4.1)</f>
        <v>4.0999999999999996</v>
      </c>
      <c r="D12231" s="8">
        <f ca="1">IFERROR(__xludf.DUMMYFUNCTION("""COMPUTED_VALUE"""),4)</f>
        <v>4</v>
      </c>
      <c r="E12231" s="2">
        <f ca="1">IFERROR(__xludf.DUMMYFUNCTION("""COMPUTED_VALUE"""),1)</f>
        <v>1</v>
      </c>
    </row>
    <row r="12232" spans="1:5" ht="13">
      <c r="A12232" s="2" t="str">
        <f ca="1">IFERROR(__xludf.DUMMYFUNCTION("""COMPUTED_VALUE"""),"Jolley, Jennifer")</f>
        <v>Jolley, Jennifer</v>
      </c>
      <c r="B12232" s="3">
        <f ca="1">IFERROR(__xludf.DUMMYFUNCTION("""COMPUTED_VALUE"""),4)</f>
        <v>4</v>
      </c>
      <c r="C12232" s="7">
        <f ca="1">IFERROR(__xludf.DUMMYFUNCTION("""COMPUTED_VALUE"""),4.3)</f>
        <v>4.3</v>
      </c>
      <c r="D12232" s="8">
        <f ca="1">IFERROR(__xludf.DUMMYFUNCTION("""COMPUTED_VALUE"""),4)</f>
        <v>4</v>
      </c>
      <c r="E12232" s="2">
        <f ca="1">IFERROR(__xludf.DUMMYFUNCTION("""COMPUTED_VALUE"""),1)</f>
        <v>1</v>
      </c>
    </row>
    <row r="12233" spans="1:5" ht="13">
      <c r="A12233" s="8" t="str">
        <f ca="1">IFERROR(__xludf.DUMMYFUNCTION("""COMPUTED_VALUE"""),"Kahng, Er-Gene")</f>
        <v>Kahng, Er-Gene</v>
      </c>
      <c r="B12233" s="3">
        <f ca="1">IFERROR(__xludf.DUMMYFUNCTION("""COMPUTED_VALUE"""),4)</f>
        <v>4</v>
      </c>
      <c r="C12233" s="7">
        <f ca="1">IFERROR(__xludf.DUMMYFUNCTION("""COMPUTED_VALUE"""),4.3)</f>
        <v>4.3</v>
      </c>
      <c r="D12233" s="8">
        <f ca="1">IFERROR(__xludf.DUMMYFUNCTION("""COMPUTED_VALUE"""),4)</f>
        <v>4</v>
      </c>
      <c r="E12233" s="2">
        <f ca="1">IFERROR(__xludf.DUMMYFUNCTION("""COMPUTED_VALUE"""),1)</f>
        <v>1</v>
      </c>
    </row>
    <row r="12234" spans="1:5" ht="13">
      <c r="A12234" s="2" t="str">
        <f ca="1">IFERROR(__xludf.DUMMYFUNCTION("""COMPUTED_VALUE"""),"Ke-Chia Chen")</f>
        <v>Ke-Chia Chen</v>
      </c>
      <c r="B12234" s="2">
        <f ca="1">IFERROR(__xludf.DUMMYFUNCTION("""COMPUTED_VALUE"""),4)</f>
        <v>4</v>
      </c>
      <c r="C12234" s="2">
        <f ca="1">IFERROR(__xludf.DUMMYFUNCTION("""COMPUTED_VALUE"""),4.3)</f>
        <v>4.3</v>
      </c>
      <c r="D12234" s="8">
        <f ca="1">IFERROR(__xludf.DUMMYFUNCTION("""COMPUTED_VALUE"""),4)</f>
        <v>4</v>
      </c>
      <c r="E12234" s="2">
        <f ca="1">IFERROR(__xludf.DUMMYFUNCTION("""COMPUTED_VALUE"""),1)</f>
        <v>1</v>
      </c>
    </row>
    <row r="12235" spans="1:5" ht="13">
      <c r="A12235" s="2" t="str">
        <f ca="1">IFERROR(__xludf.DUMMYFUNCTION("""COMPUTED_VALUE"""),"Kendall, Hannah")</f>
        <v>Kendall, Hannah</v>
      </c>
      <c r="B12235" s="3">
        <f ca="1">IFERROR(__xludf.DUMMYFUNCTION("""COMPUTED_VALUE"""),4)</f>
        <v>4</v>
      </c>
      <c r="C12235" s="7">
        <f ca="1">IFERROR(__xludf.DUMMYFUNCTION("""COMPUTED_VALUE"""),4.1)</f>
        <v>4.0999999999999996</v>
      </c>
      <c r="D12235" s="8">
        <f ca="1">IFERROR(__xludf.DUMMYFUNCTION("""COMPUTED_VALUE"""),4)</f>
        <v>4</v>
      </c>
      <c r="E12235" s="2">
        <f ca="1">IFERROR(__xludf.DUMMYFUNCTION("""COMPUTED_VALUE"""),1)</f>
        <v>1</v>
      </c>
    </row>
    <row r="12236" spans="1:5" ht="13">
      <c r="A12236" s="2" t="str">
        <f ca="1">IFERROR(__xludf.DUMMYFUNCTION("""COMPUTED_VALUE"""),"Kendrick, Johnaye")</f>
        <v>Kendrick, Johnaye</v>
      </c>
      <c r="B12236" s="2">
        <f ca="1">IFERROR(__xludf.DUMMYFUNCTION("""COMPUTED_VALUE"""),4)</f>
        <v>4</v>
      </c>
      <c r="C12236" s="2">
        <f ca="1">IFERROR(__xludf.DUMMYFUNCTION("""COMPUTED_VALUE"""),4.1)</f>
        <v>4.0999999999999996</v>
      </c>
      <c r="D12236" s="8">
        <f ca="1">IFERROR(__xludf.DUMMYFUNCTION("""COMPUTED_VALUE"""),4)</f>
        <v>4</v>
      </c>
      <c r="E12236" s="2">
        <f ca="1">IFERROR(__xludf.DUMMYFUNCTION("""COMPUTED_VALUE"""),1)</f>
        <v>1</v>
      </c>
    </row>
    <row r="12237" spans="1:5" ht="13">
      <c r="A12237" s="2" t="str">
        <f ca="1">IFERROR(__xludf.DUMMYFUNCTION("""COMPUTED_VALUE"""),"Kennedy, Cleo")</f>
        <v>Kennedy, Cleo</v>
      </c>
      <c r="B12237" s="3">
        <f ca="1">IFERROR(__xludf.DUMMYFUNCTION("""COMPUTED_VALUE"""),4)</f>
        <v>4</v>
      </c>
      <c r="C12237" s="7">
        <f ca="1">IFERROR(__xludf.DUMMYFUNCTION("""COMPUTED_VALUE"""),4.1)</f>
        <v>4.0999999999999996</v>
      </c>
      <c r="D12237" s="8">
        <f ca="1">IFERROR(__xludf.DUMMYFUNCTION("""COMPUTED_VALUE"""),4)</f>
        <v>4</v>
      </c>
      <c r="E12237" s="2">
        <f ca="1">IFERROR(__xludf.DUMMYFUNCTION("""COMPUTED_VALUE"""),1)</f>
        <v>1</v>
      </c>
    </row>
    <row r="12238" spans="1:5" ht="13">
      <c r="A12238" s="2" t="str">
        <f ca="1">IFERROR(__xludf.DUMMYFUNCTION("""COMPUTED_VALUE"""),"Keys, Alicia")</f>
        <v>Keys, Alicia</v>
      </c>
      <c r="B12238" s="3">
        <f ca="1">IFERROR(__xludf.DUMMYFUNCTION("""COMPUTED_VALUE"""),4)</f>
        <v>4</v>
      </c>
      <c r="C12238" s="7">
        <f ca="1">IFERROR(__xludf.DUMMYFUNCTION("""COMPUTED_VALUE"""),4.1)</f>
        <v>4.0999999999999996</v>
      </c>
      <c r="D12238" s="8">
        <f ca="1">IFERROR(__xludf.DUMMYFUNCTION("""COMPUTED_VALUE"""),4)</f>
        <v>4</v>
      </c>
      <c r="E12238" s="2">
        <f ca="1">IFERROR(__xludf.DUMMYFUNCTION("""COMPUTED_VALUE"""),1)</f>
        <v>1</v>
      </c>
    </row>
    <row r="12239" spans="1:5" ht="13">
      <c r="A12239" s="8" t="str">
        <f ca="1">IFERROR(__xludf.DUMMYFUNCTION("""COMPUTED_VALUE"""),"Khan, Chaka")</f>
        <v>Khan, Chaka</v>
      </c>
      <c r="B12239" s="3">
        <f ca="1">IFERROR(__xludf.DUMMYFUNCTION("""COMPUTED_VALUE"""),4)</f>
        <v>4</v>
      </c>
      <c r="C12239" s="7">
        <f ca="1">IFERROR(__xludf.DUMMYFUNCTION("""COMPUTED_VALUE"""),4.1)</f>
        <v>4.0999999999999996</v>
      </c>
      <c r="D12239" s="8">
        <f ca="1">IFERROR(__xludf.DUMMYFUNCTION("""COMPUTED_VALUE"""),4)</f>
        <v>4</v>
      </c>
      <c r="E12239" s="2">
        <f ca="1">IFERROR(__xludf.DUMMYFUNCTION("""COMPUTED_VALUE"""),1)</f>
        <v>1</v>
      </c>
    </row>
    <row r="12240" spans="1:5" ht="13">
      <c r="A12240" s="2" t="str">
        <f ca="1">IFERROR(__xludf.DUMMYFUNCTION("""COMPUTED_VALUE"""),"Khoury, Maryam")</f>
        <v>Khoury, Maryam</v>
      </c>
      <c r="B12240" s="3">
        <f ca="1">IFERROR(__xludf.DUMMYFUNCTION("""COMPUTED_VALUE"""),4)</f>
        <v>4</v>
      </c>
      <c r="C12240" s="7">
        <f ca="1">IFERROR(__xludf.DUMMYFUNCTION("""COMPUTED_VALUE"""),4.5)</f>
        <v>4.5</v>
      </c>
      <c r="D12240" s="8">
        <f ca="1">IFERROR(__xludf.DUMMYFUNCTION("""COMPUTED_VALUE"""),4)</f>
        <v>4</v>
      </c>
      <c r="E12240" s="2">
        <f ca="1">IFERROR(__xludf.DUMMYFUNCTION("""COMPUTED_VALUE"""),1)</f>
        <v>1</v>
      </c>
    </row>
    <row r="12241" spans="1:5" ht="13">
      <c r="A12241" s="8" t="str">
        <f ca="1">IFERROR(__xludf.DUMMYFUNCTION("""COMPUTED_VALUE"""),"Kiana and the Sun Kings")</f>
        <v>Kiana and the Sun Kings</v>
      </c>
      <c r="B12241" s="3">
        <f ca="1">IFERROR(__xludf.DUMMYFUNCTION("""COMPUTED_VALUE"""),4)</f>
        <v>4</v>
      </c>
      <c r="C12241" s="7">
        <f ca="1">IFERROR(__xludf.DUMMYFUNCTION("""COMPUTED_VALUE"""),4.1)</f>
        <v>4.0999999999999996</v>
      </c>
      <c r="D12241" s="8">
        <f ca="1">IFERROR(__xludf.DUMMYFUNCTION("""COMPUTED_VALUE"""),4)</f>
        <v>4</v>
      </c>
      <c r="E12241" s="2">
        <f ca="1">IFERROR(__xludf.DUMMYFUNCTION("""COMPUTED_VALUE"""),1)</f>
        <v>1</v>
      </c>
    </row>
    <row r="12242" spans="1:5" ht="13">
      <c r="A12242" s="2" t="str">
        <f ca="1">IFERROR(__xludf.DUMMYFUNCTION("""COMPUTED_VALUE"""),"Kidjo, Angélique")</f>
        <v>Kidjo, Angélique</v>
      </c>
      <c r="B12242" s="3">
        <f ca="1">IFERROR(__xludf.DUMMYFUNCTION("""COMPUTED_VALUE"""),4)</f>
        <v>4</v>
      </c>
      <c r="C12242" s="7">
        <f ca="1">IFERROR(__xludf.DUMMYFUNCTION("""COMPUTED_VALUE"""),4.1)</f>
        <v>4.0999999999999996</v>
      </c>
      <c r="D12242" s="8">
        <f ca="1">IFERROR(__xludf.DUMMYFUNCTION("""COMPUTED_VALUE"""),4)</f>
        <v>4</v>
      </c>
      <c r="E12242" s="2">
        <f ca="1">IFERROR(__xludf.DUMMYFUNCTION("""COMPUTED_VALUE"""),1)</f>
        <v>1</v>
      </c>
    </row>
    <row r="12243" spans="1:5" ht="13">
      <c r="A12243" s="2" t="str">
        <f ca="1">IFERROR(__xludf.DUMMYFUNCTION("""COMPUTED_VALUE"""),"Kim, Jihyun")</f>
        <v>Kim, Jihyun</v>
      </c>
      <c r="B12243" s="3">
        <f ca="1">IFERROR(__xludf.DUMMYFUNCTION("""COMPUTED_VALUE"""),4)</f>
        <v>4</v>
      </c>
      <c r="C12243" s="7">
        <f ca="1">IFERROR(__xludf.DUMMYFUNCTION("""COMPUTED_VALUE"""),4.3)</f>
        <v>4.3</v>
      </c>
      <c r="D12243" s="8">
        <f ca="1">IFERROR(__xludf.DUMMYFUNCTION("""COMPUTED_VALUE"""),4)</f>
        <v>4</v>
      </c>
      <c r="E12243" s="2">
        <f ca="1">IFERROR(__xludf.DUMMYFUNCTION("""COMPUTED_VALUE"""),1)</f>
        <v>1</v>
      </c>
    </row>
    <row r="12244" spans="1:5" ht="13">
      <c r="A12244" s="2" t="str">
        <f ca="1">IFERROR(__xludf.DUMMYFUNCTION("""COMPUTED_VALUE"""),"Kim, Jisoo")</f>
        <v>Kim, Jisoo</v>
      </c>
      <c r="B12244" s="3">
        <f ca="1">IFERROR(__xludf.DUMMYFUNCTION("""COMPUTED_VALUE"""),4)</f>
        <v>4</v>
      </c>
      <c r="C12244" s="7">
        <f ca="1">IFERROR(__xludf.DUMMYFUNCTION("""COMPUTED_VALUE"""),4.3)</f>
        <v>4.3</v>
      </c>
      <c r="D12244" s="8">
        <f ca="1">IFERROR(__xludf.DUMMYFUNCTION("""COMPUTED_VALUE"""),4)</f>
        <v>4</v>
      </c>
      <c r="E12244" s="2">
        <f ca="1">IFERROR(__xludf.DUMMYFUNCTION("""COMPUTED_VALUE"""),1)</f>
        <v>1</v>
      </c>
    </row>
    <row r="12245" spans="1:5" ht="13">
      <c r="A12245" s="2" t="str">
        <f ca="1">IFERROR(__xludf.DUMMYFUNCTION("""COMPUTED_VALUE"""),"Kim, Misook")</f>
        <v>Kim, Misook</v>
      </c>
      <c r="B12245" s="3">
        <f ca="1">IFERROR(__xludf.DUMMYFUNCTION("""COMPUTED_VALUE"""),4)</f>
        <v>4</v>
      </c>
      <c r="C12245" s="7">
        <f ca="1">IFERROR(__xludf.DUMMYFUNCTION("""COMPUTED_VALUE"""),4.3)</f>
        <v>4.3</v>
      </c>
      <c r="D12245" s="8">
        <f ca="1">IFERROR(__xludf.DUMMYFUNCTION("""COMPUTED_VALUE"""),4)</f>
        <v>4</v>
      </c>
      <c r="E12245" s="2">
        <f ca="1">IFERROR(__xludf.DUMMYFUNCTION("""COMPUTED_VALUE"""),1)</f>
        <v>1</v>
      </c>
    </row>
    <row r="12246" spans="1:5" ht="13">
      <c r="A12246" s="2" t="str">
        <f ca="1">IFERROR(__xludf.DUMMYFUNCTION("""COMPUTED_VALUE"""),"King, Betty Jackson")</f>
        <v>King, Betty Jackson</v>
      </c>
      <c r="B12246" s="3">
        <f ca="1">IFERROR(__xludf.DUMMYFUNCTION("""COMPUTED_VALUE"""),4)</f>
        <v>4</v>
      </c>
      <c r="C12246" s="7">
        <f ca="1">IFERROR(__xludf.DUMMYFUNCTION("""COMPUTED_VALUE"""),4.1)</f>
        <v>4.0999999999999996</v>
      </c>
      <c r="D12246" s="8">
        <f ca="1">IFERROR(__xludf.DUMMYFUNCTION("""COMPUTED_VALUE"""),8)</f>
        <v>8</v>
      </c>
      <c r="E12246" s="2">
        <f ca="1">IFERROR(__xludf.DUMMYFUNCTION("""COMPUTED_VALUE"""),2)</f>
        <v>2</v>
      </c>
    </row>
    <row r="12247" spans="1:5" ht="13">
      <c r="A12247" s="8" t="str">
        <f ca="1">IFERROR(__xludf.DUMMYFUNCTION("""COMPUTED_VALUE"""),"Kishino, Malika")</f>
        <v>Kishino, Malika</v>
      </c>
      <c r="B12247" s="3">
        <f ca="1">IFERROR(__xludf.DUMMYFUNCTION("""COMPUTED_VALUE"""),4)</f>
        <v>4</v>
      </c>
      <c r="C12247" s="7">
        <f ca="1">IFERROR(__xludf.DUMMYFUNCTION("""COMPUTED_VALUE"""),4.3)</f>
        <v>4.3</v>
      </c>
      <c r="D12247" s="8">
        <f ca="1">IFERROR(__xludf.DUMMYFUNCTION("""COMPUTED_VALUE"""),4)</f>
        <v>4</v>
      </c>
      <c r="E12247" s="2">
        <f ca="1">IFERROR(__xludf.DUMMYFUNCTION("""COMPUTED_VALUE"""),1)</f>
        <v>1</v>
      </c>
    </row>
    <row r="12248" spans="1:5" ht="13">
      <c r="A12248" s="2" t="str">
        <f ca="1">IFERROR(__xludf.DUMMYFUNCTION("""COMPUTED_VALUE"""),"Ko, Tonia")</f>
        <v>Ko, Tonia</v>
      </c>
      <c r="B12248" s="3">
        <f ca="1">IFERROR(__xludf.DUMMYFUNCTION("""COMPUTED_VALUE"""),4)</f>
        <v>4</v>
      </c>
      <c r="C12248" s="7">
        <f ca="1">IFERROR(__xludf.DUMMYFUNCTION("""COMPUTED_VALUE"""),4.3)</f>
        <v>4.3</v>
      </c>
      <c r="D12248" s="8">
        <f ca="1">IFERROR(__xludf.DUMMYFUNCTION("""COMPUTED_VALUE"""),4)</f>
        <v>4</v>
      </c>
      <c r="E12248" s="2">
        <f ca="1">IFERROR(__xludf.DUMMYFUNCTION("""COMPUTED_VALUE"""),1)</f>
        <v>1</v>
      </c>
    </row>
    <row r="12249" spans="1:5" ht="13">
      <c r="A12249" s="2" t="str">
        <f ca="1">IFERROR(__xludf.DUMMYFUNCTION("""COMPUTED_VALUE"""),"Koh, Emily")</f>
        <v>Koh, Emily</v>
      </c>
      <c r="B12249" s="3">
        <f ca="1">IFERROR(__xludf.DUMMYFUNCTION("""COMPUTED_VALUE"""),4)</f>
        <v>4</v>
      </c>
      <c r="C12249" s="7">
        <f ca="1">IFERROR(__xludf.DUMMYFUNCTION("""COMPUTED_VALUE"""),4.3)</f>
        <v>4.3</v>
      </c>
      <c r="D12249" s="8">
        <f ca="1">IFERROR(__xludf.DUMMYFUNCTION("""COMPUTED_VALUE"""),4)</f>
        <v>4</v>
      </c>
      <c r="E12249" s="2">
        <f ca="1">IFERROR(__xludf.DUMMYFUNCTION("""COMPUTED_VALUE"""),1)</f>
        <v>1</v>
      </c>
    </row>
    <row r="12250" spans="1:5" ht="13">
      <c r="A12250" s="2" t="str">
        <f ca="1">IFERROR(__xludf.DUMMYFUNCTION("""COMPUTED_VALUE"""),"Koide, Noriko")</f>
        <v>Koide, Noriko</v>
      </c>
      <c r="B12250" s="3">
        <f ca="1">IFERROR(__xludf.DUMMYFUNCTION("""COMPUTED_VALUE"""),4)</f>
        <v>4</v>
      </c>
      <c r="C12250" s="7">
        <f ca="1">IFERROR(__xludf.DUMMYFUNCTION("""COMPUTED_VALUE"""),4.3)</f>
        <v>4.3</v>
      </c>
      <c r="D12250" s="8">
        <f ca="1">IFERROR(__xludf.DUMMYFUNCTION("""COMPUTED_VALUE"""),4)</f>
        <v>4</v>
      </c>
      <c r="E12250" s="2">
        <f ca="1">IFERROR(__xludf.DUMMYFUNCTION("""COMPUTED_VALUE"""),1)</f>
        <v>1</v>
      </c>
    </row>
    <row r="12251" spans="1:5" ht="13">
      <c r="A12251" s="2" t="str">
        <f ca="1">IFERROR(__xludf.DUMMYFUNCTION("""COMPUTED_VALUE"""),"Kouyoumdjian, Mary")</f>
        <v>Kouyoumdjian, Mary</v>
      </c>
      <c r="B12251" s="3">
        <f ca="1">IFERROR(__xludf.DUMMYFUNCTION("""COMPUTED_VALUE"""),4)</f>
        <v>4</v>
      </c>
      <c r="C12251" s="7">
        <f ca="1">IFERROR(__xludf.DUMMYFUNCTION("""COMPUTED_VALUE"""),4.8)</f>
        <v>4.8</v>
      </c>
      <c r="D12251" s="8">
        <f ca="1">IFERROR(__xludf.DUMMYFUNCTION("""COMPUTED_VALUE"""),4)</f>
        <v>4</v>
      </c>
      <c r="E12251" s="2">
        <f ca="1">IFERROR(__xludf.DUMMYFUNCTION("""COMPUTED_VALUE"""),1)</f>
        <v>1</v>
      </c>
    </row>
    <row r="12252" spans="1:5" ht="13">
      <c r="A12252" s="2" t="str">
        <f ca="1">IFERROR(__xludf.DUMMYFUNCTION("""COMPUTED_VALUE"""),"Kui Dong")</f>
        <v>Kui Dong</v>
      </c>
      <c r="B12252" s="2">
        <f ca="1">IFERROR(__xludf.DUMMYFUNCTION("""COMPUTED_VALUE"""),4)</f>
        <v>4</v>
      </c>
      <c r="C12252" s="2">
        <f ca="1">IFERROR(__xludf.DUMMYFUNCTION("""COMPUTED_VALUE"""),4.3)</f>
        <v>4.3</v>
      </c>
      <c r="D12252" s="8">
        <f ca="1">IFERROR(__xludf.DUMMYFUNCTION("""COMPUTED_VALUE"""),4)</f>
        <v>4</v>
      </c>
      <c r="E12252" s="2">
        <f ca="1">IFERROR(__xludf.DUMMYFUNCTION("""COMPUTED_VALUE"""),1)</f>
        <v>1</v>
      </c>
    </row>
    <row r="12253" spans="1:5" ht="13">
      <c r="A12253" s="8" t="str">
        <f ca="1">IFERROR(__xludf.DUMMYFUNCTION("""COMPUTED_VALUE"""),"Lam, Angel")</f>
        <v>Lam, Angel</v>
      </c>
      <c r="B12253" s="3">
        <f ca="1">IFERROR(__xludf.DUMMYFUNCTION("""COMPUTED_VALUE"""),4)</f>
        <v>4</v>
      </c>
      <c r="C12253" s="7">
        <f ca="1">IFERROR(__xludf.DUMMYFUNCTION("""COMPUTED_VALUE"""),4.3)</f>
        <v>4.3</v>
      </c>
      <c r="D12253" s="8">
        <f ca="1">IFERROR(__xludf.DUMMYFUNCTION("""COMPUTED_VALUE"""),4)</f>
        <v>4</v>
      </c>
      <c r="E12253" s="2">
        <f ca="1">IFERROR(__xludf.DUMMYFUNCTION("""COMPUTED_VALUE"""),1)</f>
        <v>1</v>
      </c>
    </row>
    <row r="12254" spans="1:5" ht="13">
      <c r="A12254" s="2" t="str">
        <f ca="1">IFERROR(__xludf.DUMMYFUNCTION("""COMPUTED_VALUE"""),"Lanzilotti, Anne Leilehua")</f>
        <v>Lanzilotti, Anne Leilehua</v>
      </c>
      <c r="B12254" s="3">
        <f ca="1">IFERROR(__xludf.DUMMYFUNCTION("""COMPUTED_VALUE"""),4)</f>
        <v>4</v>
      </c>
      <c r="C12254" s="7">
        <f ca="1">IFERROR(__xludf.DUMMYFUNCTION("""COMPUTED_VALUE"""),4.6)</f>
        <v>4.5999999999999996</v>
      </c>
      <c r="D12254" s="8">
        <f ca="1">IFERROR(__xludf.DUMMYFUNCTION("""COMPUTED_VALUE"""),4)</f>
        <v>4</v>
      </c>
      <c r="E12254" s="2">
        <f ca="1">IFERROR(__xludf.DUMMYFUNCTION("""COMPUTED_VALUE"""),1)</f>
        <v>1</v>
      </c>
    </row>
    <row r="12255" spans="1:5" ht="13">
      <c r="A12255" s="2" t="str">
        <f ca="1">IFERROR(__xludf.DUMMYFUNCTION("""COMPUTED_VALUE"""),"Lara, Ana")</f>
        <v>Lara, Ana</v>
      </c>
      <c r="B12255" s="3">
        <f ca="1">IFERROR(__xludf.DUMMYFUNCTION("""COMPUTED_VALUE"""),4)</f>
        <v>4</v>
      </c>
      <c r="C12255" s="7">
        <f ca="1">IFERROR(__xludf.DUMMYFUNCTION("""COMPUTED_VALUE"""),4.2)</f>
        <v>4.2</v>
      </c>
      <c r="D12255" s="8">
        <f ca="1">IFERROR(__xludf.DUMMYFUNCTION("""COMPUTED_VALUE"""),4)</f>
        <v>4</v>
      </c>
      <c r="E12255" s="2">
        <f ca="1">IFERROR(__xludf.DUMMYFUNCTION("""COMPUTED_VALUE"""),1)</f>
        <v>1</v>
      </c>
    </row>
    <row r="12256" spans="1:5" ht="13">
      <c r="A12256" s="8" t="str">
        <f ca="1">IFERROR(__xludf.DUMMYFUNCTION("""COMPUTED_VALUE"""),"Lee Wong, Cynthia")</f>
        <v>Lee Wong, Cynthia</v>
      </c>
      <c r="B12256" s="2">
        <f ca="1">IFERROR(__xludf.DUMMYFUNCTION("""COMPUTED_VALUE"""),4)</f>
        <v>4</v>
      </c>
      <c r="C12256" s="7">
        <f ca="1">IFERROR(__xludf.DUMMYFUNCTION("""COMPUTED_VALUE"""),4.3)</f>
        <v>4.3</v>
      </c>
      <c r="D12256" s="8">
        <f ca="1">IFERROR(__xludf.DUMMYFUNCTION("""COMPUTED_VALUE"""),4)</f>
        <v>4</v>
      </c>
      <c r="E12256" s="2">
        <f ca="1">IFERROR(__xludf.DUMMYFUNCTION("""COMPUTED_VALUE"""),1)</f>
        <v>1</v>
      </c>
    </row>
    <row r="12257" spans="1:5" ht="13">
      <c r="A12257" s="2" t="str">
        <f ca="1">IFERROR(__xludf.DUMMYFUNCTION("""COMPUTED_VALUE"""),"Lee, Chihchun Chi-sun")</f>
        <v>Lee, Chihchun Chi-sun</v>
      </c>
      <c r="B12257" s="3">
        <f ca="1">IFERROR(__xludf.DUMMYFUNCTION("""COMPUTED_VALUE"""),4)</f>
        <v>4</v>
      </c>
      <c r="C12257" s="7">
        <f ca="1">IFERROR(__xludf.DUMMYFUNCTION("""COMPUTED_VALUE"""),4.3)</f>
        <v>4.3</v>
      </c>
      <c r="D12257" s="8">
        <f ca="1">IFERROR(__xludf.DUMMYFUNCTION("""COMPUTED_VALUE"""),4)</f>
        <v>4</v>
      </c>
      <c r="E12257" s="2">
        <f ca="1">IFERROR(__xludf.DUMMYFUNCTION("""COMPUTED_VALUE"""),1)</f>
        <v>1</v>
      </c>
    </row>
    <row r="12258" spans="1:5" ht="13">
      <c r="A12258" s="2" t="str">
        <f ca="1">IFERROR(__xludf.DUMMYFUNCTION("""COMPUTED_VALUE"""),"Lee, Eun Young")</f>
        <v>Lee, Eun Young</v>
      </c>
      <c r="B12258" s="3">
        <f ca="1">IFERROR(__xludf.DUMMYFUNCTION("""COMPUTED_VALUE"""),4)</f>
        <v>4</v>
      </c>
      <c r="C12258" s="7">
        <f ca="1">IFERROR(__xludf.DUMMYFUNCTION("""COMPUTED_VALUE"""),4.3)</f>
        <v>4.3</v>
      </c>
      <c r="D12258" s="8">
        <f ca="1">IFERROR(__xludf.DUMMYFUNCTION("""COMPUTED_VALUE"""),4)</f>
        <v>4</v>
      </c>
      <c r="E12258" s="2">
        <f ca="1">IFERROR(__xludf.DUMMYFUNCTION("""COMPUTED_VALUE"""),1)</f>
        <v>1</v>
      </c>
    </row>
    <row r="12259" spans="1:5" ht="13">
      <c r="A12259" s="2" t="str">
        <f ca="1">IFERROR(__xludf.DUMMYFUNCTION("""COMPUTED_VALUE"""),"Lee, Hyekyung")</f>
        <v>Lee, Hyekyung</v>
      </c>
      <c r="B12259" s="3">
        <f ca="1">IFERROR(__xludf.DUMMYFUNCTION("""COMPUTED_VALUE"""),4)</f>
        <v>4</v>
      </c>
      <c r="C12259" s="7">
        <f ca="1">IFERROR(__xludf.DUMMYFUNCTION("""COMPUTED_VALUE"""),4.3)</f>
        <v>4.3</v>
      </c>
      <c r="D12259" s="8">
        <f ca="1">IFERROR(__xludf.DUMMYFUNCTION("""COMPUTED_VALUE"""),4)</f>
        <v>4</v>
      </c>
      <c r="E12259" s="2">
        <f ca="1">IFERROR(__xludf.DUMMYFUNCTION("""COMPUTED_VALUE"""),1)</f>
        <v>1</v>
      </c>
    </row>
    <row r="12260" spans="1:5" ht="13">
      <c r="A12260" s="2" t="str">
        <f ca="1">IFERROR(__xludf.DUMMYFUNCTION("""COMPUTED_VALUE"""),"Lee, Young Thug, Louis Bell, Camila Cabello, Frank Dukes, Brittany Hazzard, Ali Tamposi, Andrew Watt, Pharrell Williams, Brian")</f>
        <v>Lee, Young Thug, Louis Bell, Camila Cabello, Frank Dukes, Brittany Hazzard, Ali Tamposi, Andrew Watt, Pharrell Williams, Brian</v>
      </c>
      <c r="B12260" s="2">
        <f ca="1">IFERROR(__xludf.DUMMYFUNCTION("""COMPUTED_VALUE"""),4)</f>
        <v>4</v>
      </c>
      <c r="C12260" s="7">
        <f ca="1">IFERROR(__xludf.DUMMYFUNCTION("""COMPUTED_VALUE"""),4.2)</f>
        <v>4.2</v>
      </c>
      <c r="D12260" s="8">
        <f ca="1">IFERROR(__xludf.DUMMYFUNCTION("""COMPUTED_VALUE"""),4)</f>
        <v>4</v>
      </c>
      <c r="E12260" s="2">
        <f ca="1">IFERROR(__xludf.DUMMYFUNCTION("""COMPUTED_VALUE"""),1)</f>
        <v>1</v>
      </c>
    </row>
    <row r="12261" spans="1:5" ht="13">
      <c r="A12261" s="2" t="str">
        <f ca="1">IFERROR(__xludf.DUMMYFUNCTION("""COMPUTED_VALUE"""),"León, Tania")</f>
        <v>León, Tania</v>
      </c>
      <c r="B12261" s="3">
        <f ca="1">IFERROR(__xludf.DUMMYFUNCTION("""COMPUTED_VALUE"""),4)</f>
        <v>4</v>
      </c>
      <c r="C12261" s="7">
        <f ca="1">IFERROR(__xludf.DUMMYFUNCTION("""COMPUTED_VALUE"""),4.8)</f>
        <v>4.8</v>
      </c>
      <c r="D12261" s="8">
        <f ca="1">IFERROR(__xludf.DUMMYFUNCTION("""COMPUTED_VALUE"""),4)</f>
        <v>4</v>
      </c>
      <c r="E12261" s="2">
        <f ca="1">IFERROR(__xludf.DUMMYFUNCTION("""COMPUTED_VALUE"""),1)</f>
        <v>1</v>
      </c>
    </row>
    <row r="12262" spans="1:5" ht="13">
      <c r="A12262" s="2" t="str">
        <f ca="1">IFERROR(__xludf.DUMMYFUNCTION("""COMPUTED_VALUE"""),"Lewin, Olive")</f>
        <v>Lewin, Olive</v>
      </c>
      <c r="B12262" s="3">
        <f ca="1">IFERROR(__xludf.DUMMYFUNCTION("""COMPUTED_VALUE"""),4)</f>
        <v>4</v>
      </c>
      <c r="C12262" s="7">
        <f ca="1">IFERROR(__xludf.DUMMYFUNCTION("""COMPUTED_VALUE"""),4.1)</f>
        <v>4.0999999999999996</v>
      </c>
      <c r="D12262" s="8">
        <f ca="1">IFERROR(__xludf.DUMMYFUNCTION("""COMPUTED_VALUE"""),8)</f>
        <v>8</v>
      </c>
      <c r="E12262" s="2">
        <f ca="1">IFERROR(__xludf.DUMMYFUNCTION("""COMPUTED_VALUE"""),2)</f>
        <v>2</v>
      </c>
    </row>
    <row r="12263" spans="1:5" ht="13">
      <c r="A12263" s="8" t="str">
        <f ca="1">IFERROR(__xludf.DUMMYFUNCTION("""COMPUTED_VALUE"""),"Li Chan")</f>
        <v>Li Chan</v>
      </c>
      <c r="B12263" s="3">
        <f ca="1">IFERROR(__xludf.DUMMYFUNCTION("""COMPUTED_VALUE"""),4)</f>
        <v>4</v>
      </c>
      <c r="C12263" s="7">
        <f ca="1">IFERROR(__xludf.DUMMYFUNCTION("""COMPUTED_VALUE"""),4.3)</f>
        <v>4.3</v>
      </c>
      <c r="D12263" s="8">
        <f ca="1">IFERROR(__xludf.DUMMYFUNCTION("""COMPUTED_VALUE"""),4)</f>
        <v>4</v>
      </c>
      <c r="E12263" s="2">
        <f ca="1">IFERROR(__xludf.DUMMYFUNCTION("""COMPUTED_VALUE"""),1)</f>
        <v>1</v>
      </c>
    </row>
    <row r="12264" spans="1:5" ht="13">
      <c r="A12264" s="2" t="str">
        <f ca="1">IFERROR(__xludf.DUMMYFUNCTION("""COMPUTED_VALUE"""),"Li, Shuying")</f>
        <v>Li, Shuying</v>
      </c>
      <c r="B12264" s="3">
        <f ca="1">IFERROR(__xludf.DUMMYFUNCTION("""COMPUTED_VALUE"""),4)</f>
        <v>4</v>
      </c>
      <c r="C12264" s="7">
        <f ca="1">IFERROR(__xludf.DUMMYFUNCTION("""COMPUTED_VALUE"""),4.3)</f>
        <v>4.3</v>
      </c>
      <c r="D12264" s="8">
        <f ca="1">IFERROR(__xludf.DUMMYFUNCTION("""COMPUTED_VALUE"""),4)</f>
        <v>4</v>
      </c>
      <c r="E12264" s="2">
        <f ca="1">IFERROR(__xludf.DUMMYFUNCTION("""COMPUTED_VALUE"""),1)</f>
        <v>1</v>
      </c>
    </row>
    <row r="12265" spans="1:5" ht="13">
      <c r="A12265" s="2" t="str">
        <f ca="1">IFERROR(__xludf.DUMMYFUNCTION("""COMPUTED_VALUE"""),"Liaw, Grace")</f>
        <v>Liaw, Grace</v>
      </c>
      <c r="B12265" s="3">
        <f ca="1">IFERROR(__xludf.DUMMYFUNCTION("""COMPUTED_VALUE"""),4)</f>
        <v>4</v>
      </c>
      <c r="C12265" s="7">
        <f ca="1">IFERROR(__xludf.DUMMYFUNCTION("""COMPUTED_VALUE"""),4.3)</f>
        <v>4.3</v>
      </c>
      <c r="D12265" s="8">
        <f ca="1">IFERROR(__xludf.DUMMYFUNCTION("""COMPUTED_VALUE"""),4)</f>
        <v>4</v>
      </c>
      <c r="E12265" s="2">
        <f ca="1">IFERROR(__xludf.DUMMYFUNCTION("""COMPUTED_VALUE"""),1)</f>
        <v>1</v>
      </c>
    </row>
    <row r="12266" spans="1:5" ht="13">
      <c r="A12266" s="2" t="str">
        <f ca="1">IFERROR(__xludf.DUMMYFUNCTION("""COMPUTED_VALUE"""),"Lili'uokalani / Likelike / Kapoli")</f>
        <v>Lili'uokalani / Likelike / Kapoli</v>
      </c>
      <c r="B12266" s="3">
        <f ca="1">IFERROR(__xludf.DUMMYFUNCTION("""COMPUTED_VALUE"""),4)</f>
        <v>4</v>
      </c>
      <c r="C12266" s="7">
        <f ca="1">IFERROR(__xludf.DUMMYFUNCTION("""COMPUTED_VALUE"""),4.6)</f>
        <v>4.5999999999999996</v>
      </c>
      <c r="D12266" s="8">
        <f ca="1">IFERROR(__xludf.DUMMYFUNCTION("""COMPUTED_VALUE"""),8)</f>
        <v>8</v>
      </c>
      <c r="E12266" s="2">
        <f ca="1">IFERROR(__xludf.DUMMYFUNCTION("""COMPUTED_VALUE"""),2)</f>
        <v>2</v>
      </c>
    </row>
    <row r="12267" spans="1:5" ht="13">
      <c r="A12267" s="8" t="str">
        <f ca="1">IFERROR(__xludf.DUMMYFUNCTION("""COMPUTED_VALUE"""),"Lincoln, Abbey")</f>
        <v>Lincoln, Abbey</v>
      </c>
      <c r="B12267" s="3">
        <f ca="1">IFERROR(__xludf.DUMMYFUNCTION("""COMPUTED_VALUE"""),4)</f>
        <v>4</v>
      </c>
      <c r="C12267" s="7">
        <f ca="1">IFERROR(__xludf.DUMMYFUNCTION("""COMPUTED_VALUE"""),4.1)</f>
        <v>4.0999999999999996</v>
      </c>
      <c r="D12267" s="8">
        <f ca="1">IFERROR(__xludf.DUMMYFUNCTION("""COMPUTED_VALUE"""),8)</f>
        <v>8</v>
      </c>
      <c r="E12267" s="2">
        <f ca="1">IFERROR(__xludf.DUMMYFUNCTION("""COMPUTED_VALUE"""),2)</f>
        <v>2</v>
      </c>
    </row>
    <row r="12268" spans="1:5" ht="13">
      <c r="A12268" s="8" t="str">
        <f ca="1">IFERROR(__xludf.DUMMYFUNCTION("""COMPUTED_VALUE"""),"Ling-Tam, Jing")</f>
        <v>Ling-Tam, Jing</v>
      </c>
      <c r="B12268" s="3">
        <f ca="1">IFERROR(__xludf.DUMMYFUNCTION("""COMPUTED_VALUE"""),4)</f>
        <v>4</v>
      </c>
      <c r="C12268" s="7">
        <f ca="1">IFERROR(__xludf.DUMMYFUNCTION("""COMPUTED_VALUE"""),4.3)</f>
        <v>4.3</v>
      </c>
      <c r="D12268" s="8">
        <f ca="1">IFERROR(__xludf.DUMMYFUNCTION("""COMPUTED_VALUE"""),4)</f>
        <v>4</v>
      </c>
      <c r="E12268" s="3">
        <f ca="1">IFERROR(__xludf.DUMMYFUNCTION("""COMPUTED_VALUE"""),1)</f>
        <v>1</v>
      </c>
    </row>
    <row r="12269" spans="1:5" ht="13">
      <c r="A12269" s="2" t="str">
        <f ca="1">IFERROR(__xludf.DUMMYFUNCTION("""COMPUTED_VALUE"""),"Liston, Melba")</f>
        <v>Liston, Melba</v>
      </c>
      <c r="B12269" s="3">
        <f ca="1">IFERROR(__xludf.DUMMYFUNCTION("""COMPUTED_VALUE"""),4)</f>
        <v>4</v>
      </c>
      <c r="C12269" s="7">
        <f ca="1">IFERROR(__xludf.DUMMYFUNCTION("""COMPUTED_VALUE"""),4.1)</f>
        <v>4.0999999999999996</v>
      </c>
      <c r="D12269" s="8">
        <f ca="1">IFERROR(__xludf.DUMMYFUNCTION("""COMPUTED_VALUE"""),8)</f>
        <v>8</v>
      </c>
      <c r="E12269" s="2">
        <f ca="1">IFERROR(__xludf.DUMMYFUNCTION("""COMPUTED_VALUE"""),2)</f>
        <v>2</v>
      </c>
    </row>
    <row r="12270" spans="1:5" ht="13">
      <c r="A12270" s="2" t="str">
        <f ca="1">IFERROR(__xludf.DUMMYFUNCTION("""COMPUTED_VALUE"""),"Loggins-Hull, Allison")</f>
        <v>Loggins-Hull, Allison</v>
      </c>
      <c r="B12270" s="3">
        <f ca="1">IFERROR(__xludf.DUMMYFUNCTION("""COMPUTED_VALUE"""),4)</f>
        <v>4</v>
      </c>
      <c r="C12270" s="7">
        <f ca="1">IFERROR(__xludf.DUMMYFUNCTION("""COMPUTED_VALUE"""),4.1)</f>
        <v>4.0999999999999996</v>
      </c>
      <c r="D12270" s="8">
        <f ca="1">IFERROR(__xludf.DUMMYFUNCTION("""COMPUTED_VALUE"""),4)</f>
        <v>4</v>
      </c>
      <c r="E12270" s="2">
        <f ca="1">IFERROR(__xludf.DUMMYFUNCTION("""COMPUTED_VALUE"""),1)</f>
        <v>1</v>
      </c>
    </row>
    <row r="12271" spans="1:5" ht="13">
      <c r="A12271" s="2" t="str">
        <f ca="1">IFERROR(__xludf.DUMMYFUNCTION("""COMPUTED_VALUE"""),"Longoria, Edna Alejandra")</f>
        <v>Longoria, Edna Alejandra</v>
      </c>
      <c r="B12271" s="2">
        <f ca="1">IFERROR(__xludf.DUMMYFUNCTION("""COMPUTED_VALUE"""),4)</f>
        <v>4</v>
      </c>
      <c r="C12271" s="7">
        <f ca="1">IFERROR(__xludf.DUMMYFUNCTION("""COMPUTED_VALUE"""),4.2)</f>
        <v>4.2</v>
      </c>
      <c r="D12271" s="8">
        <f ca="1">IFERROR(__xludf.DUMMYFUNCTION("""COMPUTED_VALUE"""),4)</f>
        <v>4</v>
      </c>
      <c r="E12271" s="2">
        <f ca="1">IFERROR(__xludf.DUMMYFUNCTION("""COMPUTED_VALUE"""),1)</f>
        <v>1</v>
      </c>
    </row>
    <row r="12272" spans="1:5" ht="13">
      <c r="A12272" s="2" t="str">
        <f ca="1">IFERROR(__xludf.DUMMYFUNCTION("""COMPUTED_VALUE"""),"López, Marina")</f>
        <v>López, Marina</v>
      </c>
      <c r="B12272" s="2">
        <f ca="1">IFERROR(__xludf.DUMMYFUNCTION("""COMPUTED_VALUE"""),4)</f>
        <v>4</v>
      </c>
      <c r="C12272" s="2">
        <f ca="1">IFERROR(__xludf.DUMMYFUNCTION("""COMPUTED_VALUE"""),4.2)</f>
        <v>4.2</v>
      </c>
      <c r="D12272" s="8">
        <f ca="1">IFERROR(__xludf.DUMMYFUNCTION("""COMPUTED_VALUE"""),4)</f>
        <v>4</v>
      </c>
      <c r="E12272" s="2">
        <f ca="1">IFERROR(__xludf.DUMMYFUNCTION("""COMPUTED_VALUE"""),1)</f>
        <v>1</v>
      </c>
    </row>
    <row r="12273" spans="1:5" ht="13">
      <c r="A12273" s="2" t="str">
        <f ca="1">IFERROR(__xludf.DUMMYFUNCTION("""COMPUTED_VALUE"""),"Louie, Alexina")</f>
        <v>Louie, Alexina</v>
      </c>
      <c r="B12273" s="3">
        <f ca="1">IFERROR(__xludf.DUMMYFUNCTION("""COMPUTED_VALUE"""),4)</f>
        <v>4</v>
      </c>
      <c r="C12273" s="7">
        <f ca="1">IFERROR(__xludf.DUMMYFUNCTION("""COMPUTED_VALUE"""),4.3)</f>
        <v>4.3</v>
      </c>
      <c r="D12273" s="8">
        <f ca="1">IFERROR(__xludf.DUMMYFUNCTION("""COMPUTED_VALUE"""),4)</f>
        <v>4</v>
      </c>
      <c r="E12273" s="2">
        <f ca="1">IFERROR(__xludf.DUMMYFUNCTION("""COMPUTED_VALUE"""),1)</f>
        <v>1</v>
      </c>
    </row>
    <row r="12274" spans="1:5" ht="13">
      <c r="A12274" s="2" t="str">
        <f ca="1">IFERROR(__xludf.DUMMYFUNCTION("""COMPUTED_VALUE"""),"Lyons, Gilda")</f>
        <v>Lyons, Gilda</v>
      </c>
      <c r="B12274" s="2">
        <f ca="1">IFERROR(__xludf.DUMMYFUNCTION("""COMPUTED_VALUE"""),4)</f>
        <v>4</v>
      </c>
      <c r="C12274" s="7">
        <f ca="1">IFERROR(__xludf.DUMMYFUNCTION("""COMPUTED_VALUE"""),4.2)</f>
        <v>4.2</v>
      </c>
      <c r="D12274" s="8">
        <f ca="1">IFERROR(__xludf.DUMMYFUNCTION("""COMPUTED_VALUE"""),4)</f>
        <v>4</v>
      </c>
      <c r="E12274" s="2">
        <f ca="1">IFERROR(__xludf.DUMMYFUNCTION("""COMPUTED_VALUE"""),1)</f>
        <v>1</v>
      </c>
    </row>
    <row r="12275" spans="1:5" ht="13">
      <c r="A12275" s="2" t="str">
        <f ca="1">IFERROR(__xludf.DUMMYFUNCTION("""COMPUTED_VALUE"""),"Machado, Reyna")</f>
        <v>Machado, Reyna</v>
      </c>
      <c r="B12275" s="3">
        <f ca="1">IFERROR(__xludf.DUMMYFUNCTION("""COMPUTED_VALUE"""),4)</f>
        <v>4</v>
      </c>
      <c r="C12275" s="7">
        <f ca="1">IFERROR(__xludf.DUMMYFUNCTION("""COMPUTED_VALUE"""),4.2)</f>
        <v>4.2</v>
      </c>
      <c r="D12275" s="8">
        <f ca="1">IFERROR(__xludf.DUMMYFUNCTION("""COMPUTED_VALUE"""),4)</f>
        <v>4</v>
      </c>
      <c r="E12275" s="2">
        <f ca="1">IFERROR(__xludf.DUMMYFUNCTION("""COMPUTED_VALUE"""),1)</f>
        <v>1</v>
      </c>
    </row>
    <row r="12276" spans="1:5" ht="13">
      <c r="A12276" s="8" t="str">
        <f ca="1">IFERROR(__xludf.DUMMYFUNCTION("""COMPUTED_VALUE"""),"Mack, Tara")</f>
        <v>Mack, Tara</v>
      </c>
      <c r="B12276" s="3">
        <f ca="1">IFERROR(__xludf.DUMMYFUNCTION("""COMPUTED_VALUE"""),4)</f>
        <v>4</v>
      </c>
      <c r="C12276" s="7">
        <f ca="1">IFERROR(__xludf.DUMMYFUNCTION("""COMPUTED_VALUE"""),4.1)</f>
        <v>4.0999999999999996</v>
      </c>
      <c r="D12276" s="8">
        <f ca="1">IFERROR(__xludf.DUMMYFUNCTION("""COMPUTED_VALUE"""),4)</f>
        <v>4</v>
      </c>
      <c r="E12276" s="2">
        <f ca="1">IFERROR(__xludf.DUMMYFUNCTION("""COMPUTED_VALUE"""),1)</f>
        <v>1</v>
      </c>
    </row>
    <row r="12277" spans="1:5" ht="13">
      <c r="A12277" s="2" t="str">
        <f ca="1">IFERROR(__xludf.DUMMYFUNCTION("""COMPUTED_VALUE"""),"Maillard, Carol")</f>
        <v>Maillard, Carol</v>
      </c>
      <c r="B12277" s="2">
        <f ca="1">IFERROR(__xludf.DUMMYFUNCTION("""COMPUTED_VALUE"""),4)</f>
        <v>4</v>
      </c>
      <c r="C12277" s="7">
        <f ca="1">IFERROR(__xludf.DUMMYFUNCTION("""COMPUTED_VALUE"""),4.1)</f>
        <v>4.0999999999999996</v>
      </c>
      <c r="D12277" s="8">
        <f ca="1">IFERROR(__xludf.DUMMYFUNCTION("""COMPUTED_VALUE"""),4)</f>
        <v>4</v>
      </c>
      <c r="E12277" s="2">
        <f ca="1">IFERROR(__xludf.DUMMYFUNCTION("""COMPUTED_VALUE"""),1)</f>
        <v>1</v>
      </c>
    </row>
    <row r="12278" spans="1:5" ht="13">
      <c r="A12278" s="8" t="str">
        <f ca="1">IFERROR(__xludf.DUMMYFUNCTION("""COMPUTED_VALUE"""),"Marfil, Marie Jocelyn")</f>
        <v>Marfil, Marie Jocelyn</v>
      </c>
      <c r="B12278" s="3">
        <f ca="1">IFERROR(__xludf.DUMMYFUNCTION("""COMPUTED_VALUE"""),4)</f>
        <v>4</v>
      </c>
      <c r="C12278" s="7">
        <f ca="1">IFERROR(__xludf.DUMMYFUNCTION("""COMPUTED_VALUE"""),4.3)</f>
        <v>4.3</v>
      </c>
      <c r="D12278" s="8">
        <f ca="1">IFERROR(__xludf.DUMMYFUNCTION("""COMPUTED_VALUE"""),4)</f>
        <v>4</v>
      </c>
      <c r="E12278" s="2">
        <f ca="1">IFERROR(__xludf.DUMMYFUNCTION("""COMPUTED_VALUE"""),1)</f>
        <v>1</v>
      </c>
    </row>
    <row r="12279" spans="1:5" ht="13">
      <c r="A12279" s="2" t="str">
        <f ca="1">IFERROR(__xludf.DUMMYFUNCTION("""COMPUTED_VALUE"""),"Masuka, Dorothy")</f>
        <v>Masuka, Dorothy</v>
      </c>
      <c r="B12279" s="3">
        <f ca="1">IFERROR(__xludf.DUMMYFUNCTION("""COMPUTED_VALUE"""),4)</f>
        <v>4</v>
      </c>
      <c r="C12279" s="7">
        <f ca="1">IFERROR(__xludf.DUMMYFUNCTION("""COMPUTED_VALUE"""),4.1)</f>
        <v>4.0999999999999996</v>
      </c>
      <c r="D12279" s="8">
        <f ca="1">IFERROR(__xludf.DUMMYFUNCTION("""COMPUTED_VALUE"""),8)</f>
        <v>8</v>
      </c>
      <c r="E12279" s="2">
        <f ca="1">IFERROR(__xludf.DUMMYFUNCTION("""COMPUTED_VALUE"""),2)</f>
        <v>2</v>
      </c>
    </row>
    <row r="12280" spans="1:5" ht="13">
      <c r="A12280" s="8" t="str">
        <f ca="1">IFERROR(__xludf.DUMMYFUNCTION("""COMPUTED_VALUE"""),"Mays, Jessica")</f>
        <v>Mays, Jessica</v>
      </c>
      <c r="B12280" s="3">
        <f ca="1">IFERROR(__xludf.DUMMYFUNCTION("""COMPUTED_VALUE"""),4)</f>
        <v>4</v>
      </c>
      <c r="C12280" s="7">
        <f ca="1">IFERROR(__xludf.DUMMYFUNCTION("""COMPUTED_VALUE"""),4.1)</f>
        <v>4.0999999999999996</v>
      </c>
      <c r="D12280" s="8">
        <f ca="1">IFERROR(__xludf.DUMMYFUNCTION("""COMPUTED_VALUE"""),4)</f>
        <v>4</v>
      </c>
      <c r="E12280" s="2">
        <f ca="1">IFERROR(__xludf.DUMMYFUNCTION("""COMPUTED_VALUE"""),1)</f>
        <v>1</v>
      </c>
    </row>
    <row r="12281" spans="1:5" ht="13">
      <c r="A12281" s="2" t="str">
        <f ca="1">IFERROR(__xludf.DUMMYFUNCTION("""COMPUTED_VALUE"""),"McAllister, Judith Christie")</f>
        <v>McAllister, Judith Christie</v>
      </c>
      <c r="B12281" s="2">
        <f ca="1">IFERROR(__xludf.DUMMYFUNCTION("""COMPUTED_VALUE"""),4)</f>
        <v>4</v>
      </c>
      <c r="C12281" s="2">
        <f ca="1">IFERROR(__xludf.DUMMYFUNCTION("""COMPUTED_VALUE"""),4.1)</f>
        <v>4.0999999999999996</v>
      </c>
      <c r="D12281" s="8">
        <f ca="1">IFERROR(__xludf.DUMMYFUNCTION("""COMPUTED_VALUE"""),4)</f>
        <v>4</v>
      </c>
      <c r="E12281" s="2">
        <f ca="1">IFERROR(__xludf.DUMMYFUNCTION("""COMPUTED_VALUE"""),1)</f>
        <v>1</v>
      </c>
    </row>
    <row r="12282" spans="1:5" ht="13">
      <c r="A12282" s="2" t="str">
        <f ca="1">IFERROR(__xludf.DUMMYFUNCTION("""COMPUTED_VALUE"""),"McLin, Lena")</f>
        <v>McLin, Lena</v>
      </c>
      <c r="B12282" s="3">
        <f ca="1">IFERROR(__xludf.DUMMYFUNCTION("""COMPUTED_VALUE"""),4)</f>
        <v>4</v>
      </c>
      <c r="C12282" s="7">
        <f ca="1">IFERROR(__xludf.DUMMYFUNCTION("""COMPUTED_VALUE"""),4.1)</f>
        <v>4.0999999999999996</v>
      </c>
      <c r="D12282" s="8">
        <f ca="1">IFERROR(__xludf.DUMMYFUNCTION("""COMPUTED_VALUE"""),8)</f>
        <v>8</v>
      </c>
      <c r="E12282" s="2">
        <f ca="1">IFERROR(__xludf.DUMMYFUNCTION("""COMPUTED_VALUE"""),2)</f>
        <v>2</v>
      </c>
    </row>
    <row r="12283" spans="1:5" ht="13">
      <c r="A12283" s="2" t="str">
        <f ca="1">IFERROR(__xludf.DUMMYFUNCTION("""COMPUTED_VALUE"""),"McLorin Salvant, Cécile")</f>
        <v>McLorin Salvant, Cécile</v>
      </c>
      <c r="B12283" s="3">
        <f ca="1">IFERROR(__xludf.DUMMYFUNCTION("""COMPUTED_VALUE"""),4)</f>
        <v>4</v>
      </c>
      <c r="C12283" s="7">
        <f ca="1">IFERROR(__xludf.DUMMYFUNCTION("""COMPUTED_VALUE"""),4.1)</f>
        <v>4.0999999999999996</v>
      </c>
      <c r="D12283" s="8">
        <f ca="1">IFERROR(__xludf.DUMMYFUNCTION("""COMPUTED_VALUE"""),4)</f>
        <v>4</v>
      </c>
      <c r="E12283" s="2">
        <f ca="1">IFERROR(__xludf.DUMMYFUNCTION("""COMPUTED_VALUE"""),1)</f>
        <v>1</v>
      </c>
    </row>
    <row r="12284" spans="1:5" ht="13">
      <c r="A12284" s="2" t="str">
        <f ca="1">IFERROR(__xludf.DUMMYFUNCTION("""COMPUTED_VALUE"""),"Méndez, Fabiola")</f>
        <v>Méndez, Fabiola</v>
      </c>
      <c r="B12284" s="3">
        <f ca="1">IFERROR(__xludf.DUMMYFUNCTION("""COMPUTED_VALUE"""),4)</f>
        <v>4</v>
      </c>
      <c r="C12284" s="7">
        <f ca="1">IFERROR(__xludf.DUMMYFUNCTION("""COMPUTED_VALUE"""),4.2)</f>
        <v>4.2</v>
      </c>
      <c r="D12284" s="8">
        <f ca="1">IFERROR(__xludf.DUMMYFUNCTION("""COMPUTED_VALUE"""),4)</f>
        <v>4</v>
      </c>
      <c r="E12284" s="2">
        <f ca="1">IFERROR(__xludf.DUMMYFUNCTION("""COMPUTED_VALUE"""),1)</f>
        <v>1</v>
      </c>
    </row>
    <row r="12285" spans="1:5" ht="13">
      <c r="A12285" s="8" t="str">
        <f ca="1">IFERROR(__xludf.DUMMYFUNCTION("""COMPUTED_VALUE"""),"Méndez, Fabiola")</f>
        <v>Méndez, Fabiola</v>
      </c>
      <c r="B12285" s="3">
        <f ca="1">IFERROR(__xludf.DUMMYFUNCTION("""COMPUTED_VALUE"""),4)</f>
        <v>4</v>
      </c>
      <c r="C12285" s="7">
        <f ca="1">IFERROR(__xludf.DUMMYFUNCTION("""COMPUTED_VALUE"""),4.2)</f>
        <v>4.2</v>
      </c>
      <c r="D12285" s="8">
        <f ca="1">IFERROR(__xludf.DUMMYFUNCTION("""COMPUTED_VALUE"""),4)</f>
        <v>4</v>
      </c>
      <c r="E12285" s="2">
        <f ca="1">IFERROR(__xludf.DUMMYFUNCTION("""COMPUTED_VALUE"""),1)</f>
        <v>1</v>
      </c>
    </row>
    <row r="12286" spans="1:5" ht="13">
      <c r="A12286" s="8" t="str">
        <f ca="1">IFERROR(__xludf.DUMMYFUNCTION("""COMPUTED_VALUE"""),"Mendoza, Monica")</f>
        <v>Mendoza, Monica</v>
      </c>
      <c r="B12286" s="3">
        <f ca="1">IFERROR(__xludf.DUMMYFUNCTION("""COMPUTED_VALUE"""),4)</f>
        <v>4</v>
      </c>
      <c r="C12286" s="7">
        <f ca="1">IFERROR(__xludf.DUMMYFUNCTION("""COMPUTED_VALUE"""),4.2)</f>
        <v>4.2</v>
      </c>
      <c r="D12286" s="8">
        <f ca="1">IFERROR(__xludf.DUMMYFUNCTION("""COMPUTED_VALUE"""),4)</f>
        <v>4</v>
      </c>
      <c r="E12286" s="2">
        <f ca="1">IFERROR(__xludf.DUMMYFUNCTION("""COMPUTED_VALUE"""),1)</f>
        <v>1</v>
      </c>
    </row>
    <row r="12287" spans="1:5" ht="13">
      <c r="A12287" s="2" t="str">
        <f ca="1">IFERROR(__xludf.DUMMYFUNCTION("""COMPUTED_VALUE"""),"Milch-Sheriff, Ella")</f>
        <v>Milch-Sheriff, Ella</v>
      </c>
      <c r="B12287" s="3">
        <f ca="1">IFERROR(__xludf.DUMMYFUNCTION("""COMPUTED_VALUE"""),4)</f>
        <v>4</v>
      </c>
      <c r="C12287" s="7">
        <f ca="1">IFERROR(__xludf.DUMMYFUNCTION("""COMPUTED_VALUE"""),4.5)</f>
        <v>4.5</v>
      </c>
      <c r="D12287" s="8">
        <f ca="1">IFERROR(__xludf.DUMMYFUNCTION("""COMPUTED_VALUE"""),4)</f>
        <v>4</v>
      </c>
      <c r="E12287" s="2">
        <f ca="1">IFERROR(__xludf.DUMMYFUNCTION("""COMPUTED_VALUE"""),1)</f>
        <v>1</v>
      </c>
    </row>
    <row r="12288" spans="1:5" ht="13">
      <c r="A12288" s="2" t="str">
        <f ca="1">IFERROR(__xludf.DUMMYFUNCTION("""COMPUTED_VALUE"""),"Miyuko, Oda")</f>
        <v>Miyuko, Oda</v>
      </c>
      <c r="B12288" s="3">
        <f ca="1">IFERROR(__xludf.DUMMYFUNCTION("""COMPUTED_VALUE"""),4)</f>
        <v>4</v>
      </c>
      <c r="C12288" s="7">
        <f ca="1">IFERROR(__xludf.DUMMYFUNCTION("""COMPUTED_VALUE"""),4.1)</f>
        <v>4.0999999999999996</v>
      </c>
      <c r="D12288" s="8">
        <f ca="1">IFERROR(__xludf.DUMMYFUNCTION("""COMPUTED_VALUE"""),4)</f>
        <v>4</v>
      </c>
      <c r="E12288" s="2">
        <f ca="1">IFERROR(__xludf.DUMMYFUNCTION("""COMPUTED_VALUE"""),1)</f>
        <v>1</v>
      </c>
    </row>
    <row r="12289" spans="1:5" ht="13">
      <c r="A12289" s="2" t="str">
        <f ca="1">IFERROR(__xludf.DUMMYFUNCTION("""COMPUTED_VALUE"""),"Mochizuki, Misato")</f>
        <v>Mochizuki, Misato</v>
      </c>
      <c r="B12289" s="3">
        <f ca="1">IFERROR(__xludf.DUMMYFUNCTION("""COMPUTED_VALUE"""),4)</f>
        <v>4</v>
      </c>
      <c r="C12289" s="7">
        <f ca="1">IFERROR(__xludf.DUMMYFUNCTION("""COMPUTED_VALUE"""),4.3)</f>
        <v>4.3</v>
      </c>
      <c r="D12289" s="8">
        <f ca="1">IFERROR(__xludf.DUMMYFUNCTION("""COMPUTED_VALUE"""),4)</f>
        <v>4</v>
      </c>
      <c r="E12289" s="2">
        <f ca="1">IFERROR(__xludf.DUMMYFUNCTION("""COMPUTED_VALUE"""),1)</f>
        <v>1</v>
      </c>
    </row>
    <row r="12290" spans="1:5" ht="13">
      <c r="A12290" s="2" t="str">
        <f ca="1">IFERROR(__xludf.DUMMYFUNCTION("""COMPUTED_VALUE"""),"Mongé, Whitney")</f>
        <v>Mongé, Whitney</v>
      </c>
      <c r="B12290" s="3">
        <f ca="1">IFERROR(__xludf.DUMMYFUNCTION("""COMPUTED_VALUE"""),4)</f>
        <v>4</v>
      </c>
      <c r="C12290" s="7">
        <f ca="1">IFERROR(__xludf.DUMMYFUNCTION("""COMPUTED_VALUE"""),4.1)</f>
        <v>4.0999999999999996</v>
      </c>
      <c r="D12290" s="8">
        <f ca="1">IFERROR(__xludf.DUMMYFUNCTION("""COMPUTED_VALUE"""),4)</f>
        <v>4</v>
      </c>
      <c r="E12290" s="2">
        <f ca="1">IFERROR(__xludf.DUMMYFUNCTION("""COMPUTED_VALUE"""),1)</f>
        <v>1</v>
      </c>
    </row>
    <row r="12291" spans="1:5" ht="13">
      <c r="A12291" s="2" t="str">
        <f ca="1">IFERROR(__xludf.DUMMYFUNCTION("""COMPUTED_VALUE"""),"Montano, Mary Jane")</f>
        <v>Montano, Mary Jane</v>
      </c>
      <c r="B12291" s="3">
        <f ca="1">IFERROR(__xludf.DUMMYFUNCTION("""COMPUTED_VALUE"""),4)</f>
        <v>4</v>
      </c>
      <c r="C12291" s="7">
        <f ca="1">IFERROR(__xludf.DUMMYFUNCTION("""COMPUTED_VALUE"""),4.6)</f>
        <v>4.5999999999999996</v>
      </c>
      <c r="D12291" s="8">
        <f ca="1">IFERROR(__xludf.DUMMYFUNCTION("""COMPUTED_VALUE"""),8)</f>
        <v>8</v>
      </c>
      <c r="E12291" s="2">
        <f ca="1">IFERROR(__xludf.DUMMYFUNCTION("""COMPUTED_VALUE"""),2)</f>
        <v>2</v>
      </c>
    </row>
    <row r="12292" spans="1:5" ht="13">
      <c r="A12292" s="2" t="str">
        <f ca="1">IFERROR(__xludf.DUMMYFUNCTION("""COMPUTED_VALUE"""),"Montero, Claudia")</f>
        <v>Montero, Claudia</v>
      </c>
      <c r="B12292" s="2">
        <f ca="1">IFERROR(__xludf.DUMMYFUNCTION("""COMPUTED_VALUE"""),4)</f>
        <v>4</v>
      </c>
      <c r="C12292" s="2">
        <f ca="1">IFERROR(__xludf.DUMMYFUNCTION("""COMPUTED_VALUE"""),4.2)</f>
        <v>4.2</v>
      </c>
      <c r="D12292" s="8">
        <f ca="1">IFERROR(__xludf.DUMMYFUNCTION("""COMPUTED_VALUE"""),4)</f>
        <v>4</v>
      </c>
      <c r="E12292" s="2">
        <f ca="1">IFERROR(__xludf.DUMMYFUNCTION("""COMPUTED_VALUE"""),1)</f>
        <v>1</v>
      </c>
    </row>
    <row r="12293" spans="1:5" ht="13">
      <c r="A12293" s="2" t="str">
        <f ca="1">IFERROR(__xludf.DUMMYFUNCTION("""COMPUTED_VALUE"""),"Montero, Gabriela")</f>
        <v>Montero, Gabriela</v>
      </c>
      <c r="B12293" s="3">
        <f ca="1">IFERROR(__xludf.DUMMYFUNCTION("""COMPUTED_VALUE"""),4)</f>
        <v>4</v>
      </c>
      <c r="C12293" s="7">
        <f ca="1">IFERROR(__xludf.DUMMYFUNCTION("""COMPUTED_VALUE"""),4.2)</f>
        <v>4.2</v>
      </c>
      <c r="D12293" s="8">
        <f ca="1">IFERROR(__xludf.DUMMYFUNCTION("""COMPUTED_VALUE"""),4)</f>
        <v>4</v>
      </c>
      <c r="E12293" s="2">
        <f ca="1">IFERROR(__xludf.DUMMYFUNCTION("""COMPUTED_VALUE"""),1)</f>
        <v>1</v>
      </c>
    </row>
    <row r="12294" spans="1:5" ht="13">
      <c r="A12294" s="2" t="str">
        <f ca="1">IFERROR(__xludf.DUMMYFUNCTION("""COMPUTED_VALUE"""),"Montgomery, Jessie")</f>
        <v>Montgomery, Jessie</v>
      </c>
      <c r="B12294" s="3">
        <f ca="1">IFERROR(__xludf.DUMMYFUNCTION("""COMPUTED_VALUE"""),4)</f>
        <v>4</v>
      </c>
      <c r="C12294" s="7">
        <f ca="1">IFERROR(__xludf.DUMMYFUNCTION("""COMPUTED_VALUE"""),4.1)</f>
        <v>4.0999999999999996</v>
      </c>
      <c r="D12294" s="8">
        <f ca="1">IFERROR(__xludf.DUMMYFUNCTION("""COMPUTED_VALUE"""),4)</f>
        <v>4</v>
      </c>
      <c r="E12294" s="2">
        <f ca="1">IFERROR(__xludf.DUMMYFUNCTION("""COMPUTED_VALUE"""),1)</f>
        <v>1</v>
      </c>
    </row>
    <row r="12295" spans="1:5" ht="13">
      <c r="A12295" s="2" t="str">
        <f ca="1">IFERROR(__xludf.DUMMYFUNCTION("""COMPUTED_VALUE"""),"Moone, Glorraine / Washington, Rev. Freddie")</f>
        <v>Moone, Glorraine / Washington, Rev. Freddie</v>
      </c>
      <c r="B12295" s="3">
        <f ca="1">IFERROR(__xludf.DUMMYFUNCTION("""COMPUTED_VALUE"""),4)</f>
        <v>4</v>
      </c>
      <c r="C12295" s="7">
        <f ca="1">IFERROR(__xludf.DUMMYFUNCTION("""COMPUTED_VALUE"""),4.1)</f>
        <v>4.0999999999999996</v>
      </c>
      <c r="D12295" s="8">
        <f ca="1">IFERROR(__xludf.DUMMYFUNCTION("""COMPUTED_VALUE"""),8)</f>
        <v>8</v>
      </c>
      <c r="E12295" s="2">
        <f ca="1">IFERROR(__xludf.DUMMYFUNCTION("""COMPUTED_VALUE"""),2)</f>
        <v>2</v>
      </c>
    </row>
    <row r="12296" spans="1:5" ht="13">
      <c r="A12296" s="2" t="str">
        <f ca="1">IFERROR(__xludf.DUMMYFUNCTION("""COMPUTED_VALUE"""),"Moore, Fleecie")</f>
        <v>Moore, Fleecie</v>
      </c>
      <c r="B12296" s="2">
        <f ca="1">IFERROR(__xludf.DUMMYFUNCTION("""COMPUTED_VALUE"""),4)</f>
        <v>4</v>
      </c>
      <c r="C12296" s="7">
        <f ca="1">IFERROR(__xludf.DUMMYFUNCTION("""COMPUTED_VALUE"""),4.1)</f>
        <v>4.0999999999999996</v>
      </c>
      <c r="D12296" s="8">
        <f ca="1">IFERROR(__xludf.DUMMYFUNCTION("""COMPUTED_VALUE"""),8)</f>
        <v>8</v>
      </c>
      <c r="E12296" s="2">
        <f ca="1">IFERROR(__xludf.DUMMYFUNCTION("""COMPUTED_VALUE"""),2)</f>
        <v>2</v>
      </c>
    </row>
    <row r="12297" spans="1:5" ht="13">
      <c r="A12297" s="2" t="str">
        <f ca="1">IFERROR(__xludf.DUMMYFUNCTION("""COMPUTED_VALUE"""),"Moore, Undine Smith")</f>
        <v>Moore, Undine Smith</v>
      </c>
      <c r="B12297" s="3">
        <f ca="1">IFERROR(__xludf.DUMMYFUNCTION("""COMPUTED_VALUE"""),4)</f>
        <v>4</v>
      </c>
      <c r="C12297" s="7">
        <f ca="1">IFERROR(__xludf.DUMMYFUNCTION("""COMPUTED_VALUE"""),4.1)</f>
        <v>4.0999999999999996</v>
      </c>
      <c r="D12297" s="8">
        <f ca="1">IFERROR(__xludf.DUMMYFUNCTION("""COMPUTED_VALUE"""),8)</f>
        <v>8</v>
      </c>
      <c r="E12297" s="2">
        <f ca="1">IFERROR(__xludf.DUMMYFUNCTION("""COMPUTED_VALUE"""),2)</f>
        <v>2</v>
      </c>
    </row>
    <row r="12298" spans="1:5" ht="13">
      <c r="A12298" s="8" t="str">
        <f ca="1">IFERROR(__xludf.DUMMYFUNCTION("""COMPUTED_VALUE"""),"Morales-Matos, Sonia")</f>
        <v>Morales-Matos, Sonia</v>
      </c>
      <c r="B12298" s="3">
        <f ca="1">IFERROR(__xludf.DUMMYFUNCTION("""COMPUTED_VALUE"""),4)</f>
        <v>4</v>
      </c>
      <c r="C12298" s="7">
        <f ca="1">IFERROR(__xludf.DUMMYFUNCTION("""COMPUTED_VALUE"""),4.2)</f>
        <v>4.2</v>
      </c>
      <c r="D12298" s="8">
        <f ca="1">IFERROR(__xludf.DUMMYFUNCTION("""COMPUTED_VALUE"""),4)</f>
        <v>4</v>
      </c>
      <c r="E12298" s="2">
        <f ca="1">IFERROR(__xludf.DUMMYFUNCTION("""COMPUTED_VALUE"""),1)</f>
        <v>1</v>
      </c>
    </row>
    <row r="12299" spans="1:5" ht="13">
      <c r="A12299" s="8" t="str">
        <f ca="1">IFERROR(__xludf.DUMMYFUNCTION("""COMPUTED_VALUE"""),"Muhammad, Destiny")</f>
        <v>Muhammad, Destiny</v>
      </c>
      <c r="B12299" s="2">
        <f ca="1">IFERROR(__xludf.DUMMYFUNCTION("""COMPUTED_VALUE"""),4)</f>
        <v>4</v>
      </c>
      <c r="C12299" s="7">
        <f ca="1">IFERROR(__xludf.DUMMYFUNCTION("""COMPUTED_VALUE"""),4.1)</f>
        <v>4.0999999999999996</v>
      </c>
      <c r="D12299" s="8">
        <f ca="1">IFERROR(__xludf.DUMMYFUNCTION("""COMPUTED_VALUE"""),4)</f>
        <v>4</v>
      </c>
      <c r="E12299" s="2">
        <f ca="1">IFERROR(__xludf.DUMMYFUNCTION("""COMPUTED_VALUE"""),1)</f>
        <v>1</v>
      </c>
    </row>
    <row r="12300" spans="1:5" ht="13">
      <c r="A12300" s="8" t="str">
        <f ca="1">IFERROR(__xludf.DUMMYFUNCTION("""COMPUTED_VALUE"""),"Muhammad, Destiny / Wong, Matt")</f>
        <v>Muhammad, Destiny / Wong, Matt</v>
      </c>
      <c r="B12300" s="3">
        <f ca="1">IFERROR(__xludf.DUMMYFUNCTION("""COMPUTED_VALUE"""),4)</f>
        <v>4</v>
      </c>
      <c r="C12300" s="7">
        <f ca="1">IFERROR(__xludf.DUMMYFUNCTION("""COMPUTED_VALUE"""),4.1)</f>
        <v>4.0999999999999996</v>
      </c>
      <c r="D12300" s="8">
        <f ca="1">IFERROR(__xludf.DUMMYFUNCTION("""COMPUTED_VALUE"""),4)</f>
        <v>4</v>
      </c>
      <c r="E12300" s="2">
        <f ca="1">IFERROR(__xludf.DUMMYFUNCTION("""COMPUTED_VALUE"""),1)</f>
        <v>1</v>
      </c>
    </row>
    <row r="12301" spans="1:5" ht="13">
      <c r="A12301" s="2" t="str">
        <f ca="1">IFERROR(__xludf.DUMMYFUNCTION("""COMPUTED_VALUE"""),"Murphy, Gale Jones")</f>
        <v>Murphy, Gale Jones</v>
      </c>
      <c r="B12301" s="3">
        <f ca="1">IFERROR(__xludf.DUMMYFUNCTION("""COMPUTED_VALUE"""),4)</f>
        <v>4</v>
      </c>
      <c r="C12301" s="7">
        <f ca="1">IFERROR(__xludf.DUMMYFUNCTION("""COMPUTED_VALUE"""),4.1)</f>
        <v>4.0999999999999996</v>
      </c>
      <c r="D12301" s="8">
        <f ca="1">IFERROR(__xludf.DUMMYFUNCTION("""COMPUTED_VALUE"""),4)</f>
        <v>4</v>
      </c>
      <c r="E12301" s="2">
        <f ca="1">IFERROR(__xludf.DUMMYFUNCTION("""COMPUTED_VALUE"""),1)</f>
        <v>1</v>
      </c>
    </row>
    <row r="12302" spans="1:5" ht="13">
      <c r="A12302" s="2" t="str">
        <f ca="1">IFERROR(__xludf.DUMMYFUNCTION("""COMPUTED_VALUE"""),"Nakano, Kaori")</f>
        <v>Nakano, Kaori</v>
      </c>
      <c r="B12302" s="2">
        <f ca="1">IFERROR(__xludf.DUMMYFUNCTION("""COMPUTED_VALUE"""),4)</f>
        <v>4</v>
      </c>
      <c r="C12302" s="7">
        <f ca="1">IFERROR(__xludf.DUMMYFUNCTION("""COMPUTED_VALUE"""),4.3)</f>
        <v>4.3</v>
      </c>
      <c r="D12302" s="8">
        <f ca="1">IFERROR(__xludf.DUMMYFUNCTION("""COMPUTED_VALUE"""),4)</f>
        <v>4</v>
      </c>
      <c r="E12302" s="2">
        <f ca="1">IFERROR(__xludf.DUMMYFUNCTION("""COMPUTED_VALUE"""),1)</f>
        <v>1</v>
      </c>
    </row>
    <row r="12303" spans="1:5" ht="13">
      <c r="A12303" s="2" t="str">
        <f ca="1">IFERROR(__xludf.DUMMYFUNCTION("""COMPUTED_VALUE"""),"Nakayama, Yoshie")</f>
        <v>Nakayama, Yoshie</v>
      </c>
      <c r="B12303" s="3">
        <f ca="1">IFERROR(__xludf.DUMMYFUNCTION("""COMPUTED_VALUE"""),4)</f>
        <v>4</v>
      </c>
      <c r="C12303" s="7">
        <f ca="1">IFERROR(__xludf.DUMMYFUNCTION("""COMPUTED_VALUE"""),4.3)</f>
        <v>4.3</v>
      </c>
      <c r="D12303" s="8">
        <f ca="1">IFERROR(__xludf.DUMMYFUNCTION("""COMPUTED_VALUE"""),4)</f>
        <v>4</v>
      </c>
      <c r="E12303" s="2">
        <f ca="1">IFERROR(__xludf.DUMMYFUNCTION("""COMPUTED_VALUE"""),1)</f>
        <v>1</v>
      </c>
    </row>
    <row r="12304" spans="1:5" ht="13">
      <c r="A12304" s="2" t="str">
        <f ca="1">IFERROR(__xludf.DUMMYFUNCTION("""COMPUTED_VALUE"""),"Negrón, Angelica")</f>
        <v>Negrón, Angelica</v>
      </c>
      <c r="B12304" s="3">
        <f ca="1">IFERROR(__xludf.DUMMYFUNCTION("""COMPUTED_VALUE"""),4)</f>
        <v>4</v>
      </c>
      <c r="C12304" s="7">
        <f ca="1">IFERROR(__xludf.DUMMYFUNCTION("""COMPUTED_VALUE"""),4.2)</f>
        <v>4.2</v>
      </c>
      <c r="D12304" s="8">
        <f ca="1">IFERROR(__xludf.DUMMYFUNCTION("""COMPUTED_VALUE"""),4)</f>
        <v>4</v>
      </c>
      <c r="E12304" s="2">
        <f ca="1">IFERROR(__xludf.DUMMYFUNCTION("""COMPUTED_VALUE"""),1)</f>
        <v>1</v>
      </c>
    </row>
    <row r="12305" spans="1:5" ht="13">
      <c r="A12305" s="2" t="str">
        <f ca="1">IFERROR(__xludf.DUMMYFUNCTION("""COMPUTED_VALUE"""),"Nelson, Maureen")</f>
        <v>Nelson, Maureen</v>
      </c>
      <c r="B12305" s="3">
        <f ca="1">IFERROR(__xludf.DUMMYFUNCTION("""COMPUTED_VALUE"""),4)</f>
        <v>4</v>
      </c>
      <c r="C12305" s="7">
        <f ca="1">IFERROR(__xludf.DUMMYFUNCTION("""COMPUTED_VALUE"""),4.3)</f>
        <v>4.3</v>
      </c>
      <c r="D12305" s="8">
        <f ca="1">IFERROR(__xludf.DUMMYFUNCTION("""COMPUTED_VALUE"""),4)</f>
        <v>4</v>
      </c>
      <c r="E12305" s="2">
        <f ca="1">IFERROR(__xludf.DUMMYFUNCTION("""COMPUTED_VALUE"""),1)</f>
        <v>1</v>
      </c>
    </row>
    <row r="12306" spans="1:5" ht="13">
      <c r="A12306" s="2" t="str">
        <f ca="1">IFERROR(__xludf.DUMMYFUNCTION("""COMPUTED_VALUE"""),"Netzer, Osnat")</f>
        <v>Netzer, Osnat</v>
      </c>
      <c r="B12306" s="3">
        <f ca="1">IFERROR(__xludf.DUMMYFUNCTION("""COMPUTED_VALUE"""),4)</f>
        <v>4</v>
      </c>
      <c r="C12306" s="7">
        <f ca="1">IFERROR(__xludf.DUMMYFUNCTION("""COMPUTED_VALUE"""),4.5)</f>
        <v>4.5</v>
      </c>
      <c r="D12306" s="8">
        <f ca="1">IFERROR(__xludf.DUMMYFUNCTION("""COMPUTED_VALUE"""),4)</f>
        <v>4</v>
      </c>
      <c r="E12306" s="2">
        <f ca="1">IFERROR(__xludf.DUMMYFUNCTION("""COMPUTED_VALUE"""),1)</f>
        <v>1</v>
      </c>
    </row>
    <row r="12307" spans="1:5" ht="13">
      <c r="A12307" s="2" t="str">
        <f ca="1">IFERROR(__xludf.DUMMYFUNCTION("""COMPUTED_VALUE"""),"Newbold, Soon Hee")</f>
        <v>Newbold, Soon Hee</v>
      </c>
      <c r="B12307" s="3">
        <f ca="1">IFERROR(__xludf.DUMMYFUNCTION("""COMPUTED_VALUE"""),4)</f>
        <v>4</v>
      </c>
      <c r="C12307" s="7">
        <f ca="1">IFERROR(__xludf.DUMMYFUNCTION("""COMPUTED_VALUE"""),4.3)</f>
        <v>4.3</v>
      </c>
      <c r="D12307" s="8">
        <f ca="1">IFERROR(__xludf.DUMMYFUNCTION("""COMPUTED_VALUE"""),4)</f>
        <v>4</v>
      </c>
      <c r="E12307" s="2">
        <f ca="1">IFERROR(__xludf.DUMMYFUNCTION("""COMPUTED_VALUE"""),1)</f>
        <v>1</v>
      </c>
    </row>
    <row r="12308" spans="1:5" ht="13">
      <c r="A12308" s="2" t="str">
        <f ca="1">IFERROR(__xludf.DUMMYFUNCTION("""COMPUTED_VALUE"""),"Ngwenyama, Nokuthula")</f>
        <v>Ngwenyama, Nokuthula</v>
      </c>
      <c r="B12308" s="3">
        <f ca="1">IFERROR(__xludf.DUMMYFUNCTION("""COMPUTED_VALUE"""),4)</f>
        <v>4</v>
      </c>
      <c r="C12308" s="7">
        <f ca="1">IFERROR(__xludf.DUMMYFUNCTION("""COMPUTED_VALUE"""),4.1)</f>
        <v>4.0999999999999996</v>
      </c>
      <c r="D12308" s="8">
        <f ca="1">IFERROR(__xludf.DUMMYFUNCTION("""COMPUTED_VALUE"""),4)</f>
        <v>4</v>
      </c>
      <c r="E12308" s="2">
        <f ca="1">IFERROR(__xludf.DUMMYFUNCTION("""COMPUTED_VALUE"""),1)</f>
        <v>1</v>
      </c>
    </row>
    <row r="12309" spans="1:5" ht="13">
      <c r="A12309" s="2" t="str">
        <f ca="1">IFERROR(__xludf.DUMMYFUNCTION("""COMPUTED_VALUE"""),"Nishimura, Cait")</f>
        <v>Nishimura, Cait</v>
      </c>
      <c r="B12309" s="3">
        <f ca="1">IFERROR(__xludf.DUMMYFUNCTION("""COMPUTED_VALUE"""),4)</f>
        <v>4</v>
      </c>
      <c r="C12309" s="7">
        <f ca="1">IFERROR(__xludf.DUMMYFUNCTION("""COMPUTED_VALUE"""),4.3)</f>
        <v>4.3</v>
      </c>
      <c r="D12309" s="8">
        <f ca="1">IFERROR(__xludf.DUMMYFUNCTION("""COMPUTED_VALUE"""),4)</f>
        <v>4</v>
      </c>
      <c r="E12309" s="2">
        <f ca="1">IFERROR(__xludf.DUMMYFUNCTION("""COMPUTED_VALUE"""),1)</f>
        <v>1</v>
      </c>
    </row>
    <row r="12310" spans="1:5" ht="13">
      <c r="A12310" s="2" t="str">
        <f ca="1">IFERROR(__xludf.DUMMYFUNCTION("""COMPUTED_VALUE"""),"Nishimura, Yukiko")</f>
        <v>Nishimura, Yukiko</v>
      </c>
      <c r="B12310" s="3">
        <f ca="1">IFERROR(__xludf.DUMMYFUNCTION("""COMPUTED_VALUE"""),4)</f>
        <v>4</v>
      </c>
      <c r="C12310" s="7">
        <f ca="1">IFERROR(__xludf.DUMMYFUNCTION("""COMPUTED_VALUE"""),4.3)</f>
        <v>4.3</v>
      </c>
      <c r="D12310" s="8">
        <f ca="1">IFERROR(__xludf.DUMMYFUNCTION("""COMPUTED_VALUE"""),4)</f>
        <v>4</v>
      </c>
      <c r="E12310" s="2">
        <f ca="1">IFERROR(__xludf.DUMMYFUNCTION("""COMPUTED_VALUE"""),1)</f>
        <v>1</v>
      </c>
    </row>
    <row r="12311" spans="1:5" ht="13">
      <c r="A12311" s="2" t="str">
        <f ca="1">IFERROR(__xludf.DUMMYFUNCTION("""COMPUTED_VALUE"""),"Nombeko, Nailah")</f>
        <v>Nombeko, Nailah</v>
      </c>
      <c r="B12311" s="2">
        <f ca="1">IFERROR(__xludf.DUMMYFUNCTION("""COMPUTED_VALUE"""),4)</f>
        <v>4</v>
      </c>
      <c r="C12311" s="2">
        <f ca="1">IFERROR(__xludf.DUMMYFUNCTION("""COMPUTED_VALUE"""),4.1)</f>
        <v>4.0999999999999996</v>
      </c>
      <c r="D12311" s="8">
        <f ca="1">IFERROR(__xludf.DUMMYFUNCTION("""COMPUTED_VALUE"""),4)</f>
        <v>4</v>
      </c>
      <c r="E12311" s="2">
        <f ca="1">IFERROR(__xludf.DUMMYFUNCTION("""COMPUTED_VALUE"""),1)</f>
        <v>1</v>
      </c>
    </row>
    <row r="12312" spans="1:5" ht="13">
      <c r="A12312" s="8" t="str">
        <f ca="1">IFERROR(__xludf.DUMMYFUNCTION("""COMPUTED_VALUE"""),"Norfleet, Dawn")</f>
        <v>Norfleet, Dawn</v>
      </c>
      <c r="B12312" s="2">
        <f ca="1">IFERROR(__xludf.DUMMYFUNCTION("""COMPUTED_VALUE"""),4)</f>
        <v>4</v>
      </c>
      <c r="C12312" s="2">
        <f ca="1">IFERROR(__xludf.DUMMYFUNCTION("""COMPUTED_VALUE"""),4.1)</f>
        <v>4.0999999999999996</v>
      </c>
      <c r="D12312" s="8">
        <f ca="1">IFERROR(__xludf.DUMMYFUNCTION("""COMPUTED_VALUE"""),4)</f>
        <v>4</v>
      </c>
      <c r="E12312" s="2">
        <f ca="1">IFERROR(__xludf.DUMMYFUNCTION("""COMPUTED_VALUE"""),1)</f>
        <v>1</v>
      </c>
    </row>
    <row r="12313" spans="1:5" ht="13">
      <c r="A12313" s="2" t="str">
        <f ca="1">IFERROR(__xludf.DUMMYFUNCTION("""COMPUTED_VALUE"""),"Norment, Camille")</f>
        <v>Norment, Camille</v>
      </c>
      <c r="B12313" s="3">
        <f ca="1">IFERROR(__xludf.DUMMYFUNCTION("""COMPUTED_VALUE"""),4)</f>
        <v>4</v>
      </c>
      <c r="C12313" s="7">
        <f ca="1">IFERROR(__xludf.DUMMYFUNCTION("""COMPUTED_VALUE"""),4.1)</f>
        <v>4.0999999999999996</v>
      </c>
      <c r="D12313" s="8">
        <f ca="1">IFERROR(__xludf.DUMMYFUNCTION("""COMPUTED_VALUE"""),4)</f>
        <v>4</v>
      </c>
      <c r="E12313" s="2">
        <f ca="1">IFERROR(__xludf.DUMMYFUNCTION("""COMPUTED_VALUE"""),1)</f>
        <v>1</v>
      </c>
    </row>
    <row r="12314" spans="1:5" ht="13">
      <c r="A12314" s="2" t="str">
        <f ca="1">IFERROR(__xludf.DUMMYFUNCTION("""COMPUTED_VALUE"""),"Norpoth, Jannina")</f>
        <v>Norpoth, Jannina</v>
      </c>
      <c r="B12314" s="3">
        <f ca="1">IFERROR(__xludf.DUMMYFUNCTION("""COMPUTED_VALUE"""),4)</f>
        <v>4</v>
      </c>
      <c r="C12314" s="7">
        <f ca="1">IFERROR(__xludf.DUMMYFUNCTION("""COMPUTED_VALUE"""),4.5)</f>
        <v>4.5</v>
      </c>
      <c r="D12314" s="8">
        <f ca="1">IFERROR(__xludf.DUMMYFUNCTION("""COMPUTED_VALUE"""),4)</f>
        <v>4</v>
      </c>
      <c r="E12314" s="2">
        <f ca="1">IFERROR(__xludf.DUMMYFUNCTION("""COMPUTED_VALUE"""),1)</f>
        <v>1</v>
      </c>
    </row>
    <row r="12315" spans="1:5" ht="13">
      <c r="A12315" s="2" t="str">
        <f ca="1">IFERROR(__xludf.DUMMYFUNCTION("""COMPUTED_VALUE"""),"Nourbakhsh, Niloufar")</f>
        <v>Nourbakhsh, Niloufar</v>
      </c>
      <c r="B12315" s="3">
        <f ca="1">IFERROR(__xludf.DUMMYFUNCTION("""COMPUTED_VALUE"""),4)</f>
        <v>4</v>
      </c>
      <c r="C12315" s="7">
        <f ca="1">IFERROR(__xludf.DUMMYFUNCTION("""COMPUTED_VALUE"""),4.5)</f>
        <v>4.5</v>
      </c>
      <c r="D12315" s="8">
        <f ca="1">IFERROR(__xludf.DUMMYFUNCTION("""COMPUTED_VALUE"""),4)</f>
        <v>4</v>
      </c>
      <c r="E12315" s="2">
        <f ca="1">IFERROR(__xludf.DUMMYFUNCTION("""COMPUTED_VALUE"""),1)</f>
        <v>1</v>
      </c>
    </row>
    <row r="12316" spans="1:5" ht="13">
      <c r="A12316" s="2" t="str">
        <f ca="1">IFERROR(__xludf.DUMMYFUNCTION("""COMPUTED_VALUE"""),"Oda, Miyuko")</f>
        <v>Oda, Miyuko</v>
      </c>
      <c r="B12316" s="2">
        <f ca="1">IFERROR(__xludf.DUMMYFUNCTION("""COMPUTED_VALUE"""),4)</f>
        <v>4</v>
      </c>
      <c r="C12316" s="7">
        <f ca="1">IFERROR(__xludf.DUMMYFUNCTION("""COMPUTED_VALUE"""),4.3)</f>
        <v>4.3</v>
      </c>
      <c r="D12316" s="8">
        <f ca="1">IFERROR(__xludf.DUMMYFUNCTION("""COMPUTED_VALUE"""),4)</f>
        <v>4</v>
      </c>
      <c r="E12316" s="2">
        <f ca="1">IFERROR(__xludf.DUMMYFUNCTION("""COMPUTED_VALUE"""),1)</f>
        <v>1</v>
      </c>
    </row>
    <row r="12317" spans="1:5" ht="13">
      <c r="A12317" s="8" t="str">
        <f ca="1">IFERROR(__xludf.DUMMYFUNCTION("""COMPUTED_VALUE"""),"Odger, Alejandra")</f>
        <v>Odger, Alejandra</v>
      </c>
      <c r="B12317" s="3">
        <f ca="1">IFERROR(__xludf.DUMMYFUNCTION("""COMPUTED_VALUE"""),4)</f>
        <v>4</v>
      </c>
      <c r="C12317" s="7">
        <f ca="1">IFERROR(__xludf.DUMMYFUNCTION("""COMPUTED_VALUE"""),4.2)</f>
        <v>4.2</v>
      </c>
      <c r="D12317" s="8">
        <f ca="1">IFERROR(__xludf.DUMMYFUNCTION("""COMPUTED_VALUE"""),4)</f>
        <v>4</v>
      </c>
      <c r="E12317" s="2">
        <f ca="1">IFERROR(__xludf.DUMMYFUNCTION("""COMPUTED_VALUE"""),1)</f>
        <v>1</v>
      </c>
    </row>
    <row r="12318" spans="1:5" ht="13">
      <c r="A12318" s="8" t="str">
        <f ca="1">IFERROR(__xludf.DUMMYFUNCTION("""COMPUTED_VALUE"""),"Oh, Linda May Han")</f>
        <v>Oh, Linda May Han</v>
      </c>
      <c r="B12318" s="3">
        <f ca="1">IFERROR(__xludf.DUMMYFUNCTION("""COMPUTED_VALUE"""),4)</f>
        <v>4</v>
      </c>
      <c r="C12318" s="7">
        <f ca="1">IFERROR(__xludf.DUMMYFUNCTION("""COMPUTED_VALUE"""),4.3)</f>
        <v>4.3</v>
      </c>
      <c r="D12318" s="8">
        <f ca="1">IFERROR(__xludf.DUMMYFUNCTION("""COMPUTED_VALUE"""),4)</f>
        <v>4</v>
      </c>
      <c r="E12318" s="2">
        <f ca="1">IFERROR(__xludf.DUMMYFUNCTION("""COMPUTED_VALUE"""),1)</f>
        <v>1</v>
      </c>
    </row>
    <row r="12319" spans="1:5" ht="13">
      <c r="A12319" s="2" t="str">
        <f ca="1">IFERROR(__xludf.DUMMYFUNCTION("""COMPUTED_VALUE"""),"Okoye, Nkeiru")</f>
        <v>Okoye, Nkeiru</v>
      </c>
      <c r="B12319" s="3">
        <f ca="1">IFERROR(__xludf.DUMMYFUNCTION("""COMPUTED_VALUE"""),4)</f>
        <v>4</v>
      </c>
      <c r="C12319" s="7">
        <f ca="1">IFERROR(__xludf.DUMMYFUNCTION("""COMPUTED_VALUE"""),4.1)</f>
        <v>4.0999999999999996</v>
      </c>
      <c r="D12319" s="8">
        <f ca="1">IFERROR(__xludf.DUMMYFUNCTION("""COMPUTED_VALUE"""),4)</f>
        <v>4</v>
      </c>
      <c r="E12319" s="2">
        <f ca="1">IFERROR(__xludf.DUMMYFUNCTION("""COMPUTED_VALUE"""),1)</f>
        <v>1</v>
      </c>
    </row>
    <row r="12320" spans="1:5" ht="13">
      <c r="A12320" s="2" t="str">
        <f ca="1">IFERROR(__xludf.DUMMYFUNCTION("""COMPUTED_VALUE"""),"Orozco, Keyla")</f>
        <v>Orozco, Keyla</v>
      </c>
      <c r="B12320" s="3">
        <f ca="1">IFERROR(__xludf.DUMMYFUNCTION("""COMPUTED_VALUE"""),4)</f>
        <v>4</v>
      </c>
      <c r="C12320" s="7">
        <f ca="1">IFERROR(__xludf.DUMMYFUNCTION("""COMPUTED_VALUE"""),4.2)</f>
        <v>4.2</v>
      </c>
      <c r="D12320" s="8">
        <f ca="1">IFERROR(__xludf.DUMMYFUNCTION("""COMPUTED_VALUE"""),4)</f>
        <v>4</v>
      </c>
      <c r="E12320" s="2">
        <f ca="1">IFERROR(__xludf.DUMMYFUNCTION("""COMPUTED_VALUE"""),1)</f>
        <v>1</v>
      </c>
    </row>
    <row r="12321" spans="1:5" ht="13">
      <c r="A12321" s="2" t="str">
        <f ca="1">IFERROR(__xludf.DUMMYFUNCTION("""COMPUTED_VALUE"""),"Ortiz, Gabriela")</f>
        <v>Ortiz, Gabriela</v>
      </c>
      <c r="B12321" s="3">
        <f ca="1">IFERROR(__xludf.DUMMYFUNCTION("""COMPUTED_VALUE"""),4)</f>
        <v>4</v>
      </c>
      <c r="C12321" s="7">
        <f ca="1">IFERROR(__xludf.DUMMYFUNCTION("""COMPUTED_VALUE"""),4.2)</f>
        <v>4.2</v>
      </c>
      <c r="D12321" s="8">
        <f ca="1">IFERROR(__xludf.DUMMYFUNCTION("""COMPUTED_VALUE"""),4)</f>
        <v>4</v>
      </c>
      <c r="E12321" s="2">
        <f ca="1">IFERROR(__xludf.DUMMYFUNCTION("""COMPUTED_VALUE"""),1)</f>
        <v>1</v>
      </c>
    </row>
    <row r="12322" spans="1:5" ht="13">
      <c r="A12322" s="2" t="str">
        <f ca="1">IFERROR(__xludf.DUMMYFUNCTION("""COMPUTED_VALUE"""),"Ortiz, Suzzette")</f>
        <v>Ortiz, Suzzette</v>
      </c>
      <c r="B12322" s="2">
        <f ca="1">IFERROR(__xludf.DUMMYFUNCTION("""COMPUTED_VALUE"""),4)</f>
        <v>4</v>
      </c>
      <c r="C12322" s="2">
        <f ca="1">IFERROR(__xludf.DUMMYFUNCTION("""COMPUTED_VALUE"""),4.2)</f>
        <v>4.2</v>
      </c>
      <c r="D12322" s="8">
        <f ca="1">IFERROR(__xludf.DUMMYFUNCTION("""COMPUTED_VALUE"""),4)</f>
        <v>4</v>
      </c>
      <c r="E12322" s="2">
        <f ca="1">IFERROR(__xludf.DUMMYFUNCTION("""COMPUTED_VALUE"""),1)</f>
        <v>1</v>
      </c>
    </row>
    <row r="12323" spans="1:5" ht="13">
      <c r="A12323" s="2" t="str">
        <f ca="1">IFERROR(__xludf.DUMMYFUNCTION("""COMPUTED_VALUE"""),"Ortman, Laura")</f>
        <v>Ortman, Laura</v>
      </c>
      <c r="B12323" s="2">
        <f ca="1">IFERROR(__xludf.DUMMYFUNCTION("""COMPUTED_VALUE"""),4)</f>
        <v>4</v>
      </c>
      <c r="C12323" s="2">
        <f ca="1">IFERROR(__xludf.DUMMYFUNCTION("""COMPUTED_VALUE"""),4.7)</f>
        <v>4.7</v>
      </c>
      <c r="D12323" s="8">
        <f ca="1">IFERROR(__xludf.DUMMYFUNCTION("""COMPUTED_VALUE"""),4)</f>
        <v>4</v>
      </c>
      <c r="E12323" s="2">
        <f ca="1">IFERROR(__xludf.DUMMYFUNCTION("""COMPUTED_VALUE"""),1)</f>
        <v>1</v>
      </c>
    </row>
    <row r="12324" spans="1:5" ht="13">
      <c r="A12324" s="2" t="str">
        <f ca="1">IFERROR(__xludf.DUMMYFUNCTION("""COMPUTED_VALUE"""),"Osterman, Eurydice V.")</f>
        <v>Osterman, Eurydice V.</v>
      </c>
      <c r="B12324" s="3">
        <f ca="1">IFERROR(__xludf.DUMMYFUNCTION("""COMPUTED_VALUE"""),4)</f>
        <v>4</v>
      </c>
      <c r="C12324" s="7">
        <f ca="1">IFERROR(__xludf.DUMMYFUNCTION("""COMPUTED_VALUE"""),4.1)</f>
        <v>4.0999999999999996</v>
      </c>
      <c r="D12324" s="8">
        <f ca="1">IFERROR(__xludf.DUMMYFUNCTION("""COMPUTED_VALUE"""),4)</f>
        <v>4</v>
      </c>
      <c r="E12324" s="2">
        <f ca="1">IFERROR(__xludf.DUMMYFUNCTION("""COMPUTED_VALUE"""),1)</f>
        <v>1</v>
      </c>
    </row>
    <row r="12325" spans="1:5" ht="13">
      <c r="A12325" s="2" t="str">
        <f ca="1">IFERROR(__xludf.DUMMYFUNCTION("""COMPUTED_VALUE"""),"Pagh-Paan, Younghi")</f>
        <v>Pagh-Paan, Younghi</v>
      </c>
      <c r="B12325" s="3">
        <f ca="1">IFERROR(__xludf.DUMMYFUNCTION("""COMPUTED_VALUE"""),4)</f>
        <v>4</v>
      </c>
      <c r="C12325" s="7">
        <f ca="1">IFERROR(__xludf.DUMMYFUNCTION("""COMPUTED_VALUE"""),4.3)</f>
        <v>4.3</v>
      </c>
      <c r="D12325" s="8">
        <f ca="1">IFERROR(__xludf.DUMMYFUNCTION("""COMPUTED_VALUE"""),4)</f>
        <v>4</v>
      </c>
      <c r="E12325" s="2">
        <f ca="1">IFERROR(__xludf.DUMMYFUNCTION("""COMPUTED_VALUE"""),1)</f>
        <v>1</v>
      </c>
    </row>
    <row r="12326" spans="1:5" ht="13">
      <c r="A12326" s="2" t="str">
        <f ca="1">IFERROR(__xludf.DUMMYFUNCTION("""COMPUTED_VALUE"""),"Pai, Te Rangi (Howie, Fanny Rose)")</f>
        <v>Pai, Te Rangi (Howie, Fanny Rose)</v>
      </c>
      <c r="B12326" s="3">
        <f ca="1">IFERROR(__xludf.DUMMYFUNCTION("""COMPUTED_VALUE"""),4)</f>
        <v>4</v>
      </c>
      <c r="C12326" s="7">
        <f ca="1">IFERROR(__xludf.DUMMYFUNCTION("""COMPUTED_VALUE"""),4.6)</f>
        <v>4.5999999999999996</v>
      </c>
      <c r="D12326" s="8">
        <f ca="1">IFERROR(__xludf.DUMMYFUNCTION("""COMPUTED_VALUE"""),8)</f>
        <v>8</v>
      </c>
      <c r="E12326" s="2">
        <f ca="1">IFERROR(__xludf.DUMMYFUNCTION("""COMPUTED_VALUE"""),2)</f>
        <v>2</v>
      </c>
    </row>
    <row r="12327" spans="1:5" ht="13">
      <c r="A12327" s="2" t="str">
        <f ca="1">IFERROR(__xludf.DUMMYFUNCTION("""COMPUTED_VALUE"""),"Pamela Z")</f>
        <v>Pamela Z</v>
      </c>
      <c r="B12327" s="3">
        <f ca="1">IFERROR(__xludf.DUMMYFUNCTION("""COMPUTED_VALUE"""),4)</f>
        <v>4</v>
      </c>
      <c r="C12327" s="7">
        <f ca="1">IFERROR(__xludf.DUMMYFUNCTION("""COMPUTED_VALUE"""),4.1)</f>
        <v>4.0999999999999996</v>
      </c>
      <c r="D12327" s="8">
        <f ca="1">IFERROR(__xludf.DUMMYFUNCTION("""COMPUTED_VALUE"""),4)</f>
        <v>4</v>
      </c>
      <c r="E12327" s="2">
        <f ca="1">IFERROR(__xludf.DUMMYFUNCTION("""COMPUTED_VALUE"""),1)</f>
        <v>1</v>
      </c>
    </row>
    <row r="12328" spans="1:5" ht="13">
      <c r="A12328" s="2" t="str">
        <f ca="1">IFERROR(__xludf.DUMMYFUNCTION("""COMPUTED_VALUE"""),"Pang, Yan")</f>
        <v>Pang, Yan</v>
      </c>
      <c r="B12328" s="3">
        <f ca="1">IFERROR(__xludf.DUMMYFUNCTION("""COMPUTED_VALUE"""),4)</f>
        <v>4</v>
      </c>
      <c r="C12328" s="7">
        <f ca="1">IFERROR(__xludf.DUMMYFUNCTION("""COMPUTED_VALUE"""),4.3)</f>
        <v>4.3</v>
      </c>
      <c r="D12328" s="8">
        <f ca="1">IFERROR(__xludf.DUMMYFUNCTION("""COMPUTED_VALUE"""),4)</f>
        <v>4</v>
      </c>
      <c r="E12328" s="2">
        <f ca="1">IFERROR(__xludf.DUMMYFUNCTION("""COMPUTED_VALUE"""),1)</f>
        <v>1</v>
      </c>
    </row>
    <row r="12329" spans="1:5" ht="13">
      <c r="A12329" s="2" t="str">
        <f ca="1">IFERROR(__xludf.DUMMYFUNCTION("""COMPUTED_VALUE"""),"Paredes, Hilda")</f>
        <v>Paredes, Hilda</v>
      </c>
      <c r="B12329" s="3">
        <f ca="1">IFERROR(__xludf.DUMMYFUNCTION("""COMPUTED_VALUE"""),4)</f>
        <v>4</v>
      </c>
      <c r="C12329" s="7">
        <f ca="1">IFERROR(__xludf.DUMMYFUNCTION("""COMPUTED_VALUE"""),4.2)</f>
        <v>4.2</v>
      </c>
      <c r="D12329" s="8">
        <f ca="1">IFERROR(__xludf.DUMMYFUNCTION("""COMPUTED_VALUE"""),4)</f>
        <v>4</v>
      </c>
      <c r="E12329" s="2">
        <f ca="1">IFERROR(__xludf.DUMMYFUNCTION("""COMPUTED_VALUE"""),1)</f>
        <v>1</v>
      </c>
    </row>
    <row r="12330" spans="1:5" ht="13">
      <c r="A12330" s="8" t="str">
        <f ca="1">IFERROR(__xludf.DUMMYFUNCTION("""COMPUTED_VALUE"""),"Pelka, Valeria")</f>
        <v>Pelka, Valeria</v>
      </c>
      <c r="B12330" s="3">
        <f ca="1">IFERROR(__xludf.DUMMYFUNCTION("""COMPUTED_VALUE"""),4)</f>
        <v>4</v>
      </c>
      <c r="C12330" s="7">
        <f ca="1">IFERROR(__xludf.DUMMYFUNCTION("""COMPUTED_VALUE"""),4.2)</f>
        <v>4.2</v>
      </c>
      <c r="D12330" s="8">
        <f ca="1">IFERROR(__xludf.DUMMYFUNCTION("""COMPUTED_VALUE"""),4)</f>
        <v>4</v>
      </c>
      <c r="E12330" s="2">
        <f ca="1">IFERROR(__xludf.DUMMYFUNCTION("""COMPUTED_VALUE"""),1)</f>
        <v>1</v>
      </c>
    </row>
    <row r="12331" spans="1:5" ht="13">
      <c r="A12331" s="2" t="str">
        <f ca="1">IFERROR(__xludf.DUMMYFUNCTION("""COMPUTED_VALUE"""),"Perry, Julia")</f>
        <v>Perry, Julia</v>
      </c>
      <c r="B12331" s="3">
        <f ca="1">IFERROR(__xludf.DUMMYFUNCTION("""COMPUTED_VALUE"""),4)</f>
        <v>4</v>
      </c>
      <c r="C12331" s="7">
        <f ca="1">IFERROR(__xludf.DUMMYFUNCTION("""COMPUTED_VALUE"""),4.1)</f>
        <v>4.0999999999999996</v>
      </c>
      <c r="D12331" s="8">
        <f ca="1">IFERROR(__xludf.DUMMYFUNCTION("""COMPUTED_VALUE"""),8)</f>
        <v>8</v>
      </c>
      <c r="E12331" s="2">
        <f ca="1">IFERROR(__xludf.DUMMYFUNCTION("""COMPUTED_VALUE"""),2)</f>
        <v>2</v>
      </c>
    </row>
    <row r="12332" spans="1:5" ht="13">
      <c r="A12332" s="8" t="str">
        <f ca="1">IFERROR(__xludf.DUMMYFUNCTION("""COMPUTED_VALUE"""),"Perry, Zenobia Powell")</f>
        <v>Perry, Zenobia Powell</v>
      </c>
      <c r="B12332" s="3">
        <f ca="1">IFERROR(__xludf.DUMMYFUNCTION("""COMPUTED_VALUE"""),4)</f>
        <v>4</v>
      </c>
      <c r="C12332" s="7">
        <f ca="1">IFERROR(__xludf.DUMMYFUNCTION("""COMPUTED_VALUE"""),4.1)</f>
        <v>4.0999999999999996</v>
      </c>
      <c r="D12332" s="8">
        <f ca="1">IFERROR(__xludf.DUMMYFUNCTION("""COMPUTED_VALUE"""),8)</f>
        <v>8</v>
      </c>
      <c r="E12332" s="2">
        <f ca="1">IFERROR(__xludf.DUMMYFUNCTION("""COMPUTED_VALUE"""),2)</f>
        <v>2</v>
      </c>
    </row>
    <row r="12333" spans="1:5" ht="13">
      <c r="A12333" s="2" t="str">
        <f ca="1">IFERROR(__xludf.DUMMYFUNCTION("""COMPUTED_VALUE"""),"Poelinitz, Josephine")</f>
        <v>Poelinitz, Josephine</v>
      </c>
      <c r="B12333" s="3">
        <f ca="1">IFERROR(__xludf.DUMMYFUNCTION("""COMPUTED_VALUE"""),4)</f>
        <v>4</v>
      </c>
      <c r="C12333" s="7">
        <f ca="1">IFERROR(__xludf.DUMMYFUNCTION("""COMPUTED_VALUE"""),4.1)</f>
        <v>4.0999999999999996</v>
      </c>
      <c r="D12333" s="8">
        <f ca="1">IFERROR(__xludf.DUMMYFUNCTION("""COMPUTED_VALUE"""),4)</f>
        <v>4</v>
      </c>
      <c r="E12333" s="2">
        <f ca="1">IFERROR(__xludf.DUMMYFUNCTION("""COMPUTED_VALUE"""),1)</f>
        <v>1</v>
      </c>
    </row>
    <row r="12334" spans="1:5" ht="13">
      <c r="A12334" s="2" t="str">
        <f ca="1">IFERROR(__xludf.DUMMYFUNCTION("""COMPUTED_VALUE"""),"Pon, Nova")</f>
        <v>Pon, Nova</v>
      </c>
      <c r="B12334" s="2">
        <f ca="1">IFERROR(__xludf.DUMMYFUNCTION("""COMPUTED_VALUE"""),4)</f>
        <v>4</v>
      </c>
      <c r="C12334" s="7">
        <f ca="1">IFERROR(__xludf.DUMMYFUNCTION("""COMPUTED_VALUE"""),4.3)</f>
        <v>4.3</v>
      </c>
      <c r="D12334" s="8">
        <f ca="1">IFERROR(__xludf.DUMMYFUNCTION("""COMPUTED_VALUE"""),4)</f>
        <v>4</v>
      </c>
      <c r="E12334" s="2">
        <f ca="1">IFERROR(__xludf.DUMMYFUNCTION("""COMPUTED_VALUE"""),1)</f>
        <v>1</v>
      </c>
    </row>
    <row r="12335" spans="1:5" ht="13">
      <c r="A12335" s="2" t="str">
        <f ca="1">IFERROR(__xludf.DUMMYFUNCTION("""COMPUTED_VALUE"""),"Possetti, Sonia")</f>
        <v>Possetti, Sonia</v>
      </c>
      <c r="B12335" s="2">
        <f ca="1">IFERROR(__xludf.DUMMYFUNCTION("""COMPUTED_VALUE"""),4)</f>
        <v>4</v>
      </c>
      <c r="C12335" s="2">
        <f ca="1">IFERROR(__xludf.DUMMYFUNCTION("""COMPUTED_VALUE"""),4.2)</f>
        <v>4.2</v>
      </c>
      <c r="D12335" s="8">
        <f ca="1">IFERROR(__xludf.DUMMYFUNCTION("""COMPUTED_VALUE"""),4)</f>
        <v>4</v>
      </c>
      <c r="E12335" s="2">
        <f ca="1">IFERROR(__xludf.DUMMYFUNCTION("""COMPUTED_VALUE"""),1)</f>
        <v>1</v>
      </c>
    </row>
    <row r="12336" spans="1:5" ht="13">
      <c r="A12336" s="2" t="str">
        <f ca="1">IFERROR(__xludf.DUMMYFUNCTION("""COMPUTED_VALUE"""),"Powell, Rosephanye")</f>
        <v>Powell, Rosephanye</v>
      </c>
      <c r="B12336" s="3">
        <f ca="1">IFERROR(__xludf.DUMMYFUNCTION("""COMPUTED_VALUE"""),4)</f>
        <v>4</v>
      </c>
      <c r="C12336" s="7">
        <f ca="1">IFERROR(__xludf.DUMMYFUNCTION("""COMPUTED_VALUE"""),4.1)</f>
        <v>4.0999999999999996</v>
      </c>
      <c r="D12336" s="8">
        <f ca="1">IFERROR(__xludf.DUMMYFUNCTION("""COMPUTED_VALUE"""),8)</f>
        <v>8</v>
      </c>
      <c r="E12336" s="2">
        <f ca="1">IFERROR(__xludf.DUMMYFUNCTION("""COMPUTED_VALUE"""),2)</f>
        <v>2</v>
      </c>
    </row>
    <row r="12337" spans="1:5" ht="13">
      <c r="A12337" s="2" t="str">
        <f ca="1">IFERROR(__xludf.DUMMYFUNCTION("""COMPUTED_VALUE"""),"Prendergast, Eleanor Kekoaohiwaikalani Wright")</f>
        <v>Prendergast, Eleanor Kekoaohiwaikalani Wright</v>
      </c>
      <c r="B12337" s="3">
        <f ca="1">IFERROR(__xludf.DUMMYFUNCTION("""COMPUTED_VALUE"""),4)</f>
        <v>4</v>
      </c>
      <c r="C12337" s="7">
        <f ca="1">IFERROR(__xludf.DUMMYFUNCTION("""COMPUTED_VALUE"""),4.6)</f>
        <v>4.5999999999999996</v>
      </c>
      <c r="D12337" s="8">
        <f ca="1">IFERROR(__xludf.DUMMYFUNCTION("""COMPUTED_VALUE"""),8)</f>
        <v>8</v>
      </c>
      <c r="E12337" s="2">
        <f ca="1">IFERROR(__xludf.DUMMYFUNCTION("""COMPUTED_VALUE"""),2)</f>
        <v>2</v>
      </c>
    </row>
    <row r="12338" spans="1:5" ht="13">
      <c r="A12338" s="2" t="str">
        <f ca="1">IFERROR(__xludf.DUMMYFUNCTION("""COMPUTED_VALUE"""),"Price, Florence")</f>
        <v>Price, Florence</v>
      </c>
      <c r="B12338" s="3">
        <f ca="1">IFERROR(__xludf.DUMMYFUNCTION("""COMPUTED_VALUE"""),4)</f>
        <v>4</v>
      </c>
      <c r="C12338" s="7">
        <f ca="1">IFERROR(__xludf.DUMMYFUNCTION("""COMPUTED_VALUE"""),4.1)</f>
        <v>4.0999999999999996</v>
      </c>
      <c r="D12338" s="8">
        <f ca="1">IFERROR(__xludf.DUMMYFUNCTION("""COMPUTED_VALUE"""),8)</f>
        <v>8</v>
      </c>
      <c r="E12338" s="2">
        <f ca="1">IFERROR(__xludf.DUMMYFUNCTION("""COMPUTED_VALUE"""),2)</f>
        <v>2</v>
      </c>
    </row>
    <row r="12339" spans="1:5" ht="13">
      <c r="A12339" s="2" t="str">
        <f ca="1">IFERROR(__xludf.DUMMYFUNCTION("""COMPUTED_VALUE"""),"Price, Florence / Still, William Grant")</f>
        <v>Price, Florence / Still, William Grant</v>
      </c>
      <c r="B12339" s="3">
        <f ca="1">IFERROR(__xludf.DUMMYFUNCTION("""COMPUTED_VALUE"""),4)</f>
        <v>4</v>
      </c>
      <c r="C12339" s="7">
        <f ca="1">IFERROR(__xludf.DUMMYFUNCTION("""COMPUTED_VALUE"""),4.1)</f>
        <v>4.0999999999999996</v>
      </c>
      <c r="D12339" s="8">
        <f ca="1">IFERROR(__xludf.DUMMYFUNCTION("""COMPUTED_VALUE"""),8)</f>
        <v>8</v>
      </c>
      <c r="E12339" s="2">
        <f ca="1">IFERROR(__xludf.DUMMYFUNCTION("""COMPUTED_VALUE"""),2)</f>
        <v>2</v>
      </c>
    </row>
    <row r="12340" spans="1:5" ht="13">
      <c r="A12340" s="2" t="str">
        <f ca="1">IFERROR(__xludf.DUMMYFUNCTION("""COMPUTED_VALUE"""),"Queen Lili'uokalani")</f>
        <v>Queen Lili'uokalani</v>
      </c>
      <c r="B12340" s="3">
        <f ca="1">IFERROR(__xludf.DUMMYFUNCTION("""COMPUTED_VALUE"""),4)</f>
        <v>4</v>
      </c>
      <c r="C12340" s="7">
        <f ca="1">IFERROR(__xludf.DUMMYFUNCTION("""COMPUTED_VALUE"""),4.7)</f>
        <v>4.7</v>
      </c>
      <c r="D12340" s="8">
        <f ca="1">IFERROR(__xludf.DUMMYFUNCTION("""COMPUTED_VALUE"""),8)</f>
        <v>8</v>
      </c>
      <c r="E12340" s="2">
        <f ca="1">IFERROR(__xludf.DUMMYFUNCTION("""COMPUTED_VALUE"""),2)</f>
        <v>2</v>
      </c>
    </row>
    <row r="12341" spans="1:5" ht="13">
      <c r="A12341" s="2" t="str">
        <f ca="1">IFERROR(__xludf.DUMMYFUNCTION("""COMPUTED_VALUE"""),"Rajasekar, Shruthi")</f>
        <v>Rajasekar, Shruthi</v>
      </c>
      <c r="B12341" s="3">
        <f ca="1">IFERROR(__xludf.DUMMYFUNCTION("""COMPUTED_VALUE"""),4)</f>
        <v>4</v>
      </c>
      <c r="C12341" s="7">
        <f ca="1">IFERROR(__xludf.DUMMYFUNCTION("""COMPUTED_VALUE"""),4.4)</f>
        <v>4.4000000000000004</v>
      </c>
      <c r="D12341" s="8">
        <f ca="1">IFERROR(__xludf.DUMMYFUNCTION("""COMPUTED_VALUE"""),4)</f>
        <v>4</v>
      </c>
      <c r="E12341" s="2">
        <f ca="1">IFERROR(__xludf.DUMMYFUNCTION("""COMPUTED_VALUE"""),1)</f>
        <v>1</v>
      </c>
    </row>
    <row r="12342" spans="1:5" ht="13">
      <c r="A12342" s="2" t="str">
        <f ca="1">IFERROR(__xludf.DUMMYFUNCTION("""COMPUTED_VALUE"""),"Ramachandran, Manjula")</f>
        <v>Ramachandran, Manjula</v>
      </c>
      <c r="B12342" s="3">
        <f ca="1">IFERROR(__xludf.DUMMYFUNCTION("""COMPUTED_VALUE"""),4)</f>
        <v>4</v>
      </c>
      <c r="C12342" s="7">
        <f ca="1">IFERROR(__xludf.DUMMYFUNCTION("""COMPUTED_VALUE"""),4.4)</f>
        <v>4.4000000000000004</v>
      </c>
      <c r="D12342" s="8">
        <f ca="1">IFERROR(__xludf.DUMMYFUNCTION("""COMPUTED_VALUE"""),4)</f>
        <v>4</v>
      </c>
      <c r="E12342" s="2">
        <f ca="1">IFERROR(__xludf.DUMMYFUNCTION("""COMPUTED_VALUE"""),1)</f>
        <v>1</v>
      </c>
    </row>
    <row r="12343" spans="1:5" ht="13">
      <c r="A12343" s="2" t="str">
        <f ca="1">IFERROR(__xludf.DUMMYFUNCTION("""COMPUTED_VALUE"""),"Ramos Triano, Gloria-Isabel")</f>
        <v>Ramos Triano, Gloria-Isabel</v>
      </c>
      <c r="B12343" s="3">
        <f ca="1">IFERROR(__xludf.DUMMYFUNCTION("""COMPUTED_VALUE"""),4)</f>
        <v>4</v>
      </c>
      <c r="C12343" s="7">
        <f ca="1">IFERROR(__xludf.DUMMYFUNCTION("""COMPUTED_VALUE"""),4.2)</f>
        <v>4.2</v>
      </c>
      <c r="D12343" s="8">
        <f ca="1">IFERROR(__xludf.DUMMYFUNCTION("""COMPUTED_VALUE"""),4)</f>
        <v>4</v>
      </c>
      <c r="E12343" s="2">
        <f ca="1">IFERROR(__xludf.DUMMYFUNCTION("""COMPUTED_VALUE"""),1)</f>
        <v>1</v>
      </c>
    </row>
    <row r="12344" spans="1:5" ht="13">
      <c r="A12344" s="2" t="str">
        <f ca="1">IFERROR(__xludf.DUMMYFUNCTION("""COMPUTED_VALUE"""),"Ran, Shulamit")</f>
        <v>Ran, Shulamit</v>
      </c>
      <c r="B12344" s="3">
        <f ca="1">IFERROR(__xludf.DUMMYFUNCTION("""COMPUTED_VALUE"""),4)</f>
        <v>4</v>
      </c>
      <c r="C12344" s="7">
        <f ca="1">IFERROR(__xludf.DUMMYFUNCTION("""COMPUTED_VALUE"""),4.5)</f>
        <v>4.5</v>
      </c>
      <c r="D12344" s="8">
        <f ca="1">IFERROR(__xludf.DUMMYFUNCTION("""COMPUTED_VALUE"""),4)</f>
        <v>4</v>
      </c>
      <c r="E12344" s="2">
        <f ca="1">IFERROR(__xludf.DUMMYFUNCTION("""COMPUTED_VALUE"""),1)</f>
        <v>1</v>
      </c>
    </row>
    <row r="12345" spans="1:5" ht="13">
      <c r="A12345" s="2" t="str">
        <f ca="1">IFERROR(__xludf.DUMMYFUNCTION("""COMPUTED_VALUE"""),"Razaz, Gity")</f>
        <v>Razaz, Gity</v>
      </c>
      <c r="B12345" s="3">
        <f ca="1">IFERROR(__xludf.DUMMYFUNCTION("""COMPUTED_VALUE"""),4)</f>
        <v>4</v>
      </c>
      <c r="C12345" s="7">
        <f ca="1">IFERROR(__xludf.DUMMYFUNCTION("""COMPUTED_VALUE"""),4.5)</f>
        <v>4.5</v>
      </c>
      <c r="D12345" s="8">
        <f ca="1">IFERROR(__xludf.DUMMYFUNCTION("""COMPUTED_VALUE"""),4)</f>
        <v>4</v>
      </c>
      <c r="E12345" s="2">
        <f ca="1">IFERROR(__xludf.DUMMYFUNCTION("""COMPUTED_VALUE"""),1)</f>
        <v>1</v>
      </c>
    </row>
    <row r="12346" spans="1:5" ht="13">
      <c r="A12346" s="2" t="str">
        <f ca="1">IFERROR(__xludf.DUMMYFUNCTION("""COMPUTED_VALUE"""),"Reid, Tomeka")</f>
        <v>Reid, Tomeka</v>
      </c>
      <c r="B12346" s="3">
        <f ca="1">IFERROR(__xludf.DUMMYFUNCTION("""COMPUTED_VALUE"""),4)</f>
        <v>4</v>
      </c>
      <c r="C12346" s="7">
        <f ca="1">IFERROR(__xludf.DUMMYFUNCTION("""COMPUTED_VALUE"""),4.1)</f>
        <v>4.0999999999999996</v>
      </c>
      <c r="D12346" s="8">
        <f ca="1">IFERROR(__xludf.DUMMYFUNCTION("""COMPUTED_VALUE"""),4)</f>
        <v>4</v>
      </c>
      <c r="E12346" s="2">
        <f ca="1">IFERROR(__xludf.DUMMYFUNCTION("""COMPUTED_VALUE"""),1)</f>
        <v>1</v>
      </c>
    </row>
    <row r="12347" spans="1:5" ht="13">
      <c r="A12347" s="2" t="str">
        <f ca="1">IFERROR(__xludf.DUMMYFUNCTION("""COMPUTED_VALUE"""),"Reina, Felix")</f>
        <v>Reina, Felix</v>
      </c>
      <c r="B12347" s="3">
        <f ca="1">IFERROR(__xludf.DUMMYFUNCTION("""COMPUTED_VALUE"""),4)</f>
        <v>4</v>
      </c>
      <c r="C12347" s="7">
        <f ca="1">IFERROR(__xludf.DUMMYFUNCTION("""COMPUTED_VALUE"""),4.2)</f>
        <v>4.2</v>
      </c>
      <c r="D12347" s="8">
        <f ca="1">IFERROR(__xludf.DUMMYFUNCTION("""COMPUTED_VALUE"""),8)</f>
        <v>8</v>
      </c>
      <c r="E12347" s="2">
        <f ca="1">IFERROR(__xludf.DUMMYFUNCTION("""COMPUTED_VALUE"""),2)</f>
        <v>2</v>
      </c>
    </row>
    <row r="12348" spans="1:5" ht="13">
      <c r="A12348" s="2" t="str">
        <f ca="1">IFERROR(__xludf.DUMMYFUNCTION("""COMPUTED_VALUE"""),"Rejesekar, Shruthi")</f>
        <v>Rejesekar, Shruthi</v>
      </c>
      <c r="B12348" s="2">
        <f ca="1">IFERROR(__xludf.DUMMYFUNCTION("""COMPUTED_VALUE"""),4)</f>
        <v>4</v>
      </c>
      <c r="C12348" s="7">
        <f ca="1">IFERROR(__xludf.DUMMYFUNCTION("""COMPUTED_VALUE"""),4.4)</f>
        <v>4.4000000000000004</v>
      </c>
      <c r="D12348" s="8">
        <f ca="1">IFERROR(__xludf.DUMMYFUNCTION("""COMPUTED_VALUE"""),4)</f>
        <v>4</v>
      </c>
      <c r="E12348" s="2">
        <f ca="1">IFERROR(__xludf.DUMMYFUNCTION("""COMPUTED_VALUE"""),1)</f>
        <v>1</v>
      </c>
    </row>
    <row r="12349" spans="1:5" ht="13">
      <c r="A12349" s="2" t="str">
        <f ca="1">IFERROR(__xludf.DUMMYFUNCTION("""COMPUTED_VALUE"""),"Rexach, Sylvia")</f>
        <v>Rexach, Sylvia</v>
      </c>
      <c r="B12349" s="3">
        <f ca="1">IFERROR(__xludf.DUMMYFUNCTION("""COMPUTED_VALUE"""),4)</f>
        <v>4</v>
      </c>
      <c r="C12349" s="7">
        <f ca="1">IFERROR(__xludf.DUMMYFUNCTION("""COMPUTED_VALUE"""),4.2)</f>
        <v>4.2</v>
      </c>
      <c r="D12349" s="8">
        <f ca="1">IFERROR(__xludf.DUMMYFUNCTION("""COMPUTED_VALUE"""),8)</f>
        <v>8</v>
      </c>
      <c r="E12349" s="2">
        <f ca="1">IFERROR(__xludf.DUMMYFUNCTION("""COMPUTED_VALUE"""),2)</f>
        <v>2</v>
      </c>
    </row>
    <row r="12350" spans="1:5" ht="13">
      <c r="A12350" s="2" t="str">
        <f ca="1">IFERROR(__xludf.DUMMYFUNCTION("""COMPUTED_VALUE"""),"Rhie, Kay Kyurim")</f>
        <v>Rhie, Kay Kyurim</v>
      </c>
      <c r="B12350" s="3">
        <f ca="1">IFERROR(__xludf.DUMMYFUNCTION("""COMPUTED_VALUE"""),4)</f>
        <v>4</v>
      </c>
      <c r="C12350" s="7">
        <f ca="1">IFERROR(__xludf.DUMMYFUNCTION("""COMPUTED_VALUE"""),4.3)</f>
        <v>4.3</v>
      </c>
      <c r="D12350" s="8">
        <f ca="1">IFERROR(__xludf.DUMMYFUNCTION("""COMPUTED_VALUE"""),4)</f>
        <v>4</v>
      </c>
      <c r="E12350" s="2">
        <f ca="1">IFERROR(__xludf.DUMMYFUNCTION("""COMPUTED_VALUE"""),1)</f>
        <v>1</v>
      </c>
    </row>
    <row r="12351" spans="1:5" ht="13">
      <c r="A12351" s="8" t="str">
        <f ca="1">IFERROR(__xludf.DUMMYFUNCTION("""COMPUTED_VALUE"""),"Robinson, Siobhan Cassidy")</f>
        <v>Robinson, Siobhan Cassidy</v>
      </c>
      <c r="B12351" s="3">
        <f ca="1">IFERROR(__xludf.DUMMYFUNCTION("""COMPUTED_VALUE"""),4)</f>
        <v>4</v>
      </c>
      <c r="C12351" s="7">
        <f ca="1">IFERROR(__xludf.DUMMYFUNCTION("""COMPUTED_VALUE"""),4.1)</f>
        <v>4.0999999999999996</v>
      </c>
      <c r="D12351" s="8">
        <f ca="1">IFERROR(__xludf.DUMMYFUNCTION("""COMPUTED_VALUE"""),4)</f>
        <v>4</v>
      </c>
      <c r="E12351" s="2">
        <f ca="1">IFERROR(__xludf.DUMMYFUNCTION("""COMPUTED_VALUE"""),1)</f>
        <v>1</v>
      </c>
    </row>
    <row r="12352" spans="1:5" ht="13">
      <c r="A12352" s="2" t="str">
        <f ca="1">IFERROR(__xludf.DUMMYFUNCTION("""COMPUTED_VALUE"""),"Robles, Zanaida")</f>
        <v>Robles, Zanaida</v>
      </c>
      <c r="B12352" s="2">
        <f ca="1">IFERROR(__xludf.DUMMYFUNCTION("""COMPUTED_VALUE"""),4)</f>
        <v>4</v>
      </c>
      <c r="C12352" s="7">
        <f ca="1">IFERROR(__xludf.DUMMYFUNCTION("""COMPUTED_VALUE"""),4.1)</f>
        <v>4.0999999999999996</v>
      </c>
      <c r="D12352" s="8">
        <f ca="1">IFERROR(__xludf.DUMMYFUNCTION("""COMPUTED_VALUE"""),4)</f>
        <v>4</v>
      </c>
      <c r="E12352" s="2">
        <f ca="1">IFERROR(__xludf.DUMMYFUNCTION("""COMPUTED_VALUE"""),1)</f>
        <v>1</v>
      </c>
    </row>
    <row r="12353" spans="1:5" ht="13">
      <c r="A12353" s="2" t="str">
        <f ca="1">IFERROR(__xludf.DUMMYFUNCTION("""COMPUTED_VALUE"""),"Rodríguez, Ivette Herryman")</f>
        <v>Rodríguez, Ivette Herryman</v>
      </c>
      <c r="B12353" s="3">
        <f ca="1">IFERROR(__xludf.DUMMYFUNCTION("""COMPUTED_VALUE"""),4)</f>
        <v>4</v>
      </c>
      <c r="C12353" s="7">
        <f ca="1">IFERROR(__xludf.DUMMYFUNCTION("""COMPUTED_VALUE"""),4.2)</f>
        <v>4.2</v>
      </c>
      <c r="D12353" s="8">
        <f ca="1">IFERROR(__xludf.DUMMYFUNCTION("""COMPUTED_VALUE"""),4)</f>
        <v>4</v>
      </c>
      <c r="E12353" s="2">
        <f ca="1">IFERROR(__xludf.DUMMYFUNCTION("""COMPUTED_VALUE"""),1)</f>
        <v>1</v>
      </c>
    </row>
    <row r="12354" spans="1:5" ht="13">
      <c r="A12354" s="2" t="str">
        <f ca="1">IFERROR(__xludf.DUMMYFUNCTION("""COMPUTED_VALUE"""),"Rushen, Patrice")</f>
        <v>Rushen, Patrice</v>
      </c>
      <c r="B12354" s="3">
        <f ca="1">IFERROR(__xludf.DUMMYFUNCTION("""COMPUTED_VALUE"""),4)</f>
        <v>4</v>
      </c>
      <c r="C12354" s="7">
        <f ca="1">IFERROR(__xludf.DUMMYFUNCTION("""COMPUTED_VALUE"""),4.1)</f>
        <v>4.0999999999999996</v>
      </c>
      <c r="D12354" s="8">
        <f ca="1">IFERROR(__xludf.DUMMYFUNCTION("""COMPUTED_VALUE"""),4)</f>
        <v>4</v>
      </c>
      <c r="E12354" s="2">
        <f ca="1">IFERROR(__xludf.DUMMYFUNCTION("""COMPUTED_VALUE"""),1)</f>
        <v>1</v>
      </c>
    </row>
    <row r="12355" spans="1:5" ht="13">
      <c r="A12355" s="2" t="str">
        <f ca="1">IFERROR(__xludf.DUMMYFUNCTION("""COMPUTED_VALUE"""),"Sabet, Parisa")</f>
        <v>Sabet, Parisa</v>
      </c>
      <c r="B12355" s="2">
        <f ca="1">IFERROR(__xludf.DUMMYFUNCTION("""COMPUTED_VALUE"""),4)</f>
        <v>4</v>
      </c>
      <c r="C12355" s="7">
        <f ca="1">IFERROR(__xludf.DUMMYFUNCTION("""COMPUTED_VALUE"""),4.5)</f>
        <v>4.5</v>
      </c>
      <c r="D12355" s="8">
        <f ca="1">IFERROR(__xludf.DUMMYFUNCTION("""COMPUTED_VALUE"""),4)</f>
        <v>4</v>
      </c>
      <c r="E12355" s="2">
        <f ca="1">IFERROR(__xludf.DUMMYFUNCTION("""COMPUTED_VALUE"""),1)</f>
        <v>1</v>
      </c>
    </row>
    <row r="12356" spans="1:5" ht="13">
      <c r="A12356" s="2" t="str">
        <f ca="1">IFERROR(__xludf.DUMMYFUNCTION("""COMPUTED_VALUE"""),"Saez, Diana V.")</f>
        <v>Saez, Diana V.</v>
      </c>
      <c r="B12356" s="3">
        <f ca="1">IFERROR(__xludf.DUMMYFUNCTION("""COMPUTED_VALUE"""),4)</f>
        <v>4</v>
      </c>
      <c r="C12356" s="7">
        <f ca="1">IFERROR(__xludf.DUMMYFUNCTION("""COMPUTED_VALUE"""),4.2)</f>
        <v>4.2</v>
      </c>
      <c r="D12356" s="8">
        <f ca="1">IFERROR(__xludf.DUMMYFUNCTION("""COMPUTED_VALUE"""),4)</f>
        <v>4</v>
      </c>
      <c r="E12356" s="2">
        <f ca="1">IFERROR(__xludf.DUMMYFUNCTION("""COMPUTED_VALUE"""),1)</f>
        <v>1</v>
      </c>
    </row>
    <row r="12357" spans="1:5" ht="13">
      <c r="A12357" s="8" t="str">
        <f ca="1">IFERROR(__xludf.DUMMYFUNCTION("""COMPUTED_VALUE"""),"Sankaram, Kamala")</f>
        <v>Sankaram, Kamala</v>
      </c>
      <c r="B12357" s="3">
        <f ca="1">IFERROR(__xludf.DUMMYFUNCTION("""COMPUTED_VALUE"""),4)</f>
        <v>4</v>
      </c>
      <c r="C12357" s="7">
        <f ca="1">IFERROR(__xludf.DUMMYFUNCTION("""COMPUTED_VALUE"""),4.4)</f>
        <v>4.4000000000000004</v>
      </c>
      <c r="D12357" s="8">
        <f ca="1">IFERROR(__xludf.DUMMYFUNCTION("""COMPUTED_VALUE"""),4)</f>
        <v>4</v>
      </c>
      <c r="E12357" s="2">
        <f ca="1">IFERROR(__xludf.DUMMYFUNCTION("""COMPUTED_VALUE"""),1)</f>
        <v>1</v>
      </c>
    </row>
    <row r="12358" spans="1:5" ht="13">
      <c r="A12358" s="2" t="str">
        <f ca="1">IFERROR(__xludf.DUMMYFUNCTION("""COMPUTED_VALUE"""),"Sasaki, Miho")</f>
        <v>Sasaki, Miho</v>
      </c>
      <c r="B12358" s="3">
        <f ca="1">IFERROR(__xludf.DUMMYFUNCTION("""COMPUTED_VALUE"""),4)</f>
        <v>4</v>
      </c>
      <c r="C12358" s="7">
        <f ca="1">IFERROR(__xludf.DUMMYFUNCTION("""COMPUTED_VALUE"""),4.3)</f>
        <v>4.3</v>
      </c>
      <c r="D12358" s="8">
        <f ca="1">IFERROR(__xludf.DUMMYFUNCTION("""COMPUTED_VALUE"""),4)</f>
        <v>4</v>
      </c>
      <c r="E12358" s="2">
        <f ca="1">IFERROR(__xludf.DUMMYFUNCTION("""COMPUTED_VALUE"""),1)</f>
        <v>1</v>
      </c>
    </row>
    <row r="12359" spans="1:5" ht="13">
      <c r="A12359" s="2" t="str">
        <f ca="1">IFERROR(__xludf.DUMMYFUNCTION("""COMPUTED_VALUE"""),"Saz, Leyla")</f>
        <v>Saz, Leyla</v>
      </c>
      <c r="B12359" s="2">
        <f ca="1">IFERROR(__xludf.DUMMYFUNCTION("""COMPUTED_VALUE"""),4)</f>
        <v>4</v>
      </c>
      <c r="C12359" s="7">
        <f ca="1">IFERROR(__xludf.DUMMYFUNCTION("""COMPUTED_VALUE"""),4.5)</f>
        <v>4.5</v>
      </c>
      <c r="D12359" s="8">
        <f ca="1">IFERROR(__xludf.DUMMYFUNCTION("""COMPUTED_VALUE"""),8)</f>
        <v>8</v>
      </c>
      <c r="E12359" s="2">
        <f ca="1">IFERROR(__xludf.DUMMYFUNCTION("""COMPUTED_VALUE"""),2)</f>
        <v>2</v>
      </c>
    </row>
    <row r="12360" spans="1:5" ht="13">
      <c r="A12360" s="2" t="str">
        <f ca="1">IFERROR(__xludf.DUMMYFUNCTION("""COMPUTED_VALUE"""),"Seo, Juri")</f>
        <v>Seo, Juri</v>
      </c>
      <c r="B12360" s="2">
        <f ca="1">IFERROR(__xludf.DUMMYFUNCTION("""COMPUTED_VALUE"""),4)</f>
        <v>4</v>
      </c>
      <c r="C12360" s="2">
        <f ca="1">IFERROR(__xludf.DUMMYFUNCTION("""COMPUTED_VALUE"""),4.3)</f>
        <v>4.3</v>
      </c>
      <c r="D12360" s="8">
        <f ca="1">IFERROR(__xludf.DUMMYFUNCTION("""COMPUTED_VALUE"""),4)</f>
        <v>4</v>
      </c>
      <c r="E12360" s="2">
        <f ca="1">IFERROR(__xludf.DUMMYFUNCTION("""COMPUTED_VALUE"""),1)</f>
        <v>1</v>
      </c>
    </row>
    <row r="12361" spans="1:5" ht="13">
      <c r="A12361" s="2" t="str">
        <f ca="1">IFERROR(__xludf.DUMMYFUNCTION("""COMPUTED_VALUE"""),"Shankar, Anoushka")</f>
        <v>Shankar, Anoushka</v>
      </c>
      <c r="B12361" s="3">
        <f ca="1">IFERROR(__xludf.DUMMYFUNCTION("""COMPUTED_VALUE"""),4)</f>
        <v>4</v>
      </c>
      <c r="C12361" s="7">
        <f ca="1">IFERROR(__xludf.DUMMYFUNCTION("""COMPUTED_VALUE"""),4.4)</f>
        <v>4.4000000000000004</v>
      </c>
      <c r="D12361" s="8">
        <f ca="1">IFERROR(__xludf.DUMMYFUNCTION("""COMPUTED_VALUE"""),4)</f>
        <v>4</v>
      </c>
      <c r="E12361" s="2">
        <f ca="1">IFERROR(__xludf.DUMMYFUNCTION("""COMPUTED_VALUE"""),1)</f>
        <v>1</v>
      </c>
    </row>
    <row r="12362" spans="1:5" ht="13">
      <c r="A12362" s="2" t="str">
        <f ca="1">IFERROR(__xludf.DUMMYFUNCTION("""COMPUTED_VALUE"""),"Shekhar, Nina")</f>
        <v>Shekhar, Nina</v>
      </c>
      <c r="B12362" s="3">
        <f ca="1">IFERROR(__xludf.DUMMYFUNCTION("""COMPUTED_VALUE"""),4)</f>
        <v>4</v>
      </c>
      <c r="C12362" s="7">
        <f ca="1">IFERROR(__xludf.DUMMYFUNCTION("""COMPUTED_VALUE"""),4.5)</f>
        <v>4.5</v>
      </c>
      <c r="D12362" s="8">
        <f ca="1">IFERROR(__xludf.DUMMYFUNCTION("""COMPUTED_VALUE"""),4)</f>
        <v>4</v>
      </c>
      <c r="E12362" s="2">
        <f ca="1">IFERROR(__xludf.DUMMYFUNCTION("""COMPUTED_VALUE"""),1)</f>
        <v>1</v>
      </c>
    </row>
    <row r="12363" spans="1:5" ht="13">
      <c r="A12363" s="2" t="str">
        <f ca="1">IFERROR(__xludf.DUMMYFUNCTION("""COMPUTED_VALUE"""),"Shemer, Naomi")</f>
        <v>Shemer, Naomi</v>
      </c>
      <c r="B12363" s="3">
        <f ca="1">IFERROR(__xludf.DUMMYFUNCTION("""COMPUTED_VALUE"""),4)</f>
        <v>4</v>
      </c>
      <c r="C12363" s="7">
        <f ca="1">IFERROR(__xludf.DUMMYFUNCTION("""COMPUTED_VALUE"""),4.5)</f>
        <v>4.5</v>
      </c>
      <c r="D12363" s="8">
        <f ca="1">IFERROR(__xludf.DUMMYFUNCTION("""COMPUTED_VALUE"""),4)</f>
        <v>4</v>
      </c>
      <c r="E12363" s="2">
        <f ca="1">IFERROR(__xludf.DUMMYFUNCTION("""COMPUTED_VALUE"""),1)</f>
        <v>1</v>
      </c>
    </row>
    <row r="12364" spans="1:5" ht="13">
      <c r="A12364" s="2" t="str">
        <f ca="1">IFERROR(__xludf.DUMMYFUNCTION("""COMPUTED_VALUE"""),"Sheriff, Ella")</f>
        <v>Sheriff, Ella</v>
      </c>
      <c r="B12364" s="3">
        <f ca="1">IFERROR(__xludf.DUMMYFUNCTION("""COMPUTED_VALUE"""),4)</f>
        <v>4</v>
      </c>
      <c r="C12364" s="7">
        <f ca="1">IFERROR(__xludf.DUMMYFUNCTION("""COMPUTED_VALUE"""),4.5)</f>
        <v>4.5</v>
      </c>
      <c r="D12364" s="8">
        <f ca="1">IFERROR(__xludf.DUMMYFUNCTION("""COMPUTED_VALUE"""),4)</f>
        <v>4</v>
      </c>
      <c r="E12364" s="2">
        <f ca="1">IFERROR(__xludf.DUMMYFUNCTION("""COMPUTED_VALUE"""),1)</f>
        <v>1</v>
      </c>
    </row>
    <row r="12365" spans="1:5" ht="13">
      <c r="A12365" s="2" t="str">
        <f ca="1">IFERROR(__xludf.DUMMYFUNCTION("""COMPUTED_VALUE"""),"Shimomura, Yoko")</f>
        <v>Shimomura, Yoko</v>
      </c>
      <c r="B12365" s="3">
        <f ca="1">IFERROR(__xludf.DUMMYFUNCTION("""COMPUTED_VALUE"""),4)</f>
        <v>4</v>
      </c>
      <c r="C12365" s="7">
        <f ca="1">IFERROR(__xludf.DUMMYFUNCTION("""COMPUTED_VALUE"""),4.3)</f>
        <v>4.3</v>
      </c>
      <c r="D12365" s="8">
        <f ca="1">IFERROR(__xludf.DUMMYFUNCTION("""COMPUTED_VALUE"""),4)</f>
        <v>4</v>
      </c>
      <c r="E12365" s="2">
        <f ca="1">IFERROR(__xludf.DUMMYFUNCTION("""COMPUTED_VALUE"""),1)</f>
        <v>1</v>
      </c>
    </row>
    <row r="12366" spans="1:5" ht="13">
      <c r="A12366" s="2" t="str">
        <f ca="1">IFERROR(__xludf.DUMMYFUNCTION("""COMPUTED_VALUE"""),"Shuying Li")</f>
        <v>Shuying Li</v>
      </c>
      <c r="B12366" s="3">
        <f ca="1">IFERROR(__xludf.DUMMYFUNCTION("""COMPUTED_VALUE"""),4)</f>
        <v>4</v>
      </c>
      <c r="C12366" s="7">
        <f ca="1">IFERROR(__xludf.DUMMYFUNCTION("""COMPUTED_VALUE"""),4.3)</f>
        <v>4.3</v>
      </c>
      <c r="D12366" s="8">
        <f ca="1">IFERROR(__xludf.DUMMYFUNCTION("""COMPUTED_VALUE"""),4)</f>
        <v>4</v>
      </c>
      <c r="E12366" s="2">
        <f ca="1">IFERROR(__xludf.DUMMYFUNCTION("""COMPUTED_VALUE"""),1)</f>
        <v>1</v>
      </c>
    </row>
    <row r="12367" spans="1:5" ht="13">
      <c r="A12367" s="2" t="str">
        <f ca="1">IFERROR(__xludf.DUMMYFUNCTION("""COMPUTED_VALUE"""),"Sihyun Uhm")</f>
        <v>Sihyun Uhm</v>
      </c>
      <c r="B12367" s="3">
        <f ca="1">IFERROR(__xludf.DUMMYFUNCTION("""COMPUTED_VALUE"""),4)</f>
        <v>4</v>
      </c>
      <c r="C12367" s="7">
        <f ca="1">IFERROR(__xludf.DUMMYFUNCTION("""COMPUTED_VALUE"""),4.3)</f>
        <v>4.3</v>
      </c>
      <c r="D12367" s="8">
        <f ca="1">IFERROR(__xludf.DUMMYFUNCTION("""COMPUTED_VALUE"""),4)</f>
        <v>4</v>
      </c>
      <c r="E12367" s="2">
        <f ca="1">IFERROR(__xludf.DUMMYFUNCTION("""COMPUTED_VALUE"""),1)</f>
        <v>1</v>
      </c>
    </row>
    <row r="12368" spans="1:5" ht="13">
      <c r="A12368" s="2" t="str">
        <f ca="1">IFERROR(__xludf.DUMMYFUNCTION("""COMPUTED_VALUE"""),"Silvina, Sol")</f>
        <v>Silvina, Sol</v>
      </c>
      <c r="B12368" s="3">
        <f ca="1">IFERROR(__xludf.DUMMYFUNCTION("""COMPUTED_VALUE"""),4)</f>
        <v>4</v>
      </c>
      <c r="C12368" s="7">
        <f ca="1">IFERROR(__xludf.DUMMYFUNCTION("""COMPUTED_VALUE"""),4.2)</f>
        <v>4.2</v>
      </c>
      <c r="D12368" s="8">
        <f ca="1">IFERROR(__xludf.DUMMYFUNCTION("""COMPUTED_VALUE"""),4)</f>
        <v>4</v>
      </c>
      <c r="E12368" s="2">
        <f ca="1">IFERROR(__xludf.DUMMYFUNCTION("""COMPUTED_VALUE"""),1)</f>
        <v>1</v>
      </c>
    </row>
    <row r="12369" spans="1:5" ht="13">
      <c r="A12369" s="2" t="str">
        <f ca="1">IFERROR(__xludf.DUMMYFUNCTION("""COMPUTED_VALUE"""),"Simms, Patsy")</f>
        <v>Simms, Patsy</v>
      </c>
      <c r="B12369" s="3">
        <f ca="1">IFERROR(__xludf.DUMMYFUNCTION("""COMPUTED_VALUE"""),4)</f>
        <v>4</v>
      </c>
      <c r="C12369" s="7">
        <f ca="1">IFERROR(__xludf.DUMMYFUNCTION("""COMPUTED_VALUE"""),4.1)</f>
        <v>4.0999999999999996</v>
      </c>
      <c r="D12369" s="8">
        <f ca="1">IFERROR(__xludf.DUMMYFUNCTION("""COMPUTED_VALUE"""),8)</f>
        <v>8</v>
      </c>
      <c r="E12369" s="2">
        <f ca="1">IFERROR(__xludf.DUMMYFUNCTION("""COMPUTED_VALUE"""),2)</f>
        <v>2</v>
      </c>
    </row>
    <row r="12370" spans="1:5" ht="13">
      <c r="A12370" s="8" t="str">
        <f ca="1">IFERROR(__xludf.DUMMYFUNCTION("""COMPUTED_VALUE"""),"Simone, Nina")</f>
        <v>Simone, Nina</v>
      </c>
      <c r="B12370" s="3">
        <f ca="1">IFERROR(__xludf.DUMMYFUNCTION("""COMPUTED_VALUE"""),4)</f>
        <v>4</v>
      </c>
      <c r="C12370" s="7">
        <f ca="1">IFERROR(__xludf.DUMMYFUNCTION("""COMPUTED_VALUE"""),4.1)</f>
        <v>4.0999999999999996</v>
      </c>
      <c r="D12370" s="8">
        <f ca="1">IFERROR(__xludf.DUMMYFUNCTION("""COMPUTED_VALUE"""),8)</f>
        <v>8</v>
      </c>
      <c r="E12370" s="2">
        <f ca="1">IFERROR(__xludf.DUMMYFUNCTION("""COMPUTED_VALUE"""),2)</f>
        <v>2</v>
      </c>
    </row>
    <row r="12371" spans="1:5" ht="13">
      <c r="A12371" s="8" t="str">
        <f ca="1">IFERROR(__xludf.DUMMYFUNCTION("""COMPUTED_VALUE"""),"Simpson, India.Arie")</f>
        <v>Simpson, India.Arie</v>
      </c>
      <c r="B12371" s="3">
        <f ca="1">IFERROR(__xludf.DUMMYFUNCTION("""COMPUTED_VALUE"""),4)</f>
        <v>4</v>
      </c>
      <c r="C12371" s="7">
        <f ca="1">IFERROR(__xludf.DUMMYFUNCTION("""COMPUTED_VALUE"""),4.1)</f>
        <v>4.0999999999999996</v>
      </c>
      <c r="D12371" s="8">
        <f ca="1">IFERROR(__xludf.DUMMYFUNCTION("""COMPUTED_VALUE"""),4)</f>
        <v>4</v>
      </c>
      <c r="E12371" s="2">
        <f ca="1">IFERROR(__xludf.DUMMYFUNCTION("""COMPUTED_VALUE"""),1)</f>
        <v>1</v>
      </c>
    </row>
    <row r="12372" spans="1:5" ht="13">
      <c r="A12372" s="2" t="str">
        <f ca="1">IFERROR(__xludf.DUMMYFUNCTION("""COMPUTED_VALUE"""),"Simpson, Mary")</f>
        <v>Simpson, Mary</v>
      </c>
      <c r="B12372" s="3">
        <f ca="1">IFERROR(__xludf.DUMMYFUNCTION("""COMPUTED_VALUE"""),4)</f>
        <v>4</v>
      </c>
      <c r="C12372" s="7">
        <f ca="1">IFERROR(__xludf.DUMMYFUNCTION("""COMPUTED_VALUE"""),4.8)</f>
        <v>4.8</v>
      </c>
      <c r="D12372" s="8">
        <f ca="1">IFERROR(__xludf.DUMMYFUNCTION("""COMPUTED_VALUE"""),4)</f>
        <v>4</v>
      </c>
      <c r="E12372" s="2">
        <f ca="1">IFERROR(__xludf.DUMMYFUNCTION("""COMPUTED_VALUE"""),1)</f>
        <v>1</v>
      </c>
    </row>
    <row r="12373" spans="1:5" ht="13">
      <c r="A12373" s="2" t="str">
        <f ca="1">IFERROR(__xludf.DUMMYFUNCTION("""COMPUTED_VALUE"""),"Sohn, Nicky")</f>
        <v>Sohn, Nicky</v>
      </c>
      <c r="B12373" s="2">
        <f ca="1">IFERROR(__xludf.DUMMYFUNCTION("""COMPUTED_VALUE"""),4)</f>
        <v>4</v>
      </c>
      <c r="C12373" s="7">
        <f ca="1">IFERROR(__xludf.DUMMYFUNCTION("""COMPUTED_VALUE"""),4.3)</f>
        <v>4.3</v>
      </c>
      <c r="D12373" s="8">
        <f ca="1">IFERROR(__xludf.DUMMYFUNCTION("""COMPUTED_VALUE"""),4)</f>
        <v>4</v>
      </c>
      <c r="E12373" s="2">
        <f ca="1">IFERROR(__xludf.DUMMYFUNCTION("""COMPUTED_VALUE"""),1)</f>
        <v>1</v>
      </c>
    </row>
    <row r="12374" spans="1:5" ht="13">
      <c r="A12374" s="2" t="str">
        <f ca="1">IFERROR(__xludf.DUMMYFUNCTION("""COMPUTED_VALUE"""),"Srinivasan, Asha")</f>
        <v>Srinivasan, Asha</v>
      </c>
      <c r="B12374" s="2">
        <f ca="1">IFERROR(__xludf.DUMMYFUNCTION("""COMPUTED_VALUE"""),4)</f>
        <v>4</v>
      </c>
      <c r="C12374" s="7">
        <f ca="1">IFERROR(__xludf.DUMMYFUNCTION("""COMPUTED_VALUE"""),4.5)</f>
        <v>4.5</v>
      </c>
      <c r="D12374" s="8">
        <f ca="1">IFERROR(__xludf.DUMMYFUNCTION("""COMPUTED_VALUE"""),4)</f>
        <v>4</v>
      </c>
      <c r="E12374" s="2">
        <f ca="1">IFERROR(__xludf.DUMMYFUNCTION("""COMPUTED_VALUE"""),1)</f>
        <v>1</v>
      </c>
    </row>
    <row r="12375" spans="1:5" ht="13">
      <c r="A12375" s="2" t="str">
        <f ca="1">IFERROR(__xludf.DUMMYFUNCTION("""COMPUTED_VALUE"""),"Ssu-Yu Huang")</f>
        <v>Ssu-Yu Huang</v>
      </c>
      <c r="B12375" s="2">
        <f ca="1">IFERROR(__xludf.DUMMYFUNCTION("""COMPUTED_VALUE"""),4)</f>
        <v>4</v>
      </c>
      <c r="C12375" s="7">
        <f ca="1">IFERROR(__xludf.DUMMYFUNCTION("""COMPUTED_VALUE"""),4.3)</f>
        <v>4.3</v>
      </c>
      <c r="D12375" s="8">
        <f ca="1">IFERROR(__xludf.DUMMYFUNCTION("""COMPUTED_VALUE"""),4)</f>
        <v>4</v>
      </c>
      <c r="E12375" s="2">
        <f ca="1">IFERROR(__xludf.DUMMYFUNCTION("""COMPUTED_VALUE"""),1)</f>
        <v>1</v>
      </c>
    </row>
    <row r="12376" spans="1:5" ht="13">
      <c r="A12376" s="2" t="str">
        <f ca="1">IFERROR(__xludf.DUMMYFUNCTION("""COMPUTED_VALUE"""),"Summers, Myrna")</f>
        <v>Summers, Myrna</v>
      </c>
      <c r="B12376" s="3">
        <f ca="1">IFERROR(__xludf.DUMMYFUNCTION("""COMPUTED_VALUE"""),4)</f>
        <v>4</v>
      </c>
      <c r="C12376" s="7">
        <f ca="1">IFERROR(__xludf.DUMMYFUNCTION("""COMPUTED_VALUE"""),4.1)</f>
        <v>4.0999999999999996</v>
      </c>
      <c r="D12376" s="8">
        <f ca="1">IFERROR(__xludf.DUMMYFUNCTION("""COMPUTED_VALUE"""),4)</f>
        <v>4</v>
      </c>
      <c r="E12376" s="2">
        <f ca="1">IFERROR(__xludf.DUMMYFUNCTION("""COMPUTED_VALUE"""),1)</f>
        <v>1</v>
      </c>
    </row>
    <row r="12377" spans="1:5" ht="13">
      <c r="A12377" s="2" t="str">
        <f ca="1">IFERROR(__xludf.DUMMYFUNCTION("""COMPUTED_VALUE"""),"Sung, Stella")</f>
        <v>Sung, Stella</v>
      </c>
      <c r="B12377" s="3">
        <f ca="1">IFERROR(__xludf.DUMMYFUNCTION("""COMPUTED_VALUE"""),4)</f>
        <v>4</v>
      </c>
      <c r="C12377" s="7">
        <f ca="1">IFERROR(__xludf.DUMMYFUNCTION("""COMPUTED_VALUE"""),4.3)</f>
        <v>4.3</v>
      </c>
      <c r="D12377" s="8">
        <f ca="1">IFERROR(__xludf.DUMMYFUNCTION("""COMPUTED_VALUE"""),4)</f>
        <v>4</v>
      </c>
      <c r="E12377" s="2">
        <f ca="1">IFERROR(__xludf.DUMMYFUNCTION("""COMPUTED_VALUE"""),1)</f>
        <v>1</v>
      </c>
    </row>
    <row r="12378" spans="1:5" ht="13">
      <c r="A12378" s="2" t="str">
        <f ca="1">IFERROR(__xludf.DUMMYFUNCTION("""COMPUTED_VALUE"""),"Swift, Mazz")</f>
        <v>Swift, Mazz</v>
      </c>
      <c r="B12378" s="3">
        <f ca="1">IFERROR(__xludf.DUMMYFUNCTION("""COMPUTED_VALUE"""),4)</f>
        <v>4</v>
      </c>
      <c r="C12378" s="7">
        <f ca="1">IFERROR(__xludf.DUMMYFUNCTION("""COMPUTED_VALUE"""),4.1)</f>
        <v>4.0999999999999996</v>
      </c>
      <c r="D12378" s="8">
        <f ca="1">IFERROR(__xludf.DUMMYFUNCTION("""COMPUTED_VALUE"""),4)</f>
        <v>4</v>
      </c>
      <c r="E12378" s="2">
        <f ca="1">IFERROR(__xludf.DUMMYFUNCTION("""COMPUTED_VALUE"""),1)</f>
        <v>1</v>
      </c>
    </row>
    <row r="12379" spans="1:5" ht="13">
      <c r="A12379" s="2" t="str">
        <f ca="1">IFERROR(__xludf.DUMMYFUNCTION("""COMPUTED_VALUE"""),"Talese, Laurin")</f>
        <v>Talese, Laurin</v>
      </c>
      <c r="B12379" s="2">
        <f ca="1">IFERROR(__xludf.DUMMYFUNCTION("""COMPUTED_VALUE"""),4)</f>
        <v>4</v>
      </c>
      <c r="C12379" s="2">
        <f ca="1">IFERROR(__xludf.DUMMYFUNCTION("""COMPUTED_VALUE"""),4.1)</f>
        <v>4.0999999999999996</v>
      </c>
      <c r="D12379" s="8">
        <f ca="1">IFERROR(__xludf.DUMMYFUNCTION("""COMPUTED_VALUE"""),4)</f>
        <v>4</v>
      </c>
      <c r="E12379" s="2">
        <f ca="1">IFERROR(__xludf.DUMMYFUNCTION("""COMPUTED_VALUE"""),1)</f>
        <v>1</v>
      </c>
    </row>
    <row r="12380" spans="1:5" ht="13">
      <c r="A12380" s="2" t="str">
        <f ca="1">IFERROR(__xludf.DUMMYFUNCTION("""COMPUTED_VALUE"""),"Tamar-kali")</f>
        <v>Tamar-kali</v>
      </c>
      <c r="B12380" s="3">
        <f ca="1">IFERROR(__xludf.DUMMYFUNCTION("""COMPUTED_VALUE"""),4)</f>
        <v>4</v>
      </c>
      <c r="C12380" s="7">
        <f ca="1">IFERROR(__xludf.DUMMYFUNCTION("""COMPUTED_VALUE"""),4.1)</f>
        <v>4.0999999999999996</v>
      </c>
      <c r="D12380" s="8">
        <f ca="1">IFERROR(__xludf.DUMMYFUNCTION("""COMPUTED_VALUE"""),4)</f>
        <v>4</v>
      </c>
      <c r="E12380" s="2">
        <f ca="1">IFERROR(__xludf.DUMMYFUNCTION("""COMPUTED_VALUE"""),1)</f>
        <v>1</v>
      </c>
    </row>
    <row r="12381" spans="1:5" ht="13">
      <c r="A12381" s="2" t="str">
        <f ca="1">IFERROR(__xludf.DUMMYFUNCTION("""COMPUTED_VALUE"""),"Tan Jing Wen, Joan")</f>
        <v>Tan Jing Wen, Joan</v>
      </c>
      <c r="B12381" s="3">
        <f ca="1">IFERROR(__xludf.DUMMYFUNCTION("""COMPUTED_VALUE"""),4)</f>
        <v>4</v>
      </c>
      <c r="C12381" s="7">
        <f ca="1">IFERROR(__xludf.DUMMYFUNCTION("""COMPUTED_VALUE"""),4.3)</f>
        <v>4.3</v>
      </c>
      <c r="D12381" s="8">
        <f ca="1">IFERROR(__xludf.DUMMYFUNCTION("""COMPUTED_VALUE"""),4)</f>
        <v>4</v>
      </c>
      <c r="E12381" s="2">
        <f ca="1">IFERROR(__xludf.DUMMYFUNCTION("""COMPUTED_VALUE"""),1)</f>
        <v>1</v>
      </c>
    </row>
    <row r="12382" spans="1:5" ht="13">
      <c r="A12382" s="2" t="str">
        <f ca="1">IFERROR(__xludf.DUMMYFUNCTION("""COMPUTED_VALUE"""),"Tan, Su Lian")</f>
        <v>Tan, Su Lian</v>
      </c>
      <c r="B12382" s="3">
        <f ca="1">IFERROR(__xludf.DUMMYFUNCTION("""COMPUTED_VALUE"""),4)</f>
        <v>4</v>
      </c>
      <c r="C12382" s="7">
        <f ca="1">IFERROR(__xludf.DUMMYFUNCTION("""COMPUTED_VALUE"""),4.4)</f>
        <v>4.4000000000000004</v>
      </c>
      <c r="D12382" s="8">
        <f ca="1">IFERROR(__xludf.DUMMYFUNCTION("""COMPUTED_VALUE"""),4)</f>
        <v>4</v>
      </c>
      <c r="E12382" s="2">
        <f ca="1">IFERROR(__xludf.DUMMYFUNCTION("""COMPUTED_VALUE"""),1)</f>
        <v>1</v>
      </c>
    </row>
    <row r="12383" spans="1:5" ht="13">
      <c r="A12383" s="2" t="str">
        <f ca="1">IFERROR(__xludf.DUMMYFUNCTION("""COMPUTED_VALUE"""),"Tanaka, Karen")</f>
        <v>Tanaka, Karen</v>
      </c>
      <c r="B12383" s="3">
        <f ca="1">IFERROR(__xludf.DUMMYFUNCTION("""COMPUTED_VALUE"""),4)</f>
        <v>4</v>
      </c>
      <c r="C12383" s="7">
        <f ca="1">IFERROR(__xludf.DUMMYFUNCTION("""COMPUTED_VALUE"""),4.3)</f>
        <v>4.3</v>
      </c>
      <c r="D12383" s="8">
        <f ca="1">IFERROR(__xludf.DUMMYFUNCTION("""COMPUTED_VALUE"""),4)</f>
        <v>4</v>
      </c>
      <c r="E12383" s="2">
        <f ca="1">IFERROR(__xludf.DUMMYFUNCTION("""COMPUTED_VALUE"""),1)</f>
        <v>1</v>
      </c>
    </row>
    <row r="12384" spans="1:5" ht="13">
      <c r="A12384" s="2" t="str">
        <f ca="1">IFERROR(__xludf.DUMMYFUNCTION("""COMPUTED_VALUE"""),"Tanzil, Eunike")</f>
        <v>Tanzil, Eunike</v>
      </c>
      <c r="B12384" s="2">
        <f ca="1">IFERROR(__xludf.DUMMYFUNCTION("""COMPUTED_VALUE"""),4)</f>
        <v>4</v>
      </c>
      <c r="C12384" s="2">
        <f ca="1">IFERROR(__xludf.DUMMYFUNCTION("""COMPUTED_VALUE"""),4.9)</f>
        <v>4.9000000000000004</v>
      </c>
      <c r="D12384" s="8">
        <f ca="1">IFERROR(__xludf.DUMMYFUNCTION("""COMPUTED_VALUE"""),4)</f>
        <v>4</v>
      </c>
      <c r="E12384" s="2">
        <f ca="1">IFERROR(__xludf.DUMMYFUNCTION("""COMPUTED_VALUE"""),1)</f>
        <v>1</v>
      </c>
    </row>
    <row r="12385" spans="1:5" ht="13">
      <c r="A12385" s="8" t="str">
        <f ca="1">IFERROR(__xludf.DUMMYFUNCTION("""COMPUTED_VALUE"""),"Tao, Li")</f>
        <v>Tao, Li</v>
      </c>
      <c r="B12385" s="3">
        <f ca="1">IFERROR(__xludf.DUMMYFUNCTION("""COMPUTED_VALUE"""),4)</f>
        <v>4</v>
      </c>
      <c r="C12385" s="7">
        <f ca="1">IFERROR(__xludf.DUMMYFUNCTION("""COMPUTED_VALUE"""),4.3)</f>
        <v>4.3</v>
      </c>
      <c r="D12385" s="8">
        <f ca="1">IFERROR(__xludf.DUMMYFUNCTION("""COMPUTED_VALUE"""),4)</f>
        <v>4</v>
      </c>
      <c r="E12385" s="2">
        <f ca="1">IFERROR(__xludf.DUMMYFUNCTION("""COMPUTED_VALUE"""),1)</f>
        <v>1</v>
      </c>
    </row>
    <row r="12386" spans="1:5" ht="13">
      <c r="A12386" s="2" t="str">
        <f ca="1">IFERROR(__xludf.DUMMYFUNCTION("""COMPUTED_VALUE"""),"Teng, Vienna")</f>
        <v>Teng, Vienna</v>
      </c>
      <c r="B12386" s="3">
        <f ca="1">IFERROR(__xludf.DUMMYFUNCTION("""COMPUTED_VALUE"""),4)</f>
        <v>4</v>
      </c>
      <c r="C12386" s="7">
        <f ca="1">IFERROR(__xludf.DUMMYFUNCTION("""COMPUTED_VALUE"""),4.3)</f>
        <v>4.3</v>
      </c>
      <c r="D12386" s="8">
        <f ca="1">IFERROR(__xludf.DUMMYFUNCTION("""COMPUTED_VALUE"""),4)</f>
        <v>4</v>
      </c>
      <c r="E12386" s="2">
        <f ca="1">IFERROR(__xludf.DUMMYFUNCTION("""COMPUTED_VALUE"""),1)</f>
        <v>1</v>
      </c>
    </row>
    <row r="12387" spans="1:5" ht="13">
      <c r="A12387" s="2" t="str">
        <f ca="1">IFERROR(__xludf.DUMMYFUNCTION("""COMPUTED_VALUE"""),"Thai, Claire")</f>
        <v>Thai, Claire</v>
      </c>
      <c r="B12387" s="3">
        <f ca="1">IFERROR(__xludf.DUMMYFUNCTION("""COMPUTED_VALUE"""),4)</f>
        <v>4</v>
      </c>
      <c r="C12387" s="7">
        <f ca="1">IFERROR(__xludf.DUMMYFUNCTION("""COMPUTED_VALUE"""),4.3)</f>
        <v>4.3</v>
      </c>
      <c r="D12387" s="8">
        <f ca="1">IFERROR(__xludf.DUMMYFUNCTION("""COMPUTED_VALUE"""),4)</f>
        <v>4</v>
      </c>
      <c r="E12387" s="2">
        <f ca="1">IFERROR(__xludf.DUMMYFUNCTION("""COMPUTED_VALUE"""),1)</f>
        <v>1</v>
      </c>
    </row>
    <row r="12388" spans="1:5" ht="13">
      <c r="A12388" s="2" t="str">
        <f ca="1">IFERROR(__xludf.DUMMYFUNCTION("""COMPUTED_VALUE"""),"Thurman, Camille")</f>
        <v>Thurman, Camille</v>
      </c>
      <c r="B12388" s="3">
        <f ca="1">IFERROR(__xludf.DUMMYFUNCTION("""COMPUTED_VALUE"""),4)</f>
        <v>4</v>
      </c>
      <c r="C12388" s="7">
        <f ca="1">IFERROR(__xludf.DUMMYFUNCTION("""COMPUTED_VALUE"""),4.1)</f>
        <v>4.0999999999999996</v>
      </c>
      <c r="D12388" s="8">
        <f ca="1">IFERROR(__xludf.DUMMYFUNCTION("""COMPUTED_VALUE"""),4)</f>
        <v>4</v>
      </c>
      <c r="E12388" s="2">
        <f ca="1">IFERROR(__xludf.DUMMYFUNCTION("""COMPUTED_VALUE"""),1)</f>
        <v>1</v>
      </c>
    </row>
    <row r="12389" spans="1:5" ht="13">
      <c r="A12389" s="8" t="str">
        <f ca="1">IFERROR(__xludf.DUMMYFUNCTION("""COMPUTED_VALUE"""),"Traditional / Muhammad, Destiny")</f>
        <v>Traditional / Muhammad, Destiny</v>
      </c>
      <c r="B12389" s="3">
        <f ca="1">IFERROR(__xludf.DUMMYFUNCTION("""COMPUTED_VALUE"""),4)</f>
        <v>4</v>
      </c>
      <c r="C12389" s="7">
        <f ca="1">IFERROR(__xludf.DUMMYFUNCTION("""COMPUTED_VALUE"""),4.1)</f>
        <v>4.0999999999999996</v>
      </c>
      <c r="D12389" s="8">
        <f ca="1">IFERROR(__xludf.DUMMYFUNCTION("""COMPUTED_VALUE"""),4)</f>
        <v>4</v>
      </c>
      <c r="E12389" s="2">
        <f ca="1">IFERROR(__xludf.DUMMYFUNCTION("""COMPUTED_VALUE"""),1)</f>
        <v>1</v>
      </c>
    </row>
    <row r="12390" spans="1:5" ht="13">
      <c r="A12390" s="2" t="str">
        <f ca="1">IFERROR(__xludf.DUMMYFUNCTION("""COMPUTED_VALUE"""),"Trio Ellas")</f>
        <v>Trio Ellas</v>
      </c>
      <c r="B12390" s="3">
        <f ca="1">IFERROR(__xludf.DUMMYFUNCTION("""COMPUTED_VALUE"""),4)</f>
        <v>4</v>
      </c>
      <c r="C12390" s="7">
        <f ca="1">IFERROR(__xludf.DUMMYFUNCTION("""COMPUTED_VALUE"""),4.2)</f>
        <v>4.2</v>
      </c>
      <c r="D12390" s="8">
        <f ca="1">IFERROR(__xludf.DUMMYFUNCTION("""COMPUTED_VALUE"""),4)</f>
        <v>4</v>
      </c>
      <c r="E12390" s="2">
        <f ca="1">IFERROR(__xludf.DUMMYFUNCTION("""COMPUTED_VALUE"""),1)</f>
        <v>1</v>
      </c>
    </row>
    <row r="12391" spans="1:5" ht="13">
      <c r="A12391" s="8" t="str">
        <f ca="1">IFERROR(__xludf.DUMMYFUNCTION("""COMPUTED_VALUE"""),"Tsai, Yu-Shan")</f>
        <v>Tsai, Yu-Shan</v>
      </c>
      <c r="B12391" s="3">
        <f ca="1">IFERROR(__xludf.DUMMYFUNCTION("""COMPUTED_VALUE"""),4)</f>
        <v>4</v>
      </c>
      <c r="C12391" s="7">
        <f ca="1">IFERROR(__xludf.DUMMYFUNCTION("""COMPUTED_VALUE"""),4.3)</f>
        <v>4.3</v>
      </c>
      <c r="D12391" s="8">
        <f ca="1">IFERROR(__xludf.DUMMYFUNCTION("""COMPUTED_VALUE"""),4)</f>
        <v>4</v>
      </c>
      <c r="E12391" s="2">
        <f ca="1">IFERROR(__xludf.DUMMYFUNCTION("""COMPUTED_VALUE"""),1)</f>
        <v>1</v>
      </c>
    </row>
    <row r="12392" spans="1:5" ht="13">
      <c r="A12392" s="2" t="str">
        <f ca="1">IFERROR(__xludf.DUMMYFUNCTION("""COMPUTED_VALUE"""),"Tsui, Meilina")</f>
        <v>Tsui, Meilina</v>
      </c>
      <c r="B12392" s="2">
        <f ca="1">IFERROR(__xludf.DUMMYFUNCTION("""COMPUTED_VALUE"""),4)</f>
        <v>4</v>
      </c>
      <c r="C12392" s="2">
        <f ca="1">IFERROR(__xludf.DUMMYFUNCTION("""COMPUTED_VALUE"""),4.4)</f>
        <v>4.4000000000000004</v>
      </c>
      <c r="D12392" s="8">
        <f ca="1">IFERROR(__xludf.DUMMYFUNCTION("""COMPUTED_VALUE"""),4)</f>
        <v>4</v>
      </c>
      <c r="E12392" s="2">
        <f ca="1">IFERROR(__xludf.DUMMYFUNCTION("""COMPUTED_VALUE"""),1)</f>
        <v>1</v>
      </c>
    </row>
    <row r="12393" spans="1:5" ht="13">
      <c r="A12393" s="2" t="str">
        <f ca="1">IFERROR(__xludf.DUMMYFUNCTION("""COMPUTED_VALUE"""),"Turner, Molly")</f>
        <v>Turner, Molly</v>
      </c>
      <c r="B12393" s="2">
        <f ca="1">IFERROR(__xludf.DUMMYFUNCTION("""COMPUTED_VALUE"""),4)</f>
        <v>4</v>
      </c>
      <c r="C12393" s="2">
        <f ca="1">IFERROR(__xludf.DUMMYFUNCTION("""COMPUTED_VALUE"""),4.3)</f>
        <v>4.3</v>
      </c>
      <c r="D12393" s="8">
        <f ca="1">IFERROR(__xludf.DUMMYFUNCTION("""COMPUTED_VALUE"""),4)</f>
        <v>4</v>
      </c>
      <c r="E12393" s="2">
        <f ca="1">IFERROR(__xludf.DUMMYFUNCTION("""COMPUTED_VALUE"""),1)</f>
        <v>1</v>
      </c>
    </row>
    <row r="12394" spans="1:5" ht="13">
      <c r="A12394" s="2" t="str">
        <f ca="1">IFERROR(__xludf.DUMMYFUNCTION("""COMPUTED_VALUE"""),"Uehara, Hiromi")</f>
        <v>Uehara, Hiromi</v>
      </c>
      <c r="B12394" s="3">
        <f ca="1">IFERROR(__xludf.DUMMYFUNCTION("""COMPUTED_VALUE"""),4)</f>
        <v>4</v>
      </c>
      <c r="C12394" s="7">
        <f ca="1">IFERROR(__xludf.DUMMYFUNCTION("""COMPUTED_VALUE"""),4.3)</f>
        <v>4.3</v>
      </c>
      <c r="D12394" s="8">
        <f ca="1">IFERROR(__xludf.DUMMYFUNCTION("""COMPUTED_VALUE"""),4)</f>
        <v>4</v>
      </c>
      <c r="E12394" s="2">
        <f ca="1">IFERROR(__xludf.DUMMYFUNCTION("""COMPUTED_VALUE"""),1)</f>
        <v>1</v>
      </c>
    </row>
    <row r="12395" spans="1:5" ht="13">
      <c r="A12395" s="2" t="str">
        <f ca="1">IFERROR(__xludf.DUMMYFUNCTION("""COMPUTED_VALUE"""),"Um, Jiyoung")</f>
        <v>Um, Jiyoung</v>
      </c>
      <c r="B12395" s="2">
        <f ca="1">IFERROR(__xludf.DUMMYFUNCTION("""COMPUTED_VALUE"""),4)</f>
        <v>4</v>
      </c>
      <c r="C12395" s="7">
        <f ca="1">IFERROR(__xludf.DUMMYFUNCTION("""COMPUTED_VALUE"""),4.3)</f>
        <v>4.3</v>
      </c>
      <c r="D12395" s="8">
        <f ca="1">IFERROR(__xludf.DUMMYFUNCTION("""COMPUTED_VALUE"""),4)</f>
        <v>4</v>
      </c>
      <c r="E12395" s="2">
        <f ca="1">IFERROR(__xludf.DUMMYFUNCTION("""COMPUTED_VALUE"""),1)</f>
        <v>1</v>
      </c>
    </row>
    <row r="12396" spans="1:5" ht="13">
      <c r="A12396" s="2" t="str">
        <f ca="1">IFERROR(__xludf.DUMMYFUNCTION("""COMPUTED_VALUE"""),"Valverde, Mari Esabel")</f>
        <v>Valverde, Mari Esabel</v>
      </c>
      <c r="B12396" s="2">
        <f ca="1">IFERROR(__xludf.DUMMYFUNCTION("""COMPUTED_VALUE"""),4)</f>
        <v>4</v>
      </c>
      <c r="C12396" s="7">
        <f ca="1">IFERROR(__xludf.DUMMYFUNCTION("""COMPUTED_VALUE"""),4.2)</f>
        <v>4.2</v>
      </c>
      <c r="D12396" s="8">
        <f ca="1">IFERROR(__xludf.DUMMYFUNCTION("""COMPUTED_VALUE"""),4)</f>
        <v>4</v>
      </c>
      <c r="E12396" s="2">
        <f ca="1">IFERROR(__xludf.DUMMYFUNCTION("""COMPUTED_VALUE"""),1)</f>
        <v>1</v>
      </c>
    </row>
    <row r="12397" spans="1:5" ht="13">
      <c r="A12397" s="8" t="str">
        <f ca="1">IFERROR(__xludf.DUMMYFUNCTION("""COMPUTED_VALUE"""),"Vân-Ánh (Vanessa) Võ")</f>
        <v>Vân-Ánh (Vanessa) Võ</v>
      </c>
      <c r="B12397" s="3">
        <f ca="1">IFERROR(__xludf.DUMMYFUNCTION("""COMPUTED_VALUE"""),4)</f>
        <v>4</v>
      </c>
      <c r="C12397" s="7">
        <f ca="1">IFERROR(__xludf.DUMMYFUNCTION("""COMPUTED_VALUE"""),4.3)</f>
        <v>4.3</v>
      </c>
      <c r="D12397" s="8">
        <f ca="1">IFERROR(__xludf.DUMMYFUNCTION("""COMPUTED_VALUE"""),4)</f>
        <v>4</v>
      </c>
      <c r="E12397" s="2">
        <f ca="1">IFERROR(__xludf.DUMMYFUNCTION("""COMPUTED_VALUE"""),1)</f>
        <v>1</v>
      </c>
    </row>
    <row r="12398" spans="1:5" ht="13">
      <c r="A12398" s="8" t="str">
        <f ca="1">IFERROR(__xludf.DUMMYFUNCTION("""COMPUTED_VALUE"""),"Vanderveer, Sakari Dixon")</f>
        <v>Vanderveer, Sakari Dixon</v>
      </c>
      <c r="B12398" s="3">
        <f ca="1">IFERROR(__xludf.DUMMYFUNCTION("""COMPUTED_VALUE"""),4)</f>
        <v>4</v>
      </c>
      <c r="C12398" s="7">
        <f ca="1">IFERROR(__xludf.DUMMYFUNCTION("""COMPUTED_VALUE"""),4.1)</f>
        <v>4.0999999999999996</v>
      </c>
      <c r="D12398" s="8">
        <f ca="1">IFERROR(__xludf.DUMMYFUNCTION("""COMPUTED_VALUE"""),4)</f>
        <v>4</v>
      </c>
      <c r="E12398" s="2">
        <f ca="1">IFERROR(__xludf.DUMMYFUNCTION("""COMPUTED_VALUE"""),1)</f>
        <v>1</v>
      </c>
    </row>
    <row r="12399" spans="1:5" ht="13">
      <c r="A12399" s="2" t="str">
        <f ca="1">IFERROR(__xludf.DUMMYFUNCTION("""COMPUTED_VALUE"""),"Vaughn, Sarah")</f>
        <v>Vaughn, Sarah</v>
      </c>
      <c r="B12399" s="3">
        <f ca="1">IFERROR(__xludf.DUMMYFUNCTION("""COMPUTED_VALUE"""),4)</f>
        <v>4</v>
      </c>
      <c r="C12399" s="7">
        <f ca="1">IFERROR(__xludf.DUMMYFUNCTION("""COMPUTED_VALUE"""),4.1)</f>
        <v>4.0999999999999996</v>
      </c>
      <c r="D12399" s="8">
        <f ca="1">IFERROR(__xludf.DUMMYFUNCTION("""COMPUTED_VALUE"""),8)</f>
        <v>8</v>
      </c>
      <c r="E12399" s="2">
        <f ca="1">IFERROR(__xludf.DUMMYFUNCTION("""COMPUTED_VALUE"""),2)</f>
        <v>2</v>
      </c>
    </row>
    <row r="12400" spans="1:5" ht="13">
      <c r="A12400" s="8" t="str">
        <f ca="1">IFERROR(__xludf.DUMMYFUNCTION("""COMPUTED_VALUE"""),"Vazana, Nani Noam")</f>
        <v>Vazana, Nani Noam</v>
      </c>
      <c r="B12400" s="3">
        <f ca="1">IFERROR(__xludf.DUMMYFUNCTION("""COMPUTED_VALUE"""),4)</f>
        <v>4</v>
      </c>
      <c r="C12400" s="7">
        <f ca="1">IFERROR(__xludf.DUMMYFUNCTION("""COMPUTED_VALUE"""),4.3)</f>
        <v>4.3</v>
      </c>
      <c r="D12400" s="8">
        <f ca="1">IFERROR(__xludf.DUMMYFUNCTION("""COMPUTED_VALUE"""),4)</f>
        <v>4</v>
      </c>
      <c r="E12400" s="2">
        <f ca="1">IFERROR(__xludf.DUMMYFUNCTION("""COMPUTED_VALUE"""),1)</f>
        <v>1</v>
      </c>
    </row>
    <row r="12401" spans="1:5" ht="13">
      <c r="A12401" s="2" t="str">
        <f ca="1">IFERROR(__xludf.DUMMYFUNCTION("""COMPUTED_VALUE"""),"Velasquez, Consuelo")</f>
        <v>Velasquez, Consuelo</v>
      </c>
      <c r="B12401" s="2">
        <f ca="1">IFERROR(__xludf.DUMMYFUNCTION("""COMPUTED_VALUE"""),4)</f>
        <v>4</v>
      </c>
      <c r="C12401" s="7">
        <f ca="1">IFERROR(__xludf.DUMMYFUNCTION("""COMPUTED_VALUE"""),4.2)</f>
        <v>4.2</v>
      </c>
      <c r="D12401" s="8">
        <f ca="1">IFERROR(__xludf.DUMMYFUNCTION("""COMPUTED_VALUE"""),8)</f>
        <v>8</v>
      </c>
      <c r="E12401" s="2">
        <f ca="1">IFERROR(__xludf.DUMMYFUNCTION("""COMPUTED_VALUE"""),2)</f>
        <v>2</v>
      </c>
    </row>
    <row r="12402" spans="1:5" ht="13">
      <c r="A12402" s="2" t="str">
        <f ca="1">IFERROR(__xludf.DUMMYFUNCTION("""COMPUTED_VALUE"""),"Velázquez, Consuelo")</f>
        <v>Velázquez, Consuelo</v>
      </c>
      <c r="B12402" s="2">
        <f ca="1">IFERROR(__xludf.DUMMYFUNCTION("""COMPUTED_VALUE"""),4)</f>
        <v>4</v>
      </c>
      <c r="C12402" s="7">
        <f ca="1">IFERROR(__xludf.DUMMYFUNCTION("""COMPUTED_VALUE"""),4.2)</f>
        <v>4.2</v>
      </c>
      <c r="D12402" s="8">
        <f ca="1">IFERROR(__xludf.DUMMYFUNCTION("""COMPUTED_VALUE"""),8)</f>
        <v>8</v>
      </c>
      <c r="E12402" s="2">
        <f ca="1">IFERROR(__xludf.DUMMYFUNCTION("""COMPUTED_VALUE"""),2)</f>
        <v>2</v>
      </c>
    </row>
    <row r="12403" spans="1:5" ht="13">
      <c r="A12403" s="8" t="str">
        <f ca="1">IFERROR(__xludf.DUMMYFUNCTION("""COMPUTED_VALUE"""),"Vera, Maria Teresa")</f>
        <v>Vera, Maria Teresa</v>
      </c>
      <c r="B12403" s="3">
        <f ca="1">IFERROR(__xludf.DUMMYFUNCTION("""COMPUTED_VALUE"""),4)</f>
        <v>4</v>
      </c>
      <c r="C12403" s="7">
        <f ca="1">IFERROR(__xludf.DUMMYFUNCTION("""COMPUTED_VALUE"""),4.2)</f>
        <v>4.2</v>
      </c>
      <c r="D12403" s="8">
        <f ca="1">IFERROR(__xludf.DUMMYFUNCTION("""COMPUTED_VALUE"""),8)</f>
        <v>8</v>
      </c>
      <c r="E12403" s="2">
        <f ca="1">IFERROR(__xludf.DUMMYFUNCTION("""COMPUTED_VALUE"""),2)</f>
        <v>2</v>
      </c>
    </row>
    <row r="12404" spans="1:5" ht="13">
      <c r="A12404" s="2" t="str">
        <f ca="1">IFERROR(__xludf.DUMMYFUNCTION("""COMPUTED_VALUE"""),"Vizconde-Roldan, Maria Theresa")</f>
        <v>Vizconde-Roldan, Maria Theresa</v>
      </c>
      <c r="B12404" s="3">
        <f ca="1">IFERROR(__xludf.DUMMYFUNCTION("""COMPUTED_VALUE"""),4)</f>
        <v>4</v>
      </c>
      <c r="C12404" s="7">
        <f ca="1">IFERROR(__xludf.DUMMYFUNCTION("""COMPUTED_VALUE"""),4.3)</f>
        <v>4.3</v>
      </c>
      <c r="D12404" s="8">
        <f ca="1">IFERROR(__xludf.DUMMYFUNCTION("""COMPUTED_VALUE"""),4)</f>
        <v>4</v>
      </c>
      <c r="E12404" s="2">
        <f ca="1">IFERROR(__xludf.DUMMYFUNCTION("""COMPUTED_VALUE"""),1)</f>
        <v>1</v>
      </c>
    </row>
    <row r="12405" spans="1:5" ht="13">
      <c r="A12405" s="2" t="str">
        <f ca="1">IFERROR(__xludf.DUMMYFUNCTION("""COMPUTED_VALUE"""),"Võ, Vân-Ánh Vanessa")</f>
        <v>Võ, Vân-Ánh Vanessa</v>
      </c>
      <c r="B12405" s="3">
        <f ca="1">IFERROR(__xludf.DUMMYFUNCTION("""COMPUTED_VALUE"""),4)</f>
        <v>4</v>
      </c>
      <c r="C12405" s="7">
        <f ca="1">IFERROR(__xludf.DUMMYFUNCTION("""COMPUTED_VALUE"""),4.3)</f>
        <v>4.3</v>
      </c>
      <c r="D12405" s="8">
        <f ca="1">IFERROR(__xludf.DUMMYFUNCTION("""COMPUTED_VALUE"""),4)</f>
        <v>4</v>
      </c>
      <c r="E12405" s="2">
        <f ca="1">IFERROR(__xludf.DUMMYFUNCTION("""COMPUTED_VALUE"""),1)</f>
        <v>1</v>
      </c>
    </row>
    <row r="12406" spans="1:5" ht="13">
      <c r="A12406" s="2" t="str">
        <f ca="1">IFERROR(__xludf.DUMMYFUNCTION("""COMPUTED_VALUE"""),"Walker, Albertina")</f>
        <v>Walker, Albertina</v>
      </c>
      <c r="B12406" s="3">
        <f ca="1">IFERROR(__xludf.DUMMYFUNCTION("""COMPUTED_VALUE"""),4)</f>
        <v>4</v>
      </c>
      <c r="C12406" s="7">
        <f ca="1">IFERROR(__xludf.DUMMYFUNCTION("""COMPUTED_VALUE"""),4.1)</f>
        <v>4.0999999999999996</v>
      </c>
      <c r="D12406" s="8">
        <f ca="1">IFERROR(__xludf.DUMMYFUNCTION("""COMPUTED_VALUE"""),8)</f>
        <v>8</v>
      </c>
      <c r="E12406" s="2">
        <f ca="1">IFERROR(__xludf.DUMMYFUNCTION("""COMPUTED_VALUE"""),2)</f>
        <v>2</v>
      </c>
    </row>
    <row r="12407" spans="1:5" ht="13">
      <c r="A12407" s="8" t="str">
        <f ca="1">IFERROR(__xludf.DUMMYFUNCTION("""COMPUTED_VALUE"""),"Wallace, Daijana")</f>
        <v>Wallace, Daijana</v>
      </c>
      <c r="B12407" s="3">
        <f ca="1">IFERROR(__xludf.DUMMYFUNCTION("""COMPUTED_VALUE"""),4)</f>
        <v>4</v>
      </c>
      <c r="C12407" s="7">
        <f ca="1">IFERROR(__xludf.DUMMYFUNCTION("""COMPUTED_VALUE"""),4.1)</f>
        <v>4.0999999999999996</v>
      </c>
      <c r="D12407" s="8">
        <f ca="1">IFERROR(__xludf.DUMMYFUNCTION("""COMPUTED_VALUE"""),4)</f>
        <v>4</v>
      </c>
      <c r="E12407" s="2">
        <f ca="1">IFERROR(__xludf.DUMMYFUNCTION("""COMPUTED_VALUE"""),1)</f>
        <v>1</v>
      </c>
    </row>
    <row r="12408" spans="1:5" ht="13">
      <c r="A12408" s="2" t="str">
        <f ca="1">IFERROR(__xludf.DUMMYFUNCTION("""COMPUTED_VALUE"""),"Wallen, Errollyn")</f>
        <v>Wallen, Errollyn</v>
      </c>
      <c r="B12408" s="3">
        <f ca="1">IFERROR(__xludf.DUMMYFUNCTION("""COMPUTED_VALUE"""),4)</f>
        <v>4</v>
      </c>
      <c r="C12408" s="7">
        <f ca="1">IFERROR(__xludf.DUMMYFUNCTION("""COMPUTED_VALUE"""),4.1)</f>
        <v>4.0999999999999996</v>
      </c>
      <c r="D12408" s="8">
        <f ca="1">IFERROR(__xludf.DUMMYFUNCTION("""COMPUTED_VALUE"""),4)</f>
        <v>4</v>
      </c>
      <c r="E12408" s="2">
        <f ca="1">IFERROR(__xludf.DUMMYFUNCTION("""COMPUTED_VALUE"""),1)</f>
        <v>1</v>
      </c>
    </row>
    <row r="12409" spans="1:5" ht="13">
      <c r="A12409" s="2" t="str">
        <f ca="1">IFERROR(__xludf.DUMMYFUNCTION("""COMPUTED_VALUE"""),"Wang Jie")</f>
        <v>Wang Jie</v>
      </c>
      <c r="B12409" s="3">
        <f ca="1">IFERROR(__xludf.DUMMYFUNCTION("""COMPUTED_VALUE"""),4)</f>
        <v>4</v>
      </c>
      <c r="C12409" s="7">
        <f ca="1">IFERROR(__xludf.DUMMYFUNCTION("""COMPUTED_VALUE"""),4.3)</f>
        <v>4.3</v>
      </c>
      <c r="D12409" s="8">
        <f ca="1">IFERROR(__xludf.DUMMYFUNCTION("""COMPUTED_VALUE"""),4)</f>
        <v>4</v>
      </c>
      <c r="E12409" s="2">
        <f ca="1">IFERROR(__xludf.DUMMYFUNCTION("""COMPUTED_VALUE"""),1)</f>
        <v>1</v>
      </c>
    </row>
    <row r="12410" spans="1:5" ht="13">
      <c r="A12410" s="2" t="str">
        <f ca="1">IFERROR(__xludf.DUMMYFUNCTION("""COMPUTED_VALUE"""),"Wang Lu")</f>
        <v>Wang Lu</v>
      </c>
      <c r="B12410" s="2">
        <f ca="1">IFERROR(__xludf.DUMMYFUNCTION("""COMPUTED_VALUE"""),4)</f>
        <v>4</v>
      </c>
      <c r="C12410" s="7">
        <f ca="1">IFERROR(__xludf.DUMMYFUNCTION("""COMPUTED_VALUE"""),4.3)</f>
        <v>4.3</v>
      </c>
      <c r="D12410" s="8">
        <f ca="1">IFERROR(__xludf.DUMMYFUNCTION("""COMPUTED_VALUE"""),4)</f>
        <v>4</v>
      </c>
      <c r="E12410" s="2">
        <f ca="1">IFERROR(__xludf.DUMMYFUNCTION("""COMPUTED_VALUE"""),1)</f>
        <v>1</v>
      </c>
    </row>
    <row r="12411" spans="1:5" ht="13">
      <c r="A12411" s="2" t="str">
        <f ca="1">IFERROR(__xludf.DUMMYFUNCTION("""COMPUTED_VALUE"""),"Wang, Sydney")</f>
        <v>Wang, Sydney</v>
      </c>
      <c r="B12411" s="3">
        <f ca="1">IFERROR(__xludf.DUMMYFUNCTION("""COMPUTED_VALUE"""),4)</f>
        <v>4</v>
      </c>
      <c r="C12411" s="7">
        <f ca="1">IFERROR(__xludf.DUMMYFUNCTION("""COMPUTED_VALUE"""),4.3)</f>
        <v>4.3</v>
      </c>
      <c r="D12411" s="8">
        <f ca="1">IFERROR(__xludf.DUMMYFUNCTION("""COMPUTED_VALUE"""),4)</f>
        <v>4</v>
      </c>
      <c r="E12411" s="2">
        <f ca="1">IFERROR(__xludf.DUMMYFUNCTION("""COMPUTED_VALUE"""),1)</f>
        <v>1</v>
      </c>
    </row>
    <row r="12412" spans="1:5" ht="13">
      <c r="A12412" s="2" t="str">
        <f ca="1">IFERROR(__xludf.DUMMYFUNCTION("""COMPUTED_VALUE"""),"Wang, Xin")</f>
        <v>Wang, Xin</v>
      </c>
      <c r="B12412" s="3">
        <f ca="1">IFERROR(__xludf.DUMMYFUNCTION("""COMPUTED_VALUE"""),4)</f>
        <v>4</v>
      </c>
      <c r="C12412" s="7">
        <f ca="1">IFERROR(__xludf.DUMMYFUNCTION("""COMPUTED_VALUE"""),4.3)</f>
        <v>4.3</v>
      </c>
      <c r="D12412" s="8">
        <f ca="1">IFERROR(__xludf.DUMMYFUNCTION("""COMPUTED_VALUE"""),4)</f>
        <v>4</v>
      </c>
      <c r="E12412" s="2">
        <f ca="1">IFERROR(__xludf.DUMMYFUNCTION("""COMPUTED_VALUE"""),1)</f>
        <v>1</v>
      </c>
    </row>
    <row r="12413" spans="1:5" ht="13">
      <c r="A12413" s="2" t="str">
        <f ca="1">IFERROR(__xludf.DUMMYFUNCTION("""COMPUTED_VALUE"""),"Wang, Ziyu")</f>
        <v>Wang, Ziyu</v>
      </c>
      <c r="B12413" s="3">
        <f ca="1">IFERROR(__xludf.DUMMYFUNCTION("""COMPUTED_VALUE"""),4)</f>
        <v>4</v>
      </c>
      <c r="C12413" s="7">
        <f ca="1">IFERROR(__xludf.DUMMYFUNCTION("""COMPUTED_VALUE"""),4.3)</f>
        <v>4.3</v>
      </c>
      <c r="D12413" s="8">
        <f ca="1">IFERROR(__xludf.DUMMYFUNCTION("""COMPUTED_VALUE"""),4)</f>
        <v>4</v>
      </c>
      <c r="E12413" s="2">
        <f ca="1">IFERROR(__xludf.DUMMYFUNCTION("""COMPUTED_VALUE"""),1)</f>
        <v>1</v>
      </c>
    </row>
    <row r="12414" spans="1:5" ht="13">
      <c r="A12414" s="2" t="str">
        <f ca="1">IFERROR(__xludf.DUMMYFUNCTION("""COMPUTED_VALUE"""),"Ware, Lawren Brianna")</f>
        <v>Ware, Lawren Brianna</v>
      </c>
      <c r="B12414" s="3">
        <f ca="1">IFERROR(__xludf.DUMMYFUNCTION("""COMPUTED_VALUE"""),4)</f>
        <v>4</v>
      </c>
      <c r="C12414" s="7">
        <f ca="1">IFERROR(__xludf.DUMMYFUNCTION("""COMPUTED_VALUE"""),4.1)</f>
        <v>4.0999999999999996</v>
      </c>
      <c r="D12414" s="8">
        <f ca="1">IFERROR(__xludf.DUMMYFUNCTION("""COMPUTED_VALUE"""),4)</f>
        <v>4</v>
      </c>
      <c r="E12414" s="2">
        <f ca="1">IFERROR(__xludf.DUMMYFUNCTION("""COMPUTED_VALUE"""),1)</f>
        <v>1</v>
      </c>
    </row>
    <row r="12415" spans="1:5" ht="13">
      <c r="A12415" s="2" t="str">
        <f ca="1">IFERROR(__xludf.DUMMYFUNCTION("""COMPUTED_VALUE"""),"Washington, Shelley")</f>
        <v>Washington, Shelley</v>
      </c>
      <c r="B12415" s="3">
        <f ca="1">IFERROR(__xludf.DUMMYFUNCTION("""COMPUTED_VALUE"""),4)</f>
        <v>4</v>
      </c>
      <c r="C12415" s="7">
        <f ca="1">IFERROR(__xludf.DUMMYFUNCTION("""COMPUTED_VALUE"""),4.1)</f>
        <v>4.0999999999999996</v>
      </c>
      <c r="D12415" s="8">
        <f ca="1">IFERROR(__xludf.DUMMYFUNCTION("""COMPUTED_VALUE"""),4)</f>
        <v>4</v>
      </c>
      <c r="E12415" s="2">
        <f ca="1">IFERROR(__xludf.DUMMYFUNCTION("""COMPUTED_VALUE"""),1)</f>
        <v>1</v>
      </c>
    </row>
    <row r="12416" spans="1:5" ht="13">
      <c r="A12416" s="2" t="str">
        <f ca="1">IFERROR(__xludf.DUMMYFUNCTION("""COMPUTED_VALUE"""),"Watkins, Mary")</f>
        <v>Watkins, Mary</v>
      </c>
      <c r="B12416" s="3">
        <f ca="1">IFERROR(__xludf.DUMMYFUNCTION("""COMPUTED_VALUE"""),4)</f>
        <v>4</v>
      </c>
      <c r="C12416" s="7">
        <f ca="1">IFERROR(__xludf.DUMMYFUNCTION("""COMPUTED_VALUE"""),4.1)</f>
        <v>4.0999999999999996</v>
      </c>
      <c r="D12416" s="8">
        <f ca="1">IFERROR(__xludf.DUMMYFUNCTION("""COMPUTED_VALUE"""),4)</f>
        <v>4</v>
      </c>
      <c r="E12416" s="2">
        <f ca="1">IFERROR(__xludf.DUMMYFUNCTION("""COMPUTED_VALUE"""),1)</f>
        <v>1</v>
      </c>
    </row>
    <row r="12417" spans="1:5" ht="13">
      <c r="A12417" s="8" t="str">
        <f ca="1">IFERROR(__xludf.DUMMYFUNCTION("""COMPUTED_VALUE"""),"Watkins, Mary D.")</f>
        <v>Watkins, Mary D.</v>
      </c>
      <c r="B12417" s="3">
        <f ca="1">IFERROR(__xludf.DUMMYFUNCTION("""COMPUTED_VALUE"""),4)</f>
        <v>4</v>
      </c>
      <c r="C12417" s="7">
        <f ca="1">IFERROR(__xludf.DUMMYFUNCTION("""COMPUTED_VALUE"""),4.1)</f>
        <v>4.0999999999999996</v>
      </c>
      <c r="D12417" s="8">
        <f ca="1">IFERROR(__xludf.DUMMYFUNCTION("""COMPUTED_VALUE"""),4)</f>
        <v>4</v>
      </c>
      <c r="E12417" s="2">
        <f ca="1">IFERROR(__xludf.DUMMYFUNCTION("""COMPUTED_VALUE"""),1)</f>
        <v>1</v>
      </c>
    </row>
    <row r="12418" spans="1:5" ht="13">
      <c r="A12418" s="8" t="str">
        <f ca="1">IFERROR(__xludf.DUMMYFUNCTION("""COMPUTED_VALUE"""),"White-Clayton, Diane")</f>
        <v>White-Clayton, Diane</v>
      </c>
      <c r="B12418" s="3">
        <f ca="1">IFERROR(__xludf.DUMMYFUNCTION("""COMPUTED_VALUE"""),4)</f>
        <v>4</v>
      </c>
      <c r="C12418" s="7">
        <f ca="1">IFERROR(__xludf.DUMMYFUNCTION("""COMPUTED_VALUE"""),4.1)</f>
        <v>4.0999999999999996</v>
      </c>
      <c r="D12418" s="8">
        <f ca="1">IFERROR(__xludf.DUMMYFUNCTION("""COMPUTED_VALUE"""),4)</f>
        <v>4</v>
      </c>
      <c r="E12418" s="2">
        <f ca="1">IFERROR(__xludf.DUMMYFUNCTION("""COMPUTED_VALUE"""),1)</f>
        <v>1</v>
      </c>
    </row>
    <row r="12419" spans="1:5" ht="13">
      <c r="A12419" s="2" t="str">
        <f ca="1">IFERROR(__xludf.DUMMYFUNCTION("""COMPUTED_VALUE"""),"White, Dolores")</f>
        <v>White, Dolores</v>
      </c>
      <c r="B12419" s="2">
        <f ca="1">IFERROR(__xludf.DUMMYFUNCTION("""COMPUTED_VALUE"""),4)</f>
        <v>4</v>
      </c>
      <c r="C12419" s="2">
        <f ca="1">IFERROR(__xludf.DUMMYFUNCTION("""COMPUTED_VALUE"""),4.1)</f>
        <v>4.0999999999999996</v>
      </c>
      <c r="D12419" s="8">
        <f ca="1">IFERROR(__xludf.DUMMYFUNCTION("""COMPUTED_VALUE"""),8)</f>
        <v>8</v>
      </c>
      <c r="E12419" s="2">
        <f ca="1">IFERROR(__xludf.DUMMYFUNCTION("""COMPUTED_VALUE"""),2)</f>
        <v>2</v>
      </c>
    </row>
    <row r="12420" spans="1:5" ht="13">
      <c r="A12420" s="2" t="str">
        <f ca="1">IFERROR(__xludf.DUMMYFUNCTION("""COMPUTED_VALUE"""),"Wiancko, Michi")</f>
        <v>Wiancko, Michi</v>
      </c>
      <c r="B12420" s="3">
        <f ca="1">IFERROR(__xludf.DUMMYFUNCTION("""COMPUTED_VALUE"""),4)</f>
        <v>4</v>
      </c>
      <c r="C12420" s="7">
        <f ca="1">IFERROR(__xludf.DUMMYFUNCTION("""COMPUTED_VALUE"""),4.3)</f>
        <v>4.3</v>
      </c>
      <c r="D12420" s="8">
        <f ca="1">IFERROR(__xludf.DUMMYFUNCTION("""COMPUTED_VALUE"""),4)</f>
        <v>4</v>
      </c>
      <c r="E12420" s="2">
        <f ca="1">IFERROR(__xludf.DUMMYFUNCTION("""COMPUTED_VALUE"""),1)</f>
        <v>1</v>
      </c>
    </row>
    <row r="12421" spans="1:5" ht="13">
      <c r="A12421" s="2" t="str">
        <f ca="1">IFERROR(__xludf.DUMMYFUNCTION("""COMPUTED_VALUE"""),"Williams, Mary Lou")</f>
        <v>Williams, Mary Lou</v>
      </c>
      <c r="B12421" s="3">
        <f ca="1">IFERROR(__xludf.DUMMYFUNCTION("""COMPUTED_VALUE"""),4)</f>
        <v>4</v>
      </c>
      <c r="C12421" s="7">
        <f ca="1">IFERROR(__xludf.DUMMYFUNCTION("""COMPUTED_VALUE"""),4.1)</f>
        <v>4.0999999999999996</v>
      </c>
      <c r="D12421" s="8">
        <f ca="1">IFERROR(__xludf.DUMMYFUNCTION("""COMPUTED_VALUE"""),8)</f>
        <v>8</v>
      </c>
      <c r="E12421" s="2">
        <f ca="1">IFERROR(__xludf.DUMMYFUNCTION("""COMPUTED_VALUE"""),2)</f>
        <v>2</v>
      </c>
    </row>
    <row r="12422" spans="1:5" ht="13">
      <c r="A12422" s="2" t="str">
        <f ca="1">IFERROR(__xludf.DUMMYFUNCTION("""COMPUTED_VALUE"""),"Williams, Mattea")</f>
        <v>Williams, Mattea</v>
      </c>
      <c r="B12422" s="3">
        <f ca="1">IFERROR(__xludf.DUMMYFUNCTION("""COMPUTED_VALUE"""),4)</f>
        <v>4</v>
      </c>
      <c r="C12422" s="7">
        <f ca="1">IFERROR(__xludf.DUMMYFUNCTION("""COMPUTED_VALUE"""),4.1)</f>
        <v>4.0999999999999996</v>
      </c>
      <c r="D12422" s="8">
        <f ca="1">IFERROR(__xludf.DUMMYFUNCTION("""COMPUTED_VALUE"""),4)</f>
        <v>4</v>
      </c>
      <c r="E12422" s="2">
        <f ca="1">IFERROR(__xludf.DUMMYFUNCTION("""COMPUTED_VALUE"""),1)</f>
        <v>1</v>
      </c>
    </row>
    <row r="12423" spans="1:5" ht="13">
      <c r="A12423" s="2" t="str">
        <f ca="1">IFERROR(__xludf.DUMMYFUNCTION("""COMPUTED_VALUE"""),"Wilson, Anita")</f>
        <v>Wilson, Anita</v>
      </c>
      <c r="B12423" s="3">
        <f ca="1">IFERROR(__xludf.DUMMYFUNCTION("""COMPUTED_VALUE"""),4)</f>
        <v>4</v>
      </c>
      <c r="C12423" s="7">
        <f ca="1">IFERROR(__xludf.DUMMYFUNCTION("""COMPUTED_VALUE"""),4.1)</f>
        <v>4.0999999999999996</v>
      </c>
      <c r="D12423" s="8">
        <f ca="1">IFERROR(__xludf.DUMMYFUNCTION("""COMPUTED_VALUE"""),4)</f>
        <v>4</v>
      </c>
      <c r="E12423" s="2">
        <f ca="1">IFERROR(__xludf.DUMMYFUNCTION("""COMPUTED_VALUE"""),1)</f>
        <v>1</v>
      </c>
    </row>
    <row r="12424" spans="1:5" ht="13">
      <c r="A12424" s="8" t="str">
        <f ca="1">IFERROR(__xludf.DUMMYFUNCTION("""COMPUTED_VALUE"""),"Wilson, Melva")</f>
        <v>Wilson, Melva</v>
      </c>
      <c r="B12424" s="3">
        <f ca="1">IFERROR(__xludf.DUMMYFUNCTION("""COMPUTED_VALUE"""),4)</f>
        <v>4</v>
      </c>
      <c r="C12424" s="7">
        <f ca="1">IFERROR(__xludf.DUMMYFUNCTION("""COMPUTED_VALUE"""),4.1)</f>
        <v>4.0999999999999996</v>
      </c>
      <c r="D12424" s="8">
        <f ca="1">IFERROR(__xludf.DUMMYFUNCTION("""COMPUTED_VALUE"""),4)</f>
        <v>4</v>
      </c>
      <c r="E12424" s="2">
        <f ca="1">IFERROR(__xludf.DUMMYFUNCTION("""COMPUTED_VALUE"""),1)</f>
        <v>1</v>
      </c>
    </row>
    <row r="12425" spans="1:5" ht="13">
      <c r="A12425" s="2" t="str">
        <f ca="1">IFERROR(__xludf.DUMMYFUNCTION("""COMPUTED_VALUE"""),"Witter-Johnson, Ayanna")</f>
        <v>Witter-Johnson, Ayanna</v>
      </c>
      <c r="B12425" s="2">
        <f ca="1">IFERROR(__xludf.DUMMYFUNCTION("""COMPUTED_VALUE"""),4)</f>
        <v>4</v>
      </c>
      <c r="C12425" s="2">
        <f ca="1">IFERROR(__xludf.DUMMYFUNCTION("""COMPUTED_VALUE"""),4.1)</f>
        <v>4.0999999999999996</v>
      </c>
      <c r="D12425" s="8">
        <f ca="1">IFERROR(__xludf.DUMMYFUNCTION("""COMPUTED_VALUE"""),4)</f>
        <v>4</v>
      </c>
      <c r="E12425" s="2">
        <f ca="1">IFERROR(__xludf.DUMMYFUNCTION("""COMPUTED_VALUE"""),1)</f>
        <v>1</v>
      </c>
    </row>
    <row r="12426" spans="1:5" ht="13">
      <c r="A12426" s="2" t="str">
        <f ca="1">IFERROR(__xludf.DUMMYFUNCTION("""COMPUTED_VALUE"""),"Wong, Cynthia Lee")</f>
        <v>Wong, Cynthia Lee</v>
      </c>
      <c r="B12426" s="3">
        <f ca="1">IFERROR(__xludf.DUMMYFUNCTION("""COMPUTED_VALUE"""),4)</f>
        <v>4</v>
      </c>
      <c r="C12426" s="7">
        <f ca="1">IFERROR(__xludf.DUMMYFUNCTION("""COMPUTED_VALUE"""),4.3)</f>
        <v>4.3</v>
      </c>
      <c r="D12426" s="8">
        <f ca="1">IFERROR(__xludf.DUMMYFUNCTION("""COMPUTED_VALUE"""),4)</f>
        <v>4</v>
      </c>
      <c r="E12426" s="2">
        <f ca="1">IFERROR(__xludf.DUMMYFUNCTION("""COMPUTED_VALUE"""),1)</f>
        <v>1</v>
      </c>
    </row>
    <row r="12427" spans="1:5" ht="13">
      <c r="A12427" s="8" t="str">
        <f ca="1">IFERROR(__xludf.DUMMYFUNCTION("""COMPUTED_VALUE"""),"Wong, Theresa")</f>
        <v>Wong, Theresa</v>
      </c>
      <c r="B12427" s="3">
        <f ca="1">IFERROR(__xludf.DUMMYFUNCTION("""COMPUTED_VALUE"""),4)</f>
        <v>4</v>
      </c>
      <c r="C12427" s="7">
        <f ca="1">IFERROR(__xludf.DUMMYFUNCTION("""COMPUTED_VALUE"""),4.3)</f>
        <v>4.3</v>
      </c>
      <c r="D12427" s="8">
        <f ca="1">IFERROR(__xludf.DUMMYFUNCTION("""COMPUTED_VALUE"""),4)</f>
        <v>4</v>
      </c>
      <c r="E12427" s="2">
        <f ca="1">IFERROR(__xludf.DUMMYFUNCTION("""COMPUTED_VALUE"""),1)</f>
        <v>1</v>
      </c>
    </row>
    <row r="12428" spans="1:5" ht="13">
      <c r="A12428" s="2" t="str">
        <f ca="1">IFERROR(__xludf.DUMMYFUNCTION("""COMPUTED_VALUE"""),"Woo, Hyo-won")</f>
        <v>Woo, Hyo-won</v>
      </c>
      <c r="B12428" s="2">
        <f ca="1">IFERROR(__xludf.DUMMYFUNCTION("""COMPUTED_VALUE"""),4)</f>
        <v>4</v>
      </c>
      <c r="C12428" s="7">
        <f ca="1">IFERROR(__xludf.DUMMYFUNCTION("""COMPUTED_VALUE"""),4.3)</f>
        <v>4.3</v>
      </c>
      <c r="D12428" s="8">
        <f ca="1">IFERROR(__xludf.DUMMYFUNCTION("""COMPUTED_VALUE"""),4)</f>
        <v>4</v>
      </c>
      <c r="E12428" s="2">
        <f ca="1">IFERROR(__xludf.DUMMYFUNCTION("""COMPUTED_VALUE"""),1)</f>
        <v>1</v>
      </c>
    </row>
    <row r="12429" spans="1:5" ht="13">
      <c r="A12429" s="8" t="str">
        <f ca="1">IFERROR(__xludf.DUMMYFUNCTION("""COMPUTED_VALUE"""),"Woods, Ayanna")</f>
        <v>Woods, Ayanna</v>
      </c>
      <c r="B12429" s="3">
        <f ca="1">IFERROR(__xludf.DUMMYFUNCTION("""COMPUTED_VALUE"""),4)</f>
        <v>4</v>
      </c>
      <c r="C12429" s="7">
        <f ca="1">IFERROR(__xludf.DUMMYFUNCTION("""COMPUTED_VALUE"""),4.1)</f>
        <v>4.0999999999999996</v>
      </c>
      <c r="D12429" s="8">
        <f ca="1">IFERROR(__xludf.DUMMYFUNCTION("""COMPUTED_VALUE"""),4)</f>
        <v>4</v>
      </c>
      <c r="E12429" s="2">
        <f ca="1">IFERROR(__xludf.DUMMYFUNCTION("""COMPUTED_VALUE"""),1)</f>
        <v>1</v>
      </c>
    </row>
    <row r="12430" spans="1:5" ht="13">
      <c r="A12430" s="2" t="str">
        <f ca="1">IFERROR(__xludf.DUMMYFUNCTION("""COMPUTED_VALUE"""),"Wu Fei")</f>
        <v>Wu Fei</v>
      </c>
      <c r="B12430" s="2">
        <f ca="1">IFERROR(__xludf.DUMMYFUNCTION("""COMPUTED_VALUE"""),4)</f>
        <v>4</v>
      </c>
      <c r="C12430" s="7">
        <f ca="1">IFERROR(__xludf.DUMMYFUNCTION("""COMPUTED_VALUE"""),4.3)</f>
        <v>4.3</v>
      </c>
      <c r="D12430" s="8">
        <f ca="1">IFERROR(__xludf.DUMMYFUNCTION("""COMPUTED_VALUE"""),4)</f>
        <v>4</v>
      </c>
      <c r="E12430" s="2">
        <f ca="1">IFERROR(__xludf.DUMMYFUNCTION("""COMPUTED_VALUE"""),1)</f>
        <v>1</v>
      </c>
    </row>
    <row r="12431" spans="1:5" ht="13">
      <c r="A12431" s="8" t="str">
        <f ca="1">IFERROR(__xludf.DUMMYFUNCTION("""COMPUTED_VALUE"""),"Xi Wang")</f>
        <v>Xi Wang</v>
      </c>
      <c r="B12431" s="3">
        <f ca="1">IFERROR(__xludf.DUMMYFUNCTION("""COMPUTED_VALUE"""),4)</f>
        <v>4</v>
      </c>
      <c r="C12431" s="7">
        <f ca="1">IFERROR(__xludf.DUMMYFUNCTION("""COMPUTED_VALUE"""),4.3)</f>
        <v>4.3</v>
      </c>
      <c r="D12431" s="8">
        <f ca="1">IFERROR(__xludf.DUMMYFUNCTION("""COMPUTED_VALUE"""),4)</f>
        <v>4</v>
      </c>
      <c r="E12431" s="2">
        <f ca="1">IFERROR(__xludf.DUMMYFUNCTION("""COMPUTED_VALUE"""),1)</f>
        <v>1</v>
      </c>
    </row>
    <row r="12432" spans="1:5" ht="13">
      <c r="A12432" s="2" t="str">
        <f ca="1">IFERROR(__xludf.DUMMYFUNCTION("""COMPUTED_VALUE"""),"Yang Hua")</f>
        <v>Yang Hua</v>
      </c>
      <c r="B12432" s="3">
        <f ca="1">IFERROR(__xludf.DUMMYFUNCTION("""COMPUTED_VALUE"""),4)</f>
        <v>4</v>
      </c>
      <c r="C12432" s="7">
        <f ca="1">IFERROR(__xludf.DUMMYFUNCTION("""COMPUTED_VALUE"""),4.3)</f>
        <v>4.3</v>
      </c>
      <c r="D12432" s="8">
        <f ca="1">IFERROR(__xludf.DUMMYFUNCTION("""COMPUTED_VALUE"""),4)</f>
        <v>4</v>
      </c>
      <c r="E12432" s="2">
        <f ca="1">IFERROR(__xludf.DUMMYFUNCTION("""COMPUTED_VALUE"""),1)</f>
        <v>1</v>
      </c>
    </row>
    <row r="12433" spans="1:5" ht="13">
      <c r="A12433" s="2" t="str">
        <f ca="1">IFERROR(__xludf.DUMMYFUNCTION("""COMPUTED_VALUE"""),"Yen, Ming-Hsiu")</f>
        <v>Yen, Ming-Hsiu</v>
      </c>
      <c r="B12433" s="2">
        <f ca="1">IFERROR(__xludf.DUMMYFUNCTION("""COMPUTED_VALUE"""),4)</f>
        <v>4</v>
      </c>
      <c r="C12433" s="7">
        <f ca="1">IFERROR(__xludf.DUMMYFUNCTION("""COMPUTED_VALUE"""),4.3)</f>
        <v>4.3</v>
      </c>
      <c r="D12433" s="8">
        <f ca="1">IFERROR(__xludf.DUMMYFUNCTION("""COMPUTED_VALUE"""),4)</f>
        <v>4</v>
      </c>
      <c r="E12433" s="2">
        <f ca="1">IFERROR(__xludf.DUMMYFUNCTION("""COMPUTED_VALUE"""),1)</f>
        <v>1</v>
      </c>
    </row>
    <row r="12434" spans="1:5" ht="13">
      <c r="A12434" s="2" t="str">
        <f ca="1">IFERROR(__xludf.DUMMYFUNCTION("""COMPUTED_VALUE"""),"Yeonsuk Jung")</f>
        <v>Yeonsuk Jung</v>
      </c>
      <c r="B12434" s="2">
        <f ca="1">IFERROR(__xludf.DUMMYFUNCTION("""COMPUTED_VALUE"""),4)</f>
        <v>4</v>
      </c>
      <c r="C12434" s="2">
        <f ca="1">IFERROR(__xludf.DUMMYFUNCTION("""COMPUTED_VALUE"""),4.3)</f>
        <v>4.3</v>
      </c>
      <c r="D12434" s="8">
        <f ca="1">IFERROR(__xludf.DUMMYFUNCTION("""COMPUTED_VALUE"""),4)</f>
        <v>4</v>
      </c>
      <c r="E12434" s="2">
        <f ca="1">IFERROR(__xludf.DUMMYFUNCTION("""COMPUTED_VALUE"""),1)</f>
        <v>1</v>
      </c>
    </row>
    <row r="12435" spans="1:5" ht="13">
      <c r="A12435" s="2" t="str">
        <f ca="1">IFERROR(__xludf.DUMMYFUNCTION("""COMPUTED_VALUE"""),"Yi, Chen")</f>
        <v>Yi, Chen</v>
      </c>
      <c r="B12435" s="3">
        <f ca="1">IFERROR(__xludf.DUMMYFUNCTION("""COMPUTED_VALUE"""),4)</f>
        <v>4</v>
      </c>
      <c r="C12435" s="7">
        <f ca="1">IFERROR(__xludf.DUMMYFUNCTION("""COMPUTED_VALUE"""),4.3)</f>
        <v>4.3</v>
      </c>
      <c r="D12435" s="8">
        <f ca="1">IFERROR(__xludf.DUMMYFUNCTION("""COMPUTED_VALUE"""),4)</f>
        <v>4</v>
      </c>
      <c r="E12435" s="2">
        <f ca="1">IFERROR(__xludf.DUMMYFUNCTION("""COMPUTED_VALUE"""),1)</f>
        <v>1</v>
      </c>
    </row>
    <row r="12436" spans="1:5" ht="13">
      <c r="A12436" s="2" t="str">
        <f ca="1">IFERROR(__xludf.DUMMYFUNCTION("""COMPUTED_VALUE"""),"Yoder, Teresa Cobarrubia")</f>
        <v>Yoder, Teresa Cobarrubia</v>
      </c>
      <c r="B12436" s="3">
        <f ca="1">IFERROR(__xludf.DUMMYFUNCTION("""COMPUTED_VALUE"""),4)</f>
        <v>4</v>
      </c>
      <c r="C12436" s="7">
        <f ca="1">IFERROR(__xludf.DUMMYFUNCTION("""COMPUTED_VALUE"""),4.3)</f>
        <v>4.3</v>
      </c>
      <c r="D12436" s="8">
        <f ca="1">IFERROR(__xludf.DUMMYFUNCTION("""COMPUTED_VALUE"""),4)</f>
        <v>4</v>
      </c>
      <c r="E12436" s="2">
        <f ca="1">IFERROR(__xludf.DUMMYFUNCTION("""COMPUTED_VALUE"""),1)</f>
        <v>1</v>
      </c>
    </row>
    <row r="12437" spans="1:5" ht="13">
      <c r="A12437" s="8" t="str">
        <f ca="1">IFERROR(__xludf.DUMMYFUNCTION("""COMPUTED_VALUE"""),"Yoshioka, Rina")</f>
        <v>Yoshioka, Rina</v>
      </c>
      <c r="B12437" s="3">
        <f ca="1">IFERROR(__xludf.DUMMYFUNCTION("""COMPUTED_VALUE"""),4)</f>
        <v>4</v>
      </c>
      <c r="C12437" s="7">
        <f ca="1">IFERROR(__xludf.DUMMYFUNCTION("""COMPUTED_VALUE"""),4.3)</f>
        <v>4.3</v>
      </c>
      <c r="D12437" s="8">
        <f ca="1">IFERROR(__xludf.DUMMYFUNCTION("""COMPUTED_VALUE"""),4)</f>
        <v>4</v>
      </c>
      <c r="E12437" s="2">
        <f ca="1">IFERROR(__xludf.DUMMYFUNCTION("""COMPUTED_VALUE"""),1)</f>
        <v>1</v>
      </c>
    </row>
    <row r="12438" spans="1:5" ht="13">
      <c r="A12438" s="2" t="str">
        <f ca="1">IFERROR(__xludf.DUMMYFUNCTION("""COMPUTED_VALUE"""),"Young, Nina C.")</f>
        <v>Young, Nina C.</v>
      </c>
      <c r="B12438" s="3">
        <f ca="1">IFERROR(__xludf.DUMMYFUNCTION("""COMPUTED_VALUE"""),4)</f>
        <v>4</v>
      </c>
      <c r="C12438" s="7">
        <f ca="1">IFERROR(__xludf.DUMMYFUNCTION("""COMPUTED_VALUE"""),4.3)</f>
        <v>4.3</v>
      </c>
      <c r="D12438" s="8">
        <f ca="1">IFERROR(__xludf.DUMMYFUNCTION("""COMPUTED_VALUE"""),4)</f>
        <v>4</v>
      </c>
      <c r="E12438" s="2">
        <f ca="1">IFERROR(__xludf.DUMMYFUNCTION("""COMPUTED_VALUE"""),1)</f>
        <v>1</v>
      </c>
    </row>
    <row r="12439" spans="1:5" ht="13">
      <c r="A12439" s="2" t="str">
        <f ca="1">IFERROR(__xludf.DUMMYFUNCTION("""COMPUTED_VALUE"""),"Yuanyuan (Kay) He")</f>
        <v>Yuanyuan (Kay) He</v>
      </c>
      <c r="B12439" s="2">
        <f ca="1">IFERROR(__xludf.DUMMYFUNCTION("""COMPUTED_VALUE"""),4)</f>
        <v>4</v>
      </c>
      <c r="C12439" s="7">
        <f ca="1">IFERROR(__xludf.DUMMYFUNCTION("""COMPUTED_VALUE"""),4.3)</f>
        <v>4.3</v>
      </c>
      <c r="D12439" s="8">
        <f ca="1">IFERROR(__xludf.DUMMYFUNCTION("""COMPUTED_VALUE"""),4)</f>
        <v>4</v>
      </c>
      <c r="E12439" s="2">
        <f ca="1">IFERROR(__xludf.DUMMYFUNCTION("""COMPUTED_VALUE"""),1)</f>
        <v>1</v>
      </c>
    </row>
    <row r="12440" spans="1:5" ht="13">
      <c r="A12440" s="8" t="str">
        <f ca="1">IFERROR(__xludf.DUMMYFUNCTION("""COMPUTED_VALUE"""),"Yunfei Li")</f>
        <v>Yunfei Li</v>
      </c>
      <c r="B12440" s="3">
        <f ca="1">IFERROR(__xludf.DUMMYFUNCTION("""COMPUTED_VALUE"""),4)</f>
        <v>4</v>
      </c>
      <c r="C12440" s="7">
        <f ca="1">IFERROR(__xludf.DUMMYFUNCTION("""COMPUTED_VALUE"""),4.3)</f>
        <v>4.3</v>
      </c>
      <c r="D12440" s="8">
        <f ca="1">IFERROR(__xludf.DUMMYFUNCTION("""COMPUTED_VALUE"""),4)</f>
        <v>4</v>
      </c>
      <c r="E12440" s="2">
        <f ca="1">IFERROR(__xludf.DUMMYFUNCTION("""COMPUTED_VALUE"""),1)</f>
        <v>1</v>
      </c>
    </row>
    <row r="12441" spans="1:5" ht="13">
      <c r="A12441" s="2" t="str">
        <f ca="1">IFERROR(__xludf.DUMMYFUNCTION("""COMPUTED_VALUE"""),"Zheng, Bilin")</f>
        <v>Zheng, Bilin</v>
      </c>
      <c r="B12441" s="2">
        <f ca="1">IFERROR(__xludf.DUMMYFUNCTION("""COMPUTED_VALUE"""),4)</f>
        <v>4</v>
      </c>
      <c r="C12441" s="7">
        <f ca="1">IFERROR(__xludf.DUMMYFUNCTION("""COMPUTED_VALUE"""),4.3)</f>
        <v>4.3</v>
      </c>
      <c r="D12441" s="8">
        <f ca="1">IFERROR(__xludf.DUMMYFUNCTION("""COMPUTED_VALUE"""),4)</f>
        <v>4</v>
      </c>
      <c r="E12441" s="2">
        <f ca="1">IFERROR(__xludf.DUMMYFUNCTION("""COMPUTED_VALUE"""),1)</f>
        <v>1</v>
      </c>
    </row>
    <row r="12442" spans="1:5" ht="13">
      <c r="A12442" s="2" t="str">
        <f ca="1">IFERROR(__xludf.DUMMYFUNCTION("""COMPUTED_VALUE"""),"Zisser, Na'ama")</f>
        <v>Zisser, Na'ama</v>
      </c>
      <c r="B12442" s="3">
        <f ca="1">IFERROR(__xludf.DUMMYFUNCTION("""COMPUTED_VALUE"""),4)</f>
        <v>4</v>
      </c>
      <c r="C12442" s="7">
        <f ca="1">IFERROR(__xludf.DUMMYFUNCTION("""COMPUTED_VALUE"""),4.5)</f>
        <v>4.5</v>
      </c>
      <c r="D12442" s="8">
        <f ca="1">IFERROR(__xludf.DUMMYFUNCTION("""COMPUTED_VALUE"""),4)</f>
        <v>4</v>
      </c>
      <c r="E12442" s="2">
        <f ca="1">IFERROR(__xludf.DUMMYFUNCTION("""COMPUTED_VALUE"""),1)</f>
        <v>1</v>
      </c>
    </row>
    <row r="12443" spans="1:5" ht="13">
      <c r="A12443" s="2" t="str">
        <f ca="1">IFERROR(__xludf.DUMMYFUNCTION("""COMPUTED_VALUE"""),"Ziyu Wang")</f>
        <v>Ziyu Wang</v>
      </c>
      <c r="B12443" s="3">
        <f ca="1">IFERROR(__xludf.DUMMYFUNCTION("""COMPUTED_VALUE"""),4)</f>
        <v>4</v>
      </c>
      <c r="C12443" s="7">
        <f ca="1">IFERROR(__xludf.DUMMYFUNCTION("""COMPUTED_VALUE"""),4.3)</f>
        <v>4.3</v>
      </c>
      <c r="D12443" s="8">
        <f ca="1">IFERROR(__xludf.DUMMYFUNCTION("""COMPUTED_VALUE"""),4)</f>
        <v>4</v>
      </c>
      <c r="E12443" s="2">
        <f ca="1">IFERROR(__xludf.DUMMYFUNCTION("""COMPUTED_VALUE"""),1)</f>
        <v>1</v>
      </c>
    </row>
    <row r="12444" spans="1:5" ht="13">
      <c r="A12444" s="2" t="str">
        <f ca="1">IFERROR(__xludf.DUMMYFUNCTION("""COMPUTED_VALUE"""),"Dutcher, Jeremy")</f>
        <v>Dutcher, Jeremy</v>
      </c>
      <c r="B12444" s="3">
        <f ca="1">IFERROR(__xludf.DUMMYFUNCTION("""COMPUTED_VALUE"""),5)</f>
        <v>5</v>
      </c>
      <c r="C12444" s="7">
        <f ca="1">IFERROR(__xludf.DUMMYFUNCTION("""COMPUTED_VALUE"""),5)</f>
        <v>5</v>
      </c>
      <c r="D12444" s="8">
        <f ca="1">IFERROR(__xludf.DUMMYFUNCTION("""COMPUTED_VALUE"""),9)</f>
        <v>9</v>
      </c>
      <c r="E12444" s="2">
        <f ca="1">IFERROR(__xludf.DUMMYFUNCTION("""COMPUTED_VALUE"""),1)</f>
        <v>1</v>
      </c>
    </row>
    <row r="12445" spans="1:5" ht="13">
      <c r="A12445" s="2" t="str">
        <f ca="1">IFERROR(__xludf.DUMMYFUNCTION("""COMPUTED_VALUE"""),"figgis-vizueta, inti")</f>
        <v>figgis-vizueta, inti</v>
      </c>
      <c r="B12445" s="2">
        <f ca="1">IFERROR(__xludf.DUMMYFUNCTION("""COMPUTED_VALUE"""),5)</f>
        <v>5</v>
      </c>
      <c r="C12445" s="7">
        <f ca="1">IFERROR(__xludf.DUMMYFUNCTION("""COMPUTED_VALUE"""),5.2)</f>
        <v>5.2</v>
      </c>
      <c r="D12445" s="8">
        <f ca="1">IFERROR(__xludf.DUMMYFUNCTION("""COMPUTED_VALUE"""),9)</f>
        <v>9</v>
      </c>
      <c r="E12445" s="2">
        <f ca="1">IFERROR(__xludf.DUMMYFUNCTION("""COMPUTED_VALUE"""),1)</f>
        <v>1</v>
      </c>
    </row>
    <row r="12446" spans="1:5" ht="13">
      <c r="A12446" s="2" t="str">
        <f ca="1">IFERROR(__xludf.DUMMYFUNCTION("""COMPUTED_VALUE"""),"Hendrickson, Jordan")</f>
        <v>Hendrickson, Jordan</v>
      </c>
      <c r="B12446" s="2">
        <f ca="1">IFERROR(__xludf.DUMMYFUNCTION("""COMPUTED_VALUE"""),5)</f>
        <v>5</v>
      </c>
      <c r="C12446" s="7">
        <f ca="1">IFERROR(__xludf.DUMMYFUNCTION("""COMPUTED_VALUE"""),5.1)</f>
        <v>5.0999999999999996</v>
      </c>
      <c r="D12446" s="8">
        <f ca="1">IFERROR(__xludf.DUMMYFUNCTION("""COMPUTED_VALUE"""),9)</f>
        <v>9</v>
      </c>
      <c r="E12446" s="2">
        <f ca="1">IFERROR(__xludf.DUMMYFUNCTION("""COMPUTED_VALUE"""),1)</f>
        <v>1</v>
      </c>
    </row>
    <row r="12447" spans="1:5" ht="13">
      <c r="A12447" s="8" t="str">
        <f ca="1">IFERROR(__xludf.DUMMYFUNCTION("""COMPUTED_VALUE"""),"Hennies, Sarah")</f>
        <v>Hennies, Sarah</v>
      </c>
      <c r="B12447" s="3">
        <f ca="1">IFERROR(__xludf.DUMMYFUNCTION("""COMPUTED_VALUE"""),5)</f>
        <v>5</v>
      </c>
      <c r="C12447" s="7">
        <f ca="1">IFERROR(__xludf.DUMMYFUNCTION("""COMPUTED_VALUE"""),5)</f>
        <v>5</v>
      </c>
      <c r="D12447" s="8">
        <f ca="1">IFERROR(__xludf.DUMMYFUNCTION("""COMPUTED_VALUE"""),9)</f>
        <v>9</v>
      </c>
      <c r="E12447" s="2">
        <f ca="1">IFERROR(__xludf.DUMMYFUNCTION("""COMPUTED_VALUE"""),1)</f>
        <v>1</v>
      </c>
    </row>
    <row r="12448" spans="1:5" ht="13">
      <c r="A12448" s="2" t="str">
        <f ca="1">IFERROR(__xludf.DUMMYFUNCTION("""COMPUTED_VALUE"""),"Jiang, Alison Yun-Fei")</f>
        <v>Jiang, Alison Yun-Fei</v>
      </c>
      <c r="B12448" s="3">
        <f ca="1">IFERROR(__xludf.DUMMYFUNCTION("""COMPUTED_VALUE"""),5)</f>
        <v>5</v>
      </c>
      <c r="C12448" s="7">
        <f ca="1">IFERROR(__xludf.DUMMYFUNCTION("""COMPUTED_VALUE"""),5.3)</f>
        <v>5.3</v>
      </c>
      <c r="D12448" s="8">
        <f ca="1">IFERROR(__xludf.DUMMYFUNCTION("""COMPUTED_VALUE"""),9)</f>
        <v>9</v>
      </c>
      <c r="E12448" s="2">
        <f ca="1">IFERROR(__xludf.DUMMYFUNCTION("""COMPUTED_VALUE"""),1)</f>
        <v>1</v>
      </c>
    </row>
    <row r="12449" spans="1:5" ht="13">
      <c r="A12449" s="2" t="str">
        <f ca="1">IFERROR(__xludf.DUMMYFUNCTION("""COMPUTED_VALUE"""),"Lancaster, Yaz")</f>
        <v>Lancaster, Yaz</v>
      </c>
      <c r="B12449" s="3">
        <f ca="1">IFERROR(__xludf.DUMMYFUNCTION("""COMPUTED_VALUE"""),5)</f>
        <v>5</v>
      </c>
      <c r="C12449" s="7">
        <f ca="1">IFERROR(__xludf.DUMMYFUNCTION("""COMPUTED_VALUE"""),5)</f>
        <v>5</v>
      </c>
      <c r="D12449" s="8">
        <f ca="1">IFERROR(__xludf.DUMMYFUNCTION("""COMPUTED_VALUE"""),9)</f>
        <v>9</v>
      </c>
      <c r="E12449" s="2">
        <f ca="1">IFERROR(__xludf.DUMMYFUNCTION("""COMPUTED_VALUE"""),1)</f>
        <v>1</v>
      </c>
    </row>
    <row r="12450" spans="1:5" ht="13">
      <c r="A12450" s="2" t="str">
        <f ca="1">IFERROR(__xludf.DUMMYFUNCTION("""COMPUTED_VALUE"""),"Maysaud, Nebal")</f>
        <v>Maysaud, Nebal</v>
      </c>
      <c r="B12450" s="2">
        <f ca="1">IFERROR(__xludf.DUMMYFUNCTION("""COMPUTED_VALUE"""),5)</f>
        <v>5</v>
      </c>
      <c r="C12450" s="7">
        <f ca="1">IFERROR(__xludf.DUMMYFUNCTION("""COMPUTED_VALUE"""),5.5)</f>
        <v>5.5</v>
      </c>
      <c r="D12450" s="8">
        <f ca="1">IFERROR(__xludf.DUMMYFUNCTION("""COMPUTED_VALUE"""),9)</f>
        <v>9</v>
      </c>
      <c r="E12450" s="2">
        <f ca="1">IFERROR(__xludf.DUMMYFUNCTION("""COMPUTED_VALUE"""),1)</f>
        <v>1</v>
      </c>
    </row>
    <row r="12451" spans="1:5" ht="13">
      <c r="A12451" s="2" t="str">
        <f ca="1">IFERROR(__xludf.DUMMYFUNCTION("""COMPUTED_VALUE"""),"Menard, Tanner")</f>
        <v>Menard, Tanner</v>
      </c>
      <c r="B12451" s="3">
        <f ca="1">IFERROR(__xludf.DUMMYFUNCTION("""COMPUTED_VALUE"""),5)</f>
        <v>5</v>
      </c>
      <c r="C12451" s="7">
        <f ca="1">IFERROR(__xludf.DUMMYFUNCTION("""COMPUTED_VALUE"""),5.7)</f>
        <v>5.7</v>
      </c>
      <c r="D12451" s="8">
        <f ca="1">IFERROR(__xludf.DUMMYFUNCTION("""COMPUTED_VALUE"""),9)</f>
        <v>9</v>
      </c>
      <c r="E12451" s="2">
        <f ca="1">IFERROR(__xludf.DUMMYFUNCTION("""COMPUTED_VALUE"""),1)</f>
        <v>1</v>
      </c>
    </row>
    <row r="12452" spans="1:5" ht="13">
      <c r="A12452" s="2" t="str">
        <f ca="1">IFERROR(__xludf.DUMMYFUNCTION("""COMPUTED_VALUE"""),"Moller, Natalie")</f>
        <v>Moller, Natalie</v>
      </c>
      <c r="B12452" s="2">
        <f ca="1">IFERROR(__xludf.DUMMYFUNCTION("""COMPUTED_VALUE"""),5)</f>
        <v>5</v>
      </c>
      <c r="C12452" s="7">
        <f ca="1">IFERROR(__xludf.DUMMYFUNCTION("""COMPUTED_VALUE"""),5)</f>
        <v>5</v>
      </c>
      <c r="D12452" s="8">
        <f ca="1">IFERROR(__xludf.DUMMYFUNCTION("""COMPUTED_VALUE"""),9)</f>
        <v>9</v>
      </c>
      <c r="E12452" s="2">
        <f ca="1">IFERROR(__xludf.DUMMYFUNCTION("""COMPUTED_VALUE"""),1)</f>
        <v>1</v>
      </c>
    </row>
    <row r="12453" spans="1:5" ht="13">
      <c r="A12453" s="2" t="str">
        <f ca="1">IFERROR(__xludf.DUMMYFUNCTION("""COMPUTED_VALUE"""),"Pirasteh, Sepehr")</f>
        <v>Pirasteh, Sepehr</v>
      </c>
      <c r="B12453" s="2">
        <f ca="1">IFERROR(__xludf.DUMMYFUNCTION("""COMPUTED_VALUE"""),5)</f>
        <v>5</v>
      </c>
      <c r="C12453" s="2">
        <f ca="1">IFERROR(__xludf.DUMMYFUNCTION("""COMPUTED_VALUE"""),5.4)</f>
        <v>5.4</v>
      </c>
      <c r="D12453" s="8">
        <f ca="1">IFERROR(__xludf.DUMMYFUNCTION("""COMPUTED_VALUE"""),9)</f>
        <v>9</v>
      </c>
      <c r="E12453" s="2">
        <f ca="1">IFERROR(__xludf.DUMMYFUNCTION("""COMPUTED_VALUE"""),1)</f>
        <v>1</v>
      </c>
    </row>
    <row r="12454" spans="1:5" ht="13">
      <c r="A12454" s="2" t="str">
        <f ca="1">IFERROR(__xludf.DUMMYFUNCTION("""COMPUTED_VALUE"""),"Singer, Tonya Wind")</f>
        <v>Singer, Tonya Wind</v>
      </c>
      <c r="B12454" s="3">
        <f ca="1">IFERROR(__xludf.DUMMYFUNCTION("""COMPUTED_VALUE"""),5)</f>
        <v>5</v>
      </c>
      <c r="C12454" s="7">
        <f ca="1">IFERROR(__xludf.DUMMYFUNCTION("""COMPUTED_VALUE"""),5.7)</f>
        <v>5.7</v>
      </c>
      <c r="D12454" s="8">
        <f ca="1">IFERROR(__xludf.DUMMYFUNCTION("""COMPUTED_VALUE"""),9)</f>
        <v>9</v>
      </c>
      <c r="E12454" s="2">
        <f ca="1">IFERROR(__xludf.DUMMYFUNCTION("""COMPUTED_VALUE"""),1)</f>
        <v>1</v>
      </c>
    </row>
    <row r="12455" spans="1:5" ht="13">
      <c r="A12455" s="2" t="str">
        <f ca="1">IFERROR(__xludf.DUMMYFUNCTION("""COMPUTED_VALUE"""),"soloman, brin")</f>
        <v>soloman, brin</v>
      </c>
      <c r="B12455" s="2">
        <f ca="1">IFERROR(__xludf.DUMMYFUNCTION("""COMPUTED_VALUE"""),5)</f>
        <v>5</v>
      </c>
      <c r="C12455" s="7">
        <f ca="1">IFERROR(__xludf.DUMMYFUNCTION("""COMPUTED_VALUE"""),5)</f>
        <v>5</v>
      </c>
      <c r="D12455" s="8">
        <f ca="1">IFERROR(__xludf.DUMMYFUNCTION("""COMPUTED_VALUE"""),9)</f>
        <v>9</v>
      </c>
      <c r="E12455" s="2">
        <f ca="1">IFERROR(__xludf.DUMMYFUNCTION("""COMPUTED_VALUE"""),1)</f>
        <v>1</v>
      </c>
    </row>
    <row r="12456" spans="1:5" ht="13">
      <c r="A12456" s="2" t="str">
        <f ca="1">IFERROR(__xludf.DUMMYFUNCTION("""COMPUTED_VALUE"""),"Thomasian, Jasmine")</f>
        <v>Thomasian, Jasmine</v>
      </c>
      <c r="B12456" s="2">
        <f ca="1">IFERROR(__xludf.DUMMYFUNCTION("""COMPUTED_VALUE"""),5)</f>
        <v>5</v>
      </c>
      <c r="C12456" s="7">
        <f ca="1">IFERROR(__xludf.DUMMYFUNCTION("""COMPUTED_VALUE"""),5)</f>
        <v>5</v>
      </c>
      <c r="D12456" s="8">
        <f ca="1">IFERROR(__xludf.DUMMYFUNCTION("""COMPUTED_VALUE"""),9)</f>
        <v>9</v>
      </c>
      <c r="E12456" s="2">
        <f ca="1">IFERROR(__xludf.DUMMYFUNCTION("""COMPUTED_VALUE"""),1)</f>
        <v>1</v>
      </c>
    </row>
    <row r="12457" spans="1:5" ht="13">
      <c r="A12457" s="2" t="str">
        <f ca="1">IFERROR(__xludf.DUMMYFUNCTION("""COMPUTED_VALUE"""),"Wojtczack, Mateo")</f>
        <v>Wojtczack, Mateo</v>
      </c>
      <c r="B12457" s="3">
        <f ca="1">IFERROR(__xludf.DUMMYFUNCTION("""COMPUTED_VALUE"""),5)</f>
        <v>5</v>
      </c>
      <c r="C12457" s="7">
        <f ca="1">IFERROR(__xludf.DUMMYFUNCTION("""COMPUTED_VALUE"""),5)</f>
        <v>5</v>
      </c>
      <c r="D12457" s="8">
        <f ca="1">IFERROR(__xludf.DUMMYFUNCTION("""COMPUTED_VALUE"""),9)</f>
        <v>9</v>
      </c>
      <c r="E12457" s="2">
        <f ca="1">IFERROR(__xludf.DUMMYFUNCTION("""COMPUTED_VALUE"""),1)</f>
        <v>1</v>
      </c>
    </row>
    <row r="12458" spans="1:5" ht="13">
      <c r="A12458" s="2" t="str">
        <f ca="1">IFERROR(__xludf.DUMMYFUNCTION("""COMPUTED_VALUE"""),"-")</f>
        <v>-</v>
      </c>
      <c r="B12458" s="2">
        <f ca="1">IFERROR(__xludf.DUMMYFUNCTION("""COMPUTED_VALUE"""),999)</f>
        <v>999</v>
      </c>
      <c r="C12458" s="7">
        <f ca="1">IFERROR(__xludf.DUMMYFUNCTION("""COMPUTED_VALUE"""),999)</f>
        <v>999</v>
      </c>
      <c r="D12458" s="8">
        <f ca="1">IFERROR(__xludf.DUMMYFUNCTION("""COMPUTED_VALUE"""),999)</f>
        <v>999</v>
      </c>
      <c r="E12458" s="2">
        <f ca="1">IFERROR(__xludf.DUMMYFUNCTION("""COMPUTED_VALUE"""),999)</f>
        <v>999</v>
      </c>
    </row>
    <row r="12459" spans="1:5" ht="13">
      <c r="A12459" s="2" t="str">
        <f ca="1">IFERROR(__xludf.DUMMYFUNCTION("""COMPUTED_VALUE"""),"(unclear)")</f>
        <v>(unclear)</v>
      </c>
      <c r="B12459" s="2">
        <f ca="1">IFERROR(__xludf.DUMMYFUNCTION("""COMPUTED_VALUE"""),999)</f>
        <v>999</v>
      </c>
      <c r="C12459" s="7">
        <f ca="1">IFERROR(__xludf.DUMMYFUNCTION("""COMPUTED_VALUE"""),999)</f>
        <v>999</v>
      </c>
      <c r="D12459" s="8">
        <f ca="1">IFERROR(__xludf.DUMMYFUNCTION("""COMPUTED_VALUE"""),999)</f>
        <v>999</v>
      </c>
      <c r="E12459" s="2">
        <f ca="1">IFERROR(__xludf.DUMMYFUNCTION("""COMPUTED_VALUE"""),999)</f>
        <v>999</v>
      </c>
    </row>
    <row r="12460" spans="1:5" ht="13">
      <c r="A12460" s="8" t="str">
        <f ca="1">IFERROR(__xludf.DUMMYFUNCTION("""COMPUTED_VALUE"""),"13th Century - Anonymous")</f>
        <v>13th Century - Anonymous</v>
      </c>
      <c r="B12460" s="2">
        <f ca="1">IFERROR(__xludf.DUMMYFUNCTION("""COMPUTED_VALUE"""),999)</f>
        <v>999</v>
      </c>
      <c r="C12460" s="7">
        <f ca="1">IFERROR(__xludf.DUMMYFUNCTION("""COMPUTED_VALUE"""),999)</f>
        <v>999</v>
      </c>
      <c r="D12460" s="8">
        <f ca="1">IFERROR(__xludf.DUMMYFUNCTION("""COMPUTED_VALUE"""),999)</f>
        <v>999</v>
      </c>
      <c r="E12460" s="2">
        <f ca="1">IFERROR(__xludf.DUMMYFUNCTION("""COMPUTED_VALUE"""),999)</f>
        <v>999</v>
      </c>
    </row>
    <row r="12461" spans="1:5" ht="13">
      <c r="A12461" s="8" t="str">
        <f ca="1">IFERROR(__xludf.DUMMYFUNCTION("""COMPUTED_VALUE"""),"15th Century - Anonymous")</f>
        <v>15th Century - Anonymous</v>
      </c>
      <c r="B12461" s="3">
        <f ca="1">IFERROR(__xludf.DUMMYFUNCTION("""COMPUTED_VALUE"""),999)</f>
        <v>999</v>
      </c>
      <c r="C12461" s="7">
        <f ca="1">IFERROR(__xludf.DUMMYFUNCTION("""COMPUTED_VALUE"""),999)</f>
        <v>999</v>
      </c>
      <c r="D12461" s="8">
        <f ca="1">IFERROR(__xludf.DUMMYFUNCTION("""COMPUTED_VALUE"""),999)</f>
        <v>999</v>
      </c>
      <c r="E12461" s="2">
        <f ca="1">IFERROR(__xludf.DUMMYFUNCTION("""COMPUTED_VALUE"""),999)</f>
        <v>999</v>
      </c>
    </row>
    <row r="12462" spans="1:5" ht="13">
      <c r="A12462" s="2" t="str">
        <f ca="1">IFERROR(__xludf.DUMMYFUNCTION("""COMPUTED_VALUE"""),"15th Century Hussite War Song")</f>
        <v>15th Century Hussite War Song</v>
      </c>
      <c r="B12462" s="2">
        <f ca="1">IFERROR(__xludf.DUMMYFUNCTION("""COMPUTED_VALUE"""),999)</f>
        <v>999</v>
      </c>
      <c r="C12462" s="7">
        <f ca="1">IFERROR(__xludf.DUMMYFUNCTION("""COMPUTED_VALUE"""),999)</f>
        <v>999</v>
      </c>
      <c r="D12462" s="8">
        <f ca="1">IFERROR(__xludf.DUMMYFUNCTION("""COMPUTED_VALUE"""),999)</f>
        <v>999</v>
      </c>
      <c r="E12462" s="2">
        <f ca="1">IFERROR(__xludf.DUMMYFUNCTION("""COMPUTED_VALUE"""),999)</f>
        <v>999</v>
      </c>
    </row>
    <row r="12463" spans="1:5" ht="13">
      <c r="A12463" s="8" t="str">
        <f ca="1">IFERROR(__xludf.DUMMYFUNCTION("""COMPUTED_VALUE"""),"16th Century - Anonymous")</f>
        <v>16th Century - Anonymous</v>
      </c>
      <c r="B12463" s="2">
        <f ca="1">IFERROR(__xludf.DUMMYFUNCTION("""COMPUTED_VALUE"""),999)</f>
        <v>999</v>
      </c>
      <c r="C12463" s="7">
        <f ca="1">IFERROR(__xludf.DUMMYFUNCTION("""COMPUTED_VALUE"""),999)</f>
        <v>999</v>
      </c>
      <c r="D12463" s="8">
        <f ca="1">IFERROR(__xludf.DUMMYFUNCTION("""COMPUTED_VALUE"""),999)</f>
        <v>999</v>
      </c>
      <c r="E12463" s="2">
        <f ca="1">IFERROR(__xludf.DUMMYFUNCTION("""COMPUTED_VALUE"""),999)</f>
        <v>999</v>
      </c>
    </row>
    <row r="12464" spans="1:5" ht="13">
      <c r="A12464" s="2" t="str">
        <f ca="1">IFERROR(__xludf.DUMMYFUNCTION("""COMPUTED_VALUE"""),"16th Century Westphalian Folk Song")</f>
        <v>16th Century Westphalian Folk Song</v>
      </c>
      <c r="B12464" s="2">
        <f ca="1">IFERROR(__xludf.DUMMYFUNCTION("""COMPUTED_VALUE"""),999)</f>
        <v>999</v>
      </c>
      <c r="C12464" s="7">
        <f ca="1">IFERROR(__xludf.DUMMYFUNCTION("""COMPUTED_VALUE"""),999)</f>
        <v>999</v>
      </c>
      <c r="D12464" s="8">
        <f ca="1">IFERROR(__xludf.DUMMYFUNCTION("""COMPUTED_VALUE"""),999)</f>
        <v>999</v>
      </c>
      <c r="E12464" s="2">
        <f ca="1">IFERROR(__xludf.DUMMYFUNCTION("""COMPUTED_VALUE"""),999)</f>
        <v>999</v>
      </c>
    </row>
    <row r="12465" spans="1:5" ht="13">
      <c r="A12465" s="2" t="str">
        <f ca="1">IFERROR(__xludf.DUMMYFUNCTION("""COMPUTED_VALUE"""),"ABBA")</f>
        <v>ABBA</v>
      </c>
      <c r="B12465" s="3">
        <f ca="1">IFERROR(__xludf.DUMMYFUNCTION("""COMPUTED_VALUE"""),999)</f>
        <v>999</v>
      </c>
      <c r="C12465" s="7">
        <f ca="1">IFERROR(__xludf.DUMMYFUNCTION("""COMPUTED_VALUE"""),999)</f>
        <v>999</v>
      </c>
      <c r="D12465" s="8">
        <f ca="1">IFERROR(__xludf.DUMMYFUNCTION("""COMPUTED_VALUE"""),999)</f>
        <v>999</v>
      </c>
      <c r="E12465" s="2">
        <f ca="1">IFERROR(__xludf.DUMMYFUNCTION("""COMPUTED_VALUE"""),999)</f>
        <v>999</v>
      </c>
    </row>
    <row r="12466" spans="1:5" ht="13">
      <c r="A12466" s="8" t="str">
        <f ca="1">IFERROR(__xludf.DUMMYFUNCTION("""COMPUTED_VALUE"""),"Abbott")</f>
        <v>Abbott</v>
      </c>
      <c r="B12466" s="2">
        <f ca="1">IFERROR(__xludf.DUMMYFUNCTION("""COMPUTED_VALUE"""),999)</f>
        <v>999</v>
      </c>
      <c r="C12466" s="7">
        <f ca="1">IFERROR(__xludf.DUMMYFUNCTION("""COMPUTED_VALUE"""),999)</f>
        <v>999</v>
      </c>
      <c r="D12466" s="8">
        <f ca="1">IFERROR(__xludf.DUMMYFUNCTION("""COMPUTED_VALUE"""),999)</f>
        <v>999</v>
      </c>
      <c r="E12466" s="2">
        <f ca="1">IFERROR(__xludf.DUMMYFUNCTION("""COMPUTED_VALUE"""),999)</f>
        <v>999</v>
      </c>
    </row>
    <row r="12467" spans="1:5" ht="13">
      <c r="A12467" s="8" t="str">
        <f ca="1">IFERROR(__xludf.DUMMYFUNCTION("""COMPUTED_VALUE"""),"Afisher")</f>
        <v>Afisher</v>
      </c>
      <c r="B12467" s="2">
        <f ca="1">IFERROR(__xludf.DUMMYFUNCTION("""COMPUTED_VALUE"""),999)</f>
        <v>999</v>
      </c>
      <c r="C12467" s="7">
        <f ca="1">IFERROR(__xludf.DUMMYFUNCTION("""COMPUTED_VALUE"""),999)</f>
        <v>999</v>
      </c>
      <c r="D12467" s="8">
        <f ca="1">IFERROR(__xludf.DUMMYFUNCTION("""COMPUTED_VALUE"""),999)</f>
        <v>999</v>
      </c>
      <c r="E12467" s="2">
        <f ca="1">IFERROR(__xludf.DUMMYFUNCTION("""COMPUTED_VALUE"""),999)</f>
        <v>999</v>
      </c>
    </row>
    <row r="12468" spans="1:5" ht="13">
      <c r="A12468" s="8" t="str">
        <f ca="1">IFERROR(__xludf.DUMMYFUNCTION("""COMPUTED_VALUE"""),"African American Spiritual")</f>
        <v>African American Spiritual</v>
      </c>
      <c r="B12468" s="2">
        <f ca="1">IFERROR(__xludf.DUMMYFUNCTION("""COMPUTED_VALUE"""),999)</f>
        <v>999</v>
      </c>
      <c r="C12468" s="7">
        <f ca="1">IFERROR(__xludf.DUMMYFUNCTION("""COMPUTED_VALUE"""),999)</f>
        <v>999</v>
      </c>
      <c r="D12468" s="8">
        <f ca="1">IFERROR(__xludf.DUMMYFUNCTION("""COMPUTED_VALUE"""),999)</f>
        <v>999</v>
      </c>
      <c r="E12468" s="2">
        <f ca="1">IFERROR(__xludf.DUMMYFUNCTION("""COMPUTED_VALUE"""),999)</f>
        <v>999</v>
      </c>
    </row>
    <row r="12469" spans="1:5" ht="13">
      <c r="A12469" s="2" t="str">
        <f ca="1">IFERROR(__xludf.DUMMYFUNCTION("""COMPUTED_VALUE"""),"Alexander (unknown)")</f>
        <v>Alexander (unknown)</v>
      </c>
      <c r="B12469" s="2">
        <f ca="1">IFERROR(__xludf.DUMMYFUNCTION("""COMPUTED_VALUE"""),999)</f>
        <v>999</v>
      </c>
      <c r="C12469" s="7">
        <f ca="1">IFERROR(__xludf.DUMMYFUNCTION("""COMPUTED_VALUE"""),999)</f>
        <v>999</v>
      </c>
      <c r="D12469" s="8">
        <f ca="1">IFERROR(__xludf.DUMMYFUNCTION("""COMPUTED_VALUE"""),999)</f>
        <v>999</v>
      </c>
      <c r="E12469" s="2">
        <f ca="1">IFERROR(__xludf.DUMMYFUNCTION("""COMPUTED_VALUE"""),999)</f>
        <v>999</v>
      </c>
    </row>
    <row r="12470" spans="1:5" ht="13">
      <c r="A12470" s="2" t="str">
        <f ca="1">IFERROR(__xludf.DUMMYFUNCTION("""COMPUTED_VALUE"""),"Allen, Dennis / Allen, Nan")</f>
        <v>Allen, Dennis / Allen, Nan</v>
      </c>
      <c r="B12470" s="3">
        <f ca="1">IFERROR(__xludf.DUMMYFUNCTION("""COMPUTED_VALUE"""),999)</f>
        <v>999</v>
      </c>
      <c r="C12470" s="7">
        <f ca="1">IFERROR(__xludf.DUMMYFUNCTION("""COMPUTED_VALUE"""),999)</f>
        <v>999</v>
      </c>
      <c r="D12470" s="8">
        <f ca="1">IFERROR(__xludf.DUMMYFUNCTION("""COMPUTED_VALUE"""),999)</f>
        <v>999</v>
      </c>
      <c r="E12470" s="2">
        <f ca="1">IFERROR(__xludf.DUMMYFUNCTION("""COMPUTED_VALUE"""),999)</f>
        <v>999</v>
      </c>
    </row>
    <row r="12471" spans="1:5" ht="13">
      <c r="A12471" s="2" t="str">
        <f ca="1">IFERROR(__xludf.DUMMYFUNCTION("""COMPUTED_VALUE"""),"American Sea Shanty")</f>
        <v>American Sea Shanty</v>
      </c>
      <c r="B12471" s="2">
        <f ca="1">IFERROR(__xludf.DUMMYFUNCTION("""COMPUTED_VALUE"""),999)</f>
        <v>999</v>
      </c>
      <c r="C12471" s="7">
        <f ca="1">IFERROR(__xludf.DUMMYFUNCTION("""COMPUTED_VALUE"""),999)</f>
        <v>999</v>
      </c>
      <c r="D12471" s="8">
        <f ca="1">IFERROR(__xludf.DUMMYFUNCTION("""COMPUTED_VALUE"""),999)</f>
        <v>999</v>
      </c>
      <c r="E12471" s="2">
        <f ca="1">IFERROR(__xludf.DUMMYFUNCTION("""COMPUTED_VALUE"""),999)</f>
        <v>999</v>
      </c>
    </row>
    <row r="12472" spans="1:5" ht="13">
      <c r="A12472" s="2" t="str">
        <f ca="1">IFERROR(__xludf.DUMMYFUNCTION("""COMPUTED_VALUE"""),"American Shaker Song")</f>
        <v>American Shaker Song</v>
      </c>
      <c r="B12472" s="2">
        <f ca="1">IFERROR(__xludf.DUMMYFUNCTION("""COMPUTED_VALUE"""),999)</f>
        <v>999</v>
      </c>
      <c r="C12472" s="7">
        <f ca="1">IFERROR(__xludf.DUMMYFUNCTION("""COMPUTED_VALUE"""),999)</f>
        <v>999</v>
      </c>
      <c r="D12472" s="8">
        <f ca="1">IFERROR(__xludf.DUMMYFUNCTION("""COMPUTED_VALUE"""),999)</f>
        <v>999</v>
      </c>
      <c r="E12472" s="2">
        <f ca="1">IFERROR(__xludf.DUMMYFUNCTION("""COMPUTED_VALUE"""),999)</f>
        <v>999</v>
      </c>
    </row>
    <row r="12473" spans="1:5" ht="13">
      <c r="A12473" s="2" t="str">
        <f ca="1">IFERROR(__xludf.DUMMYFUNCTION("""COMPUTED_VALUE"""),"American Spiritual")</f>
        <v>American Spiritual</v>
      </c>
      <c r="B12473" s="3">
        <f ca="1">IFERROR(__xludf.DUMMYFUNCTION("""COMPUTED_VALUE"""),999)</f>
        <v>999</v>
      </c>
      <c r="C12473" s="7">
        <f ca="1">IFERROR(__xludf.DUMMYFUNCTION("""COMPUTED_VALUE"""),999)</f>
        <v>999</v>
      </c>
      <c r="D12473" s="8">
        <f ca="1">IFERROR(__xludf.DUMMYFUNCTION("""COMPUTED_VALUE"""),999)</f>
        <v>999</v>
      </c>
      <c r="E12473" s="2">
        <f ca="1">IFERROR(__xludf.DUMMYFUNCTION("""COMPUTED_VALUE"""),999)</f>
        <v>999</v>
      </c>
    </row>
    <row r="12474" spans="1:5" ht="13">
      <c r="A12474" s="2" t="str">
        <f ca="1">IFERROR(__xludf.DUMMYFUNCTION("""COMPUTED_VALUE"""),"American Traditional Hymn")</f>
        <v>American Traditional Hymn</v>
      </c>
      <c r="B12474" s="2">
        <f ca="1">IFERROR(__xludf.DUMMYFUNCTION("""COMPUTED_VALUE"""),999)</f>
        <v>999</v>
      </c>
      <c r="C12474" s="7">
        <f ca="1">IFERROR(__xludf.DUMMYFUNCTION("""COMPUTED_VALUE"""),999)</f>
        <v>999</v>
      </c>
      <c r="D12474" s="8">
        <f ca="1">IFERROR(__xludf.DUMMYFUNCTION("""COMPUTED_VALUE"""),999)</f>
        <v>999</v>
      </c>
      <c r="E12474" s="2">
        <f ca="1">IFERROR(__xludf.DUMMYFUNCTION("""COMPUTED_VALUE"""),999)</f>
        <v>999</v>
      </c>
    </row>
    <row r="12475" spans="1:5" ht="13">
      <c r="A12475" s="2" t="str">
        <f ca="1">IFERROR(__xludf.DUMMYFUNCTION("""COMPUTED_VALUE"""),"Ancient Chinese Poem and Traditional Tune")</f>
        <v>Ancient Chinese Poem and Traditional Tune</v>
      </c>
      <c r="B12475" s="2">
        <f ca="1">IFERROR(__xludf.DUMMYFUNCTION("""COMPUTED_VALUE"""),999)</f>
        <v>999</v>
      </c>
      <c r="C12475" s="7">
        <f ca="1">IFERROR(__xludf.DUMMYFUNCTION("""COMPUTED_VALUE"""),999)</f>
        <v>999</v>
      </c>
      <c r="D12475" s="8">
        <f ca="1">IFERROR(__xludf.DUMMYFUNCTION("""COMPUTED_VALUE"""),999)</f>
        <v>999</v>
      </c>
      <c r="E12475" s="2">
        <f ca="1">IFERROR(__xludf.DUMMYFUNCTION("""COMPUTED_VALUE"""),999)</f>
        <v>999</v>
      </c>
    </row>
    <row r="12476" spans="1:5" ht="13">
      <c r="A12476" s="8" t="str">
        <f ca="1">IFERROR(__xludf.DUMMYFUNCTION("""COMPUTED_VALUE"""),"Anderson")</f>
        <v>Anderson</v>
      </c>
      <c r="B12476" s="2">
        <f ca="1">IFERROR(__xludf.DUMMYFUNCTION("""COMPUTED_VALUE"""),999)</f>
        <v>999</v>
      </c>
      <c r="C12476" s="7">
        <f ca="1">IFERROR(__xludf.DUMMYFUNCTION("""COMPUTED_VALUE"""),999)</f>
        <v>999</v>
      </c>
      <c r="D12476" s="8">
        <f ca="1">IFERROR(__xludf.DUMMYFUNCTION("""COMPUTED_VALUE"""),999)</f>
        <v>999</v>
      </c>
      <c r="E12476" s="2">
        <f ca="1">IFERROR(__xludf.DUMMYFUNCTION("""COMPUTED_VALUE"""),999)</f>
        <v>999</v>
      </c>
    </row>
    <row r="12477" spans="1:5" ht="13">
      <c r="A12477" s="2" t="str">
        <f ca="1">IFERROR(__xludf.DUMMYFUNCTION("""COMPUTED_VALUE"""),"Anderson (unknown)")</f>
        <v>Anderson (unknown)</v>
      </c>
      <c r="B12477" s="3">
        <f ca="1">IFERROR(__xludf.DUMMYFUNCTION("""COMPUTED_VALUE"""),999)</f>
        <v>999</v>
      </c>
      <c r="C12477" s="7">
        <f ca="1">IFERROR(__xludf.DUMMYFUNCTION("""COMPUTED_VALUE"""),999)</f>
        <v>999</v>
      </c>
      <c r="D12477" s="8">
        <f ca="1">IFERROR(__xludf.DUMMYFUNCTION("""COMPUTED_VALUE"""),999)</f>
        <v>999</v>
      </c>
      <c r="E12477" s="2">
        <f ca="1">IFERROR(__xludf.DUMMYFUNCTION("""COMPUTED_VALUE"""),999)</f>
        <v>999</v>
      </c>
    </row>
    <row r="12478" spans="1:5" ht="13">
      <c r="A12478" s="8" t="str">
        <f ca="1">IFERROR(__xludf.DUMMYFUNCTION("""COMPUTED_VALUE"""),"Angus (unknown)")</f>
        <v>Angus (unknown)</v>
      </c>
      <c r="B12478" s="2">
        <f ca="1">IFERROR(__xludf.DUMMYFUNCTION("""COMPUTED_VALUE"""),999)</f>
        <v>999</v>
      </c>
      <c r="C12478" s="7">
        <f ca="1">IFERROR(__xludf.DUMMYFUNCTION("""COMPUTED_VALUE"""),999)</f>
        <v>999</v>
      </c>
      <c r="D12478" s="8">
        <f ca="1">IFERROR(__xludf.DUMMYFUNCTION("""COMPUTED_VALUE"""),999)</f>
        <v>999</v>
      </c>
      <c r="E12478" s="2">
        <f ca="1">IFERROR(__xludf.DUMMYFUNCTION("""COMPUTED_VALUE"""),999)</f>
        <v>999</v>
      </c>
    </row>
    <row r="12479" spans="1:5" ht="13">
      <c r="A12479" s="8" t="str">
        <f ca="1">IFERROR(__xludf.DUMMYFUNCTION("""COMPUTED_VALUE"""),"Anon")</f>
        <v>Anon</v>
      </c>
      <c r="B12479" s="2">
        <f ca="1">IFERROR(__xludf.DUMMYFUNCTION("""COMPUTED_VALUE"""),999)</f>
        <v>999</v>
      </c>
      <c r="C12479" s="7">
        <f ca="1">IFERROR(__xludf.DUMMYFUNCTION("""COMPUTED_VALUE"""),999)</f>
        <v>999</v>
      </c>
      <c r="D12479" s="8">
        <f ca="1">IFERROR(__xludf.DUMMYFUNCTION("""COMPUTED_VALUE"""),999)</f>
        <v>999</v>
      </c>
      <c r="E12479" s="2">
        <f ca="1">IFERROR(__xludf.DUMMYFUNCTION("""COMPUTED_VALUE"""),999)</f>
        <v>999</v>
      </c>
    </row>
    <row r="12480" spans="1:5" ht="13">
      <c r="A12480" s="8" t="str">
        <f ca="1">IFERROR(__xludf.DUMMYFUNCTION("""COMPUTED_VALUE"""),"Anonymous")</f>
        <v>Anonymous</v>
      </c>
      <c r="B12480" s="2">
        <f ca="1">IFERROR(__xludf.DUMMYFUNCTION("""COMPUTED_VALUE"""),999)</f>
        <v>999</v>
      </c>
      <c r="C12480" s="7">
        <f ca="1">IFERROR(__xludf.DUMMYFUNCTION("""COMPUTED_VALUE"""),999)</f>
        <v>999</v>
      </c>
      <c r="D12480" s="8">
        <f ca="1">IFERROR(__xludf.DUMMYFUNCTION("""COMPUTED_VALUE"""),999)</f>
        <v>999</v>
      </c>
      <c r="E12480" s="2">
        <f ca="1">IFERROR(__xludf.DUMMYFUNCTION("""COMPUTED_VALUE"""),999)</f>
        <v>999</v>
      </c>
    </row>
    <row r="12481" spans="1:5" ht="13">
      <c r="A12481" s="8" t="str">
        <f ca="1">IFERROR(__xludf.DUMMYFUNCTION("""COMPUTED_VALUE"""),"Anonymous Spanish")</f>
        <v>Anonymous Spanish</v>
      </c>
      <c r="B12481" s="2">
        <f ca="1">IFERROR(__xludf.DUMMYFUNCTION("""COMPUTED_VALUE"""),999)</f>
        <v>999</v>
      </c>
      <c r="C12481" s="7">
        <f ca="1">IFERROR(__xludf.DUMMYFUNCTION("""COMPUTED_VALUE"""),999)</f>
        <v>999</v>
      </c>
      <c r="D12481" s="8">
        <f ca="1">IFERROR(__xludf.DUMMYFUNCTION("""COMPUTED_VALUE"""),999)</f>
        <v>999</v>
      </c>
      <c r="E12481" s="2">
        <f ca="1">IFERROR(__xludf.DUMMYFUNCTION("""COMPUTED_VALUE"""),999)</f>
        <v>999</v>
      </c>
    </row>
    <row r="12482" spans="1:5" ht="13">
      <c r="A12482" s="2" t="str">
        <f ca="1">IFERROR(__xludf.DUMMYFUNCTION("""COMPUTED_VALUE"""),"Arlen, Bruce")</f>
        <v>Arlen, Bruce</v>
      </c>
      <c r="B12482" s="2">
        <f ca="1">IFERROR(__xludf.DUMMYFUNCTION("""COMPUTED_VALUE"""),999)</f>
        <v>999</v>
      </c>
      <c r="C12482" s="2">
        <f ca="1">IFERROR(__xludf.DUMMYFUNCTION("""COMPUTED_VALUE"""),999)</f>
        <v>999</v>
      </c>
      <c r="D12482" s="8">
        <f ca="1">IFERROR(__xludf.DUMMYFUNCTION("""COMPUTED_VALUE"""),999)</f>
        <v>999</v>
      </c>
      <c r="E12482" s="2">
        <f ca="1">IFERROR(__xludf.DUMMYFUNCTION("""COMPUTED_VALUE"""),999)</f>
        <v>999</v>
      </c>
    </row>
    <row r="12483" spans="1:5" ht="13">
      <c r="A12483" s="8" t="str">
        <f ca="1">IFERROR(__xludf.DUMMYFUNCTION("""COMPUTED_VALUE"""),"Armenian Lullaby")</f>
        <v>Armenian Lullaby</v>
      </c>
      <c r="B12483" s="2">
        <f ca="1">IFERROR(__xludf.DUMMYFUNCTION("""COMPUTED_VALUE"""),999)</f>
        <v>999</v>
      </c>
      <c r="C12483" s="7">
        <f ca="1">IFERROR(__xludf.DUMMYFUNCTION("""COMPUTED_VALUE"""),999)</f>
        <v>999</v>
      </c>
      <c r="D12483" s="8">
        <f ca="1">IFERROR(__xludf.DUMMYFUNCTION("""COMPUTED_VALUE"""),999)</f>
        <v>999</v>
      </c>
      <c r="E12483" s="2">
        <f ca="1">IFERROR(__xludf.DUMMYFUNCTION("""COMPUTED_VALUE"""),999)</f>
        <v>999</v>
      </c>
    </row>
    <row r="12484" spans="1:5" ht="13">
      <c r="A12484" s="2" t="str">
        <f ca="1">IFERROR(__xludf.DUMMYFUNCTION("""COMPUTED_VALUE"""),"Arredondo (unknown)")</f>
        <v>Arredondo (unknown)</v>
      </c>
      <c r="B12484" s="3">
        <f ca="1">IFERROR(__xludf.DUMMYFUNCTION("""COMPUTED_VALUE"""),999)</f>
        <v>999</v>
      </c>
      <c r="C12484" s="7">
        <f ca="1">IFERROR(__xludf.DUMMYFUNCTION("""COMPUTED_VALUE"""),999)</f>
        <v>999</v>
      </c>
      <c r="D12484" s="8">
        <f ca="1">IFERROR(__xludf.DUMMYFUNCTION("""COMPUTED_VALUE"""),999)</f>
        <v>999</v>
      </c>
      <c r="E12484" s="2">
        <f ca="1">IFERROR(__xludf.DUMMYFUNCTION("""COMPUTED_VALUE"""),999)</f>
        <v>999</v>
      </c>
    </row>
    <row r="12485" spans="1:5" ht="13">
      <c r="A12485" s="2" t="str">
        <f ca="1">IFERROR(__xludf.DUMMYFUNCTION("""COMPUTED_VALUE"""),"Austrian Carol")</f>
        <v>Austrian Carol</v>
      </c>
      <c r="B12485" s="2">
        <f ca="1">IFERROR(__xludf.DUMMYFUNCTION("""COMPUTED_VALUE"""),999)</f>
        <v>999</v>
      </c>
      <c r="C12485" s="7">
        <f ca="1">IFERROR(__xludf.DUMMYFUNCTION("""COMPUTED_VALUE"""),999)</f>
        <v>999</v>
      </c>
      <c r="D12485" s="8">
        <f ca="1">IFERROR(__xludf.DUMMYFUNCTION("""COMPUTED_VALUE"""),999)</f>
        <v>999</v>
      </c>
      <c r="E12485" s="2">
        <f ca="1">IFERROR(__xludf.DUMMYFUNCTION("""COMPUTED_VALUE"""),999)</f>
        <v>999</v>
      </c>
    </row>
    <row r="12486" spans="1:5" ht="13">
      <c r="A12486" s="8" t="str">
        <f ca="1">IFERROR(__xludf.DUMMYFUNCTION("""COMPUTED_VALUE"""),"Auton")</f>
        <v>Auton</v>
      </c>
      <c r="B12486" s="2">
        <f ca="1">IFERROR(__xludf.DUMMYFUNCTION("""COMPUTED_VALUE"""),999)</f>
        <v>999</v>
      </c>
      <c r="C12486" s="7">
        <f ca="1">IFERROR(__xludf.DUMMYFUNCTION("""COMPUTED_VALUE"""),999)</f>
        <v>999</v>
      </c>
      <c r="D12486" s="8">
        <f ca="1">IFERROR(__xludf.DUMMYFUNCTION("""COMPUTED_VALUE"""),999)</f>
        <v>999</v>
      </c>
      <c r="E12486" s="2">
        <f ca="1">IFERROR(__xludf.DUMMYFUNCTION("""COMPUTED_VALUE"""),999)</f>
        <v>999</v>
      </c>
    </row>
    <row r="12487" spans="1:5" ht="13">
      <c r="A12487" s="2" t="str">
        <f ca="1">IFERROR(__xludf.DUMMYFUNCTION("""COMPUTED_VALUE"""),"Avalos, A.")</f>
        <v>Avalos, A.</v>
      </c>
      <c r="B12487" s="2">
        <f ca="1">IFERROR(__xludf.DUMMYFUNCTION("""COMPUTED_VALUE"""),999)</f>
        <v>999</v>
      </c>
      <c r="C12487" s="2">
        <f ca="1">IFERROR(__xludf.DUMMYFUNCTION("""COMPUTED_VALUE"""),999)</f>
        <v>999</v>
      </c>
      <c r="D12487" s="8">
        <f ca="1">IFERROR(__xludf.DUMMYFUNCTION("""COMPUTED_VALUE"""),999)</f>
        <v>999</v>
      </c>
      <c r="E12487" s="2">
        <f ca="1">IFERROR(__xludf.DUMMYFUNCTION("""COMPUTED_VALUE"""),999)</f>
        <v>999</v>
      </c>
    </row>
    <row r="12488" spans="1:5" ht="13">
      <c r="A12488" s="8" t="str">
        <f ca="1">IFERROR(__xludf.DUMMYFUNCTION("""COMPUTED_VALUE"""),"Axel, Zephyrus")</f>
        <v>Axel, Zephyrus</v>
      </c>
      <c r="B12488" s="3">
        <f ca="1">IFERROR(__xludf.DUMMYFUNCTION("""COMPUTED_VALUE"""),999)</f>
        <v>999</v>
      </c>
      <c r="C12488" s="7">
        <f ca="1">IFERROR(__xludf.DUMMYFUNCTION("""COMPUTED_VALUE"""),999)</f>
        <v>999</v>
      </c>
      <c r="D12488" s="8">
        <f ca="1">IFERROR(__xludf.DUMMYFUNCTION("""COMPUTED_VALUE"""),999)</f>
        <v>999</v>
      </c>
      <c r="E12488" s="2">
        <f ca="1">IFERROR(__xludf.DUMMYFUNCTION("""COMPUTED_VALUE"""),999)</f>
        <v>999</v>
      </c>
    </row>
    <row r="12489" spans="1:5" ht="13">
      <c r="A12489" s="2" t="str">
        <f ca="1">IFERROR(__xludf.DUMMYFUNCTION("""COMPUTED_VALUE"""),"Baas, Jimmy / James, Randy")</f>
        <v>Baas, Jimmy / James, Randy</v>
      </c>
      <c r="B12489" s="2">
        <f ca="1">IFERROR(__xludf.DUMMYFUNCTION("""COMPUTED_VALUE"""),999)</f>
        <v>999</v>
      </c>
      <c r="C12489" s="2">
        <f ca="1">IFERROR(__xludf.DUMMYFUNCTION("""COMPUTED_VALUE"""),999)</f>
        <v>999</v>
      </c>
      <c r="D12489" s="8">
        <f ca="1">IFERROR(__xludf.DUMMYFUNCTION("""COMPUTED_VALUE"""),999)</f>
        <v>999</v>
      </c>
      <c r="E12489" s="2">
        <f ca="1">IFERROR(__xludf.DUMMYFUNCTION("""COMPUTED_VALUE"""),999)</f>
        <v>999</v>
      </c>
    </row>
    <row r="12490" spans="1:5" ht="13">
      <c r="A12490" s="8" t="str">
        <f ca="1">IFERROR(__xludf.DUMMYFUNCTION("""COMPUTED_VALUE"""),"Bailey, Eric / Pixel")</f>
        <v>Bailey, Eric / Pixel</v>
      </c>
      <c r="B12490" s="3">
        <f ca="1">IFERROR(__xludf.DUMMYFUNCTION("""COMPUTED_VALUE"""),999)</f>
        <v>999</v>
      </c>
      <c r="C12490" s="7">
        <f ca="1">IFERROR(__xludf.DUMMYFUNCTION("""COMPUTED_VALUE"""),999)</f>
        <v>999</v>
      </c>
      <c r="D12490" s="8">
        <f ca="1">IFERROR(__xludf.DUMMYFUNCTION("""COMPUTED_VALUE"""),999)</f>
        <v>999</v>
      </c>
      <c r="E12490" s="2">
        <f ca="1">IFERROR(__xludf.DUMMYFUNCTION("""COMPUTED_VALUE"""),999)</f>
        <v>999</v>
      </c>
    </row>
    <row r="12491" spans="1:5" ht="13">
      <c r="A12491" s="2" t="str">
        <f ca="1">IFERROR(__xludf.DUMMYFUNCTION("""COMPUTED_VALUE"""),"Baker, V / Gage, B.")</f>
        <v>Baker, V / Gage, B.</v>
      </c>
      <c r="B12491" s="3">
        <f ca="1">IFERROR(__xludf.DUMMYFUNCTION("""COMPUTED_VALUE"""),999)</f>
        <v>999</v>
      </c>
      <c r="C12491" s="7">
        <f ca="1">IFERROR(__xludf.DUMMYFUNCTION("""COMPUTED_VALUE"""),999)</f>
        <v>999</v>
      </c>
      <c r="D12491" s="8">
        <f ca="1">IFERROR(__xludf.DUMMYFUNCTION("""COMPUTED_VALUE"""),999)</f>
        <v>999</v>
      </c>
      <c r="E12491" s="2">
        <f ca="1">IFERROR(__xludf.DUMMYFUNCTION("""COMPUTED_VALUE"""),999)</f>
        <v>999</v>
      </c>
    </row>
    <row r="12492" spans="1:5" ht="13">
      <c r="A12492" s="2" t="str">
        <f ca="1">IFERROR(__xludf.DUMMYFUNCTION("""COMPUTED_VALUE"""),"Banyon, Arthur")</f>
        <v>Banyon, Arthur</v>
      </c>
      <c r="B12492" s="3">
        <f ca="1">IFERROR(__xludf.DUMMYFUNCTION("""COMPUTED_VALUE"""),999)</f>
        <v>999</v>
      </c>
      <c r="C12492" s="7">
        <f ca="1">IFERROR(__xludf.DUMMYFUNCTION("""COMPUTED_VALUE"""),999)</f>
        <v>999</v>
      </c>
      <c r="D12492" s="8">
        <f ca="1">IFERROR(__xludf.DUMMYFUNCTION("""COMPUTED_VALUE"""),999)</f>
        <v>999</v>
      </c>
      <c r="E12492" s="2">
        <f ca="1">IFERROR(__xludf.DUMMYFUNCTION("""COMPUTED_VALUE"""),999)</f>
        <v>999</v>
      </c>
    </row>
    <row r="12493" spans="1:5" ht="13">
      <c r="A12493" s="2" t="str">
        <f ca="1">IFERROR(__xludf.DUMMYFUNCTION("""COMPUTED_VALUE"""),"Banzhaf, M. / Mack, Gerald")</f>
        <v>Banzhaf, M. / Mack, Gerald</v>
      </c>
      <c r="B12493" s="3">
        <f ca="1">IFERROR(__xludf.DUMMYFUNCTION("""COMPUTED_VALUE"""),999)</f>
        <v>999</v>
      </c>
      <c r="C12493" s="7">
        <f ca="1">IFERROR(__xludf.DUMMYFUNCTION("""COMPUTED_VALUE"""),999)</f>
        <v>999</v>
      </c>
      <c r="D12493" s="8">
        <f ca="1">IFERROR(__xludf.DUMMYFUNCTION("""COMPUTED_VALUE"""),999)</f>
        <v>999</v>
      </c>
      <c r="E12493" s="2">
        <f ca="1">IFERROR(__xludf.DUMMYFUNCTION("""COMPUTED_VALUE"""),999)</f>
        <v>999</v>
      </c>
    </row>
    <row r="12494" spans="1:5" ht="13">
      <c r="A12494" s="8" t="str">
        <f ca="1">IFERROR(__xludf.DUMMYFUNCTION("""COMPUTED_VALUE"""),"Barazian (unknown)")</f>
        <v>Barazian (unknown)</v>
      </c>
      <c r="B12494" s="2">
        <f ca="1">IFERROR(__xludf.DUMMYFUNCTION("""COMPUTED_VALUE"""),999)</f>
        <v>999</v>
      </c>
      <c r="C12494" s="7">
        <f ca="1">IFERROR(__xludf.DUMMYFUNCTION("""COMPUTED_VALUE"""),999)</f>
        <v>999</v>
      </c>
      <c r="D12494" s="8">
        <f ca="1">IFERROR(__xludf.DUMMYFUNCTION("""COMPUTED_VALUE"""),999)</f>
        <v>999</v>
      </c>
      <c r="E12494" s="2">
        <f ca="1">IFERROR(__xludf.DUMMYFUNCTION("""COMPUTED_VALUE"""),999)</f>
        <v>999</v>
      </c>
    </row>
    <row r="12495" spans="1:5" ht="13">
      <c r="A12495" s="2" t="str">
        <f ca="1">IFERROR(__xludf.DUMMYFUNCTION("""COMPUTED_VALUE"""),"Barbershop Harmony Society")</f>
        <v>Barbershop Harmony Society</v>
      </c>
      <c r="B12495" s="2">
        <f ca="1">IFERROR(__xludf.DUMMYFUNCTION("""COMPUTED_VALUE"""),999)</f>
        <v>999</v>
      </c>
      <c r="C12495" s="7">
        <f ca="1">IFERROR(__xludf.DUMMYFUNCTION("""COMPUTED_VALUE"""),999)</f>
        <v>999</v>
      </c>
      <c r="D12495" s="8">
        <f ca="1">IFERROR(__xludf.DUMMYFUNCTION("""COMPUTED_VALUE"""),999)</f>
        <v>999</v>
      </c>
      <c r="E12495" s="2">
        <f ca="1">IFERROR(__xludf.DUMMYFUNCTION("""COMPUTED_VALUE"""),999)</f>
        <v>999</v>
      </c>
    </row>
    <row r="12496" spans="1:5" ht="13">
      <c r="A12496" s="2" t="str">
        <f ca="1">IFERROR(__xludf.DUMMYFUNCTION("""COMPUTED_VALUE"""),"Barbertones")</f>
        <v>Barbertones</v>
      </c>
      <c r="B12496" s="2">
        <f ca="1">IFERROR(__xludf.DUMMYFUNCTION("""COMPUTED_VALUE"""),999)</f>
        <v>999</v>
      </c>
      <c r="C12496" s="7">
        <f ca="1">IFERROR(__xludf.DUMMYFUNCTION("""COMPUTED_VALUE"""),999)</f>
        <v>999</v>
      </c>
      <c r="D12496" s="8">
        <f ca="1">IFERROR(__xludf.DUMMYFUNCTION("""COMPUTED_VALUE"""),999)</f>
        <v>999</v>
      </c>
      <c r="E12496" s="2">
        <f ca="1">IFERROR(__xludf.DUMMYFUNCTION("""COMPUTED_VALUE"""),999)</f>
        <v>999</v>
      </c>
    </row>
    <row r="12497" spans="1:5" ht="13">
      <c r="A12497" s="8" t="str">
        <f ca="1">IFERROR(__xludf.DUMMYFUNCTION("""COMPUTED_VALUE"""),"Barenreiter")</f>
        <v>Barenreiter</v>
      </c>
      <c r="B12497" s="2">
        <f ca="1">IFERROR(__xludf.DUMMYFUNCTION("""COMPUTED_VALUE"""),999)</f>
        <v>999</v>
      </c>
      <c r="C12497" s="7">
        <f ca="1">IFERROR(__xludf.DUMMYFUNCTION("""COMPUTED_VALUE"""),999)</f>
        <v>999</v>
      </c>
      <c r="D12497" s="8">
        <f ca="1">IFERROR(__xludf.DUMMYFUNCTION("""COMPUTED_VALUE"""),999)</f>
        <v>999</v>
      </c>
      <c r="E12497" s="2">
        <f ca="1">IFERROR(__xludf.DUMMYFUNCTION("""COMPUTED_VALUE"""),999)</f>
        <v>999</v>
      </c>
    </row>
    <row r="12498" spans="1:5" ht="13">
      <c r="A12498" s="2" t="str">
        <f ca="1">IFERROR(__xludf.DUMMYFUNCTION("""COMPUTED_VALUE"""),"Barnes, Timothy")</f>
        <v>Barnes, Timothy</v>
      </c>
      <c r="B12498" s="3">
        <f ca="1">IFERROR(__xludf.DUMMYFUNCTION("""COMPUTED_VALUE"""),999)</f>
        <v>999</v>
      </c>
      <c r="C12498" s="7">
        <f ca="1">IFERROR(__xludf.DUMMYFUNCTION("""COMPUTED_VALUE"""),999)</f>
        <v>999</v>
      </c>
      <c r="D12498" s="8">
        <f ca="1">IFERROR(__xludf.DUMMYFUNCTION("""COMPUTED_VALUE"""),999)</f>
        <v>999</v>
      </c>
      <c r="E12498" s="2">
        <f ca="1">IFERROR(__xludf.DUMMYFUNCTION("""COMPUTED_VALUE"""),999)</f>
        <v>999</v>
      </c>
    </row>
    <row r="12499" spans="1:5" ht="13">
      <c r="A12499" s="2" t="str">
        <f ca="1">IFERROR(__xludf.DUMMYFUNCTION("""COMPUTED_VALUE"""),"Barratier, Christophe / Coulais, Bruno")</f>
        <v>Barratier, Christophe / Coulais, Bruno</v>
      </c>
      <c r="B12499" s="3">
        <f ca="1">IFERROR(__xludf.DUMMYFUNCTION("""COMPUTED_VALUE"""),999)</f>
        <v>999</v>
      </c>
      <c r="C12499" s="7">
        <f ca="1">IFERROR(__xludf.DUMMYFUNCTION("""COMPUTED_VALUE"""),999)</f>
        <v>999</v>
      </c>
      <c r="D12499" s="8">
        <f ca="1">IFERROR(__xludf.DUMMYFUNCTION("""COMPUTED_VALUE"""),999)</f>
        <v>999</v>
      </c>
      <c r="E12499" s="2">
        <f ca="1">IFERROR(__xludf.DUMMYFUNCTION("""COMPUTED_VALUE"""),999)</f>
        <v>999</v>
      </c>
    </row>
    <row r="12500" spans="1:5" ht="13">
      <c r="A12500" s="2" t="str">
        <f ca="1">IFERROR(__xludf.DUMMYFUNCTION("""COMPUTED_VALUE"""),"Barrin (unknown)")</f>
        <v>Barrin (unknown)</v>
      </c>
      <c r="B12500" s="2">
        <f ca="1">IFERROR(__xludf.DUMMYFUNCTION("""COMPUTED_VALUE"""),999)</f>
        <v>999</v>
      </c>
      <c r="C12500" s="2">
        <f ca="1">IFERROR(__xludf.DUMMYFUNCTION("""COMPUTED_VALUE"""),999)</f>
        <v>999</v>
      </c>
      <c r="D12500" s="8">
        <f ca="1">IFERROR(__xludf.DUMMYFUNCTION("""COMPUTED_VALUE"""),999)</f>
        <v>999</v>
      </c>
      <c r="E12500" s="2">
        <f ca="1">IFERROR(__xludf.DUMMYFUNCTION("""COMPUTED_VALUE"""),999)</f>
        <v>999</v>
      </c>
    </row>
    <row r="12501" spans="1:5" ht="13">
      <c r="A12501" s="2" t="str">
        <f ca="1">IFERROR(__xludf.DUMMYFUNCTION("""COMPUTED_VALUE"""),"Baskaskov (unknown)")</f>
        <v>Baskaskov (unknown)</v>
      </c>
      <c r="B12501" s="3">
        <f ca="1">IFERROR(__xludf.DUMMYFUNCTION("""COMPUTED_VALUE"""),999)</f>
        <v>999</v>
      </c>
      <c r="C12501" s="7">
        <f ca="1">IFERROR(__xludf.DUMMYFUNCTION("""COMPUTED_VALUE"""),999)</f>
        <v>999</v>
      </c>
      <c r="D12501" s="8">
        <f ca="1">IFERROR(__xludf.DUMMYFUNCTION("""COMPUTED_VALUE"""),999)</f>
        <v>999</v>
      </c>
      <c r="E12501" s="2">
        <f ca="1">IFERROR(__xludf.DUMMYFUNCTION("""COMPUTED_VALUE"""),999)</f>
        <v>999</v>
      </c>
    </row>
    <row r="12502" spans="1:5" ht="13">
      <c r="A12502" s="8" t="str">
        <f ca="1">IFERROR(__xludf.DUMMYFUNCTION("""COMPUTED_VALUE"""),"Bass, Martin")</f>
        <v>Bass, Martin</v>
      </c>
      <c r="B12502" s="2">
        <f ca="1">IFERROR(__xludf.DUMMYFUNCTION("""COMPUTED_VALUE"""),999)</f>
        <v>999</v>
      </c>
      <c r="C12502" s="7">
        <f ca="1">IFERROR(__xludf.DUMMYFUNCTION("""COMPUTED_VALUE"""),999)</f>
        <v>999</v>
      </c>
      <c r="D12502" s="8">
        <f ca="1">IFERROR(__xludf.DUMMYFUNCTION("""COMPUTED_VALUE"""),999)</f>
        <v>999</v>
      </c>
      <c r="E12502" s="2">
        <f ca="1">IFERROR(__xludf.DUMMYFUNCTION("""COMPUTED_VALUE"""),999)</f>
        <v>999</v>
      </c>
    </row>
    <row r="12503" spans="1:5" ht="13">
      <c r="A12503" s="2" t="str">
        <f ca="1">IFERROR(__xludf.DUMMYFUNCTION("""COMPUTED_VALUE"""),"Bauzá, Mario / Woodlen, Bobby / Sampson, Grace")</f>
        <v>Bauzá, Mario / Woodlen, Bobby / Sampson, Grace</v>
      </c>
      <c r="B12503" s="2">
        <f ca="1">IFERROR(__xludf.DUMMYFUNCTION("""COMPUTED_VALUE"""),999)</f>
        <v>999</v>
      </c>
      <c r="C12503" s="7">
        <f ca="1">IFERROR(__xludf.DUMMYFUNCTION("""COMPUTED_VALUE"""),999)</f>
        <v>999</v>
      </c>
      <c r="D12503" s="8">
        <f ca="1">IFERROR(__xludf.DUMMYFUNCTION("""COMPUTED_VALUE"""),999)</f>
        <v>999</v>
      </c>
      <c r="E12503" s="2">
        <f ca="1">IFERROR(__xludf.DUMMYFUNCTION("""COMPUTED_VALUE"""),999)</f>
        <v>999</v>
      </c>
    </row>
    <row r="12504" spans="1:5" ht="13">
      <c r="A12504" s="2" t="str">
        <f ca="1">IFERROR(__xludf.DUMMYFUNCTION("""COMPUTED_VALUE"""),"Beck (first name unknown)")</f>
        <v>Beck (first name unknown)</v>
      </c>
      <c r="B12504" s="2">
        <f ca="1">IFERROR(__xludf.DUMMYFUNCTION("""COMPUTED_VALUE"""),999)</f>
        <v>999</v>
      </c>
      <c r="C12504" s="7">
        <f ca="1">IFERROR(__xludf.DUMMYFUNCTION("""COMPUTED_VALUE"""),999)</f>
        <v>999</v>
      </c>
      <c r="D12504" s="8">
        <f ca="1">IFERROR(__xludf.DUMMYFUNCTION("""COMPUTED_VALUE"""),999)</f>
        <v>999</v>
      </c>
      <c r="E12504" s="2">
        <f ca="1">IFERROR(__xludf.DUMMYFUNCTION("""COMPUTED_VALUE"""),999)</f>
        <v>999</v>
      </c>
    </row>
    <row r="12505" spans="1:5" ht="13">
      <c r="A12505" s="2" t="str">
        <f ca="1">IFERROR(__xludf.DUMMYFUNCTION("""COMPUTED_VALUE"""),"Bell, John / Maule, Graham")</f>
        <v>Bell, John / Maule, Graham</v>
      </c>
      <c r="B12505" s="3">
        <f ca="1">IFERROR(__xludf.DUMMYFUNCTION("""COMPUTED_VALUE"""),999)</f>
        <v>999</v>
      </c>
      <c r="C12505" s="7">
        <f ca="1">IFERROR(__xludf.DUMMYFUNCTION("""COMPUTED_VALUE"""),999)</f>
        <v>999</v>
      </c>
      <c r="D12505" s="8">
        <f ca="1">IFERROR(__xludf.DUMMYFUNCTION("""COMPUTED_VALUE"""),999)</f>
        <v>999</v>
      </c>
      <c r="E12505" s="2">
        <f ca="1">IFERROR(__xludf.DUMMYFUNCTION("""COMPUTED_VALUE"""),999)</f>
        <v>999</v>
      </c>
    </row>
    <row r="12506" spans="1:5" ht="13">
      <c r="A12506" s="2" t="str">
        <f ca="1">IFERROR(__xludf.DUMMYFUNCTION("""COMPUTED_VALUE"""),"Belle, Barbara / Leonard, Anita / Rhodes, Stan / Prima, Louis")</f>
        <v>Belle, Barbara / Leonard, Anita / Rhodes, Stan / Prima, Louis</v>
      </c>
      <c r="B12506" s="2">
        <f ca="1">IFERROR(__xludf.DUMMYFUNCTION("""COMPUTED_VALUE"""),999)</f>
        <v>999</v>
      </c>
      <c r="C12506" s="7">
        <f ca="1">IFERROR(__xludf.DUMMYFUNCTION("""COMPUTED_VALUE"""),999)</f>
        <v>999</v>
      </c>
      <c r="D12506" s="8">
        <f ca="1">IFERROR(__xludf.DUMMYFUNCTION("""COMPUTED_VALUE"""),999)</f>
        <v>999</v>
      </c>
      <c r="E12506" s="2">
        <f ca="1">IFERROR(__xludf.DUMMYFUNCTION("""COMPUTED_VALUE"""),999)</f>
        <v>999</v>
      </c>
    </row>
    <row r="12507" spans="1:5" ht="13">
      <c r="A12507" s="2" t="str">
        <f ca="1">IFERROR(__xludf.DUMMYFUNCTION("""COMPUTED_VALUE"""),"Bennet, Richard")</f>
        <v>Bennet, Richard</v>
      </c>
      <c r="B12507" s="3">
        <f ca="1">IFERROR(__xludf.DUMMYFUNCTION("""COMPUTED_VALUE"""),999)</f>
        <v>999</v>
      </c>
      <c r="C12507" s="7">
        <f ca="1">IFERROR(__xludf.DUMMYFUNCTION("""COMPUTED_VALUE"""),999)</f>
        <v>999</v>
      </c>
      <c r="D12507" s="8">
        <f ca="1">IFERROR(__xludf.DUMMYFUNCTION("""COMPUTED_VALUE"""),999)</f>
        <v>999</v>
      </c>
      <c r="E12507" s="2">
        <f ca="1">IFERROR(__xludf.DUMMYFUNCTION("""COMPUTED_VALUE"""),999)</f>
        <v>999</v>
      </c>
    </row>
    <row r="12508" spans="1:5" ht="13">
      <c r="A12508" s="2" t="str">
        <f ca="1">IFERROR(__xludf.DUMMYFUNCTION("""COMPUTED_VALUE"""),"Bennett, Lawrence")</f>
        <v>Bennett, Lawrence</v>
      </c>
      <c r="B12508" s="2">
        <f ca="1">IFERROR(__xludf.DUMMYFUNCTION("""COMPUTED_VALUE"""),999)</f>
        <v>999</v>
      </c>
      <c r="C12508" s="2">
        <f ca="1">IFERROR(__xludf.DUMMYFUNCTION("""COMPUTED_VALUE"""),999)</f>
        <v>999</v>
      </c>
      <c r="D12508" s="8">
        <f ca="1">IFERROR(__xludf.DUMMYFUNCTION("""COMPUTED_VALUE"""),999)</f>
        <v>999</v>
      </c>
      <c r="E12508" s="2">
        <f ca="1">IFERROR(__xludf.DUMMYFUNCTION("""COMPUTED_VALUE"""),999)</f>
        <v>999</v>
      </c>
    </row>
    <row r="12509" spans="1:5" ht="13">
      <c r="A12509" s="2" t="str">
        <f ca="1">IFERROR(__xludf.DUMMYFUNCTION("""COMPUTED_VALUE"""),"Besig, Don / Price, Nancy")</f>
        <v>Besig, Don / Price, Nancy</v>
      </c>
      <c r="B12509" s="3">
        <f ca="1">IFERROR(__xludf.DUMMYFUNCTION("""COMPUTED_VALUE"""),999)</f>
        <v>999</v>
      </c>
      <c r="C12509" s="7">
        <f ca="1">IFERROR(__xludf.DUMMYFUNCTION("""COMPUTED_VALUE"""),999)</f>
        <v>999</v>
      </c>
      <c r="D12509" s="8">
        <f ca="1">IFERROR(__xludf.DUMMYFUNCTION("""COMPUTED_VALUE"""),999)</f>
        <v>999</v>
      </c>
      <c r="E12509" s="2">
        <f ca="1">IFERROR(__xludf.DUMMYFUNCTION("""COMPUTED_VALUE"""),999)</f>
        <v>999</v>
      </c>
    </row>
    <row r="12510" spans="1:5" ht="13">
      <c r="A12510" s="2" t="str">
        <f ca="1">IFERROR(__xludf.DUMMYFUNCTION("""COMPUTED_VALUE"""),"Beveridge (unknown)")</f>
        <v>Beveridge (unknown)</v>
      </c>
      <c r="B12510" s="2">
        <f ca="1">IFERROR(__xludf.DUMMYFUNCTION("""COMPUTED_VALUE"""),999)</f>
        <v>999</v>
      </c>
      <c r="C12510" s="2">
        <f ca="1">IFERROR(__xludf.DUMMYFUNCTION("""COMPUTED_VALUE"""),999)</f>
        <v>999</v>
      </c>
      <c r="D12510" s="8">
        <f ca="1">IFERROR(__xludf.DUMMYFUNCTION("""COMPUTED_VALUE"""),999)</f>
        <v>999</v>
      </c>
      <c r="E12510" s="2">
        <f ca="1">IFERROR(__xludf.DUMMYFUNCTION("""COMPUTED_VALUE"""),999)</f>
        <v>999</v>
      </c>
    </row>
    <row r="12511" spans="1:5" ht="13">
      <c r="A12511" s="8" t="str">
        <f ca="1">IFERROR(__xludf.DUMMYFUNCTION("""COMPUTED_VALUE"""),"Bhraonain, Eithne Ni / Ryan, Nicky / Ryan, Roma")</f>
        <v>Bhraonain, Eithne Ni / Ryan, Nicky / Ryan, Roma</v>
      </c>
      <c r="B12511" s="3">
        <f ca="1">IFERROR(__xludf.DUMMYFUNCTION("""COMPUTED_VALUE"""),999)</f>
        <v>999</v>
      </c>
      <c r="C12511" s="7">
        <f ca="1">IFERROR(__xludf.DUMMYFUNCTION("""COMPUTED_VALUE"""),999)</f>
        <v>999</v>
      </c>
      <c r="D12511" s="8">
        <f ca="1">IFERROR(__xludf.DUMMYFUNCTION("""COMPUTED_VALUE"""),999)</f>
        <v>999</v>
      </c>
      <c r="E12511" s="2">
        <f ca="1">IFERROR(__xludf.DUMMYFUNCTION("""COMPUTED_VALUE"""),999)</f>
        <v>999</v>
      </c>
    </row>
    <row r="12512" spans="1:5" ht="13">
      <c r="A12512" s="2" t="str">
        <f ca="1">IFERROR(__xludf.DUMMYFUNCTION("""COMPUTED_VALUE"""),"BHS")</f>
        <v>BHS</v>
      </c>
      <c r="B12512" s="2">
        <f ca="1">IFERROR(__xludf.DUMMYFUNCTION("""COMPUTED_VALUE"""),999)</f>
        <v>999</v>
      </c>
      <c r="C12512" s="7">
        <f ca="1">IFERROR(__xludf.DUMMYFUNCTION("""COMPUTED_VALUE"""),999)</f>
        <v>999</v>
      </c>
      <c r="D12512" s="8">
        <f ca="1">IFERROR(__xludf.DUMMYFUNCTION("""COMPUTED_VALUE"""),999)</f>
        <v>999</v>
      </c>
      <c r="E12512" s="2">
        <f ca="1">IFERROR(__xludf.DUMMYFUNCTION("""COMPUTED_VALUE"""),999)</f>
        <v>999</v>
      </c>
    </row>
    <row r="12513" spans="1:5" ht="13">
      <c r="A12513" s="2" t="str">
        <f ca="1">IFERROR(__xludf.DUMMYFUNCTION("""COMPUTED_VALUE"""),"Bigarel, Jessica / Johnston, Nathan")</f>
        <v>Bigarel, Jessica / Johnston, Nathan</v>
      </c>
      <c r="B12513" s="3">
        <f ca="1">IFERROR(__xludf.DUMMYFUNCTION("""COMPUTED_VALUE"""),999)</f>
        <v>999</v>
      </c>
      <c r="C12513" s="7">
        <f ca="1">IFERROR(__xludf.DUMMYFUNCTION("""COMPUTED_VALUE"""),999)</f>
        <v>999</v>
      </c>
      <c r="D12513" s="8">
        <f ca="1">IFERROR(__xludf.DUMMYFUNCTION("""COMPUTED_VALUE"""),999)</f>
        <v>999</v>
      </c>
      <c r="E12513" s="2">
        <f ca="1">IFERROR(__xludf.DUMMYFUNCTION("""COMPUTED_VALUE"""),999)</f>
        <v>999</v>
      </c>
    </row>
    <row r="12514" spans="1:5" ht="13">
      <c r="A12514" s="8" t="str">
        <f ca="1">IFERROR(__xludf.DUMMYFUNCTION("""COMPUTED_VALUE"""),"Billingsley, W.")</f>
        <v>Billingsley, W.</v>
      </c>
      <c r="B12514" s="2">
        <f ca="1">IFERROR(__xludf.DUMMYFUNCTION("""COMPUTED_VALUE"""),999)</f>
        <v>999</v>
      </c>
      <c r="C12514" s="7">
        <f ca="1">IFERROR(__xludf.DUMMYFUNCTION("""COMPUTED_VALUE"""),999)</f>
        <v>999</v>
      </c>
      <c r="D12514" s="8">
        <f ca="1">IFERROR(__xludf.DUMMYFUNCTION("""COMPUTED_VALUE"""),999)</f>
        <v>999</v>
      </c>
      <c r="E12514" s="2">
        <f ca="1">IFERROR(__xludf.DUMMYFUNCTION("""COMPUTED_VALUE"""),999)</f>
        <v>999</v>
      </c>
    </row>
    <row r="12515" spans="1:5" ht="13">
      <c r="A12515" s="2" t="str">
        <f ca="1">IFERROR(__xludf.DUMMYFUNCTION("""COMPUTED_VALUE"""),"Bishop / Hunter-Shaw")</f>
        <v>Bishop / Hunter-Shaw</v>
      </c>
      <c r="B12515" s="3">
        <f ca="1">IFERROR(__xludf.DUMMYFUNCTION("""COMPUTED_VALUE"""),999)</f>
        <v>999</v>
      </c>
      <c r="C12515" s="7">
        <f ca="1">IFERROR(__xludf.DUMMYFUNCTION("""COMPUTED_VALUE"""),999)</f>
        <v>999</v>
      </c>
      <c r="D12515" s="8">
        <f ca="1">IFERROR(__xludf.DUMMYFUNCTION("""COMPUTED_VALUE"""),999)</f>
        <v>999</v>
      </c>
      <c r="E12515" s="2">
        <f ca="1">IFERROR(__xludf.DUMMYFUNCTION("""COMPUTED_VALUE"""),999)</f>
        <v>999</v>
      </c>
    </row>
    <row r="12516" spans="1:5" ht="13">
      <c r="A12516" s="2" t="str">
        <f ca="1">IFERROR(__xludf.DUMMYFUNCTION("""COMPUTED_VALUE"""),"Black Sabbath")</f>
        <v>Black Sabbath</v>
      </c>
      <c r="B12516" s="2">
        <f ca="1">IFERROR(__xludf.DUMMYFUNCTION("""COMPUTED_VALUE"""),999)</f>
        <v>999</v>
      </c>
      <c r="C12516" s="2">
        <f ca="1">IFERROR(__xludf.DUMMYFUNCTION("""COMPUTED_VALUE"""),999)</f>
        <v>999</v>
      </c>
      <c r="D12516" s="8">
        <f ca="1">IFERROR(__xludf.DUMMYFUNCTION("""COMPUTED_VALUE"""),999)</f>
        <v>999</v>
      </c>
      <c r="E12516" s="2">
        <f ca="1">IFERROR(__xludf.DUMMYFUNCTION("""COMPUTED_VALUE"""),999)</f>
        <v>999</v>
      </c>
    </row>
    <row r="12517" spans="1:5" ht="13">
      <c r="A12517" s="2" t="str">
        <f ca="1">IFERROR(__xludf.DUMMYFUNCTION("""COMPUTED_VALUE"""),"Blokland (unknown)")</f>
        <v>Blokland (unknown)</v>
      </c>
      <c r="B12517" s="2">
        <f ca="1">IFERROR(__xludf.DUMMYFUNCTION("""COMPUTED_VALUE"""),999)</f>
        <v>999</v>
      </c>
      <c r="C12517" s="2">
        <f ca="1">IFERROR(__xludf.DUMMYFUNCTION("""COMPUTED_VALUE"""),999)</f>
        <v>999</v>
      </c>
      <c r="D12517" s="8">
        <f ca="1">IFERROR(__xludf.DUMMYFUNCTION("""COMPUTED_VALUE"""),999)</f>
        <v>999</v>
      </c>
      <c r="E12517" s="2">
        <f ca="1">IFERROR(__xludf.DUMMYFUNCTION("""COMPUTED_VALUE"""),999)</f>
        <v>999</v>
      </c>
    </row>
    <row r="12518" spans="1:5" ht="13">
      <c r="A12518" s="2" t="str">
        <f ca="1">IFERROR(__xludf.DUMMYFUNCTION("""COMPUTED_VALUE"""),"Bluegrass Student Union")</f>
        <v>Bluegrass Student Union</v>
      </c>
      <c r="B12518" s="2">
        <f ca="1">IFERROR(__xludf.DUMMYFUNCTION("""COMPUTED_VALUE"""),999)</f>
        <v>999</v>
      </c>
      <c r="C12518" s="7">
        <f ca="1">IFERROR(__xludf.DUMMYFUNCTION("""COMPUTED_VALUE"""),999)</f>
        <v>999</v>
      </c>
      <c r="D12518" s="8">
        <f ca="1">IFERROR(__xludf.DUMMYFUNCTION("""COMPUTED_VALUE"""),999)</f>
        <v>999</v>
      </c>
      <c r="E12518" s="2">
        <f ca="1">IFERROR(__xludf.DUMMYFUNCTION("""COMPUTED_VALUE"""),999)</f>
        <v>999</v>
      </c>
    </row>
    <row r="12519" spans="1:5" ht="13">
      <c r="A12519" s="2" t="str">
        <f ca="1">IFERROR(__xludf.DUMMYFUNCTION("""COMPUTED_VALUE"""),"Blues")</f>
        <v>Blues</v>
      </c>
      <c r="B12519" s="2">
        <f ca="1">IFERROR(__xludf.DUMMYFUNCTION("""COMPUTED_VALUE"""),999)</f>
        <v>999</v>
      </c>
      <c r="C12519" s="7">
        <f ca="1">IFERROR(__xludf.DUMMYFUNCTION("""COMPUTED_VALUE"""),999)</f>
        <v>999</v>
      </c>
      <c r="D12519" s="8">
        <f ca="1">IFERROR(__xludf.DUMMYFUNCTION("""COMPUTED_VALUE"""),999)</f>
        <v>999</v>
      </c>
      <c r="E12519" s="2">
        <f ca="1">IFERROR(__xludf.DUMMYFUNCTION("""COMPUTED_VALUE"""),999)</f>
        <v>999</v>
      </c>
    </row>
    <row r="12520" spans="1:5" ht="13">
      <c r="A12520" s="2" t="str">
        <f ca="1">IFERROR(__xludf.DUMMYFUNCTION("""COMPUTED_VALUE"""),"Bock")</f>
        <v>Bock</v>
      </c>
      <c r="B12520" s="3">
        <f ca="1">IFERROR(__xludf.DUMMYFUNCTION("""COMPUTED_VALUE"""),999)</f>
        <v>999</v>
      </c>
      <c r="C12520" s="7">
        <f ca="1">IFERROR(__xludf.DUMMYFUNCTION("""COMPUTED_VALUE"""),999)</f>
        <v>999</v>
      </c>
      <c r="D12520" s="8">
        <f ca="1">IFERROR(__xludf.DUMMYFUNCTION("""COMPUTED_VALUE"""),999)</f>
        <v>999</v>
      </c>
      <c r="E12520" s="2">
        <f ca="1">IFERROR(__xludf.DUMMYFUNCTION("""COMPUTED_VALUE"""),999)</f>
        <v>999</v>
      </c>
    </row>
    <row r="12521" spans="1:5" ht="13">
      <c r="A12521" s="2" t="str">
        <f ca="1">IFERROR(__xludf.DUMMYFUNCTION("""COMPUTED_VALUE"""),"Boland, William")</f>
        <v>Boland, William</v>
      </c>
      <c r="B12521" s="2">
        <f ca="1">IFERROR(__xludf.DUMMYFUNCTION("""COMPUTED_VALUE"""),999)</f>
        <v>999</v>
      </c>
      <c r="C12521" s="7">
        <f ca="1">IFERROR(__xludf.DUMMYFUNCTION("""COMPUTED_VALUE"""),999)</f>
        <v>999</v>
      </c>
      <c r="D12521" s="8">
        <f ca="1">IFERROR(__xludf.DUMMYFUNCTION("""COMPUTED_VALUE"""),999)</f>
        <v>999</v>
      </c>
      <c r="E12521" s="2">
        <f ca="1">IFERROR(__xludf.DUMMYFUNCTION("""COMPUTED_VALUE"""),999)</f>
        <v>999</v>
      </c>
    </row>
    <row r="12522" spans="1:5" ht="13">
      <c r="A12522" s="2" t="str">
        <f ca="1">IFERROR(__xludf.DUMMYFUNCTION("""COMPUTED_VALUE"""),"Boston Consort")</f>
        <v>Boston Consort</v>
      </c>
      <c r="B12522" s="2">
        <f ca="1">IFERROR(__xludf.DUMMYFUNCTION("""COMPUTED_VALUE"""),999)</f>
        <v>999</v>
      </c>
      <c r="C12522" s="7">
        <f ca="1">IFERROR(__xludf.DUMMYFUNCTION("""COMPUTED_VALUE"""),999)</f>
        <v>999</v>
      </c>
      <c r="D12522" s="8">
        <f ca="1">IFERROR(__xludf.DUMMYFUNCTION("""COMPUTED_VALUE"""),999)</f>
        <v>999</v>
      </c>
      <c r="E12522" s="2">
        <f ca="1">IFERROR(__xludf.DUMMYFUNCTION("""COMPUTED_VALUE"""),999)</f>
        <v>999</v>
      </c>
    </row>
    <row r="12523" spans="1:5" ht="13">
      <c r="A12523" s="8" t="str">
        <f ca="1">IFERROR(__xludf.DUMMYFUNCTION("""COMPUTED_VALUE"""),"Bouchet, Yves")</f>
        <v>Bouchet, Yves</v>
      </c>
      <c r="B12523" s="3">
        <f ca="1">IFERROR(__xludf.DUMMYFUNCTION("""COMPUTED_VALUE"""),999)</f>
        <v>999</v>
      </c>
      <c r="C12523" s="7">
        <f ca="1">IFERROR(__xludf.DUMMYFUNCTION("""COMPUTED_VALUE"""),999)</f>
        <v>999</v>
      </c>
      <c r="D12523" s="8">
        <f ca="1">IFERROR(__xludf.DUMMYFUNCTION("""COMPUTED_VALUE"""),999)</f>
        <v>999</v>
      </c>
      <c r="E12523" s="2">
        <f ca="1">IFERROR(__xludf.DUMMYFUNCTION("""COMPUTED_VALUE"""),999)</f>
        <v>999</v>
      </c>
    </row>
    <row r="12524" spans="1:5" ht="13">
      <c r="A12524" s="8" t="str">
        <f ca="1">IFERROR(__xludf.DUMMYFUNCTION("""COMPUTED_VALUE"""),"Bowie, G.")</f>
        <v>Bowie, G.</v>
      </c>
      <c r="B12524" s="2">
        <f ca="1">IFERROR(__xludf.DUMMYFUNCTION("""COMPUTED_VALUE"""),999)</f>
        <v>999</v>
      </c>
      <c r="C12524" s="7">
        <f ca="1">IFERROR(__xludf.DUMMYFUNCTION("""COMPUTED_VALUE"""),999)</f>
        <v>999</v>
      </c>
      <c r="D12524" s="8">
        <f ca="1">IFERROR(__xludf.DUMMYFUNCTION("""COMPUTED_VALUE"""),999)</f>
        <v>999</v>
      </c>
      <c r="E12524" s="2">
        <f ca="1">IFERROR(__xludf.DUMMYFUNCTION("""COMPUTED_VALUE"""),999)</f>
        <v>999</v>
      </c>
    </row>
    <row r="12525" spans="1:5" ht="13">
      <c r="A12525" s="2" t="str">
        <f ca="1">IFERROR(__xludf.DUMMYFUNCTION("""COMPUTED_VALUE"""),"Brady (unknown)")</f>
        <v>Brady (unknown)</v>
      </c>
      <c r="B12525" s="2">
        <f ca="1">IFERROR(__xludf.DUMMYFUNCTION("""COMPUTED_VALUE"""),999)</f>
        <v>999</v>
      </c>
      <c r="C12525" s="2">
        <f ca="1">IFERROR(__xludf.DUMMYFUNCTION("""COMPUTED_VALUE"""),999)</f>
        <v>999</v>
      </c>
      <c r="D12525" s="8">
        <f ca="1">IFERROR(__xludf.DUMMYFUNCTION("""COMPUTED_VALUE"""),999)</f>
        <v>999</v>
      </c>
      <c r="E12525" s="2">
        <f ca="1">IFERROR(__xludf.DUMMYFUNCTION("""COMPUTED_VALUE"""),999)</f>
        <v>999</v>
      </c>
    </row>
    <row r="12526" spans="1:5" ht="13">
      <c r="A12526" s="8" t="str">
        <f ca="1">IFERROR(__xludf.DUMMYFUNCTION("""COMPUTED_VALUE"""),"Brady, A.")</f>
        <v>Brady, A.</v>
      </c>
      <c r="B12526" s="2">
        <f ca="1">IFERROR(__xludf.DUMMYFUNCTION("""COMPUTED_VALUE"""),999)</f>
        <v>999</v>
      </c>
      <c r="C12526" s="7">
        <f ca="1">IFERROR(__xludf.DUMMYFUNCTION("""COMPUTED_VALUE"""),999)</f>
        <v>999</v>
      </c>
      <c r="D12526" s="8">
        <f ca="1">IFERROR(__xludf.DUMMYFUNCTION("""COMPUTED_VALUE"""),999)</f>
        <v>999</v>
      </c>
      <c r="E12526" s="2">
        <f ca="1">IFERROR(__xludf.DUMMYFUNCTION("""COMPUTED_VALUE"""),999)</f>
        <v>999</v>
      </c>
    </row>
    <row r="12527" spans="1:5" ht="13">
      <c r="A12527" s="8" t="str">
        <f ca="1">IFERROR(__xludf.DUMMYFUNCTION("""COMPUTED_VALUE"""),"Brageto, P.")</f>
        <v>Brageto, P.</v>
      </c>
      <c r="B12527" s="2">
        <f ca="1">IFERROR(__xludf.DUMMYFUNCTION("""COMPUTED_VALUE"""),999)</f>
        <v>999</v>
      </c>
      <c r="C12527" s="7">
        <f ca="1">IFERROR(__xludf.DUMMYFUNCTION("""COMPUTED_VALUE"""),999)</f>
        <v>999</v>
      </c>
      <c r="D12527" s="8">
        <f ca="1">IFERROR(__xludf.DUMMYFUNCTION("""COMPUTED_VALUE"""),999)</f>
        <v>999</v>
      </c>
      <c r="E12527" s="2">
        <f ca="1">IFERROR(__xludf.DUMMYFUNCTION("""COMPUTED_VALUE"""),999)</f>
        <v>999</v>
      </c>
    </row>
    <row r="12528" spans="1:5" ht="13">
      <c r="A12528" s="2" t="str">
        <f ca="1">IFERROR(__xludf.DUMMYFUNCTION("""COMPUTED_VALUE"""),"Brahmstedt, N.K.")</f>
        <v>Brahmstedt, N.K.</v>
      </c>
      <c r="B12528" s="3">
        <f ca="1">IFERROR(__xludf.DUMMYFUNCTION("""COMPUTED_VALUE"""),999)</f>
        <v>999</v>
      </c>
      <c r="C12528" s="7">
        <f ca="1">IFERROR(__xludf.DUMMYFUNCTION("""COMPUTED_VALUE"""),999)</f>
        <v>999</v>
      </c>
      <c r="D12528" s="8">
        <f ca="1">IFERROR(__xludf.DUMMYFUNCTION("""COMPUTED_VALUE"""),999)</f>
        <v>999</v>
      </c>
      <c r="E12528" s="2">
        <f ca="1">IFERROR(__xludf.DUMMYFUNCTION("""COMPUTED_VALUE"""),999)</f>
        <v>999</v>
      </c>
    </row>
    <row r="12529" spans="1:5" ht="13">
      <c r="A12529" s="8" t="str">
        <f ca="1">IFERROR(__xludf.DUMMYFUNCTION("""COMPUTED_VALUE"""),"Branch, H.")</f>
        <v>Branch, H.</v>
      </c>
      <c r="B12529" s="2">
        <f ca="1">IFERROR(__xludf.DUMMYFUNCTION("""COMPUTED_VALUE"""),999)</f>
        <v>999</v>
      </c>
      <c r="C12529" s="7">
        <f ca="1">IFERROR(__xludf.DUMMYFUNCTION("""COMPUTED_VALUE"""),999)</f>
        <v>999</v>
      </c>
      <c r="D12529" s="8">
        <f ca="1">IFERROR(__xludf.DUMMYFUNCTION("""COMPUTED_VALUE"""),999)</f>
        <v>999</v>
      </c>
      <c r="E12529" s="2">
        <f ca="1">IFERROR(__xludf.DUMMYFUNCTION("""COMPUTED_VALUE"""),999)</f>
        <v>999</v>
      </c>
    </row>
    <row r="12530" spans="1:5" ht="13">
      <c r="A12530" s="2" t="str">
        <f ca="1">IFERROR(__xludf.DUMMYFUNCTION("""COMPUTED_VALUE"""),"Bratton (unknown)")</f>
        <v>Bratton (unknown)</v>
      </c>
      <c r="B12530" s="2">
        <f ca="1">IFERROR(__xludf.DUMMYFUNCTION("""COMPUTED_VALUE"""),999)</f>
        <v>999</v>
      </c>
      <c r="C12530" s="2">
        <f ca="1">IFERROR(__xludf.DUMMYFUNCTION("""COMPUTED_VALUE"""),999)</f>
        <v>999</v>
      </c>
      <c r="D12530" s="8">
        <f ca="1">IFERROR(__xludf.DUMMYFUNCTION("""COMPUTED_VALUE"""),999)</f>
        <v>999</v>
      </c>
      <c r="E12530" s="2">
        <f ca="1">IFERROR(__xludf.DUMMYFUNCTION("""COMPUTED_VALUE"""),999)</f>
        <v>999</v>
      </c>
    </row>
    <row r="12531" spans="1:5" ht="13">
      <c r="A12531" s="8" t="str">
        <f ca="1">IFERROR(__xludf.DUMMYFUNCTION("""COMPUTED_VALUE"""),"Bretinger (unknown)")</f>
        <v>Bretinger (unknown)</v>
      </c>
      <c r="B12531" s="2">
        <f ca="1">IFERROR(__xludf.DUMMYFUNCTION("""COMPUTED_VALUE"""),999)</f>
        <v>999</v>
      </c>
      <c r="C12531" s="7">
        <f ca="1">IFERROR(__xludf.DUMMYFUNCTION("""COMPUTED_VALUE"""),999)</f>
        <v>999</v>
      </c>
      <c r="D12531" s="8">
        <f ca="1">IFERROR(__xludf.DUMMYFUNCTION("""COMPUTED_VALUE"""),999)</f>
        <v>999</v>
      </c>
      <c r="E12531" s="2">
        <f ca="1">IFERROR(__xludf.DUMMYFUNCTION("""COMPUTED_VALUE"""),999)</f>
        <v>999</v>
      </c>
    </row>
    <row r="12532" spans="1:5" ht="13">
      <c r="A12532" s="8" t="str">
        <f ca="1">IFERROR(__xludf.DUMMYFUNCTION("""COMPUTED_VALUE"""),"Briner, Beat")</f>
        <v>Briner, Beat</v>
      </c>
      <c r="B12532" s="2">
        <f ca="1">IFERROR(__xludf.DUMMYFUNCTION("""COMPUTED_VALUE"""),999)</f>
        <v>999</v>
      </c>
      <c r="C12532" s="7">
        <f ca="1">IFERROR(__xludf.DUMMYFUNCTION("""COMPUTED_VALUE"""),999)</f>
        <v>999</v>
      </c>
      <c r="D12532" s="8">
        <f ca="1">IFERROR(__xludf.DUMMYFUNCTION("""COMPUTED_VALUE"""),999)</f>
        <v>999</v>
      </c>
      <c r="E12532" s="2">
        <f ca="1">IFERROR(__xludf.DUMMYFUNCTION("""COMPUTED_VALUE"""),999)</f>
        <v>999</v>
      </c>
    </row>
    <row r="12533" spans="1:5" ht="13">
      <c r="A12533" s="2" t="str">
        <f ca="1">IFERROR(__xludf.DUMMYFUNCTION("""COMPUTED_VALUE"""),"Brinkman (unknown)")</f>
        <v>Brinkman (unknown)</v>
      </c>
      <c r="B12533" s="2">
        <f ca="1">IFERROR(__xludf.DUMMYFUNCTION("""COMPUTED_VALUE"""),999)</f>
        <v>999</v>
      </c>
      <c r="C12533" s="2">
        <f ca="1">IFERROR(__xludf.DUMMYFUNCTION("""COMPUTED_VALUE"""),999)</f>
        <v>999</v>
      </c>
      <c r="D12533" s="8">
        <f ca="1">IFERROR(__xludf.DUMMYFUNCTION("""COMPUTED_VALUE"""),999)</f>
        <v>999</v>
      </c>
      <c r="E12533" s="2">
        <f ca="1">IFERROR(__xludf.DUMMYFUNCTION("""COMPUTED_VALUE"""),999)</f>
        <v>999</v>
      </c>
    </row>
    <row r="12534" spans="1:5" ht="13">
      <c r="A12534" s="2" t="str">
        <f ca="1">IFERROR(__xludf.DUMMYFUNCTION("""COMPUTED_VALUE"""),"Briones, Pamela / Hinojosa, Vanessa")</f>
        <v>Briones, Pamela / Hinojosa, Vanessa</v>
      </c>
      <c r="B12534" s="3">
        <f ca="1">IFERROR(__xludf.DUMMYFUNCTION("""COMPUTED_VALUE"""),999)</f>
        <v>999</v>
      </c>
      <c r="C12534" s="7">
        <f ca="1">IFERROR(__xludf.DUMMYFUNCTION("""COMPUTED_VALUE"""),999)</f>
        <v>999</v>
      </c>
      <c r="D12534" s="8">
        <f ca="1">IFERROR(__xludf.DUMMYFUNCTION("""COMPUTED_VALUE"""),999)</f>
        <v>999</v>
      </c>
      <c r="E12534" s="2">
        <f ca="1">IFERROR(__xludf.DUMMYFUNCTION("""COMPUTED_VALUE"""),999)</f>
        <v>999</v>
      </c>
    </row>
    <row r="12535" spans="1:5" ht="13">
      <c r="A12535" s="2" t="str">
        <f ca="1">IFERROR(__xludf.DUMMYFUNCTION("""COMPUTED_VALUE"""),"Brook (unknown)")</f>
        <v>Brook (unknown)</v>
      </c>
      <c r="B12535" s="3">
        <f ca="1">IFERROR(__xludf.DUMMYFUNCTION("""COMPUTED_VALUE"""),999)</f>
        <v>999</v>
      </c>
      <c r="C12535" s="7">
        <f ca="1">IFERROR(__xludf.DUMMYFUNCTION("""COMPUTED_VALUE"""),999)</f>
        <v>999</v>
      </c>
      <c r="D12535" s="8">
        <f ca="1">IFERROR(__xludf.DUMMYFUNCTION("""COMPUTED_VALUE"""),999)</f>
        <v>999</v>
      </c>
      <c r="E12535" s="2">
        <f ca="1">IFERROR(__xludf.DUMMYFUNCTION("""COMPUTED_VALUE"""),999)</f>
        <v>999</v>
      </c>
    </row>
    <row r="12536" spans="1:5" ht="13">
      <c r="A12536" s="2" t="str">
        <f ca="1">IFERROR(__xludf.DUMMYFUNCTION("""COMPUTED_VALUE"""),"Brook / Appleby / Fowler")</f>
        <v>Brook / Appleby / Fowler</v>
      </c>
      <c r="B12536" s="3">
        <f ca="1">IFERROR(__xludf.DUMMYFUNCTION("""COMPUTED_VALUE"""),999)</f>
        <v>999</v>
      </c>
      <c r="C12536" s="7">
        <f ca="1">IFERROR(__xludf.DUMMYFUNCTION("""COMPUTED_VALUE"""),999)</f>
        <v>999</v>
      </c>
      <c r="D12536" s="8">
        <f ca="1">IFERROR(__xludf.DUMMYFUNCTION("""COMPUTED_VALUE"""),999)</f>
        <v>999</v>
      </c>
      <c r="E12536" s="2">
        <f ca="1">IFERROR(__xludf.DUMMYFUNCTION("""COMPUTED_VALUE"""),999)</f>
        <v>999</v>
      </c>
    </row>
    <row r="12537" spans="1:5" ht="13">
      <c r="A12537" s="2" t="str">
        <f ca="1">IFERROR(__xludf.DUMMYFUNCTION("""COMPUTED_VALUE"""),"Brooks (unknown)")</f>
        <v>Brooks (unknown)</v>
      </c>
      <c r="B12537" s="2">
        <f ca="1">IFERROR(__xludf.DUMMYFUNCTION("""COMPUTED_VALUE"""),999)</f>
        <v>999</v>
      </c>
      <c r="C12537" s="2">
        <f ca="1">IFERROR(__xludf.DUMMYFUNCTION("""COMPUTED_VALUE"""),999)</f>
        <v>999</v>
      </c>
      <c r="D12537" s="8">
        <f ca="1">IFERROR(__xludf.DUMMYFUNCTION("""COMPUTED_VALUE"""),999)</f>
        <v>999</v>
      </c>
      <c r="E12537" s="2">
        <f ca="1">IFERROR(__xludf.DUMMYFUNCTION("""COMPUTED_VALUE"""),999)</f>
        <v>999</v>
      </c>
    </row>
    <row r="12538" spans="1:5" ht="13">
      <c r="A12538" s="2" t="str">
        <f ca="1">IFERROR(__xludf.DUMMYFUNCTION("""COMPUTED_VALUE"""),"Brunnelle (unknown)")</f>
        <v>Brunnelle (unknown)</v>
      </c>
      <c r="B12538" s="2">
        <f ca="1">IFERROR(__xludf.DUMMYFUNCTION("""COMPUTED_VALUE"""),999)</f>
        <v>999</v>
      </c>
      <c r="C12538" s="2">
        <f ca="1">IFERROR(__xludf.DUMMYFUNCTION("""COMPUTED_VALUE"""),999)</f>
        <v>999</v>
      </c>
      <c r="D12538" s="8">
        <f ca="1">IFERROR(__xludf.DUMMYFUNCTION("""COMPUTED_VALUE"""),999)</f>
        <v>999</v>
      </c>
      <c r="E12538" s="2">
        <f ca="1">IFERROR(__xludf.DUMMYFUNCTION("""COMPUTED_VALUE"""),999)</f>
        <v>999</v>
      </c>
    </row>
    <row r="12539" spans="1:5" ht="13">
      <c r="A12539" s="2" t="str">
        <f ca="1">IFERROR(__xludf.DUMMYFUNCTION("""COMPUTED_VALUE"""),"Bryant, Boudleaux / Bryant, Felice")</f>
        <v>Bryant, Boudleaux / Bryant, Felice</v>
      </c>
      <c r="B12539" s="3">
        <f ca="1">IFERROR(__xludf.DUMMYFUNCTION("""COMPUTED_VALUE"""),999)</f>
        <v>999</v>
      </c>
      <c r="C12539" s="7">
        <f ca="1">IFERROR(__xludf.DUMMYFUNCTION("""COMPUTED_VALUE"""),999)</f>
        <v>999</v>
      </c>
      <c r="D12539" s="8">
        <f ca="1">IFERROR(__xludf.DUMMYFUNCTION("""COMPUTED_VALUE"""),999)</f>
        <v>999</v>
      </c>
      <c r="E12539" s="2">
        <f ca="1">IFERROR(__xludf.DUMMYFUNCTION("""COMPUTED_VALUE"""),999)</f>
        <v>999</v>
      </c>
    </row>
    <row r="12540" spans="1:5" ht="13">
      <c r="A12540" s="8" t="str">
        <f ca="1">IFERROR(__xludf.DUMMYFUNCTION("""COMPUTED_VALUE"""),"Budesheim (unknown)")</f>
        <v>Budesheim (unknown)</v>
      </c>
      <c r="B12540" s="2">
        <f ca="1">IFERROR(__xludf.DUMMYFUNCTION("""COMPUTED_VALUE"""),999)</f>
        <v>999</v>
      </c>
      <c r="C12540" s="7">
        <f ca="1">IFERROR(__xludf.DUMMYFUNCTION("""COMPUTED_VALUE"""),999)</f>
        <v>999</v>
      </c>
      <c r="D12540" s="8">
        <f ca="1">IFERROR(__xludf.DUMMYFUNCTION("""COMPUTED_VALUE"""),999)</f>
        <v>999</v>
      </c>
      <c r="E12540" s="2">
        <f ca="1">IFERROR(__xludf.DUMMYFUNCTION("""COMPUTED_VALUE"""),999)</f>
        <v>999</v>
      </c>
    </row>
    <row r="12541" spans="1:5" ht="13">
      <c r="A12541" s="2" t="str">
        <f ca="1">IFERROR(__xludf.DUMMYFUNCTION("""COMPUTED_VALUE"""),"Bunjes (unknown)")</f>
        <v>Bunjes (unknown)</v>
      </c>
      <c r="B12541" s="2">
        <f ca="1">IFERROR(__xludf.DUMMYFUNCTION("""COMPUTED_VALUE"""),999)</f>
        <v>999</v>
      </c>
      <c r="C12541" s="2">
        <f ca="1">IFERROR(__xludf.DUMMYFUNCTION("""COMPUTED_VALUE"""),999)</f>
        <v>999</v>
      </c>
      <c r="D12541" s="8">
        <f ca="1">IFERROR(__xludf.DUMMYFUNCTION("""COMPUTED_VALUE"""),999)</f>
        <v>999</v>
      </c>
      <c r="E12541" s="2">
        <f ca="1">IFERROR(__xludf.DUMMYFUNCTION("""COMPUTED_VALUE"""),999)</f>
        <v>999</v>
      </c>
    </row>
    <row r="12542" spans="1:5" ht="13">
      <c r="A12542" s="2" t="str">
        <f ca="1">IFERROR(__xludf.DUMMYFUNCTION("""COMPUTED_VALUE"""),"Burden, B.")</f>
        <v>Burden, B.</v>
      </c>
      <c r="B12542" s="2">
        <f ca="1">IFERROR(__xludf.DUMMYFUNCTION("""COMPUTED_VALUE"""),999)</f>
        <v>999</v>
      </c>
      <c r="C12542" s="7">
        <f ca="1">IFERROR(__xludf.DUMMYFUNCTION("""COMPUTED_VALUE"""),999)</f>
        <v>999</v>
      </c>
      <c r="D12542" s="8">
        <f ca="1">IFERROR(__xludf.DUMMYFUNCTION("""COMPUTED_VALUE"""),999)</f>
        <v>999</v>
      </c>
      <c r="E12542" s="2">
        <f ca="1">IFERROR(__xludf.DUMMYFUNCTION("""COMPUTED_VALUE"""),999)</f>
        <v>999</v>
      </c>
    </row>
    <row r="12543" spans="1:5" ht="13">
      <c r="A12543" s="8" t="str">
        <f ca="1">IFERROR(__xludf.DUMMYFUNCTION("""COMPUTED_VALUE"""),"Burn, C.")</f>
        <v>Burn, C.</v>
      </c>
      <c r="B12543" s="2">
        <f ca="1">IFERROR(__xludf.DUMMYFUNCTION("""COMPUTED_VALUE"""),999)</f>
        <v>999</v>
      </c>
      <c r="C12543" s="7">
        <f ca="1">IFERROR(__xludf.DUMMYFUNCTION("""COMPUTED_VALUE"""),999)</f>
        <v>999</v>
      </c>
      <c r="D12543" s="8">
        <f ca="1">IFERROR(__xludf.DUMMYFUNCTION("""COMPUTED_VALUE"""),999)</f>
        <v>999</v>
      </c>
      <c r="E12543" s="2">
        <f ca="1">IFERROR(__xludf.DUMMYFUNCTION("""COMPUTED_VALUE"""),999)</f>
        <v>999</v>
      </c>
    </row>
    <row r="12544" spans="1:5" ht="13">
      <c r="A12544" s="8" t="str">
        <f ca="1">IFERROR(__xludf.DUMMYFUNCTION("""COMPUTED_VALUE"""),"Bush, A.")</f>
        <v>Bush, A.</v>
      </c>
      <c r="B12544" s="2">
        <f ca="1">IFERROR(__xludf.DUMMYFUNCTION("""COMPUTED_VALUE"""),999)</f>
        <v>999</v>
      </c>
      <c r="C12544" s="7">
        <f ca="1">IFERROR(__xludf.DUMMYFUNCTION("""COMPUTED_VALUE"""),999)</f>
        <v>999</v>
      </c>
      <c r="D12544" s="8">
        <f ca="1">IFERROR(__xludf.DUMMYFUNCTION("""COMPUTED_VALUE"""),999)</f>
        <v>999</v>
      </c>
      <c r="E12544" s="2">
        <f ca="1">IFERROR(__xludf.DUMMYFUNCTION("""COMPUTED_VALUE"""),999)</f>
        <v>999</v>
      </c>
    </row>
    <row r="12545" spans="1:5" ht="13">
      <c r="A12545" s="2" t="str">
        <f ca="1">IFERROR(__xludf.DUMMYFUNCTION("""COMPUTED_VALUE"""),"Buszin (unknown)")</f>
        <v>Buszin (unknown)</v>
      </c>
      <c r="B12545" s="2">
        <f ca="1">IFERROR(__xludf.DUMMYFUNCTION("""COMPUTED_VALUE"""),999)</f>
        <v>999</v>
      </c>
      <c r="C12545" s="2">
        <f ca="1">IFERROR(__xludf.DUMMYFUNCTION("""COMPUTED_VALUE"""),999)</f>
        <v>999</v>
      </c>
      <c r="D12545" s="8">
        <f ca="1">IFERROR(__xludf.DUMMYFUNCTION("""COMPUTED_VALUE"""),999)</f>
        <v>999</v>
      </c>
      <c r="E12545" s="2">
        <f ca="1">IFERROR(__xludf.DUMMYFUNCTION("""COMPUTED_VALUE"""),999)</f>
        <v>999</v>
      </c>
    </row>
    <row r="12546" spans="1:5" ht="13">
      <c r="A12546" s="2" t="str">
        <f ca="1">IFERROR(__xludf.DUMMYFUNCTION("""COMPUTED_VALUE"""),"BYU Vocal Point")</f>
        <v>BYU Vocal Point</v>
      </c>
      <c r="B12546" s="2">
        <f ca="1">IFERROR(__xludf.DUMMYFUNCTION("""COMPUTED_VALUE"""),999)</f>
        <v>999</v>
      </c>
      <c r="C12546" s="7">
        <f ca="1">IFERROR(__xludf.DUMMYFUNCTION("""COMPUTED_VALUE"""),999)</f>
        <v>999</v>
      </c>
      <c r="D12546" s="8">
        <f ca="1">IFERROR(__xludf.DUMMYFUNCTION("""COMPUTED_VALUE"""),999)</f>
        <v>999</v>
      </c>
      <c r="E12546" s="2">
        <f ca="1">IFERROR(__xludf.DUMMYFUNCTION("""COMPUTED_VALUE"""),999)</f>
        <v>999</v>
      </c>
    </row>
    <row r="12547" spans="1:5" ht="13">
      <c r="A12547" s="2" t="str">
        <f ca="1">IFERROR(__xludf.DUMMYFUNCTION("""COMPUTED_VALUE"""),"Cacavas, John / Porretta, Frank / Becker, Bonnie")</f>
        <v>Cacavas, John / Porretta, Frank / Becker, Bonnie</v>
      </c>
      <c r="B12547" s="3">
        <f ca="1">IFERROR(__xludf.DUMMYFUNCTION("""COMPUTED_VALUE"""),999)</f>
        <v>999</v>
      </c>
      <c r="C12547" s="7">
        <f ca="1">IFERROR(__xludf.DUMMYFUNCTION("""COMPUTED_VALUE"""),999)</f>
        <v>999</v>
      </c>
      <c r="D12547" s="8">
        <f ca="1">IFERROR(__xludf.DUMMYFUNCTION("""COMPUTED_VALUE"""),999)</f>
        <v>999</v>
      </c>
      <c r="E12547" s="2">
        <f ca="1">IFERROR(__xludf.DUMMYFUNCTION("""COMPUTED_VALUE"""),999)</f>
        <v>999</v>
      </c>
    </row>
    <row r="12548" spans="1:5" ht="13">
      <c r="A12548" s="2" t="str">
        <f ca="1">IFERROR(__xludf.DUMMYFUNCTION("""COMPUTED_VALUE"""),"Calypso Song")</f>
        <v>Calypso Song</v>
      </c>
      <c r="B12548" s="2">
        <f ca="1">IFERROR(__xludf.DUMMYFUNCTION("""COMPUTED_VALUE"""),999)</f>
        <v>999</v>
      </c>
      <c r="C12548" s="7">
        <f ca="1">IFERROR(__xludf.DUMMYFUNCTION("""COMPUTED_VALUE"""),999)</f>
        <v>999</v>
      </c>
      <c r="D12548" s="8">
        <f ca="1">IFERROR(__xludf.DUMMYFUNCTION("""COMPUTED_VALUE"""),999)</f>
        <v>999</v>
      </c>
      <c r="E12548" s="2">
        <f ca="1">IFERROR(__xludf.DUMMYFUNCTION("""COMPUTED_VALUE"""),999)</f>
        <v>999</v>
      </c>
    </row>
    <row r="12549" spans="1:5" ht="13">
      <c r="A12549" s="2" t="str">
        <f ca="1">IFERROR(__xludf.DUMMYFUNCTION("""COMPUTED_VALUE"""),"Campell (unknown)")</f>
        <v>Campell (unknown)</v>
      </c>
      <c r="B12549" s="2">
        <f ca="1">IFERROR(__xludf.DUMMYFUNCTION("""COMPUTED_VALUE"""),999)</f>
        <v>999</v>
      </c>
      <c r="C12549" s="2">
        <f ca="1">IFERROR(__xludf.DUMMYFUNCTION("""COMPUTED_VALUE"""),999)</f>
        <v>999</v>
      </c>
      <c r="D12549" s="8">
        <f ca="1">IFERROR(__xludf.DUMMYFUNCTION("""COMPUTED_VALUE"""),999)</f>
        <v>999</v>
      </c>
      <c r="E12549" s="2">
        <f ca="1">IFERROR(__xludf.DUMMYFUNCTION("""COMPUTED_VALUE"""),999)</f>
        <v>999</v>
      </c>
    </row>
    <row r="12550" spans="1:5" ht="13">
      <c r="A12550" s="8" t="str">
        <f ca="1">IFERROR(__xludf.DUMMYFUNCTION("""COMPUTED_VALUE"""),"Cardenas, J. V.")</f>
        <v>Cardenas, J. V.</v>
      </c>
      <c r="B12550" s="2">
        <f ca="1">IFERROR(__xludf.DUMMYFUNCTION("""COMPUTED_VALUE"""),999)</f>
        <v>999</v>
      </c>
      <c r="C12550" s="7">
        <f ca="1">IFERROR(__xludf.DUMMYFUNCTION("""COMPUTED_VALUE"""),999)</f>
        <v>999</v>
      </c>
      <c r="D12550" s="8">
        <f ca="1">IFERROR(__xludf.DUMMYFUNCTION("""COMPUTED_VALUE"""),999)</f>
        <v>999</v>
      </c>
      <c r="E12550" s="2">
        <f ca="1">IFERROR(__xludf.DUMMYFUNCTION("""COMPUTED_VALUE"""),999)</f>
        <v>999</v>
      </c>
    </row>
    <row r="12551" spans="1:5" ht="13">
      <c r="A12551" s="2" t="str">
        <f ca="1">IFERROR(__xludf.DUMMYFUNCTION("""COMPUTED_VALUE"""),"Carlson, H. T.")</f>
        <v>Carlson, H. T.</v>
      </c>
      <c r="B12551" s="2">
        <f ca="1">IFERROR(__xludf.DUMMYFUNCTION("""COMPUTED_VALUE"""),999)</f>
        <v>999</v>
      </c>
      <c r="C12551" s="2">
        <f ca="1">IFERROR(__xludf.DUMMYFUNCTION("""COMPUTED_VALUE"""),999)</f>
        <v>999</v>
      </c>
      <c r="D12551" s="8">
        <f ca="1">IFERROR(__xludf.DUMMYFUNCTION("""COMPUTED_VALUE"""),999)</f>
        <v>999</v>
      </c>
      <c r="E12551" s="2">
        <f ca="1">IFERROR(__xludf.DUMMYFUNCTION("""COMPUTED_VALUE"""),999)</f>
        <v>999</v>
      </c>
    </row>
    <row r="12552" spans="1:5" ht="13">
      <c r="A12552" s="2" t="str">
        <f ca="1">IFERROR(__xludf.DUMMYFUNCTION("""COMPUTED_VALUE"""),"Carlton, John")</f>
        <v>Carlton, John</v>
      </c>
      <c r="B12552" s="2">
        <f ca="1">IFERROR(__xludf.DUMMYFUNCTION("""COMPUTED_VALUE"""),999)</f>
        <v>999</v>
      </c>
      <c r="C12552" s="2">
        <f ca="1">IFERROR(__xludf.DUMMYFUNCTION("""COMPUTED_VALUE"""),999)</f>
        <v>999</v>
      </c>
      <c r="D12552" s="8">
        <f ca="1">IFERROR(__xludf.DUMMYFUNCTION("""COMPUTED_VALUE"""),999)</f>
        <v>999</v>
      </c>
      <c r="E12552" s="2">
        <f ca="1">IFERROR(__xludf.DUMMYFUNCTION("""COMPUTED_VALUE"""),999)</f>
        <v>999</v>
      </c>
    </row>
    <row r="12553" spans="1:5" ht="13">
      <c r="A12553" s="2" t="str">
        <f ca="1">IFERROR(__xludf.DUMMYFUNCTION("""COMPUTED_VALUE"""),"Carnegie Hall’s LinkUp Program")</f>
        <v>Carnegie Hall’s LinkUp Program</v>
      </c>
      <c r="B12553" s="2">
        <f ca="1">IFERROR(__xludf.DUMMYFUNCTION("""COMPUTED_VALUE"""),999)</f>
        <v>999</v>
      </c>
      <c r="C12553" s="2">
        <f ca="1">IFERROR(__xludf.DUMMYFUNCTION("""COMPUTED_VALUE"""),999)</f>
        <v>999</v>
      </c>
      <c r="D12553" s="8">
        <f ca="1">IFERROR(__xludf.DUMMYFUNCTION("""COMPUTED_VALUE"""),999)</f>
        <v>999</v>
      </c>
      <c r="E12553" s="2">
        <f ca="1">IFERROR(__xludf.DUMMYFUNCTION("""COMPUTED_VALUE"""),999)</f>
        <v>999</v>
      </c>
    </row>
    <row r="12554" spans="1:5" ht="13">
      <c r="A12554" s="8" t="str">
        <f ca="1">IFERROR(__xludf.DUMMYFUNCTION("""COMPUTED_VALUE"""),"Carter")</f>
        <v>Carter</v>
      </c>
      <c r="B12554" s="2">
        <f ca="1">IFERROR(__xludf.DUMMYFUNCTION("""COMPUTED_VALUE"""),999)</f>
        <v>999</v>
      </c>
      <c r="C12554" s="7">
        <f ca="1">IFERROR(__xludf.DUMMYFUNCTION("""COMPUTED_VALUE"""),999)</f>
        <v>999</v>
      </c>
      <c r="D12554" s="8">
        <f ca="1">IFERROR(__xludf.DUMMYFUNCTION("""COMPUTED_VALUE"""),999)</f>
        <v>999</v>
      </c>
      <c r="E12554" s="2">
        <f ca="1">IFERROR(__xludf.DUMMYFUNCTION("""COMPUTED_VALUE"""),999)</f>
        <v>999</v>
      </c>
    </row>
    <row r="12555" spans="1:5" ht="13">
      <c r="A12555" s="2" t="str">
        <f ca="1">IFERROR(__xludf.DUMMYFUNCTION("""COMPUTED_VALUE"""),"Castellazi (unknown)")</f>
        <v>Castellazi (unknown)</v>
      </c>
      <c r="B12555" s="2">
        <f ca="1">IFERROR(__xludf.DUMMYFUNCTION("""COMPUTED_VALUE"""),999)</f>
        <v>999</v>
      </c>
      <c r="C12555" s="2">
        <f ca="1">IFERROR(__xludf.DUMMYFUNCTION("""COMPUTED_VALUE"""),999)</f>
        <v>999</v>
      </c>
      <c r="D12555" s="8">
        <f ca="1">IFERROR(__xludf.DUMMYFUNCTION("""COMPUTED_VALUE"""),999)</f>
        <v>999</v>
      </c>
      <c r="E12555" s="2">
        <f ca="1">IFERROR(__xludf.DUMMYFUNCTION("""COMPUTED_VALUE"""),999)</f>
        <v>999</v>
      </c>
    </row>
    <row r="12556" spans="1:5" ht="13">
      <c r="A12556" s="2" t="str">
        <f ca="1">IFERROR(__xludf.DUMMYFUNCTION("""COMPUTED_VALUE"""),"Castillo Navaro, Jose Domingo")</f>
        <v>Castillo Navaro, Jose Domingo</v>
      </c>
      <c r="B12556" s="3">
        <f ca="1">IFERROR(__xludf.DUMMYFUNCTION("""COMPUTED_VALUE"""),999)</f>
        <v>999</v>
      </c>
      <c r="C12556" s="7">
        <f ca="1">IFERROR(__xludf.DUMMYFUNCTION("""COMPUTED_VALUE"""),999)</f>
        <v>999</v>
      </c>
      <c r="D12556" s="8">
        <f ca="1">IFERROR(__xludf.DUMMYFUNCTION("""COMPUTED_VALUE"""),999)</f>
        <v>999</v>
      </c>
      <c r="E12556" s="2">
        <f ca="1">IFERROR(__xludf.DUMMYFUNCTION("""COMPUTED_VALUE"""),999)</f>
        <v>999</v>
      </c>
    </row>
    <row r="12557" spans="1:5" ht="13">
      <c r="A12557" s="2" t="str">
        <f ca="1">IFERROR(__xludf.DUMMYFUNCTION("""COMPUTED_VALUE"""),"Castle")</f>
        <v>Castle</v>
      </c>
      <c r="B12557" s="2">
        <f ca="1">IFERROR(__xludf.DUMMYFUNCTION("""COMPUTED_VALUE"""),999)</f>
        <v>999</v>
      </c>
      <c r="C12557" s="7">
        <f ca="1">IFERROR(__xludf.DUMMYFUNCTION("""COMPUTED_VALUE"""),999)</f>
        <v>999</v>
      </c>
      <c r="D12557" s="8">
        <f ca="1">IFERROR(__xludf.DUMMYFUNCTION("""COMPUTED_VALUE"""),999)</f>
        <v>999</v>
      </c>
      <c r="E12557" s="2">
        <f ca="1">IFERROR(__xludf.DUMMYFUNCTION("""COMPUTED_VALUE"""),999)</f>
        <v>999</v>
      </c>
    </row>
    <row r="12558" spans="1:5" ht="13">
      <c r="A12558" s="2" t="str">
        <f ca="1">IFERROR(__xludf.DUMMYFUNCTION("""COMPUTED_VALUE"""),"Cazlaux (unknown)")</f>
        <v>Cazlaux (unknown)</v>
      </c>
      <c r="B12558" s="2">
        <f ca="1">IFERROR(__xludf.DUMMYFUNCTION("""COMPUTED_VALUE"""),999)</f>
        <v>999</v>
      </c>
      <c r="C12558" s="2">
        <f ca="1">IFERROR(__xludf.DUMMYFUNCTION("""COMPUTED_VALUE"""),999)</f>
        <v>999</v>
      </c>
      <c r="D12558" s="8">
        <f ca="1">IFERROR(__xludf.DUMMYFUNCTION("""COMPUTED_VALUE"""),999)</f>
        <v>999</v>
      </c>
      <c r="E12558" s="2">
        <f ca="1">IFERROR(__xludf.DUMMYFUNCTION("""COMPUTED_VALUE"""),999)</f>
        <v>999</v>
      </c>
    </row>
    <row r="12559" spans="1:5" ht="13">
      <c r="A12559" s="8" t="str">
        <f ca="1">IFERROR(__xludf.DUMMYFUNCTION("""COMPUTED_VALUE"""),"Chescoe (unknown)")</f>
        <v>Chescoe (unknown)</v>
      </c>
      <c r="B12559" s="2">
        <f ca="1">IFERROR(__xludf.DUMMYFUNCTION("""COMPUTED_VALUE"""),999)</f>
        <v>999</v>
      </c>
      <c r="C12559" s="7">
        <f ca="1">IFERROR(__xludf.DUMMYFUNCTION("""COMPUTED_VALUE"""),999)</f>
        <v>999</v>
      </c>
      <c r="D12559" s="8">
        <f ca="1">IFERROR(__xludf.DUMMYFUNCTION("""COMPUTED_VALUE"""),999)</f>
        <v>999</v>
      </c>
      <c r="E12559" s="2">
        <f ca="1">IFERROR(__xludf.DUMMYFUNCTION("""COMPUTED_VALUE"""),999)</f>
        <v>999</v>
      </c>
    </row>
    <row r="12560" spans="1:5" ht="13">
      <c r="A12560" s="2" t="str">
        <f ca="1">IFERROR(__xludf.DUMMYFUNCTION("""COMPUTED_VALUE"""),"Choate")</f>
        <v>Choate</v>
      </c>
      <c r="B12560" s="2">
        <f ca="1">IFERROR(__xludf.DUMMYFUNCTION("""COMPUTED_VALUE"""),999)</f>
        <v>999</v>
      </c>
      <c r="C12560" s="7">
        <f ca="1">IFERROR(__xludf.DUMMYFUNCTION("""COMPUTED_VALUE"""),999)</f>
        <v>999</v>
      </c>
      <c r="D12560" s="8">
        <f ca="1">IFERROR(__xludf.DUMMYFUNCTION("""COMPUTED_VALUE"""),999)</f>
        <v>999</v>
      </c>
      <c r="E12560" s="2">
        <f ca="1">IFERROR(__xludf.DUMMYFUNCTION("""COMPUTED_VALUE"""),999)</f>
        <v>999</v>
      </c>
    </row>
    <row r="12561" spans="1:5" ht="13">
      <c r="A12561" s="8" t="str">
        <f ca="1">IFERROR(__xludf.DUMMYFUNCTION("""COMPUTED_VALUE"""),"Christensen, G.")</f>
        <v>Christensen, G.</v>
      </c>
      <c r="B12561" s="2">
        <f ca="1">IFERROR(__xludf.DUMMYFUNCTION("""COMPUTED_VALUE"""),999)</f>
        <v>999</v>
      </c>
      <c r="C12561" s="7">
        <f ca="1">IFERROR(__xludf.DUMMYFUNCTION("""COMPUTED_VALUE"""),999)</f>
        <v>999</v>
      </c>
      <c r="D12561" s="8">
        <f ca="1">IFERROR(__xludf.DUMMYFUNCTION("""COMPUTED_VALUE"""),999)</f>
        <v>999</v>
      </c>
      <c r="E12561" s="2">
        <f ca="1">IFERROR(__xludf.DUMMYFUNCTION("""COMPUTED_VALUE"""),999)</f>
        <v>999</v>
      </c>
    </row>
    <row r="12562" spans="1:5" ht="13">
      <c r="A12562" s="2" t="str">
        <f ca="1">IFERROR(__xludf.DUMMYFUNCTION("""COMPUTED_VALUE"""),"Clark (unknown)")</f>
        <v>Clark (unknown)</v>
      </c>
      <c r="B12562" s="3">
        <f ca="1">IFERROR(__xludf.DUMMYFUNCTION("""COMPUTED_VALUE"""),999)</f>
        <v>999</v>
      </c>
      <c r="C12562" s="7">
        <f ca="1">IFERROR(__xludf.DUMMYFUNCTION("""COMPUTED_VALUE"""),999)</f>
        <v>999</v>
      </c>
      <c r="D12562" s="8">
        <f ca="1">IFERROR(__xludf.DUMMYFUNCTION("""COMPUTED_VALUE"""),999)</f>
        <v>999</v>
      </c>
      <c r="E12562" s="2">
        <f ca="1">IFERROR(__xludf.DUMMYFUNCTION("""COMPUTED_VALUE"""),999)</f>
        <v>999</v>
      </c>
    </row>
    <row r="12563" spans="1:5" ht="13">
      <c r="A12563" s="2" t="str">
        <f ca="1">IFERROR(__xludf.DUMMYFUNCTION("""COMPUTED_VALUE"""),"Clinton, George")</f>
        <v>Clinton, George</v>
      </c>
      <c r="B12563" s="2">
        <f ca="1">IFERROR(__xludf.DUMMYFUNCTION("""COMPUTED_VALUE"""),999)</f>
        <v>999</v>
      </c>
      <c r="C12563" s="2">
        <f ca="1">IFERROR(__xludf.DUMMYFUNCTION("""COMPUTED_VALUE"""),999)</f>
        <v>999</v>
      </c>
      <c r="D12563" s="8">
        <f ca="1">IFERROR(__xludf.DUMMYFUNCTION("""COMPUTED_VALUE"""),999)</f>
        <v>999</v>
      </c>
      <c r="E12563" s="2">
        <f ca="1">IFERROR(__xludf.DUMMYFUNCTION("""COMPUTED_VALUE"""),999)</f>
        <v>999</v>
      </c>
    </row>
    <row r="12564" spans="1:5" ht="13">
      <c r="A12564" s="8" t="str">
        <f ca="1">IFERROR(__xludf.DUMMYFUNCTION("""COMPUTED_VALUE"""),"Coakley, R.")</f>
        <v>Coakley, R.</v>
      </c>
      <c r="B12564" s="2">
        <f ca="1">IFERROR(__xludf.DUMMYFUNCTION("""COMPUTED_VALUE"""),999)</f>
        <v>999</v>
      </c>
      <c r="C12564" s="7">
        <f ca="1">IFERROR(__xludf.DUMMYFUNCTION("""COMPUTED_VALUE"""),999)</f>
        <v>999</v>
      </c>
      <c r="D12564" s="8">
        <f ca="1">IFERROR(__xludf.DUMMYFUNCTION("""COMPUTED_VALUE"""),999)</f>
        <v>999</v>
      </c>
      <c r="E12564" s="2">
        <f ca="1">IFERROR(__xludf.DUMMYFUNCTION("""COMPUTED_VALUE"""),999)</f>
        <v>999</v>
      </c>
    </row>
    <row r="12565" spans="1:5" ht="13">
      <c r="A12565" s="8" t="str">
        <f ca="1">IFERROR(__xludf.DUMMYFUNCTION("""COMPUTED_VALUE"""),"Codex Las Huelgas")</f>
        <v>Codex Las Huelgas</v>
      </c>
      <c r="B12565" s="2">
        <f ca="1">IFERROR(__xludf.DUMMYFUNCTION("""COMPUTED_VALUE"""),999)</f>
        <v>999</v>
      </c>
      <c r="C12565" s="7">
        <f ca="1">IFERROR(__xludf.DUMMYFUNCTION("""COMPUTED_VALUE"""),999)</f>
        <v>999</v>
      </c>
      <c r="D12565" s="8">
        <f ca="1">IFERROR(__xludf.DUMMYFUNCTION("""COMPUTED_VALUE"""),999)</f>
        <v>999</v>
      </c>
      <c r="E12565" s="2">
        <f ca="1">IFERROR(__xludf.DUMMYFUNCTION("""COMPUTED_VALUE"""),999)</f>
        <v>999</v>
      </c>
    </row>
    <row r="12566" spans="1:5" ht="13">
      <c r="A12566" s="2" t="str">
        <f ca="1">IFERROR(__xludf.DUMMYFUNCTION("""COMPUTED_VALUE"""),"Cole (unknown)")</f>
        <v>Cole (unknown)</v>
      </c>
      <c r="B12566" s="2">
        <f ca="1">IFERROR(__xludf.DUMMYFUNCTION("""COMPUTED_VALUE"""),999)</f>
        <v>999</v>
      </c>
      <c r="C12566" s="2">
        <f ca="1">IFERROR(__xludf.DUMMYFUNCTION("""COMPUTED_VALUE"""),999)</f>
        <v>999</v>
      </c>
      <c r="D12566" s="8">
        <f ca="1">IFERROR(__xludf.DUMMYFUNCTION("""COMPUTED_VALUE"""),999)</f>
        <v>999</v>
      </c>
      <c r="E12566" s="2">
        <f ca="1">IFERROR(__xludf.DUMMYFUNCTION("""COMPUTED_VALUE"""),999)</f>
        <v>999</v>
      </c>
    </row>
    <row r="12567" spans="1:5" ht="13">
      <c r="A12567" s="8" t="str">
        <f ca="1">IFERROR(__xludf.DUMMYFUNCTION("""COMPUTED_VALUE"""),"College Composers from Dartmouth and University of New Hampshire")</f>
        <v>College Composers from Dartmouth and University of New Hampshire</v>
      </c>
      <c r="B12567" s="3">
        <f ca="1">IFERROR(__xludf.DUMMYFUNCTION("""COMPUTED_VALUE"""),999)</f>
        <v>999</v>
      </c>
      <c r="C12567" s="7">
        <f ca="1">IFERROR(__xludf.DUMMYFUNCTION("""COMPUTED_VALUE"""),999)</f>
        <v>999</v>
      </c>
      <c r="D12567" s="8">
        <f ca="1">IFERROR(__xludf.DUMMYFUNCTION("""COMPUTED_VALUE"""),999)</f>
        <v>999</v>
      </c>
      <c r="E12567" s="2">
        <f ca="1">IFERROR(__xludf.DUMMYFUNCTION("""COMPUTED_VALUE"""),999)</f>
        <v>999</v>
      </c>
    </row>
    <row r="12568" spans="1:5" ht="13">
      <c r="A12568" s="8" t="str">
        <f ca="1">IFERROR(__xludf.DUMMYFUNCTION("""COMPUTED_VALUE"""),"Collins")</f>
        <v>Collins</v>
      </c>
      <c r="B12568" s="2">
        <f ca="1">IFERROR(__xludf.DUMMYFUNCTION("""COMPUTED_VALUE"""),999)</f>
        <v>999</v>
      </c>
      <c r="C12568" s="7">
        <f ca="1">IFERROR(__xludf.DUMMYFUNCTION("""COMPUTED_VALUE"""),999)</f>
        <v>999</v>
      </c>
      <c r="D12568" s="8">
        <f ca="1">IFERROR(__xludf.DUMMYFUNCTION("""COMPUTED_VALUE"""),999)</f>
        <v>999</v>
      </c>
      <c r="E12568" s="2">
        <f ca="1">IFERROR(__xludf.DUMMYFUNCTION("""COMPUTED_VALUE"""),999)</f>
        <v>999</v>
      </c>
    </row>
    <row r="12569" spans="1:5" ht="13">
      <c r="A12569" s="2" t="str">
        <f ca="1">IFERROR(__xludf.DUMMYFUNCTION("""COMPUTED_VALUE"""),"Columbian Song")</f>
        <v>Columbian Song</v>
      </c>
      <c r="B12569" s="2">
        <f ca="1">IFERROR(__xludf.DUMMYFUNCTION("""COMPUTED_VALUE"""),999)</f>
        <v>999</v>
      </c>
      <c r="C12569" s="7">
        <f ca="1">IFERROR(__xludf.DUMMYFUNCTION("""COMPUTED_VALUE"""),999)</f>
        <v>999</v>
      </c>
      <c r="D12569" s="8">
        <f ca="1">IFERROR(__xludf.DUMMYFUNCTION("""COMPUTED_VALUE"""),999)</f>
        <v>999</v>
      </c>
      <c r="E12569" s="2">
        <f ca="1">IFERROR(__xludf.DUMMYFUNCTION("""COMPUTED_VALUE"""),999)</f>
        <v>999</v>
      </c>
    </row>
    <row r="12570" spans="1:5" ht="13">
      <c r="A12570" s="8" t="str">
        <f ca="1">IFERROR(__xludf.DUMMYFUNCTION("""COMPUTED_VALUE"""),"Compella")</f>
        <v>Compella</v>
      </c>
      <c r="B12570" s="2">
        <f ca="1">IFERROR(__xludf.DUMMYFUNCTION("""COMPUTED_VALUE"""),999)</f>
        <v>999</v>
      </c>
      <c r="C12570" s="7">
        <f ca="1">IFERROR(__xludf.DUMMYFUNCTION("""COMPUTED_VALUE"""),999)</f>
        <v>999</v>
      </c>
      <c r="D12570" s="8">
        <f ca="1">IFERROR(__xludf.DUMMYFUNCTION("""COMPUTED_VALUE"""),999)</f>
        <v>999</v>
      </c>
      <c r="E12570" s="2">
        <f ca="1">IFERROR(__xludf.DUMMYFUNCTION("""COMPUTED_VALUE"""),999)</f>
        <v>999</v>
      </c>
    </row>
    <row r="12571" spans="1:5" ht="13">
      <c r="A12571" s="8" t="str">
        <f ca="1">IFERROR(__xludf.DUMMYFUNCTION("""COMPUTED_VALUE"""),"Compello / Stoessel")</f>
        <v>Compello / Stoessel</v>
      </c>
      <c r="B12571" s="2">
        <f ca="1">IFERROR(__xludf.DUMMYFUNCTION("""COMPUTED_VALUE"""),999)</f>
        <v>999</v>
      </c>
      <c r="C12571" s="7">
        <f ca="1">IFERROR(__xludf.DUMMYFUNCTION("""COMPUTED_VALUE"""),999)</f>
        <v>999</v>
      </c>
      <c r="D12571" s="8">
        <f ca="1">IFERROR(__xludf.DUMMYFUNCTION("""COMPUTED_VALUE"""),999)</f>
        <v>999</v>
      </c>
      <c r="E12571" s="2">
        <f ca="1">IFERROR(__xludf.DUMMYFUNCTION("""COMPUTED_VALUE"""),999)</f>
        <v>999</v>
      </c>
    </row>
    <row r="12572" spans="1:5" ht="13">
      <c r="A12572" s="8" t="str">
        <f ca="1">IFERROR(__xludf.DUMMYFUNCTION("""COMPUTED_VALUE"""),"Composers TBA")</f>
        <v>Composers TBA</v>
      </c>
      <c r="B12572" s="2">
        <f ca="1">IFERROR(__xludf.DUMMYFUNCTION("""COMPUTED_VALUE"""),999)</f>
        <v>999</v>
      </c>
      <c r="C12572" s="7">
        <f ca="1">IFERROR(__xludf.DUMMYFUNCTION("""COMPUTED_VALUE"""),999)</f>
        <v>999</v>
      </c>
      <c r="D12572" s="8">
        <f ca="1">IFERROR(__xludf.DUMMYFUNCTION("""COMPUTED_VALUE"""),999)</f>
        <v>999</v>
      </c>
      <c r="E12572" s="2">
        <f ca="1">IFERROR(__xludf.DUMMYFUNCTION("""COMPUTED_VALUE"""),999)</f>
        <v>999</v>
      </c>
    </row>
    <row r="12573" spans="1:5" ht="13">
      <c r="A12573" s="2" t="str">
        <f ca="1">IFERROR(__xludf.DUMMYFUNCTION("""COMPUTED_VALUE"""),"Cook, Stephen / Watkins, Chris")</f>
        <v>Cook, Stephen / Watkins, Chris</v>
      </c>
      <c r="B12573" s="3">
        <f ca="1">IFERROR(__xludf.DUMMYFUNCTION("""COMPUTED_VALUE"""),999)</f>
        <v>999</v>
      </c>
      <c r="C12573" s="7">
        <f ca="1">IFERROR(__xludf.DUMMYFUNCTION("""COMPUTED_VALUE"""),999)</f>
        <v>999</v>
      </c>
      <c r="D12573" s="8">
        <f ca="1">IFERROR(__xludf.DUMMYFUNCTION("""COMPUTED_VALUE"""),999)</f>
        <v>999</v>
      </c>
      <c r="E12573" s="2">
        <f ca="1">IFERROR(__xludf.DUMMYFUNCTION("""COMPUTED_VALUE"""),999)</f>
        <v>999</v>
      </c>
    </row>
    <row r="12574" spans="1:5" ht="13">
      <c r="A12574" s="2" t="str">
        <f ca="1">IFERROR(__xludf.DUMMYFUNCTION("""COMPUTED_VALUE"""),"Copes (unknown)")</f>
        <v>Copes (unknown)</v>
      </c>
      <c r="B12574" s="2">
        <f ca="1">IFERROR(__xludf.DUMMYFUNCTION("""COMPUTED_VALUE"""),999)</f>
        <v>999</v>
      </c>
      <c r="C12574" s="2">
        <f ca="1">IFERROR(__xludf.DUMMYFUNCTION("""COMPUTED_VALUE"""),999)</f>
        <v>999</v>
      </c>
      <c r="D12574" s="8">
        <f ca="1">IFERROR(__xludf.DUMMYFUNCTION("""COMPUTED_VALUE"""),999)</f>
        <v>999</v>
      </c>
      <c r="E12574" s="2">
        <f ca="1">IFERROR(__xludf.DUMMYFUNCTION("""COMPUTED_VALUE"""),999)</f>
        <v>999</v>
      </c>
    </row>
    <row r="12575" spans="1:5" ht="13">
      <c r="A12575" s="2" t="str">
        <f ca="1">IFERROR(__xludf.DUMMYFUNCTION("""COMPUTED_VALUE"""),"Couraud (unknown)")</f>
        <v>Couraud (unknown)</v>
      </c>
      <c r="B12575" s="2">
        <f ca="1">IFERROR(__xludf.DUMMYFUNCTION("""COMPUTED_VALUE"""),999)</f>
        <v>999</v>
      </c>
      <c r="C12575" s="2">
        <f ca="1">IFERROR(__xludf.DUMMYFUNCTION("""COMPUTED_VALUE"""),999)</f>
        <v>999</v>
      </c>
      <c r="D12575" s="8">
        <f ca="1">IFERROR(__xludf.DUMMYFUNCTION("""COMPUTED_VALUE"""),999)</f>
        <v>999</v>
      </c>
      <c r="E12575" s="2">
        <f ca="1">IFERROR(__xludf.DUMMYFUNCTION("""COMPUTED_VALUE"""),999)</f>
        <v>999</v>
      </c>
    </row>
    <row r="12576" spans="1:5" ht="13">
      <c r="A12576" s="2" t="str">
        <f ca="1">IFERROR(__xludf.DUMMYFUNCTION("""COMPUTED_VALUE"""),"Cox (unknown)")</f>
        <v>Cox (unknown)</v>
      </c>
      <c r="B12576" s="3">
        <f ca="1">IFERROR(__xludf.DUMMYFUNCTION("""COMPUTED_VALUE"""),999)</f>
        <v>999</v>
      </c>
      <c r="C12576" s="7">
        <f ca="1">IFERROR(__xludf.DUMMYFUNCTION("""COMPUTED_VALUE"""),999)</f>
        <v>999</v>
      </c>
      <c r="D12576" s="8">
        <f ca="1">IFERROR(__xludf.DUMMYFUNCTION("""COMPUTED_VALUE"""),999)</f>
        <v>999</v>
      </c>
      <c r="E12576" s="2">
        <f ca="1">IFERROR(__xludf.DUMMYFUNCTION("""COMPUTED_VALUE"""),999)</f>
        <v>999</v>
      </c>
    </row>
    <row r="12577" spans="1:5" ht="13">
      <c r="A12577" s="2" t="str">
        <f ca="1">IFERROR(__xludf.DUMMYFUNCTION("""COMPUTED_VALUE"""),"Cray, Robert")</f>
        <v>Cray, Robert</v>
      </c>
      <c r="B12577" s="2">
        <f ca="1">IFERROR(__xludf.DUMMYFUNCTION("""COMPUTED_VALUE"""),999)</f>
        <v>999</v>
      </c>
      <c r="C12577" s="2">
        <f ca="1">IFERROR(__xludf.DUMMYFUNCTION("""COMPUTED_VALUE"""),999)</f>
        <v>999</v>
      </c>
      <c r="D12577" s="8">
        <f ca="1">IFERROR(__xludf.DUMMYFUNCTION("""COMPUTED_VALUE"""),999)</f>
        <v>999</v>
      </c>
      <c r="E12577" s="2">
        <f ca="1">IFERROR(__xludf.DUMMYFUNCTION("""COMPUTED_VALUE"""),999)</f>
        <v>999</v>
      </c>
    </row>
    <row r="12578" spans="1:5" ht="13">
      <c r="A12578" s="8" t="str">
        <f ca="1">IFERROR(__xludf.DUMMYFUNCTION("""COMPUTED_VALUE"""),"Cunha, G.")</f>
        <v>Cunha, G.</v>
      </c>
      <c r="B12578" s="2">
        <f ca="1">IFERROR(__xludf.DUMMYFUNCTION("""COMPUTED_VALUE"""),999)</f>
        <v>999</v>
      </c>
      <c r="C12578" s="7">
        <f ca="1">IFERROR(__xludf.DUMMYFUNCTION("""COMPUTED_VALUE"""),999)</f>
        <v>999</v>
      </c>
      <c r="D12578" s="8">
        <f ca="1">IFERROR(__xludf.DUMMYFUNCTION("""COMPUTED_VALUE"""),999)</f>
        <v>999</v>
      </c>
      <c r="E12578" s="2">
        <f ca="1">IFERROR(__xludf.DUMMYFUNCTION("""COMPUTED_VALUE"""),999)</f>
        <v>999</v>
      </c>
    </row>
    <row r="12579" spans="1:5" ht="13">
      <c r="A12579" s="8" t="str">
        <f ca="1">IFERROR(__xludf.DUMMYFUNCTION("""COMPUTED_VALUE"""),"Czech Carol")</f>
        <v>Czech Carol</v>
      </c>
      <c r="B12579" s="2">
        <f ca="1">IFERROR(__xludf.DUMMYFUNCTION("""COMPUTED_VALUE"""),999)</f>
        <v>999</v>
      </c>
      <c r="C12579" s="7">
        <f ca="1">IFERROR(__xludf.DUMMYFUNCTION("""COMPUTED_VALUE"""),999)</f>
        <v>999</v>
      </c>
      <c r="D12579" s="8">
        <f ca="1">IFERROR(__xludf.DUMMYFUNCTION("""COMPUTED_VALUE"""),999)</f>
        <v>999</v>
      </c>
      <c r="E12579" s="2">
        <f ca="1">IFERROR(__xludf.DUMMYFUNCTION("""COMPUTED_VALUE"""),999)</f>
        <v>999</v>
      </c>
    </row>
    <row r="12580" spans="1:5" ht="13">
      <c r="A12580" s="2" t="str">
        <f ca="1">IFERROR(__xludf.DUMMYFUNCTION("""COMPUTED_VALUE"""),"Dahlen (unknown)")</f>
        <v>Dahlen (unknown)</v>
      </c>
      <c r="B12580" s="2">
        <f ca="1">IFERROR(__xludf.DUMMYFUNCTION("""COMPUTED_VALUE"""),999)</f>
        <v>999</v>
      </c>
      <c r="C12580" s="2">
        <f ca="1">IFERROR(__xludf.DUMMYFUNCTION("""COMPUTED_VALUE"""),999)</f>
        <v>999</v>
      </c>
      <c r="D12580" s="8">
        <f ca="1">IFERROR(__xludf.DUMMYFUNCTION("""COMPUTED_VALUE"""),999)</f>
        <v>999</v>
      </c>
      <c r="E12580" s="2">
        <f ca="1">IFERROR(__xludf.DUMMYFUNCTION("""COMPUTED_VALUE"""),999)</f>
        <v>999</v>
      </c>
    </row>
    <row r="12581" spans="1:5" ht="13">
      <c r="A12581" s="2" t="str">
        <f ca="1">IFERROR(__xludf.DUMMYFUNCTION("""COMPUTED_VALUE"""),"Daniels, Sam")</f>
        <v>Daniels, Sam</v>
      </c>
      <c r="B12581" s="3">
        <f ca="1">IFERROR(__xludf.DUMMYFUNCTION("""COMPUTED_VALUE"""),999)</f>
        <v>999</v>
      </c>
      <c r="C12581" s="7">
        <f ca="1">IFERROR(__xludf.DUMMYFUNCTION("""COMPUTED_VALUE"""),999)</f>
        <v>999</v>
      </c>
      <c r="D12581" s="8">
        <f ca="1">IFERROR(__xludf.DUMMYFUNCTION("""COMPUTED_VALUE"""),999)</f>
        <v>999</v>
      </c>
      <c r="E12581" s="2">
        <f ca="1">IFERROR(__xludf.DUMMYFUNCTION("""COMPUTED_VALUE"""),999)</f>
        <v>999</v>
      </c>
    </row>
    <row r="12582" spans="1:5" ht="13">
      <c r="A12582" s="2" t="str">
        <f ca="1">IFERROR(__xludf.DUMMYFUNCTION("""COMPUTED_VALUE"""),"David")</f>
        <v>David</v>
      </c>
      <c r="B12582" s="3">
        <f ca="1">IFERROR(__xludf.DUMMYFUNCTION("""COMPUTED_VALUE"""),999)</f>
        <v>999</v>
      </c>
      <c r="C12582" s="7">
        <f ca="1">IFERROR(__xludf.DUMMYFUNCTION("""COMPUTED_VALUE"""),999)</f>
        <v>999</v>
      </c>
      <c r="D12582" s="8">
        <f ca="1">IFERROR(__xludf.DUMMYFUNCTION("""COMPUTED_VALUE"""),999)</f>
        <v>999</v>
      </c>
      <c r="E12582" s="2">
        <f ca="1">IFERROR(__xludf.DUMMYFUNCTION("""COMPUTED_VALUE"""),999)</f>
        <v>999</v>
      </c>
    </row>
    <row r="12583" spans="1:5" ht="13">
      <c r="A12583" s="2" t="str">
        <f ca="1">IFERROR(__xludf.DUMMYFUNCTION("""COMPUTED_VALUE"""),"Davies (unknown)")</f>
        <v>Davies (unknown)</v>
      </c>
      <c r="B12583" s="2">
        <f ca="1">IFERROR(__xludf.DUMMYFUNCTION("""COMPUTED_VALUE"""),999)</f>
        <v>999</v>
      </c>
      <c r="C12583" s="2">
        <f ca="1">IFERROR(__xludf.DUMMYFUNCTION("""COMPUTED_VALUE"""),999)</f>
        <v>999</v>
      </c>
      <c r="D12583" s="8">
        <f ca="1">IFERROR(__xludf.DUMMYFUNCTION("""COMPUTED_VALUE"""),999)</f>
        <v>999</v>
      </c>
      <c r="E12583" s="2">
        <f ca="1">IFERROR(__xludf.DUMMYFUNCTION("""COMPUTED_VALUE"""),999)</f>
        <v>999</v>
      </c>
    </row>
    <row r="12584" spans="1:5" ht="13">
      <c r="A12584" s="2" t="str">
        <f ca="1">IFERROR(__xludf.DUMMYFUNCTION("""COMPUTED_VALUE"""),"Davis, Charles")</f>
        <v>Davis, Charles</v>
      </c>
      <c r="B12584" s="2">
        <f ca="1">IFERROR(__xludf.DUMMYFUNCTION("""COMPUTED_VALUE"""),999)</f>
        <v>999</v>
      </c>
      <c r="C12584" s="2">
        <f ca="1">IFERROR(__xludf.DUMMYFUNCTION("""COMPUTED_VALUE"""),999)</f>
        <v>999</v>
      </c>
      <c r="D12584" s="8">
        <f ca="1">IFERROR(__xludf.DUMMYFUNCTION("""COMPUTED_VALUE"""),999)</f>
        <v>999</v>
      </c>
      <c r="E12584" s="2">
        <f ca="1">IFERROR(__xludf.DUMMYFUNCTION("""COMPUTED_VALUE"""),999)</f>
        <v>999</v>
      </c>
    </row>
    <row r="12585" spans="1:5" ht="13">
      <c r="A12585" s="2" t="str">
        <f ca="1">IFERROR(__xludf.DUMMYFUNCTION("""COMPUTED_VALUE"""),"Davis, T. / Miller, F.")</f>
        <v>Davis, T. / Miller, F.</v>
      </c>
      <c r="B12585" s="3">
        <f ca="1">IFERROR(__xludf.DUMMYFUNCTION("""COMPUTED_VALUE"""),999)</f>
        <v>999</v>
      </c>
      <c r="C12585" s="7">
        <f ca="1">IFERROR(__xludf.DUMMYFUNCTION("""COMPUTED_VALUE"""),999)</f>
        <v>999</v>
      </c>
      <c r="D12585" s="8">
        <f ca="1">IFERROR(__xludf.DUMMYFUNCTION("""COMPUTED_VALUE"""),999)</f>
        <v>999</v>
      </c>
      <c r="E12585" s="2">
        <f ca="1">IFERROR(__xludf.DUMMYFUNCTION("""COMPUTED_VALUE"""),999)</f>
        <v>999</v>
      </c>
    </row>
    <row r="12586" spans="1:5" ht="13">
      <c r="A12586" s="2" t="str">
        <f ca="1">IFERROR(__xludf.DUMMYFUNCTION("""COMPUTED_VALUE"""),"Deep Purple")</f>
        <v>Deep Purple</v>
      </c>
      <c r="B12586" s="2">
        <f ca="1">IFERROR(__xludf.DUMMYFUNCTION("""COMPUTED_VALUE"""),999)</f>
        <v>999</v>
      </c>
      <c r="C12586" s="2">
        <f ca="1">IFERROR(__xludf.DUMMYFUNCTION("""COMPUTED_VALUE"""),999)</f>
        <v>999</v>
      </c>
      <c r="D12586" s="8">
        <f ca="1">IFERROR(__xludf.DUMMYFUNCTION("""COMPUTED_VALUE"""),999)</f>
        <v>999</v>
      </c>
      <c r="E12586" s="2">
        <f ca="1">IFERROR(__xludf.DUMMYFUNCTION("""COMPUTED_VALUE"""),999)</f>
        <v>999</v>
      </c>
    </row>
    <row r="12587" spans="1:5" ht="13">
      <c r="A12587" s="2" t="str">
        <f ca="1">IFERROR(__xludf.DUMMYFUNCTION("""COMPUTED_VALUE"""),"Dickens (unknown)")</f>
        <v>Dickens (unknown)</v>
      </c>
      <c r="B12587" s="2">
        <f ca="1">IFERROR(__xludf.DUMMYFUNCTION("""COMPUTED_VALUE"""),999)</f>
        <v>999</v>
      </c>
      <c r="C12587" s="2">
        <f ca="1">IFERROR(__xludf.DUMMYFUNCTION("""COMPUTED_VALUE"""),999)</f>
        <v>999</v>
      </c>
      <c r="D12587" s="8">
        <f ca="1">IFERROR(__xludf.DUMMYFUNCTION("""COMPUTED_VALUE"""),999)</f>
        <v>999</v>
      </c>
      <c r="E12587" s="2">
        <f ca="1">IFERROR(__xludf.DUMMYFUNCTION("""COMPUTED_VALUE"""),999)</f>
        <v>999</v>
      </c>
    </row>
    <row r="12588" spans="1:5" ht="13">
      <c r="A12588" s="2" t="str">
        <f ca="1">IFERROR(__xludf.DUMMYFUNCTION("""COMPUTED_VALUE"""),"Dodds, Lindy Marshall")</f>
        <v>Dodds, Lindy Marshall</v>
      </c>
      <c r="B12588" s="3">
        <f ca="1">IFERROR(__xludf.DUMMYFUNCTION("""COMPUTED_VALUE"""),999)</f>
        <v>999</v>
      </c>
      <c r="C12588" s="7">
        <f ca="1">IFERROR(__xludf.DUMMYFUNCTION("""COMPUTED_VALUE"""),999)</f>
        <v>999</v>
      </c>
      <c r="D12588" s="8">
        <f ca="1">IFERROR(__xludf.DUMMYFUNCTION("""COMPUTED_VALUE"""),999)</f>
        <v>999</v>
      </c>
      <c r="E12588" s="2">
        <f ca="1">IFERROR(__xludf.DUMMYFUNCTION("""COMPUTED_VALUE"""),999)</f>
        <v>999</v>
      </c>
    </row>
    <row r="12589" spans="1:5" ht="13">
      <c r="A12589" s="2" t="str">
        <f ca="1">IFERROR(__xludf.DUMMYFUNCTION("""COMPUTED_VALUE"""),"Dogs of Desire")</f>
        <v>Dogs of Desire</v>
      </c>
      <c r="B12589" s="2">
        <f ca="1">IFERROR(__xludf.DUMMYFUNCTION("""COMPUTED_VALUE"""),999)</f>
        <v>999</v>
      </c>
      <c r="C12589" s="2">
        <f ca="1">IFERROR(__xludf.DUMMYFUNCTION("""COMPUTED_VALUE"""),999)</f>
        <v>999</v>
      </c>
      <c r="D12589" s="8">
        <f ca="1">IFERROR(__xludf.DUMMYFUNCTION("""COMPUTED_VALUE"""),999)</f>
        <v>999</v>
      </c>
      <c r="E12589" s="2">
        <f ca="1">IFERROR(__xludf.DUMMYFUNCTION("""COMPUTED_VALUE"""),999)</f>
        <v>999</v>
      </c>
    </row>
    <row r="12590" spans="1:5" ht="13">
      <c r="A12590" s="2" t="str">
        <f ca="1">IFERROR(__xludf.DUMMYFUNCTION("""COMPUTED_VALUE"""),"Donelly (unknown)")</f>
        <v>Donelly (unknown)</v>
      </c>
      <c r="B12590" s="2">
        <f ca="1">IFERROR(__xludf.DUMMYFUNCTION("""COMPUTED_VALUE"""),999)</f>
        <v>999</v>
      </c>
      <c r="C12590" s="2">
        <f ca="1">IFERROR(__xludf.DUMMYFUNCTION("""COMPUTED_VALUE"""),999)</f>
        <v>999</v>
      </c>
      <c r="D12590" s="8">
        <f ca="1">IFERROR(__xludf.DUMMYFUNCTION("""COMPUTED_VALUE"""),999)</f>
        <v>999</v>
      </c>
      <c r="E12590" s="2">
        <f ca="1">IFERROR(__xludf.DUMMYFUNCTION("""COMPUTED_VALUE"""),999)</f>
        <v>999</v>
      </c>
    </row>
    <row r="12591" spans="1:5" ht="13">
      <c r="A12591" s="2" t="str">
        <f ca="1">IFERROR(__xludf.DUMMYFUNCTION("""COMPUTED_VALUE"""),"Douglas (unknown)")</f>
        <v>Douglas (unknown)</v>
      </c>
      <c r="B12591" s="2">
        <f ca="1">IFERROR(__xludf.DUMMYFUNCTION("""COMPUTED_VALUE"""),999)</f>
        <v>999</v>
      </c>
      <c r="C12591" s="2">
        <f ca="1">IFERROR(__xludf.DUMMYFUNCTION("""COMPUTED_VALUE"""),999)</f>
        <v>999</v>
      </c>
      <c r="D12591" s="8">
        <f ca="1">IFERROR(__xludf.DUMMYFUNCTION("""COMPUTED_VALUE"""),999)</f>
        <v>999</v>
      </c>
      <c r="E12591" s="2">
        <f ca="1">IFERROR(__xludf.DUMMYFUNCTION("""COMPUTED_VALUE"""),999)</f>
        <v>999</v>
      </c>
    </row>
    <row r="12592" spans="1:5" ht="13">
      <c r="A12592" s="8" t="str">
        <f ca="1">IFERROR(__xludf.DUMMYFUNCTION("""COMPUTED_VALUE"""),"Duarte, Miranda")</f>
        <v>Duarte, Miranda</v>
      </c>
      <c r="B12592" s="3">
        <f ca="1">IFERROR(__xludf.DUMMYFUNCTION("""COMPUTED_VALUE"""),999)</f>
        <v>999</v>
      </c>
      <c r="C12592" s="7">
        <f ca="1">IFERROR(__xludf.DUMMYFUNCTION("""COMPUTED_VALUE"""),999)</f>
        <v>999</v>
      </c>
      <c r="D12592" s="8">
        <f ca="1">IFERROR(__xludf.DUMMYFUNCTION("""COMPUTED_VALUE"""),999)</f>
        <v>999</v>
      </c>
      <c r="E12592" s="3">
        <f ca="1">IFERROR(__xludf.DUMMYFUNCTION("""COMPUTED_VALUE"""),999)</f>
        <v>999</v>
      </c>
    </row>
    <row r="12593" spans="1:5" ht="13">
      <c r="A12593" s="2" t="str">
        <f ca="1">IFERROR(__xludf.DUMMYFUNCTION("""COMPUTED_VALUE"""),"Dubin, Al / Warren, Harry")</f>
        <v>Dubin, Al / Warren, Harry</v>
      </c>
      <c r="B12593" s="3">
        <f ca="1">IFERROR(__xludf.DUMMYFUNCTION("""COMPUTED_VALUE"""),999)</f>
        <v>999</v>
      </c>
      <c r="C12593" s="7">
        <f ca="1">IFERROR(__xludf.DUMMYFUNCTION("""COMPUTED_VALUE"""),999)</f>
        <v>999</v>
      </c>
      <c r="D12593" s="8">
        <f ca="1">IFERROR(__xludf.DUMMYFUNCTION("""COMPUTED_VALUE"""),999)</f>
        <v>999</v>
      </c>
      <c r="E12593" s="2">
        <f ca="1">IFERROR(__xludf.DUMMYFUNCTION("""COMPUTED_VALUE"""),999)</f>
        <v>999</v>
      </c>
    </row>
    <row r="12594" spans="1:5" ht="13">
      <c r="A12594" s="8" t="str">
        <f ca="1">IFERROR(__xludf.DUMMYFUNCTION("""COMPUTED_VALUE"""),"Duffy, D.")</f>
        <v>Duffy, D.</v>
      </c>
      <c r="B12594" s="2">
        <f ca="1">IFERROR(__xludf.DUMMYFUNCTION("""COMPUTED_VALUE"""),999)</f>
        <v>999</v>
      </c>
      <c r="C12594" s="7">
        <f ca="1">IFERROR(__xludf.DUMMYFUNCTION("""COMPUTED_VALUE"""),999)</f>
        <v>999</v>
      </c>
      <c r="D12594" s="8">
        <f ca="1">IFERROR(__xludf.DUMMYFUNCTION("""COMPUTED_VALUE"""),999)</f>
        <v>999</v>
      </c>
      <c r="E12594" s="2">
        <f ca="1">IFERROR(__xludf.DUMMYFUNCTION("""COMPUTED_VALUE"""),999)</f>
        <v>999</v>
      </c>
    </row>
    <row r="12595" spans="1:5" ht="13">
      <c r="A12595" s="2" t="str">
        <f ca="1">IFERROR(__xludf.DUMMYFUNCTION("""COMPUTED_VALUE"""),"Dykes, John B. / Hamilton, M.C.D. / Whiting, William")</f>
        <v>Dykes, John B. / Hamilton, M.C.D. / Whiting, William</v>
      </c>
      <c r="B12595" s="3">
        <f ca="1">IFERROR(__xludf.DUMMYFUNCTION("""COMPUTED_VALUE"""),999)</f>
        <v>999</v>
      </c>
      <c r="C12595" s="7">
        <f ca="1">IFERROR(__xludf.DUMMYFUNCTION("""COMPUTED_VALUE"""),999)</f>
        <v>999</v>
      </c>
      <c r="D12595" s="8">
        <f ca="1">IFERROR(__xludf.DUMMYFUNCTION("""COMPUTED_VALUE"""),999)</f>
        <v>999</v>
      </c>
      <c r="E12595" s="2">
        <f ca="1">IFERROR(__xludf.DUMMYFUNCTION("""COMPUTED_VALUE"""),999)</f>
        <v>999</v>
      </c>
    </row>
    <row r="12596" spans="1:5" ht="13">
      <c r="A12596" s="2" t="str">
        <f ca="1">IFERROR(__xludf.DUMMYFUNCTION("""COMPUTED_VALUE"""),"East African Worship Song")</f>
        <v>East African Worship Song</v>
      </c>
      <c r="B12596" s="2">
        <f ca="1">IFERROR(__xludf.DUMMYFUNCTION("""COMPUTED_VALUE"""),999)</f>
        <v>999</v>
      </c>
      <c r="C12596" s="7">
        <f ca="1">IFERROR(__xludf.DUMMYFUNCTION("""COMPUTED_VALUE"""),999)</f>
        <v>999</v>
      </c>
      <c r="D12596" s="8">
        <f ca="1">IFERROR(__xludf.DUMMYFUNCTION("""COMPUTED_VALUE"""),999)</f>
        <v>999</v>
      </c>
      <c r="E12596" s="2">
        <f ca="1">IFERROR(__xludf.DUMMYFUNCTION("""COMPUTED_VALUE"""),999)</f>
        <v>999</v>
      </c>
    </row>
    <row r="12597" spans="1:5" ht="13">
      <c r="A12597" s="2" t="str">
        <f ca="1">IFERROR(__xludf.DUMMYFUNCTION("""COMPUTED_VALUE"""),"Eby, Thomas")</f>
        <v>Eby, Thomas</v>
      </c>
      <c r="B12597" s="2">
        <f ca="1">IFERROR(__xludf.DUMMYFUNCTION("""COMPUTED_VALUE"""),999)</f>
        <v>999</v>
      </c>
      <c r="C12597" s="7">
        <f ca="1">IFERROR(__xludf.DUMMYFUNCTION("""COMPUTED_VALUE"""),999)</f>
        <v>999</v>
      </c>
      <c r="D12597" s="8">
        <f ca="1">IFERROR(__xludf.DUMMYFUNCTION("""COMPUTED_VALUE"""),999)</f>
        <v>999</v>
      </c>
      <c r="E12597" s="2">
        <f ca="1">IFERROR(__xludf.DUMMYFUNCTION("""COMPUTED_VALUE"""),999)</f>
        <v>999</v>
      </c>
    </row>
    <row r="12598" spans="1:5" ht="13">
      <c r="A12598" s="2" t="str">
        <f ca="1">IFERROR(__xludf.DUMMYFUNCTION("""COMPUTED_VALUE"""),"Emerson, Roger / Jacobson, John")</f>
        <v>Emerson, Roger / Jacobson, John</v>
      </c>
      <c r="B12598" s="3">
        <f ca="1">IFERROR(__xludf.DUMMYFUNCTION("""COMPUTED_VALUE"""),999)</f>
        <v>999</v>
      </c>
      <c r="C12598" s="7">
        <f ca="1">IFERROR(__xludf.DUMMYFUNCTION("""COMPUTED_VALUE"""),999)</f>
        <v>999</v>
      </c>
      <c r="D12598" s="8">
        <f ca="1">IFERROR(__xludf.DUMMYFUNCTION("""COMPUTED_VALUE"""),999)</f>
        <v>999</v>
      </c>
      <c r="E12598" s="2">
        <f ca="1">IFERROR(__xludf.DUMMYFUNCTION("""COMPUTED_VALUE"""),999)</f>
        <v>999</v>
      </c>
    </row>
    <row r="12599" spans="1:5" ht="13">
      <c r="A12599" s="2" t="str">
        <f ca="1">IFERROR(__xludf.DUMMYFUNCTION("""COMPUTED_VALUE"""),"English Carol")</f>
        <v>English Carol</v>
      </c>
      <c r="B12599" s="2">
        <f ca="1">IFERROR(__xludf.DUMMYFUNCTION("""COMPUTED_VALUE"""),999)</f>
        <v>999</v>
      </c>
      <c r="C12599" s="7">
        <f ca="1">IFERROR(__xludf.DUMMYFUNCTION("""COMPUTED_VALUE"""),999)</f>
        <v>999</v>
      </c>
      <c r="D12599" s="8">
        <f ca="1">IFERROR(__xludf.DUMMYFUNCTION("""COMPUTED_VALUE"""),999)</f>
        <v>999</v>
      </c>
      <c r="E12599" s="2">
        <f ca="1">IFERROR(__xludf.DUMMYFUNCTION("""COMPUTED_VALUE"""),999)</f>
        <v>999</v>
      </c>
    </row>
    <row r="12600" spans="1:5" ht="13">
      <c r="A12600" s="2" t="str">
        <f ca="1">IFERROR(__xludf.DUMMYFUNCTION("""COMPUTED_VALUE"""),"English Glee")</f>
        <v>English Glee</v>
      </c>
      <c r="B12600" s="2">
        <f ca="1">IFERROR(__xludf.DUMMYFUNCTION("""COMPUTED_VALUE"""),999)</f>
        <v>999</v>
      </c>
      <c r="C12600" s="7">
        <f ca="1">IFERROR(__xludf.DUMMYFUNCTION("""COMPUTED_VALUE"""),999)</f>
        <v>999</v>
      </c>
      <c r="D12600" s="8">
        <f ca="1">IFERROR(__xludf.DUMMYFUNCTION("""COMPUTED_VALUE"""),999)</f>
        <v>999</v>
      </c>
      <c r="E12600" s="2">
        <f ca="1">IFERROR(__xludf.DUMMYFUNCTION("""COMPUTED_VALUE"""),999)</f>
        <v>999</v>
      </c>
    </row>
    <row r="12601" spans="1:5" ht="13">
      <c r="A12601" s="2" t="str">
        <f ca="1">IFERROR(__xludf.DUMMYFUNCTION("""COMPUTED_VALUE"""),"English Madrigal")</f>
        <v>English Madrigal</v>
      </c>
      <c r="B12601" s="2">
        <f ca="1">IFERROR(__xludf.DUMMYFUNCTION("""COMPUTED_VALUE"""),999)</f>
        <v>999</v>
      </c>
      <c r="C12601" s="7">
        <f ca="1">IFERROR(__xludf.DUMMYFUNCTION("""COMPUTED_VALUE"""),999)</f>
        <v>999</v>
      </c>
      <c r="D12601" s="8">
        <f ca="1">IFERROR(__xludf.DUMMYFUNCTION("""COMPUTED_VALUE"""),999)</f>
        <v>999</v>
      </c>
      <c r="E12601" s="2">
        <f ca="1">IFERROR(__xludf.DUMMYFUNCTION("""COMPUTED_VALUE"""),999)</f>
        <v>999</v>
      </c>
    </row>
    <row r="12602" spans="1:5" ht="13">
      <c r="A12602" s="2" t="str">
        <f ca="1">IFERROR(__xludf.DUMMYFUNCTION("""COMPUTED_VALUE"""),"English Sea Shanty")</f>
        <v>English Sea Shanty</v>
      </c>
      <c r="B12602" s="2">
        <f ca="1">IFERROR(__xludf.DUMMYFUNCTION("""COMPUTED_VALUE"""),999)</f>
        <v>999</v>
      </c>
      <c r="C12602" s="7">
        <f ca="1">IFERROR(__xludf.DUMMYFUNCTION("""COMPUTED_VALUE"""),999)</f>
        <v>999</v>
      </c>
      <c r="D12602" s="8">
        <f ca="1">IFERROR(__xludf.DUMMYFUNCTION("""COMPUTED_VALUE"""),999)</f>
        <v>999</v>
      </c>
      <c r="E12602" s="2">
        <f ca="1">IFERROR(__xludf.DUMMYFUNCTION("""COMPUTED_VALUE"""),999)</f>
        <v>999</v>
      </c>
    </row>
    <row r="12603" spans="1:5" ht="13">
      <c r="A12603" s="8" t="str">
        <f ca="1">IFERROR(__xludf.DUMMYFUNCTION("""COMPUTED_VALUE"""),"Epperson")</f>
        <v>Epperson</v>
      </c>
      <c r="B12603" s="2">
        <f ca="1">IFERROR(__xludf.DUMMYFUNCTION("""COMPUTED_VALUE"""),999)</f>
        <v>999</v>
      </c>
      <c r="C12603" s="7">
        <f ca="1">IFERROR(__xludf.DUMMYFUNCTION("""COMPUTED_VALUE"""),999)</f>
        <v>999</v>
      </c>
      <c r="D12603" s="8">
        <f ca="1">IFERROR(__xludf.DUMMYFUNCTION("""COMPUTED_VALUE"""),999)</f>
        <v>999</v>
      </c>
      <c r="E12603" s="2">
        <f ca="1">IFERROR(__xludf.DUMMYFUNCTION("""COMPUTED_VALUE"""),999)</f>
        <v>999</v>
      </c>
    </row>
    <row r="12604" spans="1:5" ht="13">
      <c r="A12604" s="8" t="str">
        <f ca="1">IFERROR(__xludf.DUMMYFUNCTION("""COMPUTED_VALUE"""),"Esposito (unknown)")</f>
        <v>Esposito (unknown)</v>
      </c>
      <c r="B12604" s="2">
        <f ca="1">IFERROR(__xludf.DUMMYFUNCTION("""COMPUTED_VALUE"""),999)</f>
        <v>999</v>
      </c>
      <c r="C12604" s="7">
        <f ca="1">IFERROR(__xludf.DUMMYFUNCTION("""COMPUTED_VALUE"""),999)</f>
        <v>999</v>
      </c>
      <c r="D12604" s="8">
        <f ca="1">IFERROR(__xludf.DUMMYFUNCTION("""COMPUTED_VALUE"""),999)</f>
        <v>999</v>
      </c>
      <c r="E12604" s="2">
        <f ca="1">IFERROR(__xludf.DUMMYFUNCTION("""COMPUTED_VALUE"""),999)</f>
        <v>999</v>
      </c>
    </row>
    <row r="12605" spans="1:5" ht="13">
      <c r="A12605" s="2" t="str">
        <f ca="1">IFERROR(__xludf.DUMMYFUNCTION("""COMPUTED_VALUE"""),"Evangelista, José")</f>
        <v>Evangelista, José</v>
      </c>
      <c r="B12605" s="3">
        <f ca="1">IFERROR(__xludf.DUMMYFUNCTION("""COMPUTED_VALUE"""),999)</f>
        <v>999</v>
      </c>
      <c r="C12605" s="7">
        <f ca="1">IFERROR(__xludf.DUMMYFUNCTION("""COMPUTED_VALUE"""),999)</f>
        <v>999</v>
      </c>
      <c r="D12605" s="8">
        <f ca="1">IFERROR(__xludf.DUMMYFUNCTION("""COMPUTED_VALUE"""),999)</f>
        <v>999</v>
      </c>
      <c r="E12605" s="2">
        <f ca="1">IFERROR(__xludf.DUMMYFUNCTION("""COMPUTED_VALUE"""),999)</f>
        <v>999</v>
      </c>
    </row>
    <row r="12606" spans="1:5" ht="13">
      <c r="A12606" s="2" t="str">
        <f ca="1">IFERROR(__xludf.DUMMYFUNCTION("""COMPUTED_VALUE"""),"Evans and Joe Ricardel, Redd")</f>
        <v>Evans and Joe Ricardel, Redd</v>
      </c>
      <c r="B12606" s="2">
        <f ca="1">IFERROR(__xludf.DUMMYFUNCTION("""COMPUTED_VALUE"""),999)</f>
        <v>999</v>
      </c>
      <c r="C12606" s="7">
        <f ca="1">IFERROR(__xludf.DUMMYFUNCTION("""COMPUTED_VALUE"""),999)</f>
        <v>999</v>
      </c>
      <c r="D12606" s="8">
        <f ca="1">IFERROR(__xludf.DUMMYFUNCTION("""COMPUTED_VALUE"""),999)</f>
        <v>999</v>
      </c>
      <c r="E12606" s="2">
        <f ca="1">IFERROR(__xludf.DUMMYFUNCTION("""COMPUTED_VALUE"""),999)</f>
        <v>999</v>
      </c>
    </row>
    <row r="12607" spans="1:5" ht="13">
      <c r="A12607" s="2" t="str">
        <f ca="1">IFERROR(__xludf.DUMMYFUNCTION("""COMPUTED_VALUE"""),"Fall")</f>
        <v>Fall</v>
      </c>
      <c r="B12607" s="2">
        <f ca="1">IFERROR(__xludf.DUMMYFUNCTION("""COMPUTED_VALUE"""),999)</f>
        <v>999</v>
      </c>
      <c r="C12607" s="7">
        <f ca="1">IFERROR(__xludf.DUMMYFUNCTION("""COMPUTED_VALUE"""),999)</f>
        <v>999</v>
      </c>
      <c r="D12607" s="8">
        <f ca="1">IFERROR(__xludf.DUMMYFUNCTION("""COMPUTED_VALUE"""),999)</f>
        <v>999</v>
      </c>
      <c r="E12607" s="2">
        <f ca="1">IFERROR(__xludf.DUMMYFUNCTION("""COMPUTED_VALUE"""),999)</f>
        <v>999</v>
      </c>
    </row>
    <row r="12608" spans="1:5" ht="13">
      <c r="A12608" s="8" t="str">
        <f ca="1">IFERROR(__xludf.DUMMYFUNCTION("""COMPUTED_VALUE"""),"Fanning")</f>
        <v>Fanning</v>
      </c>
      <c r="B12608" s="2">
        <f ca="1">IFERROR(__xludf.DUMMYFUNCTION("""COMPUTED_VALUE"""),999)</f>
        <v>999</v>
      </c>
      <c r="C12608" s="7">
        <f ca="1">IFERROR(__xludf.DUMMYFUNCTION("""COMPUTED_VALUE"""),999)</f>
        <v>999</v>
      </c>
      <c r="D12608" s="8">
        <f ca="1">IFERROR(__xludf.DUMMYFUNCTION("""COMPUTED_VALUE"""),999)</f>
        <v>999</v>
      </c>
      <c r="E12608" s="2">
        <f ca="1">IFERROR(__xludf.DUMMYFUNCTION("""COMPUTED_VALUE"""),999)</f>
        <v>999</v>
      </c>
    </row>
    <row r="12609" spans="1:5" ht="13">
      <c r="A12609" s="2" t="str">
        <f ca="1">IFERROR(__xludf.DUMMYFUNCTION("""COMPUTED_VALUE"""),"Fargo (unknown)")</f>
        <v>Fargo (unknown)</v>
      </c>
      <c r="B12609" s="2">
        <f ca="1">IFERROR(__xludf.DUMMYFUNCTION("""COMPUTED_VALUE"""),999)</f>
        <v>999</v>
      </c>
      <c r="C12609" s="2">
        <f ca="1">IFERROR(__xludf.DUMMYFUNCTION("""COMPUTED_VALUE"""),999)</f>
        <v>999</v>
      </c>
      <c r="D12609" s="8">
        <f ca="1">IFERROR(__xludf.DUMMYFUNCTION("""COMPUTED_VALUE"""),999)</f>
        <v>999</v>
      </c>
      <c r="E12609" s="2">
        <f ca="1">IFERROR(__xludf.DUMMYFUNCTION("""COMPUTED_VALUE"""),999)</f>
        <v>999</v>
      </c>
    </row>
    <row r="12610" spans="1:5" ht="13">
      <c r="A12610" s="2" t="str">
        <f ca="1">IFERROR(__xludf.DUMMYFUNCTION("""COMPUTED_VALUE"""),"Farrell (unknown)")</f>
        <v>Farrell (unknown)</v>
      </c>
      <c r="B12610" s="2">
        <f ca="1">IFERROR(__xludf.DUMMYFUNCTION("""COMPUTED_VALUE"""),999)</f>
        <v>999</v>
      </c>
      <c r="C12610" s="2">
        <f ca="1">IFERROR(__xludf.DUMMYFUNCTION("""COMPUTED_VALUE"""),999)</f>
        <v>999</v>
      </c>
      <c r="D12610" s="8">
        <f ca="1">IFERROR(__xludf.DUMMYFUNCTION("""COMPUTED_VALUE"""),999)</f>
        <v>999</v>
      </c>
      <c r="E12610" s="2">
        <f ca="1">IFERROR(__xludf.DUMMYFUNCTION("""COMPUTED_VALUE"""),999)</f>
        <v>999</v>
      </c>
    </row>
    <row r="12611" spans="1:5" ht="13">
      <c r="A12611" s="2" t="str">
        <f ca="1">IFERROR(__xludf.DUMMYFUNCTION("""COMPUTED_VALUE"""),"Feild (unknown)")</f>
        <v>Feild (unknown)</v>
      </c>
      <c r="B12611" s="2">
        <f ca="1">IFERROR(__xludf.DUMMYFUNCTION("""COMPUTED_VALUE"""),999)</f>
        <v>999</v>
      </c>
      <c r="C12611" s="2">
        <f ca="1">IFERROR(__xludf.DUMMYFUNCTION("""COMPUTED_VALUE"""),999)</f>
        <v>999</v>
      </c>
      <c r="D12611" s="8">
        <f ca="1">IFERROR(__xludf.DUMMYFUNCTION("""COMPUTED_VALUE"""),999)</f>
        <v>999</v>
      </c>
      <c r="E12611" s="2">
        <f ca="1">IFERROR(__xludf.DUMMYFUNCTION("""COMPUTED_VALUE"""),999)</f>
        <v>999</v>
      </c>
    </row>
    <row r="12612" spans="1:5" ht="13">
      <c r="A12612" s="2" t="str">
        <f ca="1">IFERROR(__xludf.DUMMYFUNCTION("""COMPUTED_VALUE"""),"Ferrell, Josh / Kwan, Bensen / Flurry, Maria")</f>
        <v>Ferrell, Josh / Kwan, Bensen / Flurry, Maria</v>
      </c>
      <c r="B12612" s="2">
        <f ca="1">IFERROR(__xludf.DUMMYFUNCTION("""COMPUTED_VALUE"""),999)</f>
        <v>999</v>
      </c>
      <c r="C12612" s="2">
        <f ca="1">IFERROR(__xludf.DUMMYFUNCTION("""COMPUTED_VALUE"""),999)</f>
        <v>999</v>
      </c>
      <c r="D12612" s="8">
        <f ca="1">IFERROR(__xludf.DUMMYFUNCTION("""COMPUTED_VALUE"""),999)</f>
        <v>999</v>
      </c>
      <c r="E12612" s="2">
        <f ca="1">IFERROR(__xludf.DUMMYFUNCTION("""COMPUTED_VALUE"""),999)</f>
        <v>999</v>
      </c>
    </row>
    <row r="12613" spans="1:5" ht="13">
      <c r="A12613" s="2" t="str">
        <f ca="1">IFERROR(__xludf.DUMMYFUNCTION("""COMPUTED_VALUE"""),"Ferry, Robert")</f>
        <v>Ferry, Robert</v>
      </c>
      <c r="B12613" s="3">
        <f ca="1">IFERROR(__xludf.DUMMYFUNCTION("""COMPUTED_VALUE"""),999)</f>
        <v>999</v>
      </c>
      <c r="C12613" s="7">
        <f ca="1">IFERROR(__xludf.DUMMYFUNCTION("""COMPUTED_VALUE"""),999)</f>
        <v>999</v>
      </c>
      <c r="D12613" s="8">
        <f ca="1">IFERROR(__xludf.DUMMYFUNCTION("""COMPUTED_VALUE"""),999)</f>
        <v>999</v>
      </c>
      <c r="E12613" s="2">
        <f ca="1">IFERROR(__xludf.DUMMYFUNCTION("""COMPUTED_VALUE"""),999)</f>
        <v>999</v>
      </c>
    </row>
    <row r="12614" spans="1:5" ht="13">
      <c r="A12614" s="2" t="str">
        <f ca="1">IFERROR(__xludf.DUMMYFUNCTION("""COMPUTED_VALUE"""),"Fiftal, Lois / GIlpin, Greg")</f>
        <v>Fiftal, Lois / GIlpin, Greg</v>
      </c>
      <c r="B12614" s="3">
        <f ca="1">IFERROR(__xludf.DUMMYFUNCTION("""COMPUTED_VALUE"""),999)</f>
        <v>999</v>
      </c>
      <c r="C12614" s="7">
        <f ca="1">IFERROR(__xludf.DUMMYFUNCTION("""COMPUTED_VALUE"""),999)</f>
        <v>999</v>
      </c>
      <c r="D12614" s="8">
        <f ca="1">IFERROR(__xludf.DUMMYFUNCTION("""COMPUTED_VALUE"""),999)</f>
        <v>999</v>
      </c>
      <c r="E12614" s="2">
        <f ca="1">IFERROR(__xludf.DUMMYFUNCTION("""COMPUTED_VALUE"""),999)</f>
        <v>999</v>
      </c>
    </row>
    <row r="12615" spans="1:5" ht="13">
      <c r="A12615" s="8" t="str">
        <f ca="1">IFERROR(__xludf.DUMMYFUNCTION("""COMPUTED_VALUE"""),"Finck, H.")</f>
        <v>Finck, H.</v>
      </c>
      <c r="B12615" s="2">
        <f ca="1">IFERROR(__xludf.DUMMYFUNCTION("""COMPUTED_VALUE"""),999)</f>
        <v>999</v>
      </c>
      <c r="C12615" s="7">
        <f ca="1">IFERROR(__xludf.DUMMYFUNCTION("""COMPUTED_VALUE"""),999)</f>
        <v>999</v>
      </c>
      <c r="D12615" s="8">
        <f ca="1">IFERROR(__xludf.DUMMYFUNCTION("""COMPUTED_VALUE"""),999)</f>
        <v>999</v>
      </c>
      <c r="E12615" s="2">
        <f ca="1">IFERROR(__xludf.DUMMYFUNCTION("""COMPUTED_VALUE"""),999)</f>
        <v>999</v>
      </c>
    </row>
    <row r="12616" spans="1:5" ht="13">
      <c r="A12616" s="8" t="str">
        <f ca="1">IFERROR(__xludf.DUMMYFUNCTION("""COMPUTED_VALUE"""),"Fing, L.")</f>
        <v>Fing, L.</v>
      </c>
      <c r="B12616" s="2">
        <f ca="1">IFERROR(__xludf.DUMMYFUNCTION("""COMPUTED_VALUE"""),999)</f>
        <v>999</v>
      </c>
      <c r="C12616" s="7">
        <f ca="1">IFERROR(__xludf.DUMMYFUNCTION("""COMPUTED_VALUE"""),999)</f>
        <v>999</v>
      </c>
      <c r="D12616" s="8">
        <f ca="1">IFERROR(__xludf.DUMMYFUNCTION("""COMPUTED_VALUE"""),999)</f>
        <v>999</v>
      </c>
      <c r="E12616" s="2">
        <f ca="1">IFERROR(__xludf.DUMMYFUNCTION("""COMPUTED_VALUE"""),999)</f>
        <v>999</v>
      </c>
    </row>
    <row r="12617" spans="1:5" ht="13">
      <c r="A12617" s="8" t="str">
        <f ca="1">IFERROR(__xludf.DUMMYFUNCTION("""COMPUTED_VALUE"""),"Finley, Bergen")</f>
        <v>Finley, Bergen</v>
      </c>
      <c r="B12617" s="3">
        <f ca="1">IFERROR(__xludf.DUMMYFUNCTION("""COMPUTED_VALUE"""),999)</f>
        <v>999</v>
      </c>
      <c r="C12617" s="7">
        <f ca="1">IFERROR(__xludf.DUMMYFUNCTION("""COMPUTED_VALUE"""),999)</f>
        <v>999</v>
      </c>
      <c r="D12617" s="8">
        <f ca="1">IFERROR(__xludf.DUMMYFUNCTION("""COMPUTED_VALUE"""),999)</f>
        <v>999</v>
      </c>
      <c r="E12617" s="2">
        <f ca="1">IFERROR(__xludf.DUMMYFUNCTION("""COMPUTED_VALUE"""),999)</f>
        <v>999</v>
      </c>
    </row>
    <row r="12618" spans="1:5" ht="13">
      <c r="A12618" s="8" t="str">
        <f ca="1">IFERROR(__xludf.DUMMYFUNCTION("""COMPUTED_VALUE"""),"Finno")</f>
        <v>Finno</v>
      </c>
      <c r="B12618" s="2">
        <f ca="1">IFERROR(__xludf.DUMMYFUNCTION("""COMPUTED_VALUE"""),999)</f>
        <v>999</v>
      </c>
      <c r="C12618" s="7">
        <f ca="1">IFERROR(__xludf.DUMMYFUNCTION("""COMPUTED_VALUE"""),999)</f>
        <v>999</v>
      </c>
      <c r="D12618" s="8">
        <f ca="1">IFERROR(__xludf.DUMMYFUNCTION("""COMPUTED_VALUE"""),999)</f>
        <v>999</v>
      </c>
      <c r="E12618" s="2">
        <f ca="1">IFERROR(__xludf.DUMMYFUNCTION("""COMPUTED_VALUE"""),999)</f>
        <v>999</v>
      </c>
    </row>
    <row r="12619" spans="1:5" ht="13">
      <c r="A12619" s="8" t="str">
        <f ca="1">IFERROR(__xludf.DUMMYFUNCTION("""COMPUTED_VALUE"""),"Fiuno")</f>
        <v>Fiuno</v>
      </c>
      <c r="B12619" s="2">
        <f ca="1">IFERROR(__xludf.DUMMYFUNCTION("""COMPUTED_VALUE"""),999)</f>
        <v>999</v>
      </c>
      <c r="C12619" s="7">
        <f ca="1">IFERROR(__xludf.DUMMYFUNCTION("""COMPUTED_VALUE"""),999)</f>
        <v>999</v>
      </c>
      <c r="D12619" s="8">
        <f ca="1">IFERROR(__xludf.DUMMYFUNCTION("""COMPUTED_VALUE"""),999)</f>
        <v>999</v>
      </c>
      <c r="E12619" s="2">
        <f ca="1">IFERROR(__xludf.DUMMYFUNCTION("""COMPUTED_VALUE"""),999)</f>
        <v>999</v>
      </c>
    </row>
    <row r="12620" spans="1:5" ht="13">
      <c r="A12620" s="2" t="str">
        <f ca="1">IFERROR(__xludf.DUMMYFUNCTION("""COMPUTED_VALUE"""),"Forbes, China / Lauderdale, Thomas / Abbey, Patrick")</f>
        <v>Forbes, China / Lauderdale, Thomas / Abbey, Patrick</v>
      </c>
      <c r="B12620" s="2">
        <f ca="1">IFERROR(__xludf.DUMMYFUNCTION("""COMPUTED_VALUE"""),999)</f>
        <v>999</v>
      </c>
      <c r="C12620" s="7">
        <f ca="1">IFERROR(__xludf.DUMMYFUNCTION("""COMPUTED_VALUE"""),999)</f>
        <v>999</v>
      </c>
      <c r="D12620" s="8">
        <f ca="1">IFERROR(__xludf.DUMMYFUNCTION("""COMPUTED_VALUE"""),999)</f>
        <v>999</v>
      </c>
      <c r="E12620" s="2">
        <f ca="1">IFERROR(__xludf.DUMMYFUNCTION("""COMPUTED_VALUE"""),999)</f>
        <v>999</v>
      </c>
    </row>
    <row r="12621" spans="1:5" ht="13">
      <c r="A12621" s="2" t="str">
        <f ca="1">IFERROR(__xludf.DUMMYFUNCTION("""COMPUTED_VALUE"""),"Forio, Caryl")</f>
        <v>Forio, Caryl</v>
      </c>
      <c r="B12621" s="3">
        <f ca="1">IFERROR(__xludf.DUMMYFUNCTION("""COMPUTED_VALUE"""),999)</f>
        <v>999</v>
      </c>
      <c r="C12621" s="7">
        <f ca="1">IFERROR(__xludf.DUMMYFUNCTION("""COMPUTED_VALUE"""),999)</f>
        <v>999</v>
      </c>
      <c r="D12621" s="8">
        <f ca="1">IFERROR(__xludf.DUMMYFUNCTION("""COMPUTED_VALUE"""),999)</f>
        <v>999</v>
      </c>
      <c r="E12621" s="2">
        <f ca="1">IFERROR(__xludf.DUMMYFUNCTION("""COMPUTED_VALUE"""),999)</f>
        <v>999</v>
      </c>
    </row>
    <row r="12622" spans="1:5" ht="13">
      <c r="A12622" s="2" t="str">
        <f ca="1">IFERROR(__xludf.DUMMYFUNCTION("""COMPUTED_VALUE"""),"Four Harmonizers")</f>
        <v>Four Harmonizers</v>
      </c>
      <c r="B12622" s="2">
        <f ca="1">IFERROR(__xludf.DUMMYFUNCTION("""COMPUTED_VALUE"""),999)</f>
        <v>999</v>
      </c>
      <c r="C12622" s="7">
        <f ca="1">IFERROR(__xludf.DUMMYFUNCTION("""COMPUTED_VALUE"""),999)</f>
        <v>999</v>
      </c>
      <c r="D12622" s="8">
        <f ca="1">IFERROR(__xludf.DUMMYFUNCTION("""COMPUTED_VALUE"""),999)</f>
        <v>999</v>
      </c>
      <c r="E12622" s="2">
        <f ca="1">IFERROR(__xludf.DUMMYFUNCTION("""COMPUTED_VALUE"""),999)</f>
        <v>999</v>
      </c>
    </row>
    <row r="12623" spans="1:5" ht="13">
      <c r="A12623" s="8" t="str">
        <f ca="1">IFERROR(__xludf.DUMMYFUNCTION("""COMPUTED_VALUE"""),"Franklin, B.")</f>
        <v>Franklin, B.</v>
      </c>
      <c r="B12623" s="2">
        <f ca="1">IFERROR(__xludf.DUMMYFUNCTION("""COMPUTED_VALUE"""),999)</f>
        <v>999</v>
      </c>
      <c r="C12623" s="7">
        <f ca="1">IFERROR(__xludf.DUMMYFUNCTION("""COMPUTED_VALUE"""),999)</f>
        <v>999</v>
      </c>
      <c r="D12623" s="8">
        <f ca="1">IFERROR(__xludf.DUMMYFUNCTION("""COMPUTED_VALUE"""),999)</f>
        <v>999</v>
      </c>
      <c r="E12623" s="2">
        <f ca="1">IFERROR(__xludf.DUMMYFUNCTION("""COMPUTED_VALUE"""),999)</f>
        <v>999</v>
      </c>
    </row>
    <row r="12624" spans="1:5" ht="13">
      <c r="A12624" s="8" t="str">
        <f ca="1">IFERROR(__xludf.DUMMYFUNCTION("""COMPUTED_VALUE"""),"Franklin, Lily")</f>
        <v>Franklin, Lily</v>
      </c>
      <c r="B12624" s="3">
        <f ca="1">IFERROR(__xludf.DUMMYFUNCTION("""COMPUTED_VALUE"""),999)</f>
        <v>999</v>
      </c>
      <c r="C12624" s="7">
        <f ca="1">IFERROR(__xludf.DUMMYFUNCTION("""COMPUTED_VALUE"""),999)</f>
        <v>999</v>
      </c>
      <c r="D12624" s="8">
        <f ca="1">IFERROR(__xludf.DUMMYFUNCTION("""COMPUTED_VALUE"""),999)</f>
        <v>999</v>
      </c>
      <c r="E12624" s="2">
        <f ca="1">IFERROR(__xludf.DUMMYFUNCTION("""COMPUTED_VALUE"""),999)</f>
        <v>999</v>
      </c>
    </row>
    <row r="12625" spans="1:5" ht="13">
      <c r="A12625" s="2" t="str">
        <f ca="1">IFERROR(__xludf.DUMMYFUNCTION("""COMPUTED_VALUE"""),"French Carol")</f>
        <v>French Carol</v>
      </c>
      <c r="B12625" s="2">
        <f ca="1">IFERROR(__xludf.DUMMYFUNCTION("""COMPUTED_VALUE"""),999)</f>
        <v>999</v>
      </c>
      <c r="C12625" s="7">
        <f ca="1">IFERROR(__xludf.DUMMYFUNCTION("""COMPUTED_VALUE"""),999)</f>
        <v>999</v>
      </c>
      <c r="D12625" s="8">
        <f ca="1">IFERROR(__xludf.DUMMYFUNCTION("""COMPUTED_VALUE"""),999)</f>
        <v>999</v>
      </c>
      <c r="E12625" s="2">
        <f ca="1">IFERROR(__xludf.DUMMYFUNCTION("""COMPUTED_VALUE"""),999)</f>
        <v>999</v>
      </c>
    </row>
    <row r="12626" spans="1:5" ht="13">
      <c r="A12626" s="2" t="str">
        <f ca="1">IFERROR(__xludf.DUMMYFUNCTION("""COMPUTED_VALUE"""),"Funk, Karlheinz / Funk, Irene")</f>
        <v>Funk, Karlheinz / Funk, Irene</v>
      </c>
      <c r="B12626" s="2">
        <f ca="1">IFERROR(__xludf.DUMMYFUNCTION("""COMPUTED_VALUE"""),999)</f>
        <v>999</v>
      </c>
      <c r="C12626" s="2">
        <f ca="1">IFERROR(__xludf.DUMMYFUNCTION("""COMPUTED_VALUE"""),999)</f>
        <v>999</v>
      </c>
      <c r="D12626" s="8">
        <f ca="1">IFERROR(__xludf.DUMMYFUNCTION("""COMPUTED_VALUE"""),999)</f>
        <v>999</v>
      </c>
      <c r="E12626" s="2">
        <f ca="1">IFERROR(__xludf.DUMMYFUNCTION("""COMPUTED_VALUE"""),999)</f>
        <v>999</v>
      </c>
    </row>
    <row r="12627" spans="1:5" ht="13">
      <c r="A12627" s="2" t="str">
        <f ca="1">IFERROR(__xludf.DUMMYFUNCTION("""COMPUTED_VALUE"""),"Gaelic Melody")</f>
        <v>Gaelic Melody</v>
      </c>
      <c r="B12627" s="2">
        <f ca="1">IFERROR(__xludf.DUMMYFUNCTION("""COMPUTED_VALUE"""),999)</f>
        <v>999</v>
      </c>
      <c r="C12627" s="7">
        <f ca="1">IFERROR(__xludf.DUMMYFUNCTION("""COMPUTED_VALUE"""),999)</f>
        <v>999</v>
      </c>
      <c r="D12627" s="8">
        <f ca="1">IFERROR(__xludf.DUMMYFUNCTION("""COMPUTED_VALUE"""),999)</f>
        <v>999</v>
      </c>
      <c r="E12627" s="2">
        <f ca="1">IFERROR(__xludf.DUMMYFUNCTION("""COMPUTED_VALUE"""),999)</f>
        <v>999</v>
      </c>
    </row>
    <row r="12628" spans="1:5" ht="13">
      <c r="A12628" s="8" t="str">
        <f ca="1">IFERROR(__xludf.DUMMYFUNCTION("""COMPUTED_VALUE"""),"Gammario, M. (unknown)")</f>
        <v>Gammario, M. (unknown)</v>
      </c>
      <c r="B12628" s="2">
        <f ca="1">IFERROR(__xludf.DUMMYFUNCTION("""COMPUTED_VALUE"""),999)</f>
        <v>999</v>
      </c>
      <c r="C12628" s="7">
        <f ca="1">IFERROR(__xludf.DUMMYFUNCTION("""COMPUTED_VALUE"""),999)</f>
        <v>999</v>
      </c>
      <c r="D12628" s="8">
        <f ca="1">IFERROR(__xludf.DUMMYFUNCTION("""COMPUTED_VALUE"""),999)</f>
        <v>999</v>
      </c>
      <c r="E12628" s="2">
        <f ca="1">IFERROR(__xludf.DUMMYFUNCTION("""COMPUTED_VALUE"""),999)</f>
        <v>999</v>
      </c>
    </row>
    <row r="12629" spans="1:5" ht="13">
      <c r="A12629" s="2" t="str">
        <f ca="1">IFERROR(__xludf.DUMMYFUNCTION("""COMPUTED_VALUE"""),"German Hymn")</f>
        <v>German Hymn</v>
      </c>
      <c r="B12629" s="3">
        <f ca="1">IFERROR(__xludf.DUMMYFUNCTION("""COMPUTED_VALUE"""),999)</f>
        <v>999</v>
      </c>
      <c r="C12629" s="7">
        <f ca="1">IFERROR(__xludf.DUMMYFUNCTION("""COMPUTED_VALUE"""),999)</f>
        <v>999</v>
      </c>
      <c r="D12629" s="8">
        <f ca="1">IFERROR(__xludf.DUMMYFUNCTION("""COMPUTED_VALUE"""),999)</f>
        <v>999</v>
      </c>
      <c r="E12629" s="2">
        <f ca="1">IFERROR(__xludf.DUMMYFUNCTION("""COMPUTED_VALUE"""),999)</f>
        <v>999</v>
      </c>
    </row>
    <row r="12630" spans="1:5" ht="13">
      <c r="A12630" s="2" t="str">
        <f ca="1">IFERROR(__xludf.DUMMYFUNCTION("""COMPUTED_VALUE"""),"Gibb (unknown)")</f>
        <v>Gibb (unknown)</v>
      </c>
      <c r="B12630" s="3">
        <f ca="1">IFERROR(__xludf.DUMMYFUNCTION("""COMPUTED_VALUE"""),999)</f>
        <v>999</v>
      </c>
      <c r="C12630" s="7">
        <f ca="1">IFERROR(__xludf.DUMMYFUNCTION("""COMPUTED_VALUE"""),999)</f>
        <v>999</v>
      </c>
      <c r="D12630" s="8">
        <f ca="1">IFERROR(__xludf.DUMMYFUNCTION("""COMPUTED_VALUE"""),999)</f>
        <v>999</v>
      </c>
      <c r="E12630" s="2">
        <f ca="1">IFERROR(__xludf.DUMMYFUNCTION("""COMPUTED_VALUE"""),999)</f>
        <v>999</v>
      </c>
    </row>
    <row r="12631" spans="1:5" ht="13">
      <c r="A12631" s="2" t="str">
        <f ca="1">IFERROR(__xludf.DUMMYFUNCTION("""COMPUTED_VALUE"""),"Gilday (unknown)")</f>
        <v>Gilday (unknown)</v>
      </c>
      <c r="B12631" s="2">
        <f ca="1">IFERROR(__xludf.DUMMYFUNCTION("""COMPUTED_VALUE"""),999)</f>
        <v>999</v>
      </c>
      <c r="C12631" s="2">
        <f ca="1">IFERROR(__xludf.DUMMYFUNCTION("""COMPUTED_VALUE"""),999)</f>
        <v>999</v>
      </c>
      <c r="D12631" s="8">
        <f ca="1">IFERROR(__xludf.DUMMYFUNCTION("""COMPUTED_VALUE"""),999)</f>
        <v>999</v>
      </c>
      <c r="E12631" s="2">
        <f ca="1">IFERROR(__xludf.DUMMYFUNCTION("""COMPUTED_VALUE"""),999)</f>
        <v>999</v>
      </c>
    </row>
    <row r="12632" spans="1:5" ht="13">
      <c r="A12632" s="8" t="str">
        <f ca="1">IFERROR(__xludf.DUMMYFUNCTION("""COMPUTED_VALUE"""),"Giles, Lee")</f>
        <v>Giles, Lee</v>
      </c>
      <c r="B12632" s="2">
        <f ca="1">IFERROR(__xludf.DUMMYFUNCTION("""COMPUTED_VALUE"""),999)</f>
        <v>999</v>
      </c>
      <c r="C12632" s="7">
        <f ca="1">IFERROR(__xludf.DUMMYFUNCTION("""COMPUTED_VALUE"""),999)</f>
        <v>999</v>
      </c>
      <c r="D12632" s="8">
        <f ca="1">IFERROR(__xludf.DUMMYFUNCTION("""COMPUTED_VALUE"""),999)</f>
        <v>999</v>
      </c>
      <c r="E12632" s="2">
        <f ca="1">IFERROR(__xludf.DUMMYFUNCTION("""COMPUTED_VALUE"""),999)</f>
        <v>999</v>
      </c>
    </row>
    <row r="12633" spans="1:5" ht="13">
      <c r="A12633" s="8" t="str">
        <f ca="1">IFERROR(__xludf.DUMMYFUNCTION("""COMPUTED_VALUE"""),"Ginsel, R.")</f>
        <v>Ginsel, R.</v>
      </c>
      <c r="B12633" s="2">
        <f ca="1">IFERROR(__xludf.DUMMYFUNCTION("""COMPUTED_VALUE"""),999)</f>
        <v>999</v>
      </c>
      <c r="C12633" s="7">
        <f ca="1">IFERROR(__xludf.DUMMYFUNCTION("""COMPUTED_VALUE"""),999)</f>
        <v>999</v>
      </c>
      <c r="D12633" s="8">
        <f ca="1">IFERROR(__xludf.DUMMYFUNCTION("""COMPUTED_VALUE"""),999)</f>
        <v>999</v>
      </c>
      <c r="E12633" s="2">
        <f ca="1">IFERROR(__xludf.DUMMYFUNCTION("""COMPUTED_VALUE"""),999)</f>
        <v>999</v>
      </c>
    </row>
    <row r="12634" spans="1:5" ht="13">
      <c r="A12634" s="2" t="str">
        <f ca="1">IFERROR(__xludf.DUMMYFUNCTION("""COMPUTED_VALUE"""),"Goble, Joseph")</f>
        <v>Goble, Joseph</v>
      </c>
      <c r="B12634" s="2">
        <f ca="1">IFERROR(__xludf.DUMMYFUNCTION("""COMPUTED_VALUE"""),999)</f>
        <v>999</v>
      </c>
      <c r="C12634" s="7">
        <f ca="1">IFERROR(__xludf.DUMMYFUNCTION("""COMPUTED_VALUE"""),999)</f>
        <v>999</v>
      </c>
      <c r="D12634" s="8">
        <f ca="1">IFERROR(__xludf.DUMMYFUNCTION("""COMPUTED_VALUE"""),999)</f>
        <v>999</v>
      </c>
      <c r="E12634" s="2">
        <f ca="1">IFERROR(__xludf.DUMMYFUNCTION("""COMPUTED_VALUE"""),999)</f>
        <v>999</v>
      </c>
    </row>
    <row r="12635" spans="1:5" ht="13">
      <c r="A12635" s="8" t="str">
        <f ca="1">IFERROR(__xludf.DUMMYFUNCTION("""COMPUTED_VALUE"""),"Grant, J.")</f>
        <v>Grant, J.</v>
      </c>
      <c r="B12635" s="2">
        <f ca="1">IFERROR(__xludf.DUMMYFUNCTION("""COMPUTED_VALUE"""),999)</f>
        <v>999</v>
      </c>
      <c r="C12635" s="7">
        <f ca="1">IFERROR(__xludf.DUMMYFUNCTION("""COMPUTED_VALUE"""),999)</f>
        <v>999</v>
      </c>
      <c r="D12635" s="8">
        <f ca="1">IFERROR(__xludf.DUMMYFUNCTION("""COMPUTED_VALUE"""),999)</f>
        <v>999</v>
      </c>
      <c r="E12635" s="2">
        <f ca="1">IFERROR(__xludf.DUMMYFUNCTION("""COMPUTED_VALUE"""),999)</f>
        <v>999</v>
      </c>
    </row>
    <row r="12636" spans="1:5" ht="13">
      <c r="A12636" s="8" t="str">
        <f ca="1">IFERROR(__xludf.DUMMYFUNCTION("""COMPUTED_VALUE"""),"Grantham (unknown)")</f>
        <v>Grantham (unknown)</v>
      </c>
      <c r="B12636" s="2">
        <f ca="1">IFERROR(__xludf.DUMMYFUNCTION("""COMPUTED_VALUE"""),999)</f>
        <v>999</v>
      </c>
      <c r="C12636" s="7">
        <f ca="1">IFERROR(__xludf.DUMMYFUNCTION("""COMPUTED_VALUE"""),999)</f>
        <v>999</v>
      </c>
      <c r="D12636" s="8">
        <f ca="1">IFERROR(__xludf.DUMMYFUNCTION("""COMPUTED_VALUE"""),999)</f>
        <v>999</v>
      </c>
      <c r="E12636" s="2">
        <f ca="1">IFERROR(__xludf.DUMMYFUNCTION("""COMPUTED_VALUE"""),999)</f>
        <v>999</v>
      </c>
    </row>
    <row r="12637" spans="1:5" ht="13">
      <c r="A12637" s="2" t="str">
        <f ca="1">IFERROR(__xludf.DUMMYFUNCTION("""COMPUTED_VALUE"""),"Green, Brad / Green, Lucy")</f>
        <v>Green, Brad / Green, Lucy</v>
      </c>
      <c r="B12637" s="3">
        <f ca="1">IFERROR(__xludf.DUMMYFUNCTION("""COMPUTED_VALUE"""),999)</f>
        <v>999</v>
      </c>
      <c r="C12637" s="7">
        <f ca="1">IFERROR(__xludf.DUMMYFUNCTION("""COMPUTED_VALUE"""),999)</f>
        <v>999</v>
      </c>
      <c r="D12637" s="8">
        <f ca="1">IFERROR(__xludf.DUMMYFUNCTION("""COMPUTED_VALUE"""),999)</f>
        <v>999</v>
      </c>
      <c r="E12637" s="2">
        <f ca="1">IFERROR(__xludf.DUMMYFUNCTION("""COMPUTED_VALUE"""),999)</f>
        <v>999</v>
      </c>
    </row>
    <row r="12638" spans="1:5" ht="13">
      <c r="A12638" s="2" t="str">
        <f ca="1">IFERROR(__xludf.DUMMYFUNCTION("""COMPUTED_VALUE"""),"Green, Roland")</f>
        <v>Green, Roland</v>
      </c>
      <c r="B12638" s="3">
        <f ca="1">IFERROR(__xludf.DUMMYFUNCTION("""COMPUTED_VALUE"""),999)</f>
        <v>999</v>
      </c>
      <c r="C12638" s="7">
        <f ca="1">IFERROR(__xludf.DUMMYFUNCTION("""COMPUTED_VALUE"""),999)</f>
        <v>999</v>
      </c>
      <c r="D12638" s="8">
        <f ca="1">IFERROR(__xludf.DUMMYFUNCTION("""COMPUTED_VALUE"""),999)</f>
        <v>999</v>
      </c>
      <c r="E12638" s="2">
        <f ca="1">IFERROR(__xludf.DUMMYFUNCTION("""COMPUTED_VALUE"""),999)</f>
        <v>999</v>
      </c>
    </row>
    <row r="12639" spans="1:5" ht="13">
      <c r="A12639" s="8" t="str">
        <f ca="1">IFERROR(__xludf.DUMMYFUNCTION("""COMPUTED_VALUE"""),"Green. L.")</f>
        <v>Green. L.</v>
      </c>
      <c r="B12639" s="2">
        <f ca="1">IFERROR(__xludf.DUMMYFUNCTION("""COMPUTED_VALUE"""),999)</f>
        <v>999</v>
      </c>
      <c r="C12639" s="7">
        <f ca="1">IFERROR(__xludf.DUMMYFUNCTION("""COMPUTED_VALUE"""),999)</f>
        <v>999</v>
      </c>
      <c r="D12639" s="8">
        <f ca="1">IFERROR(__xludf.DUMMYFUNCTION("""COMPUTED_VALUE"""),999)</f>
        <v>999</v>
      </c>
      <c r="E12639" s="2">
        <f ca="1">IFERROR(__xludf.DUMMYFUNCTION("""COMPUTED_VALUE"""),999)</f>
        <v>999</v>
      </c>
    </row>
    <row r="12640" spans="1:5" ht="13">
      <c r="A12640" s="2" t="str">
        <f ca="1">IFERROR(__xludf.DUMMYFUNCTION("""COMPUTED_VALUE"""),"Greene (unknown)")</f>
        <v>Greene (unknown)</v>
      </c>
      <c r="B12640" s="2">
        <f ca="1">IFERROR(__xludf.DUMMYFUNCTION("""COMPUTED_VALUE"""),999)</f>
        <v>999</v>
      </c>
      <c r="C12640" s="2">
        <f ca="1">IFERROR(__xludf.DUMMYFUNCTION("""COMPUTED_VALUE"""),999)</f>
        <v>999</v>
      </c>
      <c r="D12640" s="8">
        <f ca="1">IFERROR(__xludf.DUMMYFUNCTION("""COMPUTED_VALUE"""),999)</f>
        <v>999</v>
      </c>
      <c r="E12640" s="2">
        <f ca="1">IFERROR(__xludf.DUMMYFUNCTION("""COMPUTED_VALUE"""),999)</f>
        <v>999</v>
      </c>
    </row>
    <row r="12641" spans="1:5" ht="13">
      <c r="A12641" s="8" t="str">
        <f ca="1">IFERROR(__xludf.DUMMYFUNCTION("""COMPUTED_VALUE"""),"Gregorian Chant")</f>
        <v>Gregorian Chant</v>
      </c>
      <c r="B12641" s="2">
        <f ca="1">IFERROR(__xludf.DUMMYFUNCTION("""COMPUTED_VALUE"""),999)</f>
        <v>999</v>
      </c>
      <c r="C12641" s="7">
        <f ca="1">IFERROR(__xludf.DUMMYFUNCTION("""COMPUTED_VALUE"""),999)</f>
        <v>999</v>
      </c>
      <c r="D12641" s="8">
        <f ca="1">IFERROR(__xludf.DUMMYFUNCTION("""COMPUTED_VALUE"""),999)</f>
        <v>999</v>
      </c>
      <c r="E12641" s="2">
        <f ca="1">IFERROR(__xludf.DUMMYFUNCTION("""COMPUTED_VALUE"""),999)</f>
        <v>999</v>
      </c>
    </row>
    <row r="12642" spans="1:5" ht="13">
      <c r="A12642" s="2" t="str">
        <f ca="1">IFERROR(__xludf.DUMMYFUNCTION("""COMPUTED_VALUE"""),"Grier (unknown)")</f>
        <v>Grier (unknown)</v>
      </c>
      <c r="B12642" s="2">
        <f ca="1">IFERROR(__xludf.DUMMYFUNCTION("""COMPUTED_VALUE"""),999)</f>
        <v>999</v>
      </c>
      <c r="C12642" s="2">
        <f ca="1">IFERROR(__xludf.DUMMYFUNCTION("""COMPUTED_VALUE"""),999)</f>
        <v>999</v>
      </c>
      <c r="D12642" s="8">
        <f ca="1">IFERROR(__xludf.DUMMYFUNCTION("""COMPUTED_VALUE"""),999)</f>
        <v>999</v>
      </c>
      <c r="E12642" s="2">
        <f ca="1">IFERROR(__xludf.DUMMYFUNCTION("""COMPUTED_VALUE"""),999)</f>
        <v>999</v>
      </c>
    </row>
    <row r="12643" spans="1:5" ht="13">
      <c r="A12643" s="2" t="str">
        <f ca="1">IFERROR(__xludf.DUMMYFUNCTION("""COMPUTED_VALUE"""),"Gronquist (unknown)")</f>
        <v>Gronquist (unknown)</v>
      </c>
      <c r="B12643" s="2">
        <f ca="1">IFERROR(__xludf.DUMMYFUNCTION("""COMPUTED_VALUE"""),999)</f>
        <v>999</v>
      </c>
      <c r="C12643" s="2">
        <f ca="1">IFERROR(__xludf.DUMMYFUNCTION("""COMPUTED_VALUE"""),999)</f>
        <v>999</v>
      </c>
      <c r="D12643" s="8">
        <f ca="1">IFERROR(__xludf.DUMMYFUNCTION("""COMPUTED_VALUE"""),999)</f>
        <v>999</v>
      </c>
      <c r="E12643" s="2">
        <f ca="1">IFERROR(__xludf.DUMMYFUNCTION("""COMPUTED_VALUE"""),999)</f>
        <v>999</v>
      </c>
    </row>
    <row r="12644" spans="1:5" ht="13">
      <c r="A12644" s="2" t="str">
        <f ca="1">IFERROR(__xludf.DUMMYFUNCTION("""COMPUTED_VALUE"""),"Hadler (unknown)")</f>
        <v>Hadler (unknown)</v>
      </c>
      <c r="B12644" s="3">
        <f ca="1">IFERROR(__xludf.DUMMYFUNCTION("""COMPUTED_VALUE"""),999)</f>
        <v>999</v>
      </c>
      <c r="C12644" s="7">
        <f ca="1">IFERROR(__xludf.DUMMYFUNCTION("""COMPUTED_VALUE"""),999)</f>
        <v>999</v>
      </c>
      <c r="D12644" s="8">
        <f ca="1">IFERROR(__xludf.DUMMYFUNCTION("""COMPUTED_VALUE"""),999)</f>
        <v>999</v>
      </c>
      <c r="E12644" s="2">
        <f ca="1">IFERROR(__xludf.DUMMYFUNCTION("""COMPUTED_VALUE"""),999)</f>
        <v>999</v>
      </c>
    </row>
    <row r="12645" spans="1:5" ht="13">
      <c r="A12645" s="2" t="str">
        <f ca="1">IFERROR(__xludf.DUMMYFUNCTION("""COMPUTED_VALUE"""),"Hall, S.")</f>
        <v>Hall, S.</v>
      </c>
      <c r="B12645" s="2">
        <f ca="1">IFERROR(__xludf.DUMMYFUNCTION("""COMPUTED_VALUE"""),999)</f>
        <v>999</v>
      </c>
      <c r="C12645" s="7">
        <f ca="1">IFERROR(__xludf.DUMMYFUNCTION("""COMPUTED_VALUE"""),999)</f>
        <v>999</v>
      </c>
      <c r="D12645" s="8">
        <f ca="1">IFERROR(__xludf.DUMMYFUNCTION("""COMPUTED_VALUE"""),999)</f>
        <v>999</v>
      </c>
      <c r="E12645" s="2">
        <f ca="1">IFERROR(__xludf.DUMMYFUNCTION("""COMPUTED_VALUE"""),999)</f>
        <v>999</v>
      </c>
    </row>
    <row r="12646" spans="1:5" ht="13">
      <c r="A12646" s="2" t="str">
        <f ca="1">IFERROR(__xludf.DUMMYFUNCTION("""COMPUTED_VALUE"""),"Harinson")</f>
        <v>Harinson</v>
      </c>
      <c r="B12646" s="2">
        <f ca="1">IFERROR(__xludf.DUMMYFUNCTION("""COMPUTED_VALUE"""),999)</f>
        <v>999</v>
      </c>
      <c r="C12646" s="7">
        <f ca="1">IFERROR(__xludf.DUMMYFUNCTION("""COMPUTED_VALUE"""),999)</f>
        <v>999</v>
      </c>
      <c r="D12646" s="8">
        <f ca="1">IFERROR(__xludf.DUMMYFUNCTION("""COMPUTED_VALUE"""),999)</f>
        <v>999</v>
      </c>
      <c r="E12646" s="2">
        <f ca="1">IFERROR(__xludf.DUMMYFUNCTION("""COMPUTED_VALUE"""),999)</f>
        <v>999</v>
      </c>
    </row>
    <row r="12647" spans="1:5" ht="13">
      <c r="A12647" s="8" t="str">
        <f ca="1">IFERROR(__xludf.DUMMYFUNCTION("""COMPUTED_VALUE"""),"Harris (unknown)")</f>
        <v>Harris (unknown)</v>
      </c>
      <c r="B12647" s="2">
        <f ca="1">IFERROR(__xludf.DUMMYFUNCTION("""COMPUTED_VALUE"""),999)</f>
        <v>999</v>
      </c>
      <c r="C12647" s="7">
        <f ca="1">IFERROR(__xludf.DUMMYFUNCTION("""COMPUTED_VALUE"""),999)</f>
        <v>999</v>
      </c>
      <c r="D12647" s="8">
        <f ca="1">IFERROR(__xludf.DUMMYFUNCTION("""COMPUTED_VALUE"""),999)</f>
        <v>999</v>
      </c>
      <c r="E12647" s="2">
        <f ca="1">IFERROR(__xludf.DUMMYFUNCTION("""COMPUTED_VALUE"""),999)</f>
        <v>999</v>
      </c>
    </row>
    <row r="12648" spans="1:5" ht="13">
      <c r="A12648" s="2" t="str">
        <f ca="1">IFERROR(__xludf.DUMMYFUNCTION("""COMPUTED_VALUE"""),"Hartham (unknown)")</f>
        <v>Hartham (unknown)</v>
      </c>
      <c r="B12648" s="2">
        <f ca="1">IFERROR(__xludf.DUMMYFUNCTION("""COMPUTED_VALUE"""),999)</f>
        <v>999</v>
      </c>
      <c r="C12648" s="2">
        <f ca="1">IFERROR(__xludf.DUMMYFUNCTION("""COMPUTED_VALUE"""),999)</f>
        <v>999</v>
      </c>
      <c r="D12648" s="8">
        <f ca="1">IFERROR(__xludf.DUMMYFUNCTION("""COMPUTED_VALUE"""),999)</f>
        <v>999</v>
      </c>
      <c r="E12648" s="2">
        <f ca="1">IFERROR(__xludf.DUMMYFUNCTION("""COMPUTED_VALUE"""),999)</f>
        <v>999</v>
      </c>
    </row>
    <row r="12649" spans="1:5" ht="13">
      <c r="A12649" s="2" t="str">
        <f ca="1">IFERROR(__xludf.DUMMYFUNCTION("""COMPUTED_VALUE"""),"Harvey (unknown)")</f>
        <v>Harvey (unknown)</v>
      </c>
      <c r="B12649" s="3">
        <f ca="1">IFERROR(__xludf.DUMMYFUNCTION("""COMPUTED_VALUE"""),999)</f>
        <v>999</v>
      </c>
      <c r="C12649" s="7">
        <f ca="1">IFERROR(__xludf.DUMMYFUNCTION("""COMPUTED_VALUE"""),999)</f>
        <v>999</v>
      </c>
      <c r="D12649" s="8">
        <f ca="1">IFERROR(__xludf.DUMMYFUNCTION("""COMPUTED_VALUE"""),999)</f>
        <v>999</v>
      </c>
      <c r="E12649" s="2">
        <f ca="1">IFERROR(__xludf.DUMMYFUNCTION("""COMPUTED_VALUE"""),999)</f>
        <v>999</v>
      </c>
    </row>
    <row r="12650" spans="1:5" ht="13">
      <c r="A12650" s="2" t="str">
        <f ca="1">IFERROR(__xludf.DUMMYFUNCTION("""COMPUTED_VALUE"""),"Hassidic Song")</f>
        <v>Hassidic Song</v>
      </c>
      <c r="B12650" s="2">
        <f ca="1">IFERROR(__xludf.DUMMYFUNCTION("""COMPUTED_VALUE"""),999)</f>
        <v>999</v>
      </c>
      <c r="C12650" s="7">
        <f ca="1">IFERROR(__xludf.DUMMYFUNCTION("""COMPUTED_VALUE"""),999)</f>
        <v>999</v>
      </c>
      <c r="D12650" s="8">
        <f ca="1">IFERROR(__xludf.DUMMYFUNCTION("""COMPUTED_VALUE"""),999)</f>
        <v>999</v>
      </c>
      <c r="E12650" s="2">
        <f ca="1">IFERROR(__xludf.DUMMYFUNCTION("""COMPUTED_VALUE"""),999)</f>
        <v>999</v>
      </c>
    </row>
    <row r="12651" spans="1:5" ht="13">
      <c r="A12651" s="2" t="str">
        <f ca="1">IFERROR(__xludf.DUMMYFUNCTION("""COMPUTED_VALUE"""),"Hawlin, Jan")</f>
        <v>Hawlin, Jan</v>
      </c>
      <c r="B12651" s="2">
        <f ca="1">IFERROR(__xludf.DUMMYFUNCTION("""COMPUTED_VALUE"""),999)</f>
        <v>999</v>
      </c>
      <c r="C12651" s="2">
        <f ca="1">IFERROR(__xludf.DUMMYFUNCTION("""COMPUTED_VALUE"""),999)</f>
        <v>999</v>
      </c>
      <c r="D12651" s="8">
        <f ca="1">IFERROR(__xludf.DUMMYFUNCTION("""COMPUTED_VALUE"""),999)</f>
        <v>999</v>
      </c>
      <c r="E12651" s="2">
        <f ca="1">IFERROR(__xludf.DUMMYFUNCTION("""COMPUTED_VALUE"""),999)</f>
        <v>999</v>
      </c>
    </row>
    <row r="12652" spans="1:5" ht="13">
      <c r="A12652" s="2" t="str">
        <f ca="1">IFERROR(__xludf.DUMMYFUNCTION("""COMPUTED_VALUE"""),"Haworth")</f>
        <v>Haworth</v>
      </c>
      <c r="B12652" s="3">
        <f ca="1">IFERROR(__xludf.DUMMYFUNCTION("""COMPUTED_VALUE"""),999)</f>
        <v>999</v>
      </c>
      <c r="C12652" s="7">
        <f ca="1">IFERROR(__xludf.DUMMYFUNCTION("""COMPUTED_VALUE"""),999)</f>
        <v>999</v>
      </c>
      <c r="D12652" s="8">
        <f ca="1">IFERROR(__xludf.DUMMYFUNCTION("""COMPUTED_VALUE"""),999)</f>
        <v>999</v>
      </c>
      <c r="E12652" s="2">
        <f ca="1">IFERROR(__xludf.DUMMYFUNCTION("""COMPUTED_VALUE"""),999)</f>
        <v>999</v>
      </c>
    </row>
    <row r="12653" spans="1:5" ht="13">
      <c r="A12653" s="2" t="str">
        <f ca="1">IFERROR(__xludf.DUMMYFUNCTION("""COMPUTED_VALUE"""),"Hayward (unknown)")</f>
        <v>Hayward (unknown)</v>
      </c>
      <c r="B12653" s="3">
        <f ca="1">IFERROR(__xludf.DUMMYFUNCTION("""COMPUTED_VALUE"""),999)</f>
        <v>999</v>
      </c>
      <c r="C12653" s="7">
        <f ca="1">IFERROR(__xludf.DUMMYFUNCTION("""COMPUTED_VALUE"""),999)</f>
        <v>999</v>
      </c>
      <c r="D12653" s="8">
        <f ca="1">IFERROR(__xludf.DUMMYFUNCTION("""COMPUTED_VALUE"""),999)</f>
        <v>999</v>
      </c>
      <c r="E12653" s="2">
        <f ca="1">IFERROR(__xludf.DUMMYFUNCTION("""COMPUTED_VALUE"""),999)</f>
        <v>999</v>
      </c>
    </row>
    <row r="12654" spans="1:5" ht="13">
      <c r="A12654" s="2" t="str">
        <f ca="1">IFERROR(__xludf.DUMMYFUNCTION("""COMPUTED_VALUE"""),"Heard (unknown)")</f>
        <v>Heard (unknown)</v>
      </c>
      <c r="B12654" s="3">
        <f ca="1">IFERROR(__xludf.DUMMYFUNCTION("""COMPUTED_VALUE"""),999)</f>
        <v>999</v>
      </c>
      <c r="C12654" s="7">
        <f ca="1">IFERROR(__xludf.DUMMYFUNCTION("""COMPUTED_VALUE"""),999)</f>
        <v>999</v>
      </c>
      <c r="D12654" s="8">
        <f ca="1">IFERROR(__xludf.DUMMYFUNCTION("""COMPUTED_VALUE"""),999)</f>
        <v>999</v>
      </c>
      <c r="E12654" s="2">
        <f ca="1">IFERROR(__xludf.DUMMYFUNCTION("""COMPUTED_VALUE"""),999)</f>
        <v>999</v>
      </c>
    </row>
    <row r="12655" spans="1:5" ht="13">
      <c r="A12655" s="8" t="str">
        <f ca="1">IFERROR(__xludf.DUMMYFUNCTION("""COMPUTED_VALUE"""),"Heggie, Jake / Higdon, Jennifer / Meyer, Edgar / Montgomery, Jessie / Puts, Kevin")</f>
        <v>Heggie, Jake / Higdon, Jennifer / Meyer, Edgar / Montgomery, Jessie / Puts, Kevin</v>
      </c>
      <c r="B12655" s="3">
        <f ca="1">IFERROR(__xludf.DUMMYFUNCTION("""COMPUTED_VALUE"""),999)</f>
        <v>999</v>
      </c>
      <c r="C12655" s="7">
        <f ca="1">IFERROR(__xludf.DUMMYFUNCTION("""COMPUTED_VALUE"""),999)</f>
        <v>999</v>
      </c>
      <c r="D12655" s="8">
        <f ca="1">IFERROR(__xludf.DUMMYFUNCTION("""COMPUTED_VALUE"""),999)</f>
        <v>999</v>
      </c>
      <c r="E12655" s="2">
        <f ca="1">IFERROR(__xludf.DUMMYFUNCTION("""COMPUTED_VALUE"""),999)</f>
        <v>999</v>
      </c>
    </row>
    <row r="12656" spans="1:5" ht="13">
      <c r="A12656" s="2" t="str">
        <f ca="1">IFERROR(__xludf.DUMMYFUNCTION("""COMPUTED_VALUE"""),"Heiberg (unknown)")</f>
        <v>Heiberg (unknown)</v>
      </c>
      <c r="B12656" s="2">
        <f ca="1">IFERROR(__xludf.DUMMYFUNCTION("""COMPUTED_VALUE"""),999)</f>
        <v>999</v>
      </c>
      <c r="C12656" s="2">
        <f ca="1">IFERROR(__xludf.DUMMYFUNCTION("""COMPUTED_VALUE"""),999)</f>
        <v>999</v>
      </c>
      <c r="D12656" s="8">
        <f ca="1">IFERROR(__xludf.DUMMYFUNCTION("""COMPUTED_VALUE"""),999)</f>
        <v>999</v>
      </c>
      <c r="E12656" s="2">
        <f ca="1">IFERROR(__xludf.DUMMYFUNCTION("""COMPUTED_VALUE"""),999)</f>
        <v>999</v>
      </c>
    </row>
    <row r="12657" spans="1:5" ht="13">
      <c r="A12657" s="2" t="str">
        <f ca="1">IFERROR(__xludf.DUMMYFUNCTION("""COMPUTED_VALUE"""),"Heilberg (unknown)")</f>
        <v>Heilberg (unknown)</v>
      </c>
      <c r="B12657" s="2">
        <f ca="1">IFERROR(__xludf.DUMMYFUNCTION("""COMPUTED_VALUE"""),999)</f>
        <v>999</v>
      </c>
      <c r="C12657" s="2">
        <f ca="1">IFERROR(__xludf.DUMMYFUNCTION("""COMPUTED_VALUE"""),999)</f>
        <v>999</v>
      </c>
      <c r="D12657" s="8">
        <f ca="1">IFERROR(__xludf.DUMMYFUNCTION("""COMPUTED_VALUE"""),999)</f>
        <v>999</v>
      </c>
      <c r="E12657" s="2">
        <f ca="1">IFERROR(__xludf.DUMMYFUNCTION("""COMPUTED_VALUE"""),999)</f>
        <v>999</v>
      </c>
    </row>
    <row r="12658" spans="1:5" ht="13">
      <c r="A12658" s="8" t="str">
        <f ca="1">IFERROR(__xludf.DUMMYFUNCTION("""COMPUTED_VALUE"""),"Hess, E.")</f>
        <v>Hess, E.</v>
      </c>
      <c r="B12658" s="2">
        <f ca="1">IFERROR(__xludf.DUMMYFUNCTION("""COMPUTED_VALUE"""),999)</f>
        <v>999</v>
      </c>
      <c r="C12658" s="7">
        <f ca="1">IFERROR(__xludf.DUMMYFUNCTION("""COMPUTED_VALUE"""),999)</f>
        <v>999</v>
      </c>
      <c r="D12658" s="8">
        <f ca="1">IFERROR(__xludf.DUMMYFUNCTION("""COMPUTED_VALUE"""),999)</f>
        <v>999</v>
      </c>
      <c r="E12658" s="2">
        <f ca="1">IFERROR(__xludf.DUMMYFUNCTION("""COMPUTED_VALUE"""),999)</f>
        <v>999</v>
      </c>
    </row>
    <row r="12659" spans="1:5" ht="13">
      <c r="A12659" s="8" t="str">
        <f ca="1">IFERROR(__xludf.DUMMYFUNCTION("""COMPUTED_VALUE"""),"Hewitt-Jones")</f>
        <v>Hewitt-Jones</v>
      </c>
      <c r="B12659" s="2">
        <f ca="1">IFERROR(__xludf.DUMMYFUNCTION("""COMPUTED_VALUE"""),999)</f>
        <v>999</v>
      </c>
      <c r="C12659" s="7">
        <f ca="1">IFERROR(__xludf.DUMMYFUNCTION("""COMPUTED_VALUE"""),999)</f>
        <v>999</v>
      </c>
      <c r="D12659" s="8">
        <f ca="1">IFERROR(__xludf.DUMMYFUNCTION("""COMPUTED_VALUE"""),999)</f>
        <v>999</v>
      </c>
      <c r="E12659" s="2">
        <f ca="1">IFERROR(__xludf.DUMMYFUNCTION("""COMPUTED_VALUE"""),999)</f>
        <v>999</v>
      </c>
    </row>
    <row r="12660" spans="1:5" ht="13">
      <c r="A12660" s="8" t="str">
        <f ca="1">IFERROR(__xludf.DUMMYFUNCTION("""COMPUTED_VALUE"""),"Hill, G.")</f>
        <v>Hill, G.</v>
      </c>
      <c r="B12660" s="2">
        <f ca="1">IFERROR(__xludf.DUMMYFUNCTION("""COMPUTED_VALUE"""),999)</f>
        <v>999</v>
      </c>
      <c r="C12660" s="7">
        <f ca="1">IFERROR(__xludf.DUMMYFUNCTION("""COMPUTED_VALUE"""),999)</f>
        <v>999</v>
      </c>
      <c r="D12660" s="8">
        <f ca="1">IFERROR(__xludf.DUMMYFUNCTION("""COMPUTED_VALUE"""),999)</f>
        <v>999</v>
      </c>
      <c r="E12660" s="2">
        <f ca="1">IFERROR(__xludf.DUMMYFUNCTION("""COMPUTED_VALUE"""),999)</f>
        <v>999</v>
      </c>
    </row>
    <row r="12661" spans="1:5" ht="13">
      <c r="A12661" s="2" t="str">
        <f ca="1">IFERROR(__xludf.DUMMYFUNCTION("""COMPUTED_VALUE"""),"Hoagland, B. (unknown)")</f>
        <v>Hoagland, B. (unknown)</v>
      </c>
      <c r="B12661" s="2">
        <f ca="1">IFERROR(__xludf.DUMMYFUNCTION("""COMPUTED_VALUE"""),999)</f>
        <v>999</v>
      </c>
      <c r="C12661" s="2">
        <f ca="1">IFERROR(__xludf.DUMMYFUNCTION("""COMPUTED_VALUE"""),999)</f>
        <v>999</v>
      </c>
      <c r="D12661" s="8">
        <f ca="1">IFERROR(__xludf.DUMMYFUNCTION("""COMPUTED_VALUE"""),999)</f>
        <v>999</v>
      </c>
      <c r="E12661" s="2">
        <f ca="1">IFERROR(__xludf.DUMMYFUNCTION("""COMPUTED_VALUE"""),999)</f>
        <v>999</v>
      </c>
    </row>
    <row r="12662" spans="1:5" ht="13">
      <c r="A12662" s="2" t="str">
        <f ca="1">IFERROR(__xludf.DUMMYFUNCTION("""COMPUTED_VALUE"""),"Holle, K.")</f>
        <v>Holle, K.</v>
      </c>
      <c r="B12662" s="2">
        <f ca="1">IFERROR(__xludf.DUMMYFUNCTION("""COMPUTED_VALUE"""),999)</f>
        <v>999</v>
      </c>
      <c r="C12662" s="7">
        <f ca="1">IFERROR(__xludf.DUMMYFUNCTION("""COMPUTED_VALUE"""),999)</f>
        <v>999</v>
      </c>
      <c r="D12662" s="8">
        <f ca="1">IFERROR(__xludf.DUMMYFUNCTION("""COMPUTED_VALUE"""),999)</f>
        <v>999</v>
      </c>
      <c r="E12662" s="2">
        <f ca="1">IFERROR(__xludf.DUMMYFUNCTION("""COMPUTED_VALUE"""),999)</f>
        <v>999</v>
      </c>
    </row>
    <row r="12663" spans="1:5" ht="13">
      <c r="A12663" s="2" t="str">
        <f ca="1">IFERROR(__xludf.DUMMYFUNCTION("""COMPUTED_VALUE"""),"Homier (unknown)")</f>
        <v>Homier (unknown)</v>
      </c>
      <c r="B12663" s="2">
        <f ca="1">IFERROR(__xludf.DUMMYFUNCTION("""COMPUTED_VALUE"""),999)</f>
        <v>999</v>
      </c>
      <c r="C12663" s="2">
        <f ca="1">IFERROR(__xludf.DUMMYFUNCTION("""COMPUTED_VALUE"""),999)</f>
        <v>999</v>
      </c>
      <c r="D12663" s="8">
        <f ca="1">IFERROR(__xludf.DUMMYFUNCTION("""COMPUTED_VALUE"""),999)</f>
        <v>999</v>
      </c>
      <c r="E12663" s="2">
        <f ca="1">IFERROR(__xludf.DUMMYFUNCTION("""COMPUTED_VALUE"""),999)</f>
        <v>999</v>
      </c>
    </row>
    <row r="12664" spans="1:5" ht="13">
      <c r="A12664" s="8" t="str">
        <f ca="1">IFERROR(__xludf.DUMMYFUNCTION("""COMPUTED_VALUE"""),"Howard (unknown)")</f>
        <v>Howard (unknown)</v>
      </c>
      <c r="B12664" s="2">
        <f ca="1">IFERROR(__xludf.DUMMYFUNCTION("""COMPUTED_VALUE"""),999)</f>
        <v>999</v>
      </c>
      <c r="C12664" s="7">
        <f ca="1">IFERROR(__xludf.DUMMYFUNCTION("""COMPUTED_VALUE"""),999)</f>
        <v>999</v>
      </c>
      <c r="D12664" s="8">
        <f ca="1">IFERROR(__xludf.DUMMYFUNCTION("""COMPUTED_VALUE"""),999)</f>
        <v>999</v>
      </c>
      <c r="E12664" s="2">
        <f ca="1">IFERROR(__xludf.DUMMYFUNCTION("""COMPUTED_VALUE"""),999)</f>
        <v>999</v>
      </c>
    </row>
    <row r="12665" spans="1:5" ht="13">
      <c r="A12665" s="2" t="str">
        <f ca="1">IFERROR(__xludf.DUMMYFUNCTION("""COMPUTED_VALUE"""),"Howard, G.")</f>
        <v>Howard, G.</v>
      </c>
      <c r="B12665" s="2">
        <f ca="1">IFERROR(__xludf.DUMMYFUNCTION("""COMPUTED_VALUE"""),999)</f>
        <v>999</v>
      </c>
      <c r="C12665" s="7">
        <f ca="1">IFERROR(__xludf.DUMMYFUNCTION("""COMPUTED_VALUE"""),999)</f>
        <v>999</v>
      </c>
      <c r="D12665" s="8">
        <f ca="1">IFERROR(__xludf.DUMMYFUNCTION("""COMPUTED_VALUE"""),999)</f>
        <v>999</v>
      </c>
      <c r="E12665" s="2">
        <f ca="1">IFERROR(__xludf.DUMMYFUNCTION("""COMPUTED_VALUE"""),999)</f>
        <v>999</v>
      </c>
    </row>
    <row r="12666" spans="1:5" ht="13">
      <c r="A12666" s="2" t="str">
        <f ca="1">IFERROR(__xludf.DUMMYFUNCTION("""COMPUTED_VALUE"""),"Hsu, Connor")</f>
        <v>Hsu, Connor</v>
      </c>
      <c r="B12666" s="2">
        <f ca="1">IFERROR(__xludf.DUMMYFUNCTION("""COMPUTED_VALUE"""),999)</f>
        <v>999</v>
      </c>
      <c r="C12666" s="2">
        <f ca="1">IFERROR(__xludf.DUMMYFUNCTION("""COMPUTED_VALUE"""),999)</f>
        <v>999</v>
      </c>
      <c r="D12666" s="8">
        <f ca="1">IFERROR(__xludf.DUMMYFUNCTION("""COMPUTED_VALUE"""),999)</f>
        <v>999</v>
      </c>
      <c r="E12666" s="2">
        <f ca="1">IFERROR(__xludf.DUMMYFUNCTION("""COMPUTED_VALUE"""),999)</f>
        <v>999</v>
      </c>
    </row>
    <row r="12667" spans="1:5" ht="13">
      <c r="A12667" s="8" t="str">
        <f ca="1">IFERROR(__xludf.DUMMYFUNCTION("""COMPUTED_VALUE"""),"Hunt (unknown)")</f>
        <v>Hunt (unknown)</v>
      </c>
      <c r="B12667" s="2">
        <f ca="1">IFERROR(__xludf.DUMMYFUNCTION("""COMPUTED_VALUE"""),999)</f>
        <v>999</v>
      </c>
      <c r="C12667" s="7">
        <f ca="1">IFERROR(__xludf.DUMMYFUNCTION("""COMPUTED_VALUE"""),999)</f>
        <v>999</v>
      </c>
      <c r="D12667" s="8">
        <f ca="1">IFERROR(__xludf.DUMMYFUNCTION("""COMPUTED_VALUE"""),999)</f>
        <v>999</v>
      </c>
      <c r="E12667" s="2">
        <f ca="1">IFERROR(__xludf.DUMMYFUNCTION("""COMPUTED_VALUE"""),999)</f>
        <v>999</v>
      </c>
    </row>
    <row r="12668" spans="1:5" ht="13">
      <c r="A12668" s="2" t="str">
        <f ca="1">IFERROR(__xludf.DUMMYFUNCTION("""COMPUTED_VALUE"""),"Hunter, Ralph / Parker, Alice / Shaw, Robert")</f>
        <v>Hunter, Ralph / Parker, Alice / Shaw, Robert</v>
      </c>
      <c r="B12668" s="3">
        <f ca="1">IFERROR(__xludf.DUMMYFUNCTION("""COMPUTED_VALUE"""),999)</f>
        <v>999</v>
      </c>
      <c r="C12668" s="7">
        <f ca="1">IFERROR(__xludf.DUMMYFUNCTION("""COMPUTED_VALUE"""),999)</f>
        <v>999</v>
      </c>
      <c r="D12668" s="8">
        <f ca="1">IFERROR(__xludf.DUMMYFUNCTION("""COMPUTED_VALUE"""),999)</f>
        <v>999</v>
      </c>
      <c r="E12668" s="2">
        <f ca="1">IFERROR(__xludf.DUMMYFUNCTION("""COMPUTED_VALUE"""),999)</f>
        <v>999</v>
      </c>
    </row>
    <row r="12669" spans="1:5" ht="13">
      <c r="A12669" s="8" t="str">
        <f ca="1">IFERROR(__xludf.DUMMYFUNCTION("""COMPUTED_VALUE"""),"Huse (unknown)")</f>
        <v>Huse (unknown)</v>
      </c>
      <c r="B12669" s="2">
        <f ca="1">IFERROR(__xludf.DUMMYFUNCTION("""COMPUTED_VALUE"""),999)</f>
        <v>999</v>
      </c>
      <c r="C12669" s="7">
        <f ca="1">IFERROR(__xludf.DUMMYFUNCTION("""COMPUTED_VALUE"""),999)</f>
        <v>999</v>
      </c>
      <c r="D12669" s="8">
        <f ca="1">IFERROR(__xludf.DUMMYFUNCTION("""COMPUTED_VALUE"""),999)</f>
        <v>999</v>
      </c>
      <c r="E12669" s="2">
        <f ca="1">IFERROR(__xludf.DUMMYFUNCTION("""COMPUTED_VALUE"""),999)</f>
        <v>999</v>
      </c>
    </row>
    <row r="12670" spans="1:5" ht="13">
      <c r="A12670" s="8" t="str">
        <f ca="1">IFERROR(__xludf.DUMMYFUNCTION("""COMPUTED_VALUE"""),"Hutton (unknown)")</f>
        <v>Hutton (unknown)</v>
      </c>
      <c r="B12670" s="2">
        <f ca="1">IFERROR(__xludf.DUMMYFUNCTION("""COMPUTED_VALUE"""),999)</f>
        <v>999</v>
      </c>
      <c r="C12670" s="7">
        <f ca="1">IFERROR(__xludf.DUMMYFUNCTION("""COMPUTED_VALUE"""),999)</f>
        <v>999</v>
      </c>
      <c r="D12670" s="8">
        <f ca="1">IFERROR(__xludf.DUMMYFUNCTION("""COMPUTED_VALUE"""),999)</f>
        <v>999</v>
      </c>
      <c r="E12670" s="2">
        <f ca="1">IFERROR(__xludf.DUMMYFUNCTION("""COMPUTED_VALUE"""),999)</f>
        <v>999</v>
      </c>
    </row>
    <row r="12671" spans="1:5" ht="13">
      <c r="A12671" s="2" t="str">
        <f ca="1">IFERROR(__xludf.DUMMYFUNCTION("""COMPUTED_VALUE"""),"Hyken/Lebos/Lopez/Matthews")</f>
        <v>Hyken/Lebos/Lopez/Matthews</v>
      </c>
      <c r="B12671" s="2">
        <f ca="1">IFERROR(__xludf.DUMMYFUNCTION("""COMPUTED_VALUE"""),999)</f>
        <v>999</v>
      </c>
      <c r="C12671" s="2">
        <f ca="1">IFERROR(__xludf.DUMMYFUNCTION("""COMPUTED_VALUE"""),999)</f>
        <v>999</v>
      </c>
      <c r="D12671" s="8">
        <f ca="1">IFERROR(__xludf.DUMMYFUNCTION("""COMPUTED_VALUE"""),999)</f>
        <v>999</v>
      </c>
      <c r="E12671" s="2">
        <f ca="1">IFERROR(__xludf.DUMMYFUNCTION("""COMPUTED_VALUE"""),999)</f>
        <v>999</v>
      </c>
    </row>
    <row r="12672" spans="1:5" ht="13">
      <c r="A12672" s="2" t="str">
        <f ca="1">IFERROR(__xludf.DUMMYFUNCTION("""COMPUTED_VALUE"""),"Hymel")</f>
        <v>Hymel</v>
      </c>
      <c r="B12672" s="2">
        <f ca="1">IFERROR(__xludf.DUMMYFUNCTION("""COMPUTED_VALUE"""),999)</f>
        <v>999</v>
      </c>
      <c r="C12672" s="7">
        <f ca="1">IFERROR(__xludf.DUMMYFUNCTION("""COMPUTED_VALUE"""),999)</f>
        <v>999</v>
      </c>
      <c r="D12672" s="8">
        <f ca="1">IFERROR(__xludf.DUMMYFUNCTION("""COMPUTED_VALUE"""),999)</f>
        <v>999</v>
      </c>
      <c r="E12672" s="2">
        <f ca="1">IFERROR(__xludf.DUMMYFUNCTION("""COMPUTED_VALUE"""),999)</f>
        <v>999</v>
      </c>
    </row>
    <row r="12673" spans="1:5" ht="13">
      <c r="A12673" s="8" t="str">
        <f ca="1">IFERROR(__xludf.DUMMYFUNCTION("""COMPUTED_VALUE"""),"Ilg (unknown)")</f>
        <v>Ilg (unknown)</v>
      </c>
      <c r="B12673" s="2">
        <f ca="1">IFERROR(__xludf.DUMMYFUNCTION("""COMPUTED_VALUE"""),999)</f>
        <v>999</v>
      </c>
      <c r="C12673" s="7">
        <f ca="1">IFERROR(__xludf.DUMMYFUNCTION("""COMPUTED_VALUE"""),999)</f>
        <v>999</v>
      </c>
      <c r="D12673" s="8">
        <f ca="1">IFERROR(__xludf.DUMMYFUNCTION("""COMPUTED_VALUE"""),999)</f>
        <v>999</v>
      </c>
      <c r="E12673" s="2">
        <f ca="1">IFERROR(__xludf.DUMMYFUNCTION("""COMPUTED_VALUE"""),999)</f>
        <v>999</v>
      </c>
    </row>
    <row r="12674" spans="1:5" ht="13">
      <c r="A12674" s="8" t="str">
        <f ca="1">IFERROR(__xludf.DUMMYFUNCTION("""COMPUTED_VALUE"""),"Indian Raga")</f>
        <v>Indian Raga</v>
      </c>
      <c r="B12674" s="2">
        <f ca="1">IFERROR(__xludf.DUMMYFUNCTION("""COMPUTED_VALUE"""),999)</f>
        <v>999</v>
      </c>
      <c r="C12674" s="7">
        <f ca="1">IFERROR(__xludf.DUMMYFUNCTION("""COMPUTED_VALUE"""),999)</f>
        <v>999</v>
      </c>
      <c r="D12674" s="8">
        <f ca="1">IFERROR(__xludf.DUMMYFUNCTION("""COMPUTED_VALUE"""),999)</f>
        <v>999</v>
      </c>
      <c r="E12674" s="2">
        <f ca="1">IFERROR(__xludf.DUMMYFUNCTION("""COMPUTED_VALUE"""),999)</f>
        <v>999</v>
      </c>
    </row>
    <row r="12675" spans="1:5" ht="13">
      <c r="A12675" s="2" t="str">
        <f ca="1">IFERROR(__xludf.DUMMYFUNCTION("""COMPUTED_VALUE"""),"Irish Ballad")</f>
        <v>Irish Ballad</v>
      </c>
      <c r="B12675" s="3">
        <f ca="1">IFERROR(__xludf.DUMMYFUNCTION("""COMPUTED_VALUE"""),999)</f>
        <v>999</v>
      </c>
      <c r="C12675" s="7">
        <f ca="1">IFERROR(__xludf.DUMMYFUNCTION("""COMPUTED_VALUE"""),999)</f>
        <v>999</v>
      </c>
      <c r="D12675" s="8">
        <f ca="1">IFERROR(__xludf.DUMMYFUNCTION("""COMPUTED_VALUE"""),999)</f>
        <v>999</v>
      </c>
      <c r="E12675" s="2">
        <f ca="1">IFERROR(__xludf.DUMMYFUNCTION("""COMPUTED_VALUE"""),999)</f>
        <v>999</v>
      </c>
    </row>
    <row r="12676" spans="1:5" ht="13">
      <c r="A12676" s="8" t="str">
        <f ca="1">IFERROR(__xludf.DUMMYFUNCTION("""COMPUTED_VALUE"""),"Israeli Dance")</f>
        <v>Israeli Dance</v>
      </c>
      <c r="B12676" s="2">
        <f ca="1">IFERROR(__xludf.DUMMYFUNCTION("""COMPUTED_VALUE"""),999)</f>
        <v>999</v>
      </c>
      <c r="C12676" s="7">
        <f ca="1">IFERROR(__xludf.DUMMYFUNCTION("""COMPUTED_VALUE"""),999)</f>
        <v>999</v>
      </c>
      <c r="D12676" s="8">
        <f ca="1">IFERROR(__xludf.DUMMYFUNCTION("""COMPUTED_VALUE"""),999)</f>
        <v>999</v>
      </c>
      <c r="E12676" s="2">
        <f ca="1">IFERROR(__xludf.DUMMYFUNCTION("""COMPUTED_VALUE"""),999)</f>
        <v>999</v>
      </c>
    </row>
    <row r="12677" spans="1:5" ht="13">
      <c r="A12677" s="2" t="str">
        <f ca="1">IFERROR(__xludf.DUMMYFUNCTION("""COMPUTED_VALUE"""),"Jackson (unknown)")</f>
        <v>Jackson (unknown)</v>
      </c>
      <c r="B12677" s="3">
        <f ca="1">IFERROR(__xludf.DUMMYFUNCTION("""COMPUTED_VALUE"""),999)</f>
        <v>999</v>
      </c>
      <c r="C12677" s="7">
        <f ca="1">IFERROR(__xludf.DUMMYFUNCTION("""COMPUTED_VALUE"""),999)</f>
        <v>999</v>
      </c>
      <c r="D12677" s="8">
        <f ca="1">IFERROR(__xludf.DUMMYFUNCTION("""COMPUTED_VALUE"""),999)</f>
        <v>999</v>
      </c>
      <c r="E12677" s="2">
        <f ca="1">IFERROR(__xludf.DUMMYFUNCTION("""COMPUTED_VALUE"""),999)</f>
        <v>999</v>
      </c>
    </row>
    <row r="12678" spans="1:5" ht="13">
      <c r="A12678" s="2" t="str">
        <f ca="1">IFERROR(__xludf.DUMMYFUNCTION("""COMPUTED_VALUE"""),"Jacobs, Al / Raye, Don")</f>
        <v>Jacobs, Al / Raye, Don</v>
      </c>
      <c r="B12678" s="3">
        <f ca="1">IFERROR(__xludf.DUMMYFUNCTION("""COMPUTED_VALUE"""),999)</f>
        <v>999</v>
      </c>
      <c r="C12678" s="7">
        <f ca="1">IFERROR(__xludf.DUMMYFUNCTION("""COMPUTED_VALUE"""),999)</f>
        <v>999</v>
      </c>
      <c r="D12678" s="8">
        <f ca="1">IFERROR(__xludf.DUMMYFUNCTION("""COMPUTED_VALUE"""),999)</f>
        <v>999</v>
      </c>
      <c r="E12678" s="2">
        <f ca="1">IFERROR(__xludf.DUMMYFUNCTION("""COMPUTED_VALUE"""),999)</f>
        <v>999</v>
      </c>
    </row>
    <row r="12679" spans="1:5" ht="13">
      <c r="A12679" s="8" t="str">
        <f ca="1">IFERROR(__xludf.DUMMYFUNCTION("""COMPUTED_VALUE"""),"Jagoe, K.")</f>
        <v>Jagoe, K.</v>
      </c>
      <c r="B12679" s="2">
        <f ca="1">IFERROR(__xludf.DUMMYFUNCTION("""COMPUTED_VALUE"""),999)</f>
        <v>999</v>
      </c>
      <c r="C12679" s="7">
        <f ca="1">IFERROR(__xludf.DUMMYFUNCTION("""COMPUTED_VALUE"""),999)</f>
        <v>999</v>
      </c>
      <c r="D12679" s="8">
        <f ca="1">IFERROR(__xludf.DUMMYFUNCTION("""COMPUTED_VALUE"""),999)</f>
        <v>999</v>
      </c>
      <c r="E12679" s="2">
        <f ca="1">IFERROR(__xludf.DUMMYFUNCTION("""COMPUTED_VALUE"""),999)</f>
        <v>999</v>
      </c>
    </row>
    <row r="12680" spans="1:5" ht="13">
      <c r="A12680" s="2" t="str">
        <f ca="1">IFERROR(__xludf.DUMMYFUNCTION("""COMPUTED_VALUE"""),"James, Mark C. / Bernal, Vincente J.")</f>
        <v>James, Mark C. / Bernal, Vincente J.</v>
      </c>
      <c r="B12680" s="3">
        <f ca="1">IFERROR(__xludf.DUMMYFUNCTION("""COMPUTED_VALUE"""),999)</f>
        <v>999</v>
      </c>
      <c r="C12680" s="7">
        <f ca="1">IFERROR(__xludf.DUMMYFUNCTION("""COMPUTED_VALUE"""),999)</f>
        <v>999</v>
      </c>
      <c r="D12680" s="8">
        <f ca="1">IFERROR(__xludf.DUMMYFUNCTION("""COMPUTED_VALUE"""),999)</f>
        <v>999</v>
      </c>
      <c r="E12680" s="2">
        <f ca="1">IFERROR(__xludf.DUMMYFUNCTION("""COMPUTED_VALUE"""),999)</f>
        <v>999</v>
      </c>
    </row>
    <row r="12681" spans="1:5" ht="13">
      <c r="A12681" s="2" t="str">
        <f ca="1">IFERROR(__xludf.DUMMYFUNCTION("""COMPUTED_VALUE"""),"James, P.")</f>
        <v>James, P.</v>
      </c>
      <c r="B12681" s="2">
        <f ca="1">IFERROR(__xludf.DUMMYFUNCTION("""COMPUTED_VALUE"""),999)</f>
        <v>999</v>
      </c>
      <c r="C12681" s="7">
        <f ca="1">IFERROR(__xludf.DUMMYFUNCTION("""COMPUTED_VALUE"""),999)</f>
        <v>999</v>
      </c>
      <c r="D12681" s="8">
        <f ca="1">IFERROR(__xludf.DUMMYFUNCTION("""COMPUTED_VALUE"""),999)</f>
        <v>999</v>
      </c>
      <c r="E12681" s="2">
        <f ca="1">IFERROR(__xludf.DUMMYFUNCTION("""COMPUTED_VALUE"""),999)</f>
        <v>999</v>
      </c>
    </row>
    <row r="12682" spans="1:5" ht="13">
      <c r="A12682" s="2" t="str">
        <f ca="1">IFERROR(__xludf.DUMMYFUNCTION("""COMPUTED_VALUE"""),"Jamison, John")</f>
        <v>Jamison, John</v>
      </c>
      <c r="B12682" s="2">
        <f ca="1">IFERROR(__xludf.DUMMYFUNCTION("""COMPUTED_VALUE"""),999)</f>
        <v>999</v>
      </c>
      <c r="C12682" s="7">
        <f ca="1">IFERROR(__xludf.DUMMYFUNCTION("""COMPUTED_VALUE"""),999)</f>
        <v>999</v>
      </c>
      <c r="D12682" s="8">
        <f ca="1">IFERROR(__xludf.DUMMYFUNCTION("""COMPUTED_VALUE"""),999)</f>
        <v>999</v>
      </c>
      <c r="E12682" s="2">
        <f ca="1">IFERROR(__xludf.DUMMYFUNCTION("""COMPUTED_VALUE"""),999)</f>
        <v>999</v>
      </c>
    </row>
    <row r="12683" spans="1:5" ht="13">
      <c r="A12683" s="2" t="str">
        <f ca="1">IFERROR(__xludf.DUMMYFUNCTION("""COMPUTED_VALUE"""),"Japanese Children's Song")</f>
        <v>Japanese Children's Song</v>
      </c>
      <c r="B12683" s="2">
        <f ca="1">IFERROR(__xludf.DUMMYFUNCTION("""COMPUTED_VALUE"""),999)</f>
        <v>999</v>
      </c>
      <c r="C12683" s="7">
        <f ca="1">IFERROR(__xludf.DUMMYFUNCTION("""COMPUTED_VALUE"""),999)</f>
        <v>999</v>
      </c>
      <c r="D12683" s="8">
        <f ca="1">IFERROR(__xludf.DUMMYFUNCTION("""COMPUTED_VALUE"""),999)</f>
        <v>999</v>
      </c>
      <c r="E12683" s="2">
        <f ca="1">IFERROR(__xludf.DUMMYFUNCTION("""COMPUTED_VALUE"""),999)</f>
        <v>999</v>
      </c>
    </row>
    <row r="12684" spans="1:5" ht="13">
      <c r="A12684" s="2" t="str">
        <f ca="1">IFERROR(__xludf.DUMMYFUNCTION("""COMPUTED_VALUE"""),"Jasper, Arthur")</f>
        <v>Jasper, Arthur</v>
      </c>
      <c r="B12684" s="2">
        <f ca="1">IFERROR(__xludf.DUMMYFUNCTION("""COMPUTED_VALUE"""),999)</f>
        <v>999</v>
      </c>
      <c r="C12684" s="2">
        <f ca="1">IFERROR(__xludf.DUMMYFUNCTION("""COMPUTED_VALUE"""),999)</f>
        <v>999</v>
      </c>
      <c r="D12684" s="8">
        <f ca="1">IFERROR(__xludf.DUMMYFUNCTION("""COMPUTED_VALUE"""),999)</f>
        <v>999</v>
      </c>
      <c r="E12684" s="2">
        <f ca="1">IFERROR(__xludf.DUMMYFUNCTION("""COMPUTED_VALUE"""),999)</f>
        <v>999</v>
      </c>
    </row>
    <row r="12685" spans="1:5" ht="13">
      <c r="A12685" s="2" t="str">
        <f ca="1">IFERROR(__xludf.DUMMYFUNCTION("""COMPUTED_VALUE"""),"Johnson (unknown)")</f>
        <v>Johnson (unknown)</v>
      </c>
      <c r="B12685" s="3">
        <f ca="1">IFERROR(__xludf.DUMMYFUNCTION("""COMPUTED_VALUE"""),999)</f>
        <v>999</v>
      </c>
      <c r="C12685" s="7">
        <f ca="1">IFERROR(__xludf.DUMMYFUNCTION("""COMPUTED_VALUE"""),999)</f>
        <v>999</v>
      </c>
      <c r="D12685" s="8">
        <f ca="1">IFERROR(__xludf.DUMMYFUNCTION("""COMPUTED_VALUE"""),999)</f>
        <v>999</v>
      </c>
      <c r="E12685" s="2">
        <f ca="1">IFERROR(__xludf.DUMMYFUNCTION("""COMPUTED_VALUE"""),999)</f>
        <v>999</v>
      </c>
    </row>
    <row r="12686" spans="1:5" ht="13">
      <c r="A12686" s="2" t="str">
        <f ca="1">IFERROR(__xludf.DUMMYFUNCTION("""COMPUTED_VALUE"""),"Johnson, Ronald")</f>
        <v>Johnson, Ronald</v>
      </c>
      <c r="B12686" s="2">
        <f ca="1">IFERROR(__xludf.DUMMYFUNCTION("""COMPUTED_VALUE"""),999)</f>
        <v>999</v>
      </c>
      <c r="C12686" s="2">
        <f ca="1">IFERROR(__xludf.DUMMYFUNCTION("""COMPUTED_VALUE"""),999)</f>
        <v>999</v>
      </c>
      <c r="D12686" s="8">
        <f ca="1">IFERROR(__xludf.DUMMYFUNCTION("""COMPUTED_VALUE"""),999)</f>
        <v>999</v>
      </c>
      <c r="E12686" s="2">
        <f ca="1">IFERROR(__xludf.DUMMYFUNCTION("""COMPUTED_VALUE"""),999)</f>
        <v>999</v>
      </c>
    </row>
    <row r="12687" spans="1:5" ht="13">
      <c r="A12687" s="2" t="str">
        <f ca="1">IFERROR(__xludf.DUMMYFUNCTION("""COMPUTED_VALUE"""),"Johnson, Sidney")</f>
        <v>Johnson, Sidney</v>
      </c>
      <c r="B12687" s="3">
        <f ca="1">IFERROR(__xludf.DUMMYFUNCTION("""COMPUTED_VALUE"""),999)</f>
        <v>999</v>
      </c>
      <c r="C12687" s="7">
        <f ca="1">IFERROR(__xludf.DUMMYFUNCTION("""COMPUTED_VALUE"""),999)</f>
        <v>999</v>
      </c>
      <c r="D12687" s="8">
        <f ca="1">IFERROR(__xludf.DUMMYFUNCTION("""COMPUTED_VALUE"""),999)</f>
        <v>999</v>
      </c>
      <c r="E12687" s="2">
        <f ca="1">IFERROR(__xludf.DUMMYFUNCTION("""COMPUTED_VALUE"""),999)</f>
        <v>999</v>
      </c>
    </row>
    <row r="12688" spans="1:5" ht="13">
      <c r="A12688" s="2" t="str">
        <f ca="1">IFERROR(__xludf.DUMMYFUNCTION("""COMPUTED_VALUE"""),"Johnston, D.O.")</f>
        <v>Johnston, D.O.</v>
      </c>
      <c r="B12688" s="2">
        <f ca="1">IFERROR(__xludf.DUMMYFUNCTION("""COMPUTED_VALUE"""),999)</f>
        <v>999</v>
      </c>
      <c r="C12688" s="7">
        <f ca="1">IFERROR(__xludf.DUMMYFUNCTION("""COMPUTED_VALUE"""),999)</f>
        <v>999</v>
      </c>
      <c r="D12688" s="8">
        <f ca="1">IFERROR(__xludf.DUMMYFUNCTION("""COMPUTED_VALUE"""),999)</f>
        <v>999</v>
      </c>
      <c r="E12688" s="2">
        <f ca="1">IFERROR(__xludf.DUMMYFUNCTION("""COMPUTED_VALUE"""),999)</f>
        <v>999</v>
      </c>
    </row>
    <row r="12689" spans="1:5" ht="13">
      <c r="A12689" s="2" t="str">
        <f ca="1">IFERROR(__xludf.DUMMYFUNCTION("""COMPUTED_VALUE"""),"Jole, Simon")</f>
        <v>Jole, Simon</v>
      </c>
      <c r="B12689" s="2">
        <f ca="1">IFERROR(__xludf.DUMMYFUNCTION("""COMPUTED_VALUE"""),999)</f>
        <v>999</v>
      </c>
      <c r="C12689" s="7">
        <f ca="1">IFERROR(__xludf.DUMMYFUNCTION("""COMPUTED_VALUE"""),999)</f>
        <v>999</v>
      </c>
      <c r="D12689" s="8">
        <f ca="1">IFERROR(__xludf.DUMMYFUNCTION("""COMPUTED_VALUE"""),999)</f>
        <v>999</v>
      </c>
      <c r="E12689" s="2">
        <f ca="1">IFERROR(__xludf.DUMMYFUNCTION("""COMPUTED_VALUE"""),999)</f>
        <v>999</v>
      </c>
    </row>
    <row r="12690" spans="1:5" ht="13">
      <c r="A12690" s="8" t="str">
        <f ca="1">IFERROR(__xludf.DUMMYFUNCTION("""COMPUTED_VALUE"""),"Jones (unknown)")</f>
        <v>Jones (unknown)</v>
      </c>
      <c r="B12690" s="2">
        <f ca="1">IFERROR(__xludf.DUMMYFUNCTION("""COMPUTED_VALUE"""),999)</f>
        <v>999</v>
      </c>
      <c r="C12690" s="7">
        <f ca="1">IFERROR(__xludf.DUMMYFUNCTION("""COMPUTED_VALUE"""),999)</f>
        <v>999</v>
      </c>
      <c r="D12690" s="8">
        <f ca="1">IFERROR(__xludf.DUMMYFUNCTION("""COMPUTED_VALUE"""),999)</f>
        <v>999</v>
      </c>
      <c r="E12690" s="2">
        <f ca="1">IFERROR(__xludf.DUMMYFUNCTION("""COMPUTED_VALUE"""),999)</f>
        <v>999</v>
      </c>
    </row>
    <row r="12691" spans="1:5" ht="13">
      <c r="A12691" s="8" t="str">
        <f ca="1">IFERROR(__xludf.DUMMYFUNCTION("""COMPUTED_VALUE"""),"Joshua Davis &amp; Yuniet Lombida")</f>
        <v>Joshua Davis &amp; Yuniet Lombida</v>
      </c>
      <c r="B12691" s="3">
        <f ca="1">IFERROR(__xludf.DUMMYFUNCTION("""COMPUTED_VALUE"""),999)</f>
        <v>999</v>
      </c>
      <c r="C12691" s="7">
        <f ca="1">IFERROR(__xludf.DUMMYFUNCTION("""COMPUTED_VALUE"""),999)</f>
        <v>999</v>
      </c>
      <c r="D12691" s="8">
        <f ca="1">IFERROR(__xludf.DUMMYFUNCTION("""COMPUTED_VALUE"""),999)</f>
        <v>999</v>
      </c>
      <c r="E12691" s="2">
        <f ca="1">IFERROR(__xludf.DUMMYFUNCTION("""COMPUTED_VALUE"""),999)</f>
        <v>999</v>
      </c>
    </row>
    <row r="12692" spans="1:5" ht="13">
      <c r="A12692" s="2" t="str">
        <f ca="1">IFERROR(__xludf.DUMMYFUNCTION("""COMPUTED_VALUE"""),"Kahn, Bill")</f>
        <v>Kahn, Bill</v>
      </c>
      <c r="B12692" s="2">
        <f ca="1">IFERROR(__xludf.DUMMYFUNCTION("""COMPUTED_VALUE"""),999)</f>
        <v>999</v>
      </c>
      <c r="C12692" s="7">
        <f ca="1">IFERROR(__xludf.DUMMYFUNCTION("""COMPUTED_VALUE"""),999)</f>
        <v>999</v>
      </c>
      <c r="D12692" s="8">
        <f ca="1">IFERROR(__xludf.DUMMYFUNCTION("""COMPUTED_VALUE"""),999)</f>
        <v>999</v>
      </c>
      <c r="E12692" s="2">
        <f ca="1">IFERROR(__xludf.DUMMYFUNCTION("""COMPUTED_VALUE"""),999)</f>
        <v>999</v>
      </c>
    </row>
    <row r="12693" spans="1:5" ht="13">
      <c r="A12693" s="2" t="str">
        <f ca="1">IFERROR(__xludf.DUMMYFUNCTION("""COMPUTED_VALUE"""),"Kearney")</f>
        <v>Kearney</v>
      </c>
      <c r="B12693" s="2">
        <f ca="1">IFERROR(__xludf.DUMMYFUNCTION("""COMPUTED_VALUE"""),999)</f>
        <v>999</v>
      </c>
      <c r="C12693" s="7">
        <f ca="1">IFERROR(__xludf.DUMMYFUNCTION("""COMPUTED_VALUE"""),999)</f>
        <v>999</v>
      </c>
      <c r="D12693" s="8">
        <f ca="1">IFERROR(__xludf.DUMMYFUNCTION("""COMPUTED_VALUE"""),999)</f>
        <v>999</v>
      </c>
      <c r="E12693" s="2">
        <f ca="1">IFERROR(__xludf.DUMMYFUNCTION("""COMPUTED_VALUE"""),999)</f>
        <v>999</v>
      </c>
    </row>
    <row r="12694" spans="1:5" ht="13">
      <c r="A12694" s="8" t="str">
        <f ca="1">IFERROR(__xludf.DUMMYFUNCTION("""COMPUTED_VALUE"""),"Kegneuer")</f>
        <v>Kegneuer</v>
      </c>
      <c r="B12694" s="2">
        <f ca="1">IFERROR(__xludf.DUMMYFUNCTION("""COMPUTED_VALUE"""),999)</f>
        <v>999</v>
      </c>
      <c r="C12694" s="7">
        <f ca="1">IFERROR(__xludf.DUMMYFUNCTION("""COMPUTED_VALUE"""),999)</f>
        <v>999</v>
      </c>
      <c r="D12694" s="8">
        <f ca="1">IFERROR(__xludf.DUMMYFUNCTION("""COMPUTED_VALUE"""),999)</f>
        <v>999</v>
      </c>
      <c r="E12694" s="2">
        <f ca="1">IFERROR(__xludf.DUMMYFUNCTION("""COMPUTED_VALUE"""),999)</f>
        <v>999</v>
      </c>
    </row>
    <row r="12695" spans="1:5" ht="13">
      <c r="A12695" s="8" t="str">
        <f ca="1">IFERROR(__xludf.DUMMYFUNCTION("""COMPUTED_VALUE"""),"Kehr")</f>
        <v>Kehr</v>
      </c>
      <c r="B12695" s="2">
        <f ca="1">IFERROR(__xludf.DUMMYFUNCTION("""COMPUTED_VALUE"""),999)</f>
        <v>999</v>
      </c>
      <c r="C12695" s="7">
        <f ca="1">IFERROR(__xludf.DUMMYFUNCTION("""COMPUTED_VALUE"""),999)</f>
        <v>999</v>
      </c>
      <c r="D12695" s="8">
        <f ca="1">IFERROR(__xludf.DUMMYFUNCTION("""COMPUTED_VALUE"""),999)</f>
        <v>999</v>
      </c>
      <c r="E12695" s="2">
        <f ca="1">IFERROR(__xludf.DUMMYFUNCTION("""COMPUTED_VALUE"""),999)</f>
        <v>999</v>
      </c>
    </row>
    <row r="12696" spans="1:5" ht="13">
      <c r="A12696" s="8" t="str">
        <f ca="1">IFERROR(__xludf.DUMMYFUNCTION("""COMPUTED_VALUE"""),"Kehr, G.")</f>
        <v>Kehr, G.</v>
      </c>
      <c r="B12696" s="2">
        <f ca="1">IFERROR(__xludf.DUMMYFUNCTION("""COMPUTED_VALUE"""),999)</f>
        <v>999</v>
      </c>
      <c r="C12696" s="7">
        <f ca="1">IFERROR(__xludf.DUMMYFUNCTION("""COMPUTED_VALUE"""),999)</f>
        <v>999</v>
      </c>
      <c r="D12696" s="8">
        <f ca="1">IFERROR(__xludf.DUMMYFUNCTION("""COMPUTED_VALUE"""),999)</f>
        <v>999</v>
      </c>
      <c r="E12696" s="2">
        <f ca="1">IFERROR(__xludf.DUMMYFUNCTION("""COMPUTED_VALUE"""),999)</f>
        <v>999</v>
      </c>
    </row>
    <row r="12697" spans="1:5" ht="13">
      <c r="A12697" s="2" t="str">
        <f ca="1">IFERROR(__xludf.DUMMYFUNCTION("""COMPUTED_VALUE"""),"Kenny, Terry")</f>
        <v>Kenny, Terry</v>
      </c>
      <c r="B12697" s="2">
        <f ca="1">IFERROR(__xludf.DUMMYFUNCTION("""COMPUTED_VALUE"""),999)</f>
        <v>999</v>
      </c>
      <c r="C12697" s="2">
        <f ca="1">IFERROR(__xludf.DUMMYFUNCTION("""COMPUTED_VALUE"""),999)</f>
        <v>999</v>
      </c>
      <c r="D12697" s="8">
        <f ca="1">IFERROR(__xludf.DUMMYFUNCTION("""COMPUTED_VALUE"""),999)</f>
        <v>999</v>
      </c>
      <c r="E12697" s="2">
        <f ca="1">IFERROR(__xludf.DUMMYFUNCTION("""COMPUTED_VALUE"""),999)</f>
        <v>999</v>
      </c>
    </row>
    <row r="12698" spans="1:5" ht="13">
      <c r="A12698" s="2" t="str">
        <f ca="1">IFERROR(__xludf.DUMMYFUNCTION("""COMPUTED_VALUE"""),"Keys, R.")</f>
        <v>Keys, R.</v>
      </c>
      <c r="B12698" s="2">
        <f ca="1">IFERROR(__xludf.DUMMYFUNCTION("""COMPUTED_VALUE"""),999)</f>
        <v>999</v>
      </c>
      <c r="C12698" s="7">
        <f ca="1">IFERROR(__xludf.DUMMYFUNCTION("""COMPUTED_VALUE"""),999)</f>
        <v>999</v>
      </c>
      <c r="D12698" s="8">
        <f ca="1">IFERROR(__xludf.DUMMYFUNCTION("""COMPUTED_VALUE"""),999)</f>
        <v>999</v>
      </c>
      <c r="E12698" s="2">
        <f ca="1">IFERROR(__xludf.DUMMYFUNCTION("""COMPUTED_VALUE"""),999)</f>
        <v>999</v>
      </c>
    </row>
    <row r="12699" spans="1:5" ht="13">
      <c r="A12699" s="8" t="str">
        <f ca="1">IFERROR(__xludf.DUMMYFUNCTION("""COMPUTED_VALUE"""),"Kim Gannon, Walter Kent, Buck Ram")</f>
        <v>Kim Gannon, Walter Kent, Buck Ram</v>
      </c>
      <c r="B12699" s="2">
        <f ca="1">IFERROR(__xludf.DUMMYFUNCTION("""COMPUTED_VALUE"""),999)</f>
        <v>999</v>
      </c>
      <c r="C12699" s="7">
        <f ca="1">IFERROR(__xludf.DUMMYFUNCTION("""COMPUTED_VALUE"""),999)</f>
        <v>999</v>
      </c>
      <c r="D12699" s="8">
        <f ca="1">IFERROR(__xludf.DUMMYFUNCTION("""COMPUTED_VALUE"""),999)</f>
        <v>999</v>
      </c>
      <c r="E12699" s="2">
        <f ca="1">IFERROR(__xludf.DUMMYFUNCTION("""COMPUTED_VALUE"""),999)</f>
        <v>999</v>
      </c>
    </row>
    <row r="12700" spans="1:5" ht="13">
      <c r="A12700" s="2" t="str">
        <f ca="1">IFERROR(__xludf.DUMMYFUNCTION("""COMPUTED_VALUE"""),"Kindig (unknown)")</f>
        <v>Kindig (unknown)</v>
      </c>
      <c r="B12700" s="2">
        <f ca="1">IFERROR(__xludf.DUMMYFUNCTION("""COMPUTED_VALUE"""),999)</f>
        <v>999</v>
      </c>
      <c r="C12700" s="7">
        <f ca="1">IFERROR(__xludf.DUMMYFUNCTION("""COMPUTED_VALUE"""),999)</f>
        <v>999</v>
      </c>
      <c r="D12700" s="8">
        <f ca="1">IFERROR(__xludf.DUMMYFUNCTION("""COMPUTED_VALUE"""),999)</f>
        <v>999</v>
      </c>
      <c r="E12700" s="2">
        <f ca="1">IFERROR(__xludf.DUMMYFUNCTION("""COMPUTED_VALUE"""),999)</f>
        <v>999</v>
      </c>
    </row>
    <row r="12701" spans="1:5" ht="13">
      <c r="A12701" s="2" t="str">
        <f ca="1">IFERROR(__xludf.DUMMYFUNCTION("""COMPUTED_VALUE"""),"King (unknown)")</f>
        <v>King (unknown)</v>
      </c>
      <c r="B12701" s="2">
        <f ca="1">IFERROR(__xludf.DUMMYFUNCTION("""COMPUTED_VALUE"""),999)</f>
        <v>999</v>
      </c>
      <c r="C12701" s="7">
        <f ca="1">IFERROR(__xludf.DUMMYFUNCTION("""COMPUTED_VALUE"""),999)</f>
        <v>999</v>
      </c>
      <c r="D12701" s="8">
        <f ca="1">IFERROR(__xludf.DUMMYFUNCTION("""COMPUTED_VALUE"""),999)</f>
        <v>999</v>
      </c>
      <c r="E12701" s="2">
        <f ca="1">IFERROR(__xludf.DUMMYFUNCTION("""COMPUTED_VALUE"""),999)</f>
        <v>999</v>
      </c>
    </row>
    <row r="12702" spans="1:5" ht="13">
      <c r="A12702" s="2" t="str">
        <f ca="1">IFERROR(__xludf.DUMMYFUNCTION("""COMPUTED_VALUE"""),"King's Singers', The")</f>
        <v>King's Singers', The</v>
      </c>
      <c r="B12702" s="2">
        <f ca="1">IFERROR(__xludf.DUMMYFUNCTION("""COMPUTED_VALUE"""),999)</f>
        <v>999</v>
      </c>
      <c r="C12702" s="7">
        <f ca="1">IFERROR(__xludf.DUMMYFUNCTION("""COMPUTED_VALUE"""),999)</f>
        <v>999</v>
      </c>
      <c r="D12702" s="8">
        <f ca="1">IFERROR(__xludf.DUMMYFUNCTION("""COMPUTED_VALUE"""),999)</f>
        <v>999</v>
      </c>
      <c r="E12702" s="2">
        <f ca="1">IFERROR(__xludf.DUMMYFUNCTION("""COMPUTED_VALUE"""),999)</f>
        <v>999</v>
      </c>
    </row>
    <row r="12703" spans="1:5" ht="13">
      <c r="A12703" s="8" t="str">
        <f ca="1">IFERROR(__xludf.DUMMYFUNCTION("""COMPUTED_VALUE"""),"Kirch (unknown)")</f>
        <v>Kirch (unknown)</v>
      </c>
      <c r="B12703" s="2">
        <f ca="1">IFERROR(__xludf.DUMMYFUNCTION("""COMPUTED_VALUE"""),999)</f>
        <v>999</v>
      </c>
      <c r="C12703" s="7">
        <f ca="1">IFERROR(__xludf.DUMMYFUNCTION("""COMPUTED_VALUE"""),999)</f>
        <v>999</v>
      </c>
      <c r="D12703" s="8">
        <f ca="1">IFERROR(__xludf.DUMMYFUNCTION("""COMPUTED_VALUE"""),999)</f>
        <v>999</v>
      </c>
      <c r="E12703" s="2">
        <f ca="1">IFERROR(__xludf.DUMMYFUNCTION("""COMPUTED_VALUE"""),999)</f>
        <v>999</v>
      </c>
    </row>
    <row r="12704" spans="1:5" ht="13">
      <c r="A12704" s="2" t="str">
        <f ca="1">IFERROR(__xludf.DUMMYFUNCTION("""COMPUTED_VALUE"""),"Klezmer (traditional)")</f>
        <v>Klezmer (traditional)</v>
      </c>
      <c r="B12704" s="2">
        <f ca="1">IFERROR(__xludf.DUMMYFUNCTION("""COMPUTED_VALUE"""),999)</f>
        <v>999</v>
      </c>
      <c r="C12704" s="7">
        <f ca="1">IFERROR(__xludf.DUMMYFUNCTION("""COMPUTED_VALUE"""),999)</f>
        <v>999</v>
      </c>
      <c r="D12704" s="8">
        <f ca="1">IFERROR(__xludf.DUMMYFUNCTION("""COMPUTED_VALUE"""),999)</f>
        <v>999</v>
      </c>
      <c r="E12704" s="2">
        <f ca="1">IFERROR(__xludf.DUMMYFUNCTION("""COMPUTED_VALUE"""),999)</f>
        <v>999</v>
      </c>
    </row>
    <row r="12705" spans="1:5" ht="13">
      <c r="A12705" s="2" t="str">
        <f ca="1">IFERROR(__xludf.DUMMYFUNCTION("""COMPUTED_VALUE"""),"Knight, Clarice")</f>
        <v>Knight, Clarice</v>
      </c>
      <c r="B12705" s="3">
        <f ca="1">IFERROR(__xludf.DUMMYFUNCTION("""COMPUTED_VALUE"""),999)</f>
        <v>999</v>
      </c>
      <c r="C12705" s="7">
        <f ca="1">IFERROR(__xludf.DUMMYFUNCTION("""COMPUTED_VALUE"""),999)</f>
        <v>999</v>
      </c>
      <c r="D12705" s="8">
        <f ca="1">IFERROR(__xludf.DUMMYFUNCTION("""COMPUTED_VALUE"""),999)</f>
        <v>999</v>
      </c>
      <c r="E12705" s="2">
        <f ca="1">IFERROR(__xludf.DUMMYFUNCTION("""COMPUTED_VALUE"""),999)</f>
        <v>999</v>
      </c>
    </row>
    <row r="12706" spans="1:5" ht="13">
      <c r="A12706" s="2" t="str">
        <f ca="1">IFERROR(__xludf.DUMMYFUNCTION("""COMPUTED_VALUE"""),"Knight, Eric")</f>
        <v>Knight, Eric</v>
      </c>
      <c r="B12706" s="2">
        <f ca="1">IFERROR(__xludf.DUMMYFUNCTION("""COMPUTED_VALUE"""),999)</f>
        <v>999</v>
      </c>
      <c r="C12706" s="2">
        <f ca="1">IFERROR(__xludf.DUMMYFUNCTION("""COMPUTED_VALUE"""),999)</f>
        <v>999</v>
      </c>
      <c r="D12706" s="8">
        <f ca="1">IFERROR(__xludf.DUMMYFUNCTION("""COMPUTED_VALUE"""),999)</f>
        <v>999</v>
      </c>
      <c r="E12706" s="2">
        <f ca="1">IFERROR(__xludf.DUMMYFUNCTION("""COMPUTED_VALUE"""),999)</f>
        <v>999</v>
      </c>
    </row>
    <row r="12707" spans="1:5" ht="13">
      <c r="A12707" s="2" t="str">
        <f ca="1">IFERROR(__xludf.DUMMYFUNCTION("""COMPUTED_VALUE"""),"Knight, Jerome")</f>
        <v>Knight, Jerome</v>
      </c>
      <c r="B12707" s="2">
        <f ca="1">IFERROR(__xludf.DUMMYFUNCTION("""COMPUTED_VALUE"""),999)</f>
        <v>999</v>
      </c>
      <c r="C12707" s="2">
        <f ca="1">IFERROR(__xludf.DUMMYFUNCTION("""COMPUTED_VALUE"""),999)</f>
        <v>999</v>
      </c>
      <c r="D12707" s="8">
        <f ca="1">IFERROR(__xludf.DUMMYFUNCTION("""COMPUTED_VALUE"""),999)</f>
        <v>999</v>
      </c>
      <c r="E12707" s="2">
        <f ca="1">IFERROR(__xludf.DUMMYFUNCTION("""COMPUTED_VALUE"""),999)</f>
        <v>999</v>
      </c>
    </row>
    <row r="12708" spans="1:5" ht="13">
      <c r="A12708" s="8" t="str">
        <f ca="1">IFERROR(__xludf.DUMMYFUNCTION("""COMPUTED_VALUE"""),"Koscielny (unknown)")</f>
        <v>Koscielny (unknown)</v>
      </c>
      <c r="B12708" s="2">
        <f ca="1">IFERROR(__xludf.DUMMYFUNCTION("""COMPUTED_VALUE"""),999)</f>
        <v>999</v>
      </c>
      <c r="C12708" s="7">
        <f ca="1">IFERROR(__xludf.DUMMYFUNCTION("""COMPUTED_VALUE"""),999)</f>
        <v>999</v>
      </c>
      <c r="D12708" s="8">
        <f ca="1">IFERROR(__xludf.DUMMYFUNCTION("""COMPUTED_VALUE"""),999)</f>
        <v>999</v>
      </c>
      <c r="E12708" s="2">
        <f ca="1">IFERROR(__xludf.DUMMYFUNCTION("""COMPUTED_VALUE"""),999)</f>
        <v>999</v>
      </c>
    </row>
    <row r="12709" spans="1:5" ht="13">
      <c r="A12709" s="8" t="str">
        <f ca="1">IFERROR(__xludf.DUMMYFUNCTION("""COMPUTED_VALUE"""),"Krane, C.")</f>
        <v>Krane, C.</v>
      </c>
      <c r="B12709" s="2">
        <f ca="1">IFERROR(__xludf.DUMMYFUNCTION("""COMPUTED_VALUE"""),999)</f>
        <v>999</v>
      </c>
      <c r="C12709" s="7">
        <f ca="1">IFERROR(__xludf.DUMMYFUNCTION("""COMPUTED_VALUE"""),999)</f>
        <v>999</v>
      </c>
      <c r="D12709" s="8">
        <f ca="1">IFERROR(__xludf.DUMMYFUNCTION("""COMPUTED_VALUE"""),999)</f>
        <v>999</v>
      </c>
      <c r="E12709" s="2">
        <f ca="1">IFERROR(__xludf.DUMMYFUNCTION("""COMPUTED_VALUE"""),999)</f>
        <v>999</v>
      </c>
    </row>
    <row r="12710" spans="1:5" ht="13">
      <c r="A12710" s="2" t="str">
        <f ca="1">IFERROR(__xludf.DUMMYFUNCTION("""COMPUTED_VALUE"""),"Krumnach (unknown)")</f>
        <v>Krumnach (unknown)</v>
      </c>
      <c r="B12710" s="2">
        <f ca="1">IFERROR(__xludf.DUMMYFUNCTION("""COMPUTED_VALUE"""),999)</f>
        <v>999</v>
      </c>
      <c r="C12710" s="2">
        <f ca="1">IFERROR(__xludf.DUMMYFUNCTION("""COMPUTED_VALUE"""),999)</f>
        <v>999</v>
      </c>
      <c r="D12710" s="8">
        <f ca="1">IFERROR(__xludf.DUMMYFUNCTION("""COMPUTED_VALUE"""),999)</f>
        <v>999</v>
      </c>
      <c r="E12710" s="2">
        <f ca="1">IFERROR(__xludf.DUMMYFUNCTION("""COMPUTED_VALUE"""),999)</f>
        <v>999</v>
      </c>
    </row>
    <row r="12711" spans="1:5" ht="13">
      <c r="A12711" s="8" t="str">
        <f ca="1">IFERROR(__xludf.DUMMYFUNCTION("""COMPUTED_VALUE"""),"LaBrie, Bailey")</f>
        <v>LaBrie, Bailey</v>
      </c>
      <c r="B12711" s="3">
        <f ca="1">IFERROR(__xludf.DUMMYFUNCTION("""COMPUTED_VALUE"""),999)</f>
        <v>999</v>
      </c>
      <c r="C12711" s="7">
        <f ca="1">IFERROR(__xludf.DUMMYFUNCTION("""COMPUTED_VALUE"""),999)</f>
        <v>999</v>
      </c>
      <c r="D12711" s="8">
        <f ca="1">IFERROR(__xludf.DUMMYFUNCTION("""COMPUTED_VALUE"""),999)</f>
        <v>999</v>
      </c>
      <c r="E12711" s="3">
        <f ca="1">IFERROR(__xludf.DUMMYFUNCTION("""COMPUTED_VALUE"""),999)</f>
        <v>999</v>
      </c>
    </row>
    <row r="12712" spans="1:5" ht="13">
      <c r="A12712" s="2" t="str">
        <f ca="1">IFERROR(__xludf.DUMMYFUNCTION("""COMPUTED_VALUE"""),"Lahmer")</f>
        <v>Lahmer</v>
      </c>
      <c r="B12712" s="2">
        <f ca="1">IFERROR(__xludf.DUMMYFUNCTION("""COMPUTED_VALUE"""),999)</f>
        <v>999</v>
      </c>
      <c r="C12712" s="7">
        <f ca="1">IFERROR(__xludf.DUMMYFUNCTION("""COMPUTED_VALUE"""),999)</f>
        <v>999</v>
      </c>
      <c r="D12712" s="8">
        <f ca="1">IFERROR(__xludf.DUMMYFUNCTION("""COMPUTED_VALUE"""),999)</f>
        <v>999</v>
      </c>
      <c r="E12712" s="2">
        <f ca="1">IFERROR(__xludf.DUMMYFUNCTION("""COMPUTED_VALUE"""),999)</f>
        <v>999</v>
      </c>
    </row>
    <row r="12713" spans="1:5" ht="13">
      <c r="A12713" s="2" t="str">
        <f ca="1">IFERROR(__xludf.DUMMYFUNCTION("""COMPUTED_VALUE"""),"Lake, Brandon")</f>
        <v>Lake, Brandon</v>
      </c>
      <c r="B12713" s="2">
        <f ca="1">IFERROR(__xludf.DUMMYFUNCTION("""COMPUTED_VALUE"""),999)</f>
        <v>999</v>
      </c>
      <c r="C12713" s="2">
        <f ca="1">IFERROR(__xludf.DUMMYFUNCTION("""COMPUTED_VALUE"""),999)</f>
        <v>999</v>
      </c>
      <c r="D12713" s="8">
        <f ca="1">IFERROR(__xludf.DUMMYFUNCTION("""COMPUTED_VALUE"""),999)</f>
        <v>999</v>
      </c>
      <c r="E12713" s="2">
        <f ca="1">IFERROR(__xludf.DUMMYFUNCTION("""COMPUTED_VALUE"""),999)</f>
        <v>999</v>
      </c>
    </row>
    <row r="12714" spans="1:5" ht="13">
      <c r="A12714" s="2" t="str">
        <f ca="1">IFERROR(__xludf.DUMMYFUNCTION("""COMPUTED_VALUE"""),"Landes, Richard")</f>
        <v>Landes, Richard</v>
      </c>
      <c r="B12714" s="2">
        <f ca="1">IFERROR(__xludf.DUMMYFUNCTION("""COMPUTED_VALUE"""),999)</f>
        <v>999</v>
      </c>
      <c r="C12714" s="2">
        <f ca="1">IFERROR(__xludf.DUMMYFUNCTION("""COMPUTED_VALUE"""),999)</f>
        <v>999</v>
      </c>
      <c r="D12714" s="8">
        <f ca="1">IFERROR(__xludf.DUMMYFUNCTION("""COMPUTED_VALUE"""),999)</f>
        <v>999</v>
      </c>
      <c r="E12714" s="2">
        <f ca="1">IFERROR(__xludf.DUMMYFUNCTION("""COMPUTED_VALUE"""),999)</f>
        <v>999</v>
      </c>
    </row>
    <row r="12715" spans="1:5" ht="13">
      <c r="A12715" s="8" t="str">
        <f ca="1">IFERROR(__xludf.DUMMYFUNCTION("""COMPUTED_VALUE"""),"Landshoff")</f>
        <v>Landshoff</v>
      </c>
      <c r="B12715" s="2">
        <f ca="1">IFERROR(__xludf.DUMMYFUNCTION("""COMPUTED_VALUE"""),999)</f>
        <v>999</v>
      </c>
      <c r="C12715" s="7">
        <f ca="1">IFERROR(__xludf.DUMMYFUNCTION("""COMPUTED_VALUE"""),999)</f>
        <v>999</v>
      </c>
      <c r="D12715" s="8">
        <f ca="1">IFERROR(__xludf.DUMMYFUNCTION("""COMPUTED_VALUE"""),999)</f>
        <v>999</v>
      </c>
      <c r="E12715" s="2">
        <f ca="1">IFERROR(__xludf.DUMMYFUNCTION("""COMPUTED_VALUE"""),999)</f>
        <v>999</v>
      </c>
    </row>
    <row r="12716" spans="1:5" ht="13">
      <c r="A12716" s="2" t="str">
        <f ca="1">IFERROR(__xludf.DUMMYFUNCTION("""COMPUTED_VALUE"""),"Larson, David")</f>
        <v>Larson, David</v>
      </c>
      <c r="B12716" s="2">
        <f ca="1">IFERROR(__xludf.DUMMYFUNCTION("""COMPUTED_VALUE"""),999)</f>
        <v>999</v>
      </c>
      <c r="C12716" s="2">
        <f ca="1">IFERROR(__xludf.DUMMYFUNCTION("""COMPUTED_VALUE"""),999)</f>
        <v>999</v>
      </c>
      <c r="D12716" s="8">
        <f ca="1">IFERROR(__xludf.DUMMYFUNCTION("""COMPUTED_VALUE"""),999)</f>
        <v>999</v>
      </c>
      <c r="E12716" s="2">
        <f ca="1">IFERROR(__xludf.DUMMYFUNCTION("""COMPUTED_VALUE"""),999)</f>
        <v>999</v>
      </c>
    </row>
    <row r="12717" spans="1:5" ht="13">
      <c r="A12717" s="2" t="str">
        <f ca="1">IFERROR(__xludf.DUMMYFUNCTION("""COMPUTED_VALUE"""),"Laurence, Victor")</f>
        <v>Laurence, Victor</v>
      </c>
      <c r="B12717" s="2">
        <f ca="1">IFERROR(__xludf.DUMMYFUNCTION("""COMPUTED_VALUE"""),999)</f>
        <v>999</v>
      </c>
      <c r="C12717" s="2">
        <f ca="1">IFERROR(__xludf.DUMMYFUNCTION("""COMPUTED_VALUE"""),999)</f>
        <v>999</v>
      </c>
      <c r="D12717" s="8">
        <f ca="1">IFERROR(__xludf.DUMMYFUNCTION("""COMPUTED_VALUE"""),999)</f>
        <v>999</v>
      </c>
      <c r="E12717" s="2">
        <f ca="1">IFERROR(__xludf.DUMMYFUNCTION("""COMPUTED_VALUE"""),999)</f>
        <v>999</v>
      </c>
    </row>
    <row r="12718" spans="1:5" ht="13">
      <c r="A12718" s="2" t="str">
        <f ca="1">IFERROR(__xludf.DUMMYFUNCTION("""COMPUTED_VALUE"""),"Lehman, Jeff")</f>
        <v>Lehman, Jeff</v>
      </c>
      <c r="B12718" s="2">
        <f ca="1">IFERROR(__xludf.DUMMYFUNCTION("""COMPUTED_VALUE"""),999)</f>
        <v>999</v>
      </c>
      <c r="C12718" s="2">
        <f ca="1">IFERROR(__xludf.DUMMYFUNCTION("""COMPUTED_VALUE"""),999)</f>
        <v>999</v>
      </c>
      <c r="D12718" s="8">
        <f ca="1">IFERROR(__xludf.DUMMYFUNCTION("""COMPUTED_VALUE"""),999)</f>
        <v>999</v>
      </c>
      <c r="E12718" s="2">
        <f ca="1">IFERROR(__xludf.DUMMYFUNCTION("""COMPUTED_VALUE"""),999)</f>
        <v>999</v>
      </c>
    </row>
    <row r="12719" spans="1:5" ht="13">
      <c r="A12719" s="2" t="str">
        <f ca="1">IFERROR(__xludf.DUMMYFUNCTION("""COMPUTED_VALUE"""),"Leo (unknown)")</f>
        <v>Leo (unknown)</v>
      </c>
      <c r="B12719" s="2">
        <f ca="1">IFERROR(__xludf.DUMMYFUNCTION("""COMPUTED_VALUE"""),999)</f>
        <v>999</v>
      </c>
      <c r="C12719" s="7">
        <f ca="1">IFERROR(__xludf.DUMMYFUNCTION("""COMPUTED_VALUE"""),999)</f>
        <v>999</v>
      </c>
      <c r="D12719" s="8">
        <f ca="1">IFERROR(__xludf.DUMMYFUNCTION("""COMPUTED_VALUE"""),999)</f>
        <v>999</v>
      </c>
      <c r="E12719" s="2">
        <f ca="1">IFERROR(__xludf.DUMMYFUNCTION("""COMPUTED_VALUE"""),999)</f>
        <v>999</v>
      </c>
    </row>
    <row r="12720" spans="1:5" ht="13">
      <c r="A12720" s="2" t="str">
        <f ca="1">IFERROR(__xludf.DUMMYFUNCTION("""COMPUTED_VALUE"""),"Leonard, Blecon")</f>
        <v>Leonard, Blecon</v>
      </c>
      <c r="B12720" s="2">
        <f ca="1">IFERROR(__xludf.DUMMYFUNCTION("""COMPUTED_VALUE"""),999)</f>
        <v>999</v>
      </c>
      <c r="C12720" s="7">
        <f ca="1">IFERROR(__xludf.DUMMYFUNCTION("""COMPUTED_VALUE"""),999)</f>
        <v>999</v>
      </c>
      <c r="D12720" s="8">
        <f ca="1">IFERROR(__xludf.DUMMYFUNCTION("""COMPUTED_VALUE"""),999)</f>
        <v>999</v>
      </c>
      <c r="E12720" s="2">
        <f ca="1">IFERROR(__xludf.DUMMYFUNCTION("""COMPUTED_VALUE"""),999)</f>
        <v>999</v>
      </c>
    </row>
    <row r="12721" spans="1:5" ht="13">
      <c r="A12721" s="2" t="str">
        <f ca="1">IFERROR(__xludf.DUMMYFUNCTION("""COMPUTED_VALUE"""),"Leonov, Sergei")</f>
        <v>Leonov, Sergei</v>
      </c>
      <c r="B12721" s="2">
        <f ca="1">IFERROR(__xludf.DUMMYFUNCTION("""COMPUTED_VALUE"""),999)</f>
        <v>999</v>
      </c>
      <c r="C12721" s="2">
        <f ca="1">IFERROR(__xludf.DUMMYFUNCTION("""COMPUTED_VALUE"""),999)</f>
        <v>999</v>
      </c>
      <c r="D12721" s="8">
        <f ca="1">IFERROR(__xludf.DUMMYFUNCTION("""COMPUTED_VALUE"""),999)</f>
        <v>999</v>
      </c>
      <c r="E12721" s="2">
        <f ca="1">IFERROR(__xludf.DUMMYFUNCTION("""COMPUTED_VALUE"""),999)</f>
        <v>999</v>
      </c>
    </row>
    <row r="12722" spans="1:5" ht="13">
      <c r="A12722" s="2" t="str">
        <f ca="1">IFERROR(__xludf.DUMMYFUNCTION("""COMPUTED_VALUE"""),"Lesem, Ken")</f>
        <v>Lesem, Ken</v>
      </c>
      <c r="B12722" s="2">
        <f ca="1">IFERROR(__xludf.DUMMYFUNCTION("""COMPUTED_VALUE"""),999)</f>
        <v>999</v>
      </c>
      <c r="C12722" s="7">
        <f ca="1">IFERROR(__xludf.DUMMYFUNCTION("""COMPUTED_VALUE"""),999)</f>
        <v>999</v>
      </c>
      <c r="D12722" s="8">
        <f ca="1">IFERROR(__xludf.DUMMYFUNCTION("""COMPUTED_VALUE"""),999)</f>
        <v>999</v>
      </c>
      <c r="E12722" s="2">
        <f ca="1">IFERROR(__xludf.DUMMYFUNCTION("""COMPUTED_VALUE"""),999)</f>
        <v>999</v>
      </c>
    </row>
    <row r="12723" spans="1:5" ht="13">
      <c r="A12723" s="2" t="str">
        <f ca="1">IFERROR(__xludf.DUMMYFUNCTION("""COMPUTED_VALUE"""),"Lessia")</f>
        <v>Lessia</v>
      </c>
      <c r="B12723" s="2">
        <f ca="1">IFERROR(__xludf.DUMMYFUNCTION("""COMPUTED_VALUE"""),999)</f>
        <v>999</v>
      </c>
      <c r="C12723" s="7">
        <f ca="1">IFERROR(__xludf.DUMMYFUNCTION("""COMPUTED_VALUE"""),999)</f>
        <v>999</v>
      </c>
      <c r="D12723" s="8">
        <f ca="1">IFERROR(__xludf.DUMMYFUNCTION("""COMPUTED_VALUE"""),999)</f>
        <v>999</v>
      </c>
      <c r="E12723" s="2">
        <f ca="1">IFERROR(__xludf.DUMMYFUNCTION("""COMPUTED_VALUE"""),999)</f>
        <v>999</v>
      </c>
    </row>
    <row r="12724" spans="1:5" ht="13">
      <c r="A12724" s="8" t="str">
        <f ca="1">IFERROR(__xludf.DUMMYFUNCTION("""COMPUTED_VALUE"""),"Lester, J.")</f>
        <v>Lester, J.</v>
      </c>
      <c r="B12724" s="2">
        <f ca="1">IFERROR(__xludf.DUMMYFUNCTION("""COMPUTED_VALUE"""),999)</f>
        <v>999</v>
      </c>
      <c r="C12724" s="7">
        <f ca="1">IFERROR(__xludf.DUMMYFUNCTION("""COMPUTED_VALUE"""),999)</f>
        <v>999</v>
      </c>
      <c r="D12724" s="8">
        <f ca="1">IFERROR(__xludf.DUMMYFUNCTION("""COMPUTED_VALUE"""),999)</f>
        <v>999</v>
      </c>
      <c r="E12724" s="2">
        <f ca="1">IFERROR(__xludf.DUMMYFUNCTION("""COMPUTED_VALUE"""),999)</f>
        <v>999</v>
      </c>
    </row>
    <row r="12725" spans="1:5" ht="13">
      <c r="A12725" s="2" t="str">
        <f ca="1">IFERROR(__xludf.DUMMYFUNCTION("""COMPUTED_VALUE"""),"Levine, Brent")</f>
        <v>Levine, Brent</v>
      </c>
      <c r="B12725" s="2">
        <f ca="1">IFERROR(__xludf.DUMMYFUNCTION("""COMPUTED_VALUE"""),999)</f>
        <v>999</v>
      </c>
      <c r="C12725" s="2">
        <f ca="1">IFERROR(__xludf.DUMMYFUNCTION("""COMPUTED_VALUE"""),999)</f>
        <v>999</v>
      </c>
      <c r="D12725" s="8">
        <f ca="1">IFERROR(__xludf.DUMMYFUNCTION("""COMPUTED_VALUE"""),999)</f>
        <v>999</v>
      </c>
      <c r="E12725" s="2">
        <f ca="1">IFERROR(__xludf.DUMMYFUNCTION("""COMPUTED_VALUE"""),999)</f>
        <v>999</v>
      </c>
    </row>
    <row r="12726" spans="1:5" ht="13">
      <c r="A12726" s="2" t="str">
        <f ca="1">IFERROR(__xludf.DUMMYFUNCTION("""COMPUTED_VALUE"""),"Lewis (unknown)")</f>
        <v>Lewis (unknown)</v>
      </c>
      <c r="B12726" s="2">
        <f ca="1">IFERROR(__xludf.DUMMYFUNCTION("""COMPUTED_VALUE"""),999)</f>
        <v>999</v>
      </c>
      <c r="C12726" s="7">
        <f ca="1">IFERROR(__xludf.DUMMYFUNCTION("""COMPUTED_VALUE"""),999)</f>
        <v>999</v>
      </c>
      <c r="D12726" s="8">
        <f ca="1">IFERROR(__xludf.DUMMYFUNCTION("""COMPUTED_VALUE"""),999)</f>
        <v>999</v>
      </c>
      <c r="E12726" s="2">
        <f ca="1">IFERROR(__xludf.DUMMYFUNCTION("""COMPUTED_VALUE"""),999)</f>
        <v>999</v>
      </c>
    </row>
    <row r="12727" spans="1:5" ht="13">
      <c r="A12727" s="2" t="str">
        <f ca="1">IFERROR(__xludf.DUMMYFUNCTION("""COMPUTED_VALUE"""),"Lienhart, Glen D.")</f>
        <v>Lienhart, Glen D.</v>
      </c>
      <c r="B12727" s="2">
        <f ca="1">IFERROR(__xludf.DUMMYFUNCTION("""COMPUTED_VALUE"""),999)</f>
        <v>999</v>
      </c>
      <c r="C12727" s="2">
        <f ca="1">IFERROR(__xludf.DUMMYFUNCTION("""COMPUTED_VALUE"""),999)</f>
        <v>999</v>
      </c>
      <c r="D12727" s="8">
        <f ca="1">IFERROR(__xludf.DUMMYFUNCTION("""COMPUTED_VALUE"""),999)</f>
        <v>999</v>
      </c>
      <c r="E12727" s="2">
        <f ca="1">IFERROR(__xludf.DUMMYFUNCTION("""COMPUTED_VALUE"""),999)</f>
        <v>999</v>
      </c>
    </row>
    <row r="12728" spans="1:5" ht="13">
      <c r="A12728" s="2" t="str">
        <f ca="1">IFERROR(__xludf.DUMMYFUNCTION("""COMPUTED_VALUE"""),"Liles, Joe / Hicks, Val")</f>
        <v>Liles, Joe / Hicks, Val</v>
      </c>
      <c r="B12728" s="3">
        <f ca="1">IFERROR(__xludf.DUMMYFUNCTION("""COMPUTED_VALUE"""),999)</f>
        <v>999</v>
      </c>
      <c r="C12728" s="7">
        <f ca="1">IFERROR(__xludf.DUMMYFUNCTION("""COMPUTED_VALUE"""),999)</f>
        <v>999</v>
      </c>
      <c r="D12728" s="8">
        <f ca="1">IFERROR(__xludf.DUMMYFUNCTION("""COMPUTED_VALUE"""),999)</f>
        <v>999</v>
      </c>
      <c r="E12728" s="2">
        <f ca="1">IFERROR(__xludf.DUMMYFUNCTION("""COMPUTED_VALUE"""),999)</f>
        <v>999</v>
      </c>
    </row>
    <row r="12729" spans="1:5" ht="13">
      <c r="A12729" s="2" t="str">
        <f ca="1">IFERROR(__xludf.DUMMYFUNCTION("""COMPUTED_VALUE"""),"Lindsay, Peter")</f>
        <v>Lindsay, Peter</v>
      </c>
      <c r="B12729" s="2">
        <f ca="1">IFERROR(__xludf.DUMMYFUNCTION("""COMPUTED_VALUE"""),999)</f>
        <v>999</v>
      </c>
      <c r="C12729" s="2">
        <f ca="1">IFERROR(__xludf.DUMMYFUNCTION("""COMPUTED_VALUE"""),999)</f>
        <v>999</v>
      </c>
      <c r="D12729" s="8">
        <f ca="1">IFERROR(__xludf.DUMMYFUNCTION("""COMPUTED_VALUE"""),999)</f>
        <v>999</v>
      </c>
      <c r="E12729" s="2">
        <f ca="1">IFERROR(__xludf.DUMMYFUNCTION("""COMPUTED_VALUE"""),999)</f>
        <v>999</v>
      </c>
    </row>
    <row r="12730" spans="1:5" ht="13">
      <c r="A12730" s="2" t="str">
        <f ca="1">IFERROR(__xludf.DUMMYFUNCTION("""COMPUTED_VALUE"""),"Lindsey")</f>
        <v>Lindsey</v>
      </c>
      <c r="B12730" s="2">
        <f ca="1">IFERROR(__xludf.DUMMYFUNCTION("""COMPUTED_VALUE"""),999)</f>
        <v>999</v>
      </c>
      <c r="C12730" s="7">
        <f ca="1">IFERROR(__xludf.DUMMYFUNCTION("""COMPUTED_VALUE"""),999)</f>
        <v>999</v>
      </c>
      <c r="D12730" s="8">
        <f ca="1">IFERROR(__xludf.DUMMYFUNCTION("""COMPUTED_VALUE"""),999)</f>
        <v>999</v>
      </c>
      <c r="E12730" s="2">
        <f ca="1">IFERROR(__xludf.DUMMYFUNCTION("""COMPUTED_VALUE"""),999)</f>
        <v>999</v>
      </c>
    </row>
    <row r="12731" spans="1:5" ht="13">
      <c r="A12731" s="2" t="str">
        <f ca="1">IFERROR(__xludf.DUMMYFUNCTION("""COMPUTED_VALUE"""),"Lindsley (unknown)")</f>
        <v>Lindsley (unknown)</v>
      </c>
      <c r="B12731" s="2">
        <f ca="1">IFERROR(__xludf.DUMMYFUNCTION("""COMPUTED_VALUE"""),999)</f>
        <v>999</v>
      </c>
      <c r="C12731" s="2">
        <f ca="1">IFERROR(__xludf.DUMMYFUNCTION("""COMPUTED_VALUE"""),999)</f>
        <v>999</v>
      </c>
      <c r="D12731" s="8">
        <f ca="1">IFERROR(__xludf.DUMMYFUNCTION("""COMPUTED_VALUE"""),999)</f>
        <v>999</v>
      </c>
      <c r="E12731" s="2">
        <f ca="1">IFERROR(__xludf.DUMMYFUNCTION("""COMPUTED_VALUE"""),999)</f>
        <v>999</v>
      </c>
    </row>
    <row r="12732" spans="1:5" ht="13">
      <c r="A12732" s="2" t="str">
        <f ca="1">IFERROR(__xludf.DUMMYFUNCTION("""COMPUTED_VALUE"""),"Lindstrom, Mikael")</f>
        <v>Lindstrom, Mikael</v>
      </c>
      <c r="B12732" s="2">
        <f ca="1">IFERROR(__xludf.DUMMYFUNCTION("""COMPUTED_VALUE"""),999)</f>
        <v>999</v>
      </c>
      <c r="C12732" s="2">
        <f ca="1">IFERROR(__xludf.DUMMYFUNCTION("""COMPUTED_VALUE"""),999)</f>
        <v>999</v>
      </c>
      <c r="D12732" s="8">
        <f ca="1">IFERROR(__xludf.DUMMYFUNCTION("""COMPUTED_VALUE"""),999)</f>
        <v>999</v>
      </c>
      <c r="E12732" s="2">
        <f ca="1">IFERROR(__xludf.DUMMYFUNCTION("""COMPUTED_VALUE"""),999)</f>
        <v>999</v>
      </c>
    </row>
    <row r="12733" spans="1:5" ht="13">
      <c r="A12733" s="2" t="str">
        <f ca="1">IFERROR(__xludf.DUMMYFUNCTION("""COMPUTED_VALUE"""),"Link, Sunny")</f>
        <v>Link, Sunny</v>
      </c>
      <c r="B12733" s="2">
        <f ca="1">IFERROR(__xludf.DUMMYFUNCTION("""COMPUTED_VALUE"""),999)</f>
        <v>999</v>
      </c>
      <c r="C12733" s="7">
        <f ca="1">IFERROR(__xludf.DUMMYFUNCTION("""COMPUTED_VALUE"""),999)</f>
        <v>999</v>
      </c>
      <c r="D12733" s="8">
        <f ca="1">IFERROR(__xludf.DUMMYFUNCTION("""COMPUTED_VALUE"""),999)</f>
        <v>999</v>
      </c>
      <c r="E12733" s="2">
        <f ca="1">IFERROR(__xludf.DUMMYFUNCTION("""COMPUTED_VALUE"""),999)</f>
        <v>999</v>
      </c>
    </row>
    <row r="12734" spans="1:5" ht="13">
      <c r="A12734" s="2" t="str">
        <f ca="1">IFERROR(__xludf.DUMMYFUNCTION("""COMPUTED_VALUE"""),"Livingston, Harper")</f>
        <v>Livingston, Harper</v>
      </c>
      <c r="B12734" s="2">
        <f ca="1">IFERROR(__xludf.DUMMYFUNCTION("""COMPUTED_VALUE"""),999)</f>
        <v>999</v>
      </c>
      <c r="C12734" s="2">
        <f ca="1">IFERROR(__xludf.DUMMYFUNCTION("""COMPUTED_VALUE"""),999)</f>
        <v>999</v>
      </c>
      <c r="D12734" s="8">
        <f ca="1">IFERROR(__xludf.DUMMYFUNCTION("""COMPUTED_VALUE"""),999)</f>
        <v>999</v>
      </c>
      <c r="E12734" s="2">
        <f ca="1">IFERROR(__xludf.DUMMYFUNCTION("""COMPUTED_VALUE"""),999)</f>
        <v>999</v>
      </c>
    </row>
    <row r="12735" spans="1:5" ht="13">
      <c r="A12735" s="2" t="str">
        <f ca="1">IFERROR(__xludf.DUMMYFUNCTION("""COMPUTED_VALUE"""),"Llibre Vermell de Montserrat")</f>
        <v>Llibre Vermell de Montserrat</v>
      </c>
      <c r="B12735" s="2">
        <f ca="1">IFERROR(__xludf.DUMMYFUNCTION("""COMPUTED_VALUE"""),999)</f>
        <v>999</v>
      </c>
      <c r="C12735" s="7">
        <f ca="1">IFERROR(__xludf.DUMMYFUNCTION("""COMPUTED_VALUE"""),999)</f>
        <v>999</v>
      </c>
      <c r="D12735" s="8">
        <f ca="1">IFERROR(__xludf.DUMMYFUNCTION("""COMPUTED_VALUE"""),999)</f>
        <v>999</v>
      </c>
      <c r="E12735" s="2">
        <f ca="1">IFERROR(__xludf.DUMMYFUNCTION("""COMPUTED_VALUE"""),999)</f>
        <v>999</v>
      </c>
    </row>
    <row r="12736" spans="1:5" ht="13">
      <c r="A12736" s="8" t="str">
        <f ca="1">IFERROR(__xludf.DUMMYFUNCTION("""COMPUTED_VALUE"""),"Lock, M. (unknown)")</f>
        <v>Lock, M. (unknown)</v>
      </c>
      <c r="B12736" s="2">
        <f ca="1">IFERROR(__xludf.DUMMYFUNCTION("""COMPUTED_VALUE"""),999)</f>
        <v>999</v>
      </c>
      <c r="C12736" s="7">
        <f ca="1">IFERROR(__xludf.DUMMYFUNCTION("""COMPUTED_VALUE"""),999)</f>
        <v>999</v>
      </c>
      <c r="D12736" s="8">
        <f ca="1">IFERROR(__xludf.DUMMYFUNCTION("""COMPUTED_VALUE"""),999)</f>
        <v>999</v>
      </c>
      <c r="E12736" s="2">
        <f ca="1">IFERROR(__xludf.DUMMYFUNCTION("""COMPUTED_VALUE"""),999)</f>
        <v>999</v>
      </c>
    </row>
    <row r="12737" spans="1:5" ht="13">
      <c r="A12737" s="2" t="str">
        <f ca="1">IFERROR(__xludf.DUMMYFUNCTION("""COMPUTED_VALUE"""),"Lohman, David")</f>
        <v>Lohman, David</v>
      </c>
      <c r="B12737" s="2">
        <f ca="1">IFERROR(__xludf.DUMMYFUNCTION("""COMPUTED_VALUE"""),999)</f>
        <v>999</v>
      </c>
      <c r="C12737" s="2">
        <f ca="1">IFERROR(__xludf.DUMMYFUNCTION("""COMPUTED_VALUE"""),999)</f>
        <v>999</v>
      </c>
      <c r="D12737" s="8">
        <f ca="1">IFERROR(__xludf.DUMMYFUNCTION("""COMPUTED_VALUE"""),999)</f>
        <v>999</v>
      </c>
      <c r="E12737" s="2">
        <f ca="1">IFERROR(__xludf.DUMMYFUNCTION("""COMPUTED_VALUE"""),999)</f>
        <v>999</v>
      </c>
    </row>
    <row r="12738" spans="1:5" ht="13">
      <c r="A12738" s="2" t="str">
        <f ca="1">IFERROR(__xludf.DUMMYFUNCTION("""COMPUTED_VALUE"""),"Lopez, Vanessa")</f>
        <v>Lopez, Vanessa</v>
      </c>
      <c r="B12738" s="2">
        <f ca="1">IFERROR(__xludf.DUMMYFUNCTION("""COMPUTED_VALUE"""),999)</f>
        <v>999</v>
      </c>
      <c r="C12738" s="2">
        <f ca="1">IFERROR(__xludf.DUMMYFUNCTION("""COMPUTED_VALUE"""),999)</f>
        <v>999</v>
      </c>
      <c r="D12738" s="8">
        <f ca="1">IFERROR(__xludf.DUMMYFUNCTION("""COMPUTED_VALUE"""),999)</f>
        <v>999</v>
      </c>
      <c r="E12738" s="2">
        <f ca="1">IFERROR(__xludf.DUMMYFUNCTION("""COMPUTED_VALUE"""),999)</f>
        <v>999</v>
      </c>
    </row>
    <row r="12739" spans="1:5" ht="13">
      <c r="A12739" s="2" t="str">
        <f ca="1">IFERROR(__xludf.DUMMYFUNCTION("""COMPUTED_VALUE"""),"Lunn, Jean")</f>
        <v>Lunn, Jean</v>
      </c>
      <c r="B12739" s="2">
        <f ca="1">IFERROR(__xludf.DUMMYFUNCTION("""COMPUTED_VALUE"""),999)</f>
        <v>999</v>
      </c>
      <c r="C12739" s="2">
        <f ca="1">IFERROR(__xludf.DUMMYFUNCTION("""COMPUTED_VALUE"""),999)</f>
        <v>999</v>
      </c>
      <c r="D12739" s="8">
        <f ca="1">IFERROR(__xludf.DUMMYFUNCTION("""COMPUTED_VALUE"""),999)</f>
        <v>999</v>
      </c>
      <c r="E12739" s="2">
        <f ca="1">IFERROR(__xludf.DUMMYFUNCTION("""COMPUTED_VALUE"""),999)</f>
        <v>999</v>
      </c>
    </row>
    <row r="12740" spans="1:5" ht="13">
      <c r="A12740" s="2" t="str">
        <f ca="1">IFERROR(__xludf.DUMMYFUNCTION("""COMPUTED_VALUE"""),"Mack, Gerald / Banzhaf, Martha")</f>
        <v>Mack, Gerald / Banzhaf, Martha</v>
      </c>
      <c r="B12740" s="2">
        <f ca="1">IFERROR(__xludf.DUMMYFUNCTION("""COMPUTED_VALUE"""),999)</f>
        <v>999</v>
      </c>
      <c r="C12740" s="2">
        <f ca="1">IFERROR(__xludf.DUMMYFUNCTION("""COMPUTED_VALUE"""),999)</f>
        <v>999</v>
      </c>
      <c r="D12740" s="8">
        <f ca="1">IFERROR(__xludf.DUMMYFUNCTION("""COMPUTED_VALUE"""),999)</f>
        <v>999</v>
      </c>
      <c r="E12740" s="2">
        <f ca="1">IFERROR(__xludf.DUMMYFUNCTION("""COMPUTED_VALUE"""),999)</f>
        <v>999</v>
      </c>
    </row>
    <row r="12741" spans="1:5" ht="13">
      <c r="A12741" s="2" t="str">
        <f ca="1">IFERROR(__xludf.DUMMYFUNCTION("""COMPUTED_VALUE"""),"Mackenzie-Rogan, John / McAlister, Clark")</f>
        <v>Mackenzie-Rogan, John / McAlister, Clark</v>
      </c>
      <c r="B12741" s="2">
        <f ca="1">IFERROR(__xludf.DUMMYFUNCTION("""COMPUTED_VALUE"""),999)</f>
        <v>999</v>
      </c>
      <c r="C12741" s="2">
        <f ca="1">IFERROR(__xludf.DUMMYFUNCTION("""COMPUTED_VALUE"""),999)</f>
        <v>999</v>
      </c>
      <c r="D12741" s="8">
        <f ca="1">IFERROR(__xludf.DUMMYFUNCTION("""COMPUTED_VALUE"""),999)</f>
        <v>999</v>
      </c>
      <c r="E12741" s="2">
        <f ca="1">IFERROR(__xludf.DUMMYFUNCTION("""COMPUTED_VALUE"""),999)</f>
        <v>999</v>
      </c>
    </row>
    <row r="12742" spans="1:5" ht="13">
      <c r="A12742" s="2" t="str">
        <f ca="1">IFERROR(__xludf.DUMMYFUNCTION("""COMPUTED_VALUE"""),"Maddy")</f>
        <v>Maddy</v>
      </c>
      <c r="B12742" s="2">
        <f ca="1">IFERROR(__xludf.DUMMYFUNCTION("""COMPUTED_VALUE"""),999)</f>
        <v>999</v>
      </c>
      <c r="C12742" s="7">
        <f ca="1">IFERROR(__xludf.DUMMYFUNCTION("""COMPUTED_VALUE"""),999)</f>
        <v>999</v>
      </c>
      <c r="D12742" s="8">
        <f ca="1">IFERROR(__xludf.DUMMYFUNCTION("""COMPUTED_VALUE"""),999)</f>
        <v>999</v>
      </c>
      <c r="E12742" s="2">
        <f ca="1">IFERROR(__xludf.DUMMYFUNCTION("""COMPUTED_VALUE"""),999)</f>
        <v>999</v>
      </c>
    </row>
    <row r="12743" spans="1:5" ht="13">
      <c r="A12743" s="2" t="str">
        <f ca="1">IFERROR(__xludf.DUMMYFUNCTION("""COMPUTED_VALUE"""),"Maddy, Thomas")</f>
        <v>Maddy, Thomas</v>
      </c>
      <c r="B12743" s="2">
        <f ca="1">IFERROR(__xludf.DUMMYFUNCTION("""COMPUTED_VALUE"""),999)</f>
        <v>999</v>
      </c>
      <c r="C12743" s="2">
        <f ca="1">IFERROR(__xludf.DUMMYFUNCTION("""COMPUTED_VALUE"""),999)</f>
        <v>999</v>
      </c>
      <c r="D12743" s="8">
        <f ca="1">IFERROR(__xludf.DUMMYFUNCTION("""COMPUTED_VALUE"""),999)</f>
        <v>999</v>
      </c>
      <c r="E12743" s="2">
        <f ca="1">IFERROR(__xludf.DUMMYFUNCTION("""COMPUTED_VALUE"""),999)</f>
        <v>999</v>
      </c>
    </row>
    <row r="12744" spans="1:5" ht="13">
      <c r="A12744" s="2" t="str">
        <f ca="1">IFERROR(__xludf.DUMMYFUNCTION("""COMPUTED_VALUE"""),"Mahraun, Daniel")</f>
        <v>Mahraun, Daniel</v>
      </c>
      <c r="B12744" s="2">
        <f ca="1">IFERROR(__xludf.DUMMYFUNCTION("""COMPUTED_VALUE"""),999)</f>
        <v>999</v>
      </c>
      <c r="C12744" s="2">
        <f ca="1">IFERROR(__xludf.DUMMYFUNCTION("""COMPUTED_VALUE"""),999)</f>
        <v>999</v>
      </c>
      <c r="D12744" s="8">
        <f ca="1">IFERROR(__xludf.DUMMYFUNCTION("""COMPUTED_VALUE"""),999)</f>
        <v>999</v>
      </c>
      <c r="E12744" s="2">
        <f ca="1">IFERROR(__xludf.DUMMYFUNCTION("""COMPUTED_VALUE"""),999)</f>
        <v>999</v>
      </c>
    </row>
    <row r="12745" spans="1:5" ht="13">
      <c r="A12745" s="2" t="str">
        <f ca="1">IFERROR(__xludf.DUMMYFUNCTION("""COMPUTED_VALUE"""),"Malone")</f>
        <v>Malone</v>
      </c>
      <c r="B12745" s="2">
        <f ca="1">IFERROR(__xludf.DUMMYFUNCTION("""COMPUTED_VALUE"""),999)</f>
        <v>999</v>
      </c>
      <c r="C12745" s="7">
        <f ca="1">IFERROR(__xludf.DUMMYFUNCTION("""COMPUTED_VALUE"""),999)</f>
        <v>999</v>
      </c>
      <c r="D12745" s="8">
        <f ca="1">IFERROR(__xludf.DUMMYFUNCTION("""COMPUTED_VALUE"""),999)</f>
        <v>999</v>
      </c>
      <c r="E12745" s="2">
        <f ca="1">IFERROR(__xludf.DUMMYFUNCTION("""COMPUTED_VALUE"""),999)</f>
        <v>999</v>
      </c>
    </row>
    <row r="12746" spans="1:5" ht="13">
      <c r="A12746" s="2" t="str">
        <f ca="1">IFERROR(__xludf.DUMMYFUNCTION("""COMPUTED_VALUE"""),"Malone, Vernon")</f>
        <v>Malone, Vernon</v>
      </c>
      <c r="B12746" s="2">
        <f ca="1">IFERROR(__xludf.DUMMYFUNCTION("""COMPUTED_VALUE"""),999)</f>
        <v>999</v>
      </c>
      <c r="C12746" s="2">
        <f ca="1">IFERROR(__xludf.DUMMYFUNCTION("""COMPUTED_VALUE"""),999)</f>
        <v>999</v>
      </c>
      <c r="D12746" s="8">
        <f ca="1">IFERROR(__xludf.DUMMYFUNCTION("""COMPUTED_VALUE"""),999)</f>
        <v>999</v>
      </c>
      <c r="E12746" s="2">
        <f ca="1">IFERROR(__xludf.DUMMYFUNCTION("""COMPUTED_VALUE"""),999)</f>
        <v>999</v>
      </c>
    </row>
    <row r="12747" spans="1:5" ht="13">
      <c r="A12747" s="2" t="str">
        <f ca="1">IFERROR(__xludf.DUMMYFUNCTION("""COMPUTED_VALUE"""),"Manney, Charles")</f>
        <v>Manney, Charles</v>
      </c>
      <c r="B12747" s="2">
        <f ca="1">IFERROR(__xludf.DUMMYFUNCTION("""COMPUTED_VALUE"""),999)</f>
        <v>999</v>
      </c>
      <c r="C12747" s="2">
        <f ca="1">IFERROR(__xludf.DUMMYFUNCTION("""COMPUTED_VALUE"""),999)</f>
        <v>999</v>
      </c>
      <c r="D12747" s="8">
        <f ca="1">IFERROR(__xludf.DUMMYFUNCTION("""COMPUTED_VALUE"""),999)</f>
        <v>999</v>
      </c>
      <c r="E12747" s="2">
        <f ca="1">IFERROR(__xludf.DUMMYFUNCTION("""COMPUTED_VALUE"""),999)</f>
        <v>999</v>
      </c>
    </row>
    <row r="12748" spans="1:5" ht="13">
      <c r="A12748" s="2" t="str">
        <f ca="1">IFERROR(__xludf.DUMMYFUNCTION("""COMPUTED_VALUE"""),"Manny (unknown)")</f>
        <v>Manny (unknown)</v>
      </c>
      <c r="B12748" s="2">
        <f ca="1">IFERROR(__xludf.DUMMYFUNCTION("""COMPUTED_VALUE"""),999)</f>
        <v>999</v>
      </c>
      <c r="C12748" s="7">
        <f ca="1">IFERROR(__xludf.DUMMYFUNCTION("""COMPUTED_VALUE"""),999)</f>
        <v>999</v>
      </c>
      <c r="D12748" s="8">
        <f ca="1">IFERROR(__xludf.DUMMYFUNCTION("""COMPUTED_VALUE"""),999)</f>
        <v>999</v>
      </c>
      <c r="E12748" s="2">
        <f ca="1">IFERROR(__xludf.DUMMYFUNCTION("""COMPUTED_VALUE"""),999)</f>
        <v>999</v>
      </c>
    </row>
    <row r="12749" spans="1:5" ht="13">
      <c r="A12749" s="2" t="str">
        <f ca="1">IFERROR(__xludf.DUMMYFUNCTION("""COMPUTED_VALUE"""),"Marales (unknown)")</f>
        <v>Marales (unknown)</v>
      </c>
      <c r="B12749" s="2">
        <f ca="1">IFERROR(__xludf.DUMMYFUNCTION("""COMPUTED_VALUE"""),999)</f>
        <v>999</v>
      </c>
      <c r="C12749" s="2">
        <f ca="1">IFERROR(__xludf.DUMMYFUNCTION("""COMPUTED_VALUE"""),999)</f>
        <v>999</v>
      </c>
      <c r="D12749" s="8">
        <f ca="1">IFERROR(__xludf.DUMMYFUNCTION("""COMPUTED_VALUE"""),999)</f>
        <v>999</v>
      </c>
      <c r="E12749" s="2">
        <f ca="1">IFERROR(__xludf.DUMMYFUNCTION("""COMPUTED_VALUE"""),999)</f>
        <v>999</v>
      </c>
    </row>
    <row r="12750" spans="1:5" ht="13">
      <c r="A12750" s="2" t="str">
        <f ca="1">IFERROR(__xludf.DUMMYFUNCTION("""COMPUTED_VALUE"""),"Marano (unknown)")</f>
        <v>Marano (unknown)</v>
      </c>
      <c r="B12750" s="2">
        <f ca="1">IFERROR(__xludf.DUMMYFUNCTION("""COMPUTED_VALUE"""),999)</f>
        <v>999</v>
      </c>
      <c r="C12750" s="7">
        <f ca="1">IFERROR(__xludf.DUMMYFUNCTION("""COMPUTED_VALUE"""),999)</f>
        <v>999</v>
      </c>
      <c r="D12750" s="8">
        <f ca="1">IFERROR(__xludf.DUMMYFUNCTION("""COMPUTED_VALUE"""),999)</f>
        <v>999</v>
      </c>
      <c r="E12750" s="2">
        <f ca="1">IFERROR(__xludf.DUMMYFUNCTION("""COMPUTED_VALUE"""),999)</f>
        <v>999</v>
      </c>
    </row>
    <row r="12751" spans="1:5" ht="13">
      <c r="A12751" s="8" t="str">
        <f ca="1">IFERROR(__xludf.DUMMYFUNCTION("""COMPUTED_VALUE"""),"March, G. J.")</f>
        <v>March, G. J.</v>
      </c>
      <c r="B12751" s="2">
        <f ca="1">IFERROR(__xludf.DUMMYFUNCTION("""COMPUTED_VALUE"""),999)</f>
        <v>999</v>
      </c>
      <c r="C12751" s="7">
        <f ca="1">IFERROR(__xludf.DUMMYFUNCTION("""COMPUTED_VALUE"""),999)</f>
        <v>999</v>
      </c>
      <c r="D12751" s="8">
        <f ca="1">IFERROR(__xludf.DUMMYFUNCTION("""COMPUTED_VALUE"""),999)</f>
        <v>999</v>
      </c>
      <c r="E12751" s="2">
        <f ca="1">IFERROR(__xludf.DUMMYFUNCTION("""COMPUTED_VALUE"""),999)</f>
        <v>999</v>
      </c>
    </row>
    <row r="12752" spans="1:5" ht="13">
      <c r="A12752" s="2" t="str">
        <f ca="1">IFERROR(__xludf.DUMMYFUNCTION("""COMPUTED_VALUE"""),"Marciniak, Thad")</f>
        <v>Marciniak, Thad</v>
      </c>
      <c r="B12752" s="2">
        <f ca="1">IFERROR(__xludf.DUMMYFUNCTION("""COMPUTED_VALUE"""),999)</f>
        <v>999</v>
      </c>
      <c r="C12752" s="2">
        <f ca="1">IFERROR(__xludf.DUMMYFUNCTION("""COMPUTED_VALUE"""),999)</f>
        <v>999</v>
      </c>
      <c r="D12752" s="8">
        <f ca="1">IFERROR(__xludf.DUMMYFUNCTION("""COMPUTED_VALUE"""),999)</f>
        <v>999</v>
      </c>
      <c r="E12752" s="2">
        <f ca="1">IFERROR(__xludf.DUMMYFUNCTION("""COMPUTED_VALUE"""),999)</f>
        <v>999</v>
      </c>
    </row>
    <row r="12753" spans="1:5" ht="13">
      <c r="A12753" s="2" t="str">
        <f ca="1">IFERROR(__xludf.DUMMYFUNCTION("""COMPUTED_VALUE"""),"Marinello")</f>
        <v>Marinello</v>
      </c>
      <c r="B12753" s="2">
        <f ca="1">IFERROR(__xludf.DUMMYFUNCTION("""COMPUTED_VALUE"""),999)</f>
        <v>999</v>
      </c>
      <c r="C12753" s="7">
        <f ca="1">IFERROR(__xludf.DUMMYFUNCTION("""COMPUTED_VALUE"""),999)</f>
        <v>999</v>
      </c>
      <c r="D12753" s="8">
        <f ca="1">IFERROR(__xludf.DUMMYFUNCTION("""COMPUTED_VALUE"""),999)</f>
        <v>999</v>
      </c>
      <c r="E12753" s="2">
        <f ca="1">IFERROR(__xludf.DUMMYFUNCTION("""COMPUTED_VALUE"""),999)</f>
        <v>999</v>
      </c>
    </row>
    <row r="12754" spans="1:5" ht="13">
      <c r="A12754" s="2" t="str">
        <f ca="1">IFERROR(__xludf.DUMMYFUNCTION("""COMPUTED_VALUE"""),"Marques Garrett, Samuel Carlton, Dan Forrest")</f>
        <v>Marques Garrett, Samuel Carlton, Dan Forrest</v>
      </c>
      <c r="B12754" s="2">
        <f ca="1">IFERROR(__xludf.DUMMYFUNCTION("""COMPUTED_VALUE"""),999)</f>
        <v>999</v>
      </c>
      <c r="C12754" s="2">
        <f ca="1">IFERROR(__xludf.DUMMYFUNCTION("""COMPUTED_VALUE"""),999)</f>
        <v>999</v>
      </c>
      <c r="D12754" s="8">
        <f ca="1">IFERROR(__xludf.DUMMYFUNCTION("""COMPUTED_VALUE"""),999)</f>
        <v>999</v>
      </c>
      <c r="E12754" s="2">
        <f ca="1">IFERROR(__xludf.DUMMYFUNCTION("""COMPUTED_VALUE"""),999)</f>
        <v>999</v>
      </c>
    </row>
    <row r="12755" spans="1:5" ht="13">
      <c r="A12755" s="2" t="str">
        <f ca="1">IFERROR(__xludf.DUMMYFUNCTION("""COMPUTED_VALUE"""),"Marrazzo, Randi")</f>
        <v>Marrazzo, Randi</v>
      </c>
      <c r="B12755" s="2">
        <f ca="1">IFERROR(__xludf.DUMMYFUNCTION("""COMPUTED_VALUE"""),999)</f>
        <v>999</v>
      </c>
      <c r="C12755" s="2">
        <f ca="1">IFERROR(__xludf.DUMMYFUNCTION("""COMPUTED_VALUE"""),999)</f>
        <v>999</v>
      </c>
      <c r="D12755" s="8">
        <f ca="1">IFERROR(__xludf.DUMMYFUNCTION("""COMPUTED_VALUE"""),999)</f>
        <v>999</v>
      </c>
      <c r="E12755" s="2">
        <f ca="1">IFERROR(__xludf.DUMMYFUNCTION("""COMPUTED_VALUE"""),999)</f>
        <v>999</v>
      </c>
    </row>
    <row r="12756" spans="1:5" ht="13">
      <c r="A12756" s="2" t="str">
        <f ca="1">IFERROR(__xludf.DUMMYFUNCTION("""COMPUTED_VALUE"""),"Marsh, W. J.")</f>
        <v>Marsh, W. J.</v>
      </c>
      <c r="B12756" s="2">
        <f ca="1">IFERROR(__xludf.DUMMYFUNCTION("""COMPUTED_VALUE"""),999)</f>
        <v>999</v>
      </c>
      <c r="C12756" s="2">
        <f ca="1">IFERROR(__xludf.DUMMYFUNCTION("""COMPUTED_VALUE"""),999)</f>
        <v>999</v>
      </c>
      <c r="D12756" s="8">
        <f ca="1">IFERROR(__xludf.DUMMYFUNCTION("""COMPUTED_VALUE"""),999)</f>
        <v>999</v>
      </c>
      <c r="E12756" s="2">
        <f ca="1">IFERROR(__xludf.DUMMYFUNCTION("""COMPUTED_VALUE"""),999)</f>
        <v>999</v>
      </c>
    </row>
    <row r="12757" spans="1:5" ht="13">
      <c r="A12757" s="2" t="str">
        <f ca="1">IFERROR(__xludf.DUMMYFUNCTION("""COMPUTED_VALUE"""),"Marshall, Charles")</f>
        <v>Marshall, Charles</v>
      </c>
      <c r="B12757" s="2">
        <f ca="1">IFERROR(__xludf.DUMMYFUNCTION("""COMPUTED_VALUE"""),999)</f>
        <v>999</v>
      </c>
      <c r="C12757" s="2">
        <f ca="1">IFERROR(__xludf.DUMMYFUNCTION("""COMPUTED_VALUE"""),999)</f>
        <v>999</v>
      </c>
      <c r="D12757" s="8">
        <f ca="1">IFERROR(__xludf.DUMMYFUNCTION("""COMPUTED_VALUE"""),999)</f>
        <v>999</v>
      </c>
      <c r="E12757" s="2">
        <f ca="1">IFERROR(__xludf.DUMMYFUNCTION("""COMPUTED_VALUE"""),999)</f>
        <v>999</v>
      </c>
    </row>
    <row r="12758" spans="1:5" ht="13">
      <c r="A12758" s="2" t="str">
        <f ca="1">IFERROR(__xludf.DUMMYFUNCTION("""COMPUTED_VALUE"""),"Marvin, James")</f>
        <v>Marvin, James</v>
      </c>
      <c r="B12758" s="2">
        <f ca="1">IFERROR(__xludf.DUMMYFUNCTION("""COMPUTED_VALUE"""),999)</f>
        <v>999</v>
      </c>
      <c r="C12758" s="2">
        <f ca="1">IFERROR(__xludf.DUMMYFUNCTION("""COMPUTED_VALUE"""),999)</f>
        <v>999</v>
      </c>
      <c r="D12758" s="8">
        <f ca="1">IFERROR(__xludf.DUMMYFUNCTION("""COMPUTED_VALUE"""),999)</f>
        <v>999</v>
      </c>
      <c r="E12758" s="2">
        <f ca="1">IFERROR(__xludf.DUMMYFUNCTION("""COMPUTED_VALUE"""),999)</f>
        <v>999</v>
      </c>
    </row>
    <row r="12759" spans="1:5" ht="13">
      <c r="A12759" s="2" t="str">
        <f ca="1">IFERROR(__xludf.DUMMYFUNCTION("""COMPUTED_VALUE"""),"Mason, Geoffry")</f>
        <v>Mason, Geoffry</v>
      </c>
      <c r="B12759" s="2">
        <f ca="1">IFERROR(__xludf.DUMMYFUNCTION("""COMPUTED_VALUE"""),999)</f>
        <v>999</v>
      </c>
      <c r="C12759" s="2">
        <f ca="1">IFERROR(__xludf.DUMMYFUNCTION("""COMPUTED_VALUE"""),999)</f>
        <v>999</v>
      </c>
      <c r="D12759" s="8">
        <f ca="1">IFERROR(__xludf.DUMMYFUNCTION("""COMPUTED_VALUE"""),999)</f>
        <v>999</v>
      </c>
      <c r="E12759" s="2">
        <f ca="1">IFERROR(__xludf.DUMMYFUNCTION("""COMPUTED_VALUE"""),999)</f>
        <v>999</v>
      </c>
    </row>
    <row r="12760" spans="1:5" ht="13">
      <c r="A12760" s="2" t="str">
        <f ca="1">IFERROR(__xludf.DUMMYFUNCTION("""COMPUTED_VALUE"""),"Mason, Patrick")</f>
        <v>Mason, Patrick</v>
      </c>
      <c r="B12760" s="2">
        <f ca="1">IFERROR(__xludf.DUMMYFUNCTION("""COMPUTED_VALUE"""),999)</f>
        <v>999</v>
      </c>
      <c r="C12760" s="2">
        <f ca="1">IFERROR(__xludf.DUMMYFUNCTION("""COMPUTED_VALUE"""),999)</f>
        <v>999</v>
      </c>
      <c r="D12760" s="8">
        <f ca="1">IFERROR(__xludf.DUMMYFUNCTION("""COMPUTED_VALUE"""),999)</f>
        <v>999</v>
      </c>
      <c r="E12760" s="2">
        <f ca="1">IFERROR(__xludf.DUMMYFUNCTION("""COMPUTED_VALUE"""),999)</f>
        <v>999</v>
      </c>
    </row>
    <row r="12761" spans="1:5" ht="13">
      <c r="A12761" s="8" t="str">
        <f ca="1">IFERROR(__xludf.DUMMYFUNCTION("""COMPUTED_VALUE"""),"Massena (unknown)")</f>
        <v>Massena (unknown)</v>
      </c>
      <c r="B12761" s="2">
        <f ca="1">IFERROR(__xludf.DUMMYFUNCTION("""COMPUTED_VALUE"""),999)</f>
        <v>999</v>
      </c>
      <c r="C12761" s="7">
        <f ca="1">IFERROR(__xludf.DUMMYFUNCTION("""COMPUTED_VALUE"""),999)</f>
        <v>999</v>
      </c>
      <c r="D12761" s="8">
        <f ca="1">IFERROR(__xludf.DUMMYFUNCTION("""COMPUTED_VALUE"""),999)</f>
        <v>999</v>
      </c>
      <c r="E12761" s="2">
        <f ca="1">IFERROR(__xludf.DUMMYFUNCTION("""COMPUTED_VALUE"""),999)</f>
        <v>999</v>
      </c>
    </row>
    <row r="12762" spans="1:5" ht="13">
      <c r="A12762" s="2" t="str">
        <f ca="1">IFERROR(__xludf.DUMMYFUNCTION("""COMPUTED_VALUE"""),"Matheny (unknown)")</f>
        <v>Matheny (unknown)</v>
      </c>
      <c r="B12762" s="2">
        <f ca="1">IFERROR(__xludf.DUMMYFUNCTION("""COMPUTED_VALUE"""),999)</f>
        <v>999</v>
      </c>
      <c r="C12762" s="7">
        <f ca="1">IFERROR(__xludf.DUMMYFUNCTION("""COMPUTED_VALUE"""),999)</f>
        <v>999</v>
      </c>
      <c r="D12762" s="8">
        <f ca="1">IFERROR(__xludf.DUMMYFUNCTION("""COMPUTED_VALUE"""),999)</f>
        <v>999</v>
      </c>
      <c r="E12762" s="2">
        <f ca="1">IFERROR(__xludf.DUMMYFUNCTION("""COMPUTED_VALUE"""),999)</f>
        <v>999</v>
      </c>
    </row>
    <row r="12763" spans="1:5" ht="13">
      <c r="A12763" s="2" t="str">
        <f ca="1">IFERROR(__xludf.DUMMYFUNCTION("""COMPUTED_VALUE"""),"Mattfeld, Victor")</f>
        <v>Mattfeld, Victor</v>
      </c>
      <c r="B12763" s="2">
        <f ca="1">IFERROR(__xludf.DUMMYFUNCTION("""COMPUTED_VALUE"""),999)</f>
        <v>999</v>
      </c>
      <c r="C12763" s="2">
        <f ca="1">IFERROR(__xludf.DUMMYFUNCTION("""COMPUTED_VALUE"""),999)</f>
        <v>999</v>
      </c>
      <c r="D12763" s="8">
        <f ca="1">IFERROR(__xludf.DUMMYFUNCTION("""COMPUTED_VALUE"""),999)</f>
        <v>999</v>
      </c>
      <c r="E12763" s="2">
        <f ca="1">IFERROR(__xludf.DUMMYFUNCTION("""COMPUTED_VALUE"""),999)</f>
        <v>999</v>
      </c>
    </row>
    <row r="12764" spans="1:5" ht="13">
      <c r="A12764" s="2" t="str">
        <f ca="1">IFERROR(__xludf.DUMMYFUNCTION("""COMPUTED_VALUE"""),"Maylor (unknown)")</f>
        <v>Maylor (unknown)</v>
      </c>
      <c r="B12764" s="2">
        <f ca="1">IFERROR(__xludf.DUMMYFUNCTION("""COMPUTED_VALUE"""),999)</f>
        <v>999</v>
      </c>
      <c r="C12764" s="7">
        <f ca="1">IFERROR(__xludf.DUMMYFUNCTION("""COMPUTED_VALUE"""),999)</f>
        <v>999</v>
      </c>
      <c r="D12764" s="8">
        <f ca="1">IFERROR(__xludf.DUMMYFUNCTION("""COMPUTED_VALUE"""),999)</f>
        <v>999</v>
      </c>
      <c r="E12764" s="2">
        <f ca="1">IFERROR(__xludf.DUMMYFUNCTION("""COMPUTED_VALUE"""),999)</f>
        <v>999</v>
      </c>
    </row>
    <row r="12765" spans="1:5" ht="13">
      <c r="A12765" s="2" t="str">
        <f ca="1">IFERROR(__xludf.DUMMYFUNCTION("""COMPUTED_VALUE"""),"McAlister, R.")</f>
        <v>McAlister, R.</v>
      </c>
      <c r="B12765" s="2">
        <f ca="1">IFERROR(__xludf.DUMMYFUNCTION("""COMPUTED_VALUE"""),999)</f>
        <v>999</v>
      </c>
      <c r="C12765" s="7">
        <f ca="1">IFERROR(__xludf.DUMMYFUNCTION("""COMPUTED_VALUE"""),999)</f>
        <v>999</v>
      </c>
      <c r="D12765" s="8">
        <f ca="1">IFERROR(__xludf.DUMMYFUNCTION("""COMPUTED_VALUE"""),999)</f>
        <v>999</v>
      </c>
      <c r="E12765" s="2">
        <f ca="1">IFERROR(__xludf.DUMMYFUNCTION("""COMPUTED_VALUE"""),999)</f>
        <v>999</v>
      </c>
    </row>
    <row r="12766" spans="1:5" ht="13">
      <c r="A12766" s="2" t="str">
        <f ca="1">IFERROR(__xludf.DUMMYFUNCTION("""COMPUTED_VALUE"""),"McCay (unknown)")</f>
        <v>McCay (unknown)</v>
      </c>
      <c r="B12766" s="2">
        <f ca="1">IFERROR(__xludf.DUMMYFUNCTION("""COMPUTED_VALUE"""),999)</f>
        <v>999</v>
      </c>
      <c r="C12766" s="2">
        <f ca="1">IFERROR(__xludf.DUMMYFUNCTION("""COMPUTED_VALUE"""),999)</f>
        <v>999</v>
      </c>
      <c r="D12766" s="8">
        <f ca="1">IFERROR(__xludf.DUMMYFUNCTION("""COMPUTED_VALUE"""),999)</f>
        <v>999</v>
      </c>
      <c r="E12766" s="2">
        <f ca="1">IFERROR(__xludf.DUMMYFUNCTION("""COMPUTED_VALUE"""),999)</f>
        <v>999</v>
      </c>
    </row>
    <row r="12767" spans="1:5" ht="13">
      <c r="A12767" s="2" t="str">
        <f ca="1">IFERROR(__xludf.DUMMYFUNCTION("""COMPUTED_VALUE"""),"McConnell, Paul")</f>
        <v>McConnell, Paul</v>
      </c>
      <c r="B12767" s="2">
        <f ca="1">IFERROR(__xludf.DUMMYFUNCTION("""COMPUTED_VALUE"""),999)</f>
        <v>999</v>
      </c>
      <c r="C12767" s="2">
        <f ca="1">IFERROR(__xludf.DUMMYFUNCTION("""COMPUTED_VALUE"""),999)</f>
        <v>999</v>
      </c>
      <c r="D12767" s="8">
        <f ca="1">IFERROR(__xludf.DUMMYFUNCTION("""COMPUTED_VALUE"""),999)</f>
        <v>999</v>
      </c>
      <c r="E12767" s="2">
        <f ca="1">IFERROR(__xludf.DUMMYFUNCTION("""COMPUTED_VALUE"""),999)</f>
        <v>999</v>
      </c>
    </row>
    <row r="12768" spans="1:5" ht="13">
      <c r="A12768" s="2" t="str">
        <f ca="1">IFERROR(__xludf.DUMMYFUNCTION("""COMPUTED_VALUE"""),"McDowell, Archibald")</f>
        <v>McDowell, Archibald</v>
      </c>
      <c r="B12768" s="2">
        <f ca="1">IFERROR(__xludf.DUMMYFUNCTION("""COMPUTED_VALUE"""),999)</f>
        <v>999</v>
      </c>
      <c r="C12768" s="2">
        <f ca="1">IFERROR(__xludf.DUMMYFUNCTION("""COMPUTED_VALUE"""),999)</f>
        <v>999</v>
      </c>
      <c r="D12768" s="8">
        <f ca="1">IFERROR(__xludf.DUMMYFUNCTION("""COMPUTED_VALUE"""),999)</f>
        <v>999</v>
      </c>
      <c r="E12768" s="2">
        <f ca="1">IFERROR(__xludf.DUMMYFUNCTION("""COMPUTED_VALUE"""),999)</f>
        <v>999</v>
      </c>
    </row>
    <row r="12769" spans="1:5" ht="13">
      <c r="A12769" s="2" t="str">
        <f ca="1">IFERROR(__xludf.DUMMYFUNCTION("""COMPUTED_VALUE"""),"Mcnail, Albert")</f>
        <v>Mcnail, Albert</v>
      </c>
      <c r="B12769" s="2">
        <f ca="1">IFERROR(__xludf.DUMMYFUNCTION("""COMPUTED_VALUE"""),999)</f>
        <v>999</v>
      </c>
      <c r="C12769" s="2">
        <f ca="1">IFERROR(__xludf.DUMMYFUNCTION("""COMPUTED_VALUE"""),999)</f>
        <v>999</v>
      </c>
      <c r="D12769" s="8">
        <f ca="1">IFERROR(__xludf.DUMMYFUNCTION("""COMPUTED_VALUE"""),999)</f>
        <v>999</v>
      </c>
      <c r="E12769" s="2">
        <f ca="1">IFERROR(__xludf.DUMMYFUNCTION("""COMPUTED_VALUE"""),999)</f>
        <v>999</v>
      </c>
    </row>
    <row r="12770" spans="1:5" ht="13">
      <c r="A12770" s="2" t="str">
        <f ca="1">IFERROR(__xludf.DUMMYFUNCTION("""COMPUTED_VALUE"""),"McNair (unknown)")</f>
        <v>McNair (unknown)</v>
      </c>
      <c r="B12770" s="2">
        <f ca="1">IFERROR(__xludf.DUMMYFUNCTION("""COMPUTED_VALUE"""),999)</f>
        <v>999</v>
      </c>
      <c r="C12770" s="7">
        <f ca="1">IFERROR(__xludf.DUMMYFUNCTION("""COMPUTED_VALUE"""),999)</f>
        <v>999</v>
      </c>
      <c r="D12770" s="8">
        <f ca="1">IFERROR(__xludf.DUMMYFUNCTION("""COMPUTED_VALUE"""),999)</f>
        <v>999</v>
      </c>
      <c r="E12770" s="2">
        <f ca="1">IFERROR(__xludf.DUMMYFUNCTION("""COMPUTED_VALUE"""),999)</f>
        <v>999</v>
      </c>
    </row>
    <row r="12771" spans="1:5" ht="13">
      <c r="A12771" s="2" t="str">
        <f ca="1">IFERROR(__xludf.DUMMYFUNCTION("""COMPUTED_VALUE"""),"McWilliams, Rob")</f>
        <v>McWilliams, Rob</v>
      </c>
      <c r="B12771" s="2">
        <f ca="1">IFERROR(__xludf.DUMMYFUNCTION("""COMPUTED_VALUE"""),999)</f>
        <v>999</v>
      </c>
      <c r="C12771" s="2">
        <f ca="1">IFERROR(__xludf.DUMMYFUNCTION("""COMPUTED_VALUE"""),999)</f>
        <v>999</v>
      </c>
      <c r="D12771" s="8">
        <f ca="1">IFERROR(__xludf.DUMMYFUNCTION("""COMPUTED_VALUE"""),999)</f>
        <v>999</v>
      </c>
      <c r="E12771" s="2">
        <f ca="1">IFERROR(__xludf.DUMMYFUNCTION("""COMPUTED_VALUE"""),999)</f>
        <v>999</v>
      </c>
    </row>
    <row r="12772" spans="1:5" ht="13">
      <c r="A12772" s="8" t="str">
        <f ca="1">IFERROR(__xludf.DUMMYFUNCTION("""COMPUTED_VALUE"""),"Medrano, E.")</f>
        <v>Medrano, E.</v>
      </c>
      <c r="B12772" s="2">
        <f ca="1">IFERROR(__xludf.DUMMYFUNCTION("""COMPUTED_VALUE"""),999)</f>
        <v>999</v>
      </c>
      <c r="C12772" s="7">
        <f ca="1">IFERROR(__xludf.DUMMYFUNCTION("""COMPUTED_VALUE"""),999)</f>
        <v>999</v>
      </c>
      <c r="D12772" s="8">
        <f ca="1">IFERROR(__xludf.DUMMYFUNCTION("""COMPUTED_VALUE"""),999)</f>
        <v>999</v>
      </c>
      <c r="E12772" s="2">
        <f ca="1">IFERROR(__xludf.DUMMYFUNCTION("""COMPUTED_VALUE"""),999)</f>
        <v>999</v>
      </c>
    </row>
    <row r="12773" spans="1:5" ht="13">
      <c r="A12773" s="8" t="str">
        <f ca="1">IFERROR(__xludf.DUMMYFUNCTION("""COMPUTED_VALUE"""),"Mele, F.")</f>
        <v>Mele, F.</v>
      </c>
      <c r="B12773" s="2">
        <f ca="1">IFERROR(__xludf.DUMMYFUNCTION("""COMPUTED_VALUE"""),999)</f>
        <v>999</v>
      </c>
      <c r="C12773" s="7">
        <f ca="1">IFERROR(__xludf.DUMMYFUNCTION("""COMPUTED_VALUE"""),999)</f>
        <v>999</v>
      </c>
      <c r="D12773" s="8">
        <f ca="1">IFERROR(__xludf.DUMMYFUNCTION("""COMPUTED_VALUE"""),999)</f>
        <v>999</v>
      </c>
      <c r="E12773" s="2">
        <f ca="1">IFERROR(__xludf.DUMMYFUNCTION("""COMPUTED_VALUE"""),999)</f>
        <v>999</v>
      </c>
    </row>
    <row r="12774" spans="1:5" ht="13">
      <c r="A12774" s="2" t="str">
        <f ca="1">IFERROR(__xludf.DUMMYFUNCTION("""COMPUTED_VALUE"""),"Melvill, Terri")</f>
        <v>Melvill, Terri</v>
      </c>
      <c r="B12774" s="2">
        <f ca="1">IFERROR(__xludf.DUMMYFUNCTION("""COMPUTED_VALUE"""),999)</f>
        <v>999</v>
      </c>
      <c r="C12774" s="7">
        <f ca="1">IFERROR(__xludf.DUMMYFUNCTION("""COMPUTED_VALUE"""),999)</f>
        <v>999</v>
      </c>
      <c r="D12774" s="8">
        <f ca="1">IFERROR(__xludf.DUMMYFUNCTION("""COMPUTED_VALUE"""),999)</f>
        <v>999</v>
      </c>
      <c r="E12774" s="2">
        <f ca="1">IFERROR(__xludf.DUMMYFUNCTION("""COMPUTED_VALUE"""),999)</f>
        <v>999</v>
      </c>
    </row>
    <row r="12775" spans="1:5" ht="13">
      <c r="A12775" s="2" t="str">
        <f ca="1">IFERROR(__xludf.DUMMYFUNCTION("""COMPUTED_VALUE"""),"Mendel, Arthur")</f>
        <v>Mendel, Arthur</v>
      </c>
      <c r="B12775" s="2">
        <f ca="1">IFERROR(__xludf.DUMMYFUNCTION("""COMPUTED_VALUE"""),999)</f>
        <v>999</v>
      </c>
      <c r="C12775" s="2">
        <f ca="1">IFERROR(__xludf.DUMMYFUNCTION("""COMPUTED_VALUE"""),999)</f>
        <v>999</v>
      </c>
      <c r="D12775" s="8">
        <f ca="1">IFERROR(__xludf.DUMMYFUNCTION("""COMPUTED_VALUE"""),999)</f>
        <v>999</v>
      </c>
      <c r="E12775" s="2">
        <f ca="1">IFERROR(__xludf.DUMMYFUNCTION("""COMPUTED_VALUE"""),999)</f>
        <v>999</v>
      </c>
    </row>
    <row r="12776" spans="1:5" ht="13">
      <c r="A12776" s="8" t="str">
        <f ca="1">IFERROR(__xludf.DUMMYFUNCTION("""COMPUTED_VALUE"""),"Mendez, Garrett")</f>
        <v>Mendez, Garrett</v>
      </c>
      <c r="B12776" s="3">
        <f ca="1">IFERROR(__xludf.DUMMYFUNCTION("""COMPUTED_VALUE"""),999)</f>
        <v>999</v>
      </c>
      <c r="C12776" s="7">
        <f ca="1">IFERROR(__xludf.DUMMYFUNCTION("""COMPUTED_VALUE"""),999)</f>
        <v>999</v>
      </c>
      <c r="D12776" s="8">
        <f ca="1">IFERROR(__xludf.DUMMYFUNCTION("""COMPUTED_VALUE"""),999)</f>
        <v>999</v>
      </c>
      <c r="E12776" s="2">
        <f ca="1">IFERROR(__xludf.DUMMYFUNCTION("""COMPUTED_VALUE"""),999)</f>
        <v>999</v>
      </c>
    </row>
    <row r="12777" spans="1:5" ht="13">
      <c r="A12777" s="8" t="str">
        <f ca="1">IFERROR(__xludf.DUMMYFUNCTION("""COMPUTED_VALUE"""),"Meneses, Julianna")</f>
        <v>Meneses, Julianna</v>
      </c>
      <c r="B12777" s="3">
        <f ca="1">IFERROR(__xludf.DUMMYFUNCTION("""COMPUTED_VALUE"""),999)</f>
        <v>999</v>
      </c>
      <c r="C12777" s="7">
        <f ca="1">IFERROR(__xludf.DUMMYFUNCTION("""COMPUTED_VALUE"""),999)</f>
        <v>999</v>
      </c>
      <c r="D12777" s="8">
        <f ca="1">IFERROR(__xludf.DUMMYFUNCTION("""COMPUTED_VALUE"""),999)</f>
        <v>999</v>
      </c>
      <c r="E12777" s="2">
        <f ca="1">IFERROR(__xludf.DUMMYFUNCTION("""COMPUTED_VALUE"""),999)</f>
        <v>999</v>
      </c>
    </row>
    <row r="12778" spans="1:5" ht="13">
      <c r="A12778" s="2" t="str">
        <f ca="1">IFERROR(__xludf.DUMMYFUNCTION("""COMPUTED_VALUE"""),"Meretta, Leonard V.")</f>
        <v>Meretta, Leonard V.</v>
      </c>
      <c r="B12778" s="2">
        <f ca="1">IFERROR(__xludf.DUMMYFUNCTION("""COMPUTED_VALUE"""),999)</f>
        <v>999</v>
      </c>
      <c r="C12778" s="2">
        <f ca="1">IFERROR(__xludf.DUMMYFUNCTION("""COMPUTED_VALUE"""),999)</f>
        <v>999</v>
      </c>
      <c r="D12778" s="8">
        <f ca="1">IFERROR(__xludf.DUMMYFUNCTION("""COMPUTED_VALUE"""),999)</f>
        <v>999</v>
      </c>
      <c r="E12778" s="2">
        <f ca="1">IFERROR(__xludf.DUMMYFUNCTION("""COMPUTED_VALUE"""),999)</f>
        <v>999</v>
      </c>
    </row>
    <row r="12779" spans="1:5" ht="13">
      <c r="A12779" s="2" t="str">
        <f ca="1">IFERROR(__xludf.DUMMYFUNCTION("""COMPUTED_VALUE"""),"Meuller (unknown)")</f>
        <v>Meuller (unknown)</v>
      </c>
      <c r="B12779" s="2">
        <f ca="1">IFERROR(__xludf.DUMMYFUNCTION("""COMPUTED_VALUE"""),999)</f>
        <v>999</v>
      </c>
      <c r="C12779" s="7">
        <f ca="1">IFERROR(__xludf.DUMMYFUNCTION("""COMPUTED_VALUE"""),999)</f>
        <v>999</v>
      </c>
      <c r="D12779" s="8">
        <f ca="1">IFERROR(__xludf.DUMMYFUNCTION("""COMPUTED_VALUE"""),999)</f>
        <v>999</v>
      </c>
      <c r="E12779" s="2">
        <f ca="1">IFERROR(__xludf.DUMMYFUNCTION("""COMPUTED_VALUE"""),999)</f>
        <v>999</v>
      </c>
    </row>
    <row r="12780" spans="1:5" ht="13">
      <c r="A12780" s="2" t="str">
        <f ca="1">IFERROR(__xludf.DUMMYFUNCTION("""COMPUTED_VALUE"""),"Meyer, Steven")</f>
        <v>Meyer, Steven</v>
      </c>
      <c r="B12780" s="2">
        <f ca="1">IFERROR(__xludf.DUMMYFUNCTION("""COMPUTED_VALUE"""),999)</f>
        <v>999</v>
      </c>
      <c r="C12780" s="2">
        <f ca="1">IFERROR(__xludf.DUMMYFUNCTION("""COMPUTED_VALUE"""),999)</f>
        <v>999</v>
      </c>
      <c r="D12780" s="8">
        <f ca="1">IFERROR(__xludf.DUMMYFUNCTION("""COMPUTED_VALUE"""),999)</f>
        <v>999</v>
      </c>
      <c r="E12780" s="2">
        <f ca="1">IFERROR(__xludf.DUMMYFUNCTION("""COMPUTED_VALUE"""),999)</f>
        <v>999</v>
      </c>
    </row>
    <row r="12781" spans="1:5" ht="13">
      <c r="A12781" s="2" t="str">
        <f ca="1">IFERROR(__xludf.DUMMYFUNCTION("""COMPUTED_VALUE"""),"Meyers, Carl")</f>
        <v>Meyers, Carl</v>
      </c>
      <c r="B12781" s="2">
        <f ca="1">IFERROR(__xludf.DUMMYFUNCTION("""COMPUTED_VALUE"""),999)</f>
        <v>999</v>
      </c>
      <c r="C12781" s="2">
        <f ca="1">IFERROR(__xludf.DUMMYFUNCTION("""COMPUTED_VALUE"""),999)</f>
        <v>999</v>
      </c>
      <c r="D12781" s="8">
        <f ca="1">IFERROR(__xludf.DUMMYFUNCTION("""COMPUTED_VALUE"""),999)</f>
        <v>999</v>
      </c>
      <c r="E12781" s="2">
        <f ca="1">IFERROR(__xludf.DUMMYFUNCTION("""COMPUTED_VALUE"""),999)</f>
        <v>999</v>
      </c>
    </row>
    <row r="12782" spans="1:5" ht="13">
      <c r="A12782" s="2" t="str">
        <f ca="1">IFERROR(__xludf.DUMMYFUNCTION("""COMPUTED_VALUE"""),"Michaels")</f>
        <v>Michaels</v>
      </c>
      <c r="B12782" s="2">
        <f ca="1">IFERROR(__xludf.DUMMYFUNCTION("""COMPUTED_VALUE"""),999)</f>
        <v>999</v>
      </c>
      <c r="C12782" s="7">
        <f ca="1">IFERROR(__xludf.DUMMYFUNCTION("""COMPUTED_VALUE"""),999)</f>
        <v>999</v>
      </c>
      <c r="D12782" s="8">
        <f ca="1">IFERROR(__xludf.DUMMYFUNCTION("""COMPUTED_VALUE"""),999)</f>
        <v>999</v>
      </c>
      <c r="E12782" s="2">
        <f ca="1">IFERROR(__xludf.DUMMYFUNCTION("""COMPUTED_VALUE"""),999)</f>
        <v>999</v>
      </c>
    </row>
    <row r="12783" spans="1:5" ht="13">
      <c r="A12783" s="2" t="str">
        <f ca="1">IFERROR(__xludf.DUMMYFUNCTION("""COMPUTED_VALUE"""),"Miller, C. (unknown)")</f>
        <v>Miller, C. (unknown)</v>
      </c>
      <c r="B12783" s="2">
        <f ca="1">IFERROR(__xludf.DUMMYFUNCTION("""COMPUTED_VALUE"""),999)</f>
        <v>999</v>
      </c>
      <c r="C12783" s="2">
        <f ca="1">IFERROR(__xludf.DUMMYFUNCTION("""COMPUTED_VALUE"""),999)</f>
        <v>999</v>
      </c>
      <c r="D12783" s="8">
        <f ca="1">IFERROR(__xludf.DUMMYFUNCTION("""COMPUTED_VALUE"""),999)</f>
        <v>999</v>
      </c>
      <c r="E12783" s="2">
        <f ca="1">IFERROR(__xludf.DUMMYFUNCTION("""COMPUTED_VALUE"""),999)</f>
        <v>999</v>
      </c>
    </row>
    <row r="12784" spans="1:5" ht="13">
      <c r="A12784" s="8" t="str">
        <f ca="1">IFERROR(__xludf.DUMMYFUNCTION("""COMPUTED_VALUE"""),"MindGrub Technologies")</f>
        <v>MindGrub Technologies</v>
      </c>
      <c r="B12784" s="3">
        <f ca="1">IFERROR(__xludf.DUMMYFUNCTION("""COMPUTED_VALUE"""),999)</f>
        <v>999</v>
      </c>
      <c r="C12784" s="7">
        <f ca="1">IFERROR(__xludf.DUMMYFUNCTION("""COMPUTED_VALUE"""),999)</f>
        <v>999</v>
      </c>
      <c r="D12784" s="8">
        <f ca="1">IFERROR(__xludf.DUMMYFUNCTION("""COMPUTED_VALUE"""),999)</f>
        <v>999</v>
      </c>
      <c r="E12784" s="2">
        <f ca="1">IFERROR(__xludf.DUMMYFUNCTION("""COMPUTED_VALUE"""),999)</f>
        <v>999</v>
      </c>
    </row>
    <row r="12785" spans="1:5" ht="13">
      <c r="A12785" s="2" t="str">
        <f ca="1">IFERROR(__xludf.DUMMYFUNCTION("""COMPUTED_VALUE"""),"Misc.")</f>
        <v>Misc.</v>
      </c>
      <c r="B12785" s="2">
        <f ca="1">IFERROR(__xludf.DUMMYFUNCTION("""COMPUTED_VALUE"""),999)</f>
        <v>999</v>
      </c>
      <c r="C12785" s="7">
        <f ca="1">IFERROR(__xludf.DUMMYFUNCTION("""COMPUTED_VALUE"""),999)</f>
        <v>999</v>
      </c>
      <c r="D12785" s="8">
        <f ca="1">IFERROR(__xludf.DUMMYFUNCTION("""COMPUTED_VALUE"""),999)</f>
        <v>999</v>
      </c>
      <c r="E12785" s="2">
        <f ca="1">IFERROR(__xludf.DUMMYFUNCTION("""COMPUTED_VALUE"""),999)</f>
        <v>999</v>
      </c>
    </row>
    <row r="12786" spans="1:5" ht="13">
      <c r="A12786" s="2" t="str">
        <f ca="1">IFERROR(__xludf.DUMMYFUNCTION("""COMPUTED_VALUE"""),"Misnomer")</f>
        <v>Misnomer</v>
      </c>
      <c r="B12786" s="2">
        <f ca="1">IFERROR(__xludf.DUMMYFUNCTION("""COMPUTED_VALUE"""),999)</f>
        <v>999</v>
      </c>
      <c r="C12786" s="7">
        <f ca="1">IFERROR(__xludf.DUMMYFUNCTION("""COMPUTED_VALUE"""),999)</f>
        <v>999</v>
      </c>
      <c r="D12786" s="8">
        <f ca="1">IFERROR(__xludf.DUMMYFUNCTION("""COMPUTED_VALUE"""),999)</f>
        <v>999</v>
      </c>
      <c r="E12786" s="2">
        <f ca="1">IFERROR(__xludf.DUMMYFUNCTION("""COMPUTED_VALUE"""),999)</f>
        <v>999</v>
      </c>
    </row>
    <row r="12787" spans="1:5" ht="13">
      <c r="A12787" s="2" t="str">
        <f ca="1">IFERROR(__xludf.DUMMYFUNCTION("""COMPUTED_VALUE"""),"Mitchell, Preston")</f>
        <v>Mitchell, Preston</v>
      </c>
      <c r="B12787" s="2">
        <f ca="1">IFERROR(__xludf.DUMMYFUNCTION("""COMPUTED_VALUE"""),999)</f>
        <v>999</v>
      </c>
      <c r="C12787" s="2">
        <f ca="1">IFERROR(__xludf.DUMMYFUNCTION("""COMPUTED_VALUE"""),999)</f>
        <v>999</v>
      </c>
      <c r="D12787" s="8">
        <f ca="1">IFERROR(__xludf.DUMMYFUNCTION("""COMPUTED_VALUE"""),999)</f>
        <v>999</v>
      </c>
      <c r="E12787" s="2">
        <f ca="1">IFERROR(__xludf.DUMMYFUNCTION("""COMPUTED_VALUE"""),999)</f>
        <v>999</v>
      </c>
    </row>
    <row r="12788" spans="1:5" ht="13">
      <c r="A12788" s="2" t="str">
        <f ca="1">IFERROR(__xludf.DUMMYFUNCTION("""COMPUTED_VALUE"""),"Mix, Richard")</f>
        <v>Mix, Richard</v>
      </c>
      <c r="B12788" s="2">
        <f ca="1">IFERROR(__xludf.DUMMYFUNCTION("""COMPUTED_VALUE"""),999)</f>
        <v>999</v>
      </c>
      <c r="C12788" s="2">
        <f ca="1">IFERROR(__xludf.DUMMYFUNCTION("""COMPUTED_VALUE"""),999)</f>
        <v>999</v>
      </c>
      <c r="D12788" s="8">
        <f ca="1">IFERROR(__xludf.DUMMYFUNCTION("""COMPUTED_VALUE"""),999)</f>
        <v>999</v>
      </c>
      <c r="E12788" s="2">
        <f ca="1">IFERROR(__xludf.DUMMYFUNCTION("""COMPUTED_VALUE"""),999)</f>
        <v>999</v>
      </c>
    </row>
    <row r="12789" spans="1:5" ht="13">
      <c r="A12789" s="8" t="str">
        <f ca="1">IFERROR(__xludf.DUMMYFUNCTION("""COMPUTED_VALUE"""),"Monnoye-Pikston-Baker-Schliff")</f>
        <v>Monnoye-Pikston-Baker-Schliff</v>
      </c>
      <c r="B12789" s="2">
        <f ca="1">IFERROR(__xludf.DUMMYFUNCTION("""COMPUTED_VALUE"""),999)</f>
        <v>999</v>
      </c>
      <c r="C12789" s="7">
        <f ca="1">IFERROR(__xludf.DUMMYFUNCTION("""COMPUTED_VALUE"""),999)</f>
        <v>999</v>
      </c>
      <c r="D12789" s="8">
        <f ca="1">IFERROR(__xludf.DUMMYFUNCTION("""COMPUTED_VALUE"""),999)</f>
        <v>999</v>
      </c>
      <c r="E12789" s="2">
        <f ca="1">IFERROR(__xludf.DUMMYFUNCTION("""COMPUTED_VALUE"""),999)</f>
        <v>999</v>
      </c>
    </row>
    <row r="12790" spans="1:5" ht="13">
      <c r="A12790" s="2" t="str">
        <f ca="1">IFERROR(__xludf.DUMMYFUNCTION("""COMPUTED_VALUE"""),"Montgomery (unknown)")</f>
        <v>Montgomery (unknown)</v>
      </c>
      <c r="B12790" s="2">
        <f ca="1">IFERROR(__xludf.DUMMYFUNCTION("""COMPUTED_VALUE"""),999)</f>
        <v>999</v>
      </c>
      <c r="C12790" s="7">
        <f ca="1">IFERROR(__xludf.DUMMYFUNCTION("""COMPUTED_VALUE"""),999)</f>
        <v>999</v>
      </c>
      <c r="D12790" s="8">
        <f ca="1">IFERROR(__xludf.DUMMYFUNCTION("""COMPUTED_VALUE"""),999)</f>
        <v>999</v>
      </c>
      <c r="E12790" s="2">
        <f ca="1">IFERROR(__xludf.DUMMYFUNCTION("""COMPUTED_VALUE"""),999)</f>
        <v>999</v>
      </c>
    </row>
    <row r="12791" spans="1:5" ht="13">
      <c r="A12791" s="2" t="str">
        <f ca="1">IFERROR(__xludf.DUMMYFUNCTION("""COMPUTED_VALUE"""),"Moore (unknown)")</f>
        <v>Moore (unknown)</v>
      </c>
      <c r="B12791" s="2">
        <f ca="1">IFERROR(__xludf.DUMMYFUNCTION("""COMPUTED_VALUE"""),999)</f>
        <v>999</v>
      </c>
      <c r="C12791" s="7">
        <f ca="1">IFERROR(__xludf.DUMMYFUNCTION("""COMPUTED_VALUE"""),999)</f>
        <v>999</v>
      </c>
      <c r="D12791" s="8">
        <f ca="1">IFERROR(__xludf.DUMMYFUNCTION("""COMPUTED_VALUE"""),999)</f>
        <v>999</v>
      </c>
      <c r="E12791" s="2">
        <f ca="1">IFERROR(__xludf.DUMMYFUNCTION("""COMPUTED_VALUE"""),999)</f>
        <v>999</v>
      </c>
    </row>
    <row r="12792" spans="1:5" ht="13">
      <c r="A12792" s="8" t="str">
        <f ca="1">IFERROR(__xludf.DUMMYFUNCTION("""COMPUTED_VALUE"""),"Moore, K.B.")</f>
        <v>Moore, K.B.</v>
      </c>
      <c r="B12792" s="2">
        <f ca="1">IFERROR(__xludf.DUMMYFUNCTION("""COMPUTED_VALUE"""),999)</f>
        <v>999</v>
      </c>
      <c r="C12792" s="7">
        <f ca="1">IFERROR(__xludf.DUMMYFUNCTION("""COMPUTED_VALUE"""),999)</f>
        <v>999</v>
      </c>
      <c r="D12792" s="8">
        <f ca="1">IFERROR(__xludf.DUMMYFUNCTION("""COMPUTED_VALUE"""),999)</f>
        <v>999</v>
      </c>
      <c r="E12792" s="2">
        <f ca="1">IFERROR(__xludf.DUMMYFUNCTION("""COMPUTED_VALUE"""),999)</f>
        <v>999</v>
      </c>
    </row>
    <row r="12793" spans="1:5" ht="13">
      <c r="A12793" s="2" t="str">
        <f ca="1">IFERROR(__xludf.DUMMYFUNCTION("""COMPUTED_VALUE"""),"Morris, Albert")</f>
        <v>Morris, Albert</v>
      </c>
      <c r="B12793" s="2">
        <f ca="1">IFERROR(__xludf.DUMMYFUNCTION("""COMPUTED_VALUE"""),999)</f>
        <v>999</v>
      </c>
      <c r="C12793" s="2">
        <f ca="1">IFERROR(__xludf.DUMMYFUNCTION("""COMPUTED_VALUE"""),999)</f>
        <v>999</v>
      </c>
      <c r="D12793" s="8">
        <f ca="1">IFERROR(__xludf.DUMMYFUNCTION("""COMPUTED_VALUE"""),999)</f>
        <v>999</v>
      </c>
      <c r="E12793" s="2">
        <f ca="1">IFERROR(__xludf.DUMMYFUNCTION("""COMPUTED_VALUE"""),999)</f>
        <v>999</v>
      </c>
    </row>
    <row r="12794" spans="1:5" ht="13">
      <c r="A12794" s="8" t="str">
        <f ca="1">IFERROR(__xludf.DUMMYFUNCTION("""COMPUTED_VALUE"""),"Moses / Sterrett")</f>
        <v>Moses / Sterrett</v>
      </c>
      <c r="B12794" s="2">
        <f ca="1">IFERROR(__xludf.DUMMYFUNCTION("""COMPUTED_VALUE"""),999)</f>
        <v>999</v>
      </c>
      <c r="C12794" s="7">
        <f ca="1">IFERROR(__xludf.DUMMYFUNCTION("""COMPUTED_VALUE"""),999)</f>
        <v>999</v>
      </c>
      <c r="D12794" s="8">
        <f ca="1">IFERROR(__xludf.DUMMYFUNCTION("""COMPUTED_VALUE"""),999)</f>
        <v>999</v>
      </c>
      <c r="E12794" s="2">
        <f ca="1">IFERROR(__xludf.DUMMYFUNCTION("""COMPUTED_VALUE"""),999)</f>
        <v>999</v>
      </c>
    </row>
    <row r="12795" spans="1:5" ht="13">
      <c r="A12795" s="8" t="str">
        <f ca="1">IFERROR(__xludf.DUMMYFUNCTION("""COMPUTED_VALUE"""),"Mount Si Jazz")</f>
        <v>Mount Si Jazz</v>
      </c>
      <c r="B12795" s="3">
        <f ca="1">IFERROR(__xludf.DUMMYFUNCTION("""COMPUTED_VALUE"""),999)</f>
        <v>999</v>
      </c>
      <c r="C12795" s="7">
        <f ca="1">IFERROR(__xludf.DUMMYFUNCTION("""COMPUTED_VALUE"""),999)</f>
        <v>999</v>
      </c>
      <c r="D12795" s="8">
        <f ca="1">IFERROR(__xludf.DUMMYFUNCTION("""COMPUTED_VALUE"""),999)</f>
        <v>999</v>
      </c>
      <c r="E12795" s="2">
        <f ca="1">IFERROR(__xludf.DUMMYFUNCTION("""COMPUTED_VALUE"""),999)</f>
        <v>999</v>
      </c>
    </row>
    <row r="12796" spans="1:5" ht="13">
      <c r="A12796" s="2" t="str">
        <f ca="1">IFERROR(__xludf.DUMMYFUNCTION("""COMPUTED_VALUE"""),"Moussa, Samy")</f>
        <v>Moussa, Samy</v>
      </c>
      <c r="B12796" s="2">
        <f ca="1">IFERROR(__xludf.DUMMYFUNCTION("""COMPUTED_VALUE"""),999)</f>
        <v>999</v>
      </c>
      <c r="C12796" s="7">
        <f ca="1">IFERROR(__xludf.DUMMYFUNCTION("""COMPUTED_VALUE"""),999)</f>
        <v>999</v>
      </c>
      <c r="D12796" s="8">
        <f ca="1">IFERROR(__xludf.DUMMYFUNCTION("""COMPUTED_VALUE"""),999)</f>
        <v>999</v>
      </c>
      <c r="E12796" s="2">
        <f ca="1">IFERROR(__xludf.DUMMYFUNCTION("""COMPUTED_VALUE"""),999)</f>
        <v>999</v>
      </c>
    </row>
    <row r="12797" spans="1:5" ht="13">
      <c r="A12797" s="2" t="str">
        <f ca="1">IFERROR(__xludf.DUMMYFUNCTION("""COMPUTED_VALUE"""),"Mr. Caravan")</f>
        <v>Mr. Caravan</v>
      </c>
      <c r="B12797" s="3">
        <f ca="1">IFERROR(__xludf.DUMMYFUNCTION("""COMPUTED_VALUE"""),999)</f>
        <v>999</v>
      </c>
      <c r="C12797" s="7">
        <f ca="1">IFERROR(__xludf.DUMMYFUNCTION("""COMPUTED_VALUE"""),999)</f>
        <v>999</v>
      </c>
      <c r="D12797" s="8">
        <f ca="1">IFERROR(__xludf.DUMMYFUNCTION("""COMPUTED_VALUE"""),999)</f>
        <v>999</v>
      </c>
      <c r="E12797" s="2">
        <f ca="1">IFERROR(__xludf.DUMMYFUNCTION("""COMPUTED_VALUE"""),999)</f>
        <v>999</v>
      </c>
    </row>
    <row r="12798" spans="1:5" ht="13">
      <c r="A12798" s="2" t="str">
        <f ca="1">IFERROR(__xludf.DUMMYFUNCTION("""COMPUTED_VALUE"""),"Mueller (unknown)")</f>
        <v>Mueller (unknown)</v>
      </c>
      <c r="B12798" s="2">
        <f ca="1">IFERROR(__xludf.DUMMYFUNCTION("""COMPUTED_VALUE"""),999)</f>
        <v>999</v>
      </c>
      <c r="C12798" s="2">
        <f ca="1">IFERROR(__xludf.DUMMYFUNCTION("""COMPUTED_VALUE"""),999)</f>
        <v>999</v>
      </c>
      <c r="D12798" s="8">
        <f ca="1">IFERROR(__xludf.DUMMYFUNCTION("""COMPUTED_VALUE"""),999)</f>
        <v>999</v>
      </c>
      <c r="E12798" s="2">
        <f ca="1">IFERROR(__xludf.DUMMYFUNCTION("""COMPUTED_VALUE"""),999)</f>
        <v>999</v>
      </c>
    </row>
    <row r="12799" spans="1:5" ht="13">
      <c r="A12799" s="2" t="str">
        <f ca="1">IFERROR(__xludf.DUMMYFUNCTION("""COMPUTED_VALUE"""),"Mueller, Jeb")</f>
        <v>Mueller, Jeb</v>
      </c>
      <c r="B12799" s="2">
        <f ca="1">IFERROR(__xludf.DUMMYFUNCTION("""COMPUTED_VALUE"""),999)</f>
        <v>999</v>
      </c>
      <c r="C12799" s="2">
        <f ca="1">IFERROR(__xludf.DUMMYFUNCTION("""COMPUTED_VALUE"""),999)</f>
        <v>999</v>
      </c>
      <c r="D12799" s="8">
        <f ca="1">IFERROR(__xludf.DUMMYFUNCTION("""COMPUTED_VALUE"""),999)</f>
        <v>999</v>
      </c>
      <c r="E12799" s="2">
        <f ca="1">IFERROR(__xludf.DUMMYFUNCTION("""COMPUTED_VALUE"""),999)</f>
        <v>999</v>
      </c>
    </row>
    <row r="12800" spans="1:5" ht="13">
      <c r="A12800" s="2" t="str">
        <f ca="1">IFERROR(__xludf.DUMMYFUNCTION("""COMPUTED_VALUE"""),"Muller")</f>
        <v>Muller</v>
      </c>
      <c r="B12800" s="2">
        <f ca="1">IFERROR(__xludf.DUMMYFUNCTION("""COMPUTED_VALUE"""),999)</f>
        <v>999</v>
      </c>
      <c r="C12800" s="7">
        <f ca="1">IFERROR(__xludf.DUMMYFUNCTION("""COMPUTED_VALUE"""),999)</f>
        <v>999</v>
      </c>
      <c r="D12800" s="8">
        <f ca="1">IFERROR(__xludf.DUMMYFUNCTION("""COMPUTED_VALUE"""),999)</f>
        <v>999</v>
      </c>
      <c r="E12800" s="2">
        <f ca="1">IFERROR(__xludf.DUMMYFUNCTION("""COMPUTED_VALUE"""),999)</f>
        <v>999</v>
      </c>
    </row>
    <row r="12801" spans="1:5" ht="13">
      <c r="A12801" s="2" t="str">
        <f ca="1">IFERROR(__xludf.DUMMYFUNCTION("""COMPUTED_VALUE"""),"multiple")</f>
        <v>multiple</v>
      </c>
      <c r="B12801" s="2">
        <f ca="1">IFERROR(__xludf.DUMMYFUNCTION("""COMPUTED_VALUE"""),999)</f>
        <v>999</v>
      </c>
      <c r="C12801" s="7">
        <f ca="1">IFERROR(__xludf.DUMMYFUNCTION("""COMPUTED_VALUE"""),999)</f>
        <v>999</v>
      </c>
      <c r="D12801" s="8">
        <f ca="1">IFERROR(__xludf.DUMMYFUNCTION("""COMPUTED_VALUE"""),999)</f>
        <v>999</v>
      </c>
      <c r="E12801" s="2">
        <f ca="1">IFERROR(__xludf.DUMMYFUNCTION("""COMPUTED_VALUE"""),999)</f>
        <v>999</v>
      </c>
    </row>
    <row r="12802" spans="1:5" ht="13">
      <c r="A12802" s="2" t="str">
        <f ca="1">IFERROR(__xludf.DUMMYFUNCTION("""COMPUTED_VALUE"""),"Muro, Francisco")</f>
        <v>Muro, Francisco</v>
      </c>
      <c r="B12802" s="3">
        <f ca="1">IFERROR(__xludf.DUMMYFUNCTION("""COMPUTED_VALUE"""),999)</f>
        <v>999</v>
      </c>
      <c r="C12802" s="7">
        <f ca="1">IFERROR(__xludf.DUMMYFUNCTION("""COMPUTED_VALUE"""),999)</f>
        <v>999</v>
      </c>
      <c r="D12802" s="8">
        <f ca="1">IFERROR(__xludf.DUMMYFUNCTION("""COMPUTED_VALUE"""),999)</f>
        <v>999</v>
      </c>
      <c r="E12802" s="2">
        <f ca="1">IFERROR(__xludf.DUMMYFUNCTION("""COMPUTED_VALUE"""),999)</f>
        <v>999</v>
      </c>
    </row>
    <row r="12803" spans="1:5" ht="13">
      <c r="A12803" s="2" t="str">
        <f ca="1">IFERROR(__xludf.DUMMYFUNCTION("""COMPUTED_VALUE"""),"Murphey, Ernest")</f>
        <v>Murphey, Ernest</v>
      </c>
      <c r="B12803" s="2">
        <f ca="1">IFERROR(__xludf.DUMMYFUNCTION("""COMPUTED_VALUE"""),999)</f>
        <v>999</v>
      </c>
      <c r="C12803" s="2">
        <f ca="1">IFERROR(__xludf.DUMMYFUNCTION("""COMPUTED_VALUE"""),999)</f>
        <v>999</v>
      </c>
      <c r="D12803" s="8">
        <f ca="1">IFERROR(__xludf.DUMMYFUNCTION("""COMPUTED_VALUE"""),999)</f>
        <v>999</v>
      </c>
      <c r="E12803" s="2">
        <f ca="1">IFERROR(__xludf.DUMMYFUNCTION("""COMPUTED_VALUE"""),999)</f>
        <v>999</v>
      </c>
    </row>
    <row r="12804" spans="1:5" ht="13">
      <c r="A12804" s="8" t="str">
        <f ca="1">IFERROR(__xludf.DUMMYFUNCTION("""COMPUTED_VALUE"""),"Murray (unknown)")</f>
        <v>Murray (unknown)</v>
      </c>
      <c r="B12804" s="2">
        <f ca="1">IFERROR(__xludf.DUMMYFUNCTION("""COMPUTED_VALUE"""),999)</f>
        <v>999</v>
      </c>
      <c r="C12804" s="7">
        <f ca="1">IFERROR(__xludf.DUMMYFUNCTION("""COMPUTED_VALUE"""),999)</f>
        <v>999</v>
      </c>
      <c r="D12804" s="8">
        <f ca="1">IFERROR(__xludf.DUMMYFUNCTION("""COMPUTED_VALUE"""),999)</f>
        <v>999</v>
      </c>
      <c r="E12804" s="2">
        <f ca="1">IFERROR(__xludf.DUMMYFUNCTION("""COMPUTED_VALUE"""),999)</f>
        <v>999</v>
      </c>
    </row>
    <row r="12805" spans="1:5" ht="13">
      <c r="A12805" s="2" t="str">
        <f ca="1">IFERROR(__xludf.DUMMYFUNCTION("""COMPUTED_VALUE"""),"Myers, J.")</f>
        <v>Myers, J.</v>
      </c>
      <c r="B12805" s="3">
        <f ca="1">IFERROR(__xludf.DUMMYFUNCTION("""COMPUTED_VALUE"""),999)</f>
        <v>999</v>
      </c>
      <c r="C12805" s="7">
        <f ca="1">IFERROR(__xludf.DUMMYFUNCTION("""COMPUTED_VALUE"""),999)</f>
        <v>999</v>
      </c>
      <c r="D12805" s="8">
        <f ca="1">IFERROR(__xludf.DUMMYFUNCTION("""COMPUTED_VALUE"""),999)</f>
        <v>999</v>
      </c>
      <c r="E12805" s="2">
        <f ca="1">IFERROR(__xludf.DUMMYFUNCTION("""COMPUTED_VALUE"""),999)</f>
        <v>999</v>
      </c>
    </row>
    <row r="12806" spans="1:5" ht="13">
      <c r="A12806" s="8" t="str">
        <f ca="1">IFERROR(__xludf.DUMMYFUNCTION("""COMPUTED_VALUE"""),"Myre, Cody / Robichaux, Ben")</f>
        <v>Myre, Cody / Robichaux, Ben</v>
      </c>
      <c r="B12806" s="3">
        <f ca="1">IFERROR(__xludf.DUMMYFUNCTION("""COMPUTED_VALUE"""),999)</f>
        <v>999</v>
      </c>
      <c r="C12806" s="7">
        <f ca="1">IFERROR(__xludf.DUMMYFUNCTION("""COMPUTED_VALUE"""),999)</f>
        <v>999</v>
      </c>
      <c r="D12806" s="8">
        <f ca="1">IFERROR(__xludf.DUMMYFUNCTION("""COMPUTED_VALUE"""),999)</f>
        <v>999</v>
      </c>
      <c r="E12806" s="2">
        <f ca="1">IFERROR(__xludf.DUMMYFUNCTION("""COMPUTED_VALUE"""),999)</f>
        <v>999</v>
      </c>
    </row>
    <row r="12807" spans="1:5" ht="13">
      <c r="A12807" s="2" t="str">
        <f ca="1">IFERROR(__xludf.DUMMYFUNCTION("""COMPUTED_VALUE"""),"N/A")</f>
        <v>N/A</v>
      </c>
      <c r="B12807" s="2">
        <f ca="1">IFERROR(__xludf.DUMMYFUNCTION("""COMPUTED_VALUE"""),999)</f>
        <v>999</v>
      </c>
      <c r="C12807" s="2">
        <f ca="1">IFERROR(__xludf.DUMMYFUNCTION("""COMPUTED_VALUE"""),999)</f>
        <v>999</v>
      </c>
      <c r="D12807" s="8">
        <f ca="1">IFERROR(__xludf.DUMMYFUNCTION("""COMPUTED_VALUE"""),999)</f>
        <v>999</v>
      </c>
      <c r="E12807" s="2">
        <f ca="1">IFERROR(__xludf.DUMMYFUNCTION("""COMPUTED_VALUE"""),999)</f>
        <v>999</v>
      </c>
    </row>
    <row r="12808" spans="1:5" ht="13">
      <c r="A12808" s="2" t="str">
        <f ca="1">IFERROR(__xludf.DUMMYFUNCTION("""COMPUTED_VALUE"""),"Nehls, Thomas")</f>
        <v>Nehls, Thomas</v>
      </c>
      <c r="B12808" s="2">
        <f ca="1">IFERROR(__xludf.DUMMYFUNCTION("""COMPUTED_VALUE"""),999)</f>
        <v>999</v>
      </c>
      <c r="C12808" s="2">
        <f ca="1">IFERROR(__xludf.DUMMYFUNCTION("""COMPUTED_VALUE"""),999)</f>
        <v>999</v>
      </c>
      <c r="D12808" s="8">
        <f ca="1">IFERROR(__xludf.DUMMYFUNCTION("""COMPUTED_VALUE"""),999)</f>
        <v>999</v>
      </c>
      <c r="E12808" s="2">
        <f ca="1">IFERROR(__xludf.DUMMYFUNCTION("""COMPUTED_VALUE"""),999)</f>
        <v>999</v>
      </c>
    </row>
    <row r="12809" spans="1:5" ht="13">
      <c r="A12809" s="2" t="str">
        <f ca="1">IFERROR(__xludf.DUMMYFUNCTION("""COMPUTED_VALUE"""),"Nerden, Paul")</f>
        <v>Nerden, Paul</v>
      </c>
      <c r="B12809" s="2">
        <f ca="1">IFERROR(__xludf.DUMMYFUNCTION("""COMPUTED_VALUE"""),999)</f>
        <v>999</v>
      </c>
      <c r="C12809" s="2">
        <f ca="1">IFERROR(__xludf.DUMMYFUNCTION("""COMPUTED_VALUE"""),999)</f>
        <v>999</v>
      </c>
      <c r="D12809" s="8">
        <f ca="1">IFERROR(__xludf.DUMMYFUNCTION("""COMPUTED_VALUE"""),999)</f>
        <v>999</v>
      </c>
      <c r="E12809" s="2">
        <f ca="1">IFERROR(__xludf.DUMMYFUNCTION("""COMPUTED_VALUE"""),999)</f>
        <v>999</v>
      </c>
    </row>
    <row r="12810" spans="1:5" ht="13">
      <c r="A12810" s="2" t="str">
        <f ca="1">IFERROR(__xludf.DUMMYFUNCTION("""COMPUTED_VALUE"""),"Neumann, Werner")</f>
        <v>Neumann, Werner</v>
      </c>
      <c r="B12810" s="2">
        <f ca="1">IFERROR(__xludf.DUMMYFUNCTION("""COMPUTED_VALUE"""),999)</f>
        <v>999</v>
      </c>
      <c r="C12810" s="2">
        <f ca="1">IFERROR(__xludf.DUMMYFUNCTION("""COMPUTED_VALUE"""),999)</f>
        <v>999</v>
      </c>
      <c r="D12810" s="8">
        <f ca="1">IFERROR(__xludf.DUMMYFUNCTION("""COMPUTED_VALUE"""),999)</f>
        <v>999</v>
      </c>
      <c r="E12810" s="2">
        <f ca="1">IFERROR(__xludf.DUMMYFUNCTION("""COMPUTED_VALUE"""),999)</f>
        <v>999</v>
      </c>
    </row>
    <row r="12811" spans="1:5" ht="13">
      <c r="A12811" s="2" t="str">
        <f ca="1">IFERROR(__xludf.DUMMYFUNCTION("""COMPUTED_VALUE"""),"Nigerian Carol")</f>
        <v>Nigerian Carol</v>
      </c>
      <c r="B12811" s="2">
        <f ca="1">IFERROR(__xludf.DUMMYFUNCTION("""COMPUTED_VALUE"""),999)</f>
        <v>999</v>
      </c>
      <c r="C12811" s="7">
        <f ca="1">IFERROR(__xludf.DUMMYFUNCTION("""COMPUTED_VALUE"""),999)</f>
        <v>999</v>
      </c>
      <c r="D12811" s="8">
        <f ca="1">IFERROR(__xludf.DUMMYFUNCTION("""COMPUTED_VALUE"""),999)</f>
        <v>999</v>
      </c>
      <c r="E12811" s="2">
        <f ca="1">IFERROR(__xludf.DUMMYFUNCTION("""COMPUTED_VALUE"""),999)</f>
        <v>999</v>
      </c>
    </row>
    <row r="12812" spans="1:5" ht="13">
      <c r="A12812" s="2" t="str">
        <f ca="1">IFERROR(__xludf.DUMMYFUNCTION("""COMPUTED_VALUE"""),"Nisa")</f>
        <v>Nisa</v>
      </c>
      <c r="B12812" s="2">
        <f ca="1">IFERROR(__xludf.DUMMYFUNCTION("""COMPUTED_VALUE"""),999)</f>
        <v>999</v>
      </c>
      <c r="C12812" s="7">
        <f ca="1">IFERROR(__xludf.DUMMYFUNCTION("""COMPUTED_VALUE"""),999)</f>
        <v>999</v>
      </c>
      <c r="D12812" s="8">
        <f ca="1">IFERROR(__xludf.DUMMYFUNCTION("""COMPUTED_VALUE"""),999)</f>
        <v>999</v>
      </c>
      <c r="E12812" s="2">
        <f ca="1">IFERROR(__xludf.DUMMYFUNCTION("""COMPUTED_VALUE"""),999)</f>
        <v>999</v>
      </c>
    </row>
    <row r="12813" spans="1:5" ht="13">
      <c r="A12813" s="2" t="str">
        <f ca="1">IFERROR(__xludf.DUMMYFUNCTION("""COMPUTED_VALUE"""),"Nolte, Ewald")</f>
        <v>Nolte, Ewald</v>
      </c>
      <c r="B12813" s="2">
        <f ca="1">IFERROR(__xludf.DUMMYFUNCTION("""COMPUTED_VALUE"""),999)</f>
        <v>999</v>
      </c>
      <c r="C12813" s="2">
        <f ca="1">IFERROR(__xludf.DUMMYFUNCTION("""COMPUTED_VALUE"""),999)</f>
        <v>999</v>
      </c>
      <c r="D12813" s="8">
        <f ca="1">IFERROR(__xludf.DUMMYFUNCTION("""COMPUTED_VALUE"""),999)</f>
        <v>999</v>
      </c>
      <c r="E12813" s="2">
        <f ca="1">IFERROR(__xludf.DUMMYFUNCTION("""COMPUTED_VALUE"""),999)</f>
        <v>999</v>
      </c>
    </row>
    <row r="12814" spans="1:5" ht="13">
      <c r="A12814" s="2" t="str">
        <f ca="1">IFERROR(__xludf.DUMMYFUNCTION("""COMPUTED_VALUE"""),"none")</f>
        <v>none</v>
      </c>
      <c r="B12814" s="2">
        <f ca="1">IFERROR(__xludf.DUMMYFUNCTION("""COMPUTED_VALUE"""),999)</f>
        <v>999</v>
      </c>
      <c r="C12814" s="7">
        <f ca="1">IFERROR(__xludf.DUMMYFUNCTION("""COMPUTED_VALUE"""),999)</f>
        <v>999</v>
      </c>
      <c r="D12814" s="8">
        <f ca="1">IFERROR(__xludf.DUMMYFUNCTION("""COMPUTED_VALUE"""),999)</f>
        <v>999</v>
      </c>
      <c r="E12814" s="2">
        <f ca="1">IFERROR(__xludf.DUMMYFUNCTION("""COMPUTED_VALUE"""),999)</f>
        <v>999</v>
      </c>
    </row>
    <row r="12815" spans="1:5" ht="13">
      <c r="A12815" s="2" t="str">
        <f ca="1">IFERROR(__xludf.DUMMYFUNCTION("""COMPUTED_VALUE"""),"Norbury, Kevin")</f>
        <v>Norbury, Kevin</v>
      </c>
      <c r="B12815" s="2">
        <f ca="1">IFERROR(__xludf.DUMMYFUNCTION("""COMPUTED_VALUE"""),999)</f>
        <v>999</v>
      </c>
      <c r="C12815" s="2">
        <f ca="1">IFERROR(__xludf.DUMMYFUNCTION("""COMPUTED_VALUE"""),999)</f>
        <v>999</v>
      </c>
      <c r="D12815" s="8">
        <f ca="1">IFERROR(__xludf.DUMMYFUNCTION("""COMPUTED_VALUE"""),999)</f>
        <v>999</v>
      </c>
      <c r="E12815" s="2">
        <f ca="1">IFERROR(__xludf.DUMMYFUNCTION("""COMPUTED_VALUE"""),999)</f>
        <v>999</v>
      </c>
    </row>
    <row r="12816" spans="1:5" ht="13">
      <c r="A12816" s="2" t="str">
        <f ca="1">IFERROR(__xludf.DUMMYFUNCTION("""COMPUTED_VALUE"""),"Norden (unknown)")</f>
        <v>Norden (unknown)</v>
      </c>
      <c r="B12816" s="2">
        <f ca="1">IFERROR(__xludf.DUMMYFUNCTION("""COMPUTED_VALUE"""),999)</f>
        <v>999</v>
      </c>
      <c r="C12816" s="7">
        <f ca="1">IFERROR(__xludf.DUMMYFUNCTION("""COMPUTED_VALUE"""),999)</f>
        <v>999</v>
      </c>
      <c r="D12816" s="8">
        <f ca="1">IFERROR(__xludf.DUMMYFUNCTION("""COMPUTED_VALUE"""),999)</f>
        <v>999</v>
      </c>
      <c r="E12816" s="2">
        <f ca="1">IFERROR(__xludf.DUMMYFUNCTION("""COMPUTED_VALUE"""),999)</f>
        <v>999</v>
      </c>
    </row>
    <row r="12817" spans="1:5" ht="13">
      <c r="A12817" s="2" t="str">
        <f ca="1">IFERROR(__xludf.DUMMYFUNCTION("""COMPUTED_VALUE"""),"Norman, Robert")</f>
        <v>Norman, Robert</v>
      </c>
      <c r="B12817" s="2">
        <f ca="1">IFERROR(__xludf.DUMMYFUNCTION("""COMPUTED_VALUE"""),999)</f>
        <v>999</v>
      </c>
      <c r="C12817" s="2">
        <f ca="1">IFERROR(__xludf.DUMMYFUNCTION("""COMPUTED_VALUE"""),999)</f>
        <v>999</v>
      </c>
      <c r="D12817" s="8">
        <f ca="1">IFERROR(__xludf.DUMMYFUNCTION("""COMPUTED_VALUE"""),999)</f>
        <v>999</v>
      </c>
      <c r="E12817" s="2">
        <f ca="1">IFERROR(__xludf.DUMMYFUNCTION("""COMPUTED_VALUE"""),999)</f>
        <v>999</v>
      </c>
    </row>
    <row r="12818" spans="1:5" ht="13">
      <c r="A12818" s="2" t="str">
        <f ca="1">IFERROR(__xludf.DUMMYFUNCTION("""COMPUTED_VALUE"""),"North, Jack")</f>
        <v>North, Jack</v>
      </c>
      <c r="B12818" s="2">
        <f ca="1">IFERROR(__xludf.DUMMYFUNCTION("""COMPUTED_VALUE"""),999)</f>
        <v>999</v>
      </c>
      <c r="C12818" s="2">
        <f ca="1">IFERROR(__xludf.DUMMYFUNCTION("""COMPUTED_VALUE"""),999)</f>
        <v>999</v>
      </c>
      <c r="D12818" s="8">
        <f ca="1">IFERROR(__xludf.DUMMYFUNCTION("""COMPUTED_VALUE"""),999)</f>
        <v>999</v>
      </c>
      <c r="E12818" s="2">
        <f ca="1">IFERROR(__xludf.DUMMYFUNCTION("""COMPUTED_VALUE"""),999)</f>
        <v>999</v>
      </c>
    </row>
    <row r="12819" spans="1:5" ht="13">
      <c r="A12819" s="2" t="str">
        <f ca="1">IFERROR(__xludf.DUMMYFUNCTION("""COMPUTED_VALUE"""),"Northcote, Sydney")</f>
        <v>Northcote, Sydney</v>
      </c>
      <c r="B12819" s="2">
        <f ca="1">IFERROR(__xludf.DUMMYFUNCTION("""COMPUTED_VALUE"""),999)</f>
        <v>999</v>
      </c>
      <c r="C12819" s="2">
        <f ca="1">IFERROR(__xludf.DUMMYFUNCTION("""COMPUTED_VALUE"""),999)</f>
        <v>999</v>
      </c>
      <c r="D12819" s="8">
        <f ca="1">IFERROR(__xludf.DUMMYFUNCTION("""COMPUTED_VALUE"""),999)</f>
        <v>999</v>
      </c>
      <c r="E12819" s="2">
        <f ca="1">IFERROR(__xludf.DUMMYFUNCTION("""COMPUTED_VALUE"""),999)</f>
        <v>999</v>
      </c>
    </row>
    <row r="12820" spans="1:5" ht="13">
      <c r="A12820" s="2" t="str">
        <f ca="1">IFERROR(__xludf.DUMMYFUNCTION("""COMPUTED_VALUE"""),"O'Neill, Charles")</f>
        <v>O'Neill, Charles</v>
      </c>
      <c r="B12820" s="2">
        <f ca="1">IFERROR(__xludf.DUMMYFUNCTION("""COMPUTED_VALUE"""),999)</f>
        <v>999</v>
      </c>
      <c r="C12820" s="2">
        <f ca="1">IFERROR(__xludf.DUMMYFUNCTION("""COMPUTED_VALUE"""),999)</f>
        <v>999</v>
      </c>
      <c r="D12820" s="8">
        <f ca="1">IFERROR(__xludf.DUMMYFUNCTION("""COMPUTED_VALUE"""),999)</f>
        <v>999</v>
      </c>
      <c r="E12820" s="2">
        <f ca="1">IFERROR(__xludf.DUMMYFUNCTION("""COMPUTED_VALUE"""),999)</f>
        <v>999</v>
      </c>
    </row>
    <row r="12821" spans="1:5" ht="13">
      <c r="A12821" s="2" t="str">
        <f ca="1">IFERROR(__xludf.DUMMYFUNCTION("""COMPUTED_VALUE"""),"Ochoa, René")</f>
        <v>Ochoa, René</v>
      </c>
      <c r="B12821" s="3">
        <f ca="1">IFERROR(__xludf.DUMMYFUNCTION("""COMPUTED_VALUE"""),999)</f>
        <v>999</v>
      </c>
      <c r="C12821" s="7">
        <f ca="1">IFERROR(__xludf.DUMMYFUNCTION("""COMPUTED_VALUE"""),999)</f>
        <v>999</v>
      </c>
      <c r="D12821" s="8">
        <f ca="1">IFERROR(__xludf.DUMMYFUNCTION("""COMPUTED_VALUE"""),999)</f>
        <v>999</v>
      </c>
      <c r="E12821" s="2">
        <f ca="1">IFERROR(__xludf.DUMMYFUNCTION("""COMPUTED_VALUE"""),999)</f>
        <v>999</v>
      </c>
    </row>
    <row r="12822" spans="1:5" ht="13">
      <c r="A12822" s="8" t="str">
        <f ca="1">IFERROR(__xludf.DUMMYFUNCTION("""COMPUTED_VALUE"""),"Oldencott, Fred")</f>
        <v>Oldencott, Fred</v>
      </c>
      <c r="B12822" s="3">
        <f ca="1">IFERROR(__xludf.DUMMYFUNCTION("""COMPUTED_VALUE"""),999)</f>
        <v>999</v>
      </c>
      <c r="C12822" s="7">
        <f ca="1">IFERROR(__xludf.DUMMYFUNCTION("""COMPUTED_VALUE"""),999)</f>
        <v>999</v>
      </c>
      <c r="D12822" s="8">
        <f ca="1">IFERROR(__xludf.DUMMYFUNCTION("""COMPUTED_VALUE"""),999)</f>
        <v>999</v>
      </c>
      <c r="E12822" s="2">
        <f ca="1">IFERROR(__xludf.DUMMYFUNCTION("""COMPUTED_VALUE"""),999)</f>
        <v>999</v>
      </c>
    </row>
    <row r="12823" spans="1:5" ht="13">
      <c r="A12823" s="2" t="str">
        <f ca="1">IFERROR(__xludf.DUMMYFUNCTION("""COMPUTED_VALUE"""),"Oliver (unknown)")</f>
        <v>Oliver (unknown)</v>
      </c>
      <c r="B12823" s="2">
        <f ca="1">IFERROR(__xludf.DUMMYFUNCTION("""COMPUTED_VALUE"""),999)</f>
        <v>999</v>
      </c>
      <c r="C12823" s="7">
        <f ca="1">IFERROR(__xludf.DUMMYFUNCTION("""COMPUTED_VALUE"""),999)</f>
        <v>999</v>
      </c>
      <c r="D12823" s="8">
        <f ca="1">IFERROR(__xludf.DUMMYFUNCTION("""COMPUTED_VALUE"""),999)</f>
        <v>999</v>
      </c>
      <c r="E12823" s="2">
        <f ca="1">IFERROR(__xludf.DUMMYFUNCTION("""COMPUTED_VALUE"""),999)</f>
        <v>999</v>
      </c>
    </row>
    <row r="12824" spans="1:5" ht="13">
      <c r="A12824" s="2" t="str">
        <f ca="1">IFERROR(__xludf.DUMMYFUNCTION("""COMPUTED_VALUE"""),"Oliver, B.")</f>
        <v>Oliver, B.</v>
      </c>
      <c r="B12824" s="2">
        <f ca="1">IFERROR(__xludf.DUMMYFUNCTION("""COMPUTED_VALUE"""),999)</f>
        <v>999</v>
      </c>
      <c r="C12824" s="7">
        <f ca="1">IFERROR(__xludf.DUMMYFUNCTION("""COMPUTED_VALUE"""),999)</f>
        <v>999</v>
      </c>
      <c r="D12824" s="8">
        <f ca="1">IFERROR(__xludf.DUMMYFUNCTION("""COMPUTED_VALUE"""),999)</f>
        <v>999</v>
      </c>
      <c r="E12824" s="2">
        <f ca="1">IFERROR(__xludf.DUMMYFUNCTION("""COMPUTED_VALUE"""),999)</f>
        <v>999</v>
      </c>
    </row>
    <row r="12825" spans="1:5" ht="13">
      <c r="A12825" s="2" t="str">
        <f ca="1">IFERROR(__xludf.DUMMYFUNCTION("""COMPUTED_VALUE"""),"Oliver, Marc")</f>
        <v>Oliver, Marc</v>
      </c>
      <c r="B12825" s="2">
        <f ca="1">IFERROR(__xludf.DUMMYFUNCTION("""COMPUTED_VALUE"""),999)</f>
        <v>999</v>
      </c>
      <c r="C12825" s="2">
        <f ca="1">IFERROR(__xludf.DUMMYFUNCTION("""COMPUTED_VALUE"""),999)</f>
        <v>999</v>
      </c>
      <c r="D12825" s="8">
        <f ca="1">IFERROR(__xludf.DUMMYFUNCTION("""COMPUTED_VALUE"""),999)</f>
        <v>999</v>
      </c>
      <c r="E12825" s="2">
        <f ca="1">IFERROR(__xludf.DUMMYFUNCTION("""COMPUTED_VALUE"""),999)</f>
        <v>999</v>
      </c>
    </row>
    <row r="12826" spans="1:5" ht="13">
      <c r="A12826" s="2" t="str">
        <f ca="1">IFERROR(__xludf.DUMMYFUNCTION("""COMPUTED_VALUE"""),"Olsen, Kurt")</f>
        <v>Olsen, Kurt</v>
      </c>
      <c r="B12826" s="2">
        <f ca="1">IFERROR(__xludf.DUMMYFUNCTION("""COMPUTED_VALUE"""),999)</f>
        <v>999</v>
      </c>
      <c r="C12826" s="2">
        <f ca="1">IFERROR(__xludf.DUMMYFUNCTION("""COMPUTED_VALUE"""),999)</f>
        <v>999</v>
      </c>
      <c r="D12826" s="8">
        <f ca="1">IFERROR(__xludf.DUMMYFUNCTION("""COMPUTED_VALUE"""),999)</f>
        <v>999</v>
      </c>
      <c r="E12826" s="2">
        <f ca="1">IFERROR(__xludf.DUMMYFUNCTION("""COMPUTED_VALUE"""),999)</f>
        <v>999</v>
      </c>
    </row>
    <row r="12827" spans="1:5" ht="13">
      <c r="A12827" s="8" t="str">
        <f ca="1">IFERROR(__xludf.DUMMYFUNCTION("""COMPUTED_VALUE"""),"Ontai, Alayna")</f>
        <v>Ontai, Alayna</v>
      </c>
      <c r="B12827" s="3">
        <f ca="1">IFERROR(__xludf.DUMMYFUNCTION("""COMPUTED_VALUE"""),999)</f>
        <v>999</v>
      </c>
      <c r="C12827" s="7">
        <f ca="1">IFERROR(__xludf.DUMMYFUNCTION("""COMPUTED_VALUE"""),999)</f>
        <v>999</v>
      </c>
      <c r="D12827" s="8">
        <f ca="1">IFERROR(__xludf.DUMMYFUNCTION("""COMPUTED_VALUE"""),999)</f>
        <v>999</v>
      </c>
      <c r="E12827" s="3">
        <f ca="1">IFERROR(__xludf.DUMMYFUNCTION("""COMPUTED_VALUE"""),999)</f>
        <v>999</v>
      </c>
    </row>
    <row r="12828" spans="1:5" ht="13">
      <c r="A12828" s="2" t="str">
        <f ca="1">IFERROR(__xludf.DUMMYFUNCTION("""COMPUTED_VALUE"""),"Orejana, Ian")</f>
        <v>Orejana, Ian</v>
      </c>
      <c r="B12828" s="3">
        <f ca="1">IFERROR(__xludf.DUMMYFUNCTION("""COMPUTED_VALUE"""),999)</f>
        <v>999</v>
      </c>
      <c r="C12828" s="7">
        <f ca="1">IFERROR(__xludf.DUMMYFUNCTION("""COMPUTED_VALUE"""),999)</f>
        <v>999</v>
      </c>
      <c r="D12828" s="8">
        <f ca="1">IFERROR(__xludf.DUMMYFUNCTION("""COMPUTED_VALUE"""),999)</f>
        <v>999</v>
      </c>
      <c r="E12828" s="2">
        <f ca="1">IFERROR(__xludf.DUMMYFUNCTION("""COMPUTED_VALUE"""),999)</f>
        <v>999</v>
      </c>
    </row>
    <row r="12829" spans="1:5" ht="13">
      <c r="A12829" s="2" t="str">
        <f ca="1">IFERROR(__xludf.DUMMYFUNCTION("""COMPUTED_VALUE"""),"Ornadel, Cyril / Bricusse, Leslie")</f>
        <v>Ornadel, Cyril / Bricusse, Leslie</v>
      </c>
      <c r="B12829" s="3">
        <f ca="1">IFERROR(__xludf.DUMMYFUNCTION("""COMPUTED_VALUE"""),999)</f>
        <v>999</v>
      </c>
      <c r="C12829" s="7">
        <f ca="1">IFERROR(__xludf.DUMMYFUNCTION("""COMPUTED_VALUE"""),999)</f>
        <v>999</v>
      </c>
      <c r="D12829" s="8">
        <f ca="1">IFERROR(__xludf.DUMMYFUNCTION("""COMPUTED_VALUE"""),999)</f>
        <v>999</v>
      </c>
      <c r="E12829" s="2">
        <f ca="1">IFERROR(__xludf.DUMMYFUNCTION("""COMPUTED_VALUE"""),999)</f>
        <v>999</v>
      </c>
    </row>
    <row r="12830" spans="1:5" ht="13">
      <c r="A12830" s="2" t="str">
        <f ca="1">IFERROR(__xludf.DUMMYFUNCTION("""COMPUTED_VALUE"""),"Ortone, Ernest")</f>
        <v>Ortone, Ernest</v>
      </c>
      <c r="B12830" s="2">
        <f ca="1">IFERROR(__xludf.DUMMYFUNCTION("""COMPUTED_VALUE"""),999)</f>
        <v>999</v>
      </c>
      <c r="C12830" s="2">
        <f ca="1">IFERROR(__xludf.DUMMYFUNCTION("""COMPUTED_VALUE"""),999)</f>
        <v>999</v>
      </c>
      <c r="D12830" s="8">
        <f ca="1">IFERROR(__xludf.DUMMYFUNCTION("""COMPUTED_VALUE"""),999)</f>
        <v>999</v>
      </c>
      <c r="E12830" s="2">
        <f ca="1">IFERROR(__xludf.DUMMYFUNCTION("""COMPUTED_VALUE"""),999)</f>
        <v>999</v>
      </c>
    </row>
    <row r="12831" spans="1:5" ht="13">
      <c r="A12831" s="2" t="str">
        <f ca="1">IFERROR(__xludf.DUMMYFUNCTION("""COMPUTED_VALUE"""),"Osborne, Richard")</f>
        <v>Osborne, Richard</v>
      </c>
      <c r="B12831" s="2">
        <f ca="1">IFERROR(__xludf.DUMMYFUNCTION("""COMPUTED_VALUE"""),999)</f>
        <v>999</v>
      </c>
      <c r="C12831" s="2">
        <f ca="1">IFERROR(__xludf.DUMMYFUNCTION("""COMPUTED_VALUE"""),999)</f>
        <v>999</v>
      </c>
      <c r="D12831" s="8">
        <f ca="1">IFERROR(__xludf.DUMMYFUNCTION("""COMPUTED_VALUE"""),999)</f>
        <v>999</v>
      </c>
      <c r="E12831" s="2">
        <f ca="1">IFERROR(__xludf.DUMMYFUNCTION("""COMPUTED_VALUE"""),999)</f>
        <v>999</v>
      </c>
    </row>
    <row r="12832" spans="1:5" ht="13">
      <c r="A12832" s="2" t="str">
        <f ca="1">IFERROR(__xludf.DUMMYFUNCTION("""COMPUTED_VALUE"""),"Outer Limits")</f>
        <v>Outer Limits</v>
      </c>
      <c r="B12832" s="3">
        <f ca="1">IFERROR(__xludf.DUMMYFUNCTION("""COMPUTED_VALUE"""),999)</f>
        <v>999</v>
      </c>
      <c r="C12832" s="7">
        <f ca="1">IFERROR(__xludf.DUMMYFUNCTION("""COMPUTED_VALUE"""),999)</f>
        <v>999</v>
      </c>
      <c r="D12832" s="8">
        <f ca="1">IFERROR(__xludf.DUMMYFUNCTION("""COMPUTED_VALUE"""),999)</f>
        <v>999</v>
      </c>
      <c r="E12832" s="2">
        <f ca="1">IFERROR(__xludf.DUMMYFUNCTION("""COMPUTED_VALUE"""),999)</f>
        <v>999</v>
      </c>
    </row>
    <row r="12833" spans="1:5" ht="13">
      <c r="A12833" s="2" t="str">
        <f ca="1">IFERROR(__xludf.DUMMYFUNCTION("""COMPUTED_VALUE"""),"Pablo (unknown)")</f>
        <v>Pablo (unknown)</v>
      </c>
      <c r="B12833" s="2">
        <f ca="1">IFERROR(__xludf.DUMMYFUNCTION("""COMPUTED_VALUE"""),999)</f>
        <v>999</v>
      </c>
      <c r="C12833" s="7">
        <f ca="1">IFERROR(__xludf.DUMMYFUNCTION("""COMPUTED_VALUE"""),999)</f>
        <v>999</v>
      </c>
      <c r="D12833" s="8">
        <f ca="1">IFERROR(__xludf.DUMMYFUNCTION("""COMPUTED_VALUE"""),999)</f>
        <v>999</v>
      </c>
      <c r="E12833" s="2">
        <f ca="1">IFERROR(__xludf.DUMMYFUNCTION("""COMPUTED_VALUE"""),999)</f>
        <v>999</v>
      </c>
    </row>
    <row r="12834" spans="1:5" ht="13">
      <c r="A12834" s="2" t="str">
        <f ca="1">IFERROR(__xludf.DUMMYFUNCTION("""COMPUTED_VALUE"""),"Page (unknown)")</f>
        <v>Page (unknown)</v>
      </c>
      <c r="B12834" s="2">
        <f ca="1">IFERROR(__xludf.DUMMYFUNCTION("""COMPUTED_VALUE"""),999)</f>
        <v>999</v>
      </c>
      <c r="C12834" s="7">
        <f ca="1">IFERROR(__xludf.DUMMYFUNCTION("""COMPUTED_VALUE"""),999)</f>
        <v>999</v>
      </c>
      <c r="D12834" s="8">
        <f ca="1">IFERROR(__xludf.DUMMYFUNCTION("""COMPUTED_VALUE"""),999)</f>
        <v>999</v>
      </c>
      <c r="E12834" s="2">
        <f ca="1">IFERROR(__xludf.DUMMYFUNCTION("""COMPUTED_VALUE"""),999)</f>
        <v>999</v>
      </c>
    </row>
    <row r="12835" spans="1:5" ht="13">
      <c r="A12835" s="2" t="str">
        <f ca="1">IFERROR(__xludf.DUMMYFUNCTION("""COMPUTED_VALUE"""),"Palmer, A. J.")</f>
        <v>Palmer, A. J.</v>
      </c>
      <c r="B12835" s="2">
        <f ca="1">IFERROR(__xludf.DUMMYFUNCTION("""COMPUTED_VALUE"""),999)</f>
        <v>999</v>
      </c>
      <c r="C12835" s="2">
        <f ca="1">IFERROR(__xludf.DUMMYFUNCTION("""COMPUTED_VALUE"""),999)</f>
        <v>999</v>
      </c>
      <c r="D12835" s="8">
        <f ca="1">IFERROR(__xludf.DUMMYFUNCTION("""COMPUTED_VALUE"""),999)</f>
        <v>999</v>
      </c>
      <c r="E12835" s="2">
        <f ca="1">IFERROR(__xludf.DUMMYFUNCTION("""COMPUTED_VALUE"""),999)</f>
        <v>999</v>
      </c>
    </row>
    <row r="12836" spans="1:5" ht="13">
      <c r="A12836" s="2" t="str">
        <f ca="1">IFERROR(__xludf.DUMMYFUNCTION("""COMPUTED_VALUE"""),"Pardue, Tommie")</f>
        <v>Pardue, Tommie</v>
      </c>
      <c r="B12836" s="2">
        <f ca="1">IFERROR(__xludf.DUMMYFUNCTION("""COMPUTED_VALUE"""),999)</f>
        <v>999</v>
      </c>
      <c r="C12836" s="2">
        <f ca="1">IFERROR(__xludf.DUMMYFUNCTION("""COMPUTED_VALUE"""),999)</f>
        <v>999</v>
      </c>
      <c r="D12836" s="8">
        <f ca="1">IFERROR(__xludf.DUMMYFUNCTION("""COMPUTED_VALUE"""),999)</f>
        <v>999</v>
      </c>
      <c r="E12836" s="2">
        <f ca="1">IFERROR(__xludf.DUMMYFUNCTION("""COMPUTED_VALUE"""),999)</f>
        <v>999</v>
      </c>
    </row>
    <row r="12837" spans="1:5" ht="13">
      <c r="A12837" s="2" t="str">
        <f ca="1">IFERROR(__xludf.DUMMYFUNCTION("""COMPUTED_VALUE"""),"Park, Bill")</f>
        <v>Park, Bill</v>
      </c>
      <c r="B12837" s="2">
        <f ca="1">IFERROR(__xludf.DUMMYFUNCTION("""COMPUTED_VALUE"""),999)</f>
        <v>999</v>
      </c>
      <c r="C12837" s="2">
        <f ca="1">IFERROR(__xludf.DUMMYFUNCTION("""COMPUTED_VALUE"""),999)</f>
        <v>999</v>
      </c>
      <c r="D12837" s="8">
        <f ca="1">IFERROR(__xludf.DUMMYFUNCTION("""COMPUTED_VALUE"""),999)</f>
        <v>999</v>
      </c>
      <c r="E12837" s="2">
        <f ca="1">IFERROR(__xludf.DUMMYFUNCTION("""COMPUTED_VALUE"""),999)</f>
        <v>999</v>
      </c>
    </row>
    <row r="12838" spans="1:5" ht="13">
      <c r="A12838" s="8" t="str">
        <f ca="1">IFERROR(__xludf.DUMMYFUNCTION("""COMPUTED_VALUE"""),"Parker, Don")</f>
        <v>Parker, Don</v>
      </c>
      <c r="B12838" s="3">
        <f ca="1">IFERROR(__xludf.DUMMYFUNCTION("""COMPUTED_VALUE"""),999)</f>
        <v>999</v>
      </c>
      <c r="C12838" s="7">
        <f ca="1">IFERROR(__xludf.DUMMYFUNCTION("""COMPUTED_VALUE"""),999)</f>
        <v>999</v>
      </c>
      <c r="D12838" s="8">
        <f ca="1">IFERROR(__xludf.DUMMYFUNCTION("""COMPUTED_VALUE"""),999)</f>
        <v>999</v>
      </c>
      <c r="E12838" s="3">
        <f ca="1">IFERROR(__xludf.DUMMYFUNCTION("""COMPUTED_VALUE"""),999)</f>
        <v>999</v>
      </c>
    </row>
    <row r="12839" spans="1:5" ht="13">
      <c r="A12839" s="2" t="str">
        <f ca="1">IFERROR(__xludf.DUMMYFUNCTION("""COMPUTED_VALUE"""),"Parker, Tom")</f>
        <v>Parker, Tom</v>
      </c>
      <c r="B12839" s="2">
        <f ca="1">IFERROR(__xludf.DUMMYFUNCTION("""COMPUTED_VALUE"""),999)</f>
        <v>999</v>
      </c>
      <c r="C12839" s="2">
        <f ca="1">IFERROR(__xludf.DUMMYFUNCTION("""COMPUTED_VALUE"""),999)</f>
        <v>999</v>
      </c>
      <c r="D12839" s="8">
        <f ca="1">IFERROR(__xludf.DUMMYFUNCTION("""COMPUTED_VALUE"""),999)</f>
        <v>999</v>
      </c>
      <c r="E12839" s="2">
        <f ca="1">IFERROR(__xludf.DUMMYFUNCTION("""COMPUTED_VALUE"""),999)</f>
        <v>999</v>
      </c>
    </row>
    <row r="12840" spans="1:5" ht="13">
      <c r="A12840" s="2" t="str">
        <f ca="1">IFERROR(__xludf.DUMMYFUNCTION("""COMPUTED_VALUE"""),"Paton, John Glenn")</f>
        <v>Paton, John Glenn</v>
      </c>
      <c r="B12840" s="2">
        <f ca="1">IFERROR(__xludf.DUMMYFUNCTION("""COMPUTED_VALUE"""),999)</f>
        <v>999</v>
      </c>
      <c r="C12840" s="2">
        <f ca="1">IFERROR(__xludf.DUMMYFUNCTION("""COMPUTED_VALUE"""),999)</f>
        <v>999</v>
      </c>
      <c r="D12840" s="8">
        <f ca="1">IFERROR(__xludf.DUMMYFUNCTION("""COMPUTED_VALUE"""),999)</f>
        <v>999</v>
      </c>
      <c r="E12840" s="2">
        <f ca="1">IFERROR(__xludf.DUMMYFUNCTION("""COMPUTED_VALUE"""),999)</f>
        <v>999</v>
      </c>
    </row>
    <row r="12841" spans="1:5" ht="13">
      <c r="A12841" s="2" t="str">
        <f ca="1">IFERROR(__xludf.DUMMYFUNCTION("""COMPUTED_VALUE"""),"Patterson, Willis C.")</f>
        <v>Patterson, Willis C.</v>
      </c>
      <c r="B12841" s="2">
        <f ca="1">IFERROR(__xludf.DUMMYFUNCTION("""COMPUTED_VALUE"""),999)</f>
        <v>999</v>
      </c>
      <c r="C12841" s="2">
        <f ca="1">IFERROR(__xludf.DUMMYFUNCTION("""COMPUTED_VALUE"""),999)</f>
        <v>999</v>
      </c>
      <c r="D12841" s="8">
        <f ca="1">IFERROR(__xludf.DUMMYFUNCTION("""COMPUTED_VALUE"""),999)</f>
        <v>999</v>
      </c>
      <c r="E12841" s="2">
        <f ca="1">IFERROR(__xludf.DUMMYFUNCTION("""COMPUTED_VALUE"""),999)</f>
        <v>999</v>
      </c>
    </row>
    <row r="12842" spans="1:5" ht="13">
      <c r="A12842" s="8" t="str">
        <f ca="1">IFERROR(__xludf.DUMMYFUNCTION("""COMPUTED_VALUE"""),"Paulen (unknown)")</f>
        <v>Paulen (unknown)</v>
      </c>
      <c r="B12842" s="2">
        <f ca="1">IFERROR(__xludf.DUMMYFUNCTION("""COMPUTED_VALUE"""),999)</f>
        <v>999</v>
      </c>
      <c r="C12842" s="7">
        <f ca="1">IFERROR(__xludf.DUMMYFUNCTION("""COMPUTED_VALUE"""),999)</f>
        <v>999</v>
      </c>
      <c r="D12842" s="8">
        <f ca="1">IFERROR(__xludf.DUMMYFUNCTION("""COMPUTED_VALUE"""),999)</f>
        <v>999</v>
      </c>
      <c r="E12842" s="2">
        <f ca="1">IFERROR(__xludf.DUMMYFUNCTION("""COMPUTED_VALUE"""),999)</f>
        <v>999</v>
      </c>
    </row>
    <row r="12843" spans="1:5" ht="13">
      <c r="A12843" s="2" t="str">
        <f ca="1">IFERROR(__xludf.DUMMYFUNCTION("""COMPUTED_VALUE"""),"Paulson, Joseph")</f>
        <v>Paulson, Joseph</v>
      </c>
      <c r="B12843" s="2">
        <f ca="1">IFERROR(__xludf.DUMMYFUNCTION("""COMPUTED_VALUE"""),999)</f>
        <v>999</v>
      </c>
      <c r="C12843" s="2">
        <f ca="1">IFERROR(__xludf.DUMMYFUNCTION("""COMPUTED_VALUE"""),999)</f>
        <v>999</v>
      </c>
      <c r="D12843" s="8">
        <f ca="1">IFERROR(__xludf.DUMMYFUNCTION("""COMPUTED_VALUE"""),999)</f>
        <v>999</v>
      </c>
      <c r="E12843" s="2">
        <f ca="1">IFERROR(__xludf.DUMMYFUNCTION("""COMPUTED_VALUE"""),999)</f>
        <v>999</v>
      </c>
    </row>
    <row r="12844" spans="1:5" ht="13">
      <c r="A12844" s="2" t="str">
        <f ca="1">IFERROR(__xludf.DUMMYFUNCTION("""COMPUTED_VALUE"""),"Pavel, G.")</f>
        <v>Pavel, G.</v>
      </c>
      <c r="B12844" s="2">
        <f ca="1">IFERROR(__xludf.DUMMYFUNCTION("""COMPUTED_VALUE"""),999)</f>
        <v>999</v>
      </c>
      <c r="C12844" s="2">
        <f ca="1">IFERROR(__xludf.DUMMYFUNCTION("""COMPUTED_VALUE"""),999)</f>
        <v>999</v>
      </c>
      <c r="D12844" s="8">
        <f ca="1">IFERROR(__xludf.DUMMYFUNCTION("""COMPUTED_VALUE"""),999)</f>
        <v>999</v>
      </c>
      <c r="E12844" s="2">
        <f ca="1">IFERROR(__xludf.DUMMYFUNCTION("""COMPUTED_VALUE"""),999)</f>
        <v>999</v>
      </c>
    </row>
    <row r="12845" spans="1:5" ht="13">
      <c r="A12845" s="2" t="str">
        <f ca="1">IFERROR(__xludf.DUMMYFUNCTION("""COMPUTED_VALUE"""),"Payant, Nathan")</f>
        <v>Payant, Nathan</v>
      </c>
      <c r="B12845" s="2">
        <f ca="1">IFERROR(__xludf.DUMMYFUNCTION("""COMPUTED_VALUE"""),999)</f>
        <v>999</v>
      </c>
      <c r="C12845" s="2">
        <f ca="1">IFERROR(__xludf.DUMMYFUNCTION("""COMPUTED_VALUE"""),999)</f>
        <v>999</v>
      </c>
      <c r="D12845" s="8">
        <f ca="1">IFERROR(__xludf.DUMMYFUNCTION("""COMPUTED_VALUE"""),999)</f>
        <v>999</v>
      </c>
      <c r="E12845" s="2">
        <f ca="1">IFERROR(__xludf.DUMMYFUNCTION("""COMPUTED_VALUE"""),999)</f>
        <v>999</v>
      </c>
    </row>
    <row r="12846" spans="1:5" ht="13">
      <c r="A12846" s="2" t="str">
        <f ca="1">IFERROR(__xludf.DUMMYFUNCTION("""COMPUTED_VALUE"""),"Pearson, Bruce / Barden, Wendy")</f>
        <v>Pearson, Bruce / Barden, Wendy</v>
      </c>
      <c r="B12846" s="2">
        <f ca="1">IFERROR(__xludf.DUMMYFUNCTION("""COMPUTED_VALUE"""),999)</f>
        <v>999</v>
      </c>
      <c r="C12846" s="2">
        <f ca="1">IFERROR(__xludf.DUMMYFUNCTION("""COMPUTED_VALUE"""),999)</f>
        <v>999</v>
      </c>
      <c r="D12846" s="8">
        <f ca="1">IFERROR(__xludf.DUMMYFUNCTION("""COMPUTED_VALUE"""),999)</f>
        <v>999</v>
      </c>
      <c r="E12846" s="2">
        <f ca="1">IFERROR(__xludf.DUMMYFUNCTION("""COMPUTED_VALUE"""),999)</f>
        <v>999</v>
      </c>
    </row>
    <row r="12847" spans="1:5" ht="13">
      <c r="A12847" s="2" t="str">
        <f ca="1">IFERROR(__xludf.DUMMYFUNCTION("""COMPUTED_VALUE"""),"Peek, Richard")</f>
        <v>Peek, Richard</v>
      </c>
      <c r="B12847" s="2">
        <f ca="1">IFERROR(__xludf.DUMMYFUNCTION("""COMPUTED_VALUE"""),999)</f>
        <v>999</v>
      </c>
      <c r="C12847" s="2">
        <f ca="1">IFERROR(__xludf.DUMMYFUNCTION("""COMPUTED_VALUE"""),999)</f>
        <v>999</v>
      </c>
      <c r="D12847" s="8">
        <f ca="1">IFERROR(__xludf.DUMMYFUNCTION("""COMPUTED_VALUE"""),999)</f>
        <v>999</v>
      </c>
      <c r="E12847" s="2">
        <f ca="1">IFERROR(__xludf.DUMMYFUNCTION("""COMPUTED_VALUE"""),999)</f>
        <v>999</v>
      </c>
    </row>
    <row r="12848" spans="1:5" ht="13">
      <c r="A12848" s="2" t="str">
        <f ca="1">IFERROR(__xludf.DUMMYFUNCTION("""COMPUTED_VALUE"""),"Peel, Robert")</f>
        <v>Peel, Robert</v>
      </c>
      <c r="B12848" s="2">
        <f ca="1">IFERROR(__xludf.DUMMYFUNCTION("""COMPUTED_VALUE"""),999)</f>
        <v>999</v>
      </c>
      <c r="C12848" s="2">
        <f ca="1">IFERROR(__xludf.DUMMYFUNCTION("""COMPUTED_VALUE"""),999)</f>
        <v>999</v>
      </c>
      <c r="D12848" s="8">
        <f ca="1">IFERROR(__xludf.DUMMYFUNCTION("""COMPUTED_VALUE"""),999)</f>
        <v>999</v>
      </c>
      <c r="E12848" s="2">
        <f ca="1">IFERROR(__xludf.DUMMYFUNCTION("""COMPUTED_VALUE"""),999)</f>
        <v>999</v>
      </c>
    </row>
    <row r="12849" spans="1:5" ht="13">
      <c r="A12849" s="2" t="str">
        <f ca="1">IFERROR(__xludf.DUMMYFUNCTION("""COMPUTED_VALUE"""),"Peeters, Marcel")</f>
        <v>Peeters, Marcel</v>
      </c>
      <c r="B12849" s="2">
        <f ca="1">IFERROR(__xludf.DUMMYFUNCTION("""COMPUTED_VALUE"""),999)</f>
        <v>999</v>
      </c>
      <c r="C12849" s="2">
        <f ca="1">IFERROR(__xludf.DUMMYFUNCTION("""COMPUTED_VALUE"""),999)</f>
        <v>999</v>
      </c>
      <c r="D12849" s="8">
        <f ca="1">IFERROR(__xludf.DUMMYFUNCTION("""COMPUTED_VALUE"""),999)</f>
        <v>999</v>
      </c>
      <c r="E12849" s="2">
        <f ca="1">IFERROR(__xludf.DUMMYFUNCTION("""COMPUTED_VALUE"""),999)</f>
        <v>999</v>
      </c>
    </row>
    <row r="12850" spans="1:5" ht="13">
      <c r="A12850" s="2" t="str">
        <f ca="1">IFERROR(__xludf.DUMMYFUNCTION("""COMPUTED_VALUE"""),"Pelz, Lothar")</f>
        <v>Pelz, Lothar</v>
      </c>
      <c r="B12850" s="2">
        <f ca="1">IFERROR(__xludf.DUMMYFUNCTION("""COMPUTED_VALUE"""),999)</f>
        <v>999</v>
      </c>
      <c r="C12850" s="7">
        <f ca="1">IFERROR(__xludf.DUMMYFUNCTION("""COMPUTED_VALUE"""),999)</f>
        <v>999</v>
      </c>
      <c r="D12850" s="8">
        <f ca="1">IFERROR(__xludf.DUMMYFUNCTION("""COMPUTED_VALUE"""),999)</f>
        <v>999</v>
      </c>
      <c r="E12850" s="2">
        <f ca="1">IFERROR(__xludf.DUMMYFUNCTION("""COMPUTED_VALUE"""),999)</f>
        <v>999</v>
      </c>
    </row>
    <row r="12851" spans="1:5" ht="13">
      <c r="A12851" s="8" t="str">
        <f ca="1">IFERROR(__xludf.DUMMYFUNCTION("""COMPUTED_VALUE"""),"Petersen (Unknown)")</f>
        <v>Petersen (Unknown)</v>
      </c>
      <c r="B12851" s="2">
        <f ca="1">IFERROR(__xludf.DUMMYFUNCTION("""COMPUTED_VALUE"""),999)</f>
        <v>999</v>
      </c>
      <c r="C12851" s="7">
        <f ca="1">IFERROR(__xludf.DUMMYFUNCTION("""COMPUTED_VALUE"""),999)</f>
        <v>999</v>
      </c>
      <c r="D12851" s="8">
        <f ca="1">IFERROR(__xludf.DUMMYFUNCTION("""COMPUTED_VALUE"""),999)</f>
        <v>999</v>
      </c>
      <c r="E12851" s="2">
        <f ca="1">IFERROR(__xludf.DUMMYFUNCTION("""COMPUTED_VALUE"""),999)</f>
        <v>999</v>
      </c>
    </row>
    <row r="12852" spans="1:5" ht="13">
      <c r="A12852" s="2" t="str">
        <f ca="1">IFERROR(__xludf.DUMMYFUNCTION("""COMPUTED_VALUE"""),"Petersen, Ted")</f>
        <v>Petersen, Ted</v>
      </c>
      <c r="B12852" s="2">
        <f ca="1">IFERROR(__xludf.DUMMYFUNCTION("""COMPUTED_VALUE"""),999)</f>
        <v>999</v>
      </c>
      <c r="C12852" s="2">
        <f ca="1">IFERROR(__xludf.DUMMYFUNCTION("""COMPUTED_VALUE"""),999)</f>
        <v>999</v>
      </c>
      <c r="D12852" s="8">
        <f ca="1">IFERROR(__xludf.DUMMYFUNCTION("""COMPUTED_VALUE"""),999)</f>
        <v>999</v>
      </c>
      <c r="E12852" s="2">
        <f ca="1">IFERROR(__xludf.DUMMYFUNCTION("""COMPUTED_VALUE"""),999)</f>
        <v>999</v>
      </c>
    </row>
    <row r="12853" spans="1:5" ht="13">
      <c r="A12853" s="8" t="str">
        <f ca="1">IFERROR(__xludf.DUMMYFUNCTION("""COMPUTED_VALUE"""),"Peterson (Unknown)")</f>
        <v>Peterson (Unknown)</v>
      </c>
      <c r="B12853" s="2">
        <f ca="1">IFERROR(__xludf.DUMMYFUNCTION("""COMPUTED_VALUE"""),999)</f>
        <v>999</v>
      </c>
      <c r="C12853" s="7">
        <f ca="1">IFERROR(__xludf.DUMMYFUNCTION("""COMPUTED_VALUE"""),999)</f>
        <v>999</v>
      </c>
      <c r="D12853" s="8">
        <f ca="1">IFERROR(__xludf.DUMMYFUNCTION("""COMPUTED_VALUE"""),999)</f>
        <v>999</v>
      </c>
      <c r="E12853" s="2">
        <f ca="1">IFERROR(__xludf.DUMMYFUNCTION("""COMPUTED_VALUE"""),999)</f>
        <v>999</v>
      </c>
    </row>
    <row r="12854" spans="1:5" ht="13">
      <c r="A12854" s="2" t="str">
        <f ca="1">IFERROR(__xludf.DUMMYFUNCTION("""COMPUTED_VALUE"""),"Peterson, Troy / Brand, Geoffrey")</f>
        <v>Peterson, Troy / Brand, Geoffrey</v>
      </c>
      <c r="B12854" s="2">
        <f ca="1">IFERROR(__xludf.DUMMYFUNCTION("""COMPUTED_VALUE"""),999)</f>
        <v>999</v>
      </c>
      <c r="C12854" s="2">
        <f ca="1">IFERROR(__xludf.DUMMYFUNCTION("""COMPUTED_VALUE"""),999)</f>
        <v>999</v>
      </c>
      <c r="D12854" s="8">
        <f ca="1">IFERROR(__xludf.DUMMYFUNCTION("""COMPUTED_VALUE"""),999)</f>
        <v>999</v>
      </c>
      <c r="E12854" s="2">
        <f ca="1">IFERROR(__xludf.DUMMYFUNCTION("""COMPUTED_VALUE"""),999)</f>
        <v>999</v>
      </c>
    </row>
    <row r="12855" spans="1:5" ht="13">
      <c r="A12855" s="2" t="str">
        <f ca="1">IFERROR(__xludf.DUMMYFUNCTION("""COMPUTED_VALUE"""),"Phillips, Brian")</f>
        <v>Phillips, Brian</v>
      </c>
      <c r="B12855" s="2">
        <f ca="1">IFERROR(__xludf.DUMMYFUNCTION("""COMPUTED_VALUE"""),999)</f>
        <v>999</v>
      </c>
      <c r="C12855" s="2">
        <f ca="1">IFERROR(__xludf.DUMMYFUNCTION("""COMPUTED_VALUE"""),999)</f>
        <v>999</v>
      </c>
      <c r="D12855" s="8">
        <f ca="1">IFERROR(__xludf.DUMMYFUNCTION("""COMPUTED_VALUE"""),999)</f>
        <v>999</v>
      </c>
      <c r="E12855" s="2">
        <f ca="1">IFERROR(__xludf.DUMMYFUNCTION("""COMPUTED_VALUE"""),999)</f>
        <v>999</v>
      </c>
    </row>
    <row r="12856" spans="1:5" ht="13">
      <c r="A12856" s="2" t="str">
        <f ca="1">IFERROR(__xludf.DUMMYFUNCTION("""COMPUTED_VALUE"""),"Phillips, Dan")</f>
        <v>Phillips, Dan</v>
      </c>
      <c r="B12856" s="2">
        <f ca="1">IFERROR(__xludf.DUMMYFUNCTION("""COMPUTED_VALUE"""),999)</f>
        <v>999</v>
      </c>
      <c r="C12856" s="2">
        <f ca="1">IFERROR(__xludf.DUMMYFUNCTION("""COMPUTED_VALUE"""),999)</f>
        <v>999</v>
      </c>
      <c r="D12856" s="8">
        <f ca="1">IFERROR(__xludf.DUMMYFUNCTION("""COMPUTED_VALUE"""),999)</f>
        <v>999</v>
      </c>
      <c r="E12856" s="2">
        <f ca="1">IFERROR(__xludf.DUMMYFUNCTION("""COMPUTED_VALUE"""),999)</f>
        <v>999</v>
      </c>
    </row>
    <row r="12857" spans="1:5" ht="13">
      <c r="A12857" s="2" t="str">
        <f ca="1">IFERROR(__xludf.DUMMYFUNCTION("""COMPUTED_VALUE"""),"Phillips, Ivan C.")</f>
        <v>Phillips, Ivan C.</v>
      </c>
      <c r="B12857" s="2">
        <f ca="1">IFERROR(__xludf.DUMMYFUNCTION("""COMPUTED_VALUE"""),999)</f>
        <v>999</v>
      </c>
      <c r="C12857" s="2">
        <f ca="1">IFERROR(__xludf.DUMMYFUNCTION("""COMPUTED_VALUE"""),999)</f>
        <v>999</v>
      </c>
      <c r="D12857" s="8">
        <f ca="1">IFERROR(__xludf.DUMMYFUNCTION("""COMPUTED_VALUE"""),999)</f>
        <v>999</v>
      </c>
      <c r="E12857" s="2">
        <f ca="1">IFERROR(__xludf.DUMMYFUNCTION("""COMPUTED_VALUE"""),999)</f>
        <v>999</v>
      </c>
    </row>
    <row r="12858" spans="1:5" ht="13">
      <c r="A12858" s="2" t="str">
        <f ca="1">IFERROR(__xludf.DUMMYFUNCTION("""COMPUTED_VALUE"""),"Phillips, M. (unknown)")</f>
        <v>Phillips, M. (unknown)</v>
      </c>
      <c r="B12858" s="2">
        <f ca="1">IFERROR(__xludf.DUMMYFUNCTION("""COMPUTED_VALUE"""),999)</f>
        <v>999</v>
      </c>
      <c r="C12858" s="2">
        <f ca="1">IFERROR(__xludf.DUMMYFUNCTION("""COMPUTED_VALUE"""),999)</f>
        <v>999</v>
      </c>
      <c r="D12858" s="8">
        <f ca="1">IFERROR(__xludf.DUMMYFUNCTION("""COMPUTED_VALUE"""),999)</f>
        <v>999</v>
      </c>
      <c r="E12858" s="2">
        <f ca="1">IFERROR(__xludf.DUMMYFUNCTION("""COMPUTED_VALUE"""),999)</f>
        <v>999</v>
      </c>
    </row>
    <row r="12859" spans="1:5" ht="13">
      <c r="A12859" s="8" t="str">
        <f ca="1">IFERROR(__xludf.DUMMYFUNCTION("""COMPUTED_VALUE"""),"Piae Cantiones, 1582")</f>
        <v>Piae Cantiones, 1582</v>
      </c>
      <c r="B12859" s="2">
        <f ca="1">IFERROR(__xludf.DUMMYFUNCTION("""COMPUTED_VALUE"""),999)</f>
        <v>999</v>
      </c>
      <c r="C12859" s="7">
        <f ca="1">IFERROR(__xludf.DUMMYFUNCTION("""COMPUTED_VALUE"""),999)</f>
        <v>999</v>
      </c>
      <c r="D12859" s="8">
        <f ca="1">IFERROR(__xludf.DUMMYFUNCTION("""COMPUTED_VALUE"""),999)</f>
        <v>999</v>
      </c>
      <c r="E12859" s="2">
        <f ca="1">IFERROR(__xludf.DUMMYFUNCTION("""COMPUTED_VALUE"""),999)</f>
        <v>999</v>
      </c>
    </row>
    <row r="12860" spans="1:5" ht="13">
      <c r="A12860" s="2" t="str">
        <f ca="1">IFERROR(__xludf.DUMMYFUNCTION("""COMPUTED_VALUE"""),"Pinkfong")</f>
        <v>Pinkfong</v>
      </c>
      <c r="B12860" s="2">
        <f ca="1">IFERROR(__xludf.DUMMYFUNCTION("""COMPUTED_VALUE"""),999)</f>
        <v>999</v>
      </c>
      <c r="C12860" s="2">
        <f ca="1">IFERROR(__xludf.DUMMYFUNCTION("""COMPUTED_VALUE"""),999)</f>
        <v>999</v>
      </c>
      <c r="D12860" s="8">
        <f ca="1">IFERROR(__xludf.DUMMYFUNCTION("""COMPUTED_VALUE"""),999)</f>
        <v>999</v>
      </c>
      <c r="E12860" s="2">
        <f ca="1">IFERROR(__xludf.DUMMYFUNCTION("""COMPUTED_VALUE"""),999)</f>
        <v>999</v>
      </c>
    </row>
    <row r="12861" spans="1:5" ht="13">
      <c r="A12861" s="2" t="str">
        <f ca="1">IFERROR(__xludf.DUMMYFUNCTION("""COMPUTED_VALUE"""),"Pinkzebra")</f>
        <v>Pinkzebra</v>
      </c>
      <c r="B12861" s="3">
        <f ca="1">IFERROR(__xludf.DUMMYFUNCTION("""COMPUTED_VALUE"""),999)</f>
        <v>999</v>
      </c>
      <c r="C12861" s="7">
        <f ca="1">IFERROR(__xludf.DUMMYFUNCTION("""COMPUTED_VALUE"""),999)</f>
        <v>999</v>
      </c>
      <c r="D12861" s="8">
        <f ca="1">IFERROR(__xludf.DUMMYFUNCTION("""COMPUTED_VALUE"""),999)</f>
        <v>999</v>
      </c>
      <c r="E12861" s="2">
        <f ca="1">IFERROR(__xludf.DUMMYFUNCTION("""COMPUTED_VALUE"""),999)</f>
        <v>999</v>
      </c>
    </row>
    <row r="12862" spans="1:5" ht="13">
      <c r="A12862" s="2" t="str">
        <f ca="1">IFERROR(__xludf.DUMMYFUNCTION("""COMPUTED_VALUE"""),"Placek (unknown)")</f>
        <v>Placek (unknown)</v>
      </c>
      <c r="B12862" s="2">
        <f ca="1">IFERROR(__xludf.DUMMYFUNCTION("""COMPUTED_VALUE"""),999)</f>
        <v>999</v>
      </c>
      <c r="C12862" s="2">
        <f ca="1">IFERROR(__xludf.DUMMYFUNCTION("""COMPUTED_VALUE"""),999)</f>
        <v>999</v>
      </c>
      <c r="D12862" s="8">
        <f ca="1">IFERROR(__xludf.DUMMYFUNCTION("""COMPUTED_VALUE"""),999)</f>
        <v>999</v>
      </c>
      <c r="E12862" s="2">
        <f ca="1">IFERROR(__xludf.DUMMYFUNCTION("""COMPUTED_VALUE"""),999)</f>
        <v>999</v>
      </c>
    </row>
    <row r="12863" spans="1:5" ht="13">
      <c r="A12863" s="2" t="str">
        <f ca="1">IFERROR(__xludf.DUMMYFUNCTION("""COMPUTED_VALUE"""),"Plater, Denis J.")</f>
        <v>Plater, Denis J.</v>
      </c>
      <c r="B12863" s="2">
        <f ca="1">IFERROR(__xludf.DUMMYFUNCTION("""COMPUTED_VALUE"""),999)</f>
        <v>999</v>
      </c>
      <c r="C12863" s="2">
        <f ca="1">IFERROR(__xludf.DUMMYFUNCTION("""COMPUTED_VALUE"""),999)</f>
        <v>999</v>
      </c>
      <c r="D12863" s="8">
        <f ca="1">IFERROR(__xludf.DUMMYFUNCTION("""COMPUTED_VALUE"""),999)</f>
        <v>999</v>
      </c>
      <c r="E12863" s="2">
        <f ca="1">IFERROR(__xludf.DUMMYFUNCTION("""COMPUTED_VALUE"""),999)</f>
        <v>999</v>
      </c>
    </row>
    <row r="12864" spans="1:5" ht="13">
      <c r="A12864" s="2" t="str">
        <f ca="1">IFERROR(__xludf.DUMMYFUNCTION("""COMPUTED_VALUE"""),"Plott, Donald")</f>
        <v>Plott, Donald</v>
      </c>
      <c r="B12864" s="2">
        <f ca="1">IFERROR(__xludf.DUMMYFUNCTION("""COMPUTED_VALUE"""),999)</f>
        <v>999</v>
      </c>
      <c r="C12864" s="2">
        <f ca="1">IFERROR(__xludf.DUMMYFUNCTION("""COMPUTED_VALUE"""),999)</f>
        <v>999</v>
      </c>
      <c r="D12864" s="8">
        <f ca="1">IFERROR(__xludf.DUMMYFUNCTION("""COMPUTED_VALUE"""),999)</f>
        <v>999</v>
      </c>
      <c r="E12864" s="2">
        <f ca="1">IFERROR(__xludf.DUMMYFUNCTION("""COMPUTED_VALUE"""),999)</f>
        <v>999</v>
      </c>
    </row>
    <row r="12865" spans="1:5" ht="13">
      <c r="A12865" s="2" t="str">
        <f ca="1">IFERROR(__xludf.DUMMYFUNCTION("""COMPUTED_VALUE"""),"Polhamus, Albert A.")</f>
        <v>Polhamus, Albert A.</v>
      </c>
      <c r="B12865" s="2">
        <f ca="1">IFERROR(__xludf.DUMMYFUNCTION("""COMPUTED_VALUE"""),999)</f>
        <v>999</v>
      </c>
      <c r="C12865" s="2">
        <f ca="1">IFERROR(__xludf.DUMMYFUNCTION("""COMPUTED_VALUE"""),999)</f>
        <v>999</v>
      </c>
      <c r="D12865" s="8">
        <f ca="1">IFERROR(__xludf.DUMMYFUNCTION("""COMPUTED_VALUE"""),999)</f>
        <v>999</v>
      </c>
      <c r="E12865" s="2">
        <f ca="1">IFERROR(__xludf.DUMMYFUNCTION("""COMPUTED_VALUE"""),999)</f>
        <v>999</v>
      </c>
    </row>
    <row r="12866" spans="1:5" ht="13">
      <c r="A12866" s="2" t="str">
        <f ca="1">IFERROR(__xludf.DUMMYFUNCTION("""COMPUTED_VALUE"""),"Polister, Ian")</f>
        <v>Polister, Ian</v>
      </c>
      <c r="B12866" s="2">
        <f ca="1">IFERROR(__xludf.DUMMYFUNCTION("""COMPUTED_VALUE"""),999)</f>
        <v>999</v>
      </c>
      <c r="C12866" s="7">
        <f ca="1">IFERROR(__xludf.DUMMYFUNCTION("""COMPUTED_VALUE"""),999)</f>
        <v>999</v>
      </c>
      <c r="D12866" s="8">
        <f ca="1">IFERROR(__xludf.DUMMYFUNCTION("""COMPUTED_VALUE"""),999)</f>
        <v>999</v>
      </c>
      <c r="E12866" s="2">
        <f ca="1">IFERROR(__xludf.DUMMYFUNCTION("""COMPUTED_VALUE"""),999)</f>
        <v>999</v>
      </c>
    </row>
    <row r="12867" spans="1:5" ht="13">
      <c r="A12867" s="2" t="str">
        <f ca="1">IFERROR(__xludf.DUMMYFUNCTION("""COMPUTED_VALUE"""),"Pollmann (unknown)")</f>
        <v>Pollmann (unknown)</v>
      </c>
      <c r="B12867" s="2">
        <f ca="1">IFERROR(__xludf.DUMMYFUNCTION("""COMPUTED_VALUE"""),999)</f>
        <v>999</v>
      </c>
      <c r="C12867" s="7">
        <f ca="1">IFERROR(__xludf.DUMMYFUNCTION("""COMPUTED_VALUE"""),999)</f>
        <v>999</v>
      </c>
      <c r="D12867" s="8">
        <f ca="1">IFERROR(__xludf.DUMMYFUNCTION("""COMPUTED_VALUE"""),999)</f>
        <v>999</v>
      </c>
      <c r="E12867" s="2">
        <f ca="1">IFERROR(__xludf.DUMMYFUNCTION("""COMPUTED_VALUE"""),999)</f>
        <v>999</v>
      </c>
    </row>
    <row r="12868" spans="1:5" ht="13">
      <c r="A12868" s="2" t="str">
        <f ca="1">IFERROR(__xludf.DUMMYFUNCTION("""COMPUTED_VALUE"""),"Pooler, Frank")</f>
        <v>Pooler, Frank</v>
      </c>
      <c r="B12868" s="2">
        <f ca="1">IFERROR(__xludf.DUMMYFUNCTION("""COMPUTED_VALUE"""),999)</f>
        <v>999</v>
      </c>
      <c r="C12868" s="2">
        <f ca="1">IFERROR(__xludf.DUMMYFUNCTION("""COMPUTED_VALUE"""),999)</f>
        <v>999</v>
      </c>
      <c r="D12868" s="8">
        <f ca="1">IFERROR(__xludf.DUMMYFUNCTION("""COMPUTED_VALUE"""),999)</f>
        <v>999</v>
      </c>
      <c r="E12868" s="2">
        <f ca="1">IFERROR(__xludf.DUMMYFUNCTION("""COMPUTED_VALUE"""),999)</f>
        <v>999</v>
      </c>
    </row>
    <row r="12869" spans="1:5" ht="13">
      <c r="A12869" s="2" t="str">
        <f ca="1">IFERROR(__xludf.DUMMYFUNCTION("""COMPUTED_VALUE"""),"Posch, Gerard")</f>
        <v>Posch, Gerard</v>
      </c>
      <c r="B12869" s="2">
        <f ca="1">IFERROR(__xludf.DUMMYFUNCTION("""COMPUTED_VALUE"""),999)</f>
        <v>999</v>
      </c>
      <c r="C12869" s="2">
        <f ca="1">IFERROR(__xludf.DUMMYFUNCTION("""COMPUTED_VALUE"""),999)</f>
        <v>999</v>
      </c>
      <c r="D12869" s="8">
        <f ca="1">IFERROR(__xludf.DUMMYFUNCTION("""COMPUTED_VALUE"""),999)</f>
        <v>999</v>
      </c>
      <c r="E12869" s="2">
        <f ca="1">IFERROR(__xludf.DUMMYFUNCTION("""COMPUTED_VALUE"""),999)</f>
        <v>999</v>
      </c>
    </row>
    <row r="12870" spans="1:5" ht="13">
      <c r="A12870" s="2" t="str">
        <f ca="1">IFERROR(__xludf.DUMMYFUNCTION("""COMPUTED_VALUE"""),"Powell, Harlan")</f>
        <v>Powell, Harlan</v>
      </c>
      <c r="B12870" s="2">
        <f ca="1">IFERROR(__xludf.DUMMYFUNCTION("""COMPUTED_VALUE"""),999)</f>
        <v>999</v>
      </c>
      <c r="C12870" s="2">
        <f ca="1">IFERROR(__xludf.DUMMYFUNCTION("""COMPUTED_VALUE"""),999)</f>
        <v>999</v>
      </c>
      <c r="D12870" s="8">
        <f ca="1">IFERROR(__xludf.DUMMYFUNCTION("""COMPUTED_VALUE"""),999)</f>
        <v>999</v>
      </c>
      <c r="E12870" s="2">
        <f ca="1">IFERROR(__xludf.DUMMYFUNCTION("""COMPUTED_VALUE"""),999)</f>
        <v>999</v>
      </c>
    </row>
    <row r="12871" spans="1:5" ht="13">
      <c r="A12871" s="2" t="str">
        <f ca="1">IFERROR(__xludf.DUMMYFUNCTION("""COMPUTED_VALUE"""),"Power, Hiram")</f>
        <v>Power, Hiram</v>
      </c>
      <c r="B12871" s="2">
        <f ca="1">IFERROR(__xludf.DUMMYFUNCTION("""COMPUTED_VALUE"""),999)</f>
        <v>999</v>
      </c>
      <c r="C12871" s="2">
        <f ca="1">IFERROR(__xludf.DUMMYFUNCTION("""COMPUTED_VALUE"""),999)</f>
        <v>999</v>
      </c>
      <c r="D12871" s="8">
        <f ca="1">IFERROR(__xludf.DUMMYFUNCTION("""COMPUTED_VALUE"""),999)</f>
        <v>999</v>
      </c>
      <c r="E12871" s="2">
        <f ca="1">IFERROR(__xludf.DUMMYFUNCTION("""COMPUTED_VALUE"""),999)</f>
        <v>999</v>
      </c>
    </row>
    <row r="12872" spans="1:5" ht="13">
      <c r="A12872" s="2" t="str">
        <f ca="1">IFERROR(__xludf.DUMMYFUNCTION("""COMPUTED_VALUE"""),"Preston, Robert")</f>
        <v>Preston, Robert</v>
      </c>
      <c r="B12872" s="2">
        <f ca="1">IFERROR(__xludf.DUMMYFUNCTION("""COMPUTED_VALUE"""),999)</f>
        <v>999</v>
      </c>
      <c r="C12872" s="2">
        <f ca="1">IFERROR(__xludf.DUMMYFUNCTION("""COMPUTED_VALUE"""),999)</f>
        <v>999</v>
      </c>
      <c r="D12872" s="8">
        <f ca="1">IFERROR(__xludf.DUMMYFUNCTION("""COMPUTED_VALUE"""),999)</f>
        <v>999</v>
      </c>
      <c r="E12872" s="2">
        <f ca="1">IFERROR(__xludf.DUMMYFUNCTION("""COMPUTED_VALUE"""),999)</f>
        <v>999</v>
      </c>
    </row>
    <row r="12873" spans="1:5" ht="13">
      <c r="A12873" s="2" t="str">
        <f ca="1">IFERROR(__xludf.DUMMYFUNCTION("""COMPUTED_VALUE"""),"Price, A.")</f>
        <v>Price, A.</v>
      </c>
      <c r="B12873" s="2">
        <f ca="1">IFERROR(__xludf.DUMMYFUNCTION("""COMPUTED_VALUE"""),999)</f>
        <v>999</v>
      </c>
      <c r="C12873" s="7">
        <f ca="1">IFERROR(__xludf.DUMMYFUNCTION("""COMPUTED_VALUE"""),999)</f>
        <v>999</v>
      </c>
      <c r="D12873" s="8">
        <f ca="1">IFERROR(__xludf.DUMMYFUNCTION("""COMPUTED_VALUE"""),999)</f>
        <v>999</v>
      </c>
      <c r="E12873" s="2">
        <f ca="1">IFERROR(__xludf.DUMMYFUNCTION("""COMPUTED_VALUE"""),999)</f>
        <v>999</v>
      </c>
    </row>
    <row r="12874" spans="1:5" ht="13">
      <c r="A12874" s="2" t="str">
        <f ca="1">IFERROR(__xludf.DUMMYFUNCTION("""COMPUTED_VALUE"""),"Price, Daniel")</f>
        <v>Price, Daniel</v>
      </c>
      <c r="B12874" s="2">
        <f ca="1">IFERROR(__xludf.DUMMYFUNCTION("""COMPUTED_VALUE"""),999)</f>
        <v>999</v>
      </c>
      <c r="C12874" s="2">
        <f ca="1">IFERROR(__xludf.DUMMYFUNCTION("""COMPUTED_VALUE"""),999)</f>
        <v>999</v>
      </c>
      <c r="D12874" s="8">
        <f ca="1">IFERROR(__xludf.DUMMYFUNCTION("""COMPUTED_VALUE"""),999)</f>
        <v>999</v>
      </c>
      <c r="E12874" s="2">
        <f ca="1">IFERROR(__xludf.DUMMYFUNCTION("""COMPUTED_VALUE"""),999)</f>
        <v>999</v>
      </c>
    </row>
    <row r="12875" spans="1:5" ht="13">
      <c r="A12875" s="2" t="str">
        <f ca="1">IFERROR(__xludf.DUMMYFUNCTION("""COMPUTED_VALUE"""),"Punch Brothers")</f>
        <v>Punch Brothers</v>
      </c>
      <c r="B12875" s="2">
        <f ca="1">IFERROR(__xludf.DUMMYFUNCTION("""COMPUTED_VALUE"""),999)</f>
        <v>999</v>
      </c>
      <c r="C12875" s="7">
        <f ca="1">IFERROR(__xludf.DUMMYFUNCTION("""COMPUTED_VALUE"""),999)</f>
        <v>999</v>
      </c>
      <c r="D12875" s="8">
        <f ca="1">IFERROR(__xludf.DUMMYFUNCTION("""COMPUTED_VALUE"""),999)</f>
        <v>999</v>
      </c>
      <c r="E12875" s="2">
        <f ca="1">IFERROR(__xludf.DUMMYFUNCTION("""COMPUTED_VALUE"""),999)</f>
        <v>999</v>
      </c>
    </row>
    <row r="12876" spans="1:5" ht="13">
      <c r="A12876" s="2" t="str">
        <f ca="1">IFERROR(__xludf.DUMMYFUNCTION("""COMPUTED_VALUE"""),"Pysh, Gregory")</f>
        <v>Pysh, Gregory</v>
      </c>
      <c r="B12876" s="2">
        <f ca="1">IFERROR(__xludf.DUMMYFUNCTION("""COMPUTED_VALUE"""),999)</f>
        <v>999</v>
      </c>
      <c r="C12876" s="2">
        <f ca="1">IFERROR(__xludf.DUMMYFUNCTION("""COMPUTED_VALUE"""),999)</f>
        <v>999</v>
      </c>
      <c r="D12876" s="8">
        <f ca="1">IFERROR(__xludf.DUMMYFUNCTION("""COMPUTED_VALUE"""),999)</f>
        <v>999</v>
      </c>
      <c r="E12876" s="2">
        <f ca="1">IFERROR(__xludf.DUMMYFUNCTION("""COMPUTED_VALUE"""),999)</f>
        <v>999</v>
      </c>
    </row>
    <row r="12877" spans="1:5" ht="13">
      <c r="A12877" s="8" t="str">
        <f ca="1">IFERROR(__xludf.DUMMYFUNCTION("""COMPUTED_VALUE"""),"Qasimi, Kamron")</f>
        <v>Qasimi, Kamron</v>
      </c>
      <c r="B12877" s="3">
        <f ca="1">IFERROR(__xludf.DUMMYFUNCTION("""COMPUTED_VALUE"""),999)</f>
        <v>999</v>
      </c>
      <c r="C12877" s="7">
        <f ca="1">IFERROR(__xludf.DUMMYFUNCTION("""COMPUTED_VALUE"""),999)</f>
        <v>999</v>
      </c>
      <c r="D12877" s="8">
        <f ca="1">IFERROR(__xludf.DUMMYFUNCTION("""COMPUTED_VALUE"""),999)</f>
        <v>999</v>
      </c>
      <c r="E12877" s="3">
        <f ca="1">IFERROR(__xludf.DUMMYFUNCTION("""COMPUTED_VALUE"""),999)</f>
        <v>999</v>
      </c>
    </row>
    <row r="12878" spans="1:5" ht="13">
      <c r="A12878" s="8" t="str">
        <f ca="1">IFERROR(__xludf.DUMMYFUNCTION("""COMPUTED_VALUE"""),"Quaranto, J.")</f>
        <v>Quaranto, J.</v>
      </c>
      <c r="B12878" s="2">
        <f ca="1">IFERROR(__xludf.DUMMYFUNCTION("""COMPUTED_VALUE"""),999)</f>
        <v>999</v>
      </c>
      <c r="C12878" s="7">
        <f ca="1">IFERROR(__xludf.DUMMYFUNCTION("""COMPUTED_VALUE"""),999)</f>
        <v>999</v>
      </c>
      <c r="D12878" s="8">
        <f ca="1">IFERROR(__xludf.DUMMYFUNCTION("""COMPUTED_VALUE"""),999)</f>
        <v>999</v>
      </c>
      <c r="E12878" s="2">
        <f ca="1">IFERROR(__xludf.DUMMYFUNCTION("""COMPUTED_VALUE"""),999)</f>
        <v>999</v>
      </c>
    </row>
    <row r="12879" spans="1:5" ht="13">
      <c r="A12879" s="2" t="str">
        <f ca="1">IFERROR(__xludf.DUMMYFUNCTION("""COMPUTED_VALUE"""),"Quiett (unknown)")</f>
        <v>Quiett (unknown)</v>
      </c>
      <c r="B12879" s="2">
        <f ca="1">IFERROR(__xludf.DUMMYFUNCTION("""COMPUTED_VALUE"""),999)</f>
        <v>999</v>
      </c>
      <c r="C12879" s="7">
        <f ca="1">IFERROR(__xludf.DUMMYFUNCTION("""COMPUTED_VALUE"""),999)</f>
        <v>999</v>
      </c>
      <c r="D12879" s="8">
        <f ca="1">IFERROR(__xludf.DUMMYFUNCTION("""COMPUTED_VALUE"""),999)</f>
        <v>999</v>
      </c>
      <c r="E12879" s="2">
        <f ca="1">IFERROR(__xludf.DUMMYFUNCTION("""COMPUTED_VALUE"""),999)</f>
        <v>999</v>
      </c>
    </row>
    <row r="12880" spans="1:5" ht="13">
      <c r="A12880" s="2" t="str">
        <f ca="1">IFERROR(__xludf.DUMMYFUNCTION("""COMPUTED_VALUE"""),"Raffi, Claudio / Elkiss, Aaron")</f>
        <v>Raffi, Claudio / Elkiss, Aaron</v>
      </c>
      <c r="B12880" s="2">
        <f ca="1">IFERROR(__xludf.DUMMYFUNCTION("""COMPUTED_VALUE"""),999)</f>
        <v>999</v>
      </c>
      <c r="C12880" s="2">
        <f ca="1">IFERROR(__xludf.DUMMYFUNCTION("""COMPUTED_VALUE"""),999)</f>
        <v>999</v>
      </c>
      <c r="D12880" s="8">
        <f ca="1">IFERROR(__xludf.DUMMYFUNCTION("""COMPUTED_VALUE"""),999)</f>
        <v>999</v>
      </c>
      <c r="E12880" s="2">
        <f ca="1">IFERROR(__xludf.DUMMYFUNCTION("""COMPUTED_VALUE"""),999)</f>
        <v>999</v>
      </c>
    </row>
    <row r="12881" spans="1:5" ht="13">
      <c r="A12881" s="2" t="str">
        <f ca="1">IFERROR(__xludf.DUMMYFUNCTION("""COMPUTED_VALUE"""),"Railroad Work Song")</f>
        <v>Railroad Work Song</v>
      </c>
      <c r="B12881" s="2">
        <f ca="1">IFERROR(__xludf.DUMMYFUNCTION("""COMPUTED_VALUE"""),999)</f>
        <v>999</v>
      </c>
      <c r="C12881" s="7">
        <f ca="1">IFERROR(__xludf.DUMMYFUNCTION("""COMPUTED_VALUE"""),999)</f>
        <v>999</v>
      </c>
      <c r="D12881" s="8">
        <f ca="1">IFERROR(__xludf.DUMMYFUNCTION("""COMPUTED_VALUE"""),999)</f>
        <v>999</v>
      </c>
      <c r="E12881" s="2">
        <f ca="1">IFERROR(__xludf.DUMMYFUNCTION("""COMPUTED_VALUE"""),999)</f>
        <v>999</v>
      </c>
    </row>
    <row r="12882" spans="1:5" ht="13">
      <c r="A12882" s="2" t="str">
        <f ca="1">IFERROR(__xludf.DUMMYFUNCTION("""COMPUTED_VALUE"""),"Ramsbotham, Alexander")</f>
        <v>Ramsbotham, Alexander</v>
      </c>
      <c r="B12882" s="2">
        <f ca="1">IFERROR(__xludf.DUMMYFUNCTION("""COMPUTED_VALUE"""),999)</f>
        <v>999</v>
      </c>
      <c r="C12882" s="2">
        <f ca="1">IFERROR(__xludf.DUMMYFUNCTION("""COMPUTED_VALUE"""),999)</f>
        <v>999</v>
      </c>
      <c r="D12882" s="8">
        <f ca="1">IFERROR(__xludf.DUMMYFUNCTION("""COMPUTED_VALUE"""),999)</f>
        <v>999</v>
      </c>
      <c r="E12882" s="2">
        <f ca="1">IFERROR(__xludf.DUMMYFUNCTION("""COMPUTED_VALUE"""),999)</f>
        <v>999</v>
      </c>
    </row>
    <row r="12883" spans="1:5" ht="13">
      <c r="A12883" s="2" t="str">
        <f ca="1">IFERROR(__xludf.DUMMYFUNCTION("""COMPUTED_VALUE"""),"Ramsey, Brandon Scott")</f>
        <v>Ramsey, Brandon Scott</v>
      </c>
      <c r="B12883" s="3">
        <f ca="1">IFERROR(__xludf.DUMMYFUNCTION("""COMPUTED_VALUE"""),999)</f>
        <v>999</v>
      </c>
      <c r="C12883" s="7">
        <f ca="1">IFERROR(__xludf.DUMMYFUNCTION("""COMPUTED_VALUE"""),999)</f>
        <v>999</v>
      </c>
      <c r="D12883" s="8">
        <f ca="1">IFERROR(__xludf.DUMMYFUNCTION("""COMPUTED_VALUE"""),999)</f>
        <v>999</v>
      </c>
      <c r="E12883" s="2">
        <f ca="1">IFERROR(__xludf.DUMMYFUNCTION("""COMPUTED_VALUE"""),999)</f>
        <v>999</v>
      </c>
    </row>
    <row r="12884" spans="1:5" ht="13">
      <c r="A12884" s="2" t="str">
        <f ca="1">IFERROR(__xludf.DUMMYFUNCTION("""COMPUTED_VALUE"""),"Randolph, David")</f>
        <v>Randolph, David</v>
      </c>
      <c r="B12884" s="2">
        <f ca="1">IFERROR(__xludf.DUMMYFUNCTION("""COMPUTED_VALUE"""),999)</f>
        <v>999</v>
      </c>
      <c r="C12884" s="2">
        <f ca="1">IFERROR(__xludf.DUMMYFUNCTION("""COMPUTED_VALUE"""),999)</f>
        <v>999</v>
      </c>
      <c r="D12884" s="8">
        <f ca="1">IFERROR(__xludf.DUMMYFUNCTION("""COMPUTED_VALUE"""),999)</f>
        <v>999</v>
      </c>
      <c r="E12884" s="2">
        <f ca="1">IFERROR(__xludf.DUMMYFUNCTION("""COMPUTED_VALUE"""),999)</f>
        <v>999</v>
      </c>
    </row>
    <row r="12885" spans="1:5" ht="13">
      <c r="A12885" s="2" t="str">
        <f ca="1">IFERROR(__xludf.DUMMYFUNCTION("""COMPUTED_VALUE"""),"Rashbuach (unknown)")</f>
        <v>Rashbuach (unknown)</v>
      </c>
      <c r="B12885" s="2">
        <f ca="1">IFERROR(__xludf.DUMMYFUNCTION("""COMPUTED_VALUE"""),999)</f>
        <v>999</v>
      </c>
      <c r="C12885" s="7">
        <f ca="1">IFERROR(__xludf.DUMMYFUNCTION("""COMPUTED_VALUE"""),999)</f>
        <v>999</v>
      </c>
      <c r="D12885" s="8">
        <f ca="1">IFERROR(__xludf.DUMMYFUNCTION("""COMPUTED_VALUE"""),999)</f>
        <v>999</v>
      </c>
      <c r="E12885" s="2">
        <f ca="1">IFERROR(__xludf.DUMMYFUNCTION("""COMPUTED_VALUE"""),999)</f>
        <v>999</v>
      </c>
    </row>
    <row r="12886" spans="1:5" ht="13">
      <c r="A12886" s="2" t="str">
        <f ca="1">IFERROR(__xludf.DUMMYFUNCTION("""COMPUTED_VALUE"""),"Rauter / Appleby / Fowler")</f>
        <v>Rauter / Appleby / Fowler</v>
      </c>
      <c r="B12886" s="2">
        <f ca="1">IFERROR(__xludf.DUMMYFUNCTION("""COMPUTED_VALUE"""),999)</f>
        <v>999</v>
      </c>
      <c r="C12886" s="7">
        <f ca="1">IFERROR(__xludf.DUMMYFUNCTION("""COMPUTED_VALUE"""),999)</f>
        <v>999</v>
      </c>
      <c r="D12886" s="8">
        <f ca="1">IFERROR(__xludf.DUMMYFUNCTION("""COMPUTED_VALUE"""),999)</f>
        <v>999</v>
      </c>
      <c r="E12886" s="2">
        <f ca="1">IFERROR(__xludf.DUMMYFUNCTION("""COMPUTED_VALUE"""),999)</f>
        <v>999</v>
      </c>
    </row>
    <row r="12887" spans="1:5" ht="13">
      <c r="A12887" s="2" t="str">
        <f ca="1">IFERROR(__xludf.DUMMYFUNCTION("""COMPUTED_VALUE"""),"Razey, Don")</f>
        <v>Razey, Don</v>
      </c>
      <c r="B12887" s="2">
        <f ca="1">IFERROR(__xludf.DUMMYFUNCTION("""COMPUTED_VALUE"""),999)</f>
        <v>999</v>
      </c>
      <c r="C12887" s="2">
        <f ca="1">IFERROR(__xludf.DUMMYFUNCTION("""COMPUTED_VALUE"""),999)</f>
        <v>999</v>
      </c>
      <c r="D12887" s="8">
        <f ca="1">IFERROR(__xludf.DUMMYFUNCTION("""COMPUTED_VALUE"""),999)</f>
        <v>999</v>
      </c>
      <c r="E12887" s="2">
        <f ca="1">IFERROR(__xludf.DUMMYFUNCTION("""COMPUTED_VALUE"""),999)</f>
        <v>999</v>
      </c>
    </row>
    <row r="12888" spans="1:5" ht="13">
      <c r="A12888" s="2" t="str">
        <f ca="1">IFERROR(__xludf.DUMMYFUNCTION("""COMPUTED_VALUE"""),"Redus (unknown)")</f>
        <v>Redus (unknown)</v>
      </c>
      <c r="B12888" s="2">
        <f ca="1">IFERROR(__xludf.DUMMYFUNCTION("""COMPUTED_VALUE"""),999)</f>
        <v>999</v>
      </c>
      <c r="C12888" s="7">
        <f ca="1">IFERROR(__xludf.DUMMYFUNCTION("""COMPUTED_VALUE"""),999)</f>
        <v>999</v>
      </c>
      <c r="D12888" s="8">
        <f ca="1">IFERROR(__xludf.DUMMYFUNCTION("""COMPUTED_VALUE"""),999)</f>
        <v>999</v>
      </c>
      <c r="E12888" s="2">
        <f ca="1">IFERROR(__xludf.DUMMYFUNCTION("""COMPUTED_VALUE"""),999)</f>
        <v>999</v>
      </c>
    </row>
    <row r="12889" spans="1:5" ht="13">
      <c r="A12889" s="2" t="str">
        <f ca="1">IFERROR(__xludf.DUMMYFUNCTION("""COMPUTED_VALUE"""),"Reid, Mark")</f>
        <v>Reid, Mark</v>
      </c>
      <c r="B12889" s="2">
        <f ca="1">IFERROR(__xludf.DUMMYFUNCTION("""COMPUTED_VALUE"""),999)</f>
        <v>999</v>
      </c>
      <c r="C12889" s="2">
        <f ca="1">IFERROR(__xludf.DUMMYFUNCTION("""COMPUTED_VALUE"""),999)</f>
        <v>999</v>
      </c>
      <c r="D12889" s="8">
        <f ca="1">IFERROR(__xludf.DUMMYFUNCTION("""COMPUTED_VALUE"""),999)</f>
        <v>999</v>
      </c>
      <c r="E12889" s="2">
        <f ca="1">IFERROR(__xludf.DUMMYFUNCTION("""COMPUTED_VALUE"""),999)</f>
        <v>999</v>
      </c>
    </row>
    <row r="12890" spans="1:5" ht="13">
      <c r="A12890" s="2" t="str">
        <f ca="1">IFERROR(__xludf.DUMMYFUNCTION("""COMPUTED_VALUE"""),"Renaud, Chris")</f>
        <v>Renaud, Chris</v>
      </c>
      <c r="B12890" s="3">
        <f ca="1">IFERROR(__xludf.DUMMYFUNCTION("""COMPUTED_VALUE"""),999)</f>
        <v>999</v>
      </c>
      <c r="C12890" s="7">
        <f ca="1">IFERROR(__xludf.DUMMYFUNCTION("""COMPUTED_VALUE"""),999)</f>
        <v>999</v>
      </c>
      <c r="D12890" s="8">
        <f ca="1">IFERROR(__xludf.DUMMYFUNCTION("""COMPUTED_VALUE"""),999)</f>
        <v>999</v>
      </c>
      <c r="E12890" s="2">
        <f ca="1">IFERROR(__xludf.DUMMYFUNCTION("""COMPUTED_VALUE"""),999)</f>
        <v>999</v>
      </c>
    </row>
    <row r="12891" spans="1:5" ht="13">
      <c r="A12891" s="2" t="str">
        <f ca="1">IFERROR(__xludf.DUMMYFUNCTION("""COMPUTED_VALUE"""),"Retford, M.")</f>
        <v>Retford, M.</v>
      </c>
      <c r="B12891" s="2">
        <f ca="1">IFERROR(__xludf.DUMMYFUNCTION("""COMPUTED_VALUE"""),999)</f>
        <v>999</v>
      </c>
      <c r="C12891" s="2">
        <f ca="1">IFERROR(__xludf.DUMMYFUNCTION("""COMPUTED_VALUE"""),999)</f>
        <v>999</v>
      </c>
      <c r="D12891" s="8">
        <f ca="1">IFERROR(__xludf.DUMMYFUNCTION("""COMPUTED_VALUE"""),999)</f>
        <v>999</v>
      </c>
      <c r="E12891" s="2">
        <f ca="1">IFERROR(__xludf.DUMMYFUNCTION("""COMPUTED_VALUE"""),999)</f>
        <v>999</v>
      </c>
    </row>
    <row r="12892" spans="1:5" ht="13">
      <c r="A12892" s="2" t="str">
        <f ca="1">IFERROR(__xludf.DUMMYFUNCTION("""COMPUTED_VALUE"""),"Reuter, Alexander")</f>
        <v>Reuter, Alexander</v>
      </c>
      <c r="B12892" s="2">
        <f ca="1">IFERROR(__xludf.DUMMYFUNCTION("""COMPUTED_VALUE"""),999)</f>
        <v>999</v>
      </c>
      <c r="C12892" s="2">
        <f ca="1">IFERROR(__xludf.DUMMYFUNCTION("""COMPUTED_VALUE"""),999)</f>
        <v>999</v>
      </c>
      <c r="D12892" s="8">
        <f ca="1">IFERROR(__xludf.DUMMYFUNCTION("""COMPUTED_VALUE"""),999)</f>
        <v>999</v>
      </c>
      <c r="E12892" s="2">
        <f ca="1">IFERROR(__xludf.DUMMYFUNCTION("""COMPUTED_VALUE"""),999)</f>
        <v>999</v>
      </c>
    </row>
    <row r="12893" spans="1:5" ht="13">
      <c r="A12893" s="2" t="str">
        <f ca="1">IFERROR(__xludf.DUMMYFUNCTION("""COMPUTED_VALUE"""),"Reynolds, Jimmie Howard")</f>
        <v>Reynolds, Jimmie Howard</v>
      </c>
      <c r="B12893" s="2">
        <f ca="1">IFERROR(__xludf.DUMMYFUNCTION("""COMPUTED_VALUE"""),999)</f>
        <v>999</v>
      </c>
      <c r="C12893" s="2">
        <f ca="1">IFERROR(__xludf.DUMMYFUNCTION("""COMPUTED_VALUE"""),999)</f>
        <v>999</v>
      </c>
      <c r="D12893" s="8">
        <f ca="1">IFERROR(__xludf.DUMMYFUNCTION("""COMPUTED_VALUE"""),999)</f>
        <v>999</v>
      </c>
      <c r="E12893" s="2">
        <f ca="1">IFERROR(__xludf.DUMMYFUNCTION("""COMPUTED_VALUE"""),999)</f>
        <v>999</v>
      </c>
    </row>
    <row r="12894" spans="1:5" ht="13">
      <c r="A12894" s="2" t="str">
        <f ca="1">IFERROR(__xludf.DUMMYFUNCTION("""COMPUTED_VALUE"""),"Reynolds, William")</f>
        <v>Reynolds, William</v>
      </c>
      <c r="B12894" s="2">
        <f ca="1">IFERROR(__xludf.DUMMYFUNCTION("""COMPUTED_VALUE"""),999)</f>
        <v>999</v>
      </c>
      <c r="C12894" s="2">
        <f ca="1">IFERROR(__xludf.DUMMYFUNCTION("""COMPUTED_VALUE"""),999)</f>
        <v>999</v>
      </c>
      <c r="D12894" s="8">
        <f ca="1">IFERROR(__xludf.DUMMYFUNCTION("""COMPUTED_VALUE"""),999)</f>
        <v>999</v>
      </c>
      <c r="E12894" s="2">
        <f ca="1">IFERROR(__xludf.DUMMYFUNCTION("""COMPUTED_VALUE"""),999)</f>
        <v>999</v>
      </c>
    </row>
    <row r="12895" spans="1:5" ht="13">
      <c r="A12895" s="2" t="str">
        <f ca="1">IFERROR(__xludf.DUMMYFUNCTION("""COMPUTED_VALUE"""),"Rhodes, Willard")</f>
        <v>Rhodes, Willard</v>
      </c>
      <c r="B12895" s="2">
        <f ca="1">IFERROR(__xludf.DUMMYFUNCTION("""COMPUTED_VALUE"""),999)</f>
        <v>999</v>
      </c>
      <c r="C12895" s="2">
        <f ca="1">IFERROR(__xludf.DUMMYFUNCTION("""COMPUTED_VALUE"""),999)</f>
        <v>999</v>
      </c>
      <c r="D12895" s="8">
        <f ca="1">IFERROR(__xludf.DUMMYFUNCTION("""COMPUTED_VALUE"""),999)</f>
        <v>999</v>
      </c>
      <c r="E12895" s="2">
        <f ca="1">IFERROR(__xludf.DUMMYFUNCTION("""COMPUTED_VALUE"""),999)</f>
        <v>999</v>
      </c>
    </row>
    <row r="12896" spans="1:5" ht="13">
      <c r="A12896" s="2" t="str">
        <f ca="1">IFERROR(__xludf.DUMMYFUNCTION("""COMPUTED_VALUE"""),"Richardson, Alan")</f>
        <v>Richardson, Alan</v>
      </c>
      <c r="B12896" s="2">
        <f ca="1">IFERROR(__xludf.DUMMYFUNCTION("""COMPUTED_VALUE"""),999)</f>
        <v>999</v>
      </c>
      <c r="C12896" s="2">
        <f ca="1">IFERROR(__xludf.DUMMYFUNCTION("""COMPUTED_VALUE"""),999)</f>
        <v>999</v>
      </c>
      <c r="D12896" s="8">
        <f ca="1">IFERROR(__xludf.DUMMYFUNCTION("""COMPUTED_VALUE"""),999)</f>
        <v>999</v>
      </c>
      <c r="E12896" s="2">
        <f ca="1">IFERROR(__xludf.DUMMYFUNCTION("""COMPUTED_VALUE"""),999)</f>
        <v>999</v>
      </c>
    </row>
    <row r="12897" spans="1:5" ht="13">
      <c r="A12897" s="2" t="str">
        <f ca="1">IFERROR(__xludf.DUMMYFUNCTION("""COMPUTED_VALUE"""),"Richardson, Norman")</f>
        <v>Richardson, Norman</v>
      </c>
      <c r="B12897" s="2">
        <f ca="1">IFERROR(__xludf.DUMMYFUNCTION("""COMPUTED_VALUE"""),999)</f>
        <v>999</v>
      </c>
      <c r="C12897" s="2">
        <f ca="1">IFERROR(__xludf.DUMMYFUNCTION("""COMPUTED_VALUE"""),999)</f>
        <v>999</v>
      </c>
      <c r="D12897" s="8">
        <f ca="1">IFERROR(__xludf.DUMMYFUNCTION("""COMPUTED_VALUE"""),999)</f>
        <v>999</v>
      </c>
      <c r="E12897" s="2">
        <f ca="1">IFERROR(__xludf.DUMMYFUNCTION("""COMPUTED_VALUE"""),999)</f>
        <v>999</v>
      </c>
    </row>
    <row r="12898" spans="1:5" ht="13">
      <c r="A12898" s="2" t="str">
        <f ca="1">IFERROR(__xludf.DUMMYFUNCTION("""COMPUTED_VALUE"""),"Richer, Ramon")</f>
        <v>Richer, Ramon</v>
      </c>
      <c r="B12898" s="2">
        <f ca="1">IFERROR(__xludf.DUMMYFUNCTION("""COMPUTED_VALUE"""),999)</f>
        <v>999</v>
      </c>
      <c r="C12898" s="2">
        <f ca="1">IFERROR(__xludf.DUMMYFUNCTION("""COMPUTED_VALUE"""),999)</f>
        <v>999</v>
      </c>
      <c r="D12898" s="8">
        <f ca="1">IFERROR(__xludf.DUMMYFUNCTION("""COMPUTED_VALUE"""),999)</f>
        <v>999</v>
      </c>
      <c r="E12898" s="2">
        <f ca="1">IFERROR(__xludf.DUMMYFUNCTION("""COMPUTED_VALUE"""),999)</f>
        <v>999</v>
      </c>
    </row>
    <row r="12899" spans="1:5" ht="13">
      <c r="A12899" s="2" t="str">
        <f ca="1">IFERROR(__xludf.DUMMYFUNCTION("""COMPUTED_VALUE"""),"Richter (unknown)")</f>
        <v>Richter (unknown)</v>
      </c>
      <c r="B12899" s="2">
        <f ca="1">IFERROR(__xludf.DUMMYFUNCTION("""COMPUTED_VALUE"""),999)</f>
        <v>999</v>
      </c>
      <c r="C12899" s="2">
        <f ca="1">IFERROR(__xludf.DUMMYFUNCTION("""COMPUTED_VALUE"""),999)</f>
        <v>999</v>
      </c>
      <c r="D12899" s="8">
        <f ca="1">IFERROR(__xludf.DUMMYFUNCTION("""COMPUTED_VALUE"""),999)</f>
        <v>999</v>
      </c>
      <c r="E12899" s="2">
        <f ca="1">IFERROR(__xludf.DUMMYFUNCTION("""COMPUTED_VALUE"""),999)</f>
        <v>999</v>
      </c>
    </row>
    <row r="12900" spans="1:5" ht="13">
      <c r="A12900" s="2" t="str">
        <f ca="1">IFERROR(__xludf.DUMMYFUNCTION("""COMPUTED_VALUE"""),"Richter, Clifford")</f>
        <v>Richter, Clifford</v>
      </c>
      <c r="B12900" s="2">
        <f ca="1">IFERROR(__xludf.DUMMYFUNCTION("""COMPUTED_VALUE"""),999)</f>
        <v>999</v>
      </c>
      <c r="C12900" s="2">
        <f ca="1">IFERROR(__xludf.DUMMYFUNCTION("""COMPUTED_VALUE"""),999)</f>
        <v>999</v>
      </c>
      <c r="D12900" s="8">
        <f ca="1">IFERROR(__xludf.DUMMYFUNCTION("""COMPUTED_VALUE"""),999)</f>
        <v>999</v>
      </c>
      <c r="E12900" s="2">
        <f ca="1">IFERROR(__xludf.DUMMYFUNCTION("""COMPUTED_VALUE"""),999)</f>
        <v>999</v>
      </c>
    </row>
    <row r="12901" spans="1:5" ht="13">
      <c r="A12901" s="2" t="str">
        <f ca="1">IFERROR(__xludf.DUMMYFUNCTION("""COMPUTED_VALUE"""),"Richter, Kurt E.")</f>
        <v>Richter, Kurt E.</v>
      </c>
      <c r="B12901" s="2">
        <f ca="1">IFERROR(__xludf.DUMMYFUNCTION("""COMPUTED_VALUE"""),999)</f>
        <v>999</v>
      </c>
      <c r="C12901" s="2">
        <f ca="1">IFERROR(__xludf.DUMMYFUNCTION("""COMPUTED_VALUE"""),999)</f>
        <v>999</v>
      </c>
      <c r="D12901" s="8">
        <f ca="1">IFERROR(__xludf.DUMMYFUNCTION("""COMPUTED_VALUE"""),999)</f>
        <v>999</v>
      </c>
      <c r="E12901" s="2">
        <f ca="1">IFERROR(__xludf.DUMMYFUNCTION("""COMPUTED_VALUE"""),999)</f>
        <v>999</v>
      </c>
    </row>
    <row r="12902" spans="1:5" ht="13">
      <c r="A12902" s="2" t="str">
        <f ca="1">IFERROR(__xludf.DUMMYFUNCTION("""COMPUTED_VALUE"""),"Ridewood, Reginald")</f>
        <v>Ridewood, Reginald</v>
      </c>
      <c r="B12902" s="2">
        <f ca="1">IFERROR(__xludf.DUMMYFUNCTION("""COMPUTED_VALUE"""),999)</f>
        <v>999</v>
      </c>
      <c r="C12902" s="2">
        <f ca="1">IFERROR(__xludf.DUMMYFUNCTION("""COMPUTED_VALUE"""),999)</f>
        <v>999</v>
      </c>
      <c r="D12902" s="8">
        <f ca="1">IFERROR(__xludf.DUMMYFUNCTION("""COMPUTED_VALUE"""),999)</f>
        <v>999</v>
      </c>
      <c r="E12902" s="2">
        <f ca="1">IFERROR(__xludf.DUMMYFUNCTION("""COMPUTED_VALUE"""),999)</f>
        <v>999</v>
      </c>
    </row>
    <row r="12903" spans="1:5" ht="13">
      <c r="A12903" s="2" t="str">
        <f ca="1">IFERROR(__xludf.DUMMYFUNCTION("""COMPUTED_VALUE"""),"Riley, J.")</f>
        <v>Riley, J.</v>
      </c>
      <c r="B12903" s="2">
        <f ca="1">IFERROR(__xludf.DUMMYFUNCTION("""COMPUTED_VALUE"""),999)</f>
        <v>999</v>
      </c>
      <c r="C12903" s="7">
        <f ca="1">IFERROR(__xludf.DUMMYFUNCTION("""COMPUTED_VALUE"""),999)</f>
        <v>999</v>
      </c>
      <c r="D12903" s="8">
        <f ca="1">IFERROR(__xludf.DUMMYFUNCTION("""COMPUTED_VALUE"""),999)</f>
        <v>999</v>
      </c>
      <c r="E12903" s="2">
        <f ca="1">IFERROR(__xludf.DUMMYFUNCTION("""COMPUTED_VALUE"""),999)</f>
        <v>999</v>
      </c>
    </row>
    <row r="12904" spans="1:5" ht="13">
      <c r="A12904" s="2" t="str">
        <f ca="1">IFERROR(__xludf.DUMMYFUNCTION("""COMPUTED_VALUE"""),"Rizzo")</f>
        <v>Rizzo</v>
      </c>
      <c r="B12904" s="2">
        <f ca="1">IFERROR(__xludf.DUMMYFUNCTION("""COMPUTED_VALUE"""),999)</f>
        <v>999</v>
      </c>
      <c r="C12904" s="7">
        <f ca="1">IFERROR(__xludf.DUMMYFUNCTION("""COMPUTED_VALUE"""),999)</f>
        <v>999</v>
      </c>
      <c r="D12904" s="8">
        <f ca="1">IFERROR(__xludf.DUMMYFUNCTION("""COMPUTED_VALUE"""),999)</f>
        <v>999</v>
      </c>
      <c r="E12904" s="2">
        <f ca="1">IFERROR(__xludf.DUMMYFUNCTION("""COMPUTED_VALUE"""),999)</f>
        <v>999</v>
      </c>
    </row>
    <row r="12905" spans="1:5" ht="13">
      <c r="A12905" s="2" t="str">
        <f ca="1">IFERROR(__xludf.DUMMYFUNCTION("""COMPUTED_VALUE"""),"Robert, J.")</f>
        <v>Robert, J.</v>
      </c>
      <c r="B12905" s="2">
        <f ca="1">IFERROR(__xludf.DUMMYFUNCTION("""COMPUTED_VALUE"""),999)</f>
        <v>999</v>
      </c>
      <c r="C12905" s="7">
        <f ca="1">IFERROR(__xludf.DUMMYFUNCTION("""COMPUTED_VALUE"""),999)</f>
        <v>999</v>
      </c>
      <c r="D12905" s="8">
        <f ca="1">IFERROR(__xludf.DUMMYFUNCTION("""COMPUTED_VALUE"""),999)</f>
        <v>999</v>
      </c>
      <c r="E12905" s="2">
        <f ca="1">IFERROR(__xludf.DUMMYFUNCTION("""COMPUTED_VALUE"""),999)</f>
        <v>999</v>
      </c>
    </row>
    <row r="12906" spans="1:5" ht="13">
      <c r="A12906" s="2" t="str">
        <f ca="1">IFERROR(__xludf.DUMMYFUNCTION("""COMPUTED_VALUE"""),"Roberts, Timothy")</f>
        <v>Roberts, Timothy</v>
      </c>
      <c r="B12906" s="2">
        <f ca="1">IFERROR(__xludf.DUMMYFUNCTION("""COMPUTED_VALUE"""),999)</f>
        <v>999</v>
      </c>
      <c r="C12906" s="2">
        <f ca="1">IFERROR(__xludf.DUMMYFUNCTION("""COMPUTED_VALUE"""),999)</f>
        <v>999</v>
      </c>
      <c r="D12906" s="8">
        <f ca="1">IFERROR(__xludf.DUMMYFUNCTION("""COMPUTED_VALUE"""),999)</f>
        <v>999</v>
      </c>
      <c r="E12906" s="2">
        <f ca="1">IFERROR(__xludf.DUMMYFUNCTION("""COMPUTED_VALUE"""),999)</f>
        <v>999</v>
      </c>
    </row>
    <row r="12907" spans="1:5" ht="13">
      <c r="A12907" s="8" t="str">
        <f ca="1">IFERROR(__xludf.DUMMYFUNCTION("""COMPUTED_VALUE"""),"Robertson, Lilac")</f>
        <v>Robertson, Lilac</v>
      </c>
      <c r="B12907" s="3">
        <f ca="1">IFERROR(__xludf.DUMMYFUNCTION("""COMPUTED_VALUE"""),999)</f>
        <v>999</v>
      </c>
      <c r="C12907" s="7">
        <f ca="1">IFERROR(__xludf.DUMMYFUNCTION("""COMPUTED_VALUE"""),999)</f>
        <v>999</v>
      </c>
      <c r="D12907" s="8">
        <f ca="1">IFERROR(__xludf.DUMMYFUNCTION("""COMPUTED_VALUE"""),999)</f>
        <v>999</v>
      </c>
      <c r="E12907" s="3">
        <f ca="1">IFERROR(__xludf.DUMMYFUNCTION("""COMPUTED_VALUE"""),999)</f>
        <v>999</v>
      </c>
    </row>
    <row r="12908" spans="1:5" ht="13">
      <c r="A12908" s="2" t="str">
        <f ca="1">IFERROR(__xludf.DUMMYFUNCTION("""COMPUTED_VALUE"""),"Robinson, L.")</f>
        <v>Robinson, L.</v>
      </c>
      <c r="B12908" s="2">
        <f ca="1">IFERROR(__xludf.DUMMYFUNCTION("""COMPUTED_VALUE"""),999)</f>
        <v>999</v>
      </c>
      <c r="C12908" s="7">
        <f ca="1">IFERROR(__xludf.DUMMYFUNCTION("""COMPUTED_VALUE"""),999)</f>
        <v>999</v>
      </c>
      <c r="D12908" s="8">
        <f ca="1">IFERROR(__xludf.DUMMYFUNCTION("""COMPUTED_VALUE"""),999)</f>
        <v>999</v>
      </c>
      <c r="E12908" s="2">
        <f ca="1">IFERROR(__xludf.DUMMYFUNCTION("""COMPUTED_VALUE"""),999)</f>
        <v>999</v>
      </c>
    </row>
    <row r="12909" spans="1:5" ht="13">
      <c r="A12909" s="2" t="str">
        <f ca="1">IFERROR(__xludf.DUMMYFUNCTION("""COMPUTED_VALUE"""),"Robinson, Ray")</f>
        <v>Robinson, Ray</v>
      </c>
      <c r="B12909" s="2">
        <f ca="1">IFERROR(__xludf.DUMMYFUNCTION("""COMPUTED_VALUE"""),999)</f>
        <v>999</v>
      </c>
      <c r="C12909" s="2">
        <f ca="1">IFERROR(__xludf.DUMMYFUNCTION("""COMPUTED_VALUE"""),999)</f>
        <v>999</v>
      </c>
      <c r="D12909" s="8">
        <f ca="1">IFERROR(__xludf.DUMMYFUNCTION("""COMPUTED_VALUE"""),999)</f>
        <v>999</v>
      </c>
      <c r="E12909" s="2">
        <f ca="1">IFERROR(__xludf.DUMMYFUNCTION("""COMPUTED_VALUE"""),999)</f>
        <v>999</v>
      </c>
    </row>
    <row r="12910" spans="1:5" ht="13">
      <c r="A12910" s="2" t="str">
        <f ca="1">IFERROR(__xludf.DUMMYFUNCTION("""COMPUTED_VALUE"""),"Rogan, J. Mackenzie")</f>
        <v>Rogan, J. Mackenzie</v>
      </c>
      <c r="B12910" s="2">
        <f ca="1">IFERROR(__xludf.DUMMYFUNCTION("""COMPUTED_VALUE"""),999)</f>
        <v>999</v>
      </c>
      <c r="C12910" s="2">
        <f ca="1">IFERROR(__xludf.DUMMYFUNCTION("""COMPUTED_VALUE"""),999)</f>
        <v>999</v>
      </c>
      <c r="D12910" s="8">
        <f ca="1">IFERROR(__xludf.DUMMYFUNCTION("""COMPUTED_VALUE"""),999)</f>
        <v>999</v>
      </c>
      <c r="E12910" s="2">
        <f ca="1">IFERROR(__xludf.DUMMYFUNCTION("""COMPUTED_VALUE"""),999)</f>
        <v>999</v>
      </c>
    </row>
    <row r="12911" spans="1:5" ht="13">
      <c r="A12911" s="2" t="str">
        <f ca="1">IFERROR(__xludf.DUMMYFUNCTION("""COMPUTED_VALUE"""),"Rogan, John")</f>
        <v>Rogan, John</v>
      </c>
      <c r="B12911" s="2">
        <f ca="1">IFERROR(__xludf.DUMMYFUNCTION("""COMPUTED_VALUE"""),999)</f>
        <v>999</v>
      </c>
      <c r="C12911" s="2">
        <f ca="1">IFERROR(__xludf.DUMMYFUNCTION("""COMPUTED_VALUE"""),999)</f>
        <v>999</v>
      </c>
      <c r="D12911" s="8">
        <f ca="1">IFERROR(__xludf.DUMMYFUNCTION("""COMPUTED_VALUE"""),999)</f>
        <v>999</v>
      </c>
      <c r="E12911" s="2">
        <f ca="1">IFERROR(__xludf.DUMMYFUNCTION("""COMPUTED_VALUE"""),999)</f>
        <v>999</v>
      </c>
    </row>
    <row r="12912" spans="1:5" ht="13">
      <c r="A12912" s="8" t="str">
        <f ca="1">IFERROR(__xludf.DUMMYFUNCTION("""COMPUTED_VALUE"""),"Rogers, D. (unknown)")</f>
        <v>Rogers, D. (unknown)</v>
      </c>
      <c r="B12912" s="2">
        <f ca="1">IFERROR(__xludf.DUMMYFUNCTION("""COMPUTED_VALUE"""),999)</f>
        <v>999</v>
      </c>
      <c r="C12912" s="7">
        <f ca="1">IFERROR(__xludf.DUMMYFUNCTION("""COMPUTED_VALUE"""),999)</f>
        <v>999</v>
      </c>
      <c r="D12912" s="8">
        <f ca="1">IFERROR(__xludf.DUMMYFUNCTION("""COMPUTED_VALUE"""),999)</f>
        <v>999</v>
      </c>
      <c r="E12912" s="2">
        <f ca="1">IFERROR(__xludf.DUMMYFUNCTION("""COMPUTED_VALUE"""),999)</f>
        <v>999</v>
      </c>
    </row>
    <row r="12913" spans="1:5" ht="13">
      <c r="A12913" s="2" t="str">
        <f ca="1">IFERROR(__xludf.DUMMYFUNCTION("""COMPUTED_VALUE"""),"Rollinson, Thomas")</f>
        <v>Rollinson, Thomas</v>
      </c>
      <c r="B12913" s="2">
        <f ca="1">IFERROR(__xludf.DUMMYFUNCTION("""COMPUTED_VALUE"""),999)</f>
        <v>999</v>
      </c>
      <c r="C12913" s="2">
        <f ca="1">IFERROR(__xludf.DUMMYFUNCTION("""COMPUTED_VALUE"""),999)</f>
        <v>999</v>
      </c>
      <c r="D12913" s="8">
        <f ca="1">IFERROR(__xludf.DUMMYFUNCTION("""COMPUTED_VALUE"""),999)</f>
        <v>999</v>
      </c>
      <c r="E12913" s="2">
        <f ca="1">IFERROR(__xludf.DUMMYFUNCTION("""COMPUTED_VALUE"""),999)</f>
        <v>999</v>
      </c>
    </row>
    <row r="12914" spans="1:5" ht="13">
      <c r="A12914" s="2" t="str">
        <f ca="1">IFERROR(__xludf.DUMMYFUNCTION("""COMPUTED_VALUE"""),"Roman / Custer")</f>
        <v>Roman / Custer</v>
      </c>
      <c r="B12914" s="2">
        <f ca="1">IFERROR(__xludf.DUMMYFUNCTION("""COMPUTED_VALUE"""),999)</f>
        <v>999</v>
      </c>
      <c r="C12914" s="7">
        <f ca="1">IFERROR(__xludf.DUMMYFUNCTION("""COMPUTED_VALUE"""),999)</f>
        <v>999</v>
      </c>
      <c r="D12914" s="8">
        <f ca="1">IFERROR(__xludf.DUMMYFUNCTION("""COMPUTED_VALUE"""),999)</f>
        <v>999</v>
      </c>
      <c r="E12914" s="2">
        <f ca="1">IFERROR(__xludf.DUMMYFUNCTION("""COMPUTED_VALUE"""),999)</f>
        <v>999</v>
      </c>
    </row>
    <row r="12915" spans="1:5" ht="13">
      <c r="A12915" s="2" t="str">
        <f ca="1">IFERROR(__xludf.DUMMYFUNCTION("""COMPUTED_VALUE"""),"Romani Dance")</f>
        <v>Romani Dance</v>
      </c>
      <c r="B12915" s="2">
        <f ca="1">IFERROR(__xludf.DUMMYFUNCTION("""COMPUTED_VALUE"""),999)</f>
        <v>999</v>
      </c>
      <c r="C12915" s="7">
        <f ca="1">IFERROR(__xludf.DUMMYFUNCTION("""COMPUTED_VALUE"""),999)</f>
        <v>999</v>
      </c>
      <c r="D12915" s="8">
        <f ca="1">IFERROR(__xludf.DUMMYFUNCTION("""COMPUTED_VALUE"""),999)</f>
        <v>999</v>
      </c>
      <c r="E12915" s="2">
        <f ca="1">IFERROR(__xludf.DUMMYFUNCTION("""COMPUTED_VALUE"""),999)</f>
        <v>999</v>
      </c>
    </row>
    <row r="12916" spans="1:5" ht="13">
      <c r="A12916" s="8" t="str">
        <f ca="1">IFERROR(__xludf.DUMMYFUNCTION("""COMPUTED_VALUE"""),"Romeo (unknown)")</f>
        <v>Romeo (unknown)</v>
      </c>
      <c r="B12916" s="2">
        <f ca="1">IFERROR(__xludf.DUMMYFUNCTION("""COMPUTED_VALUE"""),999)</f>
        <v>999</v>
      </c>
      <c r="C12916" s="7">
        <f ca="1">IFERROR(__xludf.DUMMYFUNCTION("""COMPUTED_VALUE"""),999)</f>
        <v>999</v>
      </c>
      <c r="D12916" s="8">
        <f ca="1">IFERROR(__xludf.DUMMYFUNCTION("""COMPUTED_VALUE"""),999)</f>
        <v>999</v>
      </c>
      <c r="E12916" s="2">
        <f ca="1">IFERROR(__xludf.DUMMYFUNCTION("""COMPUTED_VALUE"""),999)</f>
        <v>999</v>
      </c>
    </row>
    <row r="12917" spans="1:5" ht="13">
      <c r="A12917" s="2" t="str">
        <f ca="1">IFERROR(__xludf.DUMMYFUNCTION("""COMPUTED_VALUE"""),"Romer, C. (unknown)")</f>
        <v>Romer, C. (unknown)</v>
      </c>
      <c r="B12917" s="2">
        <f ca="1">IFERROR(__xludf.DUMMYFUNCTION("""COMPUTED_VALUE"""),999)</f>
        <v>999</v>
      </c>
      <c r="C12917" s="7">
        <f ca="1">IFERROR(__xludf.DUMMYFUNCTION("""COMPUTED_VALUE"""),999)</f>
        <v>999</v>
      </c>
      <c r="D12917" s="8">
        <f ca="1">IFERROR(__xludf.DUMMYFUNCTION("""COMPUTED_VALUE"""),999)</f>
        <v>999</v>
      </c>
      <c r="E12917" s="2">
        <f ca="1">IFERROR(__xludf.DUMMYFUNCTION("""COMPUTED_VALUE"""),999)</f>
        <v>999</v>
      </c>
    </row>
    <row r="12918" spans="1:5" ht="13">
      <c r="A12918" s="2" t="str">
        <f ca="1">IFERROR(__xludf.DUMMYFUNCTION("""COMPUTED_VALUE"""),"Ronaldson, Don")</f>
        <v>Ronaldson, Don</v>
      </c>
      <c r="B12918" s="2">
        <f ca="1">IFERROR(__xludf.DUMMYFUNCTION("""COMPUTED_VALUE"""),999)</f>
        <v>999</v>
      </c>
      <c r="C12918" s="2">
        <f ca="1">IFERROR(__xludf.DUMMYFUNCTION("""COMPUTED_VALUE"""),999)</f>
        <v>999</v>
      </c>
      <c r="D12918" s="8">
        <f ca="1">IFERROR(__xludf.DUMMYFUNCTION("""COMPUTED_VALUE"""),999)</f>
        <v>999</v>
      </c>
      <c r="E12918" s="2">
        <f ca="1">IFERROR(__xludf.DUMMYFUNCTION("""COMPUTED_VALUE"""),999)</f>
        <v>999</v>
      </c>
    </row>
    <row r="12919" spans="1:5" ht="13">
      <c r="A12919" s="2" t="str">
        <f ca="1">IFERROR(__xludf.DUMMYFUNCTION("""COMPUTED_VALUE"""),"Rosen, H.")</f>
        <v>Rosen, H.</v>
      </c>
      <c r="B12919" s="2">
        <f ca="1">IFERROR(__xludf.DUMMYFUNCTION("""COMPUTED_VALUE"""),999)</f>
        <v>999</v>
      </c>
      <c r="C12919" s="2">
        <f ca="1">IFERROR(__xludf.DUMMYFUNCTION("""COMPUTED_VALUE"""),999)</f>
        <v>999</v>
      </c>
      <c r="D12919" s="8">
        <f ca="1">IFERROR(__xludf.DUMMYFUNCTION("""COMPUTED_VALUE"""),999)</f>
        <v>999</v>
      </c>
      <c r="E12919" s="2">
        <f ca="1">IFERROR(__xludf.DUMMYFUNCTION("""COMPUTED_VALUE"""),999)</f>
        <v>999</v>
      </c>
    </row>
    <row r="12920" spans="1:5" ht="13">
      <c r="A12920" s="2" t="str">
        <f ca="1">IFERROR(__xludf.DUMMYFUNCTION("""COMPUTED_VALUE"""),"Ross (unknown)")</f>
        <v>Ross (unknown)</v>
      </c>
      <c r="B12920" s="2">
        <f ca="1">IFERROR(__xludf.DUMMYFUNCTION("""COMPUTED_VALUE"""),999)</f>
        <v>999</v>
      </c>
      <c r="C12920" s="2">
        <f ca="1">IFERROR(__xludf.DUMMYFUNCTION("""COMPUTED_VALUE"""),999)</f>
        <v>999</v>
      </c>
      <c r="D12920" s="8">
        <f ca="1">IFERROR(__xludf.DUMMYFUNCTION("""COMPUTED_VALUE"""),999)</f>
        <v>999</v>
      </c>
      <c r="E12920" s="2">
        <f ca="1">IFERROR(__xludf.DUMMYFUNCTION("""COMPUTED_VALUE"""),999)</f>
        <v>999</v>
      </c>
    </row>
    <row r="12921" spans="1:5" ht="13">
      <c r="A12921" s="2" t="str">
        <f ca="1">IFERROR(__xludf.DUMMYFUNCTION("""COMPUTED_VALUE"""),"Rossini, Carlo")</f>
        <v>Rossini, Carlo</v>
      </c>
      <c r="B12921" s="2">
        <f ca="1">IFERROR(__xludf.DUMMYFUNCTION("""COMPUTED_VALUE"""),999)</f>
        <v>999</v>
      </c>
      <c r="C12921" s="2">
        <f ca="1">IFERROR(__xludf.DUMMYFUNCTION("""COMPUTED_VALUE"""),999)</f>
        <v>999</v>
      </c>
      <c r="D12921" s="8">
        <f ca="1">IFERROR(__xludf.DUMMYFUNCTION("""COMPUTED_VALUE"""),999)</f>
        <v>999</v>
      </c>
      <c r="E12921" s="2">
        <f ca="1">IFERROR(__xludf.DUMMYFUNCTION("""COMPUTED_VALUE"""),999)</f>
        <v>999</v>
      </c>
    </row>
    <row r="12922" spans="1:5" ht="13">
      <c r="A12922" s="2" t="str">
        <f ca="1">IFERROR(__xludf.DUMMYFUNCTION("""COMPUTED_VALUE"""),"Rouge, Hart")</f>
        <v>Rouge, Hart</v>
      </c>
      <c r="B12922" s="2">
        <f ca="1">IFERROR(__xludf.DUMMYFUNCTION("""COMPUTED_VALUE"""),999)</f>
        <v>999</v>
      </c>
      <c r="C12922" s="2">
        <f ca="1">IFERROR(__xludf.DUMMYFUNCTION("""COMPUTED_VALUE"""),999)</f>
        <v>999</v>
      </c>
      <c r="D12922" s="8">
        <f ca="1">IFERROR(__xludf.DUMMYFUNCTION("""COMPUTED_VALUE"""),999)</f>
        <v>999</v>
      </c>
      <c r="E12922" s="2">
        <f ca="1">IFERROR(__xludf.DUMMYFUNCTION("""COMPUTED_VALUE"""),999)</f>
        <v>999</v>
      </c>
    </row>
    <row r="12923" spans="1:5" ht="13">
      <c r="A12923" s="2" t="str">
        <f ca="1">IFERROR(__xludf.DUMMYFUNCTION("""COMPUTED_VALUE"""),"Rousseau")</f>
        <v>Rousseau</v>
      </c>
      <c r="B12923" s="3">
        <f ca="1">IFERROR(__xludf.DUMMYFUNCTION("""COMPUTED_VALUE"""),999)</f>
        <v>999</v>
      </c>
      <c r="C12923" s="7">
        <f ca="1">IFERROR(__xludf.DUMMYFUNCTION("""COMPUTED_VALUE"""),999)</f>
        <v>999</v>
      </c>
      <c r="D12923" s="8">
        <f ca="1">IFERROR(__xludf.DUMMYFUNCTION("""COMPUTED_VALUE"""),999)</f>
        <v>999</v>
      </c>
      <c r="E12923" s="2">
        <f ca="1">IFERROR(__xludf.DUMMYFUNCTION("""COMPUTED_VALUE"""),999)</f>
        <v>999</v>
      </c>
    </row>
    <row r="12924" spans="1:5" ht="13">
      <c r="A12924" s="2" t="str">
        <f ca="1">IFERROR(__xludf.DUMMYFUNCTION("""COMPUTED_VALUE"""),"Row, Richard")</f>
        <v>Row, Richard</v>
      </c>
      <c r="B12924" s="2">
        <f ca="1">IFERROR(__xludf.DUMMYFUNCTION("""COMPUTED_VALUE"""),999)</f>
        <v>999</v>
      </c>
      <c r="C12924" s="2">
        <f ca="1">IFERROR(__xludf.DUMMYFUNCTION("""COMPUTED_VALUE"""),999)</f>
        <v>999</v>
      </c>
      <c r="D12924" s="8">
        <f ca="1">IFERROR(__xludf.DUMMYFUNCTION("""COMPUTED_VALUE"""),999)</f>
        <v>999</v>
      </c>
      <c r="E12924" s="2">
        <f ca="1">IFERROR(__xludf.DUMMYFUNCTION("""COMPUTED_VALUE"""),999)</f>
        <v>999</v>
      </c>
    </row>
    <row r="12925" spans="1:5" ht="13">
      <c r="A12925" s="8" t="str">
        <f ca="1">IFERROR(__xludf.DUMMYFUNCTION("""COMPUTED_VALUE"""),"Rudes, Marcus")</f>
        <v>Rudes, Marcus</v>
      </c>
      <c r="B12925" s="3">
        <f ca="1">IFERROR(__xludf.DUMMYFUNCTION("""COMPUTED_VALUE"""),999)</f>
        <v>999</v>
      </c>
      <c r="C12925" s="7">
        <f ca="1">IFERROR(__xludf.DUMMYFUNCTION("""COMPUTED_VALUE"""),999)</f>
        <v>999</v>
      </c>
      <c r="D12925" s="8">
        <f ca="1">IFERROR(__xludf.DUMMYFUNCTION("""COMPUTED_VALUE"""),999)</f>
        <v>999</v>
      </c>
      <c r="E12925" s="3">
        <f ca="1">IFERROR(__xludf.DUMMYFUNCTION("""COMPUTED_VALUE"""),999)</f>
        <v>999</v>
      </c>
    </row>
    <row r="12926" spans="1:5" ht="13">
      <c r="A12926" s="2" t="str">
        <f ca="1">IFERROR(__xludf.DUMMYFUNCTION("""COMPUTED_VALUE"""),"Rumery, L.R. (unknown)")</f>
        <v>Rumery, L.R. (unknown)</v>
      </c>
      <c r="B12926" s="2">
        <f ca="1">IFERROR(__xludf.DUMMYFUNCTION("""COMPUTED_VALUE"""),999)</f>
        <v>999</v>
      </c>
      <c r="C12926" s="7">
        <f ca="1">IFERROR(__xludf.DUMMYFUNCTION("""COMPUTED_VALUE"""),999)</f>
        <v>999</v>
      </c>
      <c r="D12926" s="8">
        <f ca="1">IFERROR(__xludf.DUMMYFUNCTION("""COMPUTED_VALUE"""),999)</f>
        <v>999</v>
      </c>
      <c r="E12926" s="2">
        <f ca="1">IFERROR(__xludf.DUMMYFUNCTION("""COMPUTED_VALUE"""),999)</f>
        <v>999</v>
      </c>
    </row>
    <row r="12927" spans="1:5" ht="13">
      <c r="A12927" s="2" t="str">
        <f ca="1">IFERROR(__xludf.DUMMYFUNCTION("""COMPUTED_VALUE"""),"Runkel, Kenneth")</f>
        <v>Runkel, Kenneth</v>
      </c>
      <c r="B12927" s="2">
        <f ca="1">IFERROR(__xludf.DUMMYFUNCTION("""COMPUTED_VALUE"""),999)</f>
        <v>999</v>
      </c>
      <c r="C12927" s="2">
        <f ca="1">IFERROR(__xludf.DUMMYFUNCTION("""COMPUTED_VALUE"""),999)</f>
        <v>999</v>
      </c>
      <c r="D12927" s="8">
        <f ca="1">IFERROR(__xludf.DUMMYFUNCTION("""COMPUTED_VALUE"""),999)</f>
        <v>999</v>
      </c>
      <c r="E12927" s="2">
        <f ca="1">IFERROR(__xludf.DUMMYFUNCTION("""COMPUTED_VALUE"""),999)</f>
        <v>999</v>
      </c>
    </row>
    <row r="12928" spans="1:5" ht="13">
      <c r="A12928" s="2" t="str">
        <f ca="1">IFERROR(__xludf.DUMMYFUNCTION("""COMPUTED_VALUE"""),"Rush, Leonard")</f>
        <v>Rush, Leonard</v>
      </c>
      <c r="B12928" s="2">
        <f ca="1">IFERROR(__xludf.DUMMYFUNCTION("""COMPUTED_VALUE"""),999)</f>
        <v>999</v>
      </c>
      <c r="C12928" s="2">
        <f ca="1">IFERROR(__xludf.DUMMYFUNCTION("""COMPUTED_VALUE"""),999)</f>
        <v>999</v>
      </c>
      <c r="D12928" s="8">
        <f ca="1">IFERROR(__xludf.DUMMYFUNCTION("""COMPUTED_VALUE"""),999)</f>
        <v>999</v>
      </c>
      <c r="E12928" s="2">
        <f ca="1">IFERROR(__xludf.DUMMYFUNCTION("""COMPUTED_VALUE"""),999)</f>
        <v>999</v>
      </c>
    </row>
    <row r="12929" spans="1:5" ht="13">
      <c r="A12929" s="8" t="str">
        <f ca="1">IFERROR(__xludf.DUMMYFUNCTION("""COMPUTED_VALUE"""),"Ruybalid, Charis")</f>
        <v>Ruybalid, Charis</v>
      </c>
      <c r="B12929" s="3">
        <f ca="1">IFERROR(__xludf.DUMMYFUNCTION("""COMPUTED_VALUE"""),999)</f>
        <v>999</v>
      </c>
      <c r="C12929" s="7">
        <f ca="1">IFERROR(__xludf.DUMMYFUNCTION("""COMPUTED_VALUE"""),999)</f>
        <v>999</v>
      </c>
      <c r="D12929" s="8">
        <f ca="1">IFERROR(__xludf.DUMMYFUNCTION("""COMPUTED_VALUE"""),999)</f>
        <v>999</v>
      </c>
      <c r="E12929" s="2">
        <f ca="1">IFERROR(__xludf.DUMMYFUNCTION("""COMPUTED_VALUE"""),999)</f>
        <v>999</v>
      </c>
    </row>
    <row r="12930" spans="1:5" ht="13">
      <c r="A12930" s="2" t="str">
        <f ca="1">IFERROR(__xludf.DUMMYFUNCTION("""COMPUTED_VALUE"""),"Sakamoto, Dale")</f>
        <v>Sakamoto, Dale</v>
      </c>
      <c r="B12930" s="2">
        <f ca="1">IFERROR(__xludf.DUMMYFUNCTION("""COMPUTED_VALUE"""),999)</f>
        <v>999</v>
      </c>
      <c r="C12930" s="7">
        <f ca="1">IFERROR(__xludf.DUMMYFUNCTION("""COMPUTED_VALUE"""),999)</f>
        <v>999</v>
      </c>
      <c r="D12930" s="8">
        <f ca="1">IFERROR(__xludf.DUMMYFUNCTION("""COMPUTED_VALUE"""),999)</f>
        <v>999</v>
      </c>
      <c r="E12930" s="2">
        <f ca="1">IFERROR(__xludf.DUMMYFUNCTION("""COMPUTED_VALUE"""),999)</f>
        <v>999</v>
      </c>
    </row>
    <row r="12931" spans="1:5" ht="13">
      <c r="A12931" s="2" t="str">
        <f ca="1">IFERROR(__xludf.DUMMYFUNCTION("""COMPUTED_VALUE"""),"Salkeld, Robin")</f>
        <v>Salkeld, Robin</v>
      </c>
      <c r="B12931" s="2">
        <f ca="1">IFERROR(__xludf.DUMMYFUNCTION("""COMPUTED_VALUE"""),999)</f>
        <v>999</v>
      </c>
      <c r="C12931" s="2">
        <f ca="1">IFERROR(__xludf.DUMMYFUNCTION("""COMPUTED_VALUE"""),999)</f>
        <v>999</v>
      </c>
      <c r="D12931" s="8">
        <f ca="1">IFERROR(__xludf.DUMMYFUNCTION("""COMPUTED_VALUE"""),999)</f>
        <v>999</v>
      </c>
      <c r="E12931" s="2">
        <f ca="1">IFERROR(__xludf.DUMMYFUNCTION("""COMPUTED_VALUE"""),999)</f>
        <v>999</v>
      </c>
    </row>
    <row r="12932" spans="1:5" ht="13">
      <c r="A12932" s="2" t="str">
        <f ca="1">IFERROR(__xludf.DUMMYFUNCTION("""COMPUTED_VALUE"""),"Sanchez, Noel")</f>
        <v>Sanchez, Noel</v>
      </c>
      <c r="B12932" s="2">
        <f ca="1">IFERROR(__xludf.DUMMYFUNCTION("""COMPUTED_VALUE"""),999)</f>
        <v>999</v>
      </c>
      <c r="C12932" s="2">
        <f ca="1">IFERROR(__xludf.DUMMYFUNCTION("""COMPUTED_VALUE"""),999)</f>
        <v>999</v>
      </c>
      <c r="D12932" s="8">
        <f ca="1">IFERROR(__xludf.DUMMYFUNCTION("""COMPUTED_VALUE"""),999)</f>
        <v>999</v>
      </c>
      <c r="E12932" s="2">
        <f ca="1">IFERROR(__xludf.DUMMYFUNCTION("""COMPUTED_VALUE"""),999)</f>
        <v>999</v>
      </c>
    </row>
    <row r="12933" spans="1:5" ht="13">
      <c r="A12933" s="2" t="str">
        <f ca="1">IFERROR(__xludf.DUMMYFUNCTION("""COMPUTED_VALUE"""),"Sanders, Vernon")</f>
        <v>Sanders, Vernon</v>
      </c>
      <c r="B12933" s="2">
        <f ca="1">IFERROR(__xludf.DUMMYFUNCTION("""COMPUTED_VALUE"""),999)</f>
        <v>999</v>
      </c>
      <c r="C12933" s="2">
        <f ca="1">IFERROR(__xludf.DUMMYFUNCTION("""COMPUTED_VALUE"""),999)</f>
        <v>999</v>
      </c>
      <c r="D12933" s="8">
        <f ca="1">IFERROR(__xludf.DUMMYFUNCTION("""COMPUTED_VALUE"""),999)</f>
        <v>999</v>
      </c>
      <c r="E12933" s="2">
        <f ca="1">IFERROR(__xludf.DUMMYFUNCTION("""COMPUTED_VALUE"""),999)</f>
        <v>999</v>
      </c>
    </row>
    <row r="12934" spans="1:5" ht="13">
      <c r="A12934" s="8" t="str">
        <f ca="1">IFERROR(__xludf.DUMMYFUNCTION("""COMPUTED_VALUE"""),"Sandor and Till")</f>
        <v>Sandor and Till</v>
      </c>
      <c r="B12934" s="2">
        <f ca="1">IFERROR(__xludf.DUMMYFUNCTION("""COMPUTED_VALUE"""),999)</f>
        <v>999</v>
      </c>
      <c r="C12934" s="7">
        <f ca="1">IFERROR(__xludf.DUMMYFUNCTION("""COMPUTED_VALUE"""),999)</f>
        <v>999</v>
      </c>
      <c r="D12934" s="8">
        <f ca="1">IFERROR(__xludf.DUMMYFUNCTION("""COMPUTED_VALUE"""),999)</f>
        <v>999</v>
      </c>
      <c r="E12934" s="2">
        <f ca="1">IFERROR(__xludf.DUMMYFUNCTION("""COMPUTED_VALUE"""),999)</f>
        <v>999</v>
      </c>
    </row>
    <row r="12935" spans="1:5" ht="13">
      <c r="A12935" s="2" t="str">
        <f ca="1">IFERROR(__xludf.DUMMYFUNCTION("""COMPUTED_VALUE"""),"Sandor, Frigyes / Till, Otto")</f>
        <v>Sandor, Frigyes / Till, Otto</v>
      </c>
      <c r="B12935" s="2">
        <f ca="1">IFERROR(__xludf.DUMMYFUNCTION("""COMPUTED_VALUE"""),999)</f>
        <v>999</v>
      </c>
      <c r="C12935" s="2">
        <f ca="1">IFERROR(__xludf.DUMMYFUNCTION("""COMPUTED_VALUE"""),999)</f>
        <v>999</v>
      </c>
      <c r="D12935" s="8">
        <f ca="1">IFERROR(__xludf.DUMMYFUNCTION("""COMPUTED_VALUE"""),999)</f>
        <v>999</v>
      </c>
      <c r="E12935" s="2">
        <f ca="1">IFERROR(__xludf.DUMMYFUNCTION("""COMPUTED_VALUE"""),999)</f>
        <v>999</v>
      </c>
    </row>
    <row r="12936" spans="1:5" ht="13">
      <c r="A12936" s="8" t="str">
        <f ca="1">IFERROR(__xludf.DUMMYFUNCTION("""COMPUTED_VALUE"""),"Sanford (unknown)")</f>
        <v>Sanford (unknown)</v>
      </c>
      <c r="B12936" s="2">
        <f ca="1">IFERROR(__xludf.DUMMYFUNCTION("""COMPUTED_VALUE"""),999)</f>
        <v>999</v>
      </c>
      <c r="C12936" s="7">
        <f ca="1">IFERROR(__xludf.DUMMYFUNCTION("""COMPUTED_VALUE"""),999)</f>
        <v>999</v>
      </c>
      <c r="D12936" s="8">
        <f ca="1">IFERROR(__xludf.DUMMYFUNCTION("""COMPUTED_VALUE"""),999)</f>
        <v>999</v>
      </c>
      <c r="E12936" s="2">
        <f ca="1">IFERROR(__xludf.DUMMYFUNCTION("""COMPUTED_VALUE"""),999)</f>
        <v>999</v>
      </c>
    </row>
    <row r="12937" spans="1:5" ht="13">
      <c r="A12937" s="2" t="str">
        <f ca="1">IFERROR(__xludf.DUMMYFUNCTION("""COMPUTED_VALUE"""),"Sawyer, L (unknown)")</f>
        <v>Sawyer, L (unknown)</v>
      </c>
      <c r="B12937" s="2">
        <f ca="1">IFERROR(__xludf.DUMMYFUNCTION("""COMPUTED_VALUE"""),999)</f>
        <v>999</v>
      </c>
      <c r="C12937" s="7">
        <f ca="1">IFERROR(__xludf.DUMMYFUNCTION("""COMPUTED_VALUE"""),999)</f>
        <v>999</v>
      </c>
      <c r="D12937" s="8">
        <f ca="1">IFERROR(__xludf.DUMMYFUNCTION("""COMPUTED_VALUE"""),999)</f>
        <v>999</v>
      </c>
      <c r="E12937" s="2">
        <f ca="1">IFERROR(__xludf.DUMMYFUNCTION("""COMPUTED_VALUE"""),999)</f>
        <v>999</v>
      </c>
    </row>
    <row r="12938" spans="1:5" ht="13">
      <c r="A12938" s="2" t="str">
        <f ca="1">IFERROR(__xludf.DUMMYFUNCTION("""COMPUTED_VALUE"""),"Schade, Johannes")</f>
        <v>Schade, Johannes</v>
      </c>
      <c r="B12938" s="2">
        <f ca="1">IFERROR(__xludf.DUMMYFUNCTION("""COMPUTED_VALUE"""),999)</f>
        <v>999</v>
      </c>
      <c r="C12938" s="2">
        <f ca="1">IFERROR(__xludf.DUMMYFUNCTION("""COMPUTED_VALUE"""),999)</f>
        <v>999</v>
      </c>
      <c r="D12938" s="8">
        <f ca="1">IFERROR(__xludf.DUMMYFUNCTION("""COMPUTED_VALUE"""),999)</f>
        <v>999</v>
      </c>
      <c r="E12938" s="2">
        <f ca="1">IFERROR(__xludf.DUMMYFUNCTION("""COMPUTED_VALUE"""),999)</f>
        <v>999</v>
      </c>
    </row>
    <row r="12939" spans="1:5" ht="13">
      <c r="A12939" s="2" t="str">
        <f ca="1">IFERROR(__xludf.DUMMYFUNCTION("""COMPUTED_VALUE"""),"Schaefer, Don")</f>
        <v>Schaefer, Don</v>
      </c>
      <c r="B12939" s="2">
        <f ca="1">IFERROR(__xludf.DUMMYFUNCTION("""COMPUTED_VALUE"""),999)</f>
        <v>999</v>
      </c>
      <c r="C12939" s="2">
        <f ca="1">IFERROR(__xludf.DUMMYFUNCTION("""COMPUTED_VALUE"""),999)</f>
        <v>999</v>
      </c>
      <c r="D12939" s="8">
        <f ca="1">IFERROR(__xludf.DUMMYFUNCTION("""COMPUTED_VALUE"""),999)</f>
        <v>999</v>
      </c>
      <c r="E12939" s="2">
        <f ca="1">IFERROR(__xludf.DUMMYFUNCTION("""COMPUTED_VALUE"""),999)</f>
        <v>999</v>
      </c>
    </row>
    <row r="12940" spans="1:5" ht="13">
      <c r="A12940" s="2" t="str">
        <f ca="1">IFERROR(__xludf.DUMMYFUNCTION("""COMPUTED_VALUE"""),"Schaeffer, David")</f>
        <v>Schaeffer, David</v>
      </c>
      <c r="B12940" s="2">
        <f ca="1">IFERROR(__xludf.DUMMYFUNCTION("""COMPUTED_VALUE"""),999)</f>
        <v>999</v>
      </c>
      <c r="C12940" s="2">
        <f ca="1">IFERROR(__xludf.DUMMYFUNCTION("""COMPUTED_VALUE"""),999)</f>
        <v>999</v>
      </c>
      <c r="D12940" s="8">
        <f ca="1">IFERROR(__xludf.DUMMYFUNCTION("""COMPUTED_VALUE"""),999)</f>
        <v>999</v>
      </c>
      <c r="E12940" s="2">
        <f ca="1">IFERROR(__xludf.DUMMYFUNCTION("""COMPUTED_VALUE"""),999)</f>
        <v>999</v>
      </c>
    </row>
    <row r="12941" spans="1:5" ht="13">
      <c r="A12941" s="2" t="str">
        <f ca="1">IFERROR(__xludf.DUMMYFUNCTION("""COMPUTED_VALUE"""),"Schaeffer, Don")</f>
        <v>Schaeffer, Don</v>
      </c>
      <c r="B12941" s="2">
        <f ca="1">IFERROR(__xludf.DUMMYFUNCTION("""COMPUTED_VALUE"""),999)</f>
        <v>999</v>
      </c>
      <c r="C12941" s="2">
        <f ca="1">IFERROR(__xludf.DUMMYFUNCTION("""COMPUTED_VALUE"""),999)</f>
        <v>999</v>
      </c>
      <c r="D12941" s="8">
        <f ca="1">IFERROR(__xludf.DUMMYFUNCTION("""COMPUTED_VALUE"""),999)</f>
        <v>999</v>
      </c>
      <c r="E12941" s="2">
        <f ca="1">IFERROR(__xludf.DUMMYFUNCTION("""COMPUTED_VALUE"""),999)</f>
        <v>999</v>
      </c>
    </row>
    <row r="12942" spans="1:5" ht="13">
      <c r="A12942" s="8" t="str">
        <f ca="1">IFERROR(__xludf.DUMMYFUNCTION("""COMPUTED_VALUE"""),"Schier (unknown)")</f>
        <v>Schier (unknown)</v>
      </c>
      <c r="B12942" s="2">
        <f ca="1">IFERROR(__xludf.DUMMYFUNCTION("""COMPUTED_VALUE"""),999)</f>
        <v>999</v>
      </c>
      <c r="C12942" s="7">
        <f ca="1">IFERROR(__xludf.DUMMYFUNCTION("""COMPUTED_VALUE"""),999)</f>
        <v>999</v>
      </c>
      <c r="D12942" s="8">
        <f ca="1">IFERROR(__xludf.DUMMYFUNCTION("""COMPUTED_VALUE"""),999)</f>
        <v>999</v>
      </c>
      <c r="E12942" s="2">
        <f ca="1">IFERROR(__xludf.DUMMYFUNCTION("""COMPUTED_VALUE"""),999)</f>
        <v>999</v>
      </c>
    </row>
    <row r="12943" spans="1:5" ht="13">
      <c r="A12943" s="2" t="str">
        <f ca="1">IFERROR(__xludf.DUMMYFUNCTION("""COMPUTED_VALUE"""),"Schmutz, Albert")</f>
        <v>Schmutz, Albert</v>
      </c>
      <c r="B12943" s="2">
        <f ca="1">IFERROR(__xludf.DUMMYFUNCTION("""COMPUTED_VALUE"""),999)</f>
        <v>999</v>
      </c>
      <c r="C12943" s="2">
        <f ca="1">IFERROR(__xludf.DUMMYFUNCTION("""COMPUTED_VALUE"""),999)</f>
        <v>999</v>
      </c>
      <c r="D12943" s="8">
        <f ca="1">IFERROR(__xludf.DUMMYFUNCTION("""COMPUTED_VALUE"""),999)</f>
        <v>999</v>
      </c>
      <c r="E12943" s="2">
        <f ca="1">IFERROR(__xludf.DUMMYFUNCTION("""COMPUTED_VALUE"""),999)</f>
        <v>999</v>
      </c>
    </row>
    <row r="12944" spans="1:5" ht="13">
      <c r="A12944" s="2" t="str">
        <f ca="1">IFERROR(__xludf.DUMMYFUNCTION("""COMPUTED_VALUE"""),"Schnee, Karl-Heinz")</f>
        <v>Schnee, Karl-Heinz</v>
      </c>
      <c r="B12944" s="2">
        <f ca="1">IFERROR(__xludf.DUMMYFUNCTION("""COMPUTED_VALUE"""),999)</f>
        <v>999</v>
      </c>
      <c r="C12944" s="2">
        <f ca="1">IFERROR(__xludf.DUMMYFUNCTION("""COMPUTED_VALUE"""),999)</f>
        <v>999</v>
      </c>
      <c r="D12944" s="8">
        <f ca="1">IFERROR(__xludf.DUMMYFUNCTION("""COMPUTED_VALUE"""),999)</f>
        <v>999</v>
      </c>
      <c r="E12944" s="2">
        <f ca="1">IFERROR(__xludf.DUMMYFUNCTION("""COMPUTED_VALUE"""),999)</f>
        <v>999</v>
      </c>
    </row>
    <row r="12945" spans="1:5" ht="13">
      <c r="A12945" s="2" t="str">
        <f ca="1">IFERROR(__xludf.DUMMYFUNCTION("""COMPUTED_VALUE"""),"Schneider, George")</f>
        <v>Schneider, George</v>
      </c>
      <c r="B12945" s="2">
        <f ca="1">IFERROR(__xludf.DUMMYFUNCTION("""COMPUTED_VALUE"""),999)</f>
        <v>999</v>
      </c>
      <c r="C12945" s="2">
        <f ca="1">IFERROR(__xludf.DUMMYFUNCTION("""COMPUTED_VALUE"""),999)</f>
        <v>999</v>
      </c>
      <c r="D12945" s="8">
        <f ca="1">IFERROR(__xludf.DUMMYFUNCTION("""COMPUTED_VALUE"""),999)</f>
        <v>999</v>
      </c>
      <c r="E12945" s="2">
        <f ca="1">IFERROR(__xludf.DUMMYFUNCTION("""COMPUTED_VALUE"""),999)</f>
        <v>999</v>
      </c>
    </row>
    <row r="12946" spans="1:5" ht="13">
      <c r="A12946" s="2" t="str">
        <f ca="1">IFERROR(__xludf.DUMMYFUNCTION("""COMPUTED_VALUE"""),"Schneider, Maria / Ellington, Duke / McGlohon / McConnell")</f>
        <v>Schneider, Maria / Ellington, Duke / McGlohon / McConnell</v>
      </c>
      <c r="B12946" s="3">
        <f ca="1">IFERROR(__xludf.DUMMYFUNCTION("""COMPUTED_VALUE"""),999)</f>
        <v>999</v>
      </c>
      <c r="C12946" s="7">
        <f ca="1">IFERROR(__xludf.DUMMYFUNCTION("""COMPUTED_VALUE"""),999)</f>
        <v>999</v>
      </c>
      <c r="D12946" s="8">
        <f ca="1">IFERROR(__xludf.DUMMYFUNCTION("""COMPUTED_VALUE"""),999)</f>
        <v>999</v>
      </c>
      <c r="E12946" s="2">
        <f ca="1">IFERROR(__xludf.DUMMYFUNCTION("""COMPUTED_VALUE"""),999)</f>
        <v>999</v>
      </c>
    </row>
    <row r="12947" spans="1:5" ht="13">
      <c r="A12947" s="2" t="str">
        <f ca="1">IFERROR(__xludf.DUMMYFUNCTION("""COMPUTED_VALUE"""),"Schoettle, Elmer")</f>
        <v>Schoettle, Elmer</v>
      </c>
      <c r="B12947" s="2">
        <f ca="1">IFERROR(__xludf.DUMMYFUNCTION("""COMPUTED_VALUE"""),999)</f>
        <v>999</v>
      </c>
      <c r="C12947" s="2">
        <f ca="1">IFERROR(__xludf.DUMMYFUNCTION("""COMPUTED_VALUE"""),999)</f>
        <v>999</v>
      </c>
      <c r="D12947" s="8">
        <f ca="1">IFERROR(__xludf.DUMMYFUNCTION("""COMPUTED_VALUE"""),999)</f>
        <v>999</v>
      </c>
      <c r="E12947" s="2">
        <f ca="1">IFERROR(__xludf.DUMMYFUNCTION("""COMPUTED_VALUE"""),999)</f>
        <v>999</v>
      </c>
    </row>
    <row r="12948" spans="1:5" ht="13">
      <c r="A12948" s="2" t="str">
        <f ca="1">IFERROR(__xludf.DUMMYFUNCTION("""COMPUTED_VALUE"""),"Scholin, C. Albert")</f>
        <v>Scholin, C. Albert</v>
      </c>
      <c r="B12948" s="2">
        <f ca="1">IFERROR(__xludf.DUMMYFUNCTION("""COMPUTED_VALUE"""),999)</f>
        <v>999</v>
      </c>
      <c r="C12948" s="7">
        <f ca="1">IFERROR(__xludf.DUMMYFUNCTION("""COMPUTED_VALUE"""),999)</f>
        <v>999</v>
      </c>
      <c r="D12948" s="8">
        <f ca="1">IFERROR(__xludf.DUMMYFUNCTION("""COMPUTED_VALUE"""),999)</f>
        <v>999</v>
      </c>
      <c r="E12948" s="2">
        <f ca="1">IFERROR(__xludf.DUMMYFUNCTION("""COMPUTED_VALUE"""),999)</f>
        <v>999</v>
      </c>
    </row>
    <row r="12949" spans="1:5" ht="13">
      <c r="A12949" s="2" t="str">
        <f ca="1">IFERROR(__xludf.DUMMYFUNCTION("""COMPUTED_VALUE"""),"Schwartzhoff, Gary")</f>
        <v>Schwartzhoff, Gary</v>
      </c>
      <c r="B12949" s="2">
        <f ca="1">IFERROR(__xludf.DUMMYFUNCTION("""COMPUTED_VALUE"""),999)</f>
        <v>999</v>
      </c>
      <c r="C12949" s="2">
        <f ca="1">IFERROR(__xludf.DUMMYFUNCTION("""COMPUTED_VALUE"""),999)</f>
        <v>999</v>
      </c>
      <c r="D12949" s="8">
        <f ca="1">IFERROR(__xludf.DUMMYFUNCTION("""COMPUTED_VALUE"""),999)</f>
        <v>999</v>
      </c>
      <c r="E12949" s="2">
        <f ca="1">IFERROR(__xludf.DUMMYFUNCTION("""COMPUTED_VALUE"""),999)</f>
        <v>999</v>
      </c>
    </row>
    <row r="12950" spans="1:5" ht="13">
      <c r="A12950" s="2" t="str">
        <f ca="1">IFERROR(__xludf.DUMMYFUNCTION("""COMPUTED_VALUE"""),"Sciangalepore, M.")</f>
        <v>Sciangalepore, M.</v>
      </c>
      <c r="B12950" s="2">
        <f ca="1">IFERROR(__xludf.DUMMYFUNCTION("""COMPUTED_VALUE"""),999)</f>
        <v>999</v>
      </c>
      <c r="C12950" s="7">
        <f ca="1">IFERROR(__xludf.DUMMYFUNCTION("""COMPUTED_VALUE"""),999)</f>
        <v>999</v>
      </c>
      <c r="D12950" s="8">
        <f ca="1">IFERROR(__xludf.DUMMYFUNCTION("""COMPUTED_VALUE"""),999)</f>
        <v>999</v>
      </c>
      <c r="E12950" s="2">
        <f ca="1">IFERROR(__xludf.DUMMYFUNCTION("""COMPUTED_VALUE"""),999)</f>
        <v>999</v>
      </c>
    </row>
    <row r="12951" spans="1:5" ht="13">
      <c r="A12951" s="2" t="str">
        <f ca="1">IFERROR(__xludf.DUMMYFUNCTION("""COMPUTED_VALUE"""),"Scoular, David")</f>
        <v>Scoular, David</v>
      </c>
      <c r="B12951" s="2">
        <f ca="1">IFERROR(__xludf.DUMMYFUNCTION("""COMPUTED_VALUE"""),999)</f>
        <v>999</v>
      </c>
      <c r="C12951" s="2">
        <f ca="1">IFERROR(__xludf.DUMMYFUNCTION("""COMPUTED_VALUE"""),999)</f>
        <v>999</v>
      </c>
      <c r="D12951" s="8">
        <f ca="1">IFERROR(__xludf.DUMMYFUNCTION("""COMPUTED_VALUE"""),999)</f>
        <v>999</v>
      </c>
      <c r="E12951" s="2">
        <f ca="1">IFERROR(__xludf.DUMMYFUNCTION("""COMPUTED_VALUE"""),999)</f>
        <v>999</v>
      </c>
    </row>
    <row r="12952" spans="1:5" ht="13">
      <c r="A12952" s="2" t="str">
        <f ca="1">IFERROR(__xludf.DUMMYFUNCTION("""COMPUTED_VALUE"""),"Scruggs, Horace III")</f>
        <v>Scruggs, Horace III</v>
      </c>
      <c r="B12952" s="2">
        <f ca="1">IFERROR(__xludf.DUMMYFUNCTION("""COMPUTED_VALUE"""),999)</f>
        <v>999</v>
      </c>
      <c r="C12952" s="2">
        <f ca="1">IFERROR(__xludf.DUMMYFUNCTION("""COMPUTED_VALUE"""),999)</f>
        <v>999</v>
      </c>
      <c r="D12952" s="8">
        <f ca="1">IFERROR(__xludf.DUMMYFUNCTION("""COMPUTED_VALUE"""),999)</f>
        <v>999</v>
      </c>
      <c r="E12952" s="2">
        <f ca="1">IFERROR(__xludf.DUMMYFUNCTION("""COMPUTED_VALUE"""),999)</f>
        <v>999</v>
      </c>
    </row>
    <row r="12953" spans="1:5" ht="13">
      <c r="A12953" s="8" t="str">
        <f ca="1">IFERROR(__xludf.DUMMYFUNCTION("""COMPUTED_VALUE"""),"Sea Shanty")</f>
        <v>Sea Shanty</v>
      </c>
      <c r="B12953" s="2">
        <f ca="1">IFERROR(__xludf.DUMMYFUNCTION("""COMPUTED_VALUE"""),999)</f>
        <v>999</v>
      </c>
      <c r="C12953" s="7">
        <f ca="1">IFERROR(__xludf.DUMMYFUNCTION("""COMPUTED_VALUE"""),999)</f>
        <v>999</v>
      </c>
      <c r="D12953" s="8">
        <f ca="1">IFERROR(__xludf.DUMMYFUNCTION("""COMPUTED_VALUE"""),999)</f>
        <v>999</v>
      </c>
      <c r="E12953" s="2">
        <f ca="1">IFERROR(__xludf.DUMMYFUNCTION("""COMPUTED_VALUE"""),999)</f>
        <v>999</v>
      </c>
    </row>
    <row r="12954" spans="1:5" ht="13">
      <c r="A12954" s="2" t="str">
        <f ca="1">IFERROR(__xludf.DUMMYFUNCTION("""COMPUTED_VALUE"""),"Sears, Gerald")</f>
        <v>Sears, Gerald</v>
      </c>
      <c r="B12954" s="2">
        <f ca="1">IFERROR(__xludf.DUMMYFUNCTION("""COMPUTED_VALUE"""),999)</f>
        <v>999</v>
      </c>
      <c r="C12954" s="2">
        <f ca="1">IFERROR(__xludf.DUMMYFUNCTION("""COMPUTED_VALUE"""),999)</f>
        <v>999</v>
      </c>
      <c r="D12954" s="8">
        <f ca="1">IFERROR(__xludf.DUMMYFUNCTION("""COMPUTED_VALUE"""),999)</f>
        <v>999</v>
      </c>
      <c r="E12954" s="2">
        <f ca="1">IFERROR(__xludf.DUMMYFUNCTION("""COMPUTED_VALUE"""),999)</f>
        <v>999</v>
      </c>
    </row>
    <row r="12955" spans="1:5" ht="13">
      <c r="A12955" s="2" t="str">
        <f ca="1">IFERROR(__xludf.DUMMYFUNCTION("""COMPUTED_VALUE"""),"Seeker, David")</f>
        <v>Seeker, David</v>
      </c>
      <c r="B12955" s="2">
        <f ca="1">IFERROR(__xludf.DUMMYFUNCTION("""COMPUTED_VALUE"""),999)</f>
        <v>999</v>
      </c>
      <c r="C12955" s="2">
        <f ca="1">IFERROR(__xludf.DUMMYFUNCTION("""COMPUTED_VALUE"""),999)</f>
        <v>999</v>
      </c>
      <c r="D12955" s="8">
        <f ca="1">IFERROR(__xludf.DUMMYFUNCTION("""COMPUTED_VALUE"""),999)</f>
        <v>999</v>
      </c>
      <c r="E12955" s="2">
        <f ca="1">IFERROR(__xludf.DUMMYFUNCTION("""COMPUTED_VALUE"""),999)</f>
        <v>999</v>
      </c>
    </row>
    <row r="12956" spans="1:5" ht="13">
      <c r="A12956" s="2" t="str">
        <f ca="1">IFERROR(__xludf.DUMMYFUNCTION("""COMPUTED_VALUE"""),"Seelig, Timothy")</f>
        <v>Seelig, Timothy</v>
      </c>
      <c r="B12956" s="2">
        <f ca="1">IFERROR(__xludf.DUMMYFUNCTION("""COMPUTED_VALUE"""),999)</f>
        <v>999</v>
      </c>
      <c r="C12956" s="2">
        <f ca="1">IFERROR(__xludf.DUMMYFUNCTION("""COMPUTED_VALUE"""),999)</f>
        <v>999</v>
      </c>
      <c r="D12956" s="8">
        <f ca="1">IFERROR(__xludf.DUMMYFUNCTION("""COMPUTED_VALUE"""),999)</f>
        <v>999</v>
      </c>
      <c r="E12956" s="2">
        <f ca="1">IFERROR(__xludf.DUMMYFUNCTION("""COMPUTED_VALUE"""),999)</f>
        <v>999</v>
      </c>
    </row>
    <row r="12957" spans="1:5" ht="13">
      <c r="A12957" s="8" t="str">
        <f ca="1">IFERROR(__xludf.DUMMYFUNCTION("""COMPUTED_VALUE"""),"Segade, Jesus Gabriel")</f>
        <v>Segade, Jesus Gabriel</v>
      </c>
      <c r="B12957" s="3">
        <f ca="1">IFERROR(__xludf.DUMMYFUNCTION("""COMPUTED_VALUE"""),999)</f>
        <v>999</v>
      </c>
      <c r="C12957" s="7">
        <f ca="1">IFERROR(__xludf.DUMMYFUNCTION("""COMPUTED_VALUE"""),999)</f>
        <v>999</v>
      </c>
      <c r="D12957" s="8">
        <f ca="1">IFERROR(__xludf.DUMMYFUNCTION("""COMPUTED_VALUE"""),999)</f>
        <v>999</v>
      </c>
      <c r="E12957" s="2">
        <f ca="1">IFERROR(__xludf.DUMMYFUNCTION("""COMPUTED_VALUE"""),999)</f>
        <v>999</v>
      </c>
    </row>
    <row r="12958" spans="1:5" ht="13">
      <c r="A12958" s="2" t="str">
        <f ca="1">IFERROR(__xludf.DUMMYFUNCTION("""COMPUTED_VALUE"""),"Shaeffer, Don")</f>
        <v>Shaeffer, Don</v>
      </c>
      <c r="B12958" s="2">
        <f ca="1">IFERROR(__xludf.DUMMYFUNCTION("""COMPUTED_VALUE"""),999)</f>
        <v>999</v>
      </c>
      <c r="C12958" s="2">
        <f ca="1">IFERROR(__xludf.DUMMYFUNCTION("""COMPUTED_VALUE"""),999)</f>
        <v>999</v>
      </c>
      <c r="D12958" s="8">
        <f ca="1">IFERROR(__xludf.DUMMYFUNCTION("""COMPUTED_VALUE"""),999)</f>
        <v>999</v>
      </c>
      <c r="E12958" s="2">
        <f ca="1">IFERROR(__xludf.DUMMYFUNCTION("""COMPUTED_VALUE"""),999)</f>
        <v>999</v>
      </c>
    </row>
    <row r="12959" spans="1:5" ht="13">
      <c r="A12959" s="2" t="str">
        <f ca="1">IFERROR(__xludf.DUMMYFUNCTION("""COMPUTED_VALUE"""),"Shanty, English Sea")</f>
        <v>Shanty, English Sea</v>
      </c>
      <c r="B12959" s="2">
        <f ca="1">IFERROR(__xludf.DUMMYFUNCTION("""COMPUTED_VALUE"""),999)</f>
        <v>999</v>
      </c>
      <c r="C12959" s="7">
        <f ca="1">IFERROR(__xludf.DUMMYFUNCTION("""COMPUTED_VALUE"""),999)</f>
        <v>999</v>
      </c>
      <c r="D12959" s="8">
        <f ca="1">IFERROR(__xludf.DUMMYFUNCTION("""COMPUTED_VALUE"""),999)</f>
        <v>999</v>
      </c>
      <c r="E12959" s="2">
        <f ca="1">IFERROR(__xludf.DUMMYFUNCTION("""COMPUTED_VALUE"""),999)</f>
        <v>999</v>
      </c>
    </row>
    <row r="12960" spans="1:5" ht="13">
      <c r="A12960" s="8" t="str">
        <f ca="1">IFERROR(__xludf.DUMMYFUNCTION("""COMPUTED_VALUE"""),"Sharp (unknown)")</f>
        <v>Sharp (unknown)</v>
      </c>
      <c r="B12960" s="2">
        <f ca="1">IFERROR(__xludf.DUMMYFUNCTION("""COMPUTED_VALUE"""),999)</f>
        <v>999</v>
      </c>
      <c r="C12960" s="7">
        <f ca="1">IFERROR(__xludf.DUMMYFUNCTION("""COMPUTED_VALUE"""),999)</f>
        <v>999</v>
      </c>
      <c r="D12960" s="8">
        <f ca="1">IFERROR(__xludf.DUMMYFUNCTION("""COMPUTED_VALUE"""),999)</f>
        <v>999</v>
      </c>
      <c r="E12960" s="2">
        <f ca="1">IFERROR(__xludf.DUMMYFUNCTION("""COMPUTED_VALUE"""),999)</f>
        <v>999</v>
      </c>
    </row>
    <row r="12961" spans="1:5" ht="13">
      <c r="A12961" s="2" t="str">
        <f ca="1">IFERROR(__xludf.DUMMYFUNCTION("""COMPUTED_VALUE"""),"Sharp, James L.")</f>
        <v>Sharp, James L.</v>
      </c>
      <c r="B12961" s="2">
        <f ca="1">IFERROR(__xludf.DUMMYFUNCTION("""COMPUTED_VALUE"""),999)</f>
        <v>999</v>
      </c>
      <c r="C12961" s="2">
        <f ca="1">IFERROR(__xludf.DUMMYFUNCTION("""COMPUTED_VALUE"""),999)</f>
        <v>999</v>
      </c>
      <c r="D12961" s="8">
        <f ca="1">IFERROR(__xludf.DUMMYFUNCTION("""COMPUTED_VALUE"""),999)</f>
        <v>999</v>
      </c>
      <c r="E12961" s="2">
        <f ca="1">IFERROR(__xludf.DUMMYFUNCTION("""COMPUTED_VALUE"""),999)</f>
        <v>999</v>
      </c>
    </row>
    <row r="12962" spans="1:5" ht="13">
      <c r="A12962" s="2" t="str">
        <f ca="1">IFERROR(__xludf.DUMMYFUNCTION("""COMPUTED_VALUE"""),"Short, John")</f>
        <v>Short, John</v>
      </c>
      <c r="B12962" s="2">
        <f ca="1">IFERROR(__xludf.DUMMYFUNCTION("""COMPUTED_VALUE"""),999)</f>
        <v>999</v>
      </c>
      <c r="C12962" s="2">
        <f ca="1">IFERROR(__xludf.DUMMYFUNCTION("""COMPUTED_VALUE"""),999)</f>
        <v>999</v>
      </c>
      <c r="D12962" s="8">
        <f ca="1">IFERROR(__xludf.DUMMYFUNCTION("""COMPUTED_VALUE"""),999)</f>
        <v>999</v>
      </c>
      <c r="E12962" s="2">
        <f ca="1">IFERROR(__xludf.DUMMYFUNCTION("""COMPUTED_VALUE"""),999)</f>
        <v>999</v>
      </c>
    </row>
    <row r="12963" spans="1:5" ht="13">
      <c r="A12963" s="2" t="str">
        <f ca="1">IFERROR(__xludf.DUMMYFUNCTION("""COMPUTED_VALUE"""),"Shotts, Ouida")</f>
        <v>Shotts, Ouida</v>
      </c>
      <c r="B12963" s="2">
        <f ca="1">IFERROR(__xludf.DUMMYFUNCTION("""COMPUTED_VALUE"""),999)</f>
        <v>999</v>
      </c>
      <c r="C12963" s="2">
        <f ca="1">IFERROR(__xludf.DUMMYFUNCTION("""COMPUTED_VALUE"""),999)</f>
        <v>999</v>
      </c>
      <c r="D12963" s="8">
        <f ca="1">IFERROR(__xludf.DUMMYFUNCTION("""COMPUTED_VALUE"""),999)</f>
        <v>999</v>
      </c>
      <c r="E12963" s="2">
        <f ca="1">IFERROR(__xludf.DUMMYFUNCTION("""COMPUTED_VALUE"""),999)</f>
        <v>999</v>
      </c>
    </row>
    <row r="12964" spans="1:5" ht="13">
      <c r="A12964" s="2" t="str">
        <f ca="1">IFERROR(__xludf.DUMMYFUNCTION("""COMPUTED_VALUE"""),"Shove, Michael")</f>
        <v>Shove, Michael</v>
      </c>
      <c r="B12964" s="2">
        <f ca="1">IFERROR(__xludf.DUMMYFUNCTION("""COMPUTED_VALUE"""),999)</f>
        <v>999</v>
      </c>
      <c r="C12964" s="2">
        <f ca="1">IFERROR(__xludf.DUMMYFUNCTION("""COMPUTED_VALUE"""),999)</f>
        <v>999</v>
      </c>
      <c r="D12964" s="8">
        <f ca="1">IFERROR(__xludf.DUMMYFUNCTION("""COMPUTED_VALUE"""),999)</f>
        <v>999</v>
      </c>
      <c r="E12964" s="2">
        <f ca="1">IFERROR(__xludf.DUMMYFUNCTION("""COMPUTED_VALUE"""),999)</f>
        <v>999</v>
      </c>
    </row>
    <row r="12965" spans="1:5" ht="13">
      <c r="A12965" s="2" t="str">
        <f ca="1">IFERROR(__xludf.DUMMYFUNCTION("""COMPUTED_VALUE"""),"Shraeder, Jack")</f>
        <v>Shraeder, Jack</v>
      </c>
      <c r="B12965" s="2">
        <f ca="1">IFERROR(__xludf.DUMMYFUNCTION("""COMPUTED_VALUE"""),999)</f>
        <v>999</v>
      </c>
      <c r="C12965" s="2">
        <f ca="1">IFERROR(__xludf.DUMMYFUNCTION("""COMPUTED_VALUE"""),999)</f>
        <v>999</v>
      </c>
      <c r="D12965" s="8">
        <f ca="1">IFERROR(__xludf.DUMMYFUNCTION("""COMPUTED_VALUE"""),999)</f>
        <v>999</v>
      </c>
      <c r="E12965" s="2">
        <f ca="1">IFERROR(__xludf.DUMMYFUNCTION("""COMPUTED_VALUE"""),999)</f>
        <v>999</v>
      </c>
    </row>
    <row r="12966" spans="1:5" ht="13">
      <c r="A12966" s="8" t="str">
        <f ca="1">IFERROR(__xludf.DUMMYFUNCTION("""COMPUTED_VALUE"""),"Shrew, A. (unknown)")</f>
        <v>Shrew, A. (unknown)</v>
      </c>
      <c r="B12966" s="2">
        <f ca="1">IFERROR(__xludf.DUMMYFUNCTION("""COMPUTED_VALUE"""),999)</f>
        <v>999</v>
      </c>
      <c r="C12966" s="7">
        <f ca="1">IFERROR(__xludf.DUMMYFUNCTION("""COMPUTED_VALUE"""),999)</f>
        <v>999</v>
      </c>
      <c r="D12966" s="8">
        <f ca="1">IFERROR(__xludf.DUMMYFUNCTION("""COMPUTED_VALUE"""),999)</f>
        <v>999</v>
      </c>
      <c r="E12966" s="2">
        <f ca="1">IFERROR(__xludf.DUMMYFUNCTION("""COMPUTED_VALUE"""),999)</f>
        <v>999</v>
      </c>
    </row>
    <row r="12967" spans="1:5" ht="13">
      <c r="A12967" s="2" t="str">
        <f ca="1">IFERROR(__xludf.DUMMYFUNCTION("""COMPUTED_VALUE"""),"Shrock, Dennis")</f>
        <v>Shrock, Dennis</v>
      </c>
      <c r="B12967" s="2">
        <f ca="1">IFERROR(__xludf.DUMMYFUNCTION("""COMPUTED_VALUE"""),999)</f>
        <v>999</v>
      </c>
      <c r="C12967" s="2">
        <f ca="1">IFERROR(__xludf.DUMMYFUNCTION("""COMPUTED_VALUE"""),999)</f>
        <v>999</v>
      </c>
      <c r="D12967" s="8">
        <f ca="1">IFERROR(__xludf.DUMMYFUNCTION("""COMPUTED_VALUE"""),999)</f>
        <v>999</v>
      </c>
      <c r="E12967" s="2">
        <f ca="1">IFERROR(__xludf.DUMMYFUNCTION("""COMPUTED_VALUE"""),999)</f>
        <v>999</v>
      </c>
    </row>
    <row r="12968" spans="1:5" ht="13">
      <c r="A12968" s="2" t="str">
        <f ca="1">IFERROR(__xludf.DUMMYFUNCTION("""COMPUTED_VALUE"""),"Shugard, H.F.")</f>
        <v>Shugard, H.F.</v>
      </c>
      <c r="B12968" s="2">
        <f ca="1">IFERROR(__xludf.DUMMYFUNCTION("""COMPUTED_VALUE"""),999)</f>
        <v>999</v>
      </c>
      <c r="C12968" s="2">
        <f ca="1">IFERROR(__xludf.DUMMYFUNCTION("""COMPUTED_VALUE"""),999)</f>
        <v>999</v>
      </c>
      <c r="D12968" s="8">
        <f ca="1">IFERROR(__xludf.DUMMYFUNCTION("""COMPUTED_VALUE"""),999)</f>
        <v>999</v>
      </c>
      <c r="E12968" s="2">
        <f ca="1">IFERROR(__xludf.DUMMYFUNCTION("""COMPUTED_VALUE"""),999)</f>
        <v>999</v>
      </c>
    </row>
    <row r="12969" spans="1:5" ht="13">
      <c r="A12969" s="2" t="str">
        <f ca="1">IFERROR(__xludf.DUMMYFUNCTION("""COMPUTED_VALUE"""),"Siadat, Fahad")</f>
        <v>Siadat, Fahad</v>
      </c>
      <c r="B12969" s="2">
        <f ca="1">IFERROR(__xludf.DUMMYFUNCTION("""COMPUTED_VALUE"""),999)</f>
        <v>999</v>
      </c>
      <c r="C12969" s="2">
        <f ca="1">IFERROR(__xludf.DUMMYFUNCTION("""COMPUTED_VALUE"""),999)</f>
        <v>999</v>
      </c>
      <c r="D12969" s="8">
        <f ca="1">IFERROR(__xludf.DUMMYFUNCTION("""COMPUTED_VALUE"""),999)</f>
        <v>999</v>
      </c>
      <c r="E12969" s="2">
        <f ca="1">IFERROR(__xludf.DUMMYFUNCTION("""COMPUTED_VALUE"""),999)</f>
        <v>999</v>
      </c>
    </row>
    <row r="12970" spans="1:5" ht="13">
      <c r="A12970" s="8" t="str">
        <f ca="1">IFERROR(__xludf.DUMMYFUNCTION("""COMPUTED_VALUE"""),"Sila, Kyoto (pseudonym for anonymous composer)")</f>
        <v>Sila, Kyoto (pseudonym for anonymous composer)</v>
      </c>
      <c r="B12970" s="2">
        <f ca="1">IFERROR(__xludf.DUMMYFUNCTION("""COMPUTED_VALUE"""),999)</f>
        <v>999</v>
      </c>
      <c r="C12970" s="7">
        <f ca="1">IFERROR(__xludf.DUMMYFUNCTION("""COMPUTED_VALUE"""),999)</f>
        <v>999</v>
      </c>
      <c r="D12970" s="8">
        <f ca="1">IFERROR(__xludf.DUMMYFUNCTION("""COMPUTED_VALUE"""),999)</f>
        <v>999</v>
      </c>
      <c r="E12970" s="2">
        <f ca="1">IFERROR(__xludf.DUMMYFUNCTION("""COMPUTED_VALUE"""),999)</f>
        <v>999</v>
      </c>
    </row>
    <row r="12971" spans="1:5" ht="13">
      <c r="A12971" s="2" t="str">
        <f ca="1">IFERROR(__xludf.DUMMYFUNCTION("""COMPUTED_VALUE"""),"Sillman, Bobby Lawrence")</f>
        <v>Sillman, Bobby Lawrence</v>
      </c>
      <c r="B12971" s="2">
        <f ca="1">IFERROR(__xludf.DUMMYFUNCTION("""COMPUTED_VALUE"""),999)</f>
        <v>999</v>
      </c>
      <c r="C12971" s="2">
        <f ca="1">IFERROR(__xludf.DUMMYFUNCTION("""COMPUTED_VALUE"""),999)</f>
        <v>999</v>
      </c>
      <c r="D12971" s="8">
        <f ca="1">IFERROR(__xludf.DUMMYFUNCTION("""COMPUTED_VALUE"""),999)</f>
        <v>999</v>
      </c>
      <c r="E12971" s="2">
        <f ca="1">IFERROR(__xludf.DUMMYFUNCTION("""COMPUTED_VALUE"""),999)</f>
        <v>999</v>
      </c>
    </row>
    <row r="12972" spans="1:5" ht="13">
      <c r="A12972" s="2" t="str">
        <f ca="1">IFERROR(__xludf.DUMMYFUNCTION("""COMPUTED_VALUE"""),"Silver (unknown)")</f>
        <v>Silver (unknown)</v>
      </c>
      <c r="B12972" s="2">
        <f ca="1">IFERROR(__xludf.DUMMYFUNCTION("""COMPUTED_VALUE"""),999)</f>
        <v>999</v>
      </c>
      <c r="C12972" s="7">
        <f ca="1">IFERROR(__xludf.DUMMYFUNCTION("""COMPUTED_VALUE"""),999)</f>
        <v>999</v>
      </c>
      <c r="D12972" s="8">
        <f ca="1">IFERROR(__xludf.DUMMYFUNCTION("""COMPUTED_VALUE"""),999)</f>
        <v>999</v>
      </c>
      <c r="E12972" s="2">
        <f ca="1">IFERROR(__xludf.DUMMYFUNCTION("""COMPUTED_VALUE"""),999)</f>
        <v>999</v>
      </c>
    </row>
    <row r="12973" spans="1:5" ht="13">
      <c r="A12973" s="2" t="str">
        <f ca="1">IFERROR(__xludf.DUMMYFUNCTION("""COMPUTED_VALUE"""),"Simon (unknown)")</f>
        <v>Simon (unknown)</v>
      </c>
      <c r="B12973" s="2">
        <f ca="1">IFERROR(__xludf.DUMMYFUNCTION("""COMPUTED_VALUE"""),999)</f>
        <v>999</v>
      </c>
      <c r="C12973" s="2">
        <f ca="1">IFERROR(__xludf.DUMMYFUNCTION("""COMPUTED_VALUE"""),999)</f>
        <v>999</v>
      </c>
      <c r="D12973" s="8">
        <f ca="1">IFERROR(__xludf.DUMMYFUNCTION("""COMPUTED_VALUE"""),999)</f>
        <v>999</v>
      </c>
      <c r="E12973" s="2">
        <f ca="1">IFERROR(__xludf.DUMMYFUNCTION("""COMPUTED_VALUE"""),999)</f>
        <v>999</v>
      </c>
    </row>
    <row r="12974" spans="1:5" ht="13">
      <c r="A12974" s="2" t="str">
        <f ca="1">IFERROR(__xludf.DUMMYFUNCTION("""COMPUTED_VALUE"""),"Simon, Eric")</f>
        <v>Simon, Eric</v>
      </c>
      <c r="B12974" s="2">
        <f ca="1">IFERROR(__xludf.DUMMYFUNCTION("""COMPUTED_VALUE"""),999)</f>
        <v>999</v>
      </c>
      <c r="C12974" s="2">
        <f ca="1">IFERROR(__xludf.DUMMYFUNCTION("""COMPUTED_VALUE"""),999)</f>
        <v>999</v>
      </c>
      <c r="D12974" s="8">
        <f ca="1">IFERROR(__xludf.DUMMYFUNCTION("""COMPUTED_VALUE"""),999)</f>
        <v>999</v>
      </c>
      <c r="E12974" s="2">
        <f ca="1">IFERROR(__xludf.DUMMYFUNCTION("""COMPUTED_VALUE"""),999)</f>
        <v>999</v>
      </c>
    </row>
    <row r="12975" spans="1:5" ht="13">
      <c r="A12975" s="2" t="str">
        <f ca="1">IFERROR(__xludf.DUMMYFUNCTION("""COMPUTED_VALUE"""),"Sims, Tommy / Kennedy, Gordon / Kirkpatrick ,Wayne")</f>
        <v>Sims, Tommy / Kennedy, Gordon / Kirkpatrick ,Wayne</v>
      </c>
      <c r="B12975" s="2">
        <f ca="1">IFERROR(__xludf.DUMMYFUNCTION("""COMPUTED_VALUE"""),999)</f>
        <v>999</v>
      </c>
      <c r="C12975" s="7">
        <f ca="1">IFERROR(__xludf.DUMMYFUNCTION("""COMPUTED_VALUE"""),999)</f>
        <v>999</v>
      </c>
      <c r="D12975" s="8">
        <f ca="1">IFERROR(__xludf.DUMMYFUNCTION("""COMPUTED_VALUE"""),999)</f>
        <v>999</v>
      </c>
      <c r="E12975" s="2">
        <f ca="1">IFERROR(__xludf.DUMMYFUNCTION("""COMPUTED_VALUE"""),999)</f>
        <v>999</v>
      </c>
    </row>
    <row r="12976" spans="1:5" ht="13">
      <c r="A12976" s="2" t="str">
        <f ca="1">IFERROR(__xludf.DUMMYFUNCTION("""COMPUTED_VALUE"""),"Skaff, Will / Keylock, Melissa")</f>
        <v>Skaff, Will / Keylock, Melissa</v>
      </c>
      <c r="B12976" s="2">
        <f ca="1">IFERROR(__xludf.DUMMYFUNCTION("""COMPUTED_VALUE"""),999)</f>
        <v>999</v>
      </c>
      <c r="C12976" s="7">
        <f ca="1">IFERROR(__xludf.DUMMYFUNCTION("""COMPUTED_VALUE"""),999)</f>
        <v>999</v>
      </c>
      <c r="D12976" s="8">
        <f ca="1">IFERROR(__xludf.DUMMYFUNCTION("""COMPUTED_VALUE"""),999)</f>
        <v>999</v>
      </c>
      <c r="E12976" s="2">
        <f ca="1">IFERROR(__xludf.DUMMYFUNCTION("""COMPUTED_VALUE"""),999)</f>
        <v>999</v>
      </c>
    </row>
    <row r="12977" spans="1:5" ht="13">
      <c r="A12977" s="8" t="str">
        <f ca="1">IFERROR(__xludf.DUMMYFUNCTION("""COMPUTED_VALUE"""),"Skolnick, W.")</f>
        <v>Skolnick, W.</v>
      </c>
      <c r="B12977" s="2">
        <f ca="1">IFERROR(__xludf.DUMMYFUNCTION("""COMPUTED_VALUE"""),999)</f>
        <v>999</v>
      </c>
      <c r="C12977" s="7">
        <f ca="1">IFERROR(__xludf.DUMMYFUNCTION("""COMPUTED_VALUE"""),999)</f>
        <v>999</v>
      </c>
      <c r="D12977" s="8">
        <f ca="1">IFERROR(__xludf.DUMMYFUNCTION("""COMPUTED_VALUE"""),999)</f>
        <v>999</v>
      </c>
      <c r="E12977" s="2">
        <f ca="1">IFERROR(__xludf.DUMMYFUNCTION("""COMPUTED_VALUE"""),999)</f>
        <v>999</v>
      </c>
    </row>
    <row r="12978" spans="1:5" ht="13">
      <c r="A12978" s="2" t="str">
        <f ca="1">IFERROR(__xludf.DUMMYFUNCTION("""COMPUTED_VALUE"""),"Skornicka, Joseph")</f>
        <v>Skornicka, Joseph</v>
      </c>
      <c r="B12978" s="2">
        <f ca="1">IFERROR(__xludf.DUMMYFUNCTION("""COMPUTED_VALUE"""),999)</f>
        <v>999</v>
      </c>
      <c r="C12978" s="2">
        <f ca="1">IFERROR(__xludf.DUMMYFUNCTION("""COMPUTED_VALUE"""),999)</f>
        <v>999</v>
      </c>
      <c r="D12978" s="8">
        <f ca="1">IFERROR(__xludf.DUMMYFUNCTION("""COMPUTED_VALUE"""),999)</f>
        <v>999</v>
      </c>
      <c r="E12978" s="2">
        <f ca="1">IFERROR(__xludf.DUMMYFUNCTION("""COMPUTED_VALUE"""),999)</f>
        <v>999</v>
      </c>
    </row>
    <row r="12979" spans="1:5" ht="13">
      <c r="A12979" s="2" t="str">
        <f ca="1">IFERROR(__xludf.DUMMYFUNCTION("""COMPUTED_VALUE"""),"Small, Ron")</f>
        <v>Small, Ron</v>
      </c>
      <c r="B12979" s="2">
        <f ca="1">IFERROR(__xludf.DUMMYFUNCTION("""COMPUTED_VALUE"""),999)</f>
        <v>999</v>
      </c>
      <c r="C12979" s="2">
        <f ca="1">IFERROR(__xludf.DUMMYFUNCTION("""COMPUTED_VALUE"""),999)</f>
        <v>999</v>
      </c>
      <c r="D12979" s="8">
        <f ca="1">IFERROR(__xludf.DUMMYFUNCTION("""COMPUTED_VALUE"""),999)</f>
        <v>999</v>
      </c>
      <c r="E12979" s="2">
        <f ca="1">IFERROR(__xludf.DUMMYFUNCTION("""COMPUTED_VALUE"""),999)</f>
        <v>999</v>
      </c>
    </row>
    <row r="12980" spans="1:5" ht="13">
      <c r="A12980" s="8" t="str">
        <f ca="1">IFERROR(__xludf.DUMMYFUNCTION("""COMPUTED_VALUE"""),"Smith")</f>
        <v>Smith</v>
      </c>
      <c r="B12980" s="2">
        <f ca="1">IFERROR(__xludf.DUMMYFUNCTION("""COMPUTED_VALUE"""),999)</f>
        <v>999</v>
      </c>
      <c r="C12980" s="7">
        <f ca="1">IFERROR(__xludf.DUMMYFUNCTION("""COMPUTED_VALUE"""),999)</f>
        <v>999</v>
      </c>
      <c r="D12980" s="8">
        <f ca="1">IFERROR(__xludf.DUMMYFUNCTION("""COMPUTED_VALUE"""),999)</f>
        <v>999</v>
      </c>
      <c r="E12980" s="2">
        <f ca="1">IFERROR(__xludf.DUMMYFUNCTION("""COMPUTED_VALUE"""),999)</f>
        <v>999</v>
      </c>
    </row>
    <row r="12981" spans="1:5" ht="13">
      <c r="A12981" s="2" t="str">
        <f ca="1">IFERROR(__xludf.DUMMYFUNCTION("""COMPUTED_VALUE"""),"Smith, Cyril")</f>
        <v>Smith, Cyril</v>
      </c>
      <c r="B12981" s="2">
        <f ca="1">IFERROR(__xludf.DUMMYFUNCTION("""COMPUTED_VALUE"""),999)</f>
        <v>999</v>
      </c>
      <c r="C12981" s="2">
        <f ca="1">IFERROR(__xludf.DUMMYFUNCTION("""COMPUTED_VALUE"""),999)</f>
        <v>999</v>
      </c>
      <c r="D12981" s="8">
        <f ca="1">IFERROR(__xludf.DUMMYFUNCTION("""COMPUTED_VALUE"""),999)</f>
        <v>999</v>
      </c>
      <c r="E12981" s="2">
        <f ca="1">IFERROR(__xludf.DUMMYFUNCTION("""COMPUTED_VALUE"""),999)</f>
        <v>999</v>
      </c>
    </row>
    <row r="12982" spans="1:5" ht="13">
      <c r="A12982" s="2" t="str">
        <f ca="1">IFERROR(__xludf.DUMMYFUNCTION("""COMPUTED_VALUE"""),"Smith, Roger")</f>
        <v>Smith, Roger</v>
      </c>
      <c r="B12982" s="2">
        <f ca="1">IFERROR(__xludf.DUMMYFUNCTION("""COMPUTED_VALUE"""),999)</f>
        <v>999</v>
      </c>
      <c r="C12982" s="2">
        <f ca="1">IFERROR(__xludf.DUMMYFUNCTION("""COMPUTED_VALUE"""),999)</f>
        <v>999</v>
      </c>
      <c r="D12982" s="8">
        <f ca="1">IFERROR(__xludf.DUMMYFUNCTION("""COMPUTED_VALUE"""),999)</f>
        <v>999</v>
      </c>
      <c r="E12982" s="2">
        <f ca="1">IFERROR(__xludf.DUMMYFUNCTION("""COMPUTED_VALUE"""),999)</f>
        <v>999</v>
      </c>
    </row>
    <row r="12983" spans="1:5" ht="13">
      <c r="A12983" s="2" t="str">
        <f ca="1">IFERROR(__xludf.DUMMYFUNCTION("""COMPUTED_VALUE"""),"Solomons, David")</f>
        <v>Solomons, David</v>
      </c>
      <c r="B12983" s="2">
        <f ca="1">IFERROR(__xludf.DUMMYFUNCTION("""COMPUTED_VALUE"""),999)</f>
        <v>999</v>
      </c>
      <c r="C12983" s="2">
        <f ca="1">IFERROR(__xludf.DUMMYFUNCTION("""COMPUTED_VALUE"""),999)</f>
        <v>999</v>
      </c>
      <c r="D12983" s="8">
        <f ca="1">IFERROR(__xludf.DUMMYFUNCTION("""COMPUTED_VALUE"""),999)</f>
        <v>999</v>
      </c>
      <c r="E12983" s="2">
        <f ca="1">IFERROR(__xludf.DUMMYFUNCTION("""COMPUTED_VALUE"""),999)</f>
        <v>999</v>
      </c>
    </row>
    <row r="12984" spans="1:5" ht="13">
      <c r="A12984" s="2" t="str">
        <f ca="1">IFERROR(__xludf.DUMMYFUNCTION("""COMPUTED_VALUE"""),"Soltwedel, J.")</f>
        <v>Soltwedel, J.</v>
      </c>
      <c r="B12984" s="3">
        <f ca="1">IFERROR(__xludf.DUMMYFUNCTION("""COMPUTED_VALUE"""),999)</f>
        <v>999</v>
      </c>
      <c r="C12984" s="7">
        <f ca="1">IFERROR(__xludf.DUMMYFUNCTION("""COMPUTED_VALUE"""),999)</f>
        <v>999</v>
      </c>
      <c r="D12984" s="8">
        <f ca="1">IFERROR(__xludf.DUMMYFUNCTION("""COMPUTED_VALUE"""),999)</f>
        <v>999</v>
      </c>
      <c r="E12984" s="2">
        <f ca="1">IFERROR(__xludf.DUMMYFUNCTION("""COMPUTED_VALUE"""),999)</f>
        <v>999</v>
      </c>
    </row>
    <row r="12985" spans="1:5" ht="13">
      <c r="A12985" s="8" t="str">
        <f ca="1">IFERROR(__xludf.DUMMYFUNCTION("""COMPUTED_VALUE"""),"Sontag, Wesley")</f>
        <v>Sontag, Wesley</v>
      </c>
      <c r="B12985" s="2">
        <f ca="1">IFERROR(__xludf.DUMMYFUNCTION("""COMPUTED_VALUE"""),999)</f>
        <v>999</v>
      </c>
      <c r="C12985" s="7">
        <f ca="1">IFERROR(__xludf.DUMMYFUNCTION("""COMPUTED_VALUE"""),999)</f>
        <v>999</v>
      </c>
      <c r="D12985" s="8">
        <f ca="1">IFERROR(__xludf.DUMMYFUNCTION("""COMPUTED_VALUE"""),999)</f>
        <v>999</v>
      </c>
      <c r="E12985" s="2">
        <f ca="1">IFERROR(__xludf.DUMMYFUNCTION("""COMPUTED_VALUE"""),999)</f>
        <v>999</v>
      </c>
    </row>
    <row r="12986" spans="1:5" ht="13">
      <c r="A12986" s="8" t="str">
        <f ca="1">IFERROR(__xludf.DUMMYFUNCTION("""COMPUTED_VALUE"""),"Spanish Carol")</f>
        <v>Spanish Carol</v>
      </c>
      <c r="B12986" s="2">
        <f ca="1">IFERROR(__xludf.DUMMYFUNCTION("""COMPUTED_VALUE"""),999)</f>
        <v>999</v>
      </c>
      <c r="C12986" s="7">
        <f ca="1">IFERROR(__xludf.DUMMYFUNCTION("""COMPUTED_VALUE"""),999)</f>
        <v>999</v>
      </c>
      <c r="D12986" s="8">
        <f ca="1">IFERROR(__xludf.DUMMYFUNCTION("""COMPUTED_VALUE"""),999)</f>
        <v>999</v>
      </c>
      <c r="E12986" s="2">
        <f ca="1">IFERROR(__xludf.DUMMYFUNCTION("""COMPUTED_VALUE"""),999)</f>
        <v>999</v>
      </c>
    </row>
    <row r="12987" spans="1:5" ht="13">
      <c r="A12987" s="2" t="str">
        <f ca="1">IFERROR(__xludf.DUMMYFUNCTION("""COMPUTED_VALUE"""),"Sparger, A. Dennis")</f>
        <v>Sparger, A. Dennis</v>
      </c>
      <c r="B12987" s="2">
        <f ca="1">IFERROR(__xludf.DUMMYFUNCTION("""COMPUTED_VALUE"""),999)</f>
        <v>999</v>
      </c>
      <c r="C12987" s="2">
        <f ca="1">IFERROR(__xludf.DUMMYFUNCTION("""COMPUTED_VALUE"""),999)</f>
        <v>999</v>
      </c>
      <c r="D12987" s="8">
        <f ca="1">IFERROR(__xludf.DUMMYFUNCTION("""COMPUTED_VALUE"""),999)</f>
        <v>999</v>
      </c>
      <c r="E12987" s="2">
        <f ca="1">IFERROR(__xludf.DUMMYFUNCTION("""COMPUTED_VALUE"""),999)</f>
        <v>999</v>
      </c>
    </row>
    <row r="12988" spans="1:5" ht="13">
      <c r="A12988" s="2" t="str">
        <f ca="1">IFERROR(__xludf.DUMMYFUNCTION("""COMPUTED_VALUE"""),"SPEBSQSA")</f>
        <v>SPEBSQSA</v>
      </c>
      <c r="B12988" s="2">
        <f ca="1">IFERROR(__xludf.DUMMYFUNCTION("""COMPUTED_VALUE"""),999)</f>
        <v>999</v>
      </c>
      <c r="C12988" s="7">
        <f ca="1">IFERROR(__xludf.DUMMYFUNCTION("""COMPUTED_VALUE"""),999)</f>
        <v>999</v>
      </c>
      <c r="D12988" s="8">
        <f ca="1">IFERROR(__xludf.DUMMYFUNCTION("""COMPUTED_VALUE"""),999)</f>
        <v>999</v>
      </c>
      <c r="E12988" s="2">
        <f ca="1">IFERROR(__xludf.DUMMYFUNCTION("""COMPUTED_VALUE"""),999)</f>
        <v>999</v>
      </c>
    </row>
    <row r="12989" spans="1:5" ht="13">
      <c r="A12989" s="2" t="str">
        <f ca="1">IFERROR(__xludf.DUMMYFUNCTION("""COMPUTED_VALUE"""),"Spencer, Kim")</f>
        <v>Spencer, Kim</v>
      </c>
      <c r="B12989" s="2">
        <f ca="1">IFERROR(__xludf.DUMMYFUNCTION("""COMPUTED_VALUE"""),999)</f>
        <v>999</v>
      </c>
      <c r="C12989" s="7">
        <f ca="1">IFERROR(__xludf.DUMMYFUNCTION("""COMPUTED_VALUE"""),999)</f>
        <v>999</v>
      </c>
      <c r="D12989" s="8">
        <f ca="1">IFERROR(__xludf.DUMMYFUNCTION("""COMPUTED_VALUE"""),999)</f>
        <v>999</v>
      </c>
      <c r="E12989" s="2">
        <f ca="1">IFERROR(__xludf.DUMMYFUNCTION("""COMPUTED_VALUE"""),999)</f>
        <v>999</v>
      </c>
    </row>
    <row r="12990" spans="1:5" ht="13">
      <c r="A12990" s="2" t="str">
        <f ca="1">IFERROR(__xludf.DUMMYFUNCTION("""COMPUTED_VALUE"""),"Spiker (unknown)")</f>
        <v>Spiker (unknown)</v>
      </c>
      <c r="B12990" s="2">
        <f ca="1">IFERROR(__xludf.DUMMYFUNCTION("""COMPUTED_VALUE"""),999)</f>
        <v>999</v>
      </c>
      <c r="C12990" s="2">
        <f ca="1">IFERROR(__xludf.DUMMYFUNCTION("""COMPUTED_VALUE"""),999)</f>
        <v>999</v>
      </c>
      <c r="D12990" s="8">
        <f ca="1">IFERROR(__xludf.DUMMYFUNCTION("""COMPUTED_VALUE"""),999)</f>
        <v>999</v>
      </c>
      <c r="E12990" s="2">
        <f ca="1">IFERROR(__xludf.DUMMYFUNCTION("""COMPUTED_VALUE"""),999)</f>
        <v>999</v>
      </c>
    </row>
    <row r="12991" spans="1:5" ht="13">
      <c r="A12991" s="8" t="str">
        <f ca="1">IFERROR(__xludf.DUMMYFUNCTION("""COMPUTED_VALUE"""),"Spire (unknown)")</f>
        <v>Spire (unknown)</v>
      </c>
      <c r="B12991" s="2">
        <f ca="1">IFERROR(__xludf.DUMMYFUNCTION("""COMPUTED_VALUE"""),999)</f>
        <v>999</v>
      </c>
      <c r="C12991" s="7">
        <f ca="1">IFERROR(__xludf.DUMMYFUNCTION("""COMPUTED_VALUE"""),999)</f>
        <v>999</v>
      </c>
      <c r="D12991" s="8">
        <f ca="1">IFERROR(__xludf.DUMMYFUNCTION("""COMPUTED_VALUE"""),999)</f>
        <v>999</v>
      </c>
      <c r="E12991" s="2">
        <f ca="1">IFERROR(__xludf.DUMMYFUNCTION("""COMPUTED_VALUE"""),999)</f>
        <v>999</v>
      </c>
    </row>
    <row r="12992" spans="1:5" ht="13">
      <c r="A12992" s="8" t="str">
        <f ca="1">IFERROR(__xludf.DUMMYFUNCTION("""COMPUTED_VALUE"""),"Spiritual")</f>
        <v>Spiritual</v>
      </c>
      <c r="B12992" s="2">
        <f ca="1">IFERROR(__xludf.DUMMYFUNCTION("""COMPUTED_VALUE"""),999)</f>
        <v>999</v>
      </c>
      <c r="C12992" s="7">
        <f ca="1">IFERROR(__xludf.DUMMYFUNCTION("""COMPUTED_VALUE"""),999)</f>
        <v>999</v>
      </c>
      <c r="D12992" s="8">
        <f ca="1">IFERROR(__xludf.DUMMYFUNCTION("""COMPUTED_VALUE"""),999)</f>
        <v>999</v>
      </c>
      <c r="E12992" s="2">
        <f ca="1">IFERROR(__xludf.DUMMYFUNCTION("""COMPUTED_VALUE"""),999)</f>
        <v>999</v>
      </c>
    </row>
    <row r="12993" spans="1:5" ht="13">
      <c r="A12993" s="2" t="str">
        <f ca="1">IFERROR(__xludf.DUMMYFUNCTION("""COMPUTED_VALUE"""),"Starr (unknown)")</f>
        <v>Starr (unknown)</v>
      </c>
      <c r="B12993" s="2">
        <f ca="1">IFERROR(__xludf.DUMMYFUNCTION("""COMPUTED_VALUE"""),999)</f>
        <v>999</v>
      </c>
      <c r="C12993" s="7">
        <f ca="1">IFERROR(__xludf.DUMMYFUNCTION("""COMPUTED_VALUE"""),999)</f>
        <v>999</v>
      </c>
      <c r="D12993" s="8">
        <f ca="1">IFERROR(__xludf.DUMMYFUNCTION("""COMPUTED_VALUE"""),999)</f>
        <v>999</v>
      </c>
      <c r="E12993" s="2">
        <f ca="1">IFERROR(__xludf.DUMMYFUNCTION("""COMPUTED_VALUE"""),999)</f>
        <v>999</v>
      </c>
    </row>
    <row r="12994" spans="1:5" ht="13">
      <c r="A12994" s="2" t="str">
        <f ca="1">IFERROR(__xludf.DUMMYFUNCTION("""COMPUTED_VALUE"""),"Staton (unknown)")</f>
        <v>Staton (unknown)</v>
      </c>
      <c r="B12994" s="2">
        <f ca="1">IFERROR(__xludf.DUMMYFUNCTION("""COMPUTED_VALUE"""),999)</f>
        <v>999</v>
      </c>
      <c r="C12994" s="7">
        <f ca="1">IFERROR(__xludf.DUMMYFUNCTION("""COMPUTED_VALUE"""),999)</f>
        <v>999</v>
      </c>
      <c r="D12994" s="8">
        <f ca="1">IFERROR(__xludf.DUMMYFUNCTION("""COMPUTED_VALUE"""),999)</f>
        <v>999</v>
      </c>
      <c r="E12994" s="2">
        <f ca="1">IFERROR(__xludf.DUMMYFUNCTION("""COMPUTED_VALUE"""),999)</f>
        <v>999</v>
      </c>
    </row>
    <row r="12995" spans="1:5" ht="13">
      <c r="A12995" s="2" t="str">
        <f ca="1">IFERROR(__xludf.DUMMYFUNCTION("""COMPUTED_VALUE"""),"Steijn, Willem")</f>
        <v>Steijn, Willem</v>
      </c>
      <c r="B12995" s="2">
        <f ca="1">IFERROR(__xludf.DUMMYFUNCTION("""COMPUTED_VALUE"""),999)</f>
        <v>999</v>
      </c>
      <c r="C12995" s="2">
        <f ca="1">IFERROR(__xludf.DUMMYFUNCTION("""COMPUTED_VALUE"""),999)</f>
        <v>999</v>
      </c>
      <c r="D12995" s="8">
        <f ca="1">IFERROR(__xludf.DUMMYFUNCTION("""COMPUTED_VALUE"""),999)</f>
        <v>999</v>
      </c>
      <c r="E12995" s="2">
        <f ca="1">IFERROR(__xludf.DUMMYFUNCTION("""COMPUTED_VALUE"""),999)</f>
        <v>999</v>
      </c>
    </row>
    <row r="12996" spans="1:5" ht="13">
      <c r="A12996" s="2" t="str">
        <f ca="1">IFERROR(__xludf.DUMMYFUNCTION("""COMPUTED_VALUE"""),"Stein, Robert")</f>
        <v>Stein, Robert</v>
      </c>
      <c r="B12996" s="2">
        <f ca="1">IFERROR(__xludf.DUMMYFUNCTION("""COMPUTED_VALUE"""),999)</f>
        <v>999</v>
      </c>
      <c r="C12996" s="2">
        <f ca="1">IFERROR(__xludf.DUMMYFUNCTION("""COMPUTED_VALUE"""),999)</f>
        <v>999</v>
      </c>
      <c r="D12996" s="8">
        <f ca="1">IFERROR(__xludf.DUMMYFUNCTION("""COMPUTED_VALUE"""),999)</f>
        <v>999</v>
      </c>
      <c r="E12996" s="2">
        <f ca="1">IFERROR(__xludf.DUMMYFUNCTION("""COMPUTED_VALUE"""),999)</f>
        <v>999</v>
      </c>
    </row>
    <row r="12997" spans="1:5" ht="13">
      <c r="A12997" s="8" t="str">
        <f ca="1">IFERROR(__xludf.DUMMYFUNCTION("""COMPUTED_VALUE"""),"Stempien, Debra / Turner, Greg")</f>
        <v>Stempien, Debra / Turner, Greg</v>
      </c>
      <c r="B12997" s="3">
        <f ca="1">IFERROR(__xludf.DUMMYFUNCTION("""COMPUTED_VALUE"""),999)</f>
        <v>999</v>
      </c>
      <c r="C12997" s="7">
        <f ca="1">IFERROR(__xludf.DUMMYFUNCTION("""COMPUTED_VALUE"""),999)</f>
        <v>999</v>
      </c>
      <c r="D12997" s="8">
        <f ca="1">IFERROR(__xludf.DUMMYFUNCTION("""COMPUTED_VALUE"""),999)</f>
        <v>999</v>
      </c>
      <c r="E12997" s="2">
        <f ca="1">IFERROR(__xludf.DUMMYFUNCTION("""COMPUTED_VALUE"""),999)</f>
        <v>999</v>
      </c>
    </row>
    <row r="12998" spans="1:5" ht="13">
      <c r="A12998" s="2" t="str">
        <f ca="1">IFERROR(__xludf.DUMMYFUNCTION("""COMPUTED_VALUE"""),"Stephen, Amy / Haghighi, Amir")</f>
        <v>Stephen, Amy / Haghighi, Amir</v>
      </c>
      <c r="B12998" s="2">
        <f ca="1">IFERROR(__xludf.DUMMYFUNCTION("""COMPUTED_VALUE"""),999)</f>
        <v>999</v>
      </c>
      <c r="C12998" s="7">
        <f ca="1">IFERROR(__xludf.DUMMYFUNCTION("""COMPUTED_VALUE"""),999)</f>
        <v>999</v>
      </c>
      <c r="D12998" s="8">
        <f ca="1">IFERROR(__xludf.DUMMYFUNCTION("""COMPUTED_VALUE"""),999)</f>
        <v>999</v>
      </c>
      <c r="E12998" s="2">
        <f ca="1">IFERROR(__xludf.DUMMYFUNCTION("""COMPUTED_VALUE"""),999)</f>
        <v>999</v>
      </c>
    </row>
    <row r="12999" spans="1:5" ht="13">
      <c r="A12999" s="8" t="str">
        <f ca="1">IFERROR(__xludf.DUMMYFUNCTION("""COMPUTED_VALUE"""),"Stephens (unknown)")</f>
        <v>Stephens (unknown)</v>
      </c>
      <c r="B12999" s="2">
        <f ca="1">IFERROR(__xludf.DUMMYFUNCTION("""COMPUTED_VALUE"""),999)</f>
        <v>999</v>
      </c>
      <c r="C12999" s="7">
        <f ca="1">IFERROR(__xludf.DUMMYFUNCTION("""COMPUTED_VALUE"""),999)</f>
        <v>999</v>
      </c>
      <c r="D12999" s="8">
        <f ca="1">IFERROR(__xludf.DUMMYFUNCTION("""COMPUTED_VALUE"""),999)</f>
        <v>999</v>
      </c>
      <c r="E12999" s="2">
        <f ca="1">IFERROR(__xludf.DUMMYFUNCTION("""COMPUTED_VALUE"""),999)</f>
        <v>999</v>
      </c>
    </row>
    <row r="13000" spans="1:5" ht="13">
      <c r="A13000" s="2" t="str">
        <f ca="1">IFERROR(__xludf.DUMMYFUNCTION("""COMPUTED_VALUE"""),"Sterne, Kenneth")</f>
        <v>Sterne, Kenneth</v>
      </c>
      <c r="B13000" s="2">
        <f ca="1">IFERROR(__xludf.DUMMYFUNCTION("""COMPUTED_VALUE"""),999)</f>
        <v>999</v>
      </c>
      <c r="C13000" s="2">
        <f ca="1">IFERROR(__xludf.DUMMYFUNCTION("""COMPUTED_VALUE"""),999)</f>
        <v>999</v>
      </c>
      <c r="D13000" s="8">
        <f ca="1">IFERROR(__xludf.DUMMYFUNCTION("""COMPUTED_VALUE"""),999)</f>
        <v>999</v>
      </c>
      <c r="E13000" s="2">
        <f ca="1">IFERROR(__xludf.DUMMYFUNCTION("""COMPUTED_VALUE"""),999)</f>
        <v>999</v>
      </c>
    </row>
    <row r="13001" spans="1:5" ht="13">
      <c r="A13001" s="2" t="str">
        <f ca="1">IFERROR(__xludf.DUMMYFUNCTION("""COMPUTED_VALUE"""),"Stevens (unknown)")</f>
        <v>Stevens (unknown)</v>
      </c>
      <c r="B13001" s="2">
        <f ca="1">IFERROR(__xludf.DUMMYFUNCTION("""COMPUTED_VALUE"""),999)</f>
        <v>999</v>
      </c>
      <c r="C13001" s="7">
        <f ca="1">IFERROR(__xludf.DUMMYFUNCTION("""COMPUTED_VALUE"""),999)</f>
        <v>999</v>
      </c>
      <c r="D13001" s="8">
        <f ca="1">IFERROR(__xludf.DUMMYFUNCTION("""COMPUTED_VALUE"""),999)</f>
        <v>999</v>
      </c>
      <c r="E13001" s="2">
        <f ca="1">IFERROR(__xludf.DUMMYFUNCTION("""COMPUTED_VALUE"""),999)</f>
        <v>999</v>
      </c>
    </row>
    <row r="13002" spans="1:5" ht="13">
      <c r="A13002" s="2" t="str">
        <f ca="1">IFERROR(__xludf.DUMMYFUNCTION("""COMPUTED_VALUE"""),"Stevens, James and Diaz, Joshua")</f>
        <v>Stevens, James and Diaz, Joshua</v>
      </c>
      <c r="B13002" s="2">
        <f ca="1">IFERROR(__xludf.DUMMYFUNCTION("""COMPUTED_VALUE"""),999)</f>
        <v>999</v>
      </c>
      <c r="C13002" s="7">
        <f ca="1">IFERROR(__xludf.DUMMYFUNCTION("""COMPUTED_VALUE"""),999)</f>
        <v>999</v>
      </c>
      <c r="D13002" s="8">
        <f ca="1">IFERROR(__xludf.DUMMYFUNCTION("""COMPUTED_VALUE"""),999)</f>
        <v>999</v>
      </c>
      <c r="E13002" s="2">
        <f ca="1">IFERROR(__xludf.DUMMYFUNCTION("""COMPUTED_VALUE"""),999)</f>
        <v>999</v>
      </c>
    </row>
    <row r="13003" spans="1:5" ht="13">
      <c r="A13003" s="2" t="str">
        <f ca="1">IFERROR(__xludf.DUMMYFUNCTION("""COMPUTED_VALUE"""),"Stone (unknown)")</f>
        <v>Stone (unknown)</v>
      </c>
      <c r="B13003" s="2">
        <f ca="1">IFERROR(__xludf.DUMMYFUNCTION("""COMPUTED_VALUE"""),999)</f>
        <v>999</v>
      </c>
      <c r="C13003" s="7">
        <f ca="1">IFERROR(__xludf.DUMMYFUNCTION("""COMPUTED_VALUE"""),999)</f>
        <v>999</v>
      </c>
      <c r="D13003" s="8">
        <f ca="1">IFERROR(__xludf.DUMMYFUNCTION("""COMPUTED_VALUE"""),999)</f>
        <v>999</v>
      </c>
      <c r="E13003" s="2">
        <f ca="1">IFERROR(__xludf.DUMMYFUNCTION("""COMPUTED_VALUE"""),999)</f>
        <v>999</v>
      </c>
    </row>
    <row r="13004" spans="1:5" ht="13">
      <c r="A13004" s="2" t="str">
        <f ca="1">IFERROR(__xludf.DUMMYFUNCTION("""COMPUTED_VALUE"""),"Stone, Benjamin")</f>
        <v>Stone, Benjamin</v>
      </c>
      <c r="B13004" s="2">
        <f ca="1">IFERROR(__xludf.DUMMYFUNCTION("""COMPUTED_VALUE"""),999)</f>
        <v>999</v>
      </c>
      <c r="C13004" s="2">
        <f ca="1">IFERROR(__xludf.DUMMYFUNCTION("""COMPUTED_VALUE"""),999)</f>
        <v>999</v>
      </c>
      <c r="D13004" s="8">
        <f ca="1">IFERROR(__xludf.DUMMYFUNCTION("""COMPUTED_VALUE"""),999)</f>
        <v>999</v>
      </c>
      <c r="E13004" s="2">
        <f ca="1">IFERROR(__xludf.DUMMYFUNCTION("""COMPUTED_VALUE"""),999)</f>
        <v>999</v>
      </c>
    </row>
    <row r="13005" spans="1:5" ht="13">
      <c r="A13005" s="2" t="str">
        <f ca="1">IFERROR(__xludf.DUMMYFUNCTION("""COMPUTED_VALUE"""),"Stouffer, Paul M.")</f>
        <v>Stouffer, Paul M.</v>
      </c>
      <c r="B13005" s="2">
        <f ca="1">IFERROR(__xludf.DUMMYFUNCTION("""COMPUTED_VALUE"""),999)</f>
        <v>999</v>
      </c>
      <c r="C13005" s="2">
        <f ca="1">IFERROR(__xludf.DUMMYFUNCTION("""COMPUTED_VALUE"""),999)</f>
        <v>999</v>
      </c>
      <c r="D13005" s="8">
        <f ca="1">IFERROR(__xludf.DUMMYFUNCTION("""COMPUTED_VALUE"""),999)</f>
        <v>999</v>
      </c>
      <c r="E13005" s="2">
        <f ca="1">IFERROR(__xludf.DUMMYFUNCTION("""COMPUTED_VALUE"""),999)</f>
        <v>999</v>
      </c>
    </row>
    <row r="13006" spans="1:5" ht="13">
      <c r="A13006" s="2" t="str">
        <f ca="1">IFERROR(__xludf.DUMMYFUNCTION("""COMPUTED_VALUE"""),"Strube, Adolf")</f>
        <v>Strube, Adolf</v>
      </c>
      <c r="B13006" s="2">
        <f ca="1">IFERROR(__xludf.DUMMYFUNCTION("""COMPUTED_VALUE"""),999)</f>
        <v>999</v>
      </c>
      <c r="C13006" s="2">
        <f ca="1">IFERROR(__xludf.DUMMYFUNCTION("""COMPUTED_VALUE"""),999)</f>
        <v>999</v>
      </c>
      <c r="D13006" s="8">
        <f ca="1">IFERROR(__xludf.DUMMYFUNCTION("""COMPUTED_VALUE"""),999)</f>
        <v>999</v>
      </c>
      <c r="E13006" s="2">
        <f ca="1">IFERROR(__xludf.DUMMYFUNCTION("""COMPUTED_VALUE"""),999)</f>
        <v>999</v>
      </c>
    </row>
    <row r="13007" spans="1:5" ht="13">
      <c r="A13007" s="2" t="str">
        <f ca="1">IFERROR(__xludf.DUMMYFUNCTION("""COMPUTED_VALUE"""),"Strum, George")</f>
        <v>Strum, George</v>
      </c>
      <c r="B13007" s="2">
        <f ca="1">IFERROR(__xludf.DUMMYFUNCTION("""COMPUTED_VALUE"""),999)</f>
        <v>999</v>
      </c>
      <c r="C13007" s="2">
        <f ca="1">IFERROR(__xludf.DUMMYFUNCTION("""COMPUTED_VALUE"""),999)</f>
        <v>999</v>
      </c>
      <c r="D13007" s="8">
        <f ca="1">IFERROR(__xludf.DUMMYFUNCTION("""COMPUTED_VALUE"""),999)</f>
        <v>999</v>
      </c>
      <c r="E13007" s="2">
        <f ca="1">IFERROR(__xludf.DUMMYFUNCTION("""COMPUTED_VALUE"""),999)</f>
        <v>999</v>
      </c>
    </row>
    <row r="13008" spans="1:5" ht="13">
      <c r="A13008" s="2" t="str">
        <f ca="1">IFERROR(__xludf.DUMMYFUNCTION("""COMPUTED_VALUE"""),"Suarda")</f>
        <v>Suarda</v>
      </c>
      <c r="B13008" s="3">
        <f ca="1">IFERROR(__xludf.DUMMYFUNCTION("""COMPUTED_VALUE"""),999)</f>
        <v>999</v>
      </c>
      <c r="C13008" s="7">
        <f ca="1">IFERROR(__xludf.DUMMYFUNCTION("""COMPUTED_VALUE"""),999)</f>
        <v>999</v>
      </c>
      <c r="D13008" s="8">
        <f ca="1">IFERROR(__xludf.DUMMYFUNCTION("""COMPUTED_VALUE"""),999)</f>
        <v>999</v>
      </c>
      <c r="E13008" s="2">
        <f ca="1">IFERROR(__xludf.DUMMYFUNCTION("""COMPUTED_VALUE"""),999)</f>
        <v>999</v>
      </c>
    </row>
    <row r="13009" spans="1:5" ht="13">
      <c r="A13009" s="2" t="str">
        <f ca="1">IFERROR(__xludf.DUMMYFUNCTION("""COMPUTED_VALUE"""),"Suerte, Buen")</f>
        <v>Suerte, Buen</v>
      </c>
      <c r="B13009" s="3">
        <f ca="1">IFERROR(__xludf.DUMMYFUNCTION("""COMPUTED_VALUE"""),999)</f>
        <v>999</v>
      </c>
      <c r="C13009" s="7">
        <f ca="1">IFERROR(__xludf.DUMMYFUNCTION("""COMPUTED_VALUE"""),999)</f>
        <v>999</v>
      </c>
      <c r="D13009" s="8">
        <f ca="1">IFERROR(__xludf.DUMMYFUNCTION("""COMPUTED_VALUE"""),999)</f>
        <v>999</v>
      </c>
      <c r="E13009" s="2">
        <f ca="1">IFERROR(__xludf.DUMMYFUNCTION("""COMPUTED_VALUE"""),999)</f>
        <v>999</v>
      </c>
    </row>
    <row r="13010" spans="1:5" ht="13">
      <c r="A13010" s="8" t="str">
        <f ca="1">IFERROR(__xludf.DUMMYFUNCTION("""COMPUTED_VALUE"""),"Sugar (unknown)")</f>
        <v>Sugar (unknown)</v>
      </c>
      <c r="B13010" s="2">
        <f ca="1">IFERROR(__xludf.DUMMYFUNCTION("""COMPUTED_VALUE"""),999)</f>
        <v>999</v>
      </c>
      <c r="C13010" s="7">
        <f ca="1">IFERROR(__xludf.DUMMYFUNCTION("""COMPUTED_VALUE"""),999)</f>
        <v>999</v>
      </c>
      <c r="D13010" s="8">
        <f ca="1">IFERROR(__xludf.DUMMYFUNCTION("""COMPUTED_VALUE"""),999)</f>
        <v>999</v>
      </c>
      <c r="E13010" s="2">
        <f ca="1">IFERROR(__xludf.DUMMYFUNCTION("""COMPUTED_VALUE"""),999)</f>
        <v>999</v>
      </c>
    </row>
    <row r="13011" spans="1:5" ht="13">
      <c r="A13011" s="2" t="str">
        <f ca="1">IFERROR(__xludf.DUMMYFUNCTION("""COMPUTED_VALUE"""),"Suidell, Padre")</f>
        <v>Suidell, Padre</v>
      </c>
      <c r="B13011" s="2">
        <f ca="1">IFERROR(__xludf.DUMMYFUNCTION("""COMPUTED_VALUE"""),999)</f>
        <v>999</v>
      </c>
      <c r="C13011" s="7">
        <f ca="1">IFERROR(__xludf.DUMMYFUNCTION("""COMPUTED_VALUE"""),999)</f>
        <v>999</v>
      </c>
      <c r="D13011" s="8">
        <f ca="1">IFERROR(__xludf.DUMMYFUNCTION("""COMPUTED_VALUE"""),999)</f>
        <v>999</v>
      </c>
      <c r="E13011" s="2">
        <f ca="1">IFERROR(__xludf.DUMMYFUNCTION("""COMPUTED_VALUE"""),999)</f>
        <v>999</v>
      </c>
    </row>
    <row r="13012" spans="1:5" ht="13">
      <c r="A13012" s="2" t="str">
        <f ca="1">IFERROR(__xludf.DUMMYFUNCTION("""COMPUTED_VALUE"""),"Sumerlin (unknown)")</f>
        <v>Sumerlin (unknown)</v>
      </c>
      <c r="B13012" s="2">
        <f ca="1">IFERROR(__xludf.DUMMYFUNCTION("""COMPUTED_VALUE"""),999)</f>
        <v>999</v>
      </c>
      <c r="C13012" s="7">
        <f ca="1">IFERROR(__xludf.DUMMYFUNCTION("""COMPUTED_VALUE"""),999)</f>
        <v>999</v>
      </c>
      <c r="D13012" s="8">
        <f ca="1">IFERROR(__xludf.DUMMYFUNCTION("""COMPUTED_VALUE"""),999)</f>
        <v>999</v>
      </c>
      <c r="E13012" s="2">
        <f ca="1">IFERROR(__xludf.DUMMYFUNCTION("""COMPUTED_VALUE"""),999)</f>
        <v>999</v>
      </c>
    </row>
    <row r="13013" spans="1:5" ht="13">
      <c r="A13013" s="8" t="str">
        <f ca="1">IFERROR(__xludf.DUMMYFUNCTION("""COMPUTED_VALUE"""),"Summerlin (unknown)")</f>
        <v>Summerlin (unknown)</v>
      </c>
      <c r="B13013" s="2">
        <f ca="1">IFERROR(__xludf.DUMMYFUNCTION("""COMPUTED_VALUE"""),999)</f>
        <v>999</v>
      </c>
      <c r="C13013" s="7">
        <f ca="1">IFERROR(__xludf.DUMMYFUNCTION("""COMPUTED_VALUE"""),999)</f>
        <v>999</v>
      </c>
      <c r="D13013" s="8">
        <f ca="1">IFERROR(__xludf.DUMMYFUNCTION("""COMPUTED_VALUE"""),999)</f>
        <v>999</v>
      </c>
      <c r="E13013" s="2">
        <f ca="1">IFERROR(__xludf.DUMMYFUNCTION("""COMPUTED_VALUE"""),999)</f>
        <v>999</v>
      </c>
    </row>
    <row r="13014" spans="1:5" ht="13">
      <c r="A13014" s="8" t="str">
        <f ca="1">IFERROR(__xludf.DUMMYFUNCTION("""COMPUTED_VALUE"""),"Sweet Adelines")</f>
        <v>Sweet Adelines</v>
      </c>
      <c r="B13014" s="2">
        <f ca="1">IFERROR(__xludf.DUMMYFUNCTION("""COMPUTED_VALUE"""),999)</f>
        <v>999</v>
      </c>
      <c r="C13014" s="7">
        <f ca="1">IFERROR(__xludf.DUMMYFUNCTION("""COMPUTED_VALUE"""),999)</f>
        <v>999</v>
      </c>
      <c r="D13014" s="8">
        <f ca="1">IFERROR(__xludf.DUMMYFUNCTION("""COMPUTED_VALUE"""),999)</f>
        <v>999</v>
      </c>
      <c r="E13014" s="2">
        <f ca="1">IFERROR(__xludf.DUMMYFUNCTION("""COMPUTED_VALUE"""),999)</f>
        <v>999</v>
      </c>
    </row>
    <row r="13015" spans="1:5" ht="13">
      <c r="A13015" s="2" t="str">
        <f ca="1">IFERROR(__xludf.DUMMYFUNCTION("""COMPUTED_VALUE"""),"Swift, Frederic")</f>
        <v>Swift, Frederic</v>
      </c>
      <c r="B13015" s="2">
        <f ca="1">IFERROR(__xludf.DUMMYFUNCTION("""COMPUTED_VALUE"""),999)</f>
        <v>999</v>
      </c>
      <c r="C13015" s="2">
        <f ca="1">IFERROR(__xludf.DUMMYFUNCTION("""COMPUTED_VALUE"""),999)</f>
        <v>999</v>
      </c>
      <c r="D13015" s="8">
        <f ca="1">IFERROR(__xludf.DUMMYFUNCTION("""COMPUTED_VALUE"""),999)</f>
        <v>999</v>
      </c>
      <c r="E13015" s="2">
        <f ca="1">IFERROR(__xludf.DUMMYFUNCTION("""COMPUTED_VALUE"""),999)</f>
        <v>999</v>
      </c>
    </row>
    <row r="13016" spans="1:5" ht="13">
      <c r="A13016" s="2" t="str">
        <f ca="1">IFERROR(__xludf.DUMMYFUNCTION("""COMPUTED_VALUE"""),"Swingle, Ward")</f>
        <v>Swingle, Ward</v>
      </c>
      <c r="B13016" s="2">
        <f ca="1">IFERROR(__xludf.DUMMYFUNCTION("""COMPUTED_VALUE"""),999)</f>
        <v>999</v>
      </c>
      <c r="C13016" s="2">
        <f ca="1">IFERROR(__xludf.DUMMYFUNCTION("""COMPUTED_VALUE"""),999)</f>
        <v>999</v>
      </c>
      <c r="D13016" s="8">
        <f ca="1">IFERROR(__xludf.DUMMYFUNCTION("""COMPUTED_VALUE"""),999)</f>
        <v>999</v>
      </c>
      <c r="E13016" s="2">
        <f ca="1">IFERROR(__xludf.DUMMYFUNCTION("""COMPUTED_VALUE"""),999)</f>
        <v>999</v>
      </c>
    </row>
    <row r="13017" spans="1:5" ht="13">
      <c r="A13017" s="2" t="str">
        <f ca="1">IFERROR(__xludf.DUMMYFUNCTION("""COMPUTED_VALUE"""),"Taa")</f>
        <v>Taa</v>
      </c>
      <c r="B13017" s="3">
        <f ca="1">IFERROR(__xludf.DUMMYFUNCTION("""COMPUTED_VALUE"""),999)</f>
        <v>999</v>
      </c>
      <c r="C13017" s="7">
        <f ca="1">IFERROR(__xludf.DUMMYFUNCTION("""COMPUTED_VALUE"""),999)</f>
        <v>999</v>
      </c>
      <c r="D13017" s="8">
        <f ca="1">IFERROR(__xludf.DUMMYFUNCTION("""COMPUTED_VALUE"""),999)</f>
        <v>999</v>
      </c>
      <c r="E13017" s="2">
        <f ca="1">IFERROR(__xludf.DUMMYFUNCTION("""COMPUTED_VALUE"""),999)</f>
        <v>999</v>
      </c>
    </row>
    <row r="13018" spans="1:5" ht="13">
      <c r="A13018" s="2" t="str">
        <f ca="1">IFERROR(__xludf.DUMMYFUNCTION("""COMPUTED_VALUE"""),"Talmadge, Arthur S.")</f>
        <v>Talmadge, Arthur S.</v>
      </c>
      <c r="B13018" s="2">
        <f ca="1">IFERROR(__xludf.DUMMYFUNCTION("""COMPUTED_VALUE"""),999)</f>
        <v>999</v>
      </c>
      <c r="C13018" s="2">
        <f ca="1">IFERROR(__xludf.DUMMYFUNCTION("""COMPUTED_VALUE"""),999)</f>
        <v>999</v>
      </c>
      <c r="D13018" s="8">
        <f ca="1">IFERROR(__xludf.DUMMYFUNCTION("""COMPUTED_VALUE"""),999)</f>
        <v>999</v>
      </c>
      <c r="E13018" s="2">
        <f ca="1">IFERROR(__xludf.DUMMYFUNCTION("""COMPUTED_VALUE"""),999)</f>
        <v>999</v>
      </c>
    </row>
    <row r="13019" spans="1:5" ht="13">
      <c r="A13019" s="2" t="str">
        <f ca="1">IFERROR(__xludf.DUMMYFUNCTION("""COMPUTED_VALUE"""),"Tappan, Howard")</f>
        <v>Tappan, Howard</v>
      </c>
      <c r="B13019" s="2">
        <f ca="1">IFERROR(__xludf.DUMMYFUNCTION("""COMPUTED_VALUE"""),999)</f>
        <v>999</v>
      </c>
      <c r="C13019" s="2">
        <f ca="1">IFERROR(__xludf.DUMMYFUNCTION("""COMPUTED_VALUE"""),999)</f>
        <v>999</v>
      </c>
      <c r="D13019" s="8">
        <f ca="1">IFERROR(__xludf.DUMMYFUNCTION("""COMPUTED_VALUE"""),999)</f>
        <v>999</v>
      </c>
      <c r="E13019" s="2">
        <f ca="1">IFERROR(__xludf.DUMMYFUNCTION("""COMPUTED_VALUE"""),999)</f>
        <v>999</v>
      </c>
    </row>
    <row r="13020" spans="1:5" ht="13">
      <c r="A13020" s="2" t="str">
        <f ca="1">IFERROR(__xludf.DUMMYFUNCTION("""COMPUTED_VALUE"""),"Tausky, Vilem")</f>
        <v>Tausky, Vilem</v>
      </c>
      <c r="B13020" s="2">
        <f ca="1">IFERROR(__xludf.DUMMYFUNCTION("""COMPUTED_VALUE"""),999)</f>
        <v>999</v>
      </c>
      <c r="C13020" s="2">
        <f ca="1">IFERROR(__xludf.DUMMYFUNCTION("""COMPUTED_VALUE"""),999)</f>
        <v>999</v>
      </c>
      <c r="D13020" s="8">
        <f ca="1">IFERROR(__xludf.DUMMYFUNCTION("""COMPUTED_VALUE"""),999)</f>
        <v>999</v>
      </c>
      <c r="E13020" s="2">
        <f ca="1">IFERROR(__xludf.DUMMYFUNCTION("""COMPUTED_VALUE"""),999)</f>
        <v>999</v>
      </c>
    </row>
    <row r="13021" spans="1:5" ht="13">
      <c r="A13021" s="2" t="str">
        <f ca="1">IFERROR(__xludf.DUMMYFUNCTION("""COMPUTED_VALUE"""),"Taylor (unknown)")</f>
        <v>Taylor (unknown)</v>
      </c>
      <c r="B13021" s="2">
        <f ca="1">IFERROR(__xludf.DUMMYFUNCTION("""COMPUTED_VALUE"""),999)</f>
        <v>999</v>
      </c>
      <c r="C13021" s="2">
        <f ca="1">IFERROR(__xludf.DUMMYFUNCTION("""COMPUTED_VALUE"""),999)</f>
        <v>999</v>
      </c>
      <c r="D13021" s="8">
        <f ca="1">IFERROR(__xludf.DUMMYFUNCTION("""COMPUTED_VALUE"""),999)</f>
        <v>999</v>
      </c>
      <c r="E13021" s="2">
        <f ca="1">IFERROR(__xludf.DUMMYFUNCTION("""COMPUTED_VALUE"""),999)</f>
        <v>999</v>
      </c>
    </row>
    <row r="13022" spans="1:5" ht="13">
      <c r="A13022" s="2" t="str">
        <f ca="1">IFERROR(__xludf.DUMMYFUNCTION("""COMPUTED_VALUE"""),"Taylor, B")</f>
        <v>Taylor, B</v>
      </c>
      <c r="B13022" s="2">
        <f ca="1">IFERROR(__xludf.DUMMYFUNCTION("""COMPUTED_VALUE"""),999)</f>
        <v>999</v>
      </c>
      <c r="C13022" s="2">
        <f ca="1">IFERROR(__xludf.DUMMYFUNCTION("""COMPUTED_VALUE"""),999)</f>
        <v>999</v>
      </c>
      <c r="D13022" s="8">
        <f ca="1">IFERROR(__xludf.DUMMYFUNCTION("""COMPUTED_VALUE"""),999)</f>
        <v>999</v>
      </c>
      <c r="E13022" s="2">
        <f ca="1">IFERROR(__xludf.DUMMYFUNCTION("""COMPUTED_VALUE"""),999)</f>
        <v>999</v>
      </c>
    </row>
    <row r="13023" spans="1:5" ht="13">
      <c r="A13023" s="2" t="str">
        <f ca="1">IFERROR(__xludf.DUMMYFUNCTION("""COMPUTED_VALUE"""),"Taylor, Corwin")</f>
        <v>Taylor, Corwin</v>
      </c>
      <c r="B13023" s="2">
        <f ca="1">IFERROR(__xludf.DUMMYFUNCTION("""COMPUTED_VALUE"""),999)</f>
        <v>999</v>
      </c>
      <c r="C13023" s="2">
        <f ca="1">IFERROR(__xludf.DUMMYFUNCTION("""COMPUTED_VALUE"""),999)</f>
        <v>999</v>
      </c>
      <c r="D13023" s="8">
        <f ca="1">IFERROR(__xludf.DUMMYFUNCTION("""COMPUTED_VALUE"""),999)</f>
        <v>999</v>
      </c>
      <c r="E13023" s="2">
        <f ca="1">IFERROR(__xludf.DUMMYFUNCTION("""COMPUTED_VALUE"""),999)</f>
        <v>999</v>
      </c>
    </row>
    <row r="13024" spans="1:5" ht="13">
      <c r="A13024" s="2" t="str">
        <f ca="1">IFERROR(__xludf.DUMMYFUNCTION("""COMPUTED_VALUE"""),"Taylor, Scott")</f>
        <v>Taylor, Scott</v>
      </c>
      <c r="B13024" s="2">
        <f ca="1">IFERROR(__xludf.DUMMYFUNCTION("""COMPUTED_VALUE"""),999)</f>
        <v>999</v>
      </c>
      <c r="C13024" s="2">
        <f ca="1">IFERROR(__xludf.DUMMYFUNCTION("""COMPUTED_VALUE"""),999)</f>
        <v>999</v>
      </c>
      <c r="D13024" s="8">
        <f ca="1">IFERROR(__xludf.DUMMYFUNCTION("""COMPUTED_VALUE"""),999)</f>
        <v>999</v>
      </c>
      <c r="E13024" s="2">
        <f ca="1">IFERROR(__xludf.DUMMYFUNCTION("""COMPUTED_VALUE"""),999)</f>
        <v>999</v>
      </c>
    </row>
    <row r="13025" spans="1:5" ht="13">
      <c r="A13025" s="2" t="str">
        <f ca="1">IFERROR(__xludf.DUMMYFUNCTION("""COMPUTED_VALUE"""),"TBD")</f>
        <v>TBD</v>
      </c>
      <c r="B13025" s="2">
        <f ca="1">IFERROR(__xludf.DUMMYFUNCTION("""COMPUTED_VALUE"""),999)</f>
        <v>999</v>
      </c>
      <c r="C13025" s="7">
        <f ca="1">IFERROR(__xludf.DUMMYFUNCTION("""COMPUTED_VALUE"""),999)</f>
        <v>999</v>
      </c>
      <c r="D13025" s="8">
        <f ca="1">IFERROR(__xludf.DUMMYFUNCTION("""COMPUTED_VALUE"""),999)</f>
        <v>999</v>
      </c>
      <c r="E13025" s="2">
        <f ca="1">IFERROR(__xludf.DUMMYFUNCTION("""COMPUTED_VALUE"""),999)</f>
        <v>999</v>
      </c>
    </row>
    <row r="13026" spans="1:5" ht="13">
      <c r="A13026" s="2" t="str">
        <f ca="1">IFERROR(__xludf.DUMMYFUNCTION("""COMPUTED_VALUE"""),"Tear, Robert")</f>
        <v>Tear, Robert</v>
      </c>
      <c r="B13026" s="2">
        <f ca="1">IFERROR(__xludf.DUMMYFUNCTION("""COMPUTED_VALUE"""),999)</f>
        <v>999</v>
      </c>
      <c r="C13026" s="2">
        <f ca="1">IFERROR(__xludf.DUMMYFUNCTION("""COMPUTED_VALUE"""),999)</f>
        <v>999</v>
      </c>
      <c r="D13026" s="8">
        <f ca="1">IFERROR(__xludf.DUMMYFUNCTION("""COMPUTED_VALUE"""),999)</f>
        <v>999</v>
      </c>
      <c r="E13026" s="2">
        <f ca="1">IFERROR(__xludf.DUMMYFUNCTION("""COMPUTED_VALUE"""),999)</f>
        <v>999</v>
      </c>
    </row>
    <row r="13027" spans="1:5" ht="13">
      <c r="A13027" s="2" t="str">
        <f ca="1">IFERROR(__xludf.DUMMYFUNCTION("""COMPUTED_VALUE"""),"Temperley, Nicholas")</f>
        <v>Temperley, Nicholas</v>
      </c>
      <c r="B13027" s="2">
        <f ca="1">IFERROR(__xludf.DUMMYFUNCTION("""COMPUTED_VALUE"""),999)</f>
        <v>999</v>
      </c>
      <c r="C13027" s="2">
        <f ca="1">IFERROR(__xludf.DUMMYFUNCTION("""COMPUTED_VALUE"""),999)</f>
        <v>999</v>
      </c>
      <c r="D13027" s="8">
        <f ca="1">IFERROR(__xludf.DUMMYFUNCTION("""COMPUTED_VALUE"""),999)</f>
        <v>999</v>
      </c>
      <c r="E13027" s="2">
        <f ca="1">IFERROR(__xludf.DUMMYFUNCTION("""COMPUTED_VALUE"""),999)</f>
        <v>999</v>
      </c>
    </row>
    <row r="13028" spans="1:5" ht="13">
      <c r="A13028" s="2" t="str">
        <f ca="1">IFERROR(__xludf.DUMMYFUNCTION("""COMPUTED_VALUE"""),"Terry, R. R. / Morehen, John")</f>
        <v>Terry, R. R. / Morehen, John</v>
      </c>
      <c r="B13028" s="2">
        <f ca="1">IFERROR(__xludf.DUMMYFUNCTION("""COMPUTED_VALUE"""),999)</f>
        <v>999</v>
      </c>
      <c r="C13028" s="2">
        <f ca="1">IFERROR(__xludf.DUMMYFUNCTION("""COMPUTED_VALUE"""),999)</f>
        <v>999</v>
      </c>
      <c r="D13028" s="8">
        <f ca="1">IFERROR(__xludf.DUMMYFUNCTION("""COMPUTED_VALUE"""),999)</f>
        <v>999</v>
      </c>
      <c r="E13028" s="2">
        <f ca="1">IFERROR(__xludf.DUMMYFUNCTION("""COMPUTED_VALUE"""),999)</f>
        <v>999</v>
      </c>
    </row>
    <row r="13029" spans="1:5" ht="13">
      <c r="A13029" s="2" t="str">
        <f ca="1">IFERROR(__xludf.DUMMYFUNCTION("""COMPUTED_VALUE"""),"Thai Traditional")</f>
        <v>Thai Traditional</v>
      </c>
      <c r="B13029" s="2">
        <f ca="1">IFERROR(__xludf.DUMMYFUNCTION("""COMPUTED_VALUE"""),999)</f>
        <v>999</v>
      </c>
      <c r="C13029" s="7">
        <f ca="1">IFERROR(__xludf.DUMMYFUNCTION("""COMPUTED_VALUE"""),999)</f>
        <v>999</v>
      </c>
      <c r="D13029" s="8">
        <f ca="1">IFERROR(__xludf.DUMMYFUNCTION("""COMPUTED_VALUE"""),999)</f>
        <v>999</v>
      </c>
      <c r="E13029" s="2">
        <f ca="1">IFERROR(__xludf.DUMMYFUNCTION("""COMPUTED_VALUE"""),999)</f>
        <v>999</v>
      </c>
    </row>
    <row r="13030" spans="1:5" ht="13">
      <c r="A13030" s="2" t="str">
        <f ca="1">IFERROR(__xludf.DUMMYFUNCTION("""COMPUTED_VALUE"""),"The Big Trouble")</f>
        <v>The Big Trouble</v>
      </c>
      <c r="B13030" s="3">
        <f ca="1">IFERROR(__xludf.DUMMYFUNCTION("""COMPUTED_VALUE"""),999)</f>
        <v>999</v>
      </c>
      <c r="C13030" s="7">
        <f ca="1">IFERROR(__xludf.DUMMYFUNCTION("""COMPUTED_VALUE"""),999)</f>
        <v>999</v>
      </c>
      <c r="D13030" s="8">
        <f ca="1">IFERROR(__xludf.DUMMYFUNCTION("""COMPUTED_VALUE"""),999)</f>
        <v>999</v>
      </c>
      <c r="E13030" s="2">
        <f ca="1">IFERROR(__xludf.DUMMYFUNCTION("""COMPUTED_VALUE"""),999)</f>
        <v>999</v>
      </c>
    </row>
    <row r="13031" spans="1:5" ht="13">
      <c r="A13031" s="2" t="str">
        <f ca="1">IFERROR(__xludf.DUMMYFUNCTION("""COMPUTED_VALUE"""),"The King's Singers")</f>
        <v>The King's Singers</v>
      </c>
      <c r="B13031" s="2">
        <f ca="1">IFERROR(__xludf.DUMMYFUNCTION("""COMPUTED_VALUE"""),999)</f>
        <v>999</v>
      </c>
      <c r="C13031" s="7">
        <f ca="1">IFERROR(__xludf.DUMMYFUNCTION("""COMPUTED_VALUE"""),999)</f>
        <v>999</v>
      </c>
      <c r="D13031" s="8">
        <f ca="1">IFERROR(__xludf.DUMMYFUNCTION("""COMPUTED_VALUE"""),999)</f>
        <v>999</v>
      </c>
      <c r="E13031" s="2">
        <f ca="1">IFERROR(__xludf.DUMMYFUNCTION("""COMPUTED_VALUE"""),999)</f>
        <v>999</v>
      </c>
    </row>
    <row r="13032" spans="1:5" ht="13">
      <c r="A13032" s="2" t="str">
        <f ca="1">IFERROR(__xludf.DUMMYFUNCTION("""COMPUTED_VALUE"""),"The Paper Days")</f>
        <v>The Paper Days</v>
      </c>
      <c r="B13032" s="2">
        <f ca="1">IFERROR(__xludf.DUMMYFUNCTION("""COMPUTED_VALUE"""),999)</f>
        <v>999</v>
      </c>
      <c r="C13032" s="7">
        <f ca="1">IFERROR(__xludf.DUMMYFUNCTION("""COMPUTED_VALUE"""),999)</f>
        <v>999</v>
      </c>
      <c r="D13032" s="8">
        <f ca="1">IFERROR(__xludf.DUMMYFUNCTION("""COMPUTED_VALUE"""),999)</f>
        <v>999</v>
      </c>
      <c r="E13032" s="2">
        <f ca="1">IFERROR(__xludf.DUMMYFUNCTION("""COMPUTED_VALUE"""),999)</f>
        <v>999</v>
      </c>
    </row>
    <row r="13033" spans="1:5" ht="13">
      <c r="A13033" s="2" t="str">
        <f ca="1">IFERROR(__xludf.DUMMYFUNCTION("""COMPUTED_VALUE"""),"The Social Harp")</f>
        <v>The Social Harp</v>
      </c>
      <c r="B13033" s="2">
        <f ca="1">IFERROR(__xludf.DUMMYFUNCTION("""COMPUTED_VALUE"""),999)</f>
        <v>999</v>
      </c>
      <c r="C13033" s="7">
        <f ca="1">IFERROR(__xludf.DUMMYFUNCTION("""COMPUTED_VALUE"""),999)</f>
        <v>999</v>
      </c>
      <c r="D13033" s="8">
        <f ca="1">IFERROR(__xludf.DUMMYFUNCTION("""COMPUTED_VALUE"""),999)</f>
        <v>999</v>
      </c>
      <c r="E13033" s="2">
        <f ca="1">IFERROR(__xludf.DUMMYFUNCTION("""COMPUTED_VALUE"""),999)</f>
        <v>999</v>
      </c>
    </row>
    <row r="13034" spans="1:5" ht="13">
      <c r="A13034" s="2" t="str">
        <f ca="1">IFERROR(__xludf.DUMMYFUNCTION("""COMPUTED_VALUE"""),"The Sousa Band")</f>
        <v>The Sousa Band</v>
      </c>
      <c r="B13034" s="2">
        <f ca="1">IFERROR(__xludf.DUMMYFUNCTION("""COMPUTED_VALUE"""),999)</f>
        <v>999</v>
      </c>
      <c r="C13034" s="7">
        <f ca="1">IFERROR(__xludf.DUMMYFUNCTION("""COMPUTED_VALUE"""),999)</f>
        <v>999</v>
      </c>
      <c r="D13034" s="8">
        <f ca="1">IFERROR(__xludf.DUMMYFUNCTION("""COMPUTED_VALUE"""),999)</f>
        <v>999</v>
      </c>
      <c r="E13034" s="2">
        <f ca="1">IFERROR(__xludf.DUMMYFUNCTION("""COMPUTED_VALUE"""),999)</f>
        <v>999</v>
      </c>
    </row>
    <row r="13035" spans="1:5" ht="13">
      <c r="A13035" s="2" t="str">
        <f ca="1">IFERROR(__xludf.DUMMYFUNCTION("""COMPUTED_VALUE"""),"The Vagabonds")</f>
        <v>The Vagabonds</v>
      </c>
      <c r="B13035" s="2">
        <f ca="1">IFERROR(__xludf.DUMMYFUNCTION("""COMPUTED_VALUE"""),999)</f>
        <v>999</v>
      </c>
      <c r="C13035" s="7">
        <f ca="1">IFERROR(__xludf.DUMMYFUNCTION("""COMPUTED_VALUE"""),999)</f>
        <v>999</v>
      </c>
      <c r="D13035" s="8">
        <f ca="1">IFERROR(__xludf.DUMMYFUNCTION("""COMPUTED_VALUE"""),999)</f>
        <v>999</v>
      </c>
      <c r="E13035" s="2">
        <f ca="1">IFERROR(__xludf.DUMMYFUNCTION("""COMPUTED_VALUE"""),999)</f>
        <v>999</v>
      </c>
    </row>
    <row r="13036" spans="1:5" ht="13">
      <c r="A13036" s="2" t="str">
        <f ca="1">IFERROR(__xludf.DUMMYFUNCTION("""COMPUTED_VALUE"""),"Thomas, D.")</f>
        <v>Thomas, D.</v>
      </c>
      <c r="B13036" s="2">
        <f ca="1">IFERROR(__xludf.DUMMYFUNCTION("""COMPUTED_VALUE"""),999)</f>
        <v>999</v>
      </c>
      <c r="C13036" s="7">
        <f ca="1">IFERROR(__xludf.DUMMYFUNCTION("""COMPUTED_VALUE"""),999)</f>
        <v>999</v>
      </c>
      <c r="D13036" s="8">
        <f ca="1">IFERROR(__xludf.DUMMYFUNCTION("""COMPUTED_VALUE"""),999)</f>
        <v>999</v>
      </c>
      <c r="E13036" s="2">
        <f ca="1">IFERROR(__xludf.DUMMYFUNCTION("""COMPUTED_VALUE"""),999)</f>
        <v>999</v>
      </c>
    </row>
    <row r="13037" spans="1:5" ht="13">
      <c r="A13037" s="2" t="str">
        <f ca="1">IFERROR(__xludf.DUMMYFUNCTION("""COMPUTED_VALUE"""),"Thomas, Dick")</f>
        <v>Thomas, Dick</v>
      </c>
      <c r="B13037" s="2">
        <f ca="1">IFERROR(__xludf.DUMMYFUNCTION("""COMPUTED_VALUE"""),999)</f>
        <v>999</v>
      </c>
      <c r="C13037" s="2">
        <f ca="1">IFERROR(__xludf.DUMMYFUNCTION("""COMPUTED_VALUE"""),999)</f>
        <v>999</v>
      </c>
      <c r="D13037" s="8">
        <f ca="1">IFERROR(__xludf.DUMMYFUNCTION("""COMPUTED_VALUE"""),999)</f>
        <v>999</v>
      </c>
      <c r="E13037" s="2">
        <f ca="1">IFERROR(__xludf.DUMMYFUNCTION("""COMPUTED_VALUE"""),999)</f>
        <v>999</v>
      </c>
    </row>
    <row r="13038" spans="1:5" ht="13">
      <c r="A13038" s="2" t="str">
        <f ca="1">IFERROR(__xludf.DUMMYFUNCTION("""COMPUTED_VALUE"""),"Thomas, Issac")</f>
        <v>Thomas, Issac</v>
      </c>
      <c r="B13038" s="2">
        <f ca="1">IFERROR(__xludf.DUMMYFUNCTION("""COMPUTED_VALUE"""),999)</f>
        <v>999</v>
      </c>
      <c r="C13038" s="2">
        <f ca="1">IFERROR(__xludf.DUMMYFUNCTION("""COMPUTED_VALUE"""),999)</f>
        <v>999</v>
      </c>
      <c r="D13038" s="8">
        <f ca="1">IFERROR(__xludf.DUMMYFUNCTION("""COMPUTED_VALUE"""),999)</f>
        <v>999</v>
      </c>
      <c r="E13038" s="2">
        <f ca="1">IFERROR(__xludf.DUMMYFUNCTION("""COMPUTED_VALUE"""),999)</f>
        <v>999</v>
      </c>
    </row>
    <row r="13039" spans="1:5" ht="13">
      <c r="A13039" s="2" t="str">
        <f ca="1">IFERROR(__xludf.DUMMYFUNCTION("""COMPUTED_VALUE"""),"Thomas, Paul")</f>
        <v>Thomas, Paul</v>
      </c>
      <c r="B13039" s="2">
        <f ca="1">IFERROR(__xludf.DUMMYFUNCTION("""COMPUTED_VALUE"""),999)</f>
        <v>999</v>
      </c>
      <c r="C13039" s="2">
        <f ca="1">IFERROR(__xludf.DUMMYFUNCTION("""COMPUTED_VALUE"""),999)</f>
        <v>999</v>
      </c>
      <c r="D13039" s="8">
        <f ca="1">IFERROR(__xludf.DUMMYFUNCTION("""COMPUTED_VALUE"""),999)</f>
        <v>999</v>
      </c>
      <c r="E13039" s="2">
        <f ca="1">IFERROR(__xludf.DUMMYFUNCTION("""COMPUTED_VALUE"""),999)</f>
        <v>999</v>
      </c>
    </row>
    <row r="13040" spans="1:5" ht="13">
      <c r="A13040" s="2" t="str">
        <f ca="1">IFERROR(__xludf.DUMMYFUNCTION("""COMPUTED_VALUE"""),"Thompson (unknown)")</f>
        <v>Thompson (unknown)</v>
      </c>
      <c r="B13040" s="2">
        <f ca="1">IFERROR(__xludf.DUMMYFUNCTION("""COMPUTED_VALUE"""),999)</f>
        <v>999</v>
      </c>
      <c r="C13040" s="2">
        <f ca="1">IFERROR(__xludf.DUMMYFUNCTION("""COMPUTED_VALUE"""),999)</f>
        <v>999</v>
      </c>
      <c r="D13040" s="8">
        <f ca="1">IFERROR(__xludf.DUMMYFUNCTION("""COMPUTED_VALUE"""),999)</f>
        <v>999</v>
      </c>
      <c r="E13040" s="2">
        <f ca="1">IFERROR(__xludf.DUMMYFUNCTION("""COMPUTED_VALUE"""),999)</f>
        <v>999</v>
      </c>
    </row>
    <row r="13041" spans="1:5" ht="13">
      <c r="A13041" s="2" t="str">
        <f ca="1">IFERROR(__xludf.DUMMYFUNCTION("""COMPUTED_VALUE"""),"Thompson, JM")</f>
        <v>Thompson, JM</v>
      </c>
      <c r="B13041" s="3">
        <f ca="1">IFERROR(__xludf.DUMMYFUNCTION("""COMPUTED_VALUE"""),999)</f>
        <v>999</v>
      </c>
      <c r="C13041" s="7">
        <f ca="1">IFERROR(__xludf.DUMMYFUNCTION("""COMPUTED_VALUE"""),999)</f>
        <v>999</v>
      </c>
      <c r="D13041" s="8">
        <f ca="1">IFERROR(__xludf.DUMMYFUNCTION("""COMPUTED_VALUE"""),999)</f>
        <v>999</v>
      </c>
      <c r="E13041" s="2">
        <f ca="1">IFERROR(__xludf.DUMMYFUNCTION("""COMPUTED_VALUE"""),999)</f>
        <v>999</v>
      </c>
    </row>
    <row r="13042" spans="1:5" ht="13">
      <c r="A13042" s="2" t="str">
        <f ca="1">IFERROR(__xludf.DUMMYFUNCTION("""COMPUTED_VALUE"""),"Thorsen, David")</f>
        <v>Thorsen, David</v>
      </c>
      <c r="B13042" s="2">
        <f ca="1">IFERROR(__xludf.DUMMYFUNCTION("""COMPUTED_VALUE"""),999)</f>
        <v>999</v>
      </c>
      <c r="C13042" s="2">
        <f ca="1">IFERROR(__xludf.DUMMYFUNCTION("""COMPUTED_VALUE"""),999)</f>
        <v>999</v>
      </c>
      <c r="D13042" s="8">
        <f ca="1">IFERROR(__xludf.DUMMYFUNCTION("""COMPUTED_VALUE"""),999)</f>
        <v>999</v>
      </c>
      <c r="E13042" s="2">
        <f ca="1">IFERROR(__xludf.DUMMYFUNCTION("""COMPUTED_VALUE"""),999)</f>
        <v>999</v>
      </c>
    </row>
    <row r="13043" spans="1:5" ht="13">
      <c r="A13043" s="2" t="str">
        <f ca="1">IFERROR(__xludf.DUMMYFUNCTION("""COMPUTED_VALUE"""),"Tidball (unknown)")</f>
        <v>Tidball (unknown)</v>
      </c>
      <c r="B13043" s="2">
        <f ca="1">IFERROR(__xludf.DUMMYFUNCTION("""COMPUTED_VALUE"""),999)</f>
        <v>999</v>
      </c>
      <c r="C13043" s="7">
        <f ca="1">IFERROR(__xludf.DUMMYFUNCTION("""COMPUTED_VALUE"""),999)</f>
        <v>999</v>
      </c>
      <c r="D13043" s="8">
        <f ca="1">IFERROR(__xludf.DUMMYFUNCTION("""COMPUTED_VALUE"""),999)</f>
        <v>999</v>
      </c>
      <c r="E13043" s="2">
        <f ca="1">IFERROR(__xludf.DUMMYFUNCTION("""COMPUTED_VALUE"""),999)</f>
        <v>999</v>
      </c>
    </row>
    <row r="13044" spans="1:5" ht="13">
      <c r="A13044" s="2" t="str">
        <f ca="1">IFERROR(__xludf.DUMMYFUNCTION("""COMPUTED_VALUE"""),"Tkach, Peter")</f>
        <v>Tkach, Peter</v>
      </c>
      <c r="B13044" s="2">
        <f ca="1">IFERROR(__xludf.DUMMYFUNCTION("""COMPUTED_VALUE"""),999)</f>
        <v>999</v>
      </c>
      <c r="C13044" s="2">
        <f ca="1">IFERROR(__xludf.DUMMYFUNCTION("""COMPUTED_VALUE"""),999)</f>
        <v>999</v>
      </c>
      <c r="D13044" s="8">
        <f ca="1">IFERROR(__xludf.DUMMYFUNCTION("""COMPUTED_VALUE"""),999)</f>
        <v>999</v>
      </c>
      <c r="E13044" s="2">
        <f ca="1">IFERROR(__xludf.DUMMYFUNCTION("""COMPUTED_VALUE"""),999)</f>
        <v>999</v>
      </c>
    </row>
    <row r="13045" spans="1:5" ht="13">
      <c r="A13045" s="2" t="str">
        <f ca="1">IFERROR(__xludf.DUMMYFUNCTION("""COMPUTED_VALUE"""),"Tkach, Zlata")</f>
        <v>Tkach, Zlata</v>
      </c>
      <c r="B13045" s="2">
        <f ca="1">IFERROR(__xludf.DUMMYFUNCTION("""COMPUTED_VALUE"""),999)</f>
        <v>999</v>
      </c>
      <c r="C13045" s="2">
        <f ca="1">IFERROR(__xludf.DUMMYFUNCTION("""COMPUTED_VALUE"""),999)</f>
        <v>999</v>
      </c>
      <c r="D13045" s="8">
        <f ca="1">IFERROR(__xludf.DUMMYFUNCTION("""COMPUTED_VALUE"""),999)</f>
        <v>999</v>
      </c>
      <c r="E13045" s="2">
        <f ca="1">IFERROR(__xludf.DUMMYFUNCTION("""COMPUTED_VALUE"""),999)</f>
        <v>999</v>
      </c>
    </row>
    <row r="13046" spans="1:5" ht="13">
      <c r="A13046" s="2" t="str">
        <f ca="1">IFERROR(__xludf.DUMMYFUNCTION("""COMPUTED_VALUE"""),"Townsend, Will")</f>
        <v>Townsend, Will</v>
      </c>
      <c r="B13046" s="2">
        <f ca="1">IFERROR(__xludf.DUMMYFUNCTION("""COMPUTED_VALUE"""),999)</f>
        <v>999</v>
      </c>
      <c r="C13046" s="2">
        <f ca="1">IFERROR(__xludf.DUMMYFUNCTION("""COMPUTED_VALUE"""),999)</f>
        <v>999</v>
      </c>
      <c r="D13046" s="8">
        <f ca="1">IFERROR(__xludf.DUMMYFUNCTION("""COMPUTED_VALUE"""),999)</f>
        <v>999</v>
      </c>
      <c r="E13046" s="2">
        <f ca="1">IFERROR(__xludf.DUMMYFUNCTION("""COMPUTED_VALUE"""),999)</f>
        <v>999</v>
      </c>
    </row>
    <row r="13047" spans="1:5" ht="13">
      <c r="A13047" s="2" t="str">
        <f ca="1">IFERROR(__xludf.DUMMYFUNCTION("""COMPUTED_VALUE"""),"Trachsel, Andrew")</f>
        <v>Trachsel, Andrew</v>
      </c>
      <c r="B13047" s="2">
        <f ca="1">IFERROR(__xludf.DUMMYFUNCTION("""COMPUTED_VALUE"""),999)</f>
        <v>999</v>
      </c>
      <c r="C13047" s="2">
        <f ca="1">IFERROR(__xludf.DUMMYFUNCTION("""COMPUTED_VALUE"""),999)</f>
        <v>999</v>
      </c>
      <c r="D13047" s="8">
        <f ca="1">IFERROR(__xludf.DUMMYFUNCTION("""COMPUTED_VALUE"""),999)</f>
        <v>999</v>
      </c>
      <c r="E13047" s="2">
        <f ca="1">IFERROR(__xludf.DUMMYFUNCTION("""COMPUTED_VALUE"""),999)</f>
        <v>999</v>
      </c>
    </row>
    <row r="13048" spans="1:5" ht="13">
      <c r="A13048" s="2" t="str">
        <f ca="1">IFERROR(__xludf.DUMMYFUNCTION("""COMPUTED_VALUE"""),"Traditional")</f>
        <v>Traditional</v>
      </c>
      <c r="B13048" s="2">
        <f ca="1">IFERROR(__xludf.DUMMYFUNCTION("""COMPUTED_VALUE"""),999)</f>
        <v>999</v>
      </c>
      <c r="C13048" s="7">
        <f ca="1">IFERROR(__xludf.DUMMYFUNCTION("""COMPUTED_VALUE"""),999)</f>
        <v>999</v>
      </c>
      <c r="D13048" s="8">
        <f ca="1">IFERROR(__xludf.DUMMYFUNCTION("""COMPUTED_VALUE"""),999)</f>
        <v>999</v>
      </c>
      <c r="E13048" s="2">
        <f ca="1">IFERROR(__xludf.DUMMYFUNCTION("""COMPUTED_VALUE"""),999)</f>
        <v>999</v>
      </c>
    </row>
    <row r="13049" spans="1:5" ht="13">
      <c r="A13049" s="2" t="str">
        <f ca="1">IFERROR(__xludf.DUMMYFUNCTION("""COMPUTED_VALUE"""),"Traditional - Acadian Folk Song")</f>
        <v>Traditional - Acadian Folk Song</v>
      </c>
      <c r="B13049" s="2">
        <f ca="1">IFERROR(__xludf.DUMMYFUNCTION("""COMPUTED_VALUE"""),999)</f>
        <v>999</v>
      </c>
      <c r="C13049" s="7">
        <f ca="1">IFERROR(__xludf.DUMMYFUNCTION("""COMPUTED_VALUE"""),999)</f>
        <v>999</v>
      </c>
      <c r="D13049" s="8">
        <f ca="1">IFERROR(__xludf.DUMMYFUNCTION("""COMPUTED_VALUE"""),999)</f>
        <v>999</v>
      </c>
      <c r="E13049" s="2">
        <f ca="1">IFERROR(__xludf.DUMMYFUNCTION("""COMPUTED_VALUE"""),999)</f>
        <v>999</v>
      </c>
    </row>
    <row r="13050" spans="1:5" ht="13">
      <c r="A13050" s="2" t="str">
        <f ca="1">IFERROR(__xludf.DUMMYFUNCTION("""COMPUTED_VALUE"""),"Traditional - African")</f>
        <v>Traditional - African</v>
      </c>
      <c r="B13050" s="2">
        <f ca="1">IFERROR(__xludf.DUMMYFUNCTION("""COMPUTED_VALUE"""),999)</f>
        <v>999</v>
      </c>
      <c r="C13050" s="7">
        <f ca="1">IFERROR(__xludf.DUMMYFUNCTION("""COMPUTED_VALUE"""),999)</f>
        <v>999</v>
      </c>
      <c r="D13050" s="8">
        <f ca="1">IFERROR(__xludf.DUMMYFUNCTION("""COMPUTED_VALUE"""),999)</f>
        <v>999</v>
      </c>
      <c r="E13050" s="2">
        <f ca="1">IFERROR(__xludf.DUMMYFUNCTION("""COMPUTED_VALUE"""),999)</f>
        <v>999</v>
      </c>
    </row>
    <row r="13051" spans="1:5" ht="13">
      <c r="A13051" s="8" t="str">
        <f ca="1">IFERROR(__xludf.DUMMYFUNCTION("""COMPUTED_VALUE"""),"Traditional - African American Folk Song")</f>
        <v>Traditional - African American Folk Song</v>
      </c>
      <c r="B13051" s="2">
        <f ca="1">IFERROR(__xludf.DUMMYFUNCTION("""COMPUTED_VALUE"""),999)</f>
        <v>999</v>
      </c>
      <c r="C13051" s="7">
        <f ca="1">IFERROR(__xludf.DUMMYFUNCTION("""COMPUTED_VALUE"""),999)</f>
        <v>999</v>
      </c>
      <c r="D13051" s="8">
        <f ca="1">IFERROR(__xludf.DUMMYFUNCTION("""COMPUTED_VALUE"""),999)</f>
        <v>999</v>
      </c>
      <c r="E13051" s="2">
        <f ca="1">IFERROR(__xludf.DUMMYFUNCTION("""COMPUTED_VALUE"""),999)</f>
        <v>999</v>
      </c>
    </row>
    <row r="13052" spans="1:5" ht="13">
      <c r="A13052" s="2" t="str">
        <f ca="1">IFERROR(__xludf.DUMMYFUNCTION("""COMPUTED_VALUE"""),"Traditional - African American Spiritual")</f>
        <v>Traditional - African American Spiritual</v>
      </c>
      <c r="B13052" s="2">
        <f ca="1">IFERROR(__xludf.DUMMYFUNCTION("""COMPUTED_VALUE"""),999)</f>
        <v>999</v>
      </c>
      <c r="C13052" s="7">
        <f ca="1">IFERROR(__xludf.DUMMYFUNCTION("""COMPUTED_VALUE"""),999)</f>
        <v>999</v>
      </c>
      <c r="D13052" s="8">
        <f ca="1">IFERROR(__xludf.DUMMYFUNCTION("""COMPUTED_VALUE"""),999)</f>
        <v>999</v>
      </c>
      <c r="E13052" s="2">
        <f ca="1">IFERROR(__xludf.DUMMYFUNCTION("""COMPUTED_VALUE"""),999)</f>
        <v>999</v>
      </c>
    </row>
    <row r="13053" spans="1:5" ht="13">
      <c r="A13053" s="8" t="str">
        <f ca="1">IFERROR(__xludf.DUMMYFUNCTION("""COMPUTED_VALUE"""),"Traditional - African Folk Song")</f>
        <v>Traditional - African Folk Song</v>
      </c>
      <c r="B13053" s="2">
        <f ca="1">IFERROR(__xludf.DUMMYFUNCTION("""COMPUTED_VALUE"""),999)</f>
        <v>999</v>
      </c>
      <c r="C13053" s="7">
        <f ca="1">IFERROR(__xludf.DUMMYFUNCTION("""COMPUTED_VALUE"""),999)</f>
        <v>999</v>
      </c>
      <c r="D13053" s="8">
        <f ca="1">IFERROR(__xludf.DUMMYFUNCTION("""COMPUTED_VALUE"""),999)</f>
        <v>999</v>
      </c>
      <c r="E13053" s="2">
        <f ca="1">IFERROR(__xludf.DUMMYFUNCTION("""COMPUTED_VALUE"""),999)</f>
        <v>999</v>
      </c>
    </row>
    <row r="13054" spans="1:5" ht="13">
      <c r="A13054" s="2" t="str">
        <f ca="1">IFERROR(__xludf.DUMMYFUNCTION("""COMPUTED_VALUE"""),"Traditional - Afro-Cuban Chant")</f>
        <v>Traditional - Afro-Cuban Chant</v>
      </c>
      <c r="B13054" s="2">
        <f ca="1">IFERROR(__xludf.DUMMYFUNCTION("""COMPUTED_VALUE"""),999)</f>
        <v>999</v>
      </c>
      <c r="C13054" s="7">
        <f ca="1">IFERROR(__xludf.DUMMYFUNCTION("""COMPUTED_VALUE"""),999)</f>
        <v>999</v>
      </c>
      <c r="D13054" s="8">
        <f ca="1">IFERROR(__xludf.DUMMYFUNCTION("""COMPUTED_VALUE"""),999)</f>
        <v>999</v>
      </c>
      <c r="E13054" s="2">
        <f ca="1">IFERROR(__xludf.DUMMYFUNCTION("""COMPUTED_VALUE"""),999)</f>
        <v>999</v>
      </c>
    </row>
    <row r="13055" spans="1:5" ht="13">
      <c r="A13055" s="2" t="str">
        <f ca="1">IFERROR(__xludf.DUMMYFUNCTION("""COMPUTED_VALUE"""),"Traditional - Afro-Peruvian Folk Song")</f>
        <v>Traditional - Afro-Peruvian Folk Song</v>
      </c>
      <c r="B13055" s="2">
        <f ca="1">IFERROR(__xludf.DUMMYFUNCTION("""COMPUTED_VALUE"""),999)</f>
        <v>999</v>
      </c>
      <c r="C13055" s="7">
        <f ca="1">IFERROR(__xludf.DUMMYFUNCTION("""COMPUTED_VALUE"""),999)</f>
        <v>999</v>
      </c>
      <c r="D13055" s="8">
        <f ca="1">IFERROR(__xludf.DUMMYFUNCTION("""COMPUTED_VALUE"""),999)</f>
        <v>999</v>
      </c>
      <c r="E13055" s="2">
        <f ca="1">IFERROR(__xludf.DUMMYFUNCTION("""COMPUTED_VALUE"""),999)</f>
        <v>999</v>
      </c>
    </row>
    <row r="13056" spans="1:5" ht="13">
      <c r="A13056" s="2" t="str">
        <f ca="1">IFERROR(__xludf.DUMMYFUNCTION("""COMPUTED_VALUE"""),"Traditional - American")</f>
        <v>Traditional - American</v>
      </c>
      <c r="B13056" s="2">
        <f ca="1">IFERROR(__xludf.DUMMYFUNCTION("""COMPUTED_VALUE"""),999)</f>
        <v>999</v>
      </c>
      <c r="C13056" s="7">
        <f ca="1">IFERROR(__xludf.DUMMYFUNCTION("""COMPUTED_VALUE"""),999)</f>
        <v>999</v>
      </c>
      <c r="D13056" s="8">
        <f ca="1">IFERROR(__xludf.DUMMYFUNCTION("""COMPUTED_VALUE"""),999)</f>
        <v>999</v>
      </c>
      <c r="E13056" s="2">
        <f ca="1">IFERROR(__xludf.DUMMYFUNCTION("""COMPUTED_VALUE"""),999)</f>
        <v>999</v>
      </c>
    </row>
    <row r="13057" spans="1:5" ht="13">
      <c r="A13057" s="2" t="str">
        <f ca="1">IFERROR(__xludf.DUMMYFUNCTION("""COMPUTED_VALUE"""),"Traditional - American Country Dancing Song")</f>
        <v>Traditional - American Country Dancing Song</v>
      </c>
      <c r="B13057" s="2">
        <f ca="1">IFERROR(__xludf.DUMMYFUNCTION("""COMPUTED_VALUE"""),999)</f>
        <v>999</v>
      </c>
      <c r="C13057" s="7">
        <f ca="1">IFERROR(__xludf.DUMMYFUNCTION("""COMPUTED_VALUE"""),999)</f>
        <v>999</v>
      </c>
      <c r="D13057" s="8">
        <f ca="1">IFERROR(__xludf.DUMMYFUNCTION("""COMPUTED_VALUE"""),999)</f>
        <v>999</v>
      </c>
      <c r="E13057" s="2">
        <f ca="1">IFERROR(__xludf.DUMMYFUNCTION("""COMPUTED_VALUE"""),999)</f>
        <v>999</v>
      </c>
    </row>
    <row r="13058" spans="1:5" ht="13">
      <c r="A13058" s="2" t="str">
        <f ca="1">IFERROR(__xludf.DUMMYFUNCTION("""COMPUTED_VALUE"""),"Traditional - American Fiddle Tune")</f>
        <v>Traditional - American Fiddle Tune</v>
      </c>
      <c r="B13058" s="2">
        <f ca="1">IFERROR(__xludf.DUMMYFUNCTION("""COMPUTED_VALUE"""),999)</f>
        <v>999</v>
      </c>
      <c r="C13058" s="7">
        <f ca="1">IFERROR(__xludf.DUMMYFUNCTION("""COMPUTED_VALUE"""),999)</f>
        <v>999</v>
      </c>
      <c r="D13058" s="8">
        <f ca="1">IFERROR(__xludf.DUMMYFUNCTION("""COMPUTED_VALUE"""),999)</f>
        <v>999</v>
      </c>
      <c r="E13058" s="2">
        <f ca="1">IFERROR(__xludf.DUMMYFUNCTION("""COMPUTED_VALUE"""),999)</f>
        <v>999</v>
      </c>
    </row>
    <row r="13059" spans="1:5" ht="13">
      <c r="A13059" s="2" t="str">
        <f ca="1">IFERROR(__xludf.DUMMYFUNCTION("""COMPUTED_VALUE"""),"Traditional - American Folk Hymn")</f>
        <v>Traditional - American Folk Hymn</v>
      </c>
      <c r="B13059" s="2">
        <f ca="1">IFERROR(__xludf.DUMMYFUNCTION("""COMPUTED_VALUE"""),999)</f>
        <v>999</v>
      </c>
      <c r="C13059" s="7">
        <f ca="1">IFERROR(__xludf.DUMMYFUNCTION("""COMPUTED_VALUE"""),999)</f>
        <v>999</v>
      </c>
      <c r="D13059" s="8">
        <f ca="1">IFERROR(__xludf.DUMMYFUNCTION("""COMPUTED_VALUE"""),999)</f>
        <v>999</v>
      </c>
      <c r="E13059" s="2">
        <f ca="1">IFERROR(__xludf.DUMMYFUNCTION("""COMPUTED_VALUE"""),999)</f>
        <v>999</v>
      </c>
    </row>
    <row r="13060" spans="1:5" ht="13">
      <c r="A13060" s="8" t="str">
        <f ca="1">IFERROR(__xludf.DUMMYFUNCTION("""COMPUTED_VALUE"""),"Traditional - American Folk Song")</f>
        <v>Traditional - American Folk Song</v>
      </c>
      <c r="B13060" s="2">
        <f ca="1">IFERROR(__xludf.DUMMYFUNCTION("""COMPUTED_VALUE"""),999)</f>
        <v>999</v>
      </c>
      <c r="C13060" s="7">
        <f ca="1">IFERROR(__xludf.DUMMYFUNCTION("""COMPUTED_VALUE"""),999)</f>
        <v>999</v>
      </c>
      <c r="D13060" s="8">
        <f ca="1">IFERROR(__xludf.DUMMYFUNCTION("""COMPUTED_VALUE"""),999)</f>
        <v>999</v>
      </c>
      <c r="E13060" s="2">
        <f ca="1">IFERROR(__xludf.DUMMYFUNCTION("""COMPUTED_VALUE"""),999)</f>
        <v>999</v>
      </c>
    </row>
    <row r="13061" spans="1:5" ht="13">
      <c r="A13061" s="8" t="str">
        <f ca="1">IFERROR(__xludf.DUMMYFUNCTION("""COMPUTED_VALUE"""),"Traditional - American Hymn")</f>
        <v>Traditional - American Hymn</v>
      </c>
      <c r="B13061" s="2">
        <f ca="1">IFERROR(__xludf.DUMMYFUNCTION("""COMPUTED_VALUE"""),999)</f>
        <v>999</v>
      </c>
      <c r="C13061" s="7">
        <f ca="1">IFERROR(__xludf.DUMMYFUNCTION("""COMPUTED_VALUE"""),999)</f>
        <v>999</v>
      </c>
      <c r="D13061" s="8">
        <f ca="1">IFERROR(__xludf.DUMMYFUNCTION("""COMPUTED_VALUE"""),999)</f>
        <v>999</v>
      </c>
      <c r="E13061" s="2">
        <f ca="1">IFERROR(__xludf.DUMMYFUNCTION("""COMPUTED_VALUE"""),999)</f>
        <v>999</v>
      </c>
    </row>
    <row r="13062" spans="1:5" ht="13">
      <c r="A13062" s="2" t="str">
        <f ca="1">IFERROR(__xludf.DUMMYFUNCTION("""COMPUTED_VALUE"""),"Traditional - American Sea Shanty")</f>
        <v>Traditional - American Sea Shanty</v>
      </c>
      <c r="B13062" s="2">
        <f ca="1">IFERROR(__xludf.DUMMYFUNCTION("""COMPUTED_VALUE"""),999)</f>
        <v>999</v>
      </c>
      <c r="C13062" s="7">
        <f ca="1">IFERROR(__xludf.DUMMYFUNCTION("""COMPUTED_VALUE"""),999)</f>
        <v>999</v>
      </c>
      <c r="D13062" s="8">
        <f ca="1">IFERROR(__xludf.DUMMYFUNCTION("""COMPUTED_VALUE"""),999)</f>
        <v>999</v>
      </c>
      <c r="E13062" s="2">
        <f ca="1">IFERROR(__xludf.DUMMYFUNCTION("""COMPUTED_VALUE"""),999)</f>
        <v>999</v>
      </c>
    </row>
    <row r="13063" spans="1:5" ht="13">
      <c r="A13063" s="2" t="str">
        <f ca="1">IFERROR(__xludf.DUMMYFUNCTION("""COMPUTED_VALUE"""),"Traditional - Ancient Chinese Poem and Traditional Tune")</f>
        <v>Traditional - Ancient Chinese Poem and Traditional Tune</v>
      </c>
      <c r="B13063" s="2">
        <f ca="1">IFERROR(__xludf.DUMMYFUNCTION("""COMPUTED_VALUE"""),999)</f>
        <v>999</v>
      </c>
      <c r="C13063" s="7">
        <f ca="1">IFERROR(__xludf.DUMMYFUNCTION("""COMPUTED_VALUE"""),999)</f>
        <v>999</v>
      </c>
      <c r="D13063" s="8">
        <f ca="1">IFERROR(__xludf.DUMMYFUNCTION("""COMPUTED_VALUE"""),999)</f>
        <v>999</v>
      </c>
      <c r="E13063" s="2">
        <f ca="1">IFERROR(__xludf.DUMMYFUNCTION("""COMPUTED_VALUE"""),999)</f>
        <v>999</v>
      </c>
    </row>
    <row r="13064" spans="1:5" ht="13">
      <c r="A13064" s="8" t="str">
        <f ca="1">IFERROR(__xludf.DUMMYFUNCTION("""COMPUTED_VALUE"""),"Traditional - Andalusian / Arabic Folk Song")</f>
        <v>Traditional - Andalusian / Arabic Folk Song</v>
      </c>
      <c r="B13064" s="3">
        <f ca="1">IFERROR(__xludf.DUMMYFUNCTION("""COMPUTED_VALUE"""),999)</f>
        <v>999</v>
      </c>
      <c r="C13064" s="7">
        <f ca="1">IFERROR(__xludf.DUMMYFUNCTION("""COMPUTED_VALUE"""),999)</f>
        <v>999</v>
      </c>
      <c r="D13064" s="8">
        <f ca="1">IFERROR(__xludf.DUMMYFUNCTION("""COMPUTED_VALUE"""),999)</f>
        <v>999</v>
      </c>
      <c r="E13064" s="2">
        <f ca="1">IFERROR(__xludf.DUMMYFUNCTION("""COMPUTED_VALUE"""),999)</f>
        <v>999</v>
      </c>
    </row>
    <row r="13065" spans="1:5" ht="13">
      <c r="A13065" s="2" t="str">
        <f ca="1">IFERROR(__xludf.DUMMYFUNCTION("""COMPUTED_VALUE"""),"Traditional - Andalusian Folk Song")</f>
        <v>Traditional - Andalusian Folk Song</v>
      </c>
      <c r="B13065" s="2">
        <f ca="1">IFERROR(__xludf.DUMMYFUNCTION("""COMPUTED_VALUE"""),999)</f>
        <v>999</v>
      </c>
      <c r="C13065" s="7">
        <f ca="1">IFERROR(__xludf.DUMMYFUNCTION("""COMPUTED_VALUE"""),999)</f>
        <v>999</v>
      </c>
      <c r="D13065" s="8">
        <f ca="1">IFERROR(__xludf.DUMMYFUNCTION("""COMPUTED_VALUE"""),999)</f>
        <v>999</v>
      </c>
      <c r="E13065" s="2">
        <f ca="1">IFERROR(__xludf.DUMMYFUNCTION("""COMPUTED_VALUE"""),999)</f>
        <v>999</v>
      </c>
    </row>
    <row r="13066" spans="1:5" ht="13">
      <c r="A13066" s="2" t="str">
        <f ca="1">IFERROR(__xludf.DUMMYFUNCTION("""COMPUTED_VALUE"""),"Traditional - Andean, Ecuador, Peru Folk Songs")</f>
        <v>Traditional - Andean, Ecuador, Peru Folk Songs</v>
      </c>
      <c r="B13066" s="2">
        <f ca="1">IFERROR(__xludf.DUMMYFUNCTION("""COMPUTED_VALUE"""),999)</f>
        <v>999</v>
      </c>
      <c r="C13066" s="7">
        <f ca="1">IFERROR(__xludf.DUMMYFUNCTION("""COMPUTED_VALUE"""),999)</f>
        <v>999</v>
      </c>
      <c r="D13066" s="8">
        <f ca="1">IFERROR(__xludf.DUMMYFUNCTION("""COMPUTED_VALUE"""),999)</f>
        <v>999</v>
      </c>
      <c r="E13066" s="2">
        <f ca="1">IFERROR(__xludf.DUMMYFUNCTION("""COMPUTED_VALUE"""),999)</f>
        <v>999</v>
      </c>
    </row>
    <row r="13067" spans="1:5" ht="13">
      <c r="A13067" s="8" t="str">
        <f ca="1">IFERROR(__xludf.DUMMYFUNCTION("""COMPUTED_VALUE"""),"Traditional - Anishinaabeg Song")</f>
        <v>Traditional - Anishinaabeg Song</v>
      </c>
      <c r="B13067" s="2">
        <f ca="1">IFERROR(__xludf.DUMMYFUNCTION("""COMPUTED_VALUE"""),999)</f>
        <v>999</v>
      </c>
      <c r="C13067" s="7">
        <f ca="1">IFERROR(__xludf.DUMMYFUNCTION("""COMPUTED_VALUE"""),999)</f>
        <v>999</v>
      </c>
      <c r="D13067" s="8">
        <f ca="1">IFERROR(__xludf.DUMMYFUNCTION("""COMPUTED_VALUE"""),999)</f>
        <v>999</v>
      </c>
      <c r="E13067" s="2">
        <f ca="1">IFERROR(__xludf.DUMMYFUNCTION("""COMPUTED_VALUE"""),999)</f>
        <v>999</v>
      </c>
    </row>
    <row r="13068" spans="1:5" ht="13">
      <c r="A13068" s="8" t="str">
        <f ca="1">IFERROR(__xludf.DUMMYFUNCTION("""COMPUTED_VALUE"""),"Traditional - Appalachian Folk Song")</f>
        <v>Traditional - Appalachian Folk Song</v>
      </c>
      <c r="B13068" s="2">
        <f ca="1">IFERROR(__xludf.DUMMYFUNCTION("""COMPUTED_VALUE"""),999)</f>
        <v>999</v>
      </c>
      <c r="C13068" s="7">
        <f ca="1">IFERROR(__xludf.DUMMYFUNCTION("""COMPUTED_VALUE"""),999)</f>
        <v>999</v>
      </c>
      <c r="D13068" s="8">
        <f ca="1">IFERROR(__xludf.DUMMYFUNCTION("""COMPUTED_VALUE"""),999)</f>
        <v>999</v>
      </c>
      <c r="E13068" s="2">
        <f ca="1">IFERROR(__xludf.DUMMYFUNCTION("""COMPUTED_VALUE"""),999)</f>
        <v>999</v>
      </c>
    </row>
    <row r="13069" spans="1:5" ht="13">
      <c r="A13069" s="8" t="str">
        <f ca="1">IFERROR(__xludf.DUMMYFUNCTION("""COMPUTED_VALUE"""),"Traditional - Argentinan Folk Song")</f>
        <v>Traditional - Argentinan Folk Song</v>
      </c>
      <c r="B13069" s="2">
        <f ca="1">IFERROR(__xludf.DUMMYFUNCTION("""COMPUTED_VALUE"""),999)</f>
        <v>999</v>
      </c>
      <c r="C13069" s="7">
        <f ca="1">IFERROR(__xludf.DUMMYFUNCTION("""COMPUTED_VALUE"""),999)</f>
        <v>999</v>
      </c>
      <c r="D13069" s="8">
        <f ca="1">IFERROR(__xludf.DUMMYFUNCTION("""COMPUTED_VALUE"""),999)</f>
        <v>999</v>
      </c>
      <c r="E13069" s="2">
        <f ca="1">IFERROR(__xludf.DUMMYFUNCTION("""COMPUTED_VALUE"""),999)</f>
        <v>999</v>
      </c>
    </row>
    <row r="13070" spans="1:5" ht="13">
      <c r="A13070" s="8" t="str">
        <f ca="1">IFERROR(__xludf.DUMMYFUNCTION("""COMPUTED_VALUE"""),"Traditional - Armenian Folk Song")</f>
        <v>Traditional - Armenian Folk Song</v>
      </c>
      <c r="B13070" s="2">
        <f ca="1">IFERROR(__xludf.DUMMYFUNCTION("""COMPUTED_VALUE"""),999)</f>
        <v>999</v>
      </c>
      <c r="C13070" s="7">
        <f ca="1">IFERROR(__xludf.DUMMYFUNCTION("""COMPUTED_VALUE"""),999)</f>
        <v>999</v>
      </c>
      <c r="D13070" s="8">
        <f ca="1">IFERROR(__xludf.DUMMYFUNCTION("""COMPUTED_VALUE"""),999)</f>
        <v>999</v>
      </c>
      <c r="E13070" s="2">
        <f ca="1">IFERROR(__xludf.DUMMYFUNCTION("""COMPUTED_VALUE"""),999)</f>
        <v>999</v>
      </c>
    </row>
    <row r="13071" spans="1:5" ht="13">
      <c r="A13071" s="2" t="str">
        <f ca="1">IFERROR(__xludf.DUMMYFUNCTION("""COMPUTED_VALUE"""),"Traditional - Ashkenazie Melody")</f>
        <v>Traditional - Ashkenazie Melody</v>
      </c>
      <c r="B13071" s="2">
        <f ca="1">IFERROR(__xludf.DUMMYFUNCTION("""COMPUTED_VALUE"""),999)</f>
        <v>999</v>
      </c>
      <c r="C13071" s="7">
        <f ca="1">IFERROR(__xludf.DUMMYFUNCTION("""COMPUTED_VALUE"""),999)</f>
        <v>999</v>
      </c>
      <c r="D13071" s="8">
        <f ca="1">IFERROR(__xludf.DUMMYFUNCTION("""COMPUTED_VALUE"""),999)</f>
        <v>999</v>
      </c>
      <c r="E13071" s="2">
        <f ca="1">IFERROR(__xludf.DUMMYFUNCTION("""COMPUTED_VALUE"""),999)</f>
        <v>999</v>
      </c>
    </row>
    <row r="13072" spans="1:5" ht="13">
      <c r="A13072" s="8" t="str">
        <f ca="1">IFERROR(__xludf.DUMMYFUNCTION("""COMPUTED_VALUE"""),"Traditional - Australian Folk Song")</f>
        <v>Traditional - Australian Folk Song</v>
      </c>
      <c r="B13072" s="2">
        <f ca="1">IFERROR(__xludf.DUMMYFUNCTION("""COMPUTED_VALUE"""),999)</f>
        <v>999</v>
      </c>
      <c r="C13072" s="7">
        <f ca="1">IFERROR(__xludf.DUMMYFUNCTION("""COMPUTED_VALUE"""),999)</f>
        <v>999</v>
      </c>
      <c r="D13072" s="8">
        <f ca="1">IFERROR(__xludf.DUMMYFUNCTION("""COMPUTED_VALUE"""),999)</f>
        <v>999</v>
      </c>
      <c r="E13072" s="2">
        <f ca="1">IFERROR(__xludf.DUMMYFUNCTION("""COMPUTED_VALUE"""),999)</f>
        <v>999</v>
      </c>
    </row>
    <row r="13073" spans="1:5" ht="13">
      <c r="A13073" s="2" t="str">
        <f ca="1">IFERROR(__xludf.DUMMYFUNCTION("""COMPUTED_VALUE"""),"Traditional - Banyuwangi Folk Song")</f>
        <v>Traditional - Banyuwangi Folk Song</v>
      </c>
      <c r="B13073" s="2">
        <f ca="1">IFERROR(__xludf.DUMMYFUNCTION("""COMPUTED_VALUE"""),999)</f>
        <v>999</v>
      </c>
      <c r="C13073" s="7">
        <f ca="1">IFERROR(__xludf.DUMMYFUNCTION("""COMPUTED_VALUE"""),999)</f>
        <v>999</v>
      </c>
      <c r="D13073" s="8">
        <f ca="1">IFERROR(__xludf.DUMMYFUNCTION("""COMPUTED_VALUE"""),999)</f>
        <v>999</v>
      </c>
      <c r="E13073" s="2">
        <f ca="1">IFERROR(__xludf.DUMMYFUNCTION("""COMPUTED_VALUE"""),999)</f>
        <v>999</v>
      </c>
    </row>
    <row r="13074" spans="1:5" ht="13">
      <c r="A13074" s="2" t="str">
        <f ca="1">IFERROR(__xludf.DUMMYFUNCTION("""COMPUTED_VALUE"""),"Traditional - Basque lullaby")</f>
        <v>Traditional - Basque lullaby</v>
      </c>
      <c r="B13074" s="2">
        <f ca="1">IFERROR(__xludf.DUMMYFUNCTION("""COMPUTED_VALUE"""),999)</f>
        <v>999</v>
      </c>
      <c r="C13074" s="7">
        <f ca="1">IFERROR(__xludf.DUMMYFUNCTION("""COMPUTED_VALUE"""),999)</f>
        <v>999</v>
      </c>
      <c r="D13074" s="8">
        <f ca="1">IFERROR(__xludf.DUMMYFUNCTION("""COMPUTED_VALUE"""),999)</f>
        <v>999</v>
      </c>
      <c r="E13074" s="2">
        <f ca="1">IFERROR(__xludf.DUMMYFUNCTION("""COMPUTED_VALUE"""),999)</f>
        <v>999</v>
      </c>
    </row>
    <row r="13075" spans="1:5" ht="13">
      <c r="A13075" s="2" t="str">
        <f ca="1">IFERROR(__xludf.DUMMYFUNCTION("""COMPUTED_VALUE"""),"Traditional - Bohemian Folk Song")</f>
        <v>Traditional - Bohemian Folk Song</v>
      </c>
      <c r="B13075" s="2">
        <f ca="1">IFERROR(__xludf.DUMMYFUNCTION("""COMPUTED_VALUE"""),999)</f>
        <v>999</v>
      </c>
      <c r="C13075" s="7">
        <f ca="1">IFERROR(__xludf.DUMMYFUNCTION("""COMPUTED_VALUE"""),999)</f>
        <v>999</v>
      </c>
      <c r="D13075" s="8">
        <f ca="1">IFERROR(__xludf.DUMMYFUNCTION("""COMPUTED_VALUE"""),999)</f>
        <v>999</v>
      </c>
      <c r="E13075" s="2">
        <f ca="1">IFERROR(__xludf.DUMMYFUNCTION("""COMPUTED_VALUE"""),999)</f>
        <v>999</v>
      </c>
    </row>
    <row r="13076" spans="1:5" ht="13">
      <c r="A13076" s="2" t="str">
        <f ca="1">IFERROR(__xludf.DUMMYFUNCTION("""COMPUTED_VALUE"""),"Traditional - Bosnian Folk Song")</f>
        <v>Traditional - Bosnian Folk Song</v>
      </c>
      <c r="B13076" s="2">
        <f ca="1">IFERROR(__xludf.DUMMYFUNCTION("""COMPUTED_VALUE"""),999)</f>
        <v>999</v>
      </c>
      <c r="C13076" s="7">
        <f ca="1">IFERROR(__xludf.DUMMYFUNCTION("""COMPUTED_VALUE"""),999)</f>
        <v>999</v>
      </c>
      <c r="D13076" s="8">
        <f ca="1">IFERROR(__xludf.DUMMYFUNCTION("""COMPUTED_VALUE"""),999)</f>
        <v>999</v>
      </c>
      <c r="E13076" s="2">
        <f ca="1">IFERROR(__xludf.DUMMYFUNCTION("""COMPUTED_VALUE"""),999)</f>
        <v>999</v>
      </c>
    </row>
    <row r="13077" spans="1:5" ht="13">
      <c r="A13077" s="8" t="str">
        <f ca="1">IFERROR(__xludf.DUMMYFUNCTION("""COMPUTED_VALUE"""),"Traditional - Brazilian Folk Song")</f>
        <v>Traditional - Brazilian Folk Song</v>
      </c>
      <c r="B13077" s="2">
        <f ca="1">IFERROR(__xludf.DUMMYFUNCTION("""COMPUTED_VALUE"""),999)</f>
        <v>999</v>
      </c>
      <c r="C13077" s="7">
        <f ca="1">IFERROR(__xludf.DUMMYFUNCTION("""COMPUTED_VALUE"""),999)</f>
        <v>999</v>
      </c>
      <c r="D13077" s="8">
        <f ca="1">IFERROR(__xludf.DUMMYFUNCTION("""COMPUTED_VALUE"""),999)</f>
        <v>999</v>
      </c>
      <c r="E13077" s="2">
        <f ca="1">IFERROR(__xludf.DUMMYFUNCTION("""COMPUTED_VALUE"""),999)</f>
        <v>999</v>
      </c>
    </row>
    <row r="13078" spans="1:5" ht="13">
      <c r="A13078" s="8" t="str">
        <f ca="1">IFERROR(__xludf.DUMMYFUNCTION("""COMPUTED_VALUE"""),"Traditional - British Folk Song")</f>
        <v>Traditional - British Folk Song</v>
      </c>
      <c r="B13078" s="3">
        <f ca="1">IFERROR(__xludf.DUMMYFUNCTION("""COMPUTED_VALUE"""),999)</f>
        <v>999</v>
      </c>
      <c r="C13078" s="7">
        <f ca="1">IFERROR(__xludf.DUMMYFUNCTION("""COMPUTED_VALUE"""),999)</f>
        <v>999</v>
      </c>
      <c r="D13078" s="8">
        <f ca="1">IFERROR(__xludf.DUMMYFUNCTION("""COMPUTED_VALUE"""),999)</f>
        <v>999</v>
      </c>
      <c r="E13078" s="2">
        <f ca="1">IFERROR(__xludf.DUMMYFUNCTION("""COMPUTED_VALUE"""),999)</f>
        <v>999</v>
      </c>
    </row>
    <row r="13079" spans="1:5" ht="13">
      <c r="A13079" s="2" t="str">
        <f ca="1">IFERROR(__xludf.DUMMYFUNCTION("""COMPUTED_VALUE"""),"Traditional - Bulgarian Folk Song")</f>
        <v>Traditional - Bulgarian Folk Song</v>
      </c>
      <c r="B13079" s="2">
        <f ca="1">IFERROR(__xludf.DUMMYFUNCTION("""COMPUTED_VALUE"""),999)</f>
        <v>999</v>
      </c>
      <c r="C13079" s="7">
        <f ca="1">IFERROR(__xludf.DUMMYFUNCTION("""COMPUTED_VALUE"""),999)</f>
        <v>999</v>
      </c>
      <c r="D13079" s="8">
        <f ca="1">IFERROR(__xludf.DUMMYFUNCTION("""COMPUTED_VALUE"""),999)</f>
        <v>999</v>
      </c>
      <c r="E13079" s="2">
        <f ca="1">IFERROR(__xludf.DUMMYFUNCTION("""COMPUTED_VALUE"""),999)</f>
        <v>999</v>
      </c>
    </row>
    <row r="13080" spans="1:5" ht="13">
      <c r="A13080" s="2" t="str">
        <f ca="1">IFERROR(__xludf.DUMMYFUNCTION("""COMPUTED_VALUE"""),"Traditional - Camp Meeting Song")</f>
        <v>Traditional - Camp Meeting Song</v>
      </c>
      <c r="B13080" s="2">
        <f ca="1">IFERROR(__xludf.DUMMYFUNCTION("""COMPUTED_VALUE"""),999)</f>
        <v>999</v>
      </c>
      <c r="C13080" s="7">
        <f ca="1">IFERROR(__xludf.DUMMYFUNCTION("""COMPUTED_VALUE"""),999)</f>
        <v>999</v>
      </c>
      <c r="D13080" s="8">
        <f ca="1">IFERROR(__xludf.DUMMYFUNCTION("""COMPUTED_VALUE"""),999)</f>
        <v>999</v>
      </c>
      <c r="E13080" s="2">
        <f ca="1">IFERROR(__xludf.DUMMYFUNCTION("""COMPUTED_VALUE"""),999)</f>
        <v>999</v>
      </c>
    </row>
    <row r="13081" spans="1:5" ht="13">
      <c r="A13081" s="2" t="str">
        <f ca="1">IFERROR(__xludf.DUMMYFUNCTION("""COMPUTED_VALUE"""),"Traditional - Camp Song")</f>
        <v>Traditional - Camp Song</v>
      </c>
      <c r="B13081" s="2">
        <f ca="1">IFERROR(__xludf.DUMMYFUNCTION("""COMPUTED_VALUE"""),999)</f>
        <v>999</v>
      </c>
      <c r="C13081" s="7">
        <f ca="1">IFERROR(__xludf.DUMMYFUNCTION("""COMPUTED_VALUE"""),999)</f>
        <v>999</v>
      </c>
      <c r="D13081" s="8">
        <f ca="1">IFERROR(__xludf.DUMMYFUNCTION("""COMPUTED_VALUE"""),999)</f>
        <v>999</v>
      </c>
      <c r="E13081" s="2">
        <f ca="1">IFERROR(__xludf.DUMMYFUNCTION("""COMPUTED_VALUE"""),999)</f>
        <v>999</v>
      </c>
    </row>
    <row r="13082" spans="1:5" ht="13">
      <c r="A13082" s="2" t="str">
        <f ca="1">IFERROR(__xludf.DUMMYFUNCTION("""COMPUTED_VALUE"""),"Traditional - Canadian")</f>
        <v>Traditional - Canadian</v>
      </c>
      <c r="B13082" s="2">
        <f ca="1">IFERROR(__xludf.DUMMYFUNCTION("""COMPUTED_VALUE"""),999)</f>
        <v>999</v>
      </c>
      <c r="C13082" s="7">
        <f ca="1">IFERROR(__xludf.DUMMYFUNCTION("""COMPUTED_VALUE"""),999)</f>
        <v>999</v>
      </c>
      <c r="D13082" s="8">
        <f ca="1">IFERROR(__xludf.DUMMYFUNCTION("""COMPUTED_VALUE"""),999)</f>
        <v>999</v>
      </c>
      <c r="E13082" s="2">
        <f ca="1">IFERROR(__xludf.DUMMYFUNCTION("""COMPUTED_VALUE"""),999)</f>
        <v>999</v>
      </c>
    </row>
    <row r="13083" spans="1:5" ht="13">
      <c r="A13083" s="8" t="str">
        <f ca="1">IFERROR(__xludf.DUMMYFUNCTION("""COMPUTED_VALUE"""),"Traditional - Canadian Folk Song")</f>
        <v>Traditional - Canadian Folk Song</v>
      </c>
      <c r="B13083" s="3">
        <f ca="1">IFERROR(__xludf.DUMMYFUNCTION("""COMPUTED_VALUE"""),999)</f>
        <v>999</v>
      </c>
      <c r="C13083" s="7">
        <f ca="1">IFERROR(__xludf.DUMMYFUNCTION("""COMPUTED_VALUE"""),999)</f>
        <v>999</v>
      </c>
      <c r="D13083" s="8">
        <f ca="1">IFERROR(__xludf.DUMMYFUNCTION("""COMPUTED_VALUE"""),999)</f>
        <v>999</v>
      </c>
      <c r="E13083" s="2">
        <f ca="1">IFERROR(__xludf.DUMMYFUNCTION("""COMPUTED_VALUE"""),999)</f>
        <v>999</v>
      </c>
    </row>
    <row r="13084" spans="1:5" ht="13">
      <c r="A13084" s="8" t="str">
        <f ca="1">IFERROR(__xludf.DUMMYFUNCTION("""COMPUTED_VALUE"""),"Traditional - Caribbean Folk Song")</f>
        <v>Traditional - Caribbean Folk Song</v>
      </c>
      <c r="B13084" s="3">
        <f ca="1">IFERROR(__xludf.DUMMYFUNCTION("""COMPUTED_VALUE"""),999)</f>
        <v>999</v>
      </c>
      <c r="C13084" s="7">
        <f ca="1">IFERROR(__xludf.DUMMYFUNCTION("""COMPUTED_VALUE"""),999)</f>
        <v>999</v>
      </c>
      <c r="D13084" s="8">
        <f ca="1">IFERROR(__xludf.DUMMYFUNCTION("""COMPUTED_VALUE"""),999)</f>
        <v>999</v>
      </c>
      <c r="E13084" s="2">
        <f ca="1">IFERROR(__xludf.DUMMYFUNCTION("""COMPUTED_VALUE"""),999)</f>
        <v>999</v>
      </c>
    </row>
    <row r="13085" spans="1:5" ht="13">
      <c r="A13085" s="2" t="str">
        <f ca="1">IFERROR(__xludf.DUMMYFUNCTION("""COMPUTED_VALUE"""),"Traditional - Celtic Folk Song")</f>
        <v>Traditional - Celtic Folk Song</v>
      </c>
      <c r="B13085" s="2">
        <f ca="1">IFERROR(__xludf.DUMMYFUNCTION("""COMPUTED_VALUE"""),999)</f>
        <v>999</v>
      </c>
      <c r="C13085" s="7">
        <f ca="1">IFERROR(__xludf.DUMMYFUNCTION("""COMPUTED_VALUE"""),999)</f>
        <v>999</v>
      </c>
      <c r="D13085" s="8">
        <f ca="1">IFERROR(__xludf.DUMMYFUNCTION("""COMPUTED_VALUE"""),999)</f>
        <v>999</v>
      </c>
      <c r="E13085" s="2">
        <f ca="1">IFERROR(__xludf.DUMMYFUNCTION("""COMPUTED_VALUE"""),999)</f>
        <v>999</v>
      </c>
    </row>
    <row r="13086" spans="1:5" ht="13">
      <c r="A13086" s="2" t="str">
        <f ca="1">IFERROR(__xludf.DUMMYFUNCTION("""COMPUTED_VALUE"""),"Traditional - Chain Gang Song")</f>
        <v>Traditional - Chain Gang Song</v>
      </c>
      <c r="B13086" s="2">
        <f ca="1">IFERROR(__xludf.DUMMYFUNCTION("""COMPUTED_VALUE"""),999)</f>
        <v>999</v>
      </c>
      <c r="C13086" s="7">
        <f ca="1">IFERROR(__xludf.DUMMYFUNCTION("""COMPUTED_VALUE"""),999)</f>
        <v>999</v>
      </c>
      <c r="D13086" s="8">
        <f ca="1">IFERROR(__xludf.DUMMYFUNCTION("""COMPUTED_VALUE"""),999)</f>
        <v>999</v>
      </c>
      <c r="E13086" s="2">
        <f ca="1">IFERROR(__xludf.DUMMYFUNCTION("""COMPUTED_VALUE"""),999)</f>
        <v>999</v>
      </c>
    </row>
    <row r="13087" spans="1:5" ht="13">
      <c r="A13087" s="8" t="str">
        <f ca="1">IFERROR(__xludf.DUMMYFUNCTION("""COMPUTED_VALUE"""),"Traditional - Channel Islands")</f>
        <v>Traditional - Channel Islands</v>
      </c>
      <c r="B13087" s="2">
        <f ca="1">IFERROR(__xludf.DUMMYFUNCTION("""COMPUTED_VALUE"""),999)</f>
        <v>999</v>
      </c>
      <c r="C13087" s="7">
        <f ca="1">IFERROR(__xludf.DUMMYFUNCTION("""COMPUTED_VALUE"""),999)</f>
        <v>999</v>
      </c>
      <c r="D13087" s="8">
        <f ca="1">IFERROR(__xludf.DUMMYFUNCTION("""COMPUTED_VALUE"""),999)</f>
        <v>999</v>
      </c>
      <c r="E13087" s="2">
        <f ca="1">IFERROR(__xludf.DUMMYFUNCTION("""COMPUTED_VALUE"""),999)</f>
        <v>999</v>
      </c>
    </row>
    <row r="13088" spans="1:5" ht="13">
      <c r="A13088" s="8" t="str">
        <f ca="1">IFERROR(__xludf.DUMMYFUNCTION("""COMPUTED_VALUE"""),"Traditional - Channel Islands Folk Song")</f>
        <v>Traditional - Channel Islands Folk Song</v>
      </c>
      <c r="B13088" s="2">
        <f ca="1">IFERROR(__xludf.DUMMYFUNCTION("""COMPUTED_VALUE"""),999)</f>
        <v>999</v>
      </c>
      <c r="C13088" s="7">
        <f ca="1">IFERROR(__xludf.DUMMYFUNCTION("""COMPUTED_VALUE"""),999)</f>
        <v>999</v>
      </c>
      <c r="D13088" s="8">
        <f ca="1">IFERROR(__xludf.DUMMYFUNCTION("""COMPUTED_VALUE"""),999)</f>
        <v>999</v>
      </c>
      <c r="E13088" s="2">
        <f ca="1">IFERROR(__xludf.DUMMYFUNCTION("""COMPUTED_VALUE"""),999)</f>
        <v>999</v>
      </c>
    </row>
    <row r="13089" spans="1:5" ht="13">
      <c r="A13089" s="8" t="str">
        <f ca="1">IFERROR(__xludf.DUMMYFUNCTION("""COMPUTED_VALUE"""),"Traditional - Chassidic Folk Song")</f>
        <v>Traditional - Chassidic Folk Song</v>
      </c>
      <c r="B13089" s="3">
        <f ca="1">IFERROR(__xludf.DUMMYFUNCTION("""COMPUTED_VALUE"""),999)</f>
        <v>999</v>
      </c>
      <c r="C13089" s="7">
        <f ca="1">IFERROR(__xludf.DUMMYFUNCTION("""COMPUTED_VALUE"""),999)</f>
        <v>999</v>
      </c>
      <c r="D13089" s="8">
        <f ca="1">IFERROR(__xludf.DUMMYFUNCTION("""COMPUTED_VALUE"""),999)</f>
        <v>999</v>
      </c>
      <c r="E13089" s="2">
        <f ca="1">IFERROR(__xludf.DUMMYFUNCTION("""COMPUTED_VALUE"""),999)</f>
        <v>999</v>
      </c>
    </row>
    <row r="13090" spans="1:5" ht="13">
      <c r="A13090" s="8" t="str">
        <f ca="1">IFERROR(__xludf.DUMMYFUNCTION("""COMPUTED_VALUE"""),"Traditional - Chinese Folk Song")</f>
        <v>Traditional - Chinese Folk Song</v>
      </c>
      <c r="B13090" s="3">
        <f ca="1">IFERROR(__xludf.DUMMYFUNCTION("""COMPUTED_VALUE"""),999)</f>
        <v>999</v>
      </c>
      <c r="C13090" s="7">
        <f ca="1">IFERROR(__xludf.DUMMYFUNCTION("""COMPUTED_VALUE"""),999)</f>
        <v>999</v>
      </c>
      <c r="D13090" s="8">
        <f ca="1">IFERROR(__xludf.DUMMYFUNCTION("""COMPUTED_VALUE"""),999)</f>
        <v>999</v>
      </c>
      <c r="E13090" s="2">
        <f ca="1">IFERROR(__xludf.DUMMYFUNCTION("""COMPUTED_VALUE"""),999)</f>
        <v>999</v>
      </c>
    </row>
    <row r="13091" spans="1:5" ht="13">
      <c r="A13091" s="2" t="str">
        <f ca="1">IFERROR(__xludf.DUMMYFUNCTION("""COMPUTED_VALUE"""),"Traditional - Civil War Song")</f>
        <v>Traditional - Civil War Song</v>
      </c>
      <c r="B13091" s="2">
        <f ca="1">IFERROR(__xludf.DUMMYFUNCTION("""COMPUTED_VALUE"""),999)</f>
        <v>999</v>
      </c>
      <c r="C13091" s="7">
        <f ca="1">IFERROR(__xludf.DUMMYFUNCTION("""COMPUTED_VALUE"""),999)</f>
        <v>999</v>
      </c>
      <c r="D13091" s="8">
        <f ca="1">IFERROR(__xludf.DUMMYFUNCTION("""COMPUTED_VALUE"""),999)</f>
        <v>999</v>
      </c>
      <c r="E13091" s="2">
        <f ca="1">IFERROR(__xludf.DUMMYFUNCTION("""COMPUTED_VALUE"""),999)</f>
        <v>999</v>
      </c>
    </row>
    <row r="13092" spans="1:5" ht="13">
      <c r="A13092" s="8" t="str">
        <f ca="1">IFERROR(__xludf.DUMMYFUNCTION("""COMPUTED_VALUE"""),"Traditional - Cowboy Folk Song")</f>
        <v>Traditional - Cowboy Folk Song</v>
      </c>
      <c r="B13092" s="3">
        <f ca="1">IFERROR(__xludf.DUMMYFUNCTION("""COMPUTED_VALUE"""),999)</f>
        <v>999</v>
      </c>
      <c r="C13092" s="7">
        <f ca="1">IFERROR(__xludf.DUMMYFUNCTION("""COMPUTED_VALUE"""),999)</f>
        <v>999</v>
      </c>
      <c r="D13092" s="8">
        <f ca="1">IFERROR(__xludf.DUMMYFUNCTION("""COMPUTED_VALUE"""),999)</f>
        <v>999</v>
      </c>
      <c r="E13092" s="2">
        <f ca="1">IFERROR(__xludf.DUMMYFUNCTION("""COMPUTED_VALUE"""),999)</f>
        <v>999</v>
      </c>
    </row>
    <row r="13093" spans="1:5" ht="13">
      <c r="A13093" s="2" t="str">
        <f ca="1">IFERROR(__xludf.DUMMYFUNCTION("""COMPUTED_VALUE"""),"Traditional - Cuban Folk Song")</f>
        <v>Traditional - Cuban Folk Song</v>
      </c>
      <c r="B13093" s="2">
        <f ca="1">IFERROR(__xludf.DUMMYFUNCTION("""COMPUTED_VALUE"""),999)</f>
        <v>999</v>
      </c>
      <c r="C13093" s="7">
        <f ca="1">IFERROR(__xludf.DUMMYFUNCTION("""COMPUTED_VALUE"""),999)</f>
        <v>999</v>
      </c>
      <c r="D13093" s="8">
        <f ca="1">IFERROR(__xludf.DUMMYFUNCTION("""COMPUTED_VALUE"""),999)</f>
        <v>999</v>
      </c>
      <c r="E13093" s="2">
        <f ca="1">IFERROR(__xludf.DUMMYFUNCTION("""COMPUTED_VALUE"""),999)</f>
        <v>999</v>
      </c>
    </row>
    <row r="13094" spans="1:5" ht="13">
      <c r="A13094" s="8" t="str">
        <f ca="1">IFERROR(__xludf.DUMMYFUNCTION("""COMPUTED_VALUE"""),"Traditional - Czech Folk Song")</f>
        <v>Traditional - Czech Folk Song</v>
      </c>
      <c r="B13094" s="3">
        <f ca="1">IFERROR(__xludf.DUMMYFUNCTION("""COMPUTED_VALUE"""),999)</f>
        <v>999</v>
      </c>
      <c r="C13094" s="7">
        <f ca="1">IFERROR(__xludf.DUMMYFUNCTION("""COMPUTED_VALUE"""),999)</f>
        <v>999</v>
      </c>
      <c r="D13094" s="8">
        <f ca="1">IFERROR(__xludf.DUMMYFUNCTION("""COMPUTED_VALUE"""),999)</f>
        <v>999</v>
      </c>
      <c r="E13094" s="2">
        <f ca="1">IFERROR(__xludf.DUMMYFUNCTION("""COMPUTED_VALUE"""),999)</f>
        <v>999</v>
      </c>
    </row>
    <row r="13095" spans="1:5" ht="13">
      <c r="A13095" s="8" t="str">
        <f ca="1">IFERROR(__xludf.DUMMYFUNCTION("""COMPUTED_VALUE"""),"Traditional - Czech-Slovak Folksong")</f>
        <v>Traditional - Czech-Slovak Folksong</v>
      </c>
      <c r="B13095" s="2">
        <f ca="1">IFERROR(__xludf.DUMMYFUNCTION("""COMPUTED_VALUE"""),999)</f>
        <v>999</v>
      </c>
      <c r="C13095" s="7">
        <f ca="1">IFERROR(__xludf.DUMMYFUNCTION("""COMPUTED_VALUE"""),999)</f>
        <v>999</v>
      </c>
      <c r="D13095" s="8">
        <f ca="1">IFERROR(__xludf.DUMMYFUNCTION("""COMPUTED_VALUE"""),999)</f>
        <v>999</v>
      </c>
      <c r="E13095" s="2">
        <f ca="1">IFERROR(__xludf.DUMMYFUNCTION("""COMPUTED_VALUE"""),999)</f>
        <v>999</v>
      </c>
    </row>
    <row r="13096" spans="1:5" ht="13">
      <c r="A13096" s="2" t="str">
        <f ca="1">IFERROR(__xludf.DUMMYFUNCTION("""COMPUTED_VALUE"""),"Traditional - Early American Hymn")</f>
        <v>Traditional - Early American Hymn</v>
      </c>
      <c r="B13096" s="2">
        <f ca="1">IFERROR(__xludf.DUMMYFUNCTION("""COMPUTED_VALUE"""),999)</f>
        <v>999</v>
      </c>
      <c r="C13096" s="7">
        <f ca="1">IFERROR(__xludf.DUMMYFUNCTION("""COMPUTED_VALUE"""),999)</f>
        <v>999</v>
      </c>
      <c r="D13096" s="8">
        <f ca="1">IFERROR(__xludf.DUMMYFUNCTION("""COMPUTED_VALUE"""),999)</f>
        <v>999</v>
      </c>
      <c r="E13096" s="2">
        <f ca="1">IFERROR(__xludf.DUMMYFUNCTION("""COMPUTED_VALUE"""),999)</f>
        <v>999</v>
      </c>
    </row>
    <row r="13097" spans="1:5" ht="13">
      <c r="A13097" s="8" t="str">
        <f ca="1">IFERROR(__xludf.DUMMYFUNCTION("""COMPUTED_VALUE"""),"Traditional - East African Folk Song")</f>
        <v>Traditional - East African Folk Song</v>
      </c>
      <c r="B13097" s="3">
        <f ca="1">IFERROR(__xludf.DUMMYFUNCTION("""COMPUTED_VALUE"""),999)</f>
        <v>999</v>
      </c>
      <c r="C13097" s="7">
        <f ca="1">IFERROR(__xludf.DUMMYFUNCTION("""COMPUTED_VALUE"""),999)</f>
        <v>999</v>
      </c>
      <c r="D13097" s="8">
        <f ca="1">IFERROR(__xludf.DUMMYFUNCTION("""COMPUTED_VALUE"""),999)</f>
        <v>999</v>
      </c>
      <c r="E13097" s="2">
        <f ca="1">IFERROR(__xludf.DUMMYFUNCTION("""COMPUTED_VALUE"""),999)</f>
        <v>999</v>
      </c>
    </row>
    <row r="13098" spans="1:5" ht="13">
      <c r="A13098" s="2" t="str">
        <f ca="1">IFERROR(__xludf.DUMMYFUNCTION("""COMPUTED_VALUE"""),"Traditional - English Ballad")</f>
        <v>Traditional - English Ballad</v>
      </c>
      <c r="B13098" s="2">
        <f ca="1">IFERROR(__xludf.DUMMYFUNCTION("""COMPUTED_VALUE"""),999)</f>
        <v>999</v>
      </c>
      <c r="C13098" s="7">
        <f ca="1">IFERROR(__xludf.DUMMYFUNCTION("""COMPUTED_VALUE"""),999)</f>
        <v>999</v>
      </c>
      <c r="D13098" s="8">
        <f ca="1">IFERROR(__xludf.DUMMYFUNCTION("""COMPUTED_VALUE"""),999)</f>
        <v>999</v>
      </c>
      <c r="E13098" s="2">
        <f ca="1">IFERROR(__xludf.DUMMYFUNCTION("""COMPUTED_VALUE"""),999)</f>
        <v>999</v>
      </c>
    </row>
    <row r="13099" spans="1:5" ht="13">
      <c r="A13099" s="2" t="str">
        <f ca="1">IFERROR(__xludf.DUMMYFUNCTION("""COMPUTED_VALUE"""),"Traditional - English Carol")</f>
        <v>Traditional - English Carol</v>
      </c>
      <c r="B13099" s="2">
        <f ca="1">IFERROR(__xludf.DUMMYFUNCTION("""COMPUTED_VALUE"""),999)</f>
        <v>999</v>
      </c>
      <c r="C13099" s="7">
        <f ca="1">IFERROR(__xludf.DUMMYFUNCTION("""COMPUTED_VALUE"""),999)</f>
        <v>999</v>
      </c>
      <c r="D13099" s="8">
        <f ca="1">IFERROR(__xludf.DUMMYFUNCTION("""COMPUTED_VALUE"""),999)</f>
        <v>999</v>
      </c>
      <c r="E13099" s="2">
        <f ca="1">IFERROR(__xludf.DUMMYFUNCTION("""COMPUTED_VALUE"""),999)</f>
        <v>999</v>
      </c>
    </row>
    <row r="13100" spans="1:5" ht="13">
      <c r="A13100" s="8" t="str">
        <f ca="1">IFERROR(__xludf.DUMMYFUNCTION("""COMPUTED_VALUE"""),"Traditional - English Folk Song")</f>
        <v>Traditional - English Folk Song</v>
      </c>
      <c r="B13100" s="2">
        <f ca="1">IFERROR(__xludf.DUMMYFUNCTION("""COMPUTED_VALUE"""),999)</f>
        <v>999</v>
      </c>
      <c r="C13100" s="7">
        <f ca="1">IFERROR(__xludf.DUMMYFUNCTION("""COMPUTED_VALUE"""),999)</f>
        <v>999</v>
      </c>
      <c r="D13100" s="8">
        <f ca="1">IFERROR(__xludf.DUMMYFUNCTION("""COMPUTED_VALUE"""),999)</f>
        <v>999</v>
      </c>
      <c r="E13100" s="2">
        <f ca="1">IFERROR(__xludf.DUMMYFUNCTION("""COMPUTED_VALUE"""),999)</f>
        <v>999</v>
      </c>
    </row>
    <row r="13101" spans="1:5" ht="13">
      <c r="A13101" s="8" t="str">
        <f ca="1">IFERROR(__xludf.DUMMYFUNCTION("""COMPUTED_VALUE"""),"Traditional - English Glee")</f>
        <v>Traditional - English Glee</v>
      </c>
      <c r="B13101" s="2">
        <f ca="1">IFERROR(__xludf.DUMMYFUNCTION("""COMPUTED_VALUE"""),999)</f>
        <v>999</v>
      </c>
      <c r="C13101" s="7">
        <f ca="1">IFERROR(__xludf.DUMMYFUNCTION("""COMPUTED_VALUE"""),999)</f>
        <v>999</v>
      </c>
      <c r="D13101" s="8">
        <f ca="1">IFERROR(__xludf.DUMMYFUNCTION("""COMPUTED_VALUE"""),999)</f>
        <v>999</v>
      </c>
      <c r="E13101" s="2">
        <f ca="1">IFERROR(__xludf.DUMMYFUNCTION("""COMPUTED_VALUE"""),999)</f>
        <v>999</v>
      </c>
    </row>
    <row r="13102" spans="1:5" ht="13">
      <c r="A13102" s="2" t="str">
        <f ca="1">IFERROR(__xludf.DUMMYFUNCTION("""COMPUTED_VALUE"""),"Traditional - English Glee Song")</f>
        <v>Traditional - English Glee Song</v>
      </c>
      <c r="B13102" s="2">
        <f ca="1">IFERROR(__xludf.DUMMYFUNCTION("""COMPUTED_VALUE"""),999)</f>
        <v>999</v>
      </c>
      <c r="C13102" s="7">
        <f ca="1">IFERROR(__xludf.DUMMYFUNCTION("""COMPUTED_VALUE"""),999)</f>
        <v>999</v>
      </c>
      <c r="D13102" s="8">
        <f ca="1">IFERROR(__xludf.DUMMYFUNCTION("""COMPUTED_VALUE"""),999)</f>
        <v>999</v>
      </c>
      <c r="E13102" s="2">
        <f ca="1">IFERROR(__xludf.DUMMYFUNCTION("""COMPUTED_VALUE"""),999)</f>
        <v>999</v>
      </c>
    </row>
    <row r="13103" spans="1:5" ht="13">
      <c r="A13103" s="8" t="str">
        <f ca="1">IFERROR(__xludf.DUMMYFUNCTION("""COMPUTED_VALUE"""),"Traditional - English Madrigal")</f>
        <v>Traditional - English Madrigal</v>
      </c>
      <c r="B13103" s="2">
        <f ca="1">IFERROR(__xludf.DUMMYFUNCTION("""COMPUTED_VALUE"""),999)</f>
        <v>999</v>
      </c>
      <c r="C13103" s="7">
        <f ca="1">IFERROR(__xludf.DUMMYFUNCTION("""COMPUTED_VALUE"""),999)</f>
        <v>999</v>
      </c>
      <c r="D13103" s="8">
        <f ca="1">IFERROR(__xludf.DUMMYFUNCTION("""COMPUTED_VALUE"""),999)</f>
        <v>999</v>
      </c>
      <c r="E13103" s="2">
        <f ca="1">IFERROR(__xludf.DUMMYFUNCTION("""COMPUTED_VALUE"""),999)</f>
        <v>999</v>
      </c>
    </row>
    <row r="13104" spans="1:5" ht="13">
      <c r="A13104" s="2" t="str">
        <f ca="1">IFERROR(__xludf.DUMMYFUNCTION("""COMPUTED_VALUE"""),"Traditional - English Sea Shanty")</f>
        <v>Traditional - English Sea Shanty</v>
      </c>
      <c r="B13104" s="2">
        <f ca="1">IFERROR(__xludf.DUMMYFUNCTION("""COMPUTED_VALUE"""),999)</f>
        <v>999</v>
      </c>
      <c r="C13104" s="7">
        <f ca="1">IFERROR(__xludf.DUMMYFUNCTION("""COMPUTED_VALUE"""),999)</f>
        <v>999</v>
      </c>
      <c r="D13104" s="8">
        <f ca="1">IFERROR(__xludf.DUMMYFUNCTION("""COMPUTED_VALUE"""),999)</f>
        <v>999</v>
      </c>
      <c r="E13104" s="2">
        <f ca="1">IFERROR(__xludf.DUMMYFUNCTION("""COMPUTED_VALUE"""),999)</f>
        <v>999</v>
      </c>
    </row>
    <row r="13105" spans="1:5" ht="13">
      <c r="A13105" s="8" t="str">
        <f ca="1">IFERROR(__xludf.DUMMYFUNCTION("""COMPUTED_VALUE"""),"Traditional - Estonian Folk Song")</f>
        <v>Traditional - Estonian Folk Song</v>
      </c>
      <c r="B13105" s="2">
        <f ca="1">IFERROR(__xludf.DUMMYFUNCTION("""COMPUTED_VALUE"""),999)</f>
        <v>999</v>
      </c>
      <c r="C13105" s="7">
        <f ca="1">IFERROR(__xludf.DUMMYFUNCTION("""COMPUTED_VALUE"""),999)</f>
        <v>999</v>
      </c>
      <c r="D13105" s="8">
        <f ca="1">IFERROR(__xludf.DUMMYFUNCTION("""COMPUTED_VALUE"""),999)</f>
        <v>999</v>
      </c>
      <c r="E13105" s="2">
        <f ca="1">IFERROR(__xludf.DUMMYFUNCTION("""COMPUTED_VALUE"""),999)</f>
        <v>999</v>
      </c>
    </row>
    <row r="13106" spans="1:5" ht="13">
      <c r="A13106" s="2" t="str">
        <f ca="1">IFERROR(__xludf.DUMMYFUNCTION("""COMPUTED_VALUE"""),"Traditional - Filipino Folk Song")</f>
        <v>Traditional - Filipino Folk Song</v>
      </c>
      <c r="B13106" s="2">
        <f ca="1">IFERROR(__xludf.DUMMYFUNCTION("""COMPUTED_VALUE"""),999)</f>
        <v>999</v>
      </c>
      <c r="C13106" s="7">
        <f ca="1">IFERROR(__xludf.DUMMYFUNCTION("""COMPUTED_VALUE"""),999)</f>
        <v>999</v>
      </c>
      <c r="D13106" s="8">
        <f ca="1">IFERROR(__xludf.DUMMYFUNCTION("""COMPUTED_VALUE"""),999)</f>
        <v>999</v>
      </c>
      <c r="E13106" s="2">
        <f ca="1">IFERROR(__xludf.DUMMYFUNCTION("""COMPUTED_VALUE"""),999)</f>
        <v>999</v>
      </c>
    </row>
    <row r="13107" spans="1:5" ht="13">
      <c r="A13107" s="8" t="str">
        <f ca="1">IFERROR(__xludf.DUMMYFUNCTION("""COMPUTED_VALUE"""),"Traditional - Finnish")</f>
        <v>Traditional - Finnish</v>
      </c>
      <c r="B13107" s="2">
        <f ca="1">IFERROR(__xludf.DUMMYFUNCTION("""COMPUTED_VALUE"""),999)</f>
        <v>999</v>
      </c>
      <c r="C13107" s="7">
        <f ca="1">IFERROR(__xludf.DUMMYFUNCTION("""COMPUTED_VALUE"""),999)</f>
        <v>999</v>
      </c>
      <c r="D13107" s="8">
        <f ca="1">IFERROR(__xludf.DUMMYFUNCTION("""COMPUTED_VALUE"""),999)</f>
        <v>999</v>
      </c>
      <c r="E13107" s="2">
        <f ca="1">IFERROR(__xludf.DUMMYFUNCTION("""COMPUTED_VALUE"""),999)</f>
        <v>999</v>
      </c>
    </row>
    <row r="13108" spans="1:5" ht="13">
      <c r="A13108" s="8" t="str">
        <f ca="1">IFERROR(__xludf.DUMMYFUNCTION("""COMPUTED_VALUE"""),"Traditional - Folk Song")</f>
        <v>Traditional - Folk Song</v>
      </c>
      <c r="B13108" s="3">
        <f ca="1">IFERROR(__xludf.DUMMYFUNCTION("""COMPUTED_VALUE"""),999)</f>
        <v>999</v>
      </c>
      <c r="C13108" s="7">
        <f ca="1">IFERROR(__xludf.DUMMYFUNCTION("""COMPUTED_VALUE"""),999)</f>
        <v>999</v>
      </c>
      <c r="D13108" s="8">
        <f ca="1">IFERROR(__xludf.DUMMYFUNCTION("""COMPUTED_VALUE"""),999)</f>
        <v>999</v>
      </c>
      <c r="E13108" s="2">
        <f ca="1">IFERROR(__xludf.DUMMYFUNCTION("""COMPUTED_VALUE"""),999)</f>
        <v>999</v>
      </c>
    </row>
    <row r="13109" spans="1:5" ht="13">
      <c r="A13109" s="8" t="str">
        <f ca="1">IFERROR(__xludf.DUMMYFUNCTION("""COMPUTED_VALUE"""),"Traditional - French Canadian Folk Song")</f>
        <v>Traditional - French Canadian Folk Song</v>
      </c>
      <c r="B13109" s="2">
        <f ca="1">IFERROR(__xludf.DUMMYFUNCTION("""COMPUTED_VALUE"""),999)</f>
        <v>999</v>
      </c>
      <c r="C13109" s="7">
        <f ca="1">IFERROR(__xludf.DUMMYFUNCTION("""COMPUTED_VALUE"""),999)</f>
        <v>999</v>
      </c>
      <c r="D13109" s="8">
        <f ca="1">IFERROR(__xludf.DUMMYFUNCTION("""COMPUTED_VALUE"""),999)</f>
        <v>999</v>
      </c>
      <c r="E13109" s="2">
        <f ca="1">IFERROR(__xludf.DUMMYFUNCTION("""COMPUTED_VALUE"""),999)</f>
        <v>999</v>
      </c>
    </row>
    <row r="13110" spans="1:5" ht="13">
      <c r="A13110" s="8" t="str">
        <f ca="1">IFERROR(__xludf.DUMMYFUNCTION("""COMPUTED_VALUE"""),"Traditional - French Folk Song")</f>
        <v>Traditional - French Folk Song</v>
      </c>
      <c r="B13110" s="2">
        <f ca="1">IFERROR(__xludf.DUMMYFUNCTION("""COMPUTED_VALUE"""),999)</f>
        <v>999</v>
      </c>
      <c r="C13110" s="7">
        <f ca="1">IFERROR(__xludf.DUMMYFUNCTION("""COMPUTED_VALUE"""),999)</f>
        <v>999</v>
      </c>
      <c r="D13110" s="8">
        <f ca="1">IFERROR(__xludf.DUMMYFUNCTION("""COMPUTED_VALUE"""),999)</f>
        <v>999</v>
      </c>
      <c r="E13110" s="2">
        <f ca="1">IFERROR(__xludf.DUMMYFUNCTION("""COMPUTED_VALUE"""),999)</f>
        <v>999</v>
      </c>
    </row>
    <row r="13111" spans="1:5" ht="13">
      <c r="A13111" s="8" t="str">
        <f ca="1">IFERROR(__xludf.DUMMYFUNCTION("""COMPUTED_VALUE"""),"Traditional - Georgia Sea Islands Folk Song")</f>
        <v>Traditional - Georgia Sea Islands Folk Song</v>
      </c>
      <c r="B13111" s="2">
        <f ca="1">IFERROR(__xludf.DUMMYFUNCTION("""COMPUTED_VALUE"""),999)</f>
        <v>999</v>
      </c>
      <c r="C13111" s="7">
        <f ca="1">IFERROR(__xludf.DUMMYFUNCTION("""COMPUTED_VALUE"""),999)</f>
        <v>999</v>
      </c>
      <c r="D13111" s="8">
        <f ca="1">IFERROR(__xludf.DUMMYFUNCTION("""COMPUTED_VALUE"""),999)</f>
        <v>999</v>
      </c>
      <c r="E13111" s="2">
        <f ca="1">IFERROR(__xludf.DUMMYFUNCTION("""COMPUTED_VALUE"""),999)</f>
        <v>999</v>
      </c>
    </row>
    <row r="13112" spans="1:5" ht="13">
      <c r="A13112" s="2" t="str">
        <f ca="1">IFERROR(__xludf.DUMMYFUNCTION("""COMPUTED_VALUE"""),"Traditional - German Chorale")</f>
        <v>Traditional - German Chorale</v>
      </c>
      <c r="B13112" s="2">
        <f ca="1">IFERROR(__xludf.DUMMYFUNCTION("""COMPUTED_VALUE"""),999)</f>
        <v>999</v>
      </c>
      <c r="C13112" s="7">
        <f ca="1">IFERROR(__xludf.DUMMYFUNCTION("""COMPUTED_VALUE"""),999)</f>
        <v>999</v>
      </c>
      <c r="D13112" s="8">
        <f ca="1">IFERROR(__xludf.DUMMYFUNCTION("""COMPUTED_VALUE"""),999)</f>
        <v>999</v>
      </c>
      <c r="E13112" s="2">
        <f ca="1">IFERROR(__xludf.DUMMYFUNCTION("""COMPUTED_VALUE"""),999)</f>
        <v>999</v>
      </c>
    </row>
    <row r="13113" spans="1:5" ht="13">
      <c r="A13113" s="8" t="str">
        <f ca="1">IFERROR(__xludf.DUMMYFUNCTION("""COMPUTED_VALUE"""),"Traditional - German Folk Song")</f>
        <v>Traditional - German Folk Song</v>
      </c>
      <c r="B13113" s="3">
        <f ca="1">IFERROR(__xludf.DUMMYFUNCTION("""COMPUTED_VALUE"""),999)</f>
        <v>999</v>
      </c>
      <c r="C13113" s="7">
        <f ca="1">IFERROR(__xludf.DUMMYFUNCTION("""COMPUTED_VALUE"""),999)</f>
        <v>999</v>
      </c>
      <c r="D13113" s="8">
        <f ca="1">IFERROR(__xludf.DUMMYFUNCTION("""COMPUTED_VALUE"""),999)</f>
        <v>999</v>
      </c>
      <c r="E13113" s="2">
        <f ca="1">IFERROR(__xludf.DUMMYFUNCTION("""COMPUTED_VALUE"""),999)</f>
        <v>999</v>
      </c>
    </row>
    <row r="13114" spans="1:5" ht="13">
      <c r="A13114" s="8" t="str">
        <f ca="1">IFERROR(__xludf.DUMMYFUNCTION("""COMPUTED_VALUE"""),"Traditional - German Hymn")</f>
        <v>Traditional - German Hymn</v>
      </c>
      <c r="B13114" s="2">
        <f ca="1">IFERROR(__xludf.DUMMYFUNCTION("""COMPUTED_VALUE"""),999)</f>
        <v>999</v>
      </c>
      <c r="C13114" s="7">
        <f ca="1">IFERROR(__xludf.DUMMYFUNCTION("""COMPUTED_VALUE"""),999)</f>
        <v>999</v>
      </c>
      <c r="D13114" s="8">
        <f ca="1">IFERROR(__xludf.DUMMYFUNCTION("""COMPUTED_VALUE"""),999)</f>
        <v>999</v>
      </c>
      <c r="E13114" s="2">
        <f ca="1">IFERROR(__xludf.DUMMYFUNCTION("""COMPUTED_VALUE"""),999)</f>
        <v>999</v>
      </c>
    </row>
    <row r="13115" spans="1:5" ht="13">
      <c r="A13115" s="8" t="str">
        <f ca="1">IFERROR(__xludf.DUMMYFUNCTION("""COMPUTED_VALUE"""),"Traditional - Ghana Folk Song")</f>
        <v>Traditional - Ghana Folk Song</v>
      </c>
      <c r="B13115" s="3">
        <f ca="1">IFERROR(__xludf.DUMMYFUNCTION("""COMPUTED_VALUE"""),999)</f>
        <v>999</v>
      </c>
      <c r="C13115" s="7">
        <f ca="1">IFERROR(__xludf.DUMMYFUNCTION("""COMPUTED_VALUE"""),999)</f>
        <v>999</v>
      </c>
      <c r="D13115" s="8">
        <f ca="1">IFERROR(__xludf.DUMMYFUNCTION("""COMPUTED_VALUE"""),999)</f>
        <v>999</v>
      </c>
      <c r="E13115" s="2">
        <f ca="1">IFERROR(__xludf.DUMMYFUNCTION("""COMPUTED_VALUE"""),999)</f>
        <v>999</v>
      </c>
    </row>
    <row r="13116" spans="1:5" ht="13">
      <c r="A13116" s="2" t="str">
        <f ca="1">IFERROR(__xludf.DUMMYFUNCTION("""COMPUTED_VALUE"""),"Traditional - Gospel")</f>
        <v>Traditional - Gospel</v>
      </c>
      <c r="B13116" s="2">
        <f ca="1">IFERROR(__xludf.DUMMYFUNCTION("""COMPUTED_VALUE"""),999)</f>
        <v>999</v>
      </c>
      <c r="C13116" s="7">
        <f ca="1">IFERROR(__xludf.DUMMYFUNCTION("""COMPUTED_VALUE"""),999)</f>
        <v>999</v>
      </c>
      <c r="D13116" s="8">
        <f ca="1">IFERROR(__xludf.DUMMYFUNCTION("""COMPUTED_VALUE"""),999)</f>
        <v>999</v>
      </c>
      <c r="E13116" s="2">
        <f ca="1">IFERROR(__xludf.DUMMYFUNCTION("""COMPUTED_VALUE"""),999)</f>
        <v>999</v>
      </c>
    </row>
    <row r="13117" spans="1:5" ht="13">
      <c r="A13117" s="2" t="str">
        <f ca="1">IFERROR(__xludf.DUMMYFUNCTION("""COMPUTED_VALUE"""),"Traditional - Gosple")</f>
        <v>Traditional - Gosple</v>
      </c>
      <c r="B13117" s="2">
        <f ca="1">IFERROR(__xludf.DUMMYFUNCTION("""COMPUTED_VALUE"""),999)</f>
        <v>999</v>
      </c>
      <c r="C13117" s="7">
        <f ca="1">IFERROR(__xludf.DUMMYFUNCTION("""COMPUTED_VALUE"""),999)</f>
        <v>999</v>
      </c>
      <c r="D13117" s="8">
        <f ca="1">IFERROR(__xludf.DUMMYFUNCTION("""COMPUTED_VALUE"""),999)</f>
        <v>999</v>
      </c>
      <c r="E13117" s="2">
        <f ca="1">IFERROR(__xludf.DUMMYFUNCTION("""COMPUTED_VALUE"""),999)</f>
        <v>999</v>
      </c>
    </row>
    <row r="13118" spans="1:5" ht="13">
      <c r="A13118" s="8" t="str">
        <f ca="1">IFERROR(__xludf.DUMMYFUNCTION("""COMPUTED_VALUE"""),"Traditional - Greek Folk Song")</f>
        <v>Traditional - Greek Folk Song</v>
      </c>
      <c r="B13118" s="3">
        <f ca="1">IFERROR(__xludf.DUMMYFUNCTION("""COMPUTED_VALUE"""),999)</f>
        <v>999</v>
      </c>
      <c r="C13118" s="7">
        <f ca="1">IFERROR(__xludf.DUMMYFUNCTION("""COMPUTED_VALUE"""),999)</f>
        <v>999</v>
      </c>
      <c r="D13118" s="8">
        <f ca="1">IFERROR(__xludf.DUMMYFUNCTION("""COMPUTED_VALUE"""),999)</f>
        <v>999</v>
      </c>
      <c r="E13118" s="2">
        <f ca="1">IFERROR(__xludf.DUMMYFUNCTION("""COMPUTED_VALUE"""),999)</f>
        <v>999</v>
      </c>
    </row>
    <row r="13119" spans="1:5" ht="13">
      <c r="A13119" s="8" t="str">
        <f ca="1">IFERROR(__xludf.DUMMYFUNCTION("""COMPUTED_VALUE"""),"Traditional - Gujarati Folk Song")</f>
        <v>Traditional - Gujarati Folk Song</v>
      </c>
      <c r="B13119" s="2">
        <f ca="1">IFERROR(__xludf.DUMMYFUNCTION("""COMPUTED_VALUE"""),999)</f>
        <v>999</v>
      </c>
      <c r="C13119" s="7">
        <f ca="1">IFERROR(__xludf.DUMMYFUNCTION("""COMPUTED_VALUE"""),999)</f>
        <v>999</v>
      </c>
      <c r="D13119" s="8">
        <f ca="1">IFERROR(__xludf.DUMMYFUNCTION("""COMPUTED_VALUE"""),999)</f>
        <v>999</v>
      </c>
      <c r="E13119" s="2">
        <f ca="1">IFERROR(__xludf.DUMMYFUNCTION("""COMPUTED_VALUE"""),999)</f>
        <v>999</v>
      </c>
    </row>
    <row r="13120" spans="1:5" ht="13">
      <c r="A13120" s="2" t="str">
        <f ca="1">IFERROR(__xludf.DUMMYFUNCTION("""COMPUTED_VALUE"""),"Traditional - Haitian Folk Song")</f>
        <v>Traditional - Haitian Folk Song</v>
      </c>
      <c r="B13120" s="2">
        <f ca="1">IFERROR(__xludf.DUMMYFUNCTION("""COMPUTED_VALUE"""),999)</f>
        <v>999</v>
      </c>
      <c r="C13120" s="7">
        <f ca="1">IFERROR(__xludf.DUMMYFUNCTION("""COMPUTED_VALUE"""),999)</f>
        <v>999</v>
      </c>
      <c r="D13120" s="8">
        <f ca="1">IFERROR(__xludf.DUMMYFUNCTION("""COMPUTED_VALUE"""),999)</f>
        <v>999</v>
      </c>
      <c r="E13120" s="2">
        <f ca="1">IFERROR(__xludf.DUMMYFUNCTION("""COMPUTED_VALUE"""),999)</f>
        <v>999</v>
      </c>
    </row>
    <row r="13121" spans="1:5" ht="13">
      <c r="A13121" s="2" t="str">
        <f ca="1">IFERROR(__xludf.DUMMYFUNCTION("""COMPUTED_VALUE"""),"Traditional - Haitian Voodoo Song")</f>
        <v>Traditional - Haitian Voodoo Song</v>
      </c>
      <c r="B13121" s="2">
        <f ca="1">IFERROR(__xludf.DUMMYFUNCTION("""COMPUTED_VALUE"""),999)</f>
        <v>999</v>
      </c>
      <c r="C13121" s="7">
        <f ca="1">IFERROR(__xludf.DUMMYFUNCTION("""COMPUTED_VALUE"""),999)</f>
        <v>999</v>
      </c>
      <c r="D13121" s="8">
        <f ca="1">IFERROR(__xludf.DUMMYFUNCTION("""COMPUTED_VALUE"""),999)</f>
        <v>999</v>
      </c>
      <c r="E13121" s="2">
        <f ca="1">IFERROR(__xludf.DUMMYFUNCTION("""COMPUTED_VALUE"""),999)</f>
        <v>999</v>
      </c>
    </row>
    <row r="13122" spans="1:5" ht="13">
      <c r="A13122" s="8" t="str">
        <f ca="1">IFERROR(__xludf.DUMMYFUNCTION("""COMPUTED_VALUE"""),"Traditional - Hanukkah Song")</f>
        <v>Traditional - Hanukkah Song</v>
      </c>
      <c r="B13122" s="3">
        <f ca="1">IFERROR(__xludf.DUMMYFUNCTION("""COMPUTED_VALUE"""),999)</f>
        <v>999</v>
      </c>
      <c r="C13122" s="7">
        <f ca="1">IFERROR(__xludf.DUMMYFUNCTION("""COMPUTED_VALUE"""),999)</f>
        <v>999</v>
      </c>
      <c r="D13122" s="8">
        <f ca="1">IFERROR(__xludf.DUMMYFUNCTION("""COMPUTED_VALUE"""),999)</f>
        <v>999</v>
      </c>
      <c r="E13122" s="2">
        <f ca="1">IFERROR(__xludf.DUMMYFUNCTION("""COMPUTED_VALUE"""),999)</f>
        <v>999</v>
      </c>
    </row>
    <row r="13123" spans="1:5" ht="13">
      <c r="A13123" s="8" t="str">
        <f ca="1">IFERROR(__xludf.DUMMYFUNCTION("""COMPUTED_VALUE"""),"Traditional - Hebrew Folk Song")</f>
        <v>Traditional - Hebrew Folk Song</v>
      </c>
      <c r="B13123" s="3">
        <f ca="1">IFERROR(__xludf.DUMMYFUNCTION("""COMPUTED_VALUE"""),999)</f>
        <v>999</v>
      </c>
      <c r="C13123" s="7">
        <f ca="1">IFERROR(__xludf.DUMMYFUNCTION("""COMPUTED_VALUE"""),999)</f>
        <v>999</v>
      </c>
      <c r="D13123" s="8">
        <f ca="1">IFERROR(__xludf.DUMMYFUNCTION("""COMPUTED_VALUE"""),999)</f>
        <v>999</v>
      </c>
      <c r="E13123" s="2">
        <f ca="1">IFERROR(__xludf.DUMMYFUNCTION("""COMPUTED_VALUE"""),999)</f>
        <v>999</v>
      </c>
    </row>
    <row r="13124" spans="1:5" ht="13">
      <c r="A13124" s="2" t="str">
        <f ca="1">IFERROR(__xludf.DUMMYFUNCTION("""COMPUTED_VALUE"""),"Traditional - Hebrew Lullaby")</f>
        <v>Traditional - Hebrew Lullaby</v>
      </c>
      <c r="B13124" s="2">
        <f ca="1">IFERROR(__xludf.DUMMYFUNCTION("""COMPUTED_VALUE"""),999)</f>
        <v>999</v>
      </c>
      <c r="C13124" s="7">
        <f ca="1">IFERROR(__xludf.DUMMYFUNCTION("""COMPUTED_VALUE"""),999)</f>
        <v>999</v>
      </c>
      <c r="D13124" s="8">
        <f ca="1">IFERROR(__xludf.DUMMYFUNCTION("""COMPUTED_VALUE"""),999)</f>
        <v>999</v>
      </c>
      <c r="E13124" s="2">
        <f ca="1">IFERROR(__xludf.DUMMYFUNCTION("""COMPUTED_VALUE"""),999)</f>
        <v>999</v>
      </c>
    </row>
    <row r="13125" spans="1:5" ht="13">
      <c r="A13125" s="8" t="str">
        <f ca="1">IFERROR(__xludf.DUMMYFUNCTION("""COMPUTED_VALUE"""),"Traditional - Hebrew Song")</f>
        <v>Traditional - Hebrew Song</v>
      </c>
      <c r="B13125" s="2">
        <f ca="1">IFERROR(__xludf.DUMMYFUNCTION("""COMPUTED_VALUE"""),999)</f>
        <v>999</v>
      </c>
      <c r="C13125" s="7">
        <f ca="1">IFERROR(__xludf.DUMMYFUNCTION("""COMPUTED_VALUE"""),999)</f>
        <v>999</v>
      </c>
      <c r="D13125" s="8">
        <f ca="1">IFERROR(__xludf.DUMMYFUNCTION("""COMPUTED_VALUE"""),999)</f>
        <v>999</v>
      </c>
      <c r="E13125" s="2">
        <f ca="1">IFERROR(__xludf.DUMMYFUNCTION("""COMPUTED_VALUE"""),999)</f>
        <v>999</v>
      </c>
    </row>
    <row r="13126" spans="1:5" ht="13">
      <c r="A13126" s="8" t="str">
        <f ca="1">IFERROR(__xludf.DUMMYFUNCTION("""COMPUTED_VALUE"""),"Traditional - Hungarian Folk Song")</f>
        <v>Traditional - Hungarian Folk Song</v>
      </c>
      <c r="B13126" s="3">
        <f ca="1">IFERROR(__xludf.DUMMYFUNCTION("""COMPUTED_VALUE"""),999)</f>
        <v>999</v>
      </c>
      <c r="C13126" s="7">
        <f ca="1">IFERROR(__xludf.DUMMYFUNCTION("""COMPUTED_VALUE"""),999)</f>
        <v>999</v>
      </c>
      <c r="D13126" s="8">
        <f ca="1">IFERROR(__xludf.DUMMYFUNCTION("""COMPUTED_VALUE"""),999)</f>
        <v>999</v>
      </c>
      <c r="E13126" s="2">
        <f ca="1">IFERROR(__xludf.DUMMYFUNCTION("""COMPUTED_VALUE"""),999)</f>
        <v>999</v>
      </c>
    </row>
    <row r="13127" spans="1:5" ht="13">
      <c r="A13127" s="8" t="str">
        <f ca="1">IFERROR(__xludf.DUMMYFUNCTION("""COMPUTED_VALUE"""),"Traditional - Huron Dance Song")</f>
        <v>Traditional - Huron Dance Song</v>
      </c>
      <c r="B13127" s="2">
        <f ca="1">IFERROR(__xludf.DUMMYFUNCTION("""COMPUTED_VALUE"""),999)</f>
        <v>999</v>
      </c>
      <c r="C13127" s="7">
        <f ca="1">IFERROR(__xludf.DUMMYFUNCTION("""COMPUTED_VALUE"""),999)</f>
        <v>999</v>
      </c>
      <c r="D13127" s="8">
        <f ca="1">IFERROR(__xludf.DUMMYFUNCTION("""COMPUTED_VALUE"""),999)</f>
        <v>999</v>
      </c>
      <c r="E13127" s="2">
        <f ca="1">IFERROR(__xludf.DUMMYFUNCTION("""COMPUTED_VALUE"""),999)</f>
        <v>999</v>
      </c>
    </row>
    <row r="13128" spans="1:5" ht="13">
      <c r="A13128" s="2" t="str">
        <f ca="1">IFERROR(__xludf.DUMMYFUNCTION("""COMPUTED_VALUE"""),"Traditional - Hymn Tune")</f>
        <v>Traditional - Hymn Tune</v>
      </c>
      <c r="B13128" s="2">
        <f ca="1">IFERROR(__xludf.DUMMYFUNCTION("""COMPUTED_VALUE"""),999)</f>
        <v>999</v>
      </c>
      <c r="C13128" s="7">
        <f ca="1">IFERROR(__xludf.DUMMYFUNCTION("""COMPUTED_VALUE"""),999)</f>
        <v>999</v>
      </c>
      <c r="D13128" s="8">
        <f ca="1">IFERROR(__xludf.DUMMYFUNCTION("""COMPUTED_VALUE"""),999)</f>
        <v>999</v>
      </c>
      <c r="E13128" s="2">
        <f ca="1">IFERROR(__xludf.DUMMYFUNCTION("""COMPUTED_VALUE"""),999)</f>
        <v>999</v>
      </c>
    </row>
    <row r="13129" spans="1:5" ht="13">
      <c r="A13129" s="2" t="str">
        <f ca="1">IFERROR(__xludf.DUMMYFUNCTION("""COMPUTED_VALUE"""),"Traditional - Indian Raga")</f>
        <v>Traditional - Indian Raga</v>
      </c>
      <c r="B13129" s="2">
        <f ca="1">IFERROR(__xludf.DUMMYFUNCTION("""COMPUTED_VALUE"""),999)</f>
        <v>999</v>
      </c>
      <c r="C13129" s="7">
        <f ca="1">IFERROR(__xludf.DUMMYFUNCTION("""COMPUTED_VALUE"""),999)</f>
        <v>999</v>
      </c>
      <c r="D13129" s="8">
        <f ca="1">IFERROR(__xludf.DUMMYFUNCTION("""COMPUTED_VALUE"""),999)</f>
        <v>999</v>
      </c>
      <c r="E13129" s="2">
        <f ca="1">IFERROR(__xludf.DUMMYFUNCTION("""COMPUTED_VALUE"""),999)</f>
        <v>999</v>
      </c>
    </row>
    <row r="13130" spans="1:5" ht="13">
      <c r="A13130" s="8" t="str">
        <f ca="1">IFERROR(__xludf.DUMMYFUNCTION("""COMPUTED_VALUE"""),"Traditional - Indonesian Folk Song")</f>
        <v>Traditional - Indonesian Folk Song</v>
      </c>
      <c r="B13130" s="2">
        <f ca="1">IFERROR(__xludf.DUMMYFUNCTION("""COMPUTED_VALUE"""),999)</f>
        <v>999</v>
      </c>
      <c r="C13130" s="7">
        <f ca="1">IFERROR(__xludf.DUMMYFUNCTION("""COMPUTED_VALUE"""),999)</f>
        <v>999</v>
      </c>
      <c r="D13130" s="8">
        <f ca="1">IFERROR(__xludf.DUMMYFUNCTION("""COMPUTED_VALUE"""),999)</f>
        <v>999</v>
      </c>
      <c r="E13130" s="2">
        <f ca="1">IFERROR(__xludf.DUMMYFUNCTION("""COMPUTED_VALUE"""),999)</f>
        <v>999</v>
      </c>
    </row>
    <row r="13131" spans="1:5" ht="13">
      <c r="A13131" s="2" t="str">
        <f ca="1">IFERROR(__xludf.DUMMYFUNCTION("""COMPUTED_VALUE"""),"Traditional - Irish (Slane)")</f>
        <v>Traditional - Irish (Slane)</v>
      </c>
      <c r="B13131" s="2">
        <f ca="1">IFERROR(__xludf.DUMMYFUNCTION("""COMPUTED_VALUE"""),999)</f>
        <v>999</v>
      </c>
      <c r="C13131" s="7">
        <f ca="1">IFERROR(__xludf.DUMMYFUNCTION("""COMPUTED_VALUE"""),999)</f>
        <v>999</v>
      </c>
      <c r="D13131" s="8">
        <f ca="1">IFERROR(__xludf.DUMMYFUNCTION("""COMPUTED_VALUE"""),999)</f>
        <v>999</v>
      </c>
      <c r="E13131" s="2">
        <f ca="1">IFERROR(__xludf.DUMMYFUNCTION("""COMPUTED_VALUE"""),999)</f>
        <v>999</v>
      </c>
    </row>
    <row r="13132" spans="1:5" ht="13">
      <c r="A13132" s="2" t="str">
        <f ca="1">IFERROR(__xludf.DUMMYFUNCTION("""COMPUTED_VALUE"""),"Traditional - Irish American Folk Song")</f>
        <v>Traditional - Irish American Folk Song</v>
      </c>
      <c r="B13132" s="2">
        <f ca="1">IFERROR(__xludf.DUMMYFUNCTION("""COMPUTED_VALUE"""),999)</f>
        <v>999</v>
      </c>
      <c r="C13132" s="7">
        <f ca="1">IFERROR(__xludf.DUMMYFUNCTION("""COMPUTED_VALUE"""),999)</f>
        <v>999</v>
      </c>
      <c r="D13132" s="8">
        <f ca="1">IFERROR(__xludf.DUMMYFUNCTION("""COMPUTED_VALUE"""),999)</f>
        <v>999</v>
      </c>
      <c r="E13132" s="2">
        <f ca="1">IFERROR(__xludf.DUMMYFUNCTION("""COMPUTED_VALUE"""),999)</f>
        <v>999</v>
      </c>
    </row>
    <row r="13133" spans="1:5" ht="13">
      <c r="A13133" s="8" t="str">
        <f ca="1">IFERROR(__xludf.DUMMYFUNCTION("""COMPUTED_VALUE"""),"Traditional - Irish Ballad")</f>
        <v>Traditional - Irish Ballad</v>
      </c>
      <c r="B13133" s="2">
        <f ca="1">IFERROR(__xludf.DUMMYFUNCTION("""COMPUTED_VALUE"""),999)</f>
        <v>999</v>
      </c>
      <c r="C13133" s="7">
        <f ca="1">IFERROR(__xludf.DUMMYFUNCTION("""COMPUTED_VALUE"""),999)</f>
        <v>999</v>
      </c>
      <c r="D13133" s="8">
        <f ca="1">IFERROR(__xludf.DUMMYFUNCTION("""COMPUTED_VALUE"""),999)</f>
        <v>999</v>
      </c>
      <c r="E13133" s="2">
        <f ca="1">IFERROR(__xludf.DUMMYFUNCTION("""COMPUTED_VALUE"""),999)</f>
        <v>999</v>
      </c>
    </row>
    <row r="13134" spans="1:5" ht="13">
      <c r="A13134" s="8" t="str">
        <f ca="1">IFERROR(__xludf.DUMMYFUNCTION("""COMPUTED_VALUE"""),"Traditional - Irish Folk Song")</f>
        <v>Traditional - Irish Folk Song</v>
      </c>
      <c r="B13134" s="3">
        <f ca="1">IFERROR(__xludf.DUMMYFUNCTION("""COMPUTED_VALUE"""),999)</f>
        <v>999</v>
      </c>
      <c r="C13134" s="7">
        <f ca="1">IFERROR(__xludf.DUMMYFUNCTION("""COMPUTED_VALUE"""),999)</f>
        <v>999</v>
      </c>
      <c r="D13134" s="8">
        <f ca="1">IFERROR(__xludf.DUMMYFUNCTION("""COMPUTED_VALUE"""),999)</f>
        <v>999</v>
      </c>
      <c r="E13134" s="2">
        <f ca="1">IFERROR(__xludf.DUMMYFUNCTION("""COMPUTED_VALUE"""),999)</f>
        <v>999</v>
      </c>
    </row>
    <row r="13135" spans="1:5" ht="13">
      <c r="A13135" s="2" t="str">
        <f ca="1">IFERROR(__xludf.DUMMYFUNCTION("""COMPUTED_VALUE"""),"Traditional - Irish Tune")</f>
        <v>Traditional - Irish Tune</v>
      </c>
      <c r="B13135" s="2">
        <f ca="1">IFERROR(__xludf.DUMMYFUNCTION("""COMPUTED_VALUE"""),999)</f>
        <v>999</v>
      </c>
      <c r="C13135" s="7">
        <f ca="1">IFERROR(__xludf.DUMMYFUNCTION("""COMPUTED_VALUE"""),999)</f>
        <v>999</v>
      </c>
      <c r="D13135" s="8">
        <f ca="1">IFERROR(__xludf.DUMMYFUNCTION("""COMPUTED_VALUE"""),999)</f>
        <v>999</v>
      </c>
      <c r="E13135" s="2">
        <f ca="1">IFERROR(__xludf.DUMMYFUNCTION("""COMPUTED_VALUE"""),999)</f>
        <v>999</v>
      </c>
    </row>
    <row r="13136" spans="1:5" ht="13">
      <c r="A13136" s="8" t="str">
        <f ca="1">IFERROR(__xludf.DUMMYFUNCTION("""COMPUTED_VALUE"""),"Traditional - Isizjosa")</f>
        <v>Traditional - Isizjosa</v>
      </c>
      <c r="B13136" s="2">
        <f ca="1">IFERROR(__xludf.DUMMYFUNCTION("""COMPUTED_VALUE"""),999)</f>
        <v>999</v>
      </c>
      <c r="C13136" s="7">
        <f ca="1">IFERROR(__xludf.DUMMYFUNCTION("""COMPUTED_VALUE"""),999)</f>
        <v>999</v>
      </c>
      <c r="D13136" s="8">
        <f ca="1">IFERROR(__xludf.DUMMYFUNCTION("""COMPUTED_VALUE"""),999)</f>
        <v>999</v>
      </c>
      <c r="E13136" s="2">
        <f ca="1">IFERROR(__xludf.DUMMYFUNCTION("""COMPUTED_VALUE"""),999)</f>
        <v>999</v>
      </c>
    </row>
    <row r="13137" spans="1:5" ht="13">
      <c r="A13137" s="2" t="str">
        <f ca="1">IFERROR(__xludf.DUMMYFUNCTION("""COMPUTED_VALUE"""),"Traditional - IsiZulu and IsiXhosa Song")</f>
        <v>Traditional - IsiZulu and IsiXhosa Song</v>
      </c>
      <c r="B13137" s="2">
        <f ca="1">IFERROR(__xludf.DUMMYFUNCTION("""COMPUTED_VALUE"""),999)</f>
        <v>999</v>
      </c>
      <c r="C13137" s="7">
        <f ca="1">IFERROR(__xludf.DUMMYFUNCTION("""COMPUTED_VALUE"""),999)</f>
        <v>999</v>
      </c>
      <c r="D13137" s="8">
        <f ca="1">IFERROR(__xludf.DUMMYFUNCTION("""COMPUTED_VALUE"""),999)</f>
        <v>999</v>
      </c>
      <c r="E13137" s="2">
        <f ca="1">IFERROR(__xludf.DUMMYFUNCTION("""COMPUTED_VALUE"""),999)</f>
        <v>999</v>
      </c>
    </row>
    <row r="13138" spans="1:5" ht="13">
      <c r="A13138" s="8" t="str">
        <f ca="1">IFERROR(__xludf.DUMMYFUNCTION("""COMPUTED_VALUE"""),"Traditional - Israeli Folk Song")</f>
        <v>Traditional - Israeli Folk Song</v>
      </c>
      <c r="B13138" s="3">
        <f ca="1">IFERROR(__xludf.DUMMYFUNCTION("""COMPUTED_VALUE"""),999)</f>
        <v>999</v>
      </c>
      <c r="C13138" s="7">
        <f ca="1">IFERROR(__xludf.DUMMYFUNCTION("""COMPUTED_VALUE"""),999)</f>
        <v>999</v>
      </c>
      <c r="D13138" s="8">
        <f ca="1">IFERROR(__xludf.DUMMYFUNCTION("""COMPUTED_VALUE"""),999)</f>
        <v>999</v>
      </c>
      <c r="E13138" s="2">
        <f ca="1">IFERROR(__xludf.DUMMYFUNCTION("""COMPUTED_VALUE"""),999)</f>
        <v>999</v>
      </c>
    </row>
    <row r="13139" spans="1:5" ht="13">
      <c r="A13139" s="2" t="str">
        <f ca="1">IFERROR(__xludf.DUMMYFUNCTION("""COMPUTED_VALUE"""),"Traditional - Italian Carol")</f>
        <v>Traditional - Italian Carol</v>
      </c>
      <c r="B13139" s="2">
        <f ca="1">IFERROR(__xludf.DUMMYFUNCTION("""COMPUTED_VALUE"""),999)</f>
        <v>999</v>
      </c>
      <c r="C13139" s="7">
        <f ca="1">IFERROR(__xludf.DUMMYFUNCTION("""COMPUTED_VALUE"""),999)</f>
        <v>999</v>
      </c>
      <c r="D13139" s="8">
        <f ca="1">IFERROR(__xludf.DUMMYFUNCTION("""COMPUTED_VALUE"""),999)</f>
        <v>999</v>
      </c>
      <c r="E13139" s="2">
        <f ca="1">IFERROR(__xludf.DUMMYFUNCTION("""COMPUTED_VALUE"""),999)</f>
        <v>999</v>
      </c>
    </row>
    <row r="13140" spans="1:5" ht="13">
      <c r="A13140" s="8" t="str">
        <f ca="1">IFERROR(__xludf.DUMMYFUNCTION("""COMPUTED_VALUE"""),"Traditional - Italian Christmas Song")</f>
        <v>Traditional - Italian Christmas Song</v>
      </c>
      <c r="B13140" s="2">
        <f ca="1">IFERROR(__xludf.DUMMYFUNCTION("""COMPUTED_VALUE"""),999)</f>
        <v>999</v>
      </c>
      <c r="C13140" s="7">
        <f ca="1">IFERROR(__xludf.DUMMYFUNCTION("""COMPUTED_VALUE"""),999)</f>
        <v>999</v>
      </c>
      <c r="D13140" s="8">
        <f ca="1">IFERROR(__xludf.DUMMYFUNCTION("""COMPUTED_VALUE"""),999)</f>
        <v>999</v>
      </c>
      <c r="E13140" s="2">
        <f ca="1">IFERROR(__xludf.DUMMYFUNCTION("""COMPUTED_VALUE"""),999)</f>
        <v>999</v>
      </c>
    </row>
    <row r="13141" spans="1:5" ht="13">
      <c r="A13141" s="8" t="str">
        <f ca="1">IFERROR(__xludf.DUMMYFUNCTION("""COMPUTED_VALUE"""),"Traditional - Italian Folk Song")</f>
        <v>Traditional - Italian Folk Song</v>
      </c>
      <c r="B13141" s="3">
        <f ca="1">IFERROR(__xludf.DUMMYFUNCTION("""COMPUTED_VALUE"""),999)</f>
        <v>999</v>
      </c>
      <c r="C13141" s="7">
        <f ca="1">IFERROR(__xludf.DUMMYFUNCTION("""COMPUTED_VALUE"""),999)</f>
        <v>999</v>
      </c>
      <c r="D13141" s="8">
        <f ca="1">IFERROR(__xludf.DUMMYFUNCTION("""COMPUTED_VALUE"""),999)</f>
        <v>999</v>
      </c>
      <c r="E13141" s="2">
        <f ca="1">IFERROR(__xludf.DUMMYFUNCTION("""COMPUTED_VALUE"""),999)</f>
        <v>999</v>
      </c>
    </row>
    <row r="13142" spans="1:5" ht="13">
      <c r="A13142" s="8" t="str">
        <f ca="1">IFERROR(__xludf.DUMMYFUNCTION("""COMPUTED_VALUE"""),"Traditional - Jamaican Folk Song")</f>
        <v>Traditional - Jamaican Folk Song</v>
      </c>
      <c r="B13142" s="3">
        <f ca="1">IFERROR(__xludf.DUMMYFUNCTION("""COMPUTED_VALUE"""),999)</f>
        <v>999</v>
      </c>
      <c r="C13142" s="7">
        <f ca="1">IFERROR(__xludf.DUMMYFUNCTION("""COMPUTED_VALUE"""),999)</f>
        <v>999</v>
      </c>
      <c r="D13142" s="8">
        <f ca="1">IFERROR(__xludf.DUMMYFUNCTION("""COMPUTED_VALUE"""),999)</f>
        <v>999</v>
      </c>
      <c r="E13142" s="2">
        <f ca="1">IFERROR(__xludf.DUMMYFUNCTION("""COMPUTED_VALUE"""),999)</f>
        <v>999</v>
      </c>
    </row>
    <row r="13143" spans="1:5" ht="13">
      <c r="A13143" s="8" t="str">
        <f ca="1">IFERROR(__xludf.DUMMYFUNCTION("""COMPUTED_VALUE"""),"Traditional - Japanese Folk Song")</f>
        <v>Traditional - Japanese Folk Song</v>
      </c>
      <c r="B13143" s="3">
        <f ca="1">IFERROR(__xludf.DUMMYFUNCTION("""COMPUTED_VALUE"""),999)</f>
        <v>999</v>
      </c>
      <c r="C13143" s="7">
        <f ca="1">IFERROR(__xludf.DUMMYFUNCTION("""COMPUTED_VALUE"""),999)</f>
        <v>999</v>
      </c>
      <c r="D13143" s="8">
        <f ca="1">IFERROR(__xludf.DUMMYFUNCTION("""COMPUTED_VALUE"""),999)</f>
        <v>999</v>
      </c>
      <c r="E13143" s="2">
        <f ca="1">IFERROR(__xludf.DUMMYFUNCTION("""COMPUTED_VALUE"""),999)</f>
        <v>999</v>
      </c>
    </row>
    <row r="13144" spans="1:5" ht="13">
      <c r="A13144" s="8" t="str">
        <f ca="1">IFERROR(__xludf.DUMMYFUNCTION("""COMPUTED_VALUE"""),"Traditional - Jewish Folk Song")</f>
        <v>Traditional - Jewish Folk Song</v>
      </c>
      <c r="B13144" s="3">
        <f ca="1">IFERROR(__xludf.DUMMYFUNCTION("""COMPUTED_VALUE"""),999)</f>
        <v>999</v>
      </c>
      <c r="C13144" s="7">
        <f ca="1">IFERROR(__xludf.DUMMYFUNCTION("""COMPUTED_VALUE"""),999)</f>
        <v>999</v>
      </c>
      <c r="D13144" s="8">
        <f ca="1">IFERROR(__xludf.DUMMYFUNCTION("""COMPUTED_VALUE"""),999)</f>
        <v>999</v>
      </c>
      <c r="E13144" s="2">
        <f ca="1">IFERROR(__xludf.DUMMYFUNCTION("""COMPUTED_VALUE"""),999)</f>
        <v>999</v>
      </c>
    </row>
    <row r="13145" spans="1:5" ht="13">
      <c r="A13145" s="2" t="str">
        <f ca="1">IFERROR(__xludf.DUMMYFUNCTION("""COMPUTED_VALUE"""),"Traditional - Jiangsu Song")</f>
        <v>Traditional - Jiangsu Song</v>
      </c>
      <c r="B13145" s="2">
        <f ca="1">IFERROR(__xludf.DUMMYFUNCTION("""COMPUTED_VALUE"""),999)</f>
        <v>999</v>
      </c>
      <c r="C13145" s="7">
        <f ca="1">IFERROR(__xludf.DUMMYFUNCTION("""COMPUTED_VALUE"""),999)</f>
        <v>999</v>
      </c>
      <c r="D13145" s="8">
        <f ca="1">IFERROR(__xludf.DUMMYFUNCTION("""COMPUTED_VALUE"""),999)</f>
        <v>999</v>
      </c>
      <c r="E13145" s="2">
        <f ca="1">IFERROR(__xludf.DUMMYFUNCTION("""COMPUTED_VALUE"""),999)</f>
        <v>999</v>
      </c>
    </row>
    <row r="13146" spans="1:5" ht="13">
      <c r="A13146" s="8" t="str">
        <f ca="1">IFERROR(__xludf.DUMMYFUNCTION("""COMPUTED_VALUE"""),"Traditional - Kentucky Folk Song")</f>
        <v>Traditional - Kentucky Folk Song</v>
      </c>
      <c r="B13146" s="2">
        <f ca="1">IFERROR(__xludf.DUMMYFUNCTION("""COMPUTED_VALUE"""),999)</f>
        <v>999</v>
      </c>
      <c r="C13146" s="7">
        <f ca="1">IFERROR(__xludf.DUMMYFUNCTION("""COMPUTED_VALUE"""),999)</f>
        <v>999</v>
      </c>
      <c r="D13146" s="8">
        <f ca="1">IFERROR(__xludf.DUMMYFUNCTION("""COMPUTED_VALUE"""),999)</f>
        <v>999</v>
      </c>
      <c r="E13146" s="2">
        <f ca="1">IFERROR(__xludf.DUMMYFUNCTION("""COMPUTED_VALUE"""),999)</f>
        <v>999</v>
      </c>
    </row>
    <row r="13147" spans="1:5" ht="13">
      <c r="A13147" s="2" t="str">
        <f ca="1">IFERROR(__xludf.DUMMYFUNCTION("""COMPUTED_VALUE"""),"Traditional - Kenyan")</f>
        <v>Traditional - Kenyan</v>
      </c>
      <c r="B13147" s="2">
        <f ca="1">IFERROR(__xludf.DUMMYFUNCTION("""COMPUTED_VALUE"""),999)</f>
        <v>999</v>
      </c>
      <c r="C13147" s="7">
        <f ca="1">IFERROR(__xludf.DUMMYFUNCTION("""COMPUTED_VALUE"""),999)</f>
        <v>999</v>
      </c>
      <c r="D13147" s="8">
        <f ca="1">IFERROR(__xludf.DUMMYFUNCTION("""COMPUTED_VALUE"""),999)</f>
        <v>999</v>
      </c>
      <c r="E13147" s="2">
        <f ca="1">IFERROR(__xludf.DUMMYFUNCTION("""COMPUTED_VALUE"""),999)</f>
        <v>999</v>
      </c>
    </row>
    <row r="13148" spans="1:5" ht="13">
      <c r="A13148" s="2" t="str">
        <f ca="1">IFERROR(__xludf.DUMMYFUNCTION("""COMPUTED_VALUE"""),"Traditional - Korean")</f>
        <v>Traditional - Korean</v>
      </c>
      <c r="B13148" s="2">
        <f ca="1">IFERROR(__xludf.DUMMYFUNCTION("""COMPUTED_VALUE"""),999)</f>
        <v>999</v>
      </c>
      <c r="C13148" s="7">
        <f ca="1">IFERROR(__xludf.DUMMYFUNCTION("""COMPUTED_VALUE"""),999)</f>
        <v>999</v>
      </c>
      <c r="D13148" s="8">
        <f ca="1">IFERROR(__xludf.DUMMYFUNCTION("""COMPUTED_VALUE"""),999)</f>
        <v>999</v>
      </c>
      <c r="E13148" s="2">
        <f ca="1">IFERROR(__xludf.DUMMYFUNCTION("""COMPUTED_VALUE"""),999)</f>
        <v>999</v>
      </c>
    </row>
    <row r="13149" spans="1:5" ht="13">
      <c r="A13149" s="8" t="str">
        <f ca="1">IFERROR(__xludf.DUMMYFUNCTION("""COMPUTED_VALUE"""),"Traditional - Korean Folk Song")</f>
        <v>Traditional - Korean Folk Song</v>
      </c>
      <c r="B13149" s="3">
        <f ca="1">IFERROR(__xludf.DUMMYFUNCTION("""COMPUTED_VALUE"""),999)</f>
        <v>999</v>
      </c>
      <c r="C13149" s="7">
        <f ca="1">IFERROR(__xludf.DUMMYFUNCTION("""COMPUTED_VALUE"""),999)</f>
        <v>999</v>
      </c>
      <c r="D13149" s="8">
        <f ca="1">IFERROR(__xludf.DUMMYFUNCTION("""COMPUTED_VALUE"""),999)</f>
        <v>999</v>
      </c>
      <c r="E13149" s="2">
        <f ca="1">IFERROR(__xludf.DUMMYFUNCTION("""COMPUTED_VALUE"""),999)</f>
        <v>999</v>
      </c>
    </row>
    <row r="13150" spans="1:5" ht="13">
      <c r="A13150" s="8" t="str">
        <f ca="1">IFERROR(__xludf.DUMMYFUNCTION("""COMPUTED_VALUE"""),"Traditional - Kurao (Brazilian Native) songs")</f>
        <v>Traditional - Kurao (Brazilian Native) songs</v>
      </c>
      <c r="B13150" s="2">
        <f ca="1">IFERROR(__xludf.DUMMYFUNCTION("""COMPUTED_VALUE"""),999)</f>
        <v>999</v>
      </c>
      <c r="C13150" s="7">
        <f ca="1">IFERROR(__xludf.DUMMYFUNCTION("""COMPUTED_VALUE"""),999)</f>
        <v>999</v>
      </c>
      <c r="D13150" s="8">
        <f ca="1">IFERROR(__xludf.DUMMYFUNCTION("""COMPUTED_VALUE"""),999)</f>
        <v>999</v>
      </c>
      <c r="E13150" s="2">
        <f ca="1">IFERROR(__xludf.DUMMYFUNCTION("""COMPUTED_VALUE"""),999)</f>
        <v>999</v>
      </c>
    </row>
    <row r="13151" spans="1:5" ht="13">
      <c r="A13151" s="2" t="str">
        <f ca="1">IFERROR(__xludf.DUMMYFUNCTION("""COMPUTED_VALUE"""),"Traditional - Lakota Sioux American Indian Spiritual")</f>
        <v>Traditional - Lakota Sioux American Indian Spiritual</v>
      </c>
      <c r="B13151" s="2">
        <f ca="1">IFERROR(__xludf.DUMMYFUNCTION("""COMPUTED_VALUE"""),999)</f>
        <v>999</v>
      </c>
      <c r="C13151" s="7">
        <f ca="1">IFERROR(__xludf.DUMMYFUNCTION("""COMPUTED_VALUE"""),999)</f>
        <v>999</v>
      </c>
      <c r="D13151" s="8">
        <f ca="1">IFERROR(__xludf.DUMMYFUNCTION("""COMPUTED_VALUE"""),999)</f>
        <v>999</v>
      </c>
      <c r="E13151" s="2">
        <f ca="1">IFERROR(__xludf.DUMMYFUNCTION("""COMPUTED_VALUE"""),999)</f>
        <v>999</v>
      </c>
    </row>
    <row r="13152" spans="1:5" ht="13">
      <c r="A13152" s="2" t="str">
        <f ca="1">IFERROR(__xludf.DUMMYFUNCTION("""COMPUTED_VALUE"""),"Traditional - Latin American Carol")</f>
        <v>Traditional - Latin American Carol</v>
      </c>
      <c r="B13152" s="2">
        <f ca="1">IFERROR(__xludf.DUMMYFUNCTION("""COMPUTED_VALUE"""),999)</f>
        <v>999</v>
      </c>
      <c r="C13152" s="7">
        <f ca="1">IFERROR(__xludf.DUMMYFUNCTION("""COMPUTED_VALUE"""),999)</f>
        <v>999</v>
      </c>
      <c r="D13152" s="8">
        <f ca="1">IFERROR(__xludf.DUMMYFUNCTION("""COMPUTED_VALUE"""),999)</f>
        <v>999</v>
      </c>
      <c r="E13152" s="2">
        <f ca="1">IFERROR(__xludf.DUMMYFUNCTION("""COMPUTED_VALUE"""),999)</f>
        <v>999</v>
      </c>
    </row>
    <row r="13153" spans="1:5" ht="13">
      <c r="A13153" s="8" t="str">
        <f ca="1">IFERROR(__xludf.DUMMYFUNCTION("""COMPUTED_VALUE"""),"Traditional - Latin Folk Song")</f>
        <v>Traditional - Latin Folk Song</v>
      </c>
      <c r="B13153" s="3">
        <f ca="1">IFERROR(__xludf.DUMMYFUNCTION("""COMPUTED_VALUE"""),999)</f>
        <v>999</v>
      </c>
      <c r="C13153" s="7">
        <f ca="1">IFERROR(__xludf.DUMMYFUNCTION("""COMPUTED_VALUE"""),999)</f>
        <v>999</v>
      </c>
      <c r="D13153" s="8">
        <f ca="1">IFERROR(__xludf.DUMMYFUNCTION("""COMPUTED_VALUE"""),999)</f>
        <v>999</v>
      </c>
      <c r="E13153" s="2">
        <f ca="1">IFERROR(__xludf.DUMMYFUNCTION("""COMPUTED_VALUE"""),999)</f>
        <v>999</v>
      </c>
    </row>
    <row r="13154" spans="1:5" ht="13">
      <c r="A13154" s="2" t="str">
        <f ca="1">IFERROR(__xludf.DUMMYFUNCTION("""COMPUTED_VALUE"""),"Traditional - Latvian")</f>
        <v>Traditional - Latvian</v>
      </c>
      <c r="B13154" s="2">
        <f ca="1">IFERROR(__xludf.DUMMYFUNCTION("""COMPUTED_VALUE"""),999)</f>
        <v>999</v>
      </c>
      <c r="C13154" s="7">
        <f ca="1">IFERROR(__xludf.DUMMYFUNCTION("""COMPUTED_VALUE"""),999)</f>
        <v>999</v>
      </c>
      <c r="D13154" s="8">
        <f ca="1">IFERROR(__xludf.DUMMYFUNCTION("""COMPUTED_VALUE"""),999)</f>
        <v>999</v>
      </c>
      <c r="E13154" s="2">
        <f ca="1">IFERROR(__xludf.DUMMYFUNCTION("""COMPUTED_VALUE"""),999)</f>
        <v>999</v>
      </c>
    </row>
    <row r="13155" spans="1:5" ht="13">
      <c r="A13155" s="2" t="str">
        <f ca="1">IFERROR(__xludf.DUMMYFUNCTION("""COMPUTED_VALUE"""),"Traditional - Londonderry Air")</f>
        <v>Traditional - Londonderry Air</v>
      </c>
      <c r="B13155" s="2">
        <f ca="1">IFERROR(__xludf.DUMMYFUNCTION("""COMPUTED_VALUE"""),999)</f>
        <v>999</v>
      </c>
      <c r="C13155" s="7">
        <f ca="1">IFERROR(__xludf.DUMMYFUNCTION("""COMPUTED_VALUE"""),999)</f>
        <v>999</v>
      </c>
      <c r="D13155" s="8">
        <f ca="1">IFERROR(__xludf.DUMMYFUNCTION("""COMPUTED_VALUE"""),999)</f>
        <v>999</v>
      </c>
      <c r="E13155" s="2">
        <f ca="1">IFERROR(__xludf.DUMMYFUNCTION("""COMPUTED_VALUE"""),999)</f>
        <v>999</v>
      </c>
    </row>
    <row r="13156" spans="1:5" ht="13">
      <c r="A13156" s="2" t="str">
        <f ca="1">IFERROR(__xludf.DUMMYFUNCTION("""COMPUTED_VALUE"""),"Traditional - Macedonian folk song")</f>
        <v>Traditional - Macedonian folk song</v>
      </c>
      <c r="B13156" s="2">
        <f ca="1">IFERROR(__xludf.DUMMYFUNCTION("""COMPUTED_VALUE"""),999)</f>
        <v>999</v>
      </c>
      <c r="C13156" s="7">
        <f ca="1">IFERROR(__xludf.DUMMYFUNCTION("""COMPUTED_VALUE"""),999)</f>
        <v>999</v>
      </c>
      <c r="D13156" s="8">
        <f ca="1">IFERROR(__xludf.DUMMYFUNCTION("""COMPUTED_VALUE"""),999)</f>
        <v>999</v>
      </c>
      <c r="E13156" s="2">
        <f ca="1">IFERROR(__xludf.DUMMYFUNCTION("""COMPUTED_VALUE"""),999)</f>
        <v>999</v>
      </c>
    </row>
    <row r="13157" spans="1:5" ht="13">
      <c r="A13157" s="8" t="str">
        <f ca="1">IFERROR(__xludf.DUMMYFUNCTION("""COMPUTED_VALUE"""),"Traditional - Madukayan Folk Song")</f>
        <v>Traditional - Madukayan Folk Song</v>
      </c>
      <c r="B13157" s="3">
        <f ca="1">IFERROR(__xludf.DUMMYFUNCTION("""COMPUTED_VALUE"""),999)</f>
        <v>999</v>
      </c>
      <c r="C13157" s="7">
        <f ca="1">IFERROR(__xludf.DUMMYFUNCTION("""COMPUTED_VALUE"""),999)</f>
        <v>999</v>
      </c>
      <c r="D13157" s="8">
        <f ca="1">IFERROR(__xludf.DUMMYFUNCTION("""COMPUTED_VALUE"""),999)</f>
        <v>999</v>
      </c>
      <c r="E13157" s="2">
        <f ca="1">IFERROR(__xludf.DUMMYFUNCTION("""COMPUTED_VALUE"""),999)</f>
        <v>999</v>
      </c>
    </row>
    <row r="13158" spans="1:5" ht="13">
      <c r="A13158" s="2" t="str">
        <f ca="1">IFERROR(__xludf.DUMMYFUNCTION("""COMPUTED_VALUE"""),"Traditional - Malagasy Folk Song")</f>
        <v>Traditional - Malagasy Folk Song</v>
      </c>
      <c r="B13158" s="2">
        <f ca="1">IFERROR(__xludf.DUMMYFUNCTION("""COMPUTED_VALUE"""),999)</f>
        <v>999</v>
      </c>
      <c r="C13158" s="7">
        <f ca="1">IFERROR(__xludf.DUMMYFUNCTION("""COMPUTED_VALUE"""),999)</f>
        <v>999</v>
      </c>
      <c r="D13158" s="8">
        <f ca="1">IFERROR(__xludf.DUMMYFUNCTION("""COMPUTED_VALUE"""),999)</f>
        <v>999</v>
      </c>
      <c r="E13158" s="2">
        <f ca="1">IFERROR(__xludf.DUMMYFUNCTION("""COMPUTED_VALUE"""),999)</f>
        <v>999</v>
      </c>
    </row>
    <row r="13159" spans="1:5" ht="13">
      <c r="A13159" s="2" t="str">
        <f ca="1">IFERROR(__xludf.DUMMYFUNCTION("""COMPUTED_VALUE"""),"Traditional - Maori Waiata Moteatea")</f>
        <v>Traditional - Maori Waiata Moteatea</v>
      </c>
      <c r="B13159" s="2">
        <f ca="1">IFERROR(__xludf.DUMMYFUNCTION("""COMPUTED_VALUE"""),999)</f>
        <v>999</v>
      </c>
      <c r="C13159" s="7">
        <f ca="1">IFERROR(__xludf.DUMMYFUNCTION("""COMPUTED_VALUE"""),999)</f>
        <v>999</v>
      </c>
      <c r="D13159" s="8">
        <f ca="1">IFERROR(__xludf.DUMMYFUNCTION("""COMPUTED_VALUE"""),999)</f>
        <v>999</v>
      </c>
      <c r="E13159" s="2">
        <f ca="1">IFERROR(__xludf.DUMMYFUNCTION("""COMPUTED_VALUE"""),999)</f>
        <v>999</v>
      </c>
    </row>
    <row r="13160" spans="1:5" ht="13">
      <c r="A13160" s="8" t="str">
        <f ca="1">IFERROR(__xludf.DUMMYFUNCTION("""COMPUTED_VALUE"""),"Traditional - Medieval")</f>
        <v>Traditional - Medieval</v>
      </c>
      <c r="B13160" s="2">
        <f ca="1">IFERROR(__xludf.DUMMYFUNCTION("""COMPUTED_VALUE"""),999)</f>
        <v>999</v>
      </c>
      <c r="C13160" s="7">
        <f ca="1">IFERROR(__xludf.DUMMYFUNCTION("""COMPUTED_VALUE"""),999)</f>
        <v>999</v>
      </c>
      <c r="D13160" s="8">
        <f ca="1">IFERROR(__xludf.DUMMYFUNCTION("""COMPUTED_VALUE"""),999)</f>
        <v>999</v>
      </c>
      <c r="E13160" s="2">
        <f ca="1">IFERROR(__xludf.DUMMYFUNCTION("""COMPUTED_VALUE"""),999)</f>
        <v>999</v>
      </c>
    </row>
    <row r="13161" spans="1:5" ht="13">
      <c r="A13161" s="2" t="str">
        <f ca="1">IFERROR(__xludf.DUMMYFUNCTION("""COMPUTED_VALUE"""),"Traditional - Mexican Folk Song")</f>
        <v>Traditional - Mexican Folk Song</v>
      </c>
      <c r="B13161" s="2">
        <f ca="1">IFERROR(__xludf.DUMMYFUNCTION("""COMPUTED_VALUE"""),999)</f>
        <v>999</v>
      </c>
      <c r="C13161" s="7">
        <f ca="1">IFERROR(__xludf.DUMMYFUNCTION("""COMPUTED_VALUE"""),999)</f>
        <v>999</v>
      </c>
      <c r="D13161" s="8">
        <f ca="1">IFERROR(__xludf.DUMMYFUNCTION("""COMPUTED_VALUE"""),999)</f>
        <v>999</v>
      </c>
      <c r="E13161" s="2">
        <f ca="1">IFERROR(__xludf.DUMMYFUNCTION("""COMPUTED_VALUE"""),999)</f>
        <v>999</v>
      </c>
    </row>
    <row r="13162" spans="1:5" ht="13">
      <c r="A13162" s="2" t="str">
        <f ca="1">IFERROR(__xludf.DUMMYFUNCTION("""COMPUTED_VALUE"""),"Traditional - Mexican Lullaby")</f>
        <v>Traditional - Mexican Lullaby</v>
      </c>
      <c r="B13162" s="2">
        <f ca="1">IFERROR(__xludf.DUMMYFUNCTION("""COMPUTED_VALUE"""),999)</f>
        <v>999</v>
      </c>
      <c r="C13162" s="7">
        <f ca="1">IFERROR(__xludf.DUMMYFUNCTION("""COMPUTED_VALUE"""),999)</f>
        <v>999</v>
      </c>
      <c r="D13162" s="8">
        <f ca="1">IFERROR(__xludf.DUMMYFUNCTION("""COMPUTED_VALUE"""),999)</f>
        <v>999</v>
      </c>
      <c r="E13162" s="2">
        <f ca="1">IFERROR(__xludf.DUMMYFUNCTION("""COMPUTED_VALUE"""),999)</f>
        <v>999</v>
      </c>
    </row>
    <row r="13163" spans="1:5" ht="13">
      <c r="A13163" s="2" t="str">
        <f ca="1">IFERROR(__xludf.DUMMYFUNCTION("""COMPUTED_VALUE"""),"Traditional - Mexican Revolution")</f>
        <v>Traditional - Mexican Revolution</v>
      </c>
      <c r="B13163" s="2">
        <f ca="1">IFERROR(__xludf.DUMMYFUNCTION("""COMPUTED_VALUE"""),999)</f>
        <v>999</v>
      </c>
      <c r="C13163" s="7">
        <f ca="1">IFERROR(__xludf.DUMMYFUNCTION("""COMPUTED_VALUE"""),999)</f>
        <v>999</v>
      </c>
      <c r="D13163" s="8">
        <f ca="1">IFERROR(__xludf.DUMMYFUNCTION("""COMPUTED_VALUE"""),999)</f>
        <v>999</v>
      </c>
      <c r="E13163" s="2">
        <f ca="1">IFERROR(__xludf.DUMMYFUNCTION("""COMPUTED_VALUE"""),999)</f>
        <v>999</v>
      </c>
    </row>
    <row r="13164" spans="1:5" ht="13">
      <c r="A13164" s="2" t="str">
        <f ca="1">IFERROR(__xludf.DUMMYFUNCTION("""COMPUTED_VALUE"""),"Traditional - Mongolian Folk Tune")</f>
        <v>Traditional - Mongolian Folk Tune</v>
      </c>
      <c r="B13164" s="2">
        <f ca="1">IFERROR(__xludf.DUMMYFUNCTION("""COMPUTED_VALUE"""),999)</f>
        <v>999</v>
      </c>
      <c r="C13164" s="7">
        <f ca="1">IFERROR(__xludf.DUMMYFUNCTION("""COMPUTED_VALUE"""),999)</f>
        <v>999</v>
      </c>
      <c r="D13164" s="8">
        <f ca="1">IFERROR(__xludf.DUMMYFUNCTION("""COMPUTED_VALUE"""),999)</f>
        <v>999</v>
      </c>
      <c r="E13164" s="2">
        <f ca="1">IFERROR(__xludf.DUMMYFUNCTION("""COMPUTED_VALUE"""),999)</f>
        <v>999</v>
      </c>
    </row>
    <row r="13165" spans="1:5" ht="13">
      <c r="A13165" s="2" t="str">
        <f ca="1">IFERROR(__xludf.DUMMYFUNCTION("""COMPUTED_VALUE"""),"Traditional - Mozambic Folk Song")</f>
        <v>Traditional - Mozambic Folk Song</v>
      </c>
      <c r="B13165" s="2">
        <f ca="1">IFERROR(__xludf.DUMMYFUNCTION("""COMPUTED_VALUE"""),999)</f>
        <v>999</v>
      </c>
      <c r="C13165" s="7">
        <f ca="1">IFERROR(__xludf.DUMMYFUNCTION("""COMPUTED_VALUE"""),999)</f>
        <v>999</v>
      </c>
      <c r="D13165" s="8">
        <f ca="1">IFERROR(__xludf.DUMMYFUNCTION("""COMPUTED_VALUE"""),999)</f>
        <v>999</v>
      </c>
      <c r="E13165" s="2">
        <f ca="1">IFERROR(__xludf.DUMMYFUNCTION("""COMPUTED_VALUE"""),999)</f>
        <v>999</v>
      </c>
    </row>
    <row r="13166" spans="1:5" ht="13">
      <c r="A13166" s="8" t="str">
        <f ca="1">IFERROR(__xludf.DUMMYFUNCTION("""COMPUTED_VALUE"""),"Traditional - Native American Folk Song")</f>
        <v>Traditional - Native American Folk Song</v>
      </c>
      <c r="B13166" s="3">
        <f ca="1">IFERROR(__xludf.DUMMYFUNCTION("""COMPUTED_VALUE"""),999)</f>
        <v>999</v>
      </c>
      <c r="C13166" s="7">
        <f ca="1">IFERROR(__xludf.DUMMYFUNCTION("""COMPUTED_VALUE"""),999)</f>
        <v>999</v>
      </c>
      <c r="D13166" s="8">
        <f ca="1">IFERROR(__xludf.DUMMYFUNCTION("""COMPUTED_VALUE"""),999)</f>
        <v>999</v>
      </c>
      <c r="E13166" s="2">
        <f ca="1">IFERROR(__xludf.DUMMYFUNCTION("""COMPUTED_VALUE"""),999)</f>
        <v>999</v>
      </c>
    </row>
    <row r="13167" spans="1:5" ht="13">
      <c r="A13167" s="2" t="str">
        <f ca="1">IFERROR(__xludf.DUMMYFUNCTION("""COMPUTED_VALUE"""),"Traditional - Native Song from New Mexico")</f>
        <v>Traditional - Native Song from New Mexico</v>
      </c>
      <c r="B13167" s="2">
        <f ca="1">IFERROR(__xludf.DUMMYFUNCTION("""COMPUTED_VALUE"""),999)</f>
        <v>999</v>
      </c>
      <c r="C13167" s="7">
        <f ca="1">IFERROR(__xludf.DUMMYFUNCTION("""COMPUTED_VALUE"""),999)</f>
        <v>999</v>
      </c>
      <c r="D13167" s="8">
        <f ca="1">IFERROR(__xludf.DUMMYFUNCTION("""COMPUTED_VALUE"""),999)</f>
        <v>999</v>
      </c>
      <c r="E13167" s="2">
        <f ca="1">IFERROR(__xludf.DUMMYFUNCTION("""COMPUTED_VALUE"""),999)</f>
        <v>999</v>
      </c>
    </row>
    <row r="13168" spans="1:5" ht="13">
      <c r="A13168" s="8" t="str">
        <f ca="1">IFERROR(__xludf.DUMMYFUNCTION("""COMPUTED_VALUE"""),"Traditional - Newfoundland Folk Song")</f>
        <v>Traditional - Newfoundland Folk Song</v>
      </c>
      <c r="B13168" s="3">
        <f ca="1">IFERROR(__xludf.DUMMYFUNCTION("""COMPUTED_VALUE"""),999)</f>
        <v>999</v>
      </c>
      <c r="C13168" s="7">
        <f ca="1">IFERROR(__xludf.DUMMYFUNCTION("""COMPUTED_VALUE"""),999)</f>
        <v>999</v>
      </c>
      <c r="D13168" s="8">
        <f ca="1">IFERROR(__xludf.DUMMYFUNCTION("""COMPUTED_VALUE"""),999)</f>
        <v>999</v>
      </c>
      <c r="E13168" s="2">
        <f ca="1">IFERROR(__xludf.DUMMYFUNCTION("""COMPUTED_VALUE"""),999)</f>
        <v>999</v>
      </c>
    </row>
    <row r="13169" spans="1:5" ht="13">
      <c r="A13169" s="8" t="str">
        <f ca="1">IFERROR(__xludf.DUMMYFUNCTION("""COMPUTED_VALUE"""),"Traditional - Nicaraguan Folk Song")</f>
        <v>Traditional - Nicaraguan Folk Song</v>
      </c>
      <c r="B13169" s="3">
        <f ca="1">IFERROR(__xludf.DUMMYFUNCTION("""COMPUTED_VALUE"""),999)</f>
        <v>999</v>
      </c>
      <c r="C13169" s="7">
        <f ca="1">IFERROR(__xludf.DUMMYFUNCTION("""COMPUTED_VALUE"""),999)</f>
        <v>999</v>
      </c>
      <c r="D13169" s="8">
        <f ca="1">IFERROR(__xludf.DUMMYFUNCTION("""COMPUTED_VALUE"""),999)</f>
        <v>999</v>
      </c>
      <c r="E13169" s="2">
        <f ca="1">IFERROR(__xludf.DUMMYFUNCTION("""COMPUTED_VALUE"""),999)</f>
        <v>999</v>
      </c>
    </row>
    <row r="13170" spans="1:5" ht="13">
      <c r="A13170" s="2" t="str">
        <f ca="1">IFERROR(__xludf.DUMMYFUNCTION("""COMPUTED_VALUE"""),"Traditional - Nigerian Folk Song")</f>
        <v>Traditional - Nigerian Folk Song</v>
      </c>
      <c r="B13170" s="2">
        <f ca="1">IFERROR(__xludf.DUMMYFUNCTION("""COMPUTED_VALUE"""),999)</f>
        <v>999</v>
      </c>
      <c r="C13170" s="7">
        <f ca="1">IFERROR(__xludf.DUMMYFUNCTION("""COMPUTED_VALUE"""),999)</f>
        <v>999</v>
      </c>
      <c r="D13170" s="8">
        <f ca="1">IFERROR(__xludf.DUMMYFUNCTION("""COMPUTED_VALUE"""),999)</f>
        <v>999</v>
      </c>
      <c r="E13170" s="2">
        <f ca="1">IFERROR(__xludf.DUMMYFUNCTION("""COMPUTED_VALUE"""),999)</f>
        <v>999</v>
      </c>
    </row>
    <row r="13171" spans="1:5" ht="13">
      <c r="A13171" s="2" t="str">
        <f ca="1">IFERROR(__xludf.DUMMYFUNCTION("""COMPUTED_VALUE"""),"Traditional - Northumbrian Folk Song")</f>
        <v>Traditional - Northumbrian Folk Song</v>
      </c>
      <c r="B13171" s="2">
        <f ca="1">IFERROR(__xludf.DUMMYFUNCTION("""COMPUTED_VALUE"""),999)</f>
        <v>999</v>
      </c>
      <c r="C13171" s="7">
        <f ca="1">IFERROR(__xludf.DUMMYFUNCTION("""COMPUTED_VALUE"""),999)</f>
        <v>999</v>
      </c>
      <c r="D13171" s="8">
        <f ca="1">IFERROR(__xludf.DUMMYFUNCTION("""COMPUTED_VALUE"""),999)</f>
        <v>999</v>
      </c>
      <c r="E13171" s="2">
        <f ca="1">IFERROR(__xludf.DUMMYFUNCTION("""COMPUTED_VALUE"""),999)</f>
        <v>999</v>
      </c>
    </row>
    <row r="13172" spans="1:5" ht="13">
      <c r="A13172" s="8" t="str">
        <f ca="1">IFERROR(__xludf.DUMMYFUNCTION("""COMPUTED_VALUE"""),"Traditional - Norwegian Folk Song")</f>
        <v>Traditional - Norwegian Folk Song</v>
      </c>
      <c r="B13172" s="3">
        <f ca="1">IFERROR(__xludf.DUMMYFUNCTION("""COMPUTED_VALUE"""),999)</f>
        <v>999</v>
      </c>
      <c r="C13172" s="7">
        <f ca="1">IFERROR(__xludf.DUMMYFUNCTION("""COMPUTED_VALUE"""),999)</f>
        <v>999</v>
      </c>
      <c r="D13172" s="8">
        <f ca="1">IFERROR(__xludf.DUMMYFUNCTION("""COMPUTED_VALUE"""),999)</f>
        <v>999</v>
      </c>
      <c r="E13172" s="2">
        <f ca="1">IFERROR(__xludf.DUMMYFUNCTION("""COMPUTED_VALUE"""),999)</f>
        <v>999</v>
      </c>
    </row>
    <row r="13173" spans="1:5" ht="13">
      <c r="A13173" s="8" t="str">
        <f ca="1">IFERROR(__xludf.DUMMYFUNCTION("""COMPUTED_VALUE"""),"Traditional - Old British Song")</f>
        <v>Traditional - Old British Song</v>
      </c>
      <c r="B13173" s="2">
        <f ca="1">IFERROR(__xludf.DUMMYFUNCTION("""COMPUTED_VALUE"""),999)</f>
        <v>999</v>
      </c>
      <c r="C13173" s="7">
        <f ca="1">IFERROR(__xludf.DUMMYFUNCTION("""COMPUTED_VALUE"""),999)</f>
        <v>999</v>
      </c>
      <c r="D13173" s="8">
        <f ca="1">IFERROR(__xludf.DUMMYFUNCTION("""COMPUTED_VALUE"""),999)</f>
        <v>999</v>
      </c>
      <c r="E13173" s="2">
        <f ca="1">IFERROR(__xludf.DUMMYFUNCTION("""COMPUTED_VALUE"""),999)</f>
        <v>999</v>
      </c>
    </row>
    <row r="13174" spans="1:5" ht="13">
      <c r="A13174" s="8" t="str">
        <f ca="1">IFERROR(__xludf.DUMMYFUNCTION("""COMPUTED_VALUE"""),"Traditional - Old Shaker Melody")</f>
        <v>Traditional - Old Shaker Melody</v>
      </c>
      <c r="B13174" s="2">
        <f ca="1">IFERROR(__xludf.DUMMYFUNCTION("""COMPUTED_VALUE"""),999)</f>
        <v>999</v>
      </c>
      <c r="C13174" s="7">
        <f ca="1">IFERROR(__xludf.DUMMYFUNCTION("""COMPUTED_VALUE"""),999)</f>
        <v>999</v>
      </c>
      <c r="D13174" s="8">
        <f ca="1">IFERROR(__xludf.DUMMYFUNCTION("""COMPUTED_VALUE"""),999)</f>
        <v>999</v>
      </c>
      <c r="E13174" s="2">
        <f ca="1">IFERROR(__xludf.DUMMYFUNCTION("""COMPUTED_VALUE"""),999)</f>
        <v>999</v>
      </c>
    </row>
    <row r="13175" spans="1:5" ht="13">
      <c r="A13175" s="2" t="str">
        <f ca="1">IFERROR(__xludf.DUMMYFUNCTION("""COMPUTED_VALUE"""),"Traditional - Pakpaknese")</f>
        <v>Traditional - Pakpaknese</v>
      </c>
      <c r="B13175" s="2">
        <f ca="1">IFERROR(__xludf.DUMMYFUNCTION("""COMPUTED_VALUE"""),999)</f>
        <v>999</v>
      </c>
      <c r="C13175" s="7">
        <f ca="1">IFERROR(__xludf.DUMMYFUNCTION("""COMPUTED_VALUE"""),999)</f>
        <v>999</v>
      </c>
      <c r="D13175" s="8">
        <f ca="1">IFERROR(__xludf.DUMMYFUNCTION("""COMPUTED_VALUE"""),999)</f>
        <v>999</v>
      </c>
      <c r="E13175" s="2">
        <f ca="1">IFERROR(__xludf.DUMMYFUNCTION("""COMPUTED_VALUE"""),999)</f>
        <v>999</v>
      </c>
    </row>
    <row r="13176" spans="1:5" ht="13">
      <c r="A13176" s="2" t="str">
        <f ca="1">IFERROR(__xludf.DUMMYFUNCTION("""COMPUTED_VALUE"""),"Traditional - Pennsylvania Dutch Folk Song")</f>
        <v>Traditional - Pennsylvania Dutch Folk Song</v>
      </c>
      <c r="B13176" s="2">
        <f ca="1">IFERROR(__xludf.DUMMYFUNCTION("""COMPUTED_VALUE"""),999)</f>
        <v>999</v>
      </c>
      <c r="C13176" s="7">
        <f ca="1">IFERROR(__xludf.DUMMYFUNCTION("""COMPUTED_VALUE"""),999)</f>
        <v>999</v>
      </c>
      <c r="D13176" s="8">
        <f ca="1">IFERROR(__xludf.DUMMYFUNCTION("""COMPUTED_VALUE"""),999)</f>
        <v>999</v>
      </c>
      <c r="E13176" s="2">
        <f ca="1">IFERROR(__xludf.DUMMYFUNCTION("""COMPUTED_VALUE"""),999)</f>
        <v>999</v>
      </c>
    </row>
    <row r="13177" spans="1:5" ht="13">
      <c r="A13177" s="2" t="str">
        <f ca="1">IFERROR(__xludf.DUMMYFUNCTION("""COMPUTED_VALUE"""),"Traditional - Phillipine")</f>
        <v>Traditional - Phillipine</v>
      </c>
      <c r="B13177" s="2">
        <f ca="1">IFERROR(__xludf.DUMMYFUNCTION("""COMPUTED_VALUE"""),999)</f>
        <v>999</v>
      </c>
      <c r="C13177" s="7">
        <f ca="1">IFERROR(__xludf.DUMMYFUNCTION("""COMPUTED_VALUE"""),999)</f>
        <v>999</v>
      </c>
      <c r="D13177" s="8">
        <f ca="1">IFERROR(__xludf.DUMMYFUNCTION("""COMPUTED_VALUE"""),999)</f>
        <v>999</v>
      </c>
      <c r="E13177" s="2">
        <f ca="1">IFERROR(__xludf.DUMMYFUNCTION("""COMPUTED_VALUE"""),999)</f>
        <v>999</v>
      </c>
    </row>
    <row r="13178" spans="1:5" ht="13">
      <c r="A13178" s="8" t="str">
        <f ca="1">IFERROR(__xludf.DUMMYFUNCTION("""COMPUTED_VALUE"""),"Traditional - Polish War Song")</f>
        <v>Traditional - Polish War Song</v>
      </c>
      <c r="B13178" s="2">
        <f ca="1">IFERROR(__xludf.DUMMYFUNCTION("""COMPUTED_VALUE"""),999)</f>
        <v>999</v>
      </c>
      <c r="C13178" s="7">
        <f ca="1">IFERROR(__xludf.DUMMYFUNCTION("""COMPUTED_VALUE"""),999)</f>
        <v>999</v>
      </c>
      <c r="D13178" s="8">
        <f ca="1">IFERROR(__xludf.DUMMYFUNCTION("""COMPUTED_VALUE"""),999)</f>
        <v>999</v>
      </c>
      <c r="E13178" s="2">
        <f ca="1">IFERROR(__xludf.DUMMYFUNCTION("""COMPUTED_VALUE"""),999)</f>
        <v>999</v>
      </c>
    </row>
    <row r="13179" spans="1:5" ht="13">
      <c r="A13179" s="8" t="str">
        <f ca="1">IFERROR(__xludf.DUMMYFUNCTION("""COMPUTED_VALUE"""),"Traditional - Polynesian Folk Song")</f>
        <v>Traditional - Polynesian Folk Song</v>
      </c>
      <c r="B13179" s="3">
        <f ca="1">IFERROR(__xludf.DUMMYFUNCTION("""COMPUTED_VALUE"""),999)</f>
        <v>999</v>
      </c>
      <c r="C13179" s="7">
        <f ca="1">IFERROR(__xludf.DUMMYFUNCTION("""COMPUTED_VALUE"""),999)</f>
        <v>999</v>
      </c>
      <c r="D13179" s="8">
        <f ca="1">IFERROR(__xludf.DUMMYFUNCTION("""COMPUTED_VALUE"""),999)</f>
        <v>999</v>
      </c>
      <c r="E13179" s="2">
        <f ca="1">IFERROR(__xludf.DUMMYFUNCTION("""COMPUTED_VALUE"""),999)</f>
        <v>999</v>
      </c>
    </row>
    <row r="13180" spans="1:5" ht="13">
      <c r="A13180" s="8" t="str">
        <f ca="1">IFERROR(__xludf.DUMMYFUNCTION("""COMPUTED_VALUE"""),"Traditional - Portuguese Folk Song")</f>
        <v>Traditional - Portuguese Folk Song</v>
      </c>
      <c r="B13180" s="3">
        <f ca="1">IFERROR(__xludf.DUMMYFUNCTION("""COMPUTED_VALUE"""),999)</f>
        <v>999</v>
      </c>
      <c r="C13180" s="7">
        <f ca="1">IFERROR(__xludf.DUMMYFUNCTION("""COMPUTED_VALUE"""),999)</f>
        <v>999</v>
      </c>
      <c r="D13180" s="8">
        <f ca="1">IFERROR(__xludf.DUMMYFUNCTION("""COMPUTED_VALUE"""),999)</f>
        <v>999</v>
      </c>
      <c r="E13180" s="2">
        <f ca="1">IFERROR(__xludf.DUMMYFUNCTION("""COMPUTED_VALUE"""),999)</f>
        <v>999</v>
      </c>
    </row>
    <row r="13181" spans="1:5" ht="13">
      <c r="A13181" s="2" t="str">
        <f ca="1">IFERROR(__xludf.DUMMYFUNCTION("""COMPUTED_VALUE"""),"Traditional - Puerto Rican Folk Song")</f>
        <v>Traditional - Puerto Rican Folk Song</v>
      </c>
      <c r="B13181" s="2">
        <f ca="1">IFERROR(__xludf.DUMMYFUNCTION("""COMPUTED_VALUE"""),999)</f>
        <v>999</v>
      </c>
      <c r="C13181" s="7">
        <f ca="1">IFERROR(__xludf.DUMMYFUNCTION("""COMPUTED_VALUE"""),999)</f>
        <v>999</v>
      </c>
      <c r="D13181" s="8">
        <f ca="1">IFERROR(__xludf.DUMMYFUNCTION("""COMPUTED_VALUE"""),999)</f>
        <v>999</v>
      </c>
      <c r="E13181" s="2">
        <f ca="1">IFERROR(__xludf.DUMMYFUNCTION("""COMPUTED_VALUE"""),999)</f>
        <v>999</v>
      </c>
    </row>
    <row r="13182" spans="1:5" ht="13">
      <c r="A13182" s="2" t="str">
        <f ca="1">IFERROR(__xludf.DUMMYFUNCTION("""COMPUTED_VALUE"""),"Traditional - Quaker Hymn")</f>
        <v>Traditional - Quaker Hymn</v>
      </c>
      <c r="B13182" s="2">
        <f ca="1">IFERROR(__xludf.DUMMYFUNCTION("""COMPUTED_VALUE"""),999)</f>
        <v>999</v>
      </c>
      <c r="C13182" s="7">
        <f ca="1">IFERROR(__xludf.DUMMYFUNCTION("""COMPUTED_VALUE"""),999)</f>
        <v>999</v>
      </c>
      <c r="D13182" s="8">
        <f ca="1">IFERROR(__xludf.DUMMYFUNCTION("""COMPUTED_VALUE"""),999)</f>
        <v>999</v>
      </c>
      <c r="E13182" s="2">
        <f ca="1">IFERROR(__xludf.DUMMYFUNCTION("""COMPUTED_VALUE"""),999)</f>
        <v>999</v>
      </c>
    </row>
    <row r="13183" spans="1:5" ht="13">
      <c r="A13183" s="2" t="str">
        <f ca="1">IFERROR(__xludf.DUMMYFUNCTION("""COMPUTED_VALUE"""),"Traditional - Quebecois folk song")</f>
        <v>Traditional - Quebecois folk song</v>
      </c>
      <c r="B13183" s="2">
        <f ca="1">IFERROR(__xludf.DUMMYFUNCTION("""COMPUTED_VALUE"""),999)</f>
        <v>999</v>
      </c>
      <c r="C13183" s="7">
        <f ca="1">IFERROR(__xludf.DUMMYFUNCTION("""COMPUTED_VALUE"""),999)</f>
        <v>999</v>
      </c>
      <c r="D13183" s="8">
        <f ca="1">IFERROR(__xludf.DUMMYFUNCTION("""COMPUTED_VALUE"""),999)</f>
        <v>999</v>
      </c>
      <c r="E13183" s="2">
        <f ca="1">IFERROR(__xludf.DUMMYFUNCTION("""COMPUTED_VALUE"""),999)</f>
        <v>999</v>
      </c>
    </row>
    <row r="13184" spans="1:5" ht="13">
      <c r="A13184" s="8" t="str">
        <f ca="1">IFERROR(__xludf.DUMMYFUNCTION("""COMPUTED_VALUE"""),"Traditional - Russian Folk Song")</f>
        <v>Traditional - Russian Folk Song</v>
      </c>
      <c r="B13184" s="3">
        <f ca="1">IFERROR(__xludf.DUMMYFUNCTION("""COMPUTED_VALUE"""),999)</f>
        <v>999</v>
      </c>
      <c r="C13184" s="7">
        <f ca="1">IFERROR(__xludf.DUMMYFUNCTION("""COMPUTED_VALUE"""),999)</f>
        <v>999</v>
      </c>
      <c r="D13184" s="8">
        <f ca="1">IFERROR(__xludf.DUMMYFUNCTION("""COMPUTED_VALUE"""),999)</f>
        <v>999</v>
      </c>
      <c r="E13184" s="2">
        <f ca="1">IFERROR(__xludf.DUMMYFUNCTION("""COMPUTED_VALUE"""),999)</f>
        <v>999</v>
      </c>
    </row>
    <row r="13185" spans="1:5" ht="13">
      <c r="A13185" s="2" t="str">
        <f ca="1">IFERROR(__xludf.DUMMYFUNCTION("""COMPUTED_VALUE"""),"Traditional - Sacred Harp Tune")</f>
        <v>Traditional - Sacred Harp Tune</v>
      </c>
      <c r="B13185" s="2">
        <f ca="1">IFERROR(__xludf.DUMMYFUNCTION("""COMPUTED_VALUE"""),999)</f>
        <v>999</v>
      </c>
      <c r="C13185" s="7">
        <f ca="1">IFERROR(__xludf.DUMMYFUNCTION("""COMPUTED_VALUE"""),999)</f>
        <v>999</v>
      </c>
      <c r="D13185" s="8">
        <f ca="1">IFERROR(__xludf.DUMMYFUNCTION("""COMPUTED_VALUE"""),999)</f>
        <v>999</v>
      </c>
      <c r="E13185" s="2">
        <f ca="1">IFERROR(__xludf.DUMMYFUNCTION("""COMPUTED_VALUE"""),999)</f>
        <v>999</v>
      </c>
    </row>
    <row r="13186" spans="1:5" ht="13">
      <c r="A13186" s="2" t="str">
        <f ca="1">IFERROR(__xludf.DUMMYFUNCTION("""COMPUTED_VALUE"""),"Traditional - Scotch Reel")</f>
        <v>Traditional - Scotch Reel</v>
      </c>
      <c r="B13186" s="2">
        <f ca="1">IFERROR(__xludf.DUMMYFUNCTION("""COMPUTED_VALUE"""),999)</f>
        <v>999</v>
      </c>
      <c r="C13186" s="7">
        <f ca="1">IFERROR(__xludf.DUMMYFUNCTION("""COMPUTED_VALUE"""),999)</f>
        <v>999</v>
      </c>
      <c r="D13186" s="8">
        <f ca="1">IFERROR(__xludf.DUMMYFUNCTION("""COMPUTED_VALUE"""),999)</f>
        <v>999</v>
      </c>
      <c r="E13186" s="2">
        <f ca="1">IFERROR(__xludf.DUMMYFUNCTION("""COMPUTED_VALUE"""),999)</f>
        <v>999</v>
      </c>
    </row>
    <row r="13187" spans="1:5" ht="13">
      <c r="A13187" s="2" t="str">
        <f ca="1">IFERROR(__xludf.DUMMYFUNCTION("""COMPUTED_VALUE"""),"Traditional - Scottish Air")</f>
        <v>Traditional - Scottish Air</v>
      </c>
      <c r="B13187" s="2">
        <f ca="1">IFERROR(__xludf.DUMMYFUNCTION("""COMPUTED_VALUE"""),999)</f>
        <v>999</v>
      </c>
      <c r="C13187" s="7">
        <f ca="1">IFERROR(__xludf.DUMMYFUNCTION("""COMPUTED_VALUE"""),999)</f>
        <v>999</v>
      </c>
      <c r="D13187" s="8">
        <f ca="1">IFERROR(__xludf.DUMMYFUNCTION("""COMPUTED_VALUE"""),999)</f>
        <v>999</v>
      </c>
      <c r="E13187" s="2">
        <f ca="1">IFERROR(__xludf.DUMMYFUNCTION("""COMPUTED_VALUE"""),999)</f>
        <v>999</v>
      </c>
    </row>
    <row r="13188" spans="1:5" ht="13">
      <c r="A13188" s="8" t="str">
        <f ca="1">IFERROR(__xludf.DUMMYFUNCTION("""COMPUTED_VALUE"""),"Traditional - Scottish Folk Song")</f>
        <v>Traditional - Scottish Folk Song</v>
      </c>
      <c r="B13188" s="3">
        <f ca="1">IFERROR(__xludf.DUMMYFUNCTION("""COMPUTED_VALUE"""),999)</f>
        <v>999</v>
      </c>
      <c r="C13188" s="7">
        <f ca="1">IFERROR(__xludf.DUMMYFUNCTION("""COMPUTED_VALUE"""),999)</f>
        <v>999</v>
      </c>
      <c r="D13188" s="8">
        <f ca="1">IFERROR(__xludf.DUMMYFUNCTION("""COMPUTED_VALUE"""),999)</f>
        <v>999</v>
      </c>
      <c r="E13188" s="2">
        <f ca="1">IFERROR(__xludf.DUMMYFUNCTION("""COMPUTED_VALUE"""),999)</f>
        <v>999</v>
      </c>
    </row>
    <row r="13189" spans="1:5" ht="13">
      <c r="A13189" s="2" t="str">
        <f ca="1">IFERROR(__xludf.DUMMYFUNCTION("""COMPUTED_VALUE"""),"Traditional - Scottish Lullaby")</f>
        <v>Traditional - Scottish Lullaby</v>
      </c>
      <c r="B13189" s="2">
        <f ca="1">IFERROR(__xludf.DUMMYFUNCTION("""COMPUTED_VALUE"""),999)</f>
        <v>999</v>
      </c>
      <c r="C13189" s="7">
        <f ca="1">IFERROR(__xludf.DUMMYFUNCTION("""COMPUTED_VALUE"""),999)</f>
        <v>999</v>
      </c>
      <c r="D13189" s="8">
        <f ca="1">IFERROR(__xludf.DUMMYFUNCTION("""COMPUTED_VALUE"""),999)</f>
        <v>999</v>
      </c>
      <c r="E13189" s="2">
        <f ca="1">IFERROR(__xludf.DUMMYFUNCTION("""COMPUTED_VALUE"""),999)</f>
        <v>999</v>
      </c>
    </row>
    <row r="13190" spans="1:5" ht="13">
      <c r="A13190" s="8" t="str">
        <f ca="1">IFERROR(__xludf.DUMMYFUNCTION("""COMPUTED_VALUE"""),"Traditional - Sea Shanty")</f>
        <v>Traditional - Sea Shanty</v>
      </c>
      <c r="B13190" s="2">
        <f ca="1">IFERROR(__xludf.DUMMYFUNCTION("""COMPUTED_VALUE"""),999)</f>
        <v>999</v>
      </c>
      <c r="C13190" s="7">
        <f ca="1">IFERROR(__xludf.DUMMYFUNCTION("""COMPUTED_VALUE"""),999)</f>
        <v>999</v>
      </c>
      <c r="D13190" s="8">
        <f ca="1">IFERROR(__xludf.DUMMYFUNCTION("""COMPUTED_VALUE"""),999)</f>
        <v>999</v>
      </c>
      <c r="E13190" s="2">
        <f ca="1">IFERROR(__xludf.DUMMYFUNCTION("""COMPUTED_VALUE"""),999)</f>
        <v>999</v>
      </c>
    </row>
    <row r="13191" spans="1:5" ht="13">
      <c r="A13191" s="8" t="str">
        <f ca="1">IFERROR(__xludf.DUMMYFUNCTION("""COMPUTED_VALUE"""),"Traditional - Senegal Folk Song")</f>
        <v>Traditional - Senegal Folk Song</v>
      </c>
      <c r="B13191" s="3">
        <f ca="1">IFERROR(__xludf.DUMMYFUNCTION("""COMPUTED_VALUE"""),999)</f>
        <v>999</v>
      </c>
      <c r="C13191" s="7">
        <f ca="1">IFERROR(__xludf.DUMMYFUNCTION("""COMPUTED_VALUE"""),999)</f>
        <v>999</v>
      </c>
      <c r="D13191" s="8">
        <f ca="1">IFERROR(__xludf.DUMMYFUNCTION("""COMPUTED_VALUE"""),999)</f>
        <v>999</v>
      </c>
      <c r="E13191" s="2">
        <f ca="1">IFERROR(__xludf.DUMMYFUNCTION("""COMPUTED_VALUE"""),999)</f>
        <v>999</v>
      </c>
    </row>
    <row r="13192" spans="1:5" ht="13">
      <c r="A13192" s="8" t="str">
        <f ca="1">IFERROR(__xludf.DUMMYFUNCTION("""COMPUTED_VALUE"""),"Traditional - Sephardic Folk Song")</f>
        <v>Traditional - Sephardic Folk Song</v>
      </c>
      <c r="B13192" s="3">
        <f ca="1">IFERROR(__xludf.DUMMYFUNCTION("""COMPUTED_VALUE"""),999)</f>
        <v>999</v>
      </c>
      <c r="C13192" s="7">
        <f ca="1">IFERROR(__xludf.DUMMYFUNCTION("""COMPUTED_VALUE"""),999)</f>
        <v>999</v>
      </c>
      <c r="D13192" s="8">
        <f ca="1">IFERROR(__xludf.DUMMYFUNCTION("""COMPUTED_VALUE"""),999)</f>
        <v>999</v>
      </c>
      <c r="E13192" s="2">
        <f ca="1">IFERROR(__xludf.DUMMYFUNCTION("""COMPUTED_VALUE"""),999)</f>
        <v>999</v>
      </c>
    </row>
    <row r="13193" spans="1:5" ht="13">
      <c r="A13193" s="8" t="str">
        <f ca="1">IFERROR(__xludf.DUMMYFUNCTION("""COMPUTED_VALUE"""),"Traditional - Sephardic Wedding Song")</f>
        <v>Traditional - Sephardic Wedding Song</v>
      </c>
      <c r="B13193" s="2">
        <f ca="1">IFERROR(__xludf.DUMMYFUNCTION("""COMPUTED_VALUE"""),999)</f>
        <v>999</v>
      </c>
      <c r="C13193" s="7">
        <f ca="1">IFERROR(__xludf.DUMMYFUNCTION("""COMPUTED_VALUE"""),999)</f>
        <v>999</v>
      </c>
      <c r="D13193" s="8">
        <f ca="1">IFERROR(__xludf.DUMMYFUNCTION("""COMPUTED_VALUE"""),999)</f>
        <v>999</v>
      </c>
      <c r="E13193" s="2">
        <f ca="1">IFERROR(__xludf.DUMMYFUNCTION("""COMPUTED_VALUE"""),999)</f>
        <v>999</v>
      </c>
    </row>
    <row r="13194" spans="1:5" ht="13">
      <c r="A13194" s="8" t="str">
        <f ca="1">IFERROR(__xludf.DUMMYFUNCTION("""COMPUTED_VALUE"""),"Traditional - Serbian Folk song")</f>
        <v>Traditional - Serbian Folk song</v>
      </c>
      <c r="B13194" s="2">
        <f ca="1">IFERROR(__xludf.DUMMYFUNCTION("""COMPUTED_VALUE"""),999)</f>
        <v>999</v>
      </c>
      <c r="C13194" s="7">
        <f ca="1">IFERROR(__xludf.DUMMYFUNCTION("""COMPUTED_VALUE"""),999)</f>
        <v>999</v>
      </c>
      <c r="D13194" s="8">
        <f ca="1">IFERROR(__xludf.DUMMYFUNCTION("""COMPUTED_VALUE"""),999)</f>
        <v>999</v>
      </c>
      <c r="E13194" s="2">
        <f ca="1">IFERROR(__xludf.DUMMYFUNCTION("""COMPUTED_VALUE"""),999)</f>
        <v>999</v>
      </c>
    </row>
    <row r="13195" spans="1:5" ht="13">
      <c r="A13195" s="2" t="str">
        <f ca="1">IFERROR(__xludf.DUMMYFUNCTION("""COMPUTED_VALUE"""),"Traditional - Serbian Gypsy Dance")</f>
        <v>Traditional - Serbian Gypsy Dance</v>
      </c>
      <c r="B13195" s="2">
        <f ca="1">IFERROR(__xludf.DUMMYFUNCTION("""COMPUTED_VALUE"""),999)</f>
        <v>999</v>
      </c>
      <c r="C13195" s="7">
        <f ca="1">IFERROR(__xludf.DUMMYFUNCTION("""COMPUTED_VALUE"""),999)</f>
        <v>999</v>
      </c>
      <c r="D13195" s="8">
        <f ca="1">IFERROR(__xludf.DUMMYFUNCTION("""COMPUTED_VALUE"""),999)</f>
        <v>999</v>
      </c>
      <c r="E13195" s="2">
        <f ca="1">IFERROR(__xludf.DUMMYFUNCTION("""COMPUTED_VALUE"""),999)</f>
        <v>999</v>
      </c>
    </row>
    <row r="13196" spans="1:5" ht="13">
      <c r="A13196" s="2" t="str">
        <f ca="1">IFERROR(__xludf.DUMMYFUNCTION("""COMPUTED_VALUE"""),"Traditional - Sesotho")</f>
        <v>Traditional - Sesotho</v>
      </c>
      <c r="B13196" s="2">
        <f ca="1">IFERROR(__xludf.DUMMYFUNCTION("""COMPUTED_VALUE"""),999)</f>
        <v>999</v>
      </c>
      <c r="C13196" s="7">
        <f ca="1">IFERROR(__xludf.DUMMYFUNCTION("""COMPUTED_VALUE"""),999)</f>
        <v>999</v>
      </c>
      <c r="D13196" s="8">
        <f ca="1">IFERROR(__xludf.DUMMYFUNCTION("""COMPUTED_VALUE"""),999)</f>
        <v>999</v>
      </c>
      <c r="E13196" s="2">
        <f ca="1">IFERROR(__xludf.DUMMYFUNCTION("""COMPUTED_VALUE"""),999)</f>
        <v>999</v>
      </c>
    </row>
    <row r="13197" spans="1:5" ht="13">
      <c r="A13197" s="8" t="str">
        <f ca="1">IFERROR(__xludf.DUMMYFUNCTION("""COMPUTED_VALUE"""),"Traditional - Shaker Folk Song")</f>
        <v>Traditional - Shaker Folk Song</v>
      </c>
      <c r="B13197" s="3">
        <f ca="1">IFERROR(__xludf.DUMMYFUNCTION("""COMPUTED_VALUE"""),999)</f>
        <v>999</v>
      </c>
      <c r="C13197" s="7">
        <f ca="1">IFERROR(__xludf.DUMMYFUNCTION("""COMPUTED_VALUE"""),999)</f>
        <v>999</v>
      </c>
      <c r="D13197" s="8">
        <f ca="1">IFERROR(__xludf.DUMMYFUNCTION("""COMPUTED_VALUE"""),999)</f>
        <v>999</v>
      </c>
      <c r="E13197" s="2">
        <f ca="1">IFERROR(__xludf.DUMMYFUNCTION("""COMPUTED_VALUE"""),999)</f>
        <v>999</v>
      </c>
    </row>
    <row r="13198" spans="1:5" ht="13">
      <c r="A13198" s="2" t="str">
        <f ca="1">IFERROR(__xludf.DUMMYFUNCTION("""COMPUTED_VALUE"""),"Traditional - Shaker Tune")</f>
        <v>Traditional - Shaker Tune</v>
      </c>
      <c r="B13198" s="2">
        <f ca="1">IFERROR(__xludf.DUMMYFUNCTION("""COMPUTED_VALUE"""),999)</f>
        <v>999</v>
      </c>
      <c r="C13198" s="7">
        <f ca="1">IFERROR(__xludf.DUMMYFUNCTION("""COMPUTED_VALUE"""),999)</f>
        <v>999</v>
      </c>
      <c r="D13198" s="8">
        <f ca="1">IFERROR(__xludf.DUMMYFUNCTION("""COMPUTED_VALUE"""),999)</f>
        <v>999</v>
      </c>
      <c r="E13198" s="2">
        <f ca="1">IFERROR(__xludf.DUMMYFUNCTION("""COMPUTED_VALUE"""),999)</f>
        <v>999</v>
      </c>
    </row>
    <row r="13199" spans="1:5" ht="13">
      <c r="A13199" s="2" t="str">
        <f ca="1">IFERROR(__xludf.DUMMYFUNCTION("""COMPUTED_VALUE"""),"Traditional - Shape Note Song")</f>
        <v>Traditional - Shape Note Song</v>
      </c>
      <c r="B13199" s="2">
        <f ca="1">IFERROR(__xludf.DUMMYFUNCTION("""COMPUTED_VALUE"""),999)</f>
        <v>999</v>
      </c>
      <c r="C13199" s="7">
        <f ca="1">IFERROR(__xludf.DUMMYFUNCTION("""COMPUTED_VALUE"""),999)</f>
        <v>999</v>
      </c>
      <c r="D13199" s="8">
        <f ca="1">IFERROR(__xludf.DUMMYFUNCTION("""COMPUTED_VALUE"""),999)</f>
        <v>999</v>
      </c>
      <c r="E13199" s="2">
        <f ca="1">IFERROR(__xludf.DUMMYFUNCTION("""COMPUTED_VALUE"""),999)</f>
        <v>999</v>
      </c>
    </row>
    <row r="13200" spans="1:5" ht="13">
      <c r="A13200" s="8" t="str">
        <f ca="1">IFERROR(__xludf.DUMMYFUNCTION("""COMPUTED_VALUE"""),"Traditional - Slovak Folk Song")</f>
        <v>Traditional - Slovak Folk Song</v>
      </c>
      <c r="B13200" s="3">
        <f ca="1">IFERROR(__xludf.DUMMYFUNCTION("""COMPUTED_VALUE"""),999)</f>
        <v>999</v>
      </c>
      <c r="C13200" s="7">
        <f ca="1">IFERROR(__xludf.DUMMYFUNCTION("""COMPUTED_VALUE"""),999)</f>
        <v>999</v>
      </c>
      <c r="D13200" s="8">
        <f ca="1">IFERROR(__xludf.DUMMYFUNCTION("""COMPUTED_VALUE"""),999)</f>
        <v>999</v>
      </c>
      <c r="E13200" s="2">
        <f ca="1">IFERROR(__xludf.DUMMYFUNCTION("""COMPUTED_VALUE"""),999)</f>
        <v>999</v>
      </c>
    </row>
    <row r="13201" spans="1:5" ht="13">
      <c r="A13201" s="8" t="str">
        <f ca="1">IFERROR(__xludf.DUMMYFUNCTION("""COMPUTED_VALUE"""),"Traditional - Sotho / Zulu Songs")</f>
        <v>Traditional - Sotho / Zulu Songs</v>
      </c>
      <c r="B13201" s="2">
        <f ca="1">IFERROR(__xludf.DUMMYFUNCTION("""COMPUTED_VALUE"""),999)</f>
        <v>999</v>
      </c>
      <c r="C13201" s="7">
        <f ca="1">IFERROR(__xludf.DUMMYFUNCTION("""COMPUTED_VALUE"""),999)</f>
        <v>999</v>
      </c>
      <c r="D13201" s="8">
        <f ca="1">IFERROR(__xludf.DUMMYFUNCTION("""COMPUTED_VALUE"""),999)</f>
        <v>999</v>
      </c>
      <c r="E13201" s="2">
        <f ca="1">IFERROR(__xludf.DUMMYFUNCTION("""COMPUTED_VALUE"""),999)</f>
        <v>999</v>
      </c>
    </row>
    <row r="13202" spans="1:5" ht="13">
      <c r="A13202" s="8" t="str">
        <f ca="1">IFERROR(__xludf.DUMMYFUNCTION("""COMPUTED_VALUE"""),"Traditional - Sotho Folk Song")</f>
        <v>Traditional - Sotho Folk Song</v>
      </c>
      <c r="B13202" s="2">
        <f ca="1">IFERROR(__xludf.DUMMYFUNCTION("""COMPUTED_VALUE"""),999)</f>
        <v>999</v>
      </c>
      <c r="C13202" s="7">
        <f ca="1">IFERROR(__xludf.DUMMYFUNCTION("""COMPUTED_VALUE"""),999)</f>
        <v>999</v>
      </c>
      <c r="D13202" s="8">
        <f ca="1">IFERROR(__xludf.DUMMYFUNCTION("""COMPUTED_VALUE"""),999)</f>
        <v>999</v>
      </c>
      <c r="E13202" s="2">
        <f ca="1">IFERROR(__xludf.DUMMYFUNCTION("""COMPUTED_VALUE"""),999)</f>
        <v>999</v>
      </c>
    </row>
    <row r="13203" spans="1:5" ht="13">
      <c r="A13203" s="8" t="str">
        <f ca="1">IFERROR(__xludf.DUMMYFUNCTION("""COMPUTED_VALUE"""),"Traditional - South African Folk Song")</f>
        <v>Traditional - South African Folk Song</v>
      </c>
      <c r="B13203" s="3">
        <f ca="1">IFERROR(__xludf.DUMMYFUNCTION("""COMPUTED_VALUE"""),999)</f>
        <v>999</v>
      </c>
      <c r="C13203" s="7">
        <f ca="1">IFERROR(__xludf.DUMMYFUNCTION("""COMPUTED_VALUE"""),999)</f>
        <v>999</v>
      </c>
      <c r="D13203" s="8">
        <f ca="1">IFERROR(__xludf.DUMMYFUNCTION("""COMPUTED_VALUE"""),999)</f>
        <v>999</v>
      </c>
      <c r="E13203" s="2">
        <f ca="1">IFERROR(__xludf.DUMMYFUNCTION("""COMPUTED_VALUE"""),999)</f>
        <v>999</v>
      </c>
    </row>
    <row r="13204" spans="1:5" ht="13">
      <c r="A13204" s="8" t="str">
        <f ca="1">IFERROR(__xludf.DUMMYFUNCTION("""COMPUTED_VALUE"""),"Traditional - Southern Folk Song")</f>
        <v>Traditional - Southern Folk Song</v>
      </c>
      <c r="B13204" s="3">
        <f ca="1">IFERROR(__xludf.DUMMYFUNCTION("""COMPUTED_VALUE"""),999)</f>
        <v>999</v>
      </c>
      <c r="C13204" s="7">
        <f ca="1">IFERROR(__xludf.DUMMYFUNCTION("""COMPUTED_VALUE"""),999)</f>
        <v>999</v>
      </c>
      <c r="D13204" s="8">
        <f ca="1">IFERROR(__xludf.DUMMYFUNCTION("""COMPUTED_VALUE"""),999)</f>
        <v>999</v>
      </c>
      <c r="E13204" s="2">
        <f ca="1">IFERROR(__xludf.DUMMYFUNCTION("""COMPUTED_VALUE"""),999)</f>
        <v>999</v>
      </c>
    </row>
    <row r="13205" spans="1:5" ht="13">
      <c r="A13205" s="2" t="str">
        <f ca="1">IFERROR(__xludf.DUMMYFUNCTION("""COMPUTED_VALUE"""),"Traditional - Southern Harmony Folk Song")</f>
        <v>Traditional - Southern Harmony Folk Song</v>
      </c>
      <c r="B13205" s="2">
        <f ca="1">IFERROR(__xludf.DUMMYFUNCTION("""COMPUTED_VALUE"""),999)</f>
        <v>999</v>
      </c>
      <c r="C13205" s="7">
        <f ca="1">IFERROR(__xludf.DUMMYFUNCTION("""COMPUTED_VALUE"""),999)</f>
        <v>999</v>
      </c>
      <c r="D13205" s="8">
        <f ca="1">IFERROR(__xludf.DUMMYFUNCTION("""COMPUTED_VALUE"""),999)</f>
        <v>999</v>
      </c>
      <c r="E13205" s="2">
        <f ca="1">IFERROR(__xludf.DUMMYFUNCTION("""COMPUTED_VALUE"""),999)</f>
        <v>999</v>
      </c>
    </row>
    <row r="13206" spans="1:5" ht="13">
      <c r="A13206" s="8" t="str">
        <f ca="1">IFERROR(__xludf.DUMMYFUNCTION("""COMPUTED_VALUE"""),"Traditional - Spanish")</f>
        <v>Traditional - Spanish</v>
      </c>
      <c r="B13206" s="2">
        <f ca="1">IFERROR(__xludf.DUMMYFUNCTION("""COMPUTED_VALUE"""),999)</f>
        <v>999</v>
      </c>
      <c r="C13206" s="7">
        <f ca="1">IFERROR(__xludf.DUMMYFUNCTION("""COMPUTED_VALUE"""),999)</f>
        <v>999</v>
      </c>
      <c r="D13206" s="8">
        <f ca="1">IFERROR(__xludf.DUMMYFUNCTION("""COMPUTED_VALUE"""),999)</f>
        <v>999</v>
      </c>
      <c r="E13206" s="2">
        <f ca="1">IFERROR(__xludf.DUMMYFUNCTION("""COMPUTED_VALUE"""),999)</f>
        <v>999</v>
      </c>
    </row>
    <row r="13207" spans="1:5" ht="13">
      <c r="A13207" s="8" t="str">
        <f ca="1">IFERROR(__xludf.DUMMYFUNCTION("""COMPUTED_VALUE"""),"Traditional - Spanish Folk Song")</f>
        <v>Traditional - Spanish Folk Song</v>
      </c>
      <c r="B13207" s="3">
        <f ca="1">IFERROR(__xludf.DUMMYFUNCTION("""COMPUTED_VALUE"""),999)</f>
        <v>999</v>
      </c>
      <c r="C13207" s="7">
        <f ca="1">IFERROR(__xludf.DUMMYFUNCTION("""COMPUTED_VALUE"""),999)</f>
        <v>999</v>
      </c>
      <c r="D13207" s="8">
        <f ca="1">IFERROR(__xludf.DUMMYFUNCTION("""COMPUTED_VALUE"""),999)</f>
        <v>999</v>
      </c>
      <c r="E13207" s="2">
        <f ca="1">IFERROR(__xludf.DUMMYFUNCTION("""COMPUTED_VALUE"""),999)</f>
        <v>999</v>
      </c>
    </row>
    <row r="13208" spans="1:5" ht="13">
      <c r="A13208" s="2" t="str">
        <f ca="1">IFERROR(__xludf.DUMMYFUNCTION("""COMPUTED_VALUE"""),"Traditional - Spiritual")</f>
        <v>Traditional - Spiritual</v>
      </c>
      <c r="B13208" s="2">
        <f ca="1">IFERROR(__xludf.DUMMYFUNCTION("""COMPUTED_VALUE"""),999)</f>
        <v>999</v>
      </c>
      <c r="C13208" s="7">
        <f ca="1">IFERROR(__xludf.DUMMYFUNCTION("""COMPUTED_VALUE"""),999)</f>
        <v>999</v>
      </c>
      <c r="D13208" s="8">
        <f ca="1">IFERROR(__xludf.DUMMYFUNCTION("""COMPUTED_VALUE"""),999)</f>
        <v>999</v>
      </c>
      <c r="E13208" s="2">
        <f ca="1">IFERROR(__xludf.DUMMYFUNCTION("""COMPUTED_VALUE"""),999)</f>
        <v>999</v>
      </c>
    </row>
    <row r="13209" spans="1:5" ht="13">
      <c r="A13209" s="8" t="str">
        <f ca="1">IFERROR(__xludf.DUMMYFUNCTION("""COMPUTED_VALUE"""),"Traditional - Sufi melody")</f>
        <v>Traditional - Sufi melody</v>
      </c>
      <c r="B13209" s="2">
        <f ca="1">IFERROR(__xludf.DUMMYFUNCTION("""COMPUTED_VALUE"""),999)</f>
        <v>999</v>
      </c>
      <c r="C13209" s="7">
        <f ca="1">IFERROR(__xludf.DUMMYFUNCTION("""COMPUTED_VALUE"""),999)</f>
        <v>999</v>
      </c>
      <c r="D13209" s="8">
        <f ca="1">IFERROR(__xludf.DUMMYFUNCTION("""COMPUTED_VALUE"""),999)</f>
        <v>999</v>
      </c>
      <c r="E13209" s="2">
        <f ca="1">IFERROR(__xludf.DUMMYFUNCTION("""COMPUTED_VALUE"""),999)</f>
        <v>999</v>
      </c>
    </row>
    <row r="13210" spans="1:5" ht="13">
      <c r="A13210" s="2" t="str">
        <f ca="1">IFERROR(__xludf.DUMMYFUNCTION("""COMPUTED_VALUE"""),"Traditional - Swedish Folksong")</f>
        <v>Traditional - Swedish Folksong</v>
      </c>
      <c r="B13210" s="2">
        <f ca="1">IFERROR(__xludf.DUMMYFUNCTION("""COMPUTED_VALUE"""),999)</f>
        <v>999</v>
      </c>
      <c r="C13210" s="7">
        <f ca="1">IFERROR(__xludf.DUMMYFUNCTION("""COMPUTED_VALUE"""),999)</f>
        <v>999</v>
      </c>
      <c r="D13210" s="8">
        <f ca="1">IFERROR(__xludf.DUMMYFUNCTION("""COMPUTED_VALUE"""),999)</f>
        <v>999</v>
      </c>
      <c r="E13210" s="2">
        <f ca="1">IFERROR(__xludf.DUMMYFUNCTION("""COMPUTED_VALUE"""),999)</f>
        <v>999</v>
      </c>
    </row>
    <row r="13211" spans="1:5" ht="13">
      <c r="A13211" s="8" t="str">
        <f ca="1">IFERROR(__xludf.DUMMYFUNCTION("""COMPUTED_VALUE"""),"Traditional - Syrian Song")</f>
        <v>Traditional - Syrian Song</v>
      </c>
      <c r="B13211" s="2">
        <f ca="1">IFERROR(__xludf.DUMMYFUNCTION("""COMPUTED_VALUE"""),999)</f>
        <v>999</v>
      </c>
      <c r="C13211" s="7">
        <f ca="1">IFERROR(__xludf.DUMMYFUNCTION("""COMPUTED_VALUE"""),999)</f>
        <v>999</v>
      </c>
      <c r="D13211" s="8">
        <f ca="1">IFERROR(__xludf.DUMMYFUNCTION("""COMPUTED_VALUE"""),999)</f>
        <v>999</v>
      </c>
      <c r="E13211" s="2">
        <f ca="1">IFERROR(__xludf.DUMMYFUNCTION("""COMPUTED_VALUE"""),999)</f>
        <v>999</v>
      </c>
    </row>
    <row r="13212" spans="1:5" ht="13">
      <c r="A13212" s="2" t="str">
        <f ca="1">IFERROR(__xludf.DUMMYFUNCTION("""COMPUTED_VALUE"""),"Traditional - Tahitian Folk Song")</f>
        <v>Traditional - Tahitian Folk Song</v>
      </c>
      <c r="B13212" s="2">
        <f ca="1">IFERROR(__xludf.DUMMYFUNCTION("""COMPUTED_VALUE"""),999)</f>
        <v>999</v>
      </c>
      <c r="C13212" s="7">
        <f ca="1">IFERROR(__xludf.DUMMYFUNCTION("""COMPUTED_VALUE"""),999)</f>
        <v>999</v>
      </c>
      <c r="D13212" s="8">
        <f ca="1">IFERROR(__xludf.DUMMYFUNCTION("""COMPUTED_VALUE"""),999)</f>
        <v>999</v>
      </c>
      <c r="E13212" s="2">
        <f ca="1">IFERROR(__xludf.DUMMYFUNCTION("""COMPUTED_VALUE"""),999)</f>
        <v>999</v>
      </c>
    </row>
    <row r="13213" spans="1:5" ht="13">
      <c r="A13213" s="2" t="str">
        <f ca="1">IFERROR(__xludf.DUMMYFUNCTION("""COMPUTED_VALUE"""),"Traditional - Taita Medley")</f>
        <v>Traditional - Taita Medley</v>
      </c>
      <c r="B13213" s="2">
        <f ca="1">IFERROR(__xludf.DUMMYFUNCTION("""COMPUTED_VALUE"""),999)</f>
        <v>999</v>
      </c>
      <c r="C13213" s="7">
        <f ca="1">IFERROR(__xludf.DUMMYFUNCTION("""COMPUTED_VALUE"""),999)</f>
        <v>999</v>
      </c>
      <c r="D13213" s="8">
        <f ca="1">IFERROR(__xludf.DUMMYFUNCTION("""COMPUTED_VALUE"""),999)</f>
        <v>999</v>
      </c>
      <c r="E13213" s="2">
        <f ca="1">IFERROR(__xludf.DUMMYFUNCTION("""COMPUTED_VALUE"""),999)</f>
        <v>999</v>
      </c>
    </row>
    <row r="13214" spans="1:5" ht="13">
      <c r="A13214" s="8" t="str">
        <f ca="1">IFERROR(__xludf.DUMMYFUNCTION("""COMPUTED_VALUE"""),"Traditional - Taiwanese Folk Song")</f>
        <v>Traditional - Taiwanese Folk Song</v>
      </c>
      <c r="B13214" s="2">
        <f ca="1">IFERROR(__xludf.DUMMYFUNCTION("""COMPUTED_VALUE"""),999)</f>
        <v>999</v>
      </c>
      <c r="C13214" s="7">
        <f ca="1">IFERROR(__xludf.DUMMYFUNCTION("""COMPUTED_VALUE"""),999)</f>
        <v>999</v>
      </c>
      <c r="D13214" s="8">
        <f ca="1">IFERROR(__xludf.DUMMYFUNCTION("""COMPUTED_VALUE"""),999)</f>
        <v>999</v>
      </c>
      <c r="E13214" s="2">
        <f ca="1">IFERROR(__xludf.DUMMYFUNCTION("""COMPUTED_VALUE"""),999)</f>
        <v>999</v>
      </c>
    </row>
    <row r="13215" spans="1:5" ht="13">
      <c r="A13215" s="8" t="str">
        <f ca="1">IFERROR(__xludf.DUMMYFUNCTION("""COMPUTED_VALUE"""),"Traditional - Torres Strait Island Song")</f>
        <v>Traditional - Torres Strait Island Song</v>
      </c>
      <c r="B13215" s="2">
        <f ca="1">IFERROR(__xludf.DUMMYFUNCTION("""COMPUTED_VALUE"""),999)</f>
        <v>999</v>
      </c>
      <c r="C13215" s="7">
        <f ca="1">IFERROR(__xludf.DUMMYFUNCTION("""COMPUTED_VALUE"""),999)</f>
        <v>999</v>
      </c>
      <c r="D13215" s="8">
        <f ca="1">IFERROR(__xludf.DUMMYFUNCTION("""COMPUTED_VALUE"""),999)</f>
        <v>999</v>
      </c>
      <c r="E13215" s="2">
        <f ca="1">IFERROR(__xludf.DUMMYFUNCTION("""COMPUTED_VALUE"""),999)</f>
        <v>999</v>
      </c>
    </row>
    <row r="13216" spans="1:5" ht="13">
      <c r="A13216" s="8" t="str">
        <f ca="1">IFERROR(__xludf.DUMMYFUNCTION("""COMPUTED_VALUE"""),"Traditional - Tsachila Folk Songs")</f>
        <v>Traditional - Tsachila Folk Songs</v>
      </c>
      <c r="B13216" s="2">
        <f ca="1">IFERROR(__xludf.DUMMYFUNCTION("""COMPUTED_VALUE"""),999)</f>
        <v>999</v>
      </c>
      <c r="C13216" s="7">
        <f ca="1">IFERROR(__xludf.DUMMYFUNCTION("""COMPUTED_VALUE"""),999)</f>
        <v>999</v>
      </c>
      <c r="D13216" s="8">
        <f ca="1">IFERROR(__xludf.DUMMYFUNCTION("""COMPUTED_VALUE"""),999)</f>
        <v>999</v>
      </c>
      <c r="E13216" s="2">
        <f ca="1">IFERROR(__xludf.DUMMYFUNCTION("""COMPUTED_VALUE"""),999)</f>
        <v>999</v>
      </c>
    </row>
    <row r="13217" spans="1:5" ht="13">
      <c r="A13217" s="8" t="str">
        <f ca="1">IFERROR(__xludf.DUMMYFUNCTION("""COMPUTED_VALUE"""),"Traditional - Ukranian Folk Song")</f>
        <v>Traditional - Ukranian Folk Song</v>
      </c>
      <c r="B13217" s="2">
        <f ca="1">IFERROR(__xludf.DUMMYFUNCTION("""COMPUTED_VALUE"""),999)</f>
        <v>999</v>
      </c>
      <c r="C13217" s="7">
        <f ca="1">IFERROR(__xludf.DUMMYFUNCTION("""COMPUTED_VALUE"""),999)</f>
        <v>999</v>
      </c>
      <c r="D13217" s="8">
        <f ca="1">IFERROR(__xludf.DUMMYFUNCTION("""COMPUTED_VALUE"""),999)</f>
        <v>999</v>
      </c>
      <c r="E13217" s="2">
        <f ca="1">IFERROR(__xludf.DUMMYFUNCTION("""COMPUTED_VALUE"""),999)</f>
        <v>999</v>
      </c>
    </row>
    <row r="13218" spans="1:5" ht="13">
      <c r="A13218" s="8" t="str">
        <f ca="1">IFERROR(__xludf.DUMMYFUNCTION("""COMPUTED_VALUE"""),"Traditional - Uruguayan Folk Song")</f>
        <v>Traditional - Uruguayan Folk Song</v>
      </c>
      <c r="B13218" s="2">
        <f ca="1">IFERROR(__xludf.DUMMYFUNCTION("""COMPUTED_VALUE"""),999)</f>
        <v>999</v>
      </c>
      <c r="C13218" s="7">
        <f ca="1">IFERROR(__xludf.DUMMYFUNCTION("""COMPUTED_VALUE"""),999)</f>
        <v>999</v>
      </c>
      <c r="D13218" s="8">
        <f ca="1">IFERROR(__xludf.DUMMYFUNCTION("""COMPUTED_VALUE"""),999)</f>
        <v>999</v>
      </c>
      <c r="E13218" s="2">
        <f ca="1">IFERROR(__xludf.DUMMYFUNCTION("""COMPUTED_VALUE"""),999)</f>
        <v>999</v>
      </c>
    </row>
    <row r="13219" spans="1:5" ht="13">
      <c r="A13219" s="8" t="str">
        <f ca="1">IFERROR(__xludf.DUMMYFUNCTION("""COMPUTED_VALUE"""),"Traditional - Venezuelan Folk Song")</f>
        <v>Traditional - Venezuelan Folk Song</v>
      </c>
      <c r="B13219" s="2">
        <f ca="1">IFERROR(__xludf.DUMMYFUNCTION("""COMPUTED_VALUE"""),999)</f>
        <v>999</v>
      </c>
      <c r="C13219" s="7">
        <f ca="1">IFERROR(__xludf.DUMMYFUNCTION("""COMPUTED_VALUE"""),999)</f>
        <v>999</v>
      </c>
      <c r="D13219" s="8">
        <f ca="1">IFERROR(__xludf.DUMMYFUNCTION("""COMPUTED_VALUE"""),999)</f>
        <v>999</v>
      </c>
      <c r="E13219" s="2">
        <f ca="1">IFERROR(__xludf.DUMMYFUNCTION("""COMPUTED_VALUE"""),999)</f>
        <v>999</v>
      </c>
    </row>
    <row r="13220" spans="1:5" ht="13">
      <c r="A13220" s="8" t="str">
        <f ca="1">IFERROR(__xludf.DUMMYFUNCTION("""COMPUTED_VALUE"""),"Traditional - Welsh Folk Song")</f>
        <v>Traditional - Welsh Folk Song</v>
      </c>
      <c r="B13220" s="2">
        <f ca="1">IFERROR(__xludf.DUMMYFUNCTION("""COMPUTED_VALUE"""),999)</f>
        <v>999</v>
      </c>
      <c r="C13220" s="7">
        <f ca="1">IFERROR(__xludf.DUMMYFUNCTION("""COMPUTED_VALUE"""),999)</f>
        <v>999</v>
      </c>
      <c r="D13220" s="8">
        <f ca="1">IFERROR(__xludf.DUMMYFUNCTION("""COMPUTED_VALUE"""),999)</f>
        <v>999</v>
      </c>
      <c r="E13220" s="2">
        <f ca="1">IFERROR(__xludf.DUMMYFUNCTION("""COMPUTED_VALUE"""),999)</f>
        <v>999</v>
      </c>
    </row>
    <row r="13221" spans="1:5" ht="13">
      <c r="A13221" s="8" t="str">
        <f ca="1">IFERROR(__xludf.DUMMYFUNCTION("""COMPUTED_VALUE"""),"Traditional - Welsh Hymn")</f>
        <v>Traditional - Welsh Hymn</v>
      </c>
      <c r="B13221" s="2">
        <f ca="1">IFERROR(__xludf.DUMMYFUNCTION("""COMPUTED_VALUE"""),999)</f>
        <v>999</v>
      </c>
      <c r="C13221" s="7">
        <f ca="1">IFERROR(__xludf.DUMMYFUNCTION("""COMPUTED_VALUE"""),999)</f>
        <v>999</v>
      </c>
      <c r="D13221" s="8">
        <f ca="1">IFERROR(__xludf.DUMMYFUNCTION("""COMPUTED_VALUE"""),999)</f>
        <v>999</v>
      </c>
      <c r="E13221" s="2">
        <f ca="1">IFERROR(__xludf.DUMMYFUNCTION("""COMPUTED_VALUE"""),999)</f>
        <v>999</v>
      </c>
    </row>
    <row r="13222" spans="1:5" ht="13">
      <c r="A13222" s="8" t="str">
        <f ca="1">IFERROR(__xludf.DUMMYFUNCTION("""COMPUTED_VALUE"""),"Traditional - Welsh Song")</f>
        <v>Traditional - Welsh Song</v>
      </c>
      <c r="B13222" s="2">
        <f ca="1">IFERROR(__xludf.DUMMYFUNCTION("""COMPUTED_VALUE"""),999)</f>
        <v>999</v>
      </c>
      <c r="C13222" s="7">
        <f ca="1">IFERROR(__xludf.DUMMYFUNCTION("""COMPUTED_VALUE"""),999)</f>
        <v>999</v>
      </c>
      <c r="D13222" s="8">
        <f ca="1">IFERROR(__xludf.DUMMYFUNCTION("""COMPUTED_VALUE"""),999)</f>
        <v>999</v>
      </c>
      <c r="E13222" s="2">
        <f ca="1">IFERROR(__xludf.DUMMYFUNCTION("""COMPUTED_VALUE"""),999)</f>
        <v>999</v>
      </c>
    </row>
    <row r="13223" spans="1:5" ht="13">
      <c r="A13223" s="8" t="str">
        <f ca="1">IFERROR(__xludf.DUMMYFUNCTION("""COMPUTED_VALUE"""),"Traditional - West African")</f>
        <v>Traditional - West African</v>
      </c>
      <c r="B13223" s="2">
        <f ca="1">IFERROR(__xludf.DUMMYFUNCTION("""COMPUTED_VALUE"""),999)</f>
        <v>999</v>
      </c>
      <c r="C13223" s="7">
        <f ca="1">IFERROR(__xludf.DUMMYFUNCTION("""COMPUTED_VALUE"""),999)</f>
        <v>999</v>
      </c>
      <c r="D13223" s="8">
        <f ca="1">IFERROR(__xludf.DUMMYFUNCTION("""COMPUTED_VALUE"""),999)</f>
        <v>999</v>
      </c>
      <c r="E13223" s="2">
        <f ca="1">IFERROR(__xludf.DUMMYFUNCTION("""COMPUTED_VALUE"""),999)</f>
        <v>999</v>
      </c>
    </row>
    <row r="13224" spans="1:5" ht="13">
      <c r="A13224" s="2" t="str">
        <f ca="1">IFERROR(__xludf.DUMMYFUNCTION("""COMPUTED_VALUE"""),"Traditional - West African Folk Song")</f>
        <v>Traditional - West African Folk Song</v>
      </c>
      <c r="B13224" s="2">
        <f ca="1">IFERROR(__xludf.DUMMYFUNCTION("""COMPUTED_VALUE"""),999)</f>
        <v>999</v>
      </c>
      <c r="C13224" s="7">
        <f ca="1">IFERROR(__xludf.DUMMYFUNCTION("""COMPUTED_VALUE"""),999)</f>
        <v>999</v>
      </c>
      <c r="D13224" s="8">
        <f ca="1">IFERROR(__xludf.DUMMYFUNCTION("""COMPUTED_VALUE"""),999)</f>
        <v>999</v>
      </c>
      <c r="E13224" s="2">
        <f ca="1">IFERROR(__xludf.DUMMYFUNCTION("""COMPUTED_VALUE"""),999)</f>
        <v>999</v>
      </c>
    </row>
    <row r="13225" spans="1:5" ht="13">
      <c r="A13225" s="2" t="str">
        <f ca="1">IFERROR(__xludf.DUMMYFUNCTION("""COMPUTED_VALUE"""),"Traditional - Xhosa")</f>
        <v>Traditional - Xhosa</v>
      </c>
      <c r="B13225" s="2">
        <f ca="1">IFERROR(__xludf.DUMMYFUNCTION("""COMPUTED_VALUE"""),999)</f>
        <v>999</v>
      </c>
      <c r="C13225" s="7">
        <f ca="1">IFERROR(__xludf.DUMMYFUNCTION("""COMPUTED_VALUE"""),999)</f>
        <v>999</v>
      </c>
      <c r="D13225" s="8">
        <f ca="1">IFERROR(__xludf.DUMMYFUNCTION("""COMPUTED_VALUE"""),999)</f>
        <v>999</v>
      </c>
      <c r="E13225" s="2">
        <f ca="1">IFERROR(__xludf.DUMMYFUNCTION("""COMPUTED_VALUE"""),999)</f>
        <v>999</v>
      </c>
    </row>
    <row r="13226" spans="1:5" ht="13">
      <c r="A13226" s="2" t="str">
        <f ca="1">IFERROR(__xludf.DUMMYFUNCTION("""COMPUTED_VALUE"""),"Traditional - Yiddish")</f>
        <v>Traditional - Yiddish</v>
      </c>
      <c r="B13226" s="2">
        <f ca="1">IFERROR(__xludf.DUMMYFUNCTION("""COMPUTED_VALUE"""),999)</f>
        <v>999</v>
      </c>
      <c r="C13226" s="7">
        <f ca="1">IFERROR(__xludf.DUMMYFUNCTION("""COMPUTED_VALUE"""),999)</f>
        <v>999</v>
      </c>
      <c r="D13226" s="8">
        <f ca="1">IFERROR(__xludf.DUMMYFUNCTION("""COMPUTED_VALUE"""),999)</f>
        <v>999</v>
      </c>
      <c r="E13226" s="2">
        <f ca="1">IFERROR(__xludf.DUMMYFUNCTION("""COMPUTED_VALUE"""),999)</f>
        <v>999</v>
      </c>
    </row>
    <row r="13227" spans="1:5" ht="13">
      <c r="A13227" s="8" t="str">
        <f ca="1">IFERROR(__xludf.DUMMYFUNCTION("""COMPUTED_VALUE"""),"Traditional - Yoruba song from Tinidad")</f>
        <v>Traditional - Yoruba song from Tinidad</v>
      </c>
      <c r="B13227" s="2">
        <f ca="1">IFERROR(__xludf.DUMMYFUNCTION("""COMPUTED_VALUE"""),999)</f>
        <v>999</v>
      </c>
      <c r="C13227" s="7">
        <f ca="1">IFERROR(__xludf.DUMMYFUNCTION("""COMPUTED_VALUE"""),999)</f>
        <v>999</v>
      </c>
      <c r="D13227" s="8">
        <f ca="1">IFERROR(__xludf.DUMMYFUNCTION("""COMPUTED_VALUE"""),999)</f>
        <v>999</v>
      </c>
      <c r="E13227" s="2">
        <f ca="1">IFERROR(__xludf.DUMMYFUNCTION("""COMPUTED_VALUE"""),999)</f>
        <v>999</v>
      </c>
    </row>
    <row r="13228" spans="1:5" ht="13">
      <c r="A13228" s="8" t="str">
        <f ca="1">IFERROR(__xludf.DUMMYFUNCTION("""COMPUTED_VALUE"""),"Traditional - Zambian")</f>
        <v>Traditional - Zambian</v>
      </c>
      <c r="B13228" s="2">
        <f ca="1">IFERROR(__xludf.DUMMYFUNCTION("""COMPUTED_VALUE"""),999)</f>
        <v>999</v>
      </c>
      <c r="C13228" s="7">
        <f ca="1">IFERROR(__xludf.DUMMYFUNCTION("""COMPUTED_VALUE"""),999)</f>
        <v>999</v>
      </c>
      <c r="D13228" s="8">
        <f ca="1">IFERROR(__xludf.DUMMYFUNCTION("""COMPUTED_VALUE"""),999)</f>
        <v>999</v>
      </c>
      <c r="E13228" s="2">
        <f ca="1">IFERROR(__xludf.DUMMYFUNCTION("""COMPUTED_VALUE"""),999)</f>
        <v>999</v>
      </c>
    </row>
    <row r="13229" spans="1:5" ht="13">
      <c r="A13229" s="2" t="str">
        <f ca="1">IFERROR(__xludf.DUMMYFUNCTION("""COMPUTED_VALUE"""),"Traditional - Zambian Folk Song")</f>
        <v>Traditional - Zambian Folk Song</v>
      </c>
      <c r="B13229" s="2">
        <f ca="1">IFERROR(__xludf.DUMMYFUNCTION("""COMPUTED_VALUE"""),999)</f>
        <v>999</v>
      </c>
      <c r="C13229" s="7">
        <f ca="1">IFERROR(__xludf.DUMMYFUNCTION("""COMPUTED_VALUE"""),999)</f>
        <v>999</v>
      </c>
      <c r="D13229" s="8">
        <f ca="1">IFERROR(__xludf.DUMMYFUNCTION("""COMPUTED_VALUE"""),999)</f>
        <v>999</v>
      </c>
      <c r="E13229" s="2">
        <f ca="1">IFERROR(__xludf.DUMMYFUNCTION("""COMPUTED_VALUE"""),999)</f>
        <v>999</v>
      </c>
    </row>
    <row r="13230" spans="1:5" ht="13">
      <c r="A13230" s="2" t="str">
        <f ca="1">IFERROR(__xludf.DUMMYFUNCTION("""COMPUTED_VALUE"""),"Traditional - Znamenny Chant")</f>
        <v>Traditional - Znamenny Chant</v>
      </c>
      <c r="B13230" s="2">
        <f ca="1">IFERROR(__xludf.DUMMYFUNCTION("""COMPUTED_VALUE"""),999)</f>
        <v>999</v>
      </c>
      <c r="C13230" s="7">
        <f ca="1">IFERROR(__xludf.DUMMYFUNCTION("""COMPUTED_VALUE"""),999)</f>
        <v>999</v>
      </c>
      <c r="D13230" s="8">
        <f ca="1">IFERROR(__xludf.DUMMYFUNCTION("""COMPUTED_VALUE"""),999)</f>
        <v>999</v>
      </c>
      <c r="E13230" s="2">
        <f ca="1">IFERROR(__xludf.DUMMYFUNCTION("""COMPUTED_VALUE"""),999)</f>
        <v>999</v>
      </c>
    </row>
    <row r="13231" spans="1:5" ht="13">
      <c r="A13231" s="2" t="str">
        <f ca="1">IFERROR(__xludf.DUMMYFUNCTION("""COMPUTED_VALUE"""),"Traditional - Zulu Folk Song")</f>
        <v>Traditional - Zulu Folk Song</v>
      </c>
      <c r="B13231" s="2">
        <f ca="1">IFERROR(__xludf.DUMMYFUNCTION("""COMPUTED_VALUE"""),999)</f>
        <v>999</v>
      </c>
      <c r="C13231" s="7">
        <f ca="1">IFERROR(__xludf.DUMMYFUNCTION("""COMPUTED_VALUE"""),999)</f>
        <v>999</v>
      </c>
      <c r="D13231" s="8">
        <f ca="1">IFERROR(__xludf.DUMMYFUNCTION("""COMPUTED_VALUE"""),999)</f>
        <v>999</v>
      </c>
      <c r="E13231" s="2">
        <f ca="1">IFERROR(__xludf.DUMMYFUNCTION("""COMPUTED_VALUE"""),999)</f>
        <v>999</v>
      </c>
    </row>
    <row r="13232" spans="1:5" ht="13">
      <c r="A13232" s="8" t="str">
        <f ca="1">IFERROR(__xludf.DUMMYFUNCTION("""COMPUTED_VALUE"""),"Traditional - Zulu Song")</f>
        <v>Traditional - Zulu Song</v>
      </c>
      <c r="B13232" s="2">
        <f ca="1">IFERROR(__xludf.DUMMYFUNCTION("""COMPUTED_VALUE"""),999)</f>
        <v>999</v>
      </c>
      <c r="C13232" s="7">
        <f ca="1">IFERROR(__xludf.DUMMYFUNCTION("""COMPUTED_VALUE"""),999)</f>
        <v>999</v>
      </c>
      <c r="D13232" s="8">
        <f ca="1">IFERROR(__xludf.DUMMYFUNCTION("""COMPUTED_VALUE"""),999)</f>
        <v>999</v>
      </c>
      <c r="E13232" s="2">
        <f ca="1">IFERROR(__xludf.DUMMYFUNCTION("""COMPUTED_VALUE"""),999)</f>
        <v>999</v>
      </c>
    </row>
    <row r="13233" spans="1:5" ht="13">
      <c r="A13233" s="2" t="str">
        <f ca="1">IFERROR(__xludf.DUMMYFUNCTION("""COMPUTED_VALUE"""),"Traditional -Irish Air")</f>
        <v>Traditional -Irish Air</v>
      </c>
      <c r="B13233" s="2">
        <f ca="1">IFERROR(__xludf.DUMMYFUNCTION("""COMPUTED_VALUE"""),999)</f>
        <v>999</v>
      </c>
      <c r="C13233" s="7">
        <f ca="1">IFERROR(__xludf.DUMMYFUNCTION("""COMPUTED_VALUE"""),999)</f>
        <v>999</v>
      </c>
      <c r="D13233" s="8">
        <f ca="1">IFERROR(__xludf.DUMMYFUNCTION("""COMPUTED_VALUE"""),999)</f>
        <v>999</v>
      </c>
      <c r="E13233" s="2">
        <f ca="1">IFERROR(__xludf.DUMMYFUNCTION("""COMPUTED_VALUE"""),999)</f>
        <v>999</v>
      </c>
    </row>
    <row r="13234" spans="1:5" ht="13">
      <c r="A13234" s="2" t="str">
        <f ca="1">IFERROR(__xludf.DUMMYFUNCTION("""COMPUTED_VALUE"""),"Traditional (Primrose, Joe aka Irving Mills)")</f>
        <v>Traditional (Primrose, Joe aka Irving Mills)</v>
      </c>
      <c r="B13234" s="2">
        <f ca="1">IFERROR(__xludf.DUMMYFUNCTION("""COMPUTED_VALUE"""),999)</f>
        <v>999</v>
      </c>
      <c r="C13234" s="7">
        <f ca="1">IFERROR(__xludf.DUMMYFUNCTION("""COMPUTED_VALUE"""),999)</f>
        <v>999</v>
      </c>
      <c r="D13234" s="8">
        <f ca="1">IFERROR(__xludf.DUMMYFUNCTION("""COMPUTED_VALUE"""),999)</f>
        <v>999</v>
      </c>
      <c r="E13234" s="2">
        <f ca="1">IFERROR(__xludf.DUMMYFUNCTION("""COMPUTED_VALUE"""),999)</f>
        <v>999</v>
      </c>
    </row>
    <row r="13235" spans="1:5" ht="13">
      <c r="A13235" s="2" t="str">
        <f ca="1">IFERROR(__xludf.DUMMYFUNCTION("""COMPUTED_VALUE"""),"Traditional / R. Kiekenapp")</f>
        <v>Traditional / R. Kiekenapp</v>
      </c>
      <c r="B13235" s="2">
        <f ca="1">IFERROR(__xludf.DUMMYFUNCTION("""COMPUTED_VALUE"""),999)</f>
        <v>999</v>
      </c>
      <c r="C13235" s="7">
        <f ca="1">IFERROR(__xludf.DUMMYFUNCTION("""COMPUTED_VALUE"""),999)</f>
        <v>999</v>
      </c>
      <c r="D13235" s="8">
        <f ca="1">IFERROR(__xludf.DUMMYFUNCTION("""COMPUTED_VALUE"""),999)</f>
        <v>999</v>
      </c>
      <c r="E13235" s="2">
        <f ca="1">IFERROR(__xludf.DUMMYFUNCTION("""COMPUTED_VALUE"""),999)</f>
        <v>999</v>
      </c>
    </row>
    <row r="13236" spans="1:5" ht="13">
      <c r="A13236" s="2" t="str">
        <f ca="1">IFERROR(__xludf.DUMMYFUNCTION("""COMPUTED_VALUE"""),"Traditional / Rebirth Brass Band")</f>
        <v>Traditional / Rebirth Brass Band</v>
      </c>
      <c r="B13236" s="3">
        <f ca="1">IFERROR(__xludf.DUMMYFUNCTION("""COMPUTED_VALUE"""),999)</f>
        <v>999</v>
      </c>
      <c r="C13236" s="7">
        <f ca="1">IFERROR(__xludf.DUMMYFUNCTION("""COMPUTED_VALUE"""),999)</f>
        <v>999</v>
      </c>
      <c r="D13236" s="8">
        <f ca="1">IFERROR(__xludf.DUMMYFUNCTION("""COMPUTED_VALUE"""),999)</f>
        <v>999</v>
      </c>
      <c r="E13236" s="2">
        <f ca="1">IFERROR(__xludf.DUMMYFUNCTION("""COMPUTED_VALUE"""),999)</f>
        <v>999</v>
      </c>
    </row>
    <row r="13237" spans="1:5" ht="13">
      <c r="A13237" s="2" t="str">
        <f ca="1">IFERROR(__xludf.DUMMYFUNCTION("""COMPUTED_VALUE"""),"Traditional Gospel")</f>
        <v>Traditional Gospel</v>
      </c>
      <c r="B13237" s="2">
        <f ca="1">IFERROR(__xludf.DUMMYFUNCTION("""COMPUTED_VALUE"""),999)</f>
        <v>999</v>
      </c>
      <c r="C13237" s="7">
        <f ca="1">IFERROR(__xludf.DUMMYFUNCTION("""COMPUTED_VALUE"""),999)</f>
        <v>999</v>
      </c>
      <c r="D13237" s="8">
        <f ca="1">IFERROR(__xludf.DUMMYFUNCTION("""COMPUTED_VALUE"""),999)</f>
        <v>999</v>
      </c>
      <c r="E13237" s="2">
        <f ca="1">IFERROR(__xludf.DUMMYFUNCTION("""COMPUTED_VALUE"""),999)</f>
        <v>999</v>
      </c>
    </row>
    <row r="13238" spans="1:5" ht="13">
      <c r="A13238" s="2" t="str">
        <f ca="1">IFERROR(__xludf.DUMMYFUNCTION("""COMPUTED_VALUE"""),"Traditional Gospel Blues")</f>
        <v>Traditional Gospel Blues</v>
      </c>
      <c r="B13238" s="2">
        <f ca="1">IFERROR(__xludf.DUMMYFUNCTION("""COMPUTED_VALUE"""),999)</f>
        <v>999</v>
      </c>
      <c r="C13238" s="7">
        <f ca="1">IFERROR(__xludf.DUMMYFUNCTION("""COMPUTED_VALUE"""),999)</f>
        <v>999</v>
      </c>
      <c r="D13238" s="8">
        <f ca="1">IFERROR(__xludf.DUMMYFUNCTION("""COMPUTED_VALUE"""),999)</f>
        <v>999</v>
      </c>
      <c r="E13238" s="2">
        <f ca="1">IFERROR(__xludf.DUMMYFUNCTION("""COMPUTED_VALUE"""),999)</f>
        <v>999</v>
      </c>
    </row>
    <row r="13239" spans="1:5" ht="13">
      <c r="A13239" s="8" t="str">
        <f ca="1">IFERROR(__xludf.DUMMYFUNCTION("""COMPUTED_VALUE"""),"Traditional Hymn")</f>
        <v>Traditional Hymn</v>
      </c>
      <c r="B13239" s="2">
        <f ca="1">IFERROR(__xludf.DUMMYFUNCTION("""COMPUTED_VALUE"""),999)</f>
        <v>999</v>
      </c>
      <c r="C13239" s="7">
        <f ca="1">IFERROR(__xludf.DUMMYFUNCTION("""COMPUTED_VALUE"""),999)</f>
        <v>999</v>
      </c>
      <c r="D13239" s="8">
        <f ca="1">IFERROR(__xludf.DUMMYFUNCTION("""COMPUTED_VALUE"""),999)</f>
        <v>999</v>
      </c>
      <c r="E13239" s="2">
        <f ca="1">IFERROR(__xludf.DUMMYFUNCTION("""COMPUTED_VALUE"""),999)</f>
        <v>999</v>
      </c>
    </row>
    <row r="13240" spans="1:5" ht="13">
      <c r="A13240" s="2" t="str">
        <f ca="1">IFERROR(__xludf.DUMMYFUNCTION("""COMPUTED_VALUE"""),"Traditional Indian Raga")</f>
        <v>Traditional Indian Raga</v>
      </c>
      <c r="B13240" s="2">
        <f ca="1">IFERROR(__xludf.DUMMYFUNCTION("""COMPUTED_VALUE"""),999)</f>
        <v>999</v>
      </c>
      <c r="C13240" s="7">
        <f ca="1">IFERROR(__xludf.DUMMYFUNCTION("""COMPUTED_VALUE"""),999)</f>
        <v>999</v>
      </c>
      <c r="D13240" s="8">
        <f ca="1">IFERROR(__xludf.DUMMYFUNCTION("""COMPUTED_VALUE"""),999)</f>
        <v>999</v>
      </c>
      <c r="E13240" s="2">
        <f ca="1">IFERROR(__xludf.DUMMYFUNCTION("""COMPUTED_VALUE"""),999)</f>
        <v>999</v>
      </c>
    </row>
    <row r="13241" spans="1:5" ht="13">
      <c r="A13241" s="2" t="str">
        <f ca="1">IFERROR(__xludf.DUMMYFUNCTION("""COMPUTED_VALUE"""),"Traditional Lullaby")</f>
        <v>Traditional Lullaby</v>
      </c>
      <c r="B13241" s="2">
        <f ca="1">IFERROR(__xludf.DUMMYFUNCTION("""COMPUTED_VALUE"""),999)</f>
        <v>999</v>
      </c>
      <c r="C13241" s="7">
        <f ca="1">IFERROR(__xludf.DUMMYFUNCTION("""COMPUTED_VALUE"""),999)</f>
        <v>999</v>
      </c>
      <c r="D13241" s="8">
        <f ca="1">IFERROR(__xludf.DUMMYFUNCTION("""COMPUTED_VALUE"""),999)</f>
        <v>999</v>
      </c>
      <c r="E13241" s="2">
        <f ca="1">IFERROR(__xludf.DUMMYFUNCTION("""COMPUTED_VALUE"""),999)</f>
        <v>999</v>
      </c>
    </row>
    <row r="13242" spans="1:5" ht="13">
      <c r="A13242" s="8" t="str">
        <f ca="1">IFERROR(__xludf.DUMMYFUNCTION("""COMPUTED_VALUE"""),"Traditional Salish Hymn")</f>
        <v>Traditional Salish Hymn</v>
      </c>
      <c r="B13242" s="3">
        <f ca="1">IFERROR(__xludf.DUMMYFUNCTION("""COMPUTED_VALUE"""),999)</f>
        <v>999</v>
      </c>
      <c r="C13242" s="7">
        <f ca="1">IFERROR(__xludf.DUMMYFUNCTION("""COMPUTED_VALUE"""),999)</f>
        <v>999</v>
      </c>
      <c r="D13242" s="8">
        <f ca="1">IFERROR(__xludf.DUMMYFUNCTION("""COMPUTED_VALUE"""),999)</f>
        <v>999</v>
      </c>
      <c r="E13242" s="2">
        <f ca="1">IFERROR(__xludf.DUMMYFUNCTION("""COMPUTED_VALUE"""),999)</f>
        <v>999</v>
      </c>
    </row>
    <row r="13243" spans="1:5" ht="13">
      <c r="A13243" s="8" t="str">
        <f ca="1">IFERROR(__xludf.DUMMYFUNCTION("""COMPUTED_VALUE"""),"Traditional Syrian")</f>
        <v>Traditional Syrian</v>
      </c>
      <c r="B13243" s="3">
        <f ca="1">IFERROR(__xludf.DUMMYFUNCTION("""COMPUTED_VALUE"""),999)</f>
        <v>999</v>
      </c>
      <c r="C13243" s="7">
        <f ca="1">IFERROR(__xludf.DUMMYFUNCTION("""COMPUTED_VALUE"""),999)</f>
        <v>999</v>
      </c>
      <c r="D13243" s="8">
        <f ca="1">IFERROR(__xludf.DUMMYFUNCTION("""COMPUTED_VALUE"""),999)</f>
        <v>999</v>
      </c>
      <c r="E13243" s="2">
        <f ca="1">IFERROR(__xludf.DUMMYFUNCTION("""COMPUTED_VALUE"""),999)</f>
        <v>999</v>
      </c>
    </row>
    <row r="13244" spans="1:5" ht="13">
      <c r="A13244" s="2" t="str">
        <f ca="1">IFERROR(__xludf.DUMMYFUNCTION("""COMPUTED_VALUE"""),"Trinkaus, George")</f>
        <v>Trinkaus, George</v>
      </c>
      <c r="B13244" s="2">
        <f ca="1">IFERROR(__xludf.DUMMYFUNCTION("""COMPUTED_VALUE"""),999)</f>
        <v>999</v>
      </c>
      <c r="C13244" s="2">
        <f ca="1">IFERROR(__xludf.DUMMYFUNCTION("""COMPUTED_VALUE"""),999)</f>
        <v>999</v>
      </c>
      <c r="D13244" s="8">
        <f ca="1">IFERROR(__xludf.DUMMYFUNCTION("""COMPUTED_VALUE"""),999)</f>
        <v>999</v>
      </c>
      <c r="E13244" s="2">
        <f ca="1">IFERROR(__xludf.DUMMYFUNCTION("""COMPUTED_VALUE"""),999)</f>
        <v>999</v>
      </c>
    </row>
    <row r="13245" spans="1:5" ht="13">
      <c r="A13245" s="2" t="str">
        <f ca="1">IFERROR(__xludf.DUMMYFUNCTION("""COMPUTED_VALUE"""),"Tuan, Eric")</f>
        <v>Tuan, Eric</v>
      </c>
      <c r="B13245" s="2">
        <f ca="1">IFERROR(__xludf.DUMMYFUNCTION("""COMPUTED_VALUE"""),999)</f>
        <v>999</v>
      </c>
      <c r="C13245" s="2">
        <f ca="1">IFERROR(__xludf.DUMMYFUNCTION("""COMPUTED_VALUE"""),999)</f>
        <v>999</v>
      </c>
      <c r="D13245" s="8">
        <f ca="1">IFERROR(__xludf.DUMMYFUNCTION("""COMPUTED_VALUE"""),999)</f>
        <v>999</v>
      </c>
      <c r="E13245" s="2">
        <f ca="1">IFERROR(__xludf.DUMMYFUNCTION("""COMPUTED_VALUE"""),999)</f>
        <v>999</v>
      </c>
    </row>
    <row r="13246" spans="1:5" ht="13">
      <c r="A13246" s="2" t="str">
        <f ca="1">IFERROR(__xludf.DUMMYFUNCTION("""COMPUTED_VALUE"""),"Tyler (unknown)")</f>
        <v>Tyler (unknown)</v>
      </c>
      <c r="B13246" s="2">
        <f ca="1">IFERROR(__xludf.DUMMYFUNCTION("""COMPUTED_VALUE"""),999)</f>
        <v>999</v>
      </c>
      <c r="C13246" s="7">
        <f ca="1">IFERROR(__xludf.DUMMYFUNCTION("""COMPUTED_VALUE"""),999)</f>
        <v>999</v>
      </c>
      <c r="D13246" s="8">
        <f ca="1">IFERROR(__xludf.DUMMYFUNCTION("""COMPUTED_VALUE"""),999)</f>
        <v>999</v>
      </c>
      <c r="E13246" s="2">
        <f ca="1">IFERROR(__xludf.DUMMYFUNCTION("""COMPUTED_VALUE"""),999)</f>
        <v>999</v>
      </c>
    </row>
    <row r="13247" spans="1:5" ht="13">
      <c r="A13247" s="2" t="str">
        <f ca="1">IFERROR(__xludf.DUMMYFUNCTION("""COMPUTED_VALUE"""),"Umar, Frederick")</f>
        <v>Umar, Frederick</v>
      </c>
      <c r="B13247" s="2">
        <f ca="1">IFERROR(__xludf.DUMMYFUNCTION("""COMPUTED_VALUE"""),999)</f>
        <v>999</v>
      </c>
      <c r="C13247" s="2">
        <f ca="1">IFERROR(__xludf.DUMMYFUNCTION("""COMPUTED_VALUE"""),999)</f>
        <v>999</v>
      </c>
      <c r="D13247" s="8">
        <f ca="1">IFERROR(__xludf.DUMMYFUNCTION("""COMPUTED_VALUE"""),999)</f>
        <v>999</v>
      </c>
      <c r="E13247" s="2">
        <f ca="1">IFERROR(__xludf.DUMMYFUNCTION("""COMPUTED_VALUE"""),999)</f>
        <v>999</v>
      </c>
    </row>
    <row r="13248" spans="1:5" ht="13">
      <c r="A13248" s="2" t="str">
        <f ca="1">IFERROR(__xludf.DUMMYFUNCTION("""COMPUTED_VALUE"""),"unknown")</f>
        <v>unknown</v>
      </c>
      <c r="B13248" s="2">
        <f ca="1">IFERROR(__xludf.DUMMYFUNCTION("""COMPUTED_VALUE"""),999)</f>
        <v>999</v>
      </c>
      <c r="C13248" s="7">
        <f ca="1">IFERROR(__xludf.DUMMYFUNCTION("""COMPUTED_VALUE"""),999)</f>
        <v>999</v>
      </c>
      <c r="D13248" s="8">
        <f ca="1">IFERROR(__xludf.DUMMYFUNCTION("""COMPUTED_VALUE"""),999)</f>
        <v>999</v>
      </c>
      <c r="E13248" s="2">
        <f ca="1">IFERROR(__xludf.DUMMYFUNCTION("""COMPUTED_VALUE"""),999)</f>
        <v>999</v>
      </c>
    </row>
    <row r="13249" spans="1:5" ht="13">
      <c r="A13249" s="8" t="str">
        <f ca="1">IFERROR(__xludf.DUMMYFUNCTION("""COMPUTED_VALUE"""),"Unknown (commissions)")</f>
        <v>Unknown (commissions)</v>
      </c>
      <c r="B13249" s="2">
        <f ca="1">IFERROR(__xludf.DUMMYFUNCTION("""COMPUTED_VALUE"""),999)</f>
        <v>999</v>
      </c>
      <c r="C13249" s="7">
        <f ca="1">IFERROR(__xludf.DUMMYFUNCTION("""COMPUTED_VALUE"""),999)</f>
        <v>999</v>
      </c>
      <c r="D13249" s="8">
        <f ca="1">IFERROR(__xludf.DUMMYFUNCTION("""COMPUTED_VALUE"""),999)</f>
        <v>999</v>
      </c>
      <c r="E13249" s="2">
        <f ca="1">IFERROR(__xludf.DUMMYFUNCTION("""COMPUTED_VALUE"""),999)</f>
        <v>999</v>
      </c>
    </row>
    <row r="13250" spans="1:5" ht="13">
      <c r="A13250" s="8" t="str">
        <f ca="1">IFERROR(__xludf.DUMMYFUNCTION("""COMPUTED_VALUE"""),"Unknown (competition winner)")</f>
        <v>Unknown (competition winner)</v>
      </c>
      <c r="B13250" s="2">
        <f ca="1">IFERROR(__xludf.DUMMYFUNCTION("""COMPUTED_VALUE"""),999)</f>
        <v>999</v>
      </c>
      <c r="C13250" s="7">
        <f ca="1">IFERROR(__xludf.DUMMYFUNCTION("""COMPUTED_VALUE"""),999)</f>
        <v>999</v>
      </c>
      <c r="D13250" s="8">
        <f ca="1">IFERROR(__xludf.DUMMYFUNCTION("""COMPUTED_VALUE"""),999)</f>
        <v>999</v>
      </c>
      <c r="E13250" s="2">
        <f ca="1">IFERROR(__xludf.DUMMYFUNCTION("""COMPUTED_VALUE"""),999)</f>
        <v>999</v>
      </c>
    </row>
    <row r="13251" spans="1:5" ht="13">
      <c r="A13251" s="8" t="str">
        <f ca="1">IFERROR(__xludf.DUMMYFUNCTION("""COMPUTED_VALUE"""),"unknown (multiple)")</f>
        <v>unknown (multiple)</v>
      </c>
      <c r="B13251" s="3">
        <f ca="1">IFERROR(__xludf.DUMMYFUNCTION("""COMPUTED_VALUE"""),999)</f>
        <v>999</v>
      </c>
      <c r="C13251" s="7">
        <f ca="1">IFERROR(__xludf.DUMMYFUNCTION("""COMPUTED_VALUE"""),999)</f>
        <v>999</v>
      </c>
      <c r="D13251" s="8">
        <f ca="1">IFERROR(__xludf.DUMMYFUNCTION("""COMPUTED_VALUE"""),999)</f>
        <v>999</v>
      </c>
      <c r="E13251" s="2">
        <f ca="1">IFERROR(__xludf.DUMMYFUNCTION("""COMPUTED_VALUE"""),999)</f>
        <v>999</v>
      </c>
    </row>
    <row r="13252" spans="1:5" ht="13">
      <c r="A13252" s="8" t="str">
        <f ca="1">IFERROR(__xludf.DUMMYFUNCTION("""COMPUTED_VALUE"""),"Unlisted")</f>
        <v>Unlisted</v>
      </c>
      <c r="B13252" s="3">
        <f ca="1">IFERROR(__xludf.DUMMYFUNCTION("""COMPUTED_VALUE"""),999)</f>
        <v>999</v>
      </c>
      <c r="C13252" s="7">
        <f ca="1">IFERROR(__xludf.DUMMYFUNCTION("""COMPUTED_VALUE"""),999)</f>
        <v>999</v>
      </c>
      <c r="D13252" s="8">
        <f ca="1">IFERROR(__xludf.DUMMYFUNCTION("""COMPUTED_VALUE"""),999)</f>
        <v>999</v>
      </c>
      <c r="E13252" s="2">
        <f ca="1">IFERROR(__xludf.DUMMYFUNCTION("""COMPUTED_VALUE"""),999)</f>
        <v>999</v>
      </c>
    </row>
    <row r="13253" spans="1:5" ht="13">
      <c r="A13253" s="8" t="str">
        <f ca="1">IFERROR(__xludf.DUMMYFUNCTION("""COMPUTED_VALUE"""),"Unlisted Composer")</f>
        <v>Unlisted Composer</v>
      </c>
      <c r="B13253" s="3">
        <f ca="1">IFERROR(__xludf.DUMMYFUNCTION("""COMPUTED_VALUE"""),999)</f>
        <v>999</v>
      </c>
      <c r="C13253" s="7">
        <f ca="1">IFERROR(__xludf.DUMMYFUNCTION("""COMPUTED_VALUE"""),999)</f>
        <v>999</v>
      </c>
      <c r="D13253" s="8">
        <f ca="1">IFERROR(__xludf.DUMMYFUNCTION("""COMPUTED_VALUE"""),999)</f>
        <v>999</v>
      </c>
      <c r="E13253" s="2">
        <f ca="1">IFERROR(__xludf.DUMMYFUNCTION("""COMPUTED_VALUE"""),999)</f>
        <v>999</v>
      </c>
    </row>
    <row r="13254" spans="1:5" ht="13">
      <c r="A13254" s="8" t="str">
        <f ca="1">IFERROR(__xludf.DUMMYFUNCTION("""COMPUTED_VALUE"""),"Unlisted Composer(s)")</f>
        <v>Unlisted Composer(s)</v>
      </c>
      <c r="B13254" s="3">
        <f ca="1">IFERROR(__xludf.DUMMYFUNCTION("""COMPUTED_VALUE"""),999)</f>
        <v>999</v>
      </c>
      <c r="C13254" s="7">
        <f ca="1">IFERROR(__xludf.DUMMYFUNCTION("""COMPUTED_VALUE"""),999)</f>
        <v>999</v>
      </c>
      <c r="D13254" s="8">
        <f ca="1">IFERROR(__xludf.DUMMYFUNCTION("""COMPUTED_VALUE"""),999)</f>
        <v>999</v>
      </c>
      <c r="E13254" s="2">
        <f ca="1">IFERROR(__xludf.DUMMYFUNCTION("""COMPUTED_VALUE"""),999)</f>
        <v>999</v>
      </c>
    </row>
    <row r="13255" spans="1:5" ht="13">
      <c r="A13255" s="2" t="str">
        <f ca="1">IFERROR(__xludf.DUMMYFUNCTION("""COMPUTED_VALUE"""),"Urmann, Robert")</f>
        <v>Urmann, Robert</v>
      </c>
      <c r="B13255" s="2">
        <f ca="1">IFERROR(__xludf.DUMMYFUNCTION("""COMPUTED_VALUE"""),999)</f>
        <v>999</v>
      </c>
      <c r="C13255" s="2">
        <f ca="1">IFERROR(__xludf.DUMMYFUNCTION("""COMPUTED_VALUE"""),999)</f>
        <v>999</v>
      </c>
      <c r="D13255" s="8">
        <f ca="1">IFERROR(__xludf.DUMMYFUNCTION("""COMPUTED_VALUE"""),999)</f>
        <v>999</v>
      </c>
      <c r="E13255" s="2">
        <f ca="1">IFERROR(__xludf.DUMMYFUNCTION("""COMPUTED_VALUE"""),999)</f>
        <v>999</v>
      </c>
    </row>
    <row r="13256" spans="1:5" ht="13">
      <c r="A13256" s="2" t="str">
        <f ca="1">IFERROR(__xludf.DUMMYFUNCTION("""COMPUTED_VALUE"""),"Urrows, David Francis")</f>
        <v>Urrows, David Francis</v>
      </c>
      <c r="B13256" s="2">
        <f ca="1">IFERROR(__xludf.DUMMYFUNCTION("""COMPUTED_VALUE"""),999)</f>
        <v>999</v>
      </c>
      <c r="C13256" s="2">
        <f ca="1">IFERROR(__xludf.DUMMYFUNCTION("""COMPUTED_VALUE"""),999)</f>
        <v>999</v>
      </c>
      <c r="D13256" s="8">
        <f ca="1">IFERROR(__xludf.DUMMYFUNCTION("""COMPUTED_VALUE"""),999)</f>
        <v>999</v>
      </c>
      <c r="E13256" s="2">
        <f ca="1">IFERROR(__xludf.DUMMYFUNCTION("""COMPUTED_VALUE"""),999)</f>
        <v>999</v>
      </c>
    </row>
    <row r="13257" spans="1:5" ht="13">
      <c r="A13257" s="2" t="str">
        <f ca="1">IFERROR(__xludf.DUMMYFUNCTION("""COMPUTED_VALUE"""),"USMB")</f>
        <v>USMB</v>
      </c>
      <c r="B13257" s="3">
        <f ca="1">IFERROR(__xludf.DUMMYFUNCTION("""COMPUTED_VALUE"""),999)</f>
        <v>999</v>
      </c>
      <c r="C13257" s="7">
        <f ca="1">IFERROR(__xludf.DUMMYFUNCTION("""COMPUTED_VALUE"""),999)</f>
        <v>999</v>
      </c>
      <c r="D13257" s="8">
        <f ca="1">IFERROR(__xludf.DUMMYFUNCTION("""COMPUTED_VALUE"""),999)</f>
        <v>999</v>
      </c>
      <c r="E13257" s="2">
        <f ca="1">IFERROR(__xludf.DUMMYFUNCTION("""COMPUTED_VALUE"""),999)</f>
        <v>999</v>
      </c>
    </row>
    <row r="13258" spans="1:5" ht="13">
      <c r="A13258" s="2" t="str">
        <f ca="1">IFERROR(__xludf.DUMMYFUNCTION("""COMPUTED_VALUE"""),"Valerio, Sandy / Buechner, Alan")</f>
        <v>Valerio, Sandy / Buechner, Alan</v>
      </c>
      <c r="B13258" s="2">
        <f ca="1">IFERROR(__xludf.DUMMYFUNCTION("""COMPUTED_VALUE"""),999)</f>
        <v>999</v>
      </c>
      <c r="C13258" s="7">
        <f ca="1">IFERROR(__xludf.DUMMYFUNCTION("""COMPUTED_VALUE"""),999)</f>
        <v>999</v>
      </c>
      <c r="D13258" s="8">
        <f ca="1">IFERROR(__xludf.DUMMYFUNCTION("""COMPUTED_VALUE"""),999)</f>
        <v>999</v>
      </c>
      <c r="E13258" s="2">
        <f ca="1">IFERROR(__xludf.DUMMYFUNCTION("""COMPUTED_VALUE"""),999)</f>
        <v>999</v>
      </c>
    </row>
    <row r="13259" spans="1:5" ht="13">
      <c r="A13259" s="2" t="str">
        <f ca="1">IFERROR(__xludf.DUMMYFUNCTION("""COMPUTED_VALUE"""),"VanCamp / Kitteredge")</f>
        <v>VanCamp / Kitteredge</v>
      </c>
      <c r="B13259" s="2">
        <f ca="1">IFERROR(__xludf.DUMMYFUNCTION("""COMPUTED_VALUE"""),999)</f>
        <v>999</v>
      </c>
      <c r="C13259" s="2">
        <f ca="1">IFERROR(__xludf.DUMMYFUNCTION("""COMPUTED_VALUE"""),999)</f>
        <v>999</v>
      </c>
      <c r="D13259" s="8">
        <f ca="1">IFERROR(__xludf.DUMMYFUNCTION("""COMPUTED_VALUE"""),999)</f>
        <v>999</v>
      </c>
      <c r="E13259" s="2">
        <f ca="1">IFERROR(__xludf.DUMMYFUNCTION("""COMPUTED_VALUE"""),999)</f>
        <v>999</v>
      </c>
    </row>
    <row r="13260" spans="1:5" ht="13">
      <c r="A13260" s="2" t="str">
        <f ca="1">IFERROR(__xludf.DUMMYFUNCTION("""COMPUTED_VALUE"""),"Vancil, Gregory")</f>
        <v>Vancil, Gregory</v>
      </c>
      <c r="B13260" s="2">
        <f ca="1">IFERROR(__xludf.DUMMYFUNCTION("""COMPUTED_VALUE"""),999)</f>
        <v>999</v>
      </c>
      <c r="C13260" s="2">
        <f ca="1">IFERROR(__xludf.DUMMYFUNCTION("""COMPUTED_VALUE"""),999)</f>
        <v>999</v>
      </c>
      <c r="D13260" s="8">
        <f ca="1">IFERROR(__xludf.DUMMYFUNCTION("""COMPUTED_VALUE"""),999)</f>
        <v>999</v>
      </c>
      <c r="E13260" s="2">
        <f ca="1">IFERROR(__xludf.DUMMYFUNCTION("""COMPUTED_VALUE"""),999)</f>
        <v>999</v>
      </c>
    </row>
    <row r="13261" spans="1:5" ht="13">
      <c r="A13261" s="2" t="str">
        <f ca="1">IFERROR(__xludf.DUMMYFUNCTION("""COMPUTED_VALUE"""),"Varios autores")</f>
        <v>Varios autores</v>
      </c>
      <c r="B13261" s="3">
        <f ca="1">IFERROR(__xludf.DUMMYFUNCTION("""COMPUTED_VALUE"""),999)</f>
        <v>999</v>
      </c>
      <c r="C13261" s="7">
        <f ca="1">IFERROR(__xludf.DUMMYFUNCTION("""COMPUTED_VALUE"""),999)</f>
        <v>999</v>
      </c>
      <c r="D13261" s="8">
        <f ca="1">IFERROR(__xludf.DUMMYFUNCTION("""COMPUTED_VALUE"""),999)</f>
        <v>999</v>
      </c>
      <c r="E13261" s="2">
        <f ca="1">IFERROR(__xludf.DUMMYFUNCTION("""COMPUTED_VALUE"""),999)</f>
        <v>999</v>
      </c>
    </row>
    <row r="13262" spans="1:5" ht="13">
      <c r="A13262" s="2" t="str">
        <f ca="1">IFERROR(__xludf.DUMMYFUNCTION("""COMPUTED_VALUE"""),"Various Composers")</f>
        <v>Various Composers</v>
      </c>
      <c r="B13262" s="2">
        <f ca="1">IFERROR(__xludf.DUMMYFUNCTION("""COMPUTED_VALUE"""),999)</f>
        <v>999</v>
      </c>
      <c r="C13262" s="7">
        <f ca="1">IFERROR(__xludf.DUMMYFUNCTION("""COMPUTED_VALUE"""),999)</f>
        <v>999</v>
      </c>
      <c r="D13262" s="8">
        <f ca="1">IFERROR(__xludf.DUMMYFUNCTION("""COMPUTED_VALUE"""),999)</f>
        <v>999</v>
      </c>
      <c r="E13262" s="2">
        <f ca="1">IFERROR(__xludf.DUMMYFUNCTION("""COMPUTED_VALUE"""),999)</f>
        <v>999</v>
      </c>
    </row>
    <row r="13263" spans="1:5" ht="13">
      <c r="A13263" s="8" t="str">
        <f ca="1">IFERROR(__xludf.DUMMYFUNCTION("""COMPUTED_VALUE"""),"Varner, P.")</f>
        <v>Varner, P.</v>
      </c>
      <c r="B13263" s="2">
        <f ca="1">IFERROR(__xludf.DUMMYFUNCTION("""COMPUTED_VALUE"""),999)</f>
        <v>999</v>
      </c>
      <c r="C13263" s="7">
        <f ca="1">IFERROR(__xludf.DUMMYFUNCTION("""COMPUTED_VALUE"""),999)</f>
        <v>999</v>
      </c>
      <c r="D13263" s="8">
        <f ca="1">IFERROR(__xludf.DUMMYFUNCTION("""COMPUTED_VALUE"""),999)</f>
        <v>999</v>
      </c>
      <c r="E13263" s="2">
        <f ca="1">IFERROR(__xludf.DUMMYFUNCTION("""COMPUTED_VALUE"""),999)</f>
        <v>999</v>
      </c>
    </row>
    <row r="13264" spans="1:5" ht="13">
      <c r="A13264" s="2" t="str">
        <f ca="1">IFERROR(__xludf.DUMMYFUNCTION("""COMPUTED_VALUE"""),"Vene, Ruggero")</f>
        <v>Vene, Ruggero</v>
      </c>
      <c r="B13264" s="2">
        <f ca="1">IFERROR(__xludf.DUMMYFUNCTION("""COMPUTED_VALUE"""),999)</f>
        <v>999</v>
      </c>
      <c r="C13264" s="2">
        <f ca="1">IFERROR(__xludf.DUMMYFUNCTION("""COMPUTED_VALUE"""),999)</f>
        <v>999</v>
      </c>
      <c r="D13264" s="8">
        <f ca="1">IFERROR(__xludf.DUMMYFUNCTION("""COMPUTED_VALUE"""),999)</f>
        <v>999</v>
      </c>
      <c r="E13264" s="2">
        <f ca="1">IFERROR(__xludf.DUMMYFUNCTION("""COMPUTED_VALUE"""),999)</f>
        <v>999</v>
      </c>
    </row>
    <row r="13265" spans="1:5" ht="13">
      <c r="A13265" s="2" t="str">
        <f ca="1">IFERROR(__xludf.DUMMYFUNCTION("""COMPUTED_VALUE"""),"Vinci, Albert C.")</f>
        <v>Vinci, Albert C.</v>
      </c>
      <c r="B13265" s="2">
        <f ca="1">IFERROR(__xludf.DUMMYFUNCTION("""COMPUTED_VALUE"""),999)</f>
        <v>999</v>
      </c>
      <c r="C13265" s="2">
        <f ca="1">IFERROR(__xludf.DUMMYFUNCTION("""COMPUTED_VALUE"""),999)</f>
        <v>999</v>
      </c>
      <c r="D13265" s="8">
        <f ca="1">IFERROR(__xludf.DUMMYFUNCTION("""COMPUTED_VALUE"""),999)</f>
        <v>999</v>
      </c>
      <c r="E13265" s="2">
        <f ca="1">IFERROR(__xludf.DUMMYFUNCTION("""COMPUTED_VALUE"""),999)</f>
        <v>999</v>
      </c>
    </row>
    <row r="13266" spans="1:5" ht="13">
      <c r="A13266" s="2" t="str">
        <f ca="1">IFERROR(__xludf.DUMMYFUNCTION("""COMPUTED_VALUE"""),"Vitto")</f>
        <v>Vitto</v>
      </c>
      <c r="B13266" s="2">
        <f ca="1">IFERROR(__xludf.DUMMYFUNCTION("""COMPUTED_VALUE"""),999)</f>
        <v>999</v>
      </c>
      <c r="C13266" s="7">
        <f ca="1">IFERROR(__xludf.DUMMYFUNCTION("""COMPUTED_VALUE"""),999)</f>
        <v>999</v>
      </c>
      <c r="D13266" s="8">
        <f ca="1">IFERROR(__xludf.DUMMYFUNCTION("""COMPUTED_VALUE"""),999)</f>
        <v>999</v>
      </c>
      <c r="E13266" s="2">
        <f ca="1">IFERROR(__xludf.DUMMYFUNCTION("""COMPUTED_VALUE"""),999)</f>
        <v>999</v>
      </c>
    </row>
    <row r="13267" spans="1:5" ht="13">
      <c r="A13267" s="2" t="str">
        <f ca="1">IFERROR(__xludf.DUMMYFUNCTION("""COMPUTED_VALUE"""),"Vitto, Ben")</f>
        <v>Vitto, Ben</v>
      </c>
      <c r="B13267" s="2">
        <f ca="1">IFERROR(__xludf.DUMMYFUNCTION("""COMPUTED_VALUE"""),999)</f>
        <v>999</v>
      </c>
      <c r="C13267" s="2">
        <f ca="1">IFERROR(__xludf.DUMMYFUNCTION("""COMPUTED_VALUE"""),999)</f>
        <v>999</v>
      </c>
      <c r="D13267" s="8">
        <f ca="1">IFERROR(__xludf.DUMMYFUNCTION("""COMPUTED_VALUE"""),999)</f>
        <v>999</v>
      </c>
      <c r="E13267" s="2">
        <f ca="1">IFERROR(__xludf.DUMMYFUNCTION("""COMPUTED_VALUE"""),999)</f>
        <v>999</v>
      </c>
    </row>
    <row r="13268" spans="1:5" ht="13">
      <c r="A13268" s="2" t="str">
        <f ca="1">IFERROR(__xludf.DUMMYFUNCTION("""COMPUTED_VALUE"""),"Volz, Edward W. / Sladek, Paul")</f>
        <v>Volz, Edward W. / Sladek, Paul</v>
      </c>
      <c r="B13268" s="2">
        <f ca="1">IFERROR(__xludf.DUMMYFUNCTION("""COMPUTED_VALUE"""),999)</f>
        <v>999</v>
      </c>
      <c r="C13268" s="2">
        <f ca="1">IFERROR(__xludf.DUMMYFUNCTION("""COMPUTED_VALUE"""),999)</f>
        <v>999</v>
      </c>
      <c r="D13268" s="8">
        <f ca="1">IFERROR(__xludf.DUMMYFUNCTION("""COMPUTED_VALUE"""),999)</f>
        <v>999</v>
      </c>
      <c r="E13268" s="2">
        <f ca="1">IFERROR(__xludf.DUMMYFUNCTION("""COMPUTED_VALUE"""),999)</f>
        <v>999</v>
      </c>
    </row>
    <row r="13269" spans="1:5" ht="13">
      <c r="A13269" s="2" t="str">
        <f ca="1">IFERROR(__xludf.DUMMYFUNCTION("""COMPUTED_VALUE"""),"Waesche, Ed / Szabo, Burt")</f>
        <v>Waesche, Ed / Szabo, Burt</v>
      </c>
      <c r="B13269" s="2">
        <f ca="1">IFERROR(__xludf.DUMMYFUNCTION("""COMPUTED_VALUE"""),999)</f>
        <v>999</v>
      </c>
      <c r="C13269" s="7">
        <f ca="1">IFERROR(__xludf.DUMMYFUNCTION("""COMPUTED_VALUE"""),999)</f>
        <v>999</v>
      </c>
      <c r="D13269" s="8">
        <f ca="1">IFERROR(__xludf.DUMMYFUNCTION("""COMPUTED_VALUE"""),999)</f>
        <v>999</v>
      </c>
      <c r="E13269" s="2">
        <f ca="1">IFERROR(__xludf.DUMMYFUNCTION("""COMPUTED_VALUE"""),999)</f>
        <v>999</v>
      </c>
    </row>
    <row r="13270" spans="1:5" ht="13">
      <c r="A13270" s="2" t="str">
        <f ca="1">IFERROR(__xludf.DUMMYFUNCTION("""COMPUTED_VALUE"""),"Wagner, J. David")</f>
        <v>Wagner, J. David</v>
      </c>
      <c r="B13270" s="2">
        <f ca="1">IFERROR(__xludf.DUMMYFUNCTION("""COMPUTED_VALUE"""),999)</f>
        <v>999</v>
      </c>
      <c r="C13270" s="2">
        <f ca="1">IFERROR(__xludf.DUMMYFUNCTION("""COMPUTED_VALUE"""),999)</f>
        <v>999</v>
      </c>
      <c r="D13270" s="8">
        <f ca="1">IFERROR(__xludf.DUMMYFUNCTION("""COMPUTED_VALUE"""),999)</f>
        <v>999</v>
      </c>
      <c r="E13270" s="2">
        <f ca="1">IFERROR(__xludf.DUMMYFUNCTION("""COMPUTED_VALUE"""),999)</f>
        <v>999</v>
      </c>
    </row>
    <row r="13271" spans="1:5" ht="13">
      <c r="A13271" s="2" t="str">
        <f ca="1">IFERROR(__xludf.DUMMYFUNCTION("""COMPUTED_VALUE"""),"Walker (unknown)")</f>
        <v>Walker (unknown)</v>
      </c>
      <c r="B13271" s="2">
        <f ca="1">IFERROR(__xludf.DUMMYFUNCTION("""COMPUTED_VALUE"""),999)</f>
        <v>999</v>
      </c>
      <c r="C13271" s="7">
        <f ca="1">IFERROR(__xludf.DUMMYFUNCTION("""COMPUTED_VALUE"""),999)</f>
        <v>999</v>
      </c>
      <c r="D13271" s="8">
        <f ca="1">IFERROR(__xludf.DUMMYFUNCTION("""COMPUTED_VALUE"""),999)</f>
        <v>999</v>
      </c>
      <c r="E13271" s="2">
        <f ca="1">IFERROR(__xludf.DUMMYFUNCTION("""COMPUTED_VALUE"""),999)</f>
        <v>999</v>
      </c>
    </row>
    <row r="13272" spans="1:5" ht="13">
      <c r="A13272" s="2" t="str">
        <f ca="1">IFERROR(__xludf.DUMMYFUNCTION("""COMPUTED_VALUE"""),"Wallace, J.L.")</f>
        <v>Wallace, J.L.</v>
      </c>
      <c r="B13272" s="2">
        <f ca="1">IFERROR(__xludf.DUMMYFUNCTION("""COMPUTED_VALUE"""),999)</f>
        <v>999</v>
      </c>
      <c r="C13272" s="2">
        <f ca="1">IFERROR(__xludf.DUMMYFUNCTION("""COMPUTED_VALUE"""),999)</f>
        <v>999</v>
      </c>
      <c r="D13272" s="8">
        <f ca="1">IFERROR(__xludf.DUMMYFUNCTION("""COMPUTED_VALUE"""),999)</f>
        <v>999</v>
      </c>
      <c r="E13272" s="2">
        <f ca="1">IFERROR(__xludf.DUMMYFUNCTION("""COMPUTED_VALUE"""),999)</f>
        <v>999</v>
      </c>
    </row>
    <row r="13273" spans="1:5" ht="13">
      <c r="A13273" s="2" t="str">
        <f ca="1">IFERROR(__xludf.DUMMYFUNCTION("""COMPUTED_VALUE"""),"Wallace, John")</f>
        <v>Wallace, John</v>
      </c>
      <c r="B13273" s="2">
        <f ca="1">IFERROR(__xludf.DUMMYFUNCTION("""COMPUTED_VALUE"""),999)</f>
        <v>999</v>
      </c>
      <c r="C13273" s="2">
        <f ca="1">IFERROR(__xludf.DUMMYFUNCTION("""COMPUTED_VALUE"""),999)</f>
        <v>999</v>
      </c>
      <c r="D13273" s="8">
        <f ca="1">IFERROR(__xludf.DUMMYFUNCTION("""COMPUTED_VALUE"""),999)</f>
        <v>999</v>
      </c>
      <c r="E13273" s="2">
        <f ca="1">IFERROR(__xludf.DUMMYFUNCTION("""COMPUTED_VALUE"""),999)</f>
        <v>999</v>
      </c>
    </row>
    <row r="13274" spans="1:5" ht="13">
      <c r="A13274" s="2" t="str">
        <f ca="1">IFERROR(__xludf.DUMMYFUNCTION("""COMPUTED_VALUE"""),"Wallinger, Laird")</f>
        <v>Wallinger, Laird</v>
      </c>
      <c r="B13274" s="2">
        <f ca="1">IFERROR(__xludf.DUMMYFUNCTION("""COMPUTED_VALUE"""),999)</f>
        <v>999</v>
      </c>
      <c r="C13274" s="2">
        <f ca="1">IFERROR(__xludf.DUMMYFUNCTION("""COMPUTED_VALUE"""),999)</f>
        <v>999</v>
      </c>
      <c r="D13274" s="8">
        <f ca="1">IFERROR(__xludf.DUMMYFUNCTION("""COMPUTED_VALUE"""),999)</f>
        <v>999</v>
      </c>
      <c r="E13274" s="2">
        <f ca="1">IFERROR(__xludf.DUMMYFUNCTION("""COMPUTED_VALUE"""),999)</f>
        <v>999</v>
      </c>
    </row>
    <row r="13275" spans="1:5" ht="13">
      <c r="A13275" s="2" t="str">
        <f ca="1">IFERROR(__xludf.DUMMYFUNCTION("""COMPUTED_VALUE"""),"Walter (name unknown)")</f>
        <v>Walter (name unknown)</v>
      </c>
      <c r="B13275" s="2">
        <f ca="1">IFERROR(__xludf.DUMMYFUNCTION("""COMPUTED_VALUE"""),999)</f>
        <v>999</v>
      </c>
      <c r="C13275" s="7">
        <f ca="1">IFERROR(__xludf.DUMMYFUNCTION("""COMPUTED_VALUE"""),999)</f>
        <v>999</v>
      </c>
      <c r="D13275" s="8">
        <f ca="1">IFERROR(__xludf.DUMMYFUNCTION("""COMPUTED_VALUE"""),999)</f>
        <v>999</v>
      </c>
      <c r="E13275" s="2">
        <f ca="1">IFERROR(__xludf.DUMMYFUNCTION("""COMPUTED_VALUE"""),999)</f>
        <v>999</v>
      </c>
    </row>
    <row r="13276" spans="1:5" ht="13">
      <c r="A13276" s="2" t="str">
        <f ca="1">IFERROR(__xludf.DUMMYFUNCTION("""COMPUTED_VALUE"""),"Walters, Michael")</f>
        <v>Walters, Michael</v>
      </c>
      <c r="B13276" s="2">
        <f ca="1">IFERROR(__xludf.DUMMYFUNCTION("""COMPUTED_VALUE"""),999)</f>
        <v>999</v>
      </c>
      <c r="C13276" s="2">
        <f ca="1">IFERROR(__xludf.DUMMYFUNCTION("""COMPUTED_VALUE"""),999)</f>
        <v>999</v>
      </c>
      <c r="D13276" s="8">
        <f ca="1">IFERROR(__xludf.DUMMYFUNCTION("""COMPUTED_VALUE"""),999)</f>
        <v>999</v>
      </c>
      <c r="E13276" s="2">
        <f ca="1">IFERROR(__xludf.DUMMYFUNCTION("""COMPUTED_VALUE"""),999)</f>
        <v>999</v>
      </c>
    </row>
    <row r="13277" spans="1:5" ht="13">
      <c r="A13277" s="2" t="str">
        <f ca="1">IFERROR(__xludf.DUMMYFUNCTION("""COMPUTED_VALUE"""),"Walters, Richard")</f>
        <v>Walters, Richard</v>
      </c>
      <c r="B13277" s="2">
        <f ca="1">IFERROR(__xludf.DUMMYFUNCTION("""COMPUTED_VALUE"""),999)</f>
        <v>999</v>
      </c>
      <c r="C13277" s="2">
        <f ca="1">IFERROR(__xludf.DUMMYFUNCTION("""COMPUTED_VALUE"""),999)</f>
        <v>999</v>
      </c>
      <c r="D13277" s="8">
        <f ca="1">IFERROR(__xludf.DUMMYFUNCTION("""COMPUTED_VALUE"""),999)</f>
        <v>999</v>
      </c>
      <c r="E13277" s="2">
        <f ca="1">IFERROR(__xludf.DUMMYFUNCTION("""COMPUTED_VALUE"""),999)</f>
        <v>999</v>
      </c>
    </row>
    <row r="13278" spans="1:5" ht="13">
      <c r="A13278" s="2" t="str">
        <f ca="1">IFERROR(__xludf.DUMMYFUNCTION("""COMPUTED_VALUE"""),"Wapen, Francis")</f>
        <v>Wapen, Francis</v>
      </c>
      <c r="B13278" s="2">
        <f ca="1">IFERROR(__xludf.DUMMYFUNCTION("""COMPUTED_VALUE"""),999)</f>
        <v>999</v>
      </c>
      <c r="C13278" s="2">
        <f ca="1">IFERROR(__xludf.DUMMYFUNCTION("""COMPUTED_VALUE"""),999)</f>
        <v>999</v>
      </c>
      <c r="D13278" s="8">
        <f ca="1">IFERROR(__xludf.DUMMYFUNCTION("""COMPUTED_VALUE"""),999)</f>
        <v>999</v>
      </c>
      <c r="E13278" s="2">
        <f ca="1">IFERROR(__xludf.DUMMYFUNCTION("""COMPUTED_VALUE"""),999)</f>
        <v>999</v>
      </c>
    </row>
    <row r="13279" spans="1:5" ht="13">
      <c r="A13279" s="2" t="str">
        <f ca="1">IFERROR(__xludf.DUMMYFUNCTION("""COMPUTED_VALUE"""),"Warner, Bryan")</f>
        <v>Warner, Bryan</v>
      </c>
      <c r="B13279" s="2">
        <f ca="1">IFERROR(__xludf.DUMMYFUNCTION("""COMPUTED_VALUE"""),999)</f>
        <v>999</v>
      </c>
      <c r="C13279" s="2">
        <f ca="1">IFERROR(__xludf.DUMMYFUNCTION("""COMPUTED_VALUE"""),999)</f>
        <v>999</v>
      </c>
      <c r="D13279" s="8">
        <f ca="1">IFERROR(__xludf.DUMMYFUNCTION("""COMPUTED_VALUE"""),999)</f>
        <v>999</v>
      </c>
      <c r="E13279" s="2">
        <f ca="1">IFERROR(__xludf.DUMMYFUNCTION("""COMPUTED_VALUE"""),999)</f>
        <v>999</v>
      </c>
    </row>
    <row r="13280" spans="1:5" ht="13">
      <c r="A13280" s="2" t="str">
        <f ca="1">IFERROR(__xludf.DUMMYFUNCTION("""COMPUTED_VALUE"""),"Warren,")</f>
        <v>Warren,</v>
      </c>
      <c r="B13280" s="2">
        <f ca="1">IFERROR(__xludf.DUMMYFUNCTION("""COMPUTED_VALUE"""),999)</f>
        <v>999</v>
      </c>
      <c r="C13280" s="7">
        <f ca="1">IFERROR(__xludf.DUMMYFUNCTION("""COMPUTED_VALUE"""),999)</f>
        <v>999</v>
      </c>
      <c r="D13280" s="8">
        <f ca="1">IFERROR(__xludf.DUMMYFUNCTION("""COMPUTED_VALUE"""),999)</f>
        <v>999</v>
      </c>
      <c r="E13280" s="2">
        <f ca="1">IFERROR(__xludf.DUMMYFUNCTION("""COMPUTED_VALUE"""),999)</f>
        <v>999</v>
      </c>
    </row>
    <row r="13281" spans="1:5" ht="13">
      <c r="A13281" s="2" t="str">
        <f ca="1">IFERROR(__xludf.DUMMYFUNCTION("""COMPUTED_VALUE"""),"Warren, B.")</f>
        <v>Warren, B.</v>
      </c>
      <c r="B13281" s="2">
        <f ca="1">IFERROR(__xludf.DUMMYFUNCTION("""COMPUTED_VALUE"""),999)</f>
        <v>999</v>
      </c>
      <c r="C13281" s="2">
        <f ca="1">IFERROR(__xludf.DUMMYFUNCTION("""COMPUTED_VALUE"""),999)</f>
        <v>999</v>
      </c>
      <c r="D13281" s="8">
        <f ca="1">IFERROR(__xludf.DUMMYFUNCTION("""COMPUTED_VALUE"""),999)</f>
        <v>999</v>
      </c>
      <c r="E13281" s="2">
        <f ca="1">IFERROR(__xludf.DUMMYFUNCTION("""COMPUTED_VALUE"""),999)</f>
        <v>999</v>
      </c>
    </row>
    <row r="13282" spans="1:5" ht="13">
      <c r="A13282" s="2" t="str">
        <f ca="1">IFERROR(__xludf.DUMMYFUNCTION("""COMPUTED_VALUE"""),"Warren, David")</f>
        <v>Warren, David</v>
      </c>
      <c r="B13282" s="2">
        <f ca="1">IFERROR(__xludf.DUMMYFUNCTION("""COMPUTED_VALUE"""),999)</f>
        <v>999</v>
      </c>
      <c r="C13282" s="2">
        <f ca="1">IFERROR(__xludf.DUMMYFUNCTION("""COMPUTED_VALUE"""),999)</f>
        <v>999</v>
      </c>
      <c r="D13282" s="8">
        <f ca="1">IFERROR(__xludf.DUMMYFUNCTION("""COMPUTED_VALUE"""),999)</f>
        <v>999</v>
      </c>
      <c r="E13282" s="2">
        <f ca="1">IFERROR(__xludf.DUMMYFUNCTION("""COMPUTED_VALUE"""),999)</f>
        <v>999</v>
      </c>
    </row>
    <row r="13283" spans="1:5" ht="13">
      <c r="A13283" s="8" t="str">
        <f ca="1">IFERROR(__xludf.DUMMYFUNCTION("""COMPUTED_VALUE"""),"Warren, Skylar")</f>
        <v>Warren, Skylar</v>
      </c>
      <c r="B13283" s="3">
        <f ca="1">IFERROR(__xludf.DUMMYFUNCTION("""COMPUTED_VALUE"""),999)</f>
        <v>999</v>
      </c>
      <c r="C13283" s="7">
        <f ca="1">IFERROR(__xludf.DUMMYFUNCTION("""COMPUTED_VALUE"""),999)</f>
        <v>999</v>
      </c>
      <c r="D13283" s="8">
        <f ca="1">IFERROR(__xludf.DUMMYFUNCTION("""COMPUTED_VALUE"""),999)</f>
        <v>999</v>
      </c>
      <c r="E13283" s="3">
        <f ca="1">IFERROR(__xludf.DUMMYFUNCTION("""COMPUTED_VALUE"""),999)</f>
        <v>999</v>
      </c>
    </row>
    <row r="13284" spans="1:5" ht="13">
      <c r="A13284" s="2" t="str">
        <f ca="1">IFERROR(__xludf.DUMMYFUNCTION("""COMPUTED_VALUE"""),"Washington, H.")</f>
        <v>Washington, H.</v>
      </c>
      <c r="B13284" s="2">
        <f ca="1">IFERROR(__xludf.DUMMYFUNCTION("""COMPUTED_VALUE"""),999)</f>
        <v>999</v>
      </c>
      <c r="C13284" s="7">
        <f ca="1">IFERROR(__xludf.DUMMYFUNCTION("""COMPUTED_VALUE"""),999)</f>
        <v>999</v>
      </c>
      <c r="D13284" s="8">
        <f ca="1">IFERROR(__xludf.DUMMYFUNCTION("""COMPUTED_VALUE"""),999)</f>
        <v>999</v>
      </c>
      <c r="E13284" s="2">
        <f ca="1">IFERROR(__xludf.DUMMYFUNCTION("""COMPUTED_VALUE"""),999)</f>
        <v>999</v>
      </c>
    </row>
    <row r="13285" spans="1:5" ht="13">
      <c r="A13285" s="2" t="str">
        <f ca="1">IFERROR(__xludf.DUMMYFUNCTION("""COMPUTED_VALUE"""),"Washington, Henry")</f>
        <v>Washington, Henry</v>
      </c>
      <c r="B13285" s="2">
        <f ca="1">IFERROR(__xludf.DUMMYFUNCTION("""COMPUTED_VALUE"""),999)</f>
        <v>999</v>
      </c>
      <c r="C13285" s="2">
        <f ca="1">IFERROR(__xludf.DUMMYFUNCTION("""COMPUTED_VALUE"""),999)</f>
        <v>999</v>
      </c>
      <c r="D13285" s="8">
        <f ca="1">IFERROR(__xludf.DUMMYFUNCTION("""COMPUTED_VALUE"""),999)</f>
        <v>999</v>
      </c>
      <c r="E13285" s="2">
        <f ca="1">IFERROR(__xludf.DUMMYFUNCTION("""COMPUTED_VALUE"""),999)</f>
        <v>999</v>
      </c>
    </row>
    <row r="13286" spans="1:5" ht="13">
      <c r="A13286" s="2" t="str">
        <f ca="1">IFERROR(__xludf.DUMMYFUNCTION("""COMPUTED_VALUE"""),"Watson, J.R.")</f>
        <v>Watson, J.R.</v>
      </c>
      <c r="B13286" s="2">
        <f ca="1">IFERROR(__xludf.DUMMYFUNCTION("""COMPUTED_VALUE"""),999)</f>
        <v>999</v>
      </c>
      <c r="C13286" s="2">
        <f ca="1">IFERROR(__xludf.DUMMYFUNCTION("""COMPUTED_VALUE"""),999)</f>
        <v>999</v>
      </c>
      <c r="D13286" s="8">
        <f ca="1">IFERROR(__xludf.DUMMYFUNCTION("""COMPUTED_VALUE"""),999)</f>
        <v>999</v>
      </c>
      <c r="E13286" s="2">
        <f ca="1">IFERROR(__xludf.DUMMYFUNCTION("""COMPUTED_VALUE"""),999)</f>
        <v>999</v>
      </c>
    </row>
    <row r="13287" spans="1:5" ht="13">
      <c r="A13287" s="2" t="str">
        <f ca="1">IFERROR(__xludf.DUMMYFUNCTION("""COMPUTED_VALUE"""),"Weather Report")</f>
        <v>Weather Report</v>
      </c>
      <c r="B13287" s="2">
        <f ca="1">IFERROR(__xludf.DUMMYFUNCTION("""COMPUTED_VALUE"""),999)</f>
        <v>999</v>
      </c>
      <c r="C13287" s="7">
        <f ca="1">IFERROR(__xludf.DUMMYFUNCTION("""COMPUTED_VALUE"""),999)</f>
        <v>999</v>
      </c>
      <c r="D13287" s="8">
        <f ca="1">IFERROR(__xludf.DUMMYFUNCTION("""COMPUTED_VALUE"""),999)</f>
        <v>999</v>
      </c>
      <c r="E13287" s="2">
        <f ca="1">IFERROR(__xludf.DUMMYFUNCTION("""COMPUTED_VALUE"""),999)</f>
        <v>999</v>
      </c>
    </row>
    <row r="13288" spans="1:5" ht="13">
      <c r="A13288" s="2" t="str">
        <f ca="1">IFERROR(__xludf.DUMMYFUNCTION("""COMPUTED_VALUE"""),"Weatherly, Robert")</f>
        <v>Weatherly, Robert</v>
      </c>
      <c r="B13288" s="2">
        <f ca="1">IFERROR(__xludf.DUMMYFUNCTION("""COMPUTED_VALUE"""),999)</f>
        <v>999</v>
      </c>
      <c r="C13288" s="2">
        <f ca="1">IFERROR(__xludf.DUMMYFUNCTION("""COMPUTED_VALUE"""),999)</f>
        <v>999</v>
      </c>
      <c r="D13288" s="8">
        <f ca="1">IFERROR(__xludf.DUMMYFUNCTION("""COMPUTED_VALUE"""),999)</f>
        <v>999</v>
      </c>
      <c r="E13288" s="2">
        <f ca="1">IFERROR(__xludf.DUMMYFUNCTION("""COMPUTED_VALUE"""),999)</f>
        <v>999</v>
      </c>
    </row>
    <row r="13289" spans="1:5" ht="13">
      <c r="A13289" s="2" t="str">
        <f ca="1">IFERROR(__xludf.DUMMYFUNCTION("""COMPUTED_VALUE"""),"Weber, Fred")</f>
        <v>Weber, Fred</v>
      </c>
      <c r="B13289" s="2">
        <f ca="1">IFERROR(__xludf.DUMMYFUNCTION("""COMPUTED_VALUE"""),999)</f>
        <v>999</v>
      </c>
      <c r="C13289" s="2">
        <f ca="1">IFERROR(__xludf.DUMMYFUNCTION("""COMPUTED_VALUE"""),999)</f>
        <v>999</v>
      </c>
      <c r="D13289" s="8">
        <f ca="1">IFERROR(__xludf.DUMMYFUNCTION("""COMPUTED_VALUE"""),999)</f>
        <v>999</v>
      </c>
      <c r="E13289" s="2">
        <f ca="1">IFERROR(__xludf.DUMMYFUNCTION("""COMPUTED_VALUE"""),999)</f>
        <v>999</v>
      </c>
    </row>
    <row r="13290" spans="1:5" ht="13">
      <c r="A13290" s="2" t="str">
        <f ca="1">IFERROR(__xludf.DUMMYFUNCTION("""COMPUTED_VALUE"""),"Webster, J.P. / Hunter, Ralph")</f>
        <v>Webster, J.P. / Hunter, Ralph</v>
      </c>
      <c r="B13290" s="2">
        <f ca="1">IFERROR(__xludf.DUMMYFUNCTION("""COMPUTED_VALUE"""),999)</f>
        <v>999</v>
      </c>
      <c r="C13290" s="7">
        <f ca="1">IFERROR(__xludf.DUMMYFUNCTION("""COMPUTED_VALUE"""),999)</f>
        <v>999</v>
      </c>
      <c r="D13290" s="8">
        <f ca="1">IFERROR(__xludf.DUMMYFUNCTION("""COMPUTED_VALUE"""),999)</f>
        <v>999</v>
      </c>
      <c r="E13290" s="2">
        <f ca="1">IFERROR(__xludf.DUMMYFUNCTION("""COMPUTED_VALUE"""),999)</f>
        <v>999</v>
      </c>
    </row>
    <row r="13291" spans="1:5" ht="13">
      <c r="A13291" s="2" t="str">
        <f ca="1">IFERROR(__xludf.DUMMYFUNCTION("""COMPUTED_VALUE"""),"Weckerlin, Jean-Baptiste")</f>
        <v>Weckerlin, Jean-Baptiste</v>
      </c>
      <c r="B13291" s="2">
        <f ca="1">IFERROR(__xludf.DUMMYFUNCTION("""COMPUTED_VALUE"""),999)</f>
        <v>999</v>
      </c>
      <c r="C13291" s="2">
        <f ca="1">IFERROR(__xludf.DUMMYFUNCTION("""COMPUTED_VALUE"""),999)</f>
        <v>999</v>
      </c>
      <c r="D13291" s="8">
        <f ca="1">IFERROR(__xludf.DUMMYFUNCTION("""COMPUTED_VALUE"""),999)</f>
        <v>999</v>
      </c>
      <c r="E13291" s="2">
        <f ca="1">IFERROR(__xludf.DUMMYFUNCTION("""COMPUTED_VALUE"""),999)</f>
        <v>999</v>
      </c>
    </row>
    <row r="13292" spans="1:5" ht="13">
      <c r="A13292" s="2" t="str">
        <f ca="1">IFERROR(__xludf.DUMMYFUNCTION("""COMPUTED_VALUE"""),"Weiser (unknown)")</f>
        <v>Weiser (unknown)</v>
      </c>
      <c r="B13292" s="2">
        <f ca="1">IFERROR(__xludf.DUMMYFUNCTION("""COMPUTED_VALUE"""),999)</f>
        <v>999</v>
      </c>
      <c r="C13292" s="7">
        <f ca="1">IFERROR(__xludf.DUMMYFUNCTION("""COMPUTED_VALUE"""),999)</f>
        <v>999</v>
      </c>
      <c r="D13292" s="8">
        <f ca="1">IFERROR(__xludf.DUMMYFUNCTION("""COMPUTED_VALUE"""),999)</f>
        <v>999</v>
      </c>
      <c r="E13292" s="2">
        <f ca="1">IFERROR(__xludf.DUMMYFUNCTION("""COMPUTED_VALUE"""),999)</f>
        <v>999</v>
      </c>
    </row>
    <row r="13293" spans="1:5" ht="13">
      <c r="A13293" s="2" t="str">
        <f ca="1">IFERROR(__xludf.DUMMYFUNCTION("""COMPUTED_VALUE"""),"Weiss, Jay")</f>
        <v>Weiss, Jay</v>
      </c>
      <c r="B13293" s="2">
        <f ca="1">IFERROR(__xludf.DUMMYFUNCTION("""COMPUTED_VALUE"""),999)</f>
        <v>999</v>
      </c>
      <c r="C13293" s="2">
        <f ca="1">IFERROR(__xludf.DUMMYFUNCTION("""COMPUTED_VALUE"""),999)</f>
        <v>999</v>
      </c>
      <c r="D13293" s="8">
        <f ca="1">IFERROR(__xludf.DUMMYFUNCTION("""COMPUTED_VALUE"""),999)</f>
        <v>999</v>
      </c>
      <c r="E13293" s="2">
        <f ca="1">IFERROR(__xludf.DUMMYFUNCTION("""COMPUTED_VALUE"""),999)</f>
        <v>999</v>
      </c>
    </row>
    <row r="13294" spans="1:5" ht="13">
      <c r="A13294" s="2" t="str">
        <f ca="1">IFERROR(__xludf.DUMMYFUNCTION("""COMPUTED_VALUE"""),"Welsh Hymn")</f>
        <v>Welsh Hymn</v>
      </c>
      <c r="B13294" s="3">
        <f ca="1">IFERROR(__xludf.DUMMYFUNCTION("""COMPUTED_VALUE"""),999)</f>
        <v>999</v>
      </c>
      <c r="C13294" s="7">
        <f ca="1">IFERROR(__xludf.DUMMYFUNCTION("""COMPUTED_VALUE"""),999)</f>
        <v>999</v>
      </c>
      <c r="D13294" s="8">
        <f ca="1">IFERROR(__xludf.DUMMYFUNCTION("""COMPUTED_VALUE"""),999)</f>
        <v>999</v>
      </c>
      <c r="E13294" s="2">
        <f ca="1">IFERROR(__xludf.DUMMYFUNCTION("""COMPUTED_VALUE"""),999)</f>
        <v>999</v>
      </c>
    </row>
    <row r="13295" spans="1:5" ht="13">
      <c r="A13295" s="2" t="str">
        <f ca="1">IFERROR(__xludf.DUMMYFUNCTION("""COMPUTED_VALUE"""),"Westermann, Clayton")</f>
        <v>Westermann, Clayton</v>
      </c>
      <c r="B13295" s="2">
        <f ca="1">IFERROR(__xludf.DUMMYFUNCTION("""COMPUTED_VALUE"""),999)</f>
        <v>999</v>
      </c>
      <c r="C13295" s="2">
        <f ca="1">IFERROR(__xludf.DUMMYFUNCTION("""COMPUTED_VALUE"""),999)</f>
        <v>999</v>
      </c>
      <c r="D13295" s="8">
        <f ca="1">IFERROR(__xludf.DUMMYFUNCTION("""COMPUTED_VALUE"""),999)</f>
        <v>999</v>
      </c>
      <c r="E13295" s="2">
        <f ca="1">IFERROR(__xludf.DUMMYFUNCTION("""COMPUTED_VALUE"""),999)</f>
        <v>999</v>
      </c>
    </row>
    <row r="13296" spans="1:5" ht="13">
      <c r="A13296" s="2" t="str">
        <f ca="1">IFERROR(__xludf.DUMMYFUNCTION("""COMPUTED_VALUE"""),"White (unknown)")</f>
        <v>White (unknown)</v>
      </c>
      <c r="B13296" s="2">
        <f ca="1">IFERROR(__xludf.DUMMYFUNCTION("""COMPUTED_VALUE"""),999)</f>
        <v>999</v>
      </c>
      <c r="C13296" s="2">
        <f ca="1">IFERROR(__xludf.DUMMYFUNCTION("""COMPUTED_VALUE"""),999)</f>
        <v>999</v>
      </c>
      <c r="D13296" s="8">
        <f ca="1">IFERROR(__xludf.DUMMYFUNCTION("""COMPUTED_VALUE"""),999)</f>
        <v>999</v>
      </c>
      <c r="E13296" s="2">
        <f ca="1">IFERROR(__xludf.DUMMYFUNCTION("""COMPUTED_VALUE"""),999)</f>
        <v>999</v>
      </c>
    </row>
    <row r="13297" spans="1:5" ht="13">
      <c r="A13297" s="2" t="str">
        <f ca="1">IFERROR(__xludf.DUMMYFUNCTION("""COMPUTED_VALUE"""),"White, David / Robb, Peter")</f>
        <v>White, David / Robb, Peter</v>
      </c>
      <c r="B13297" s="2">
        <f ca="1">IFERROR(__xludf.DUMMYFUNCTION("""COMPUTED_VALUE"""),999)</f>
        <v>999</v>
      </c>
      <c r="C13297" s="2">
        <f ca="1">IFERROR(__xludf.DUMMYFUNCTION("""COMPUTED_VALUE"""),999)</f>
        <v>999</v>
      </c>
      <c r="D13297" s="8">
        <f ca="1">IFERROR(__xludf.DUMMYFUNCTION("""COMPUTED_VALUE"""),999)</f>
        <v>999</v>
      </c>
      <c r="E13297" s="2">
        <f ca="1">IFERROR(__xludf.DUMMYFUNCTION("""COMPUTED_VALUE"""),999)</f>
        <v>999</v>
      </c>
    </row>
    <row r="13298" spans="1:5" ht="13">
      <c r="A13298" s="2" t="str">
        <f ca="1">IFERROR(__xludf.DUMMYFUNCTION("""COMPUTED_VALUE"""),"White, Ernest")</f>
        <v>White, Ernest</v>
      </c>
      <c r="B13298" s="2">
        <f ca="1">IFERROR(__xludf.DUMMYFUNCTION("""COMPUTED_VALUE"""),999)</f>
        <v>999</v>
      </c>
      <c r="C13298" s="2">
        <f ca="1">IFERROR(__xludf.DUMMYFUNCTION("""COMPUTED_VALUE"""),999)</f>
        <v>999</v>
      </c>
      <c r="D13298" s="8">
        <f ca="1">IFERROR(__xludf.DUMMYFUNCTION("""COMPUTED_VALUE"""),999)</f>
        <v>999</v>
      </c>
      <c r="E13298" s="2">
        <f ca="1">IFERROR(__xludf.DUMMYFUNCTION("""COMPUTED_VALUE"""),999)</f>
        <v>999</v>
      </c>
    </row>
    <row r="13299" spans="1:5" ht="13">
      <c r="A13299" s="2" t="str">
        <f ca="1">IFERROR(__xludf.DUMMYFUNCTION("""COMPUTED_VALUE"""),"Whitford (unknown)")</f>
        <v>Whitford (unknown)</v>
      </c>
      <c r="B13299" s="2">
        <f ca="1">IFERROR(__xludf.DUMMYFUNCTION("""COMPUTED_VALUE"""),999)</f>
        <v>999</v>
      </c>
      <c r="C13299" s="7">
        <f ca="1">IFERROR(__xludf.DUMMYFUNCTION("""COMPUTED_VALUE"""),999)</f>
        <v>999</v>
      </c>
      <c r="D13299" s="8">
        <f ca="1">IFERROR(__xludf.DUMMYFUNCTION("""COMPUTED_VALUE"""),999)</f>
        <v>999</v>
      </c>
      <c r="E13299" s="2">
        <f ca="1">IFERROR(__xludf.DUMMYFUNCTION("""COMPUTED_VALUE"""),999)</f>
        <v>999</v>
      </c>
    </row>
    <row r="13300" spans="1:5" ht="13">
      <c r="A13300" s="2" t="str">
        <f ca="1">IFERROR(__xludf.DUMMYFUNCTION("""COMPUTED_VALUE"""),"Whitford, Homer")</f>
        <v>Whitford, Homer</v>
      </c>
      <c r="B13300" s="2">
        <f ca="1">IFERROR(__xludf.DUMMYFUNCTION("""COMPUTED_VALUE"""),999)</f>
        <v>999</v>
      </c>
      <c r="C13300" s="2">
        <f ca="1">IFERROR(__xludf.DUMMYFUNCTION("""COMPUTED_VALUE"""),999)</f>
        <v>999</v>
      </c>
      <c r="D13300" s="8">
        <f ca="1">IFERROR(__xludf.DUMMYFUNCTION("""COMPUTED_VALUE"""),999)</f>
        <v>999</v>
      </c>
      <c r="E13300" s="2">
        <f ca="1">IFERROR(__xludf.DUMMYFUNCTION("""COMPUTED_VALUE"""),999)</f>
        <v>999</v>
      </c>
    </row>
    <row r="13301" spans="1:5" ht="13">
      <c r="A13301" s="2" t="str">
        <f ca="1">IFERROR(__xludf.DUMMYFUNCTION("""COMPUTED_VALUE"""),"Wick (unknown)")</f>
        <v>Wick (unknown)</v>
      </c>
      <c r="B13301" s="2">
        <f ca="1">IFERROR(__xludf.DUMMYFUNCTION("""COMPUTED_VALUE"""),999)</f>
        <v>999</v>
      </c>
      <c r="C13301" s="7">
        <f ca="1">IFERROR(__xludf.DUMMYFUNCTION("""COMPUTED_VALUE"""),999)</f>
        <v>999</v>
      </c>
      <c r="D13301" s="8">
        <f ca="1">IFERROR(__xludf.DUMMYFUNCTION("""COMPUTED_VALUE"""),999)</f>
        <v>999</v>
      </c>
      <c r="E13301" s="2">
        <f ca="1">IFERROR(__xludf.DUMMYFUNCTION("""COMPUTED_VALUE"""),999)</f>
        <v>999</v>
      </c>
    </row>
    <row r="13302" spans="1:5" ht="13">
      <c r="A13302" s="2" t="str">
        <f ca="1">IFERROR(__xludf.DUMMYFUNCTION("""COMPUTED_VALUE"""),"Widmann, W.")</f>
        <v>Widmann, W.</v>
      </c>
      <c r="B13302" s="2">
        <f ca="1">IFERROR(__xludf.DUMMYFUNCTION("""COMPUTED_VALUE"""),999)</f>
        <v>999</v>
      </c>
      <c r="C13302" s="7">
        <f ca="1">IFERROR(__xludf.DUMMYFUNCTION("""COMPUTED_VALUE"""),999)</f>
        <v>999</v>
      </c>
      <c r="D13302" s="8">
        <f ca="1">IFERROR(__xludf.DUMMYFUNCTION("""COMPUTED_VALUE"""),999)</f>
        <v>999</v>
      </c>
      <c r="E13302" s="2">
        <f ca="1">IFERROR(__xludf.DUMMYFUNCTION("""COMPUTED_VALUE"""),999)</f>
        <v>999</v>
      </c>
    </row>
    <row r="13303" spans="1:5" ht="13">
      <c r="A13303" s="8" t="str">
        <f ca="1">IFERROR(__xludf.DUMMYFUNCTION("""COMPUTED_VALUE"""),"Wier, Jordan")</f>
        <v>Wier, Jordan</v>
      </c>
      <c r="B13303" s="3">
        <f ca="1">IFERROR(__xludf.DUMMYFUNCTION("""COMPUTED_VALUE"""),999)</f>
        <v>999</v>
      </c>
      <c r="C13303" s="7">
        <f ca="1">IFERROR(__xludf.DUMMYFUNCTION("""COMPUTED_VALUE"""),999)</f>
        <v>999</v>
      </c>
      <c r="D13303" s="8">
        <f ca="1">IFERROR(__xludf.DUMMYFUNCTION("""COMPUTED_VALUE"""),999)</f>
        <v>999</v>
      </c>
      <c r="E13303" s="3">
        <f ca="1">IFERROR(__xludf.DUMMYFUNCTION("""COMPUTED_VALUE"""),999)</f>
        <v>999</v>
      </c>
    </row>
    <row r="13304" spans="1:5" ht="13">
      <c r="A13304" s="2" t="str">
        <f ca="1">IFERROR(__xludf.DUMMYFUNCTION("""COMPUTED_VALUE"""),"Wilcox, James")</f>
        <v>Wilcox, James</v>
      </c>
      <c r="B13304" s="2">
        <f ca="1">IFERROR(__xludf.DUMMYFUNCTION("""COMPUTED_VALUE"""),999)</f>
        <v>999</v>
      </c>
      <c r="C13304" s="2">
        <f ca="1">IFERROR(__xludf.DUMMYFUNCTION("""COMPUTED_VALUE"""),999)</f>
        <v>999</v>
      </c>
      <c r="D13304" s="8">
        <f ca="1">IFERROR(__xludf.DUMMYFUNCTION("""COMPUTED_VALUE"""),999)</f>
        <v>999</v>
      </c>
      <c r="E13304" s="2">
        <f ca="1">IFERROR(__xludf.DUMMYFUNCTION("""COMPUTED_VALUE"""),999)</f>
        <v>999</v>
      </c>
    </row>
    <row r="13305" spans="1:5" ht="13">
      <c r="A13305" s="2" t="str">
        <f ca="1">IFERROR(__xludf.DUMMYFUNCTION("""COMPUTED_VALUE"""),"Wildhorn, Frank / Murphy, Jack")</f>
        <v>Wildhorn, Frank / Murphy, Jack</v>
      </c>
      <c r="B13305" s="3">
        <f ca="1">IFERROR(__xludf.DUMMYFUNCTION("""COMPUTED_VALUE"""),999)</f>
        <v>999</v>
      </c>
      <c r="C13305" s="7">
        <f ca="1">IFERROR(__xludf.DUMMYFUNCTION("""COMPUTED_VALUE"""),999)</f>
        <v>999</v>
      </c>
      <c r="D13305" s="8">
        <f ca="1">IFERROR(__xludf.DUMMYFUNCTION("""COMPUTED_VALUE"""),999)</f>
        <v>999</v>
      </c>
      <c r="E13305" s="2">
        <f ca="1">IFERROR(__xludf.DUMMYFUNCTION("""COMPUTED_VALUE"""),999)</f>
        <v>999</v>
      </c>
    </row>
    <row r="13306" spans="1:5" ht="13">
      <c r="A13306" s="2" t="str">
        <f ca="1">IFERROR(__xludf.DUMMYFUNCTION("""COMPUTED_VALUE"""),"Wilhelm, Roger")</f>
        <v>Wilhelm, Roger</v>
      </c>
      <c r="B13306" s="2">
        <f ca="1">IFERROR(__xludf.DUMMYFUNCTION("""COMPUTED_VALUE"""),999)</f>
        <v>999</v>
      </c>
      <c r="C13306" s="2">
        <f ca="1">IFERROR(__xludf.DUMMYFUNCTION("""COMPUTED_VALUE"""),999)</f>
        <v>999</v>
      </c>
      <c r="D13306" s="8">
        <f ca="1">IFERROR(__xludf.DUMMYFUNCTION("""COMPUTED_VALUE"""),999)</f>
        <v>999</v>
      </c>
      <c r="E13306" s="2">
        <f ca="1">IFERROR(__xludf.DUMMYFUNCTION("""COMPUTED_VALUE"""),999)</f>
        <v>999</v>
      </c>
    </row>
    <row r="13307" spans="1:5" ht="13">
      <c r="A13307" s="2" t="str">
        <f ca="1">IFERROR(__xludf.DUMMYFUNCTION("""COMPUTED_VALUE"""),"Willems, Jan")</f>
        <v>Willems, Jan</v>
      </c>
      <c r="B13307" s="2">
        <f ca="1">IFERROR(__xludf.DUMMYFUNCTION("""COMPUTED_VALUE"""),999)</f>
        <v>999</v>
      </c>
      <c r="C13307" s="2">
        <f ca="1">IFERROR(__xludf.DUMMYFUNCTION("""COMPUTED_VALUE"""),999)</f>
        <v>999</v>
      </c>
      <c r="D13307" s="8">
        <f ca="1">IFERROR(__xludf.DUMMYFUNCTION("""COMPUTED_VALUE"""),999)</f>
        <v>999</v>
      </c>
      <c r="E13307" s="2">
        <f ca="1">IFERROR(__xludf.DUMMYFUNCTION("""COMPUTED_VALUE"""),999)</f>
        <v>999</v>
      </c>
    </row>
    <row r="13308" spans="1:5" ht="13">
      <c r="A13308" s="2" t="str">
        <f ca="1">IFERROR(__xludf.DUMMYFUNCTION("""COMPUTED_VALUE"""),"Willhoite, Earl")</f>
        <v>Willhoite, Earl</v>
      </c>
      <c r="B13308" s="2">
        <f ca="1">IFERROR(__xludf.DUMMYFUNCTION("""COMPUTED_VALUE"""),999)</f>
        <v>999</v>
      </c>
      <c r="C13308" s="2">
        <f ca="1">IFERROR(__xludf.DUMMYFUNCTION("""COMPUTED_VALUE"""),999)</f>
        <v>999</v>
      </c>
      <c r="D13308" s="8">
        <f ca="1">IFERROR(__xludf.DUMMYFUNCTION("""COMPUTED_VALUE"""),999)</f>
        <v>999</v>
      </c>
      <c r="E13308" s="2">
        <f ca="1">IFERROR(__xludf.DUMMYFUNCTION("""COMPUTED_VALUE"""),999)</f>
        <v>999</v>
      </c>
    </row>
    <row r="13309" spans="1:5" ht="13">
      <c r="A13309" s="2" t="str">
        <f ca="1">IFERROR(__xludf.DUMMYFUNCTION("""COMPUTED_VALUE"""),"Williams (unknown)")</f>
        <v>Williams (unknown)</v>
      </c>
      <c r="B13309" s="2">
        <f ca="1">IFERROR(__xludf.DUMMYFUNCTION("""COMPUTED_VALUE"""),999)</f>
        <v>999</v>
      </c>
      <c r="C13309" s="7">
        <f ca="1">IFERROR(__xludf.DUMMYFUNCTION("""COMPUTED_VALUE"""),999)</f>
        <v>999</v>
      </c>
      <c r="D13309" s="8">
        <f ca="1">IFERROR(__xludf.DUMMYFUNCTION("""COMPUTED_VALUE"""),999)</f>
        <v>999</v>
      </c>
      <c r="E13309" s="2">
        <f ca="1">IFERROR(__xludf.DUMMYFUNCTION("""COMPUTED_VALUE"""),999)</f>
        <v>999</v>
      </c>
    </row>
    <row r="13310" spans="1:5" ht="13">
      <c r="A13310" s="2" t="str">
        <f ca="1">IFERROR(__xludf.DUMMYFUNCTION("""COMPUTED_VALUE"""),"Williams, Anthony Kouri")</f>
        <v>Williams, Anthony Kouri</v>
      </c>
      <c r="B13310" s="3">
        <f ca="1">IFERROR(__xludf.DUMMYFUNCTION("""COMPUTED_VALUE"""),999)</f>
        <v>999</v>
      </c>
      <c r="C13310" s="7">
        <f ca="1">IFERROR(__xludf.DUMMYFUNCTION("""COMPUTED_VALUE"""),999)</f>
        <v>999</v>
      </c>
      <c r="D13310" s="8">
        <f ca="1">IFERROR(__xludf.DUMMYFUNCTION("""COMPUTED_VALUE"""),999)</f>
        <v>999</v>
      </c>
      <c r="E13310" s="2">
        <f ca="1">IFERROR(__xludf.DUMMYFUNCTION("""COMPUTED_VALUE"""),999)</f>
        <v>999</v>
      </c>
    </row>
    <row r="13311" spans="1:5" ht="13">
      <c r="A13311" s="2" t="str">
        <f ca="1">IFERROR(__xludf.DUMMYFUNCTION("""COMPUTED_VALUE"""),"Williams, Hayley")</f>
        <v>Williams, Hayley</v>
      </c>
      <c r="B13311" s="3">
        <f ca="1">IFERROR(__xludf.DUMMYFUNCTION("""COMPUTED_VALUE"""),999)</f>
        <v>999</v>
      </c>
      <c r="C13311" s="7">
        <f ca="1">IFERROR(__xludf.DUMMYFUNCTION("""COMPUTED_VALUE"""),999)</f>
        <v>999</v>
      </c>
      <c r="D13311" s="8">
        <f ca="1">IFERROR(__xludf.DUMMYFUNCTION("""COMPUTED_VALUE"""),999)</f>
        <v>999</v>
      </c>
      <c r="E13311" s="2">
        <f ca="1">IFERROR(__xludf.DUMMYFUNCTION("""COMPUTED_VALUE"""),999)</f>
        <v>999</v>
      </c>
    </row>
    <row r="13312" spans="1:5" ht="13">
      <c r="A13312" s="2" t="str">
        <f ca="1">IFERROR(__xludf.DUMMYFUNCTION("""COMPUTED_VALUE"""),"Williams, L. (unknown)")</f>
        <v>Williams, L. (unknown)</v>
      </c>
      <c r="B13312" s="2">
        <f ca="1">IFERROR(__xludf.DUMMYFUNCTION("""COMPUTED_VALUE"""),999)</f>
        <v>999</v>
      </c>
      <c r="C13312" s="7">
        <f ca="1">IFERROR(__xludf.DUMMYFUNCTION("""COMPUTED_VALUE"""),999)</f>
        <v>999</v>
      </c>
      <c r="D13312" s="8">
        <f ca="1">IFERROR(__xludf.DUMMYFUNCTION("""COMPUTED_VALUE"""),999)</f>
        <v>999</v>
      </c>
      <c r="E13312" s="2">
        <f ca="1">IFERROR(__xludf.DUMMYFUNCTION("""COMPUTED_VALUE"""),999)</f>
        <v>999</v>
      </c>
    </row>
    <row r="13313" spans="1:5" ht="13">
      <c r="A13313" s="2" t="str">
        <f ca="1">IFERROR(__xludf.DUMMYFUNCTION("""COMPUTED_VALUE"""),"Williams, Walter")</f>
        <v>Williams, Walter</v>
      </c>
      <c r="B13313" s="2">
        <f ca="1">IFERROR(__xludf.DUMMYFUNCTION("""COMPUTED_VALUE"""),999)</f>
        <v>999</v>
      </c>
      <c r="C13313" s="2">
        <f ca="1">IFERROR(__xludf.DUMMYFUNCTION("""COMPUTED_VALUE"""),999)</f>
        <v>999</v>
      </c>
      <c r="D13313" s="8">
        <f ca="1">IFERROR(__xludf.DUMMYFUNCTION("""COMPUTED_VALUE"""),999)</f>
        <v>999</v>
      </c>
      <c r="E13313" s="2">
        <f ca="1">IFERROR(__xludf.DUMMYFUNCTION("""COMPUTED_VALUE"""),999)</f>
        <v>999</v>
      </c>
    </row>
    <row r="13314" spans="1:5" ht="13">
      <c r="A13314" s="2" t="str">
        <f ca="1">IFERROR(__xludf.DUMMYFUNCTION("""COMPUTED_VALUE"""),"Williams/Bachalis")</f>
        <v>Williams/Bachalis</v>
      </c>
      <c r="B13314" s="2">
        <f ca="1">IFERROR(__xludf.DUMMYFUNCTION("""COMPUTED_VALUE"""),999)</f>
        <v>999</v>
      </c>
      <c r="C13314" s="2">
        <f ca="1">IFERROR(__xludf.DUMMYFUNCTION("""COMPUTED_VALUE"""),999)</f>
        <v>999</v>
      </c>
      <c r="D13314" s="8">
        <f ca="1">IFERROR(__xludf.DUMMYFUNCTION("""COMPUTED_VALUE"""),999)</f>
        <v>999</v>
      </c>
      <c r="E13314" s="2">
        <f ca="1">IFERROR(__xludf.DUMMYFUNCTION("""COMPUTED_VALUE"""),999)</f>
        <v>999</v>
      </c>
    </row>
    <row r="13315" spans="1:5" ht="13">
      <c r="A13315" s="2" t="str">
        <f ca="1">IFERROR(__xludf.DUMMYFUNCTION("""COMPUTED_VALUE"""),"Wilson (unknown)")</f>
        <v>Wilson (unknown)</v>
      </c>
      <c r="B13315" s="2">
        <f ca="1">IFERROR(__xludf.DUMMYFUNCTION("""COMPUTED_VALUE"""),999)</f>
        <v>999</v>
      </c>
      <c r="C13315" s="7">
        <f ca="1">IFERROR(__xludf.DUMMYFUNCTION("""COMPUTED_VALUE"""),999)</f>
        <v>999</v>
      </c>
      <c r="D13315" s="8">
        <f ca="1">IFERROR(__xludf.DUMMYFUNCTION("""COMPUTED_VALUE"""),999)</f>
        <v>999</v>
      </c>
      <c r="E13315" s="2">
        <f ca="1">IFERROR(__xludf.DUMMYFUNCTION("""COMPUTED_VALUE"""),999)</f>
        <v>999</v>
      </c>
    </row>
    <row r="13316" spans="1:5" ht="13">
      <c r="A13316" s="2" t="str">
        <f ca="1">IFERROR(__xludf.DUMMYFUNCTION("""COMPUTED_VALUE"""),"Wilson, Brian / Usher, Gary")</f>
        <v>Wilson, Brian / Usher, Gary</v>
      </c>
      <c r="B13316" s="3">
        <f ca="1">IFERROR(__xludf.DUMMYFUNCTION("""COMPUTED_VALUE"""),999)</f>
        <v>999</v>
      </c>
      <c r="C13316" s="7">
        <f ca="1">IFERROR(__xludf.DUMMYFUNCTION("""COMPUTED_VALUE"""),999)</f>
        <v>999</v>
      </c>
      <c r="D13316" s="8">
        <f ca="1">IFERROR(__xludf.DUMMYFUNCTION("""COMPUTED_VALUE"""),999)</f>
        <v>999</v>
      </c>
      <c r="E13316" s="2">
        <f ca="1">IFERROR(__xludf.DUMMYFUNCTION("""COMPUTED_VALUE"""),999)</f>
        <v>999</v>
      </c>
    </row>
    <row r="13317" spans="1:5" ht="13">
      <c r="A13317" s="2" t="str">
        <f ca="1">IFERROR(__xludf.DUMMYFUNCTION("""COMPUTED_VALUE"""),"Wilson, Fredrich")</f>
        <v>Wilson, Fredrich</v>
      </c>
      <c r="B13317" s="2">
        <f ca="1">IFERROR(__xludf.DUMMYFUNCTION("""COMPUTED_VALUE"""),999)</f>
        <v>999</v>
      </c>
      <c r="C13317" s="2">
        <f ca="1">IFERROR(__xludf.DUMMYFUNCTION("""COMPUTED_VALUE"""),999)</f>
        <v>999</v>
      </c>
      <c r="D13317" s="8">
        <f ca="1">IFERROR(__xludf.DUMMYFUNCTION("""COMPUTED_VALUE"""),999)</f>
        <v>999</v>
      </c>
      <c r="E13317" s="2">
        <f ca="1">IFERROR(__xludf.DUMMYFUNCTION("""COMPUTED_VALUE"""),999)</f>
        <v>999</v>
      </c>
    </row>
    <row r="13318" spans="1:5" ht="13">
      <c r="A13318" s="2" t="str">
        <f ca="1">IFERROR(__xludf.DUMMYFUNCTION("""COMPUTED_VALUE"""),"Wilson, George C.")</f>
        <v>Wilson, George C.</v>
      </c>
      <c r="B13318" s="2">
        <f ca="1">IFERROR(__xludf.DUMMYFUNCTION("""COMPUTED_VALUE"""),999)</f>
        <v>999</v>
      </c>
      <c r="C13318" s="2">
        <f ca="1">IFERROR(__xludf.DUMMYFUNCTION("""COMPUTED_VALUE"""),999)</f>
        <v>999</v>
      </c>
      <c r="D13318" s="8">
        <f ca="1">IFERROR(__xludf.DUMMYFUNCTION("""COMPUTED_VALUE"""),999)</f>
        <v>999</v>
      </c>
      <c r="E13318" s="2">
        <f ca="1">IFERROR(__xludf.DUMMYFUNCTION("""COMPUTED_VALUE"""),999)</f>
        <v>999</v>
      </c>
    </row>
    <row r="13319" spans="1:5" ht="13">
      <c r="A13319" s="2" t="str">
        <f ca="1">IFERROR(__xludf.DUMMYFUNCTION("""COMPUTED_VALUE"""),"Winn, Jay")</f>
        <v>Winn, Jay</v>
      </c>
      <c r="B13319" s="2">
        <f ca="1">IFERROR(__xludf.DUMMYFUNCTION("""COMPUTED_VALUE"""),999)</f>
        <v>999</v>
      </c>
      <c r="C13319" s="2">
        <f ca="1">IFERROR(__xludf.DUMMYFUNCTION("""COMPUTED_VALUE"""),999)</f>
        <v>999</v>
      </c>
      <c r="D13319" s="8">
        <f ca="1">IFERROR(__xludf.DUMMYFUNCTION("""COMPUTED_VALUE"""),999)</f>
        <v>999</v>
      </c>
      <c r="E13319" s="2">
        <f ca="1">IFERROR(__xludf.DUMMYFUNCTION("""COMPUTED_VALUE"""),999)</f>
        <v>999</v>
      </c>
    </row>
    <row r="13320" spans="1:5" ht="13">
      <c r="A13320" s="2" t="str">
        <f ca="1">IFERROR(__xludf.DUMMYFUNCTION("""COMPUTED_VALUE"""),"Wolf, Uwe")</f>
        <v>Wolf, Uwe</v>
      </c>
      <c r="B13320" s="2">
        <f ca="1">IFERROR(__xludf.DUMMYFUNCTION("""COMPUTED_VALUE"""),999)</f>
        <v>999</v>
      </c>
      <c r="C13320" s="2">
        <f ca="1">IFERROR(__xludf.DUMMYFUNCTION("""COMPUTED_VALUE"""),999)</f>
        <v>999</v>
      </c>
      <c r="D13320" s="8">
        <f ca="1">IFERROR(__xludf.DUMMYFUNCTION("""COMPUTED_VALUE"""),999)</f>
        <v>999</v>
      </c>
      <c r="E13320" s="2">
        <f ca="1">IFERROR(__xludf.DUMMYFUNCTION("""COMPUTED_VALUE"""),999)</f>
        <v>999</v>
      </c>
    </row>
    <row r="13321" spans="1:5" ht="13">
      <c r="A13321" s="2" t="str">
        <f ca="1">IFERROR(__xludf.DUMMYFUNCTION("""COMPUTED_VALUE"""),"Wolf/Justman")</f>
        <v>Wolf/Justman</v>
      </c>
      <c r="B13321" s="2">
        <f ca="1">IFERROR(__xludf.DUMMYFUNCTION("""COMPUTED_VALUE"""),999)</f>
        <v>999</v>
      </c>
      <c r="C13321" s="2">
        <f ca="1">IFERROR(__xludf.DUMMYFUNCTION("""COMPUTED_VALUE"""),999)</f>
        <v>999</v>
      </c>
      <c r="D13321" s="8">
        <f ca="1">IFERROR(__xludf.DUMMYFUNCTION("""COMPUTED_VALUE"""),999)</f>
        <v>999</v>
      </c>
      <c r="E13321" s="2">
        <f ca="1">IFERROR(__xludf.DUMMYFUNCTION("""COMPUTED_VALUE"""),999)</f>
        <v>999</v>
      </c>
    </row>
    <row r="13322" spans="1:5" ht="13">
      <c r="A13322" s="8" t="str">
        <f ca="1">IFERROR(__xludf.DUMMYFUNCTION("""COMPUTED_VALUE"""),"Wong-Boulanger, Sabine")</f>
        <v>Wong-Boulanger, Sabine</v>
      </c>
      <c r="B13322" s="3">
        <f ca="1">IFERROR(__xludf.DUMMYFUNCTION("""COMPUTED_VALUE"""),999)</f>
        <v>999</v>
      </c>
      <c r="C13322" s="7">
        <f ca="1">IFERROR(__xludf.DUMMYFUNCTION("""COMPUTED_VALUE"""),999)</f>
        <v>999</v>
      </c>
      <c r="D13322" s="8">
        <f ca="1">IFERROR(__xludf.DUMMYFUNCTION("""COMPUTED_VALUE"""),999)</f>
        <v>999</v>
      </c>
      <c r="E13322" s="2">
        <f ca="1">IFERROR(__xludf.DUMMYFUNCTION("""COMPUTED_VALUE"""),999)</f>
        <v>999</v>
      </c>
    </row>
    <row r="13323" spans="1:5" ht="13">
      <c r="A13323" s="2" t="str">
        <f ca="1">IFERROR(__xludf.DUMMYFUNCTION("""COMPUTED_VALUE"""),"Woodbridge, Fredric")</f>
        <v>Woodbridge, Fredric</v>
      </c>
      <c r="B13323" s="2">
        <f ca="1">IFERROR(__xludf.DUMMYFUNCTION("""COMPUTED_VALUE"""),999)</f>
        <v>999</v>
      </c>
      <c r="C13323" s="2">
        <f ca="1">IFERROR(__xludf.DUMMYFUNCTION("""COMPUTED_VALUE"""),999)</f>
        <v>999</v>
      </c>
      <c r="D13323" s="8">
        <f ca="1">IFERROR(__xludf.DUMMYFUNCTION("""COMPUTED_VALUE"""),999)</f>
        <v>999</v>
      </c>
      <c r="E13323" s="2">
        <f ca="1">IFERROR(__xludf.DUMMYFUNCTION("""COMPUTED_VALUE"""),999)</f>
        <v>999</v>
      </c>
    </row>
    <row r="13324" spans="1:5" ht="13">
      <c r="A13324" s="2" t="str">
        <f ca="1">IFERROR(__xludf.DUMMYFUNCTION("""COMPUTED_VALUE"""),"Woodman, Michael S.")</f>
        <v>Woodman, Michael S.</v>
      </c>
      <c r="B13324" s="2">
        <f ca="1">IFERROR(__xludf.DUMMYFUNCTION("""COMPUTED_VALUE"""),999)</f>
        <v>999</v>
      </c>
      <c r="C13324" s="2">
        <f ca="1">IFERROR(__xludf.DUMMYFUNCTION("""COMPUTED_VALUE"""),999)</f>
        <v>999</v>
      </c>
      <c r="D13324" s="8">
        <f ca="1">IFERROR(__xludf.DUMMYFUNCTION("""COMPUTED_VALUE"""),999)</f>
        <v>999</v>
      </c>
      <c r="E13324" s="2">
        <f ca="1">IFERROR(__xludf.DUMMYFUNCTION("""COMPUTED_VALUE"""),999)</f>
        <v>999</v>
      </c>
    </row>
    <row r="13325" spans="1:5" ht="13">
      <c r="A13325" s="2" t="str">
        <f ca="1">IFERROR(__xludf.DUMMYFUNCTION("""COMPUTED_VALUE"""),"Word Song")</f>
        <v>Word Song</v>
      </c>
      <c r="B13325" s="2">
        <f ca="1">IFERROR(__xludf.DUMMYFUNCTION("""COMPUTED_VALUE"""),999)</f>
        <v>999</v>
      </c>
      <c r="C13325" s="7">
        <f ca="1">IFERROR(__xludf.DUMMYFUNCTION("""COMPUTED_VALUE"""),999)</f>
        <v>999</v>
      </c>
      <c r="D13325" s="8">
        <f ca="1">IFERROR(__xludf.DUMMYFUNCTION("""COMPUTED_VALUE"""),999)</f>
        <v>999</v>
      </c>
      <c r="E13325" s="2">
        <f ca="1">IFERROR(__xludf.DUMMYFUNCTION("""COMPUTED_VALUE"""),999)</f>
        <v>999</v>
      </c>
    </row>
    <row r="13326" spans="1:5" ht="13">
      <c r="A13326" s="2" t="str">
        <f ca="1">IFERROR(__xludf.DUMMYFUNCTION("""COMPUTED_VALUE"""),"Worman, James")</f>
        <v>Worman, James</v>
      </c>
      <c r="B13326" s="2">
        <f ca="1">IFERROR(__xludf.DUMMYFUNCTION("""COMPUTED_VALUE"""),999)</f>
        <v>999</v>
      </c>
      <c r="C13326" s="2">
        <f ca="1">IFERROR(__xludf.DUMMYFUNCTION("""COMPUTED_VALUE"""),999)</f>
        <v>999</v>
      </c>
      <c r="D13326" s="8">
        <f ca="1">IFERROR(__xludf.DUMMYFUNCTION("""COMPUTED_VALUE"""),999)</f>
        <v>999</v>
      </c>
      <c r="E13326" s="2">
        <f ca="1">IFERROR(__xludf.DUMMYFUNCTION("""COMPUTED_VALUE"""),999)</f>
        <v>999</v>
      </c>
    </row>
    <row r="13327" spans="1:5" ht="13">
      <c r="A13327" s="2" t="str">
        <f ca="1">IFERROR(__xludf.DUMMYFUNCTION("""COMPUTED_VALUE"""),"Worman, Jim")</f>
        <v>Worman, Jim</v>
      </c>
      <c r="B13327" s="2">
        <f ca="1">IFERROR(__xludf.DUMMYFUNCTION("""COMPUTED_VALUE"""),999)</f>
        <v>999</v>
      </c>
      <c r="C13327" s="7">
        <f ca="1">IFERROR(__xludf.DUMMYFUNCTION("""COMPUTED_VALUE"""),999)</f>
        <v>999</v>
      </c>
      <c r="D13327" s="8">
        <f ca="1">IFERROR(__xludf.DUMMYFUNCTION("""COMPUTED_VALUE"""),999)</f>
        <v>999</v>
      </c>
      <c r="E13327" s="2">
        <f ca="1">IFERROR(__xludf.DUMMYFUNCTION("""COMPUTED_VALUE"""),999)</f>
        <v>999</v>
      </c>
    </row>
    <row r="13328" spans="1:5" ht="13">
      <c r="A13328" s="2" t="str">
        <f ca="1">IFERROR(__xludf.DUMMYFUNCTION("""COMPUTED_VALUE"""),"Wright and Brand")</f>
        <v>Wright and Brand</v>
      </c>
      <c r="B13328" s="2">
        <f ca="1">IFERROR(__xludf.DUMMYFUNCTION("""COMPUTED_VALUE"""),999)</f>
        <v>999</v>
      </c>
      <c r="C13328" s="7">
        <f ca="1">IFERROR(__xludf.DUMMYFUNCTION("""COMPUTED_VALUE"""),999)</f>
        <v>999</v>
      </c>
      <c r="D13328" s="8">
        <f ca="1">IFERROR(__xludf.DUMMYFUNCTION("""COMPUTED_VALUE"""),999)</f>
        <v>999</v>
      </c>
      <c r="E13328" s="2">
        <f ca="1">IFERROR(__xludf.DUMMYFUNCTION("""COMPUTED_VALUE"""),999)</f>
        <v>999</v>
      </c>
    </row>
    <row r="13329" spans="1:5" ht="13">
      <c r="A13329" s="2" t="str">
        <f ca="1">IFERROR(__xludf.DUMMYFUNCTION("""COMPUTED_VALUE"""),"WTAMU Student Composer")</f>
        <v>WTAMU Student Composer</v>
      </c>
      <c r="B13329" s="2">
        <f ca="1">IFERROR(__xludf.DUMMYFUNCTION("""COMPUTED_VALUE"""),999)</f>
        <v>999</v>
      </c>
      <c r="C13329" s="7">
        <f ca="1">IFERROR(__xludf.DUMMYFUNCTION("""COMPUTED_VALUE"""),999)</f>
        <v>999</v>
      </c>
      <c r="D13329" s="8">
        <f ca="1">IFERROR(__xludf.DUMMYFUNCTION("""COMPUTED_VALUE"""),999)</f>
        <v>999</v>
      </c>
      <c r="E13329" s="2">
        <f ca="1">IFERROR(__xludf.DUMMYFUNCTION("""COMPUTED_VALUE"""),999)</f>
        <v>999</v>
      </c>
    </row>
    <row r="13330" spans="1:5" ht="13">
      <c r="A13330" s="2" t="str">
        <f ca="1">IFERROR(__xludf.DUMMYFUNCTION("""COMPUTED_VALUE"""),"Wunderlich, Robert")</f>
        <v>Wunderlich, Robert</v>
      </c>
      <c r="B13330" s="2">
        <f ca="1">IFERROR(__xludf.DUMMYFUNCTION("""COMPUTED_VALUE"""),999)</f>
        <v>999</v>
      </c>
      <c r="C13330" s="2">
        <f ca="1">IFERROR(__xludf.DUMMYFUNCTION("""COMPUTED_VALUE"""),999)</f>
        <v>999</v>
      </c>
      <c r="D13330" s="8">
        <f ca="1">IFERROR(__xludf.DUMMYFUNCTION("""COMPUTED_VALUE"""),999)</f>
        <v>999</v>
      </c>
      <c r="E13330" s="2">
        <f ca="1">IFERROR(__xludf.DUMMYFUNCTION("""COMPUTED_VALUE"""),999)</f>
        <v>999</v>
      </c>
    </row>
    <row r="13331" spans="1:5" ht="13">
      <c r="A13331" s="2" t="str">
        <f ca="1">IFERROR(__xludf.DUMMYFUNCTION("""COMPUTED_VALUE"""),"Wyatt, W.A.")</f>
        <v>Wyatt, W.A.</v>
      </c>
      <c r="B13331" s="2">
        <f ca="1">IFERROR(__xludf.DUMMYFUNCTION("""COMPUTED_VALUE"""),999)</f>
        <v>999</v>
      </c>
      <c r="C13331" s="7">
        <f ca="1">IFERROR(__xludf.DUMMYFUNCTION("""COMPUTED_VALUE"""),999)</f>
        <v>999</v>
      </c>
      <c r="D13331" s="8">
        <f ca="1">IFERROR(__xludf.DUMMYFUNCTION("""COMPUTED_VALUE"""),999)</f>
        <v>999</v>
      </c>
      <c r="E13331" s="2">
        <f ca="1">IFERROR(__xludf.DUMMYFUNCTION("""COMPUTED_VALUE"""),999)</f>
        <v>999</v>
      </c>
    </row>
    <row r="13332" spans="1:5" ht="13">
      <c r="A13332" s="2" t="str">
        <f ca="1">IFERROR(__xludf.DUMMYFUNCTION("""COMPUTED_VALUE"""),"Wyton (unknown)")</f>
        <v>Wyton (unknown)</v>
      </c>
      <c r="B13332" s="2">
        <f ca="1">IFERROR(__xludf.DUMMYFUNCTION("""COMPUTED_VALUE"""),999)</f>
        <v>999</v>
      </c>
      <c r="C13332" s="7">
        <f ca="1">IFERROR(__xludf.DUMMYFUNCTION("""COMPUTED_VALUE"""),999)</f>
        <v>999</v>
      </c>
      <c r="D13332" s="8">
        <f ca="1">IFERROR(__xludf.DUMMYFUNCTION("""COMPUTED_VALUE"""),999)</f>
        <v>999</v>
      </c>
      <c r="E13332" s="2">
        <f ca="1">IFERROR(__xludf.DUMMYFUNCTION("""COMPUTED_VALUE"""),999)</f>
        <v>999</v>
      </c>
    </row>
    <row r="13333" spans="1:5" ht="13">
      <c r="A13333" s="8" t="str">
        <f ca="1">IFERROR(__xludf.DUMMYFUNCTION("""COMPUTED_VALUE"""),"Xhosa Wedding Song")</f>
        <v>Xhosa Wedding Song</v>
      </c>
      <c r="B13333" s="2">
        <f ca="1">IFERROR(__xludf.DUMMYFUNCTION("""COMPUTED_VALUE"""),999)</f>
        <v>999</v>
      </c>
      <c r="C13333" s="7">
        <f ca="1">IFERROR(__xludf.DUMMYFUNCTION("""COMPUTED_VALUE"""),999)</f>
        <v>999</v>
      </c>
      <c r="D13333" s="8">
        <f ca="1">IFERROR(__xludf.DUMMYFUNCTION("""COMPUTED_VALUE"""),999)</f>
        <v>999</v>
      </c>
      <c r="E13333" s="2">
        <f ca="1">IFERROR(__xludf.DUMMYFUNCTION("""COMPUTED_VALUE"""),999)</f>
        <v>999</v>
      </c>
    </row>
    <row r="13334" spans="1:5" ht="13">
      <c r="A13334" s="2" t="str">
        <f ca="1">IFERROR(__xludf.DUMMYFUNCTION("""COMPUTED_VALUE"""),"Yackley (unknown)")</f>
        <v>Yackley (unknown)</v>
      </c>
      <c r="B13334" s="2">
        <f ca="1">IFERROR(__xludf.DUMMYFUNCTION("""COMPUTED_VALUE"""),999)</f>
        <v>999</v>
      </c>
      <c r="C13334" s="7">
        <f ca="1">IFERROR(__xludf.DUMMYFUNCTION("""COMPUTED_VALUE"""),999)</f>
        <v>999</v>
      </c>
      <c r="D13334" s="8">
        <f ca="1">IFERROR(__xludf.DUMMYFUNCTION("""COMPUTED_VALUE"""),999)</f>
        <v>999</v>
      </c>
      <c r="E13334" s="2">
        <f ca="1">IFERROR(__xludf.DUMMYFUNCTION("""COMPUTED_VALUE"""),999)</f>
        <v>999</v>
      </c>
    </row>
    <row r="13335" spans="1:5" ht="13">
      <c r="A13335" s="2" t="str">
        <f ca="1">IFERROR(__xludf.DUMMYFUNCTION("""COMPUTED_VALUE"""),"Yongrub (unknown)")</f>
        <v>Yongrub (unknown)</v>
      </c>
      <c r="B13335" s="2">
        <f ca="1">IFERROR(__xludf.DUMMYFUNCTION("""COMPUTED_VALUE"""),999)</f>
        <v>999</v>
      </c>
      <c r="C13335" s="7">
        <f ca="1">IFERROR(__xludf.DUMMYFUNCTION("""COMPUTED_VALUE"""),999)</f>
        <v>999</v>
      </c>
      <c r="D13335" s="8">
        <f ca="1">IFERROR(__xludf.DUMMYFUNCTION("""COMPUTED_VALUE"""),999)</f>
        <v>999</v>
      </c>
      <c r="E13335" s="2">
        <f ca="1">IFERROR(__xludf.DUMMYFUNCTION("""COMPUTED_VALUE"""),999)</f>
        <v>999</v>
      </c>
    </row>
    <row r="13336" spans="1:5" ht="13">
      <c r="A13336" s="2" t="str">
        <f ca="1">IFERROR(__xludf.DUMMYFUNCTION("""COMPUTED_VALUE"""),"Zeilter (unknown)")</f>
        <v>Zeilter (unknown)</v>
      </c>
      <c r="B13336" s="2">
        <f ca="1">IFERROR(__xludf.DUMMYFUNCTION("""COMPUTED_VALUE"""),999)</f>
        <v>999</v>
      </c>
      <c r="C13336" s="7">
        <f ca="1">IFERROR(__xludf.DUMMYFUNCTION("""COMPUTED_VALUE"""),999)</f>
        <v>999</v>
      </c>
      <c r="D13336" s="8">
        <f ca="1">IFERROR(__xludf.DUMMYFUNCTION("""COMPUTED_VALUE"""),999)</f>
        <v>999</v>
      </c>
      <c r="E13336" s="2">
        <f ca="1">IFERROR(__xludf.DUMMYFUNCTION("""COMPUTED_VALUE"""),999)</f>
        <v>999</v>
      </c>
    </row>
    <row r="13337" spans="1:5" ht="13">
      <c r="A13337" s="2" t="str">
        <f ca="1">IFERROR(__xludf.DUMMYFUNCTION("""COMPUTED_VALUE"""),"Ziemer, Charles")</f>
        <v>Ziemer, Charles</v>
      </c>
      <c r="B13337" s="2">
        <f ca="1">IFERROR(__xludf.DUMMYFUNCTION("""COMPUTED_VALUE"""),999)</f>
        <v>999</v>
      </c>
      <c r="C13337" s="2">
        <f ca="1">IFERROR(__xludf.DUMMYFUNCTION("""COMPUTED_VALUE"""),999)</f>
        <v>999</v>
      </c>
      <c r="D13337" s="8">
        <f ca="1">IFERROR(__xludf.DUMMYFUNCTION("""COMPUTED_VALUE"""),999)</f>
        <v>999</v>
      </c>
      <c r="E13337" s="2">
        <f ca="1">IFERROR(__xludf.DUMMYFUNCTION("""COMPUTED_VALUE"""),999)</f>
        <v>999</v>
      </c>
    </row>
    <row r="13338" spans="1:5" ht="13">
      <c r="A13338" s="2" t="str">
        <f ca="1">IFERROR(__xludf.DUMMYFUNCTION("""COMPUTED_VALUE"""),"Zuckerman, Mark")</f>
        <v>Zuckerman, Mark</v>
      </c>
      <c r="B13338" s="2">
        <f ca="1">IFERROR(__xludf.DUMMYFUNCTION("""COMPUTED_VALUE"""),999)</f>
        <v>999</v>
      </c>
      <c r="C13338" s="2">
        <f ca="1">IFERROR(__xludf.DUMMYFUNCTION("""COMPUTED_VALUE"""),999)</f>
        <v>999</v>
      </c>
      <c r="D13338" s="8">
        <f ca="1">IFERROR(__xludf.DUMMYFUNCTION("""COMPUTED_VALUE"""),999)</f>
        <v>999</v>
      </c>
      <c r="E13338" s="2">
        <f ca="1">IFERROR(__xludf.DUMMYFUNCTION("""COMPUTED_VALUE"""),999)</f>
        <v>999</v>
      </c>
    </row>
    <row r="13339" spans="1:5" ht="13">
      <c r="A13339" s="2" t="str">
        <f ca="1">IFERROR(__xludf.DUMMYFUNCTION("""COMPUTED_VALUE"""),"Zullinger, Nathan")</f>
        <v>Zullinger, Nathan</v>
      </c>
      <c r="B13339" s="2">
        <f ca="1">IFERROR(__xludf.DUMMYFUNCTION("""COMPUTED_VALUE"""),999)</f>
        <v>999</v>
      </c>
      <c r="C13339" s="2">
        <f ca="1">IFERROR(__xludf.DUMMYFUNCTION("""COMPUTED_VALUE"""),999)</f>
        <v>999</v>
      </c>
      <c r="D13339" s="8">
        <f ca="1">IFERROR(__xludf.DUMMYFUNCTION("""COMPUTED_VALUE"""),999)</f>
        <v>999</v>
      </c>
      <c r="E13339" s="2">
        <f ca="1">IFERROR(__xludf.DUMMYFUNCTION("""COMPUTED_VALUE"""),999)</f>
        <v>999</v>
      </c>
    </row>
    <row r="13340" spans="1:5" ht="13">
      <c r="A13340" s="8" t="str">
        <f ca="1">IFERROR(__xludf.DUMMYFUNCTION("""COMPUTED_VALUE"""),"Delanoy, Catherine")</f>
        <v>Delanoy, Catherine</v>
      </c>
      <c r="B13340" s="8" t="str">
        <f ca="1">IFERROR(__xludf.DUMMYFUNCTION("""COMPUTED_VALUE"""),"2")</f>
        <v>2</v>
      </c>
      <c r="C13340" s="7">
        <f ca="1">IFERROR(__xludf.DUMMYFUNCTION("""COMPUTED_VALUE"""),2)</f>
        <v>2</v>
      </c>
      <c r="D13340" s="8" t="str">
        <f ca="1">IFERROR(__xludf.DUMMYFUNCTION("""COMPUTED_VALUE"""),"")</f>
        <v/>
      </c>
      <c r="E13340" s="8" t="str">
        <f ca="1">IFERROR(__xludf.DUMMYFUNCTION("""COMPUTED_VALUE"""),"1")</f>
        <v>1</v>
      </c>
    </row>
    <row r="13341" spans="1:5" ht="13">
      <c r="A13341" s="2" t="str">
        <f ca="1">IFERROR(__xludf.DUMMYFUNCTION("""COMPUTED_VALUE"""),"Dell'acqua, Eva")</f>
        <v>Dell'acqua, Eva</v>
      </c>
      <c r="B13341" s="8" t="str">
        <f ca="1">IFERROR(__xludf.DUMMYFUNCTION("""COMPUTED_VALUE"""),"2")</f>
        <v>2</v>
      </c>
      <c r="C13341" s="7">
        <f ca="1">IFERROR(__xludf.DUMMYFUNCTION("""COMPUTED_VALUE"""),2)</f>
        <v>2</v>
      </c>
      <c r="D13341" s="8" t="str">
        <f ca="1">IFERROR(__xludf.DUMMYFUNCTION("""COMPUTED_VALUE"""),"")</f>
        <v/>
      </c>
      <c r="E13341" s="8" t="str">
        <f ca="1">IFERROR(__xludf.DUMMYFUNCTION("""COMPUTED_VALUE"""),"2")</f>
        <v>2</v>
      </c>
    </row>
    <row r="13342" spans="1:5" ht="13">
      <c r="A13342" s="8" t="str">
        <f ca="1">IFERROR(__xludf.DUMMYFUNCTION("""COMPUTED_VALUE"""),"Dobbs, Louise")</f>
        <v>Dobbs, Louise</v>
      </c>
      <c r="B13342" s="8" t="str">
        <f ca="1">IFERROR(__xludf.DUMMYFUNCTION("""COMPUTED_VALUE"""),"2")</f>
        <v>2</v>
      </c>
      <c r="C13342" s="7">
        <f ca="1">IFERROR(__xludf.DUMMYFUNCTION("""COMPUTED_VALUE"""),2)</f>
        <v>2</v>
      </c>
      <c r="D13342" s="8" t="str">
        <f ca="1">IFERROR(__xludf.DUMMYFUNCTION("""COMPUTED_VALUE"""),"")</f>
        <v/>
      </c>
      <c r="E13342" s="8" t="str">
        <f ca="1">IFERROR(__xludf.DUMMYFUNCTION("""COMPUTED_VALUE"""),"1")</f>
        <v>1</v>
      </c>
    </row>
    <row r="13343" spans="1:5" ht="13">
      <c r="A13343" s="8" t="str">
        <f ca="1">IFERROR(__xludf.DUMMYFUNCTION("""COMPUTED_VALUE"""),"Herrington, Judith / Glick, Sara")</f>
        <v>Herrington, Judith / Glick, Sara</v>
      </c>
      <c r="B13343" s="8" t="str">
        <f ca="1">IFERROR(__xludf.DUMMYFUNCTION("""COMPUTED_VALUE"""),"2")</f>
        <v>2</v>
      </c>
      <c r="C13343" s="7">
        <f ca="1">IFERROR(__xludf.DUMMYFUNCTION("""COMPUTED_VALUE"""),2)</f>
        <v>2</v>
      </c>
      <c r="D13343" s="8" t="str">
        <f ca="1">IFERROR(__xludf.DUMMYFUNCTION("""COMPUTED_VALUE"""),"")</f>
        <v/>
      </c>
      <c r="E13343" s="8" t="str">
        <f ca="1">IFERROR(__xludf.DUMMYFUNCTION("""COMPUTED_VALUE"""),"1&amp;2")</f>
        <v>1&amp;2</v>
      </c>
    </row>
    <row r="13344" spans="1:5" ht="13">
      <c r="A13344" s="8" t="str">
        <f ca="1">IFERROR(__xludf.DUMMYFUNCTION("""COMPUTED_VALUE"""),"Price, Nancy")</f>
        <v>Price, Nancy</v>
      </c>
      <c r="B13344" s="8" t="str">
        <f ca="1">IFERROR(__xludf.DUMMYFUNCTION("""COMPUTED_VALUE"""),"2")</f>
        <v>2</v>
      </c>
      <c r="C13344" s="7">
        <f ca="1">IFERROR(__xludf.DUMMYFUNCTION("""COMPUTED_VALUE"""),2)</f>
        <v>2</v>
      </c>
      <c r="D13344" s="8" t="str">
        <f ca="1">IFERROR(__xludf.DUMMYFUNCTION("""COMPUTED_VALUE"""),"")</f>
        <v/>
      </c>
      <c r="E13344" s="8" t="str">
        <f ca="1">IFERROR(__xludf.DUMMYFUNCTION("""COMPUTED_VALUE"""),"1")</f>
        <v>1</v>
      </c>
    </row>
    <row r="13345" spans="1:5" ht="13">
      <c r="A13345" s="2" t="str">
        <f ca="1">IFERROR(__xludf.DUMMYFUNCTION("""COMPUTED_VALUE"""),"Althouse, Jay / Albrecht, Sally")</f>
        <v>Althouse, Jay / Albrecht, Sally</v>
      </c>
      <c r="B13345" s="3" t="str">
        <f ca="1">IFERROR(__xludf.DUMMYFUNCTION("""COMPUTED_VALUE"""),"2&amp;1")</f>
        <v>2&amp;1</v>
      </c>
      <c r="C13345" s="6" t="str">
        <f ca="1">IFERROR(__xludf.DUMMYFUNCTION("""COMPUTED_VALUE"""),"1.0&amp;2.0")</f>
        <v>1.0&amp;2.0</v>
      </c>
      <c r="D13345" s="8" t="str">
        <f ca="1">IFERROR(__xludf.DUMMYFUNCTION("""COMPUTED_VALUE"""),"2&amp;1")</f>
        <v>2&amp;1</v>
      </c>
      <c r="E13345" s="2">
        <f ca="1">IFERROR(__xludf.DUMMYFUNCTION("""COMPUTED_VALUE"""),1)</f>
        <v>1</v>
      </c>
    </row>
    <row r="13346" spans="1:5" ht="13">
      <c r="A13346" s="8" t="str">
        <f ca="1">IFERROR(__xludf.DUMMYFUNCTION("""COMPUTED_VALUE"""),"Armstrong, Matthew / Armstrong, Shelly")</f>
        <v>Armstrong, Matthew / Armstrong, Shelly</v>
      </c>
      <c r="B13346" s="3" t="str">
        <f ca="1">IFERROR(__xludf.DUMMYFUNCTION("""COMPUTED_VALUE"""),"2&amp;1")</f>
        <v>2&amp;1</v>
      </c>
      <c r="C13346" s="6" t="str">
        <f ca="1">IFERROR(__xludf.DUMMYFUNCTION("""COMPUTED_VALUE"""),"1.0&amp;2.0")</f>
        <v>1.0&amp;2.0</v>
      </c>
      <c r="D13346" s="8" t="str">
        <f ca="1">IFERROR(__xludf.DUMMYFUNCTION("""COMPUTED_VALUE"""),"2&amp;1")</f>
        <v>2&amp;1</v>
      </c>
      <c r="E13346" s="3">
        <f ca="1">IFERROR(__xludf.DUMMYFUNCTION("""COMPUTED_VALUE"""),1)</f>
        <v>1</v>
      </c>
    </row>
    <row r="13347" spans="1:5" ht="13">
      <c r="A13347" s="2" t="str">
        <f ca="1">IFERROR(__xludf.DUMMYFUNCTION("""COMPUTED_VALUE"""),"Ballenger, William / Jordan, Alice")</f>
        <v>Ballenger, William / Jordan, Alice</v>
      </c>
      <c r="B13347" s="3" t="str">
        <f ca="1">IFERROR(__xludf.DUMMYFUNCTION("""COMPUTED_VALUE"""),"2&amp;1")</f>
        <v>2&amp;1</v>
      </c>
      <c r="C13347" s="6" t="str">
        <f ca="1">IFERROR(__xludf.DUMMYFUNCTION("""COMPUTED_VALUE"""),"1.0&amp;2.0")</f>
        <v>1.0&amp;2.0</v>
      </c>
      <c r="D13347" s="8" t="str">
        <f ca="1">IFERROR(__xludf.DUMMYFUNCTION("""COMPUTED_VALUE"""),"6&amp;5")</f>
        <v>6&amp;5</v>
      </c>
      <c r="E13347" s="2">
        <f ca="1">IFERROR(__xludf.DUMMYFUNCTION("""COMPUTED_VALUE"""),2)</f>
        <v>2</v>
      </c>
    </row>
    <row r="13348" spans="1:5" ht="13">
      <c r="A13348" s="2" t="str">
        <f ca="1">IFERROR(__xludf.DUMMYFUNCTION("""COMPUTED_VALUE"""),"Barrett, Patrick / Rao, Doreen")</f>
        <v>Barrett, Patrick / Rao, Doreen</v>
      </c>
      <c r="B13348" s="2" t="str">
        <f ca="1">IFERROR(__xludf.DUMMYFUNCTION("""COMPUTED_VALUE"""),"2&amp;1")</f>
        <v>2&amp;1</v>
      </c>
      <c r="C13348" s="2" t="str">
        <f ca="1">IFERROR(__xludf.DUMMYFUNCTION("""COMPUTED_VALUE"""),"1.0&amp;2.0")</f>
        <v>1.0&amp;2.0</v>
      </c>
      <c r="D13348" s="8" t="str">
        <f ca="1">IFERROR(__xludf.DUMMYFUNCTION("""COMPUTED_VALUE"""),"2&amp;1")</f>
        <v>2&amp;1</v>
      </c>
      <c r="E13348" s="2">
        <f ca="1">IFERROR(__xludf.DUMMYFUNCTION("""COMPUTED_VALUE"""),1)</f>
        <v>1</v>
      </c>
    </row>
    <row r="13349" spans="1:5" ht="13">
      <c r="A13349" s="2" t="str">
        <f ca="1">IFERROR(__xludf.DUMMYFUNCTION("""COMPUTED_VALUE"""),"Beery, Lon / DeLaney, Elisa")</f>
        <v>Beery, Lon / DeLaney, Elisa</v>
      </c>
      <c r="B13349" s="3" t="str">
        <f ca="1">IFERROR(__xludf.DUMMYFUNCTION("""COMPUTED_VALUE"""),"2&amp;1")</f>
        <v>2&amp;1</v>
      </c>
      <c r="C13349" s="6" t="str">
        <f ca="1">IFERROR(__xludf.DUMMYFUNCTION("""COMPUTED_VALUE"""),"1.0&amp;2.0")</f>
        <v>1.0&amp;2.0</v>
      </c>
      <c r="D13349" s="8" t="str">
        <f ca="1">IFERROR(__xludf.DUMMYFUNCTION("""COMPUTED_VALUE"""),"2&amp;1")</f>
        <v>2&amp;1</v>
      </c>
      <c r="E13349" s="2">
        <f ca="1">IFERROR(__xludf.DUMMYFUNCTION("""COMPUTED_VALUE"""),1)</f>
        <v>1</v>
      </c>
    </row>
    <row r="13350" spans="1:5" ht="13">
      <c r="A13350" s="2" t="str">
        <f ca="1">IFERROR(__xludf.DUMMYFUNCTION("""COMPUTED_VALUE"""),"Brent, Tim / Quist, Amanda")</f>
        <v>Brent, Tim / Quist, Amanda</v>
      </c>
      <c r="B13350" s="3" t="str">
        <f ca="1">IFERROR(__xludf.DUMMYFUNCTION("""COMPUTED_VALUE"""),"2&amp;1")</f>
        <v>2&amp;1</v>
      </c>
      <c r="C13350" s="6" t="str">
        <f ca="1">IFERROR(__xludf.DUMMYFUNCTION("""COMPUTED_VALUE"""),"1.0&amp;2.0")</f>
        <v>1.0&amp;2.0</v>
      </c>
      <c r="D13350" s="8" t="str">
        <f ca="1">IFERROR(__xludf.DUMMYFUNCTION("""COMPUTED_VALUE"""),"2&amp;1")</f>
        <v>2&amp;1</v>
      </c>
      <c r="E13350" s="2">
        <f ca="1">IFERROR(__xludf.DUMMYFUNCTION("""COMPUTED_VALUE"""),1)</f>
        <v>1</v>
      </c>
    </row>
    <row r="13351" spans="1:5" ht="13">
      <c r="A13351" s="2" t="str">
        <f ca="1">IFERROR(__xludf.DUMMYFUNCTION("""COMPUTED_VALUE"""),"Carter, Alan / Huss, Christina")</f>
        <v>Carter, Alan / Huss, Christina</v>
      </c>
      <c r="B13351" s="3" t="str">
        <f ca="1">IFERROR(__xludf.DUMMYFUNCTION("""COMPUTED_VALUE"""),"2&amp;1")</f>
        <v>2&amp;1</v>
      </c>
      <c r="C13351" s="6" t="str">
        <f ca="1">IFERROR(__xludf.DUMMYFUNCTION("""COMPUTED_VALUE"""),"1.0&amp;2.0")</f>
        <v>1.0&amp;2.0</v>
      </c>
      <c r="D13351" s="8" t="str">
        <f ca="1">IFERROR(__xludf.DUMMYFUNCTION("""COMPUTED_VALUE"""),"2&amp;1")</f>
        <v>2&amp;1</v>
      </c>
      <c r="E13351" s="2">
        <f ca="1">IFERROR(__xludf.DUMMYFUNCTION("""COMPUTED_VALUE"""),1)</f>
        <v>1</v>
      </c>
    </row>
    <row r="13352" spans="1:5" ht="13">
      <c r="A13352" s="2" t="str">
        <f ca="1">IFERROR(__xludf.DUMMYFUNCTION("""COMPUTED_VALUE"""),"Conlon, Patrick / Giacona, Christina")</f>
        <v>Conlon, Patrick / Giacona, Christina</v>
      </c>
      <c r="B13352" s="3" t="str">
        <f ca="1">IFERROR(__xludf.DUMMYFUNCTION("""COMPUTED_VALUE"""),"2&amp;1")</f>
        <v>2&amp;1</v>
      </c>
      <c r="C13352" s="6" t="str">
        <f ca="1">IFERROR(__xludf.DUMMYFUNCTION("""COMPUTED_VALUE"""),"1.0&amp;2.0")</f>
        <v>1.0&amp;2.0</v>
      </c>
      <c r="D13352" s="8" t="str">
        <f ca="1">IFERROR(__xludf.DUMMYFUNCTION("""COMPUTED_VALUE"""),"2&amp;1")</f>
        <v>2&amp;1</v>
      </c>
      <c r="E13352" s="2">
        <f ca="1">IFERROR(__xludf.DUMMYFUNCTION("""COMPUTED_VALUE"""),1)</f>
        <v>1</v>
      </c>
    </row>
    <row r="13353" spans="1:5" ht="13">
      <c r="A13353" s="2" t="str">
        <f ca="1">IFERROR(__xludf.DUMMYFUNCTION("""COMPUTED_VALUE"""),"Di Palma, Maria / Walters, Richard")</f>
        <v>Di Palma, Maria / Walters, Richard</v>
      </c>
      <c r="B13353" s="2" t="str">
        <f ca="1">IFERROR(__xludf.DUMMYFUNCTION("""COMPUTED_VALUE"""),"2&amp;1")</f>
        <v>2&amp;1</v>
      </c>
      <c r="C13353" s="2" t="str">
        <f ca="1">IFERROR(__xludf.DUMMYFUNCTION("""COMPUTED_VALUE"""),"1.0&amp;2.0")</f>
        <v>1.0&amp;2.0</v>
      </c>
      <c r="D13353" s="8" t="str">
        <f ca="1">IFERROR(__xludf.DUMMYFUNCTION("""COMPUTED_VALUE"""),"6&amp;5")</f>
        <v>6&amp;5</v>
      </c>
      <c r="E13353" s="2">
        <f ca="1">IFERROR(__xludf.DUMMYFUNCTION("""COMPUTED_VALUE"""),2)</f>
        <v>2</v>
      </c>
    </row>
    <row r="13354" spans="1:5" ht="13">
      <c r="A13354" s="8" t="str">
        <f ca="1">IFERROR(__xludf.DUMMYFUNCTION("""COMPUTED_VALUE"""),"Donnelly, Mary / Strid, George")</f>
        <v>Donnelly, Mary / Strid, George</v>
      </c>
      <c r="B13354" s="3" t="str">
        <f ca="1">IFERROR(__xludf.DUMMYFUNCTION("""COMPUTED_VALUE"""),"2&amp;1")</f>
        <v>2&amp;1</v>
      </c>
      <c r="C13354" s="6" t="str">
        <f ca="1">IFERROR(__xludf.DUMMYFUNCTION("""COMPUTED_VALUE"""),"1.0&amp;2.0")</f>
        <v>1.0&amp;2.0</v>
      </c>
      <c r="D13354" s="8" t="str">
        <f ca="1">IFERROR(__xludf.DUMMYFUNCTION("""COMPUTED_VALUE"""),"2&amp;1")</f>
        <v>2&amp;1</v>
      </c>
      <c r="E13354" s="2">
        <f ca="1">IFERROR(__xludf.DUMMYFUNCTION("""COMPUTED_VALUE"""),1)</f>
        <v>1</v>
      </c>
    </row>
    <row r="13355" spans="1:5" ht="13">
      <c r="A13355" s="2" t="str">
        <f ca="1">IFERROR(__xludf.DUMMYFUNCTION("""COMPUTED_VALUE"""),"Dougherty, Celius / Crocker, Emily")</f>
        <v>Dougherty, Celius / Crocker, Emily</v>
      </c>
      <c r="B13355" s="3" t="str">
        <f ca="1">IFERROR(__xludf.DUMMYFUNCTION("""COMPUTED_VALUE"""),"2&amp;1")</f>
        <v>2&amp;1</v>
      </c>
      <c r="C13355" s="6" t="str">
        <f ca="1">IFERROR(__xludf.DUMMYFUNCTION("""COMPUTED_VALUE"""),"1.0&amp;2.0")</f>
        <v>1.0&amp;2.0</v>
      </c>
      <c r="D13355" s="8" t="str">
        <f ca="1">IFERROR(__xludf.DUMMYFUNCTION("""COMPUTED_VALUE"""),"2&amp;1")</f>
        <v>2&amp;1</v>
      </c>
      <c r="E13355" s="2">
        <f ca="1">IFERROR(__xludf.DUMMYFUNCTION("""COMPUTED_VALUE"""),1)</f>
        <v>1</v>
      </c>
    </row>
    <row r="13356" spans="1:5" ht="13">
      <c r="A13356" s="2" t="str">
        <f ca="1">IFERROR(__xludf.DUMMYFUNCTION("""COMPUTED_VALUE"""),"Dwyer, Ruth / Andersen, Dan")</f>
        <v>Dwyer, Ruth / Andersen, Dan</v>
      </c>
      <c r="B13356" s="3" t="str">
        <f ca="1">IFERROR(__xludf.DUMMYFUNCTION("""COMPUTED_VALUE"""),"2&amp;1")</f>
        <v>2&amp;1</v>
      </c>
      <c r="C13356" s="6" t="str">
        <f ca="1">IFERROR(__xludf.DUMMYFUNCTION("""COMPUTED_VALUE"""),"1.0&amp;2.0")</f>
        <v>1.0&amp;2.0</v>
      </c>
      <c r="D13356" s="8" t="str">
        <f ca="1">IFERROR(__xludf.DUMMYFUNCTION("""COMPUTED_VALUE"""),"2&amp;1")</f>
        <v>2&amp;1</v>
      </c>
      <c r="E13356" s="2">
        <f ca="1">IFERROR(__xludf.DUMMYFUNCTION("""COMPUTED_VALUE"""),1)</f>
        <v>1</v>
      </c>
    </row>
    <row r="13357" spans="1:5" ht="13">
      <c r="A13357" s="2" t="str">
        <f ca="1">IFERROR(__xludf.DUMMYFUNCTION("""COMPUTED_VALUE"""),"Dwyer, Ruth / Ellis, Martin")</f>
        <v>Dwyer, Ruth / Ellis, Martin</v>
      </c>
      <c r="B13357" s="3" t="str">
        <f ca="1">IFERROR(__xludf.DUMMYFUNCTION("""COMPUTED_VALUE"""),"2&amp;1")</f>
        <v>2&amp;1</v>
      </c>
      <c r="C13357" s="6" t="str">
        <f ca="1">IFERROR(__xludf.DUMMYFUNCTION("""COMPUTED_VALUE"""),"1.0&amp;2.0")</f>
        <v>1.0&amp;2.0</v>
      </c>
      <c r="D13357" s="8" t="str">
        <f ca="1">IFERROR(__xludf.DUMMYFUNCTION("""COMPUTED_VALUE"""),"2&amp;1")</f>
        <v>2&amp;1</v>
      </c>
      <c r="E13357" s="2">
        <f ca="1">IFERROR(__xludf.DUMMYFUNCTION("""COMPUTED_VALUE"""),1)</f>
        <v>1</v>
      </c>
    </row>
    <row r="13358" spans="1:5" ht="13">
      <c r="A13358" s="2" t="str">
        <f ca="1">IFERROR(__xludf.DUMMYFUNCTION("""COMPUTED_VALUE"""),"Foster, David / Thompson-Jenner, Linda")</f>
        <v>Foster, David / Thompson-Jenner, Linda</v>
      </c>
      <c r="B13358" s="3" t="str">
        <f ca="1">IFERROR(__xludf.DUMMYFUNCTION("""COMPUTED_VALUE"""),"2&amp;1")</f>
        <v>2&amp;1</v>
      </c>
      <c r="C13358" s="6" t="str">
        <f ca="1">IFERROR(__xludf.DUMMYFUNCTION("""COMPUTED_VALUE"""),"1.0&amp;2.0")</f>
        <v>1.0&amp;2.0</v>
      </c>
      <c r="D13358" s="8" t="str">
        <f ca="1">IFERROR(__xludf.DUMMYFUNCTION("""COMPUTED_VALUE"""),"2&amp;1")</f>
        <v>2&amp;1</v>
      </c>
      <c r="E13358" s="2">
        <f ca="1">IFERROR(__xludf.DUMMYFUNCTION("""COMPUTED_VALUE"""),1)</f>
        <v>1</v>
      </c>
    </row>
    <row r="13359" spans="1:5" ht="13">
      <c r="A13359" s="8" t="str">
        <f ca="1">IFERROR(__xludf.DUMMYFUNCTION("""COMPUTED_VALUE"""),"Frayman, Lev / Frayman, Olga")</f>
        <v>Frayman, Lev / Frayman, Olga</v>
      </c>
      <c r="B13359" s="3" t="str">
        <f ca="1">IFERROR(__xludf.DUMMYFUNCTION("""COMPUTED_VALUE"""),"2&amp;1")</f>
        <v>2&amp;1</v>
      </c>
      <c r="C13359" s="7" t="str">
        <f ca="1">IFERROR(__xludf.DUMMYFUNCTION("""COMPUTED_VALUE"""),"1.0&amp;2.0")</f>
        <v>1.0&amp;2.0</v>
      </c>
      <c r="D13359" s="8" t="str">
        <f ca="1">IFERROR(__xludf.DUMMYFUNCTION("""COMPUTED_VALUE"""),"2&amp;1")</f>
        <v>2&amp;1</v>
      </c>
      <c r="E13359" s="2">
        <f ca="1">IFERROR(__xludf.DUMMYFUNCTION("""COMPUTED_VALUE"""),1)</f>
        <v>1</v>
      </c>
    </row>
    <row r="13360" spans="1:5" ht="13">
      <c r="A13360" s="2" t="str">
        <f ca="1">IFERROR(__xludf.DUMMYFUNCTION("""COMPUTED_VALUE"""),"Gilmore, Jeanne / Gilmore, Robert")</f>
        <v>Gilmore, Jeanne / Gilmore, Robert</v>
      </c>
      <c r="B13360" s="3" t="str">
        <f ca="1">IFERROR(__xludf.DUMMYFUNCTION("""COMPUTED_VALUE"""),"2&amp;1")</f>
        <v>2&amp;1</v>
      </c>
      <c r="C13360" s="6" t="str">
        <f ca="1">IFERROR(__xludf.DUMMYFUNCTION("""COMPUTED_VALUE"""),"1.0&amp;2.0")</f>
        <v>1.0&amp;2.0</v>
      </c>
      <c r="D13360" s="8" t="str">
        <f ca="1">IFERROR(__xludf.DUMMYFUNCTION("""COMPUTED_VALUE"""),"2&amp;1")</f>
        <v>2&amp;1</v>
      </c>
      <c r="E13360" s="2">
        <f ca="1">IFERROR(__xludf.DUMMYFUNCTION("""COMPUTED_VALUE"""),1)</f>
        <v>1</v>
      </c>
    </row>
    <row r="13361" spans="1:5" ht="13">
      <c r="A13361" s="2" t="str">
        <f ca="1">IFERROR(__xludf.DUMMYFUNCTION("""COMPUTED_VALUE"""),"Grier, Gene / Grier, Audrey")</f>
        <v>Grier, Gene / Grier, Audrey</v>
      </c>
      <c r="B13361" s="2" t="str">
        <f ca="1">IFERROR(__xludf.DUMMYFUNCTION("""COMPUTED_VALUE"""),"2&amp;1")</f>
        <v>2&amp;1</v>
      </c>
      <c r="C13361" s="2" t="str">
        <f ca="1">IFERROR(__xludf.DUMMYFUNCTION("""COMPUTED_VALUE"""),"1.0&amp;2.0")</f>
        <v>1.0&amp;2.0</v>
      </c>
      <c r="D13361" s="8" t="str">
        <f ca="1">IFERROR(__xludf.DUMMYFUNCTION("""COMPUTED_VALUE"""),"6&amp;5")</f>
        <v>6&amp;5</v>
      </c>
      <c r="E13361" s="2">
        <f ca="1">IFERROR(__xludf.DUMMYFUNCTION("""COMPUTED_VALUE"""),2)</f>
        <v>2</v>
      </c>
    </row>
    <row r="13362" spans="1:5" ht="13">
      <c r="A13362" s="2" t="str">
        <f ca="1">IFERROR(__xludf.DUMMYFUNCTION("""COMPUTED_VALUE"""),"Hayes, Mark / Crocker, Emily")</f>
        <v>Hayes, Mark / Crocker, Emily</v>
      </c>
      <c r="B13362" s="2" t="str">
        <f ca="1">IFERROR(__xludf.DUMMYFUNCTION("""COMPUTED_VALUE"""),"2&amp;1")</f>
        <v>2&amp;1</v>
      </c>
      <c r="C13362" s="2" t="str">
        <f ca="1">IFERROR(__xludf.DUMMYFUNCTION("""COMPUTED_VALUE"""),"1.0&amp;2.0")</f>
        <v>1.0&amp;2.0</v>
      </c>
      <c r="D13362" s="8" t="str">
        <f ca="1">IFERROR(__xludf.DUMMYFUNCTION("""COMPUTED_VALUE"""),"2&amp;1")</f>
        <v>2&amp;1</v>
      </c>
      <c r="E13362" s="2">
        <f ca="1">IFERROR(__xludf.DUMMYFUNCTION("""COMPUTED_VALUE"""),1)</f>
        <v>1</v>
      </c>
    </row>
    <row r="13363" spans="1:5" ht="13">
      <c r="A13363" s="2" t="str">
        <f ca="1">IFERROR(__xludf.DUMMYFUNCTION("""COMPUTED_VALUE"""),"Jacobson, John / Snyder, Audrey")</f>
        <v>Jacobson, John / Snyder, Audrey</v>
      </c>
      <c r="B13363" s="2" t="str">
        <f ca="1">IFERROR(__xludf.DUMMYFUNCTION("""COMPUTED_VALUE"""),"2&amp;1")</f>
        <v>2&amp;1</v>
      </c>
      <c r="C13363" s="2" t="str">
        <f ca="1">IFERROR(__xludf.DUMMYFUNCTION("""COMPUTED_VALUE"""),"1.0&amp;2.0")</f>
        <v>1.0&amp;2.0</v>
      </c>
      <c r="D13363" s="8" t="str">
        <f ca="1">IFERROR(__xludf.DUMMYFUNCTION("""COMPUTED_VALUE"""),"2&amp;1")</f>
        <v>2&amp;1</v>
      </c>
      <c r="E13363" s="2">
        <f ca="1">IFERROR(__xludf.DUMMYFUNCTION("""COMPUTED_VALUE"""),1)</f>
        <v>1</v>
      </c>
    </row>
    <row r="13364" spans="1:5" ht="13">
      <c r="A13364" s="8" t="str">
        <f ca="1">IFERROR(__xludf.DUMMYFUNCTION("""COMPUTED_VALUE"""),"Joyce, Molly / Theofanidis, Christopher")</f>
        <v>Joyce, Molly / Theofanidis, Christopher</v>
      </c>
      <c r="B13364" s="3" t="str">
        <f ca="1">IFERROR(__xludf.DUMMYFUNCTION("""COMPUTED_VALUE"""),"2&amp;1")</f>
        <v>2&amp;1</v>
      </c>
      <c r="C13364" s="6" t="str">
        <f ca="1">IFERROR(__xludf.DUMMYFUNCTION("""COMPUTED_VALUE"""),"1.0&amp;2.0")</f>
        <v>1.0&amp;2.0</v>
      </c>
      <c r="D13364" s="8" t="str">
        <f ca="1">IFERROR(__xludf.DUMMYFUNCTION("""COMPUTED_VALUE"""),"2&amp;1")</f>
        <v>2&amp;1</v>
      </c>
      <c r="E13364" s="2">
        <f ca="1">IFERROR(__xludf.DUMMYFUNCTION("""COMPUTED_VALUE"""),1)</f>
        <v>1</v>
      </c>
    </row>
    <row r="13365" spans="1:5" ht="13">
      <c r="A13365" s="8" t="str">
        <f ca="1">IFERROR(__xludf.DUMMYFUNCTION("""COMPUTED_VALUE"""),"Kean, Ron / Egland, Jill")</f>
        <v>Kean, Ron / Egland, Jill</v>
      </c>
      <c r="B13365" s="3" t="str">
        <f ca="1">IFERROR(__xludf.DUMMYFUNCTION("""COMPUTED_VALUE"""),"2&amp;1")</f>
        <v>2&amp;1</v>
      </c>
      <c r="C13365" s="6" t="str">
        <f ca="1">IFERROR(__xludf.DUMMYFUNCTION("""COMPUTED_VALUE"""),"1.0&amp;2.0")</f>
        <v>1.0&amp;2.0</v>
      </c>
      <c r="D13365" s="8" t="str">
        <f ca="1">IFERROR(__xludf.DUMMYFUNCTION("""COMPUTED_VALUE"""),"2&amp;1")</f>
        <v>2&amp;1</v>
      </c>
      <c r="E13365" s="2">
        <f ca="1">IFERROR(__xludf.DUMMYFUNCTION("""COMPUTED_VALUE"""),1)</f>
        <v>1</v>
      </c>
    </row>
    <row r="13366" spans="1:5" ht="13">
      <c r="A13366" s="8" t="str">
        <f ca="1">IFERROR(__xludf.DUMMYFUNCTION("""COMPUTED_VALUE"""),"Keane, Dolores / Faulkner, John")</f>
        <v>Keane, Dolores / Faulkner, John</v>
      </c>
      <c r="B13366" s="3" t="str">
        <f ca="1">IFERROR(__xludf.DUMMYFUNCTION("""COMPUTED_VALUE"""),"2&amp;1")</f>
        <v>2&amp;1</v>
      </c>
      <c r="C13366" s="6" t="str">
        <f ca="1">IFERROR(__xludf.DUMMYFUNCTION("""COMPUTED_VALUE"""),"1.0&amp;2.0")</f>
        <v>1.0&amp;2.0</v>
      </c>
      <c r="D13366" s="8" t="str">
        <f ca="1">IFERROR(__xludf.DUMMYFUNCTION("""COMPUTED_VALUE"""),"2&amp;1")</f>
        <v>2&amp;1</v>
      </c>
      <c r="E13366" s="2">
        <f ca="1">IFERROR(__xludf.DUMMYFUNCTION("""COMPUTED_VALUE"""),1)</f>
        <v>1</v>
      </c>
    </row>
    <row r="13367" spans="1:5" ht="13">
      <c r="A13367" s="2" t="str">
        <f ca="1">IFERROR(__xludf.DUMMYFUNCTION("""COMPUTED_VALUE"""),"Kelly, Lisa / Calhoun, Ken")</f>
        <v>Kelly, Lisa / Calhoun, Ken</v>
      </c>
      <c r="B13367" s="3" t="str">
        <f ca="1">IFERROR(__xludf.DUMMYFUNCTION("""COMPUTED_VALUE"""),"2&amp;1")</f>
        <v>2&amp;1</v>
      </c>
      <c r="C13367" s="2" t="str">
        <f ca="1">IFERROR(__xludf.DUMMYFUNCTION("""COMPUTED_VALUE"""),"1.0&amp;2.0")</f>
        <v>1.0&amp;2.0</v>
      </c>
      <c r="D13367" s="8" t="str">
        <f ca="1">IFERROR(__xludf.DUMMYFUNCTION("""COMPUTED_VALUE"""),"2&amp;1")</f>
        <v>2&amp;1</v>
      </c>
      <c r="E13367" s="2">
        <f ca="1">IFERROR(__xludf.DUMMYFUNCTION("""COMPUTED_VALUE"""),1)</f>
        <v>1</v>
      </c>
    </row>
    <row r="13368" spans="1:5" ht="13">
      <c r="A13368" s="8" t="str">
        <f ca="1">IFERROR(__xludf.DUMMYFUNCTION("""COMPUTED_VALUE"""),"Kirkpatrick, Wayne &amp; Karey")</f>
        <v>Kirkpatrick, Wayne &amp; Karey</v>
      </c>
      <c r="B13368" s="3" t="str">
        <f ca="1">IFERROR(__xludf.DUMMYFUNCTION("""COMPUTED_VALUE"""),"2&amp;1")</f>
        <v>2&amp;1</v>
      </c>
      <c r="C13368" s="6" t="str">
        <f ca="1">IFERROR(__xludf.DUMMYFUNCTION("""COMPUTED_VALUE"""),"1.0&amp;2.0")</f>
        <v>1.0&amp;2.0</v>
      </c>
      <c r="D13368" s="8" t="str">
        <f ca="1">IFERROR(__xludf.DUMMYFUNCTION("""COMPUTED_VALUE"""),"2&amp;1")</f>
        <v>2&amp;1</v>
      </c>
      <c r="E13368" s="2">
        <f ca="1">IFERROR(__xludf.DUMMYFUNCTION("""COMPUTED_VALUE"""),1)</f>
        <v>1</v>
      </c>
    </row>
    <row r="13369" spans="1:5" ht="13">
      <c r="A13369" s="2" t="str">
        <f ca="1">IFERROR(__xludf.DUMMYFUNCTION("""COMPUTED_VALUE"""),"Knox, Jane Foster / Wilson, Mark")</f>
        <v>Knox, Jane Foster / Wilson, Mark</v>
      </c>
      <c r="B13369" s="3" t="str">
        <f ca="1">IFERROR(__xludf.DUMMYFUNCTION("""COMPUTED_VALUE"""),"2&amp;1")</f>
        <v>2&amp;1</v>
      </c>
      <c r="C13369" s="6" t="str">
        <f ca="1">IFERROR(__xludf.DUMMYFUNCTION("""COMPUTED_VALUE"""),"1.0&amp;2.0")</f>
        <v>1.0&amp;2.0</v>
      </c>
      <c r="D13369" s="8" t="str">
        <f ca="1">IFERROR(__xludf.DUMMYFUNCTION("""COMPUTED_VALUE"""),"2&amp;1")</f>
        <v>2&amp;1</v>
      </c>
      <c r="E13369" s="2">
        <f ca="1">IFERROR(__xludf.DUMMYFUNCTION("""COMPUTED_VALUE"""),1)</f>
        <v>1</v>
      </c>
    </row>
    <row r="13370" spans="1:5" ht="13">
      <c r="A13370" s="2" t="str">
        <f ca="1">IFERROR(__xludf.DUMMYFUNCTION("""COMPUTED_VALUE"""),"Krakauer, David / Tagg, Kathleen")</f>
        <v>Krakauer, David / Tagg, Kathleen</v>
      </c>
      <c r="B13370" s="3" t="str">
        <f ca="1">IFERROR(__xludf.DUMMYFUNCTION("""COMPUTED_VALUE"""),"2&amp;1")</f>
        <v>2&amp;1</v>
      </c>
      <c r="C13370" s="6" t="str">
        <f ca="1">IFERROR(__xludf.DUMMYFUNCTION("""COMPUTED_VALUE"""),"1.0&amp;2.0")</f>
        <v>1.0&amp;2.0</v>
      </c>
      <c r="D13370" s="8" t="str">
        <f ca="1">IFERROR(__xludf.DUMMYFUNCTION("""COMPUTED_VALUE"""),"2&amp;1")</f>
        <v>2&amp;1</v>
      </c>
      <c r="E13370" s="2">
        <f ca="1">IFERROR(__xludf.DUMMYFUNCTION("""COMPUTED_VALUE"""),1)</f>
        <v>1</v>
      </c>
    </row>
    <row r="13371" spans="1:5" ht="13">
      <c r="A13371" s="2" t="str">
        <f ca="1">IFERROR(__xludf.DUMMYFUNCTION("""COMPUTED_VALUE"""),"Leck, Henry / Brumfield, Susan")</f>
        <v>Leck, Henry / Brumfield, Susan</v>
      </c>
      <c r="B13371" s="3" t="str">
        <f ca="1">IFERROR(__xludf.DUMMYFUNCTION("""COMPUTED_VALUE"""),"2&amp;1")</f>
        <v>2&amp;1</v>
      </c>
      <c r="C13371" s="7" t="str">
        <f ca="1">IFERROR(__xludf.DUMMYFUNCTION("""COMPUTED_VALUE"""),"1.0&amp;2.0")</f>
        <v>1.0&amp;2.0</v>
      </c>
      <c r="D13371" s="8" t="str">
        <f ca="1">IFERROR(__xludf.DUMMYFUNCTION("""COMPUTED_VALUE"""),"2&amp;1")</f>
        <v>2&amp;1</v>
      </c>
      <c r="E13371" s="2">
        <f ca="1">IFERROR(__xludf.DUMMYFUNCTION("""COMPUTED_VALUE"""),1)</f>
        <v>1</v>
      </c>
    </row>
    <row r="13372" spans="1:5" ht="13">
      <c r="A13372" s="2" t="str">
        <f ca="1">IFERROR(__xludf.DUMMYFUNCTION("""COMPUTED_VALUE"""),"Lewis, Edna / Habash, John")</f>
        <v>Lewis, Edna / Habash, John</v>
      </c>
      <c r="B13372" s="3" t="str">
        <f ca="1">IFERROR(__xludf.DUMMYFUNCTION("""COMPUTED_VALUE"""),"2&amp;1")</f>
        <v>2&amp;1</v>
      </c>
      <c r="C13372" s="6" t="str">
        <f ca="1">IFERROR(__xludf.DUMMYFUNCTION("""COMPUTED_VALUE"""),"1.0&amp;2.0")</f>
        <v>1.0&amp;2.0</v>
      </c>
      <c r="D13372" s="8" t="str">
        <f ca="1">IFERROR(__xludf.DUMMYFUNCTION("""COMPUTED_VALUE"""),"6&amp;5")</f>
        <v>6&amp;5</v>
      </c>
      <c r="E13372" s="2">
        <f ca="1">IFERROR(__xludf.DUMMYFUNCTION("""COMPUTED_VALUE"""),2)</f>
        <v>2</v>
      </c>
    </row>
    <row r="13373" spans="1:5" ht="13">
      <c r="A13373" s="8" t="str">
        <f ca="1">IFERROR(__xludf.DUMMYFUNCTION("""COMPUTED_VALUE"""),"Loughton, Lynnette / Steed, Gordon")</f>
        <v>Loughton, Lynnette / Steed, Gordon</v>
      </c>
      <c r="B13373" s="3" t="str">
        <f ca="1">IFERROR(__xludf.DUMMYFUNCTION("""COMPUTED_VALUE"""),"2&amp;1")</f>
        <v>2&amp;1</v>
      </c>
      <c r="C13373" s="6" t="str">
        <f ca="1">IFERROR(__xludf.DUMMYFUNCTION("""COMPUTED_VALUE"""),"1.0&amp;2.0")</f>
        <v>1.0&amp;2.0</v>
      </c>
      <c r="D13373" s="8" t="str">
        <f ca="1">IFERROR(__xludf.DUMMYFUNCTION("""COMPUTED_VALUE"""),"2&amp;1")</f>
        <v>2&amp;1</v>
      </c>
      <c r="E13373" s="2">
        <f ca="1">IFERROR(__xludf.DUMMYFUNCTION("""COMPUTED_VALUE"""),1)</f>
        <v>1</v>
      </c>
    </row>
    <row r="13374" spans="1:5" ht="13">
      <c r="A13374" s="2" t="str">
        <f ca="1">IFERROR(__xludf.DUMMYFUNCTION("""COMPUTED_VALUE"""),"Mahr, Hannah / Mahr, Timothy")</f>
        <v>Mahr, Hannah / Mahr, Timothy</v>
      </c>
      <c r="B13374" s="3" t="str">
        <f ca="1">IFERROR(__xludf.DUMMYFUNCTION("""COMPUTED_VALUE"""),"2&amp;1")</f>
        <v>2&amp;1</v>
      </c>
      <c r="C13374" s="6" t="str">
        <f ca="1">IFERROR(__xludf.DUMMYFUNCTION("""COMPUTED_VALUE"""),"1.0&amp;2.0")</f>
        <v>1.0&amp;2.0</v>
      </c>
      <c r="D13374" s="8" t="str">
        <f ca="1">IFERROR(__xludf.DUMMYFUNCTION("""COMPUTED_VALUE"""),"2&amp;1")</f>
        <v>2&amp;1</v>
      </c>
      <c r="E13374" s="2">
        <f ca="1">IFERROR(__xludf.DUMMYFUNCTION("""COMPUTED_VALUE"""),1)</f>
        <v>1</v>
      </c>
    </row>
    <row r="13375" spans="1:5" ht="13">
      <c r="A13375" s="2" t="str">
        <f ca="1">IFERROR(__xludf.DUMMYFUNCTION("""COMPUTED_VALUE"""),"Marcus, Linda / Feldman, Jack")</f>
        <v>Marcus, Linda / Feldman, Jack</v>
      </c>
      <c r="B13375" s="3" t="str">
        <f ca="1">IFERROR(__xludf.DUMMYFUNCTION("""COMPUTED_VALUE"""),"2&amp;1")</f>
        <v>2&amp;1</v>
      </c>
      <c r="C13375" s="6" t="str">
        <f ca="1">IFERROR(__xludf.DUMMYFUNCTION("""COMPUTED_VALUE"""),"1.0&amp;2.0")</f>
        <v>1.0&amp;2.0</v>
      </c>
      <c r="D13375" s="8" t="str">
        <f ca="1">IFERROR(__xludf.DUMMYFUNCTION("""COMPUTED_VALUE"""),"2&amp;1")</f>
        <v>2&amp;1</v>
      </c>
      <c r="E13375" s="2">
        <f ca="1">IFERROR(__xludf.DUMMYFUNCTION("""COMPUTED_VALUE"""),1)</f>
        <v>1</v>
      </c>
    </row>
    <row r="13376" spans="1:5" ht="13">
      <c r="A13376" s="2" t="str">
        <f ca="1">IFERROR(__xludf.DUMMYFUNCTION("""COMPUTED_VALUE"""),"Mattson, Andris / Navran, Amber")</f>
        <v>Mattson, Andris / Navran, Amber</v>
      </c>
      <c r="B13376" s="3" t="str">
        <f ca="1">IFERROR(__xludf.DUMMYFUNCTION("""COMPUTED_VALUE"""),"2&amp;1")</f>
        <v>2&amp;1</v>
      </c>
      <c r="C13376" s="6" t="str">
        <f ca="1">IFERROR(__xludf.DUMMYFUNCTION("""COMPUTED_VALUE"""),"1.0&amp;2.0")</f>
        <v>1.0&amp;2.0</v>
      </c>
      <c r="D13376" s="8" t="str">
        <f ca="1">IFERROR(__xludf.DUMMYFUNCTION("""COMPUTED_VALUE"""),"2&amp;1")</f>
        <v>2&amp;1</v>
      </c>
      <c r="E13376" s="2">
        <f ca="1">IFERROR(__xludf.DUMMYFUNCTION("""COMPUTED_VALUE"""),1)</f>
        <v>1</v>
      </c>
    </row>
    <row r="13377" spans="1:5" ht="13">
      <c r="A13377" s="2" t="str">
        <f ca="1">IFERROR(__xludf.DUMMYFUNCTION("""COMPUTED_VALUE"""),"Narverud, Jacob / Elsner, Christy")</f>
        <v>Narverud, Jacob / Elsner, Christy</v>
      </c>
      <c r="B13377" s="2" t="str">
        <f ca="1">IFERROR(__xludf.DUMMYFUNCTION("""COMPUTED_VALUE"""),"2&amp;1")</f>
        <v>2&amp;1</v>
      </c>
      <c r="C13377" s="2" t="str">
        <f ca="1">IFERROR(__xludf.DUMMYFUNCTION("""COMPUTED_VALUE"""),"1.0&amp;2.0")</f>
        <v>1.0&amp;2.0</v>
      </c>
      <c r="D13377" s="8" t="str">
        <f ca="1">IFERROR(__xludf.DUMMYFUNCTION("""COMPUTED_VALUE"""),"2&amp;1")</f>
        <v>2&amp;1</v>
      </c>
      <c r="E13377" s="2">
        <f ca="1">IFERROR(__xludf.DUMMYFUNCTION("""COMPUTED_VALUE"""),1)</f>
        <v>1</v>
      </c>
    </row>
    <row r="13378" spans="1:5" ht="13">
      <c r="A13378" s="8" t="str">
        <f ca="1">IFERROR(__xludf.DUMMYFUNCTION("""COMPUTED_VALUE"""),"Niehaus, Lennie / Sanfillippo, Margaret")</f>
        <v>Niehaus, Lennie / Sanfillippo, Margaret</v>
      </c>
      <c r="B13378" s="3" t="str">
        <f ca="1">IFERROR(__xludf.DUMMYFUNCTION("""COMPUTED_VALUE"""),"2&amp;1")</f>
        <v>2&amp;1</v>
      </c>
      <c r="C13378" s="6" t="str">
        <f ca="1">IFERROR(__xludf.DUMMYFUNCTION("""COMPUTED_VALUE"""),"1.0&amp;2.0")</f>
        <v>1.0&amp;2.0</v>
      </c>
      <c r="D13378" s="8" t="str">
        <f ca="1">IFERROR(__xludf.DUMMYFUNCTION("""COMPUTED_VALUE"""),"2&amp;1")</f>
        <v>2&amp;1</v>
      </c>
      <c r="E13378" s="2">
        <f ca="1">IFERROR(__xludf.DUMMYFUNCTION("""COMPUTED_VALUE"""),1)</f>
        <v>1</v>
      </c>
    </row>
    <row r="13379" spans="1:5" ht="13">
      <c r="A13379" s="8" t="str">
        <f ca="1">IFERROR(__xludf.DUMMYFUNCTION("""COMPUTED_VALUE"""),"Parker, Alice / Shaw, Robert")</f>
        <v>Parker, Alice / Shaw, Robert</v>
      </c>
      <c r="B13379" s="3" t="str">
        <f ca="1">IFERROR(__xludf.DUMMYFUNCTION("""COMPUTED_VALUE"""),"2&amp;1")</f>
        <v>2&amp;1</v>
      </c>
      <c r="C13379" s="6" t="str">
        <f ca="1">IFERROR(__xludf.DUMMYFUNCTION("""COMPUTED_VALUE"""),"1.0&amp;2.0")</f>
        <v>1.0&amp;2.0</v>
      </c>
      <c r="D13379" s="8" t="str">
        <f ca="1">IFERROR(__xludf.DUMMYFUNCTION("""COMPUTED_VALUE"""),"6&amp;5")</f>
        <v>6&amp;5</v>
      </c>
      <c r="E13379" s="2">
        <f ca="1">IFERROR(__xludf.DUMMYFUNCTION("""COMPUTED_VALUE"""),2)</f>
        <v>2</v>
      </c>
    </row>
    <row r="13380" spans="1:5" ht="13">
      <c r="A13380" s="2" t="str">
        <f ca="1">IFERROR(__xludf.DUMMYFUNCTION("""COMPUTED_VALUE"""),"Perry, Dave / Perry, Jean")</f>
        <v>Perry, Dave / Perry, Jean</v>
      </c>
      <c r="B13380" s="3" t="str">
        <f ca="1">IFERROR(__xludf.DUMMYFUNCTION("""COMPUTED_VALUE"""),"2&amp;1")</f>
        <v>2&amp;1</v>
      </c>
      <c r="C13380" s="6" t="str">
        <f ca="1">IFERROR(__xludf.DUMMYFUNCTION("""COMPUTED_VALUE"""),"1.0&amp;2.0")</f>
        <v>1.0&amp;2.0</v>
      </c>
      <c r="D13380" s="8" t="str">
        <f ca="1">IFERROR(__xludf.DUMMYFUNCTION("""COMPUTED_VALUE"""),"2&amp;1")</f>
        <v>2&amp;1</v>
      </c>
      <c r="E13380" s="2">
        <f ca="1">IFERROR(__xludf.DUMMYFUNCTION("""COMPUTED_VALUE"""),1)</f>
        <v>1</v>
      </c>
    </row>
    <row r="13381" spans="1:5" ht="13">
      <c r="A13381" s="8" t="str">
        <f ca="1">IFERROR(__xludf.DUMMYFUNCTION("""COMPUTED_VALUE"""),"Sharp, Tim / Ramsey, Andrea")</f>
        <v>Sharp, Tim / Ramsey, Andrea</v>
      </c>
      <c r="B13381" s="3" t="str">
        <f ca="1">IFERROR(__xludf.DUMMYFUNCTION("""COMPUTED_VALUE"""),"2&amp;1")</f>
        <v>2&amp;1</v>
      </c>
      <c r="C13381" s="6" t="str">
        <f ca="1">IFERROR(__xludf.DUMMYFUNCTION("""COMPUTED_VALUE"""),"1.0&amp;2.0")</f>
        <v>1.0&amp;2.0</v>
      </c>
      <c r="D13381" s="8" t="str">
        <f ca="1">IFERROR(__xludf.DUMMYFUNCTION("""COMPUTED_VALUE"""),"2&amp;1")</f>
        <v>2&amp;1</v>
      </c>
      <c r="E13381" s="2">
        <f ca="1">IFERROR(__xludf.DUMMYFUNCTION("""COMPUTED_VALUE"""),1)</f>
        <v>1</v>
      </c>
    </row>
    <row r="13382" spans="1:5" ht="13">
      <c r="A13382" s="8" t="str">
        <f ca="1">IFERROR(__xludf.DUMMYFUNCTION("""COMPUTED_VALUE"""),"Shaw, Robert / Hunter, Ralph / Parker, Alice")</f>
        <v>Shaw, Robert / Hunter, Ralph / Parker, Alice</v>
      </c>
      <c r="B13382" s="3" t="str">
        <f ca="1">IFERROR(__xludf.DUMMYFUNCTION("""COMPUTED_VALUE"""),"2&amp;1")</f>
        <v>2&amp;1</v>
      </c>
      <c r="C13382" s="6" t="str">
        <f ca="1">IFERROR(__xludf.DUMMYFUNCTION("""COMPUTED_VALUE"""),"1.0&amp;2.0")</f>
        <v>1.0&amp;2.0</v>
      </c>
      <c r="D13382" s="8" t="str">
        <f ca="1">IFERROR(__xludf.DUMMYFUNCTION("""COMPUTED_VALUE"""),"6&amp;5")</f>
        <v>6&amp;5</v>
      </c>
      <c r="E13382" s="2">
        <f ca="1">IFERROR(__xludf.DUMMYFUNCTION("""COMPUTED_VALUE"""),2)</f>
        <v>2</v>
      </c>
    </row>
    <row r="13383" spans="1:5" ht="13">
      <c r="A13383" s="8" t="str">
        <f ca="1">IFERROR(__xludf.DUMMYFUNCTION("""COMPUTED_VALUE"""),"Shaw, Robert / Parker, Alice")</f>
        <v>Shaw, Robert / Parker, Alice</v>
      </c>
      <c r="B13383" s="3" t="str">
        <f ca="1">IFERROR(__xludf.DUMMYFUNCTION("""COMPUTED_VALUE"""),"2&amp;1")</f>
        <v>2&amp;1</v>
      </c>
      <c r="C13383" s="6" t="str">
        <f ca="1">IFERROR(__xludf.DUMMYFUNCTION("""COMPUTED_VALUE"""),"1.0&amp;2.0")</f>
        <v>1.0&amp;2.0</v>
      </c>
      <c r="D13383" s="8" t="str">
        <f ca="1">IFERROR(__xludf.DUMMYFUNCTION("""COMPUTED_VALUE"""),"6&amp;5")</f>
        <v>6&amp;5</v>
      </c>
      <c r="E13383" s="2">
        <f ca="1">IFERROR(__xludf.DUMMYFUNCTION("""COMPUTED_VALUE"""),2)</f>
        <v>2</v>
      </c>
    </row>
    <row r="13384" spans="1:5" ht="13">
      <c r="A13384" s="2" t="str">
        <f ca="1">IFERROR(__xludf.DUMMYFUNCTION("""COMPUTED_VALUE"""),"Smith, D. Farrell / Smith, Shelley")</f>
        <v>Smith, D. Farrell / Smith, Shelley</v>
      </c>
      <c r="B13384" s="3" t="str">
        <f ca="1">IFERROR(__xludf.DUMMYFUNCTION("""COMPUTED_VALUE"""),"2&amp;1")</f>
        <v>2&amp;1</v>
      </c>
      <c r="C13384" s="6" t="str">
        <f ca="1">IFERROR(__xludf.DUMMYFUNCTION("""COMPUTED_VALUE"""),"1.0&amp;2.0")</f>
        <v>1.0&amp;2.0</v>
      </c>
      <c r="D13384" s="8" t="str">
        <f ca="1">IFERROR(__xludf.DUMMYFUNCTION("""COMPUTED_VALUE"""),"2&amp;1")</f>
        <v>2&amp;1</v>
      </c>
      <c r="E13384" s="2">
        <f ca="1">IFERROR(__xludf.DUMMYFUNCTION("""COMPUTED_VALUE"""),1)</f>
        <v>1</v>
      </c>
    </row>
    <row r="13385" spans="1:5" ht="13">
      <c r="A13385" s="2" t="str">
        <f ca="1">IFERROR(__xludf.DUMMYFUNCTION("""COMPUTED_VALUE"""),"Stenson, Randy / Stenson, Rachel")</f>
        <v>Stenson, Randy / Stenson, Rachel</v>
      </c>
      <c r="B13385" s="2" t="str">
        <f ca="1">IFERROR(__xludf.DUMMYFUNCTION("""COMPUTED_VALUE"""),"2&amp;1")</f>
        <v>2&amp;1</v>
      </c>
      <c r="C13385" s="2" t="str">
        <f ca="1">IFERROR(__xludf.DUMMYFUNCTION("""COMPUTED_VALUE"""),"1.0&amp;2.0")</f>
        <v>1.0&amp;2.0</v>
      </c>
      <c r="D13385" s="8" t="str">
        <f ca="1">IFERROR(__xludf.DUMMYFUNCTION("""COMPUTED_VALUE"""),"2&amp;1")</f>
        <v>2&amp;1</v>
      </c>
      <c r="E13385" s="2">
        <f ca="1">IFERROR(__xludf.DUMMYFUNCTION("""COMPUTED_VALUE"""),1)</f>
        <v>1</v>
      </c>
    </row>
    <row r="13386" spans="1:5" ht="13">
      <c r="A13386" s="2" t="str">
        <f ca="1">IFERROR(__xludf.DUMMYFUNCTION("""COMPUTED_VALUE"""),"Stroh, Virgina / Red, Buryl")</f>
        <v>Stroh, Virgina / Red, Buryl</v>
      </c>
      <c r="B13386" s="2" t="str">
        <f ca="1">IFERROR(__xludf.DUMMYFUNCTION("""COMPUTED_VALUE"""),"2&amp;1")</f>
        <v>2&amp;1</v>
      </c>
      <c r="C13386" s="2" t="str">
        <f ca="1">IFERROR(__xludf.DUMMYFUNCTION("""COMPUTED_VALUE"""),"1.0&amp;2.0")</f>
        <v>1.0&amp;2.0</v>
      </c>
      <c r="D13386" s="8" t="str">
        <f ca="1">IFERROR(__xludf.DUMMYFUNCTION("""COMPUTED_VALUE"""),"6&amp;5")</f>
        <v>6&amp;5</v>
      </c>
      <c r="E13386" s="2">
        <f ca="1">IFERROR(__xludf.DUMMYFUNCTION("""COMPUTED_VALUE"""),2)</f>
        <v>2</v>
      </c>
    </row>
    <row r="13387" spans="1:5" ht="13">
      <c r="A13387" s="2" t="str">
        <f ca="1">IFERROR(__xludf.DUMMYFUNCTION("""COMPUTED_VALUE"""),"Turner, Gregory / Stempien, Debra")</f>
        <v>Turner, Gregory / Stempien, Debra</v>
      </c>
      <c r="B13387" s="3" t="str">
        <f ca="1">IFERROR(__xludf.DUMMYFUNCTION("""COMPUTED_VALUE"""),"2&amp;1")</f>
        <v>2&amp;1</v>
      </c>
      <c r="C13387" s="6" t="str">
        <f ca="1">IFERROR(__xludf.DUMMYFUNCTION("""COMPUTED_VALUE"""),"1.0&amp;2.0")</f>
        <v>1.0&amp;2.0</v>
      </c>
      <c r="D13387" s="8" t="str">
        <f ca="1">IFERROR(__xludf.DUMMYFUNCTION("""COMPUTED_VALUE"""),"2&amp;1")</f>
        <v>2&amp;1</v>
      </c>
      <c r="E13387" s="2">
        <f ca="1">IFERROR(__xludf.DUMMYFUNCTION("""COMPUTED_VALUE"""),1)</f>
        <v>1</v>
      </c>
    </row>
    <row r="13388" spans="1:5" ht="13">
      <c r="A13388" s="2" t="str">
        <f ca="1">IFERROR(__xludf.DUMMYFUNCTION("""COMPUTED_VALUE"""),"Washburn, Abigail &amp; Fleck, Béla")</f>
        <v>Washburn, Abigail &amp; Fleck, Béla</v>
      </c>
      <c r="B13388" s="2" t="str">
        <f ca="1">IFERROR(__xludf.DUMMYFUNCTION("""COMPUTED_VALUE"""),"2&amp;1")</f>
        <v>2&amp;1</v>
      </c>
      <c r="C13388" s="2" t="str">
        <f ca="1">IFERROR(__xludf.DUMMYFUNCTION("""COMPUTED_VALUE"""),"1.0&amp;2.0")</f>
        <v>1.0&amp;2.0</v>
      </c>
      <c r="D13388" s="8" t="str">
        <f ca="1">IFERROR(__xludf.DUMMYFUNCTION("""COMPUTED_VALUE"""),"2&amp;1")</f>
        <v>2&amp;1</v>
      </c>
      <c r="E13388" s="2">
        <f ca="1">IFERROR(__xludf.DUMMYFUNCTION("""COMPUTED_VALUE"""),1)</f>
        <v>1</v>
      </c>
    </row>
    <row r="13389" spans="1:5" ht="13">
      <c r="A13389" s="2" t="str">
        <f ca="1">IFERROR(__xludf.DUMMYFUNCTION("""COMPUTED_VALUE"""),"Whitacre, Eric / Plitman, Hila")</f>
        <v>Whitacre, Eric / Plitman, Hila</v>
      </c>
      <c r="B13389" s="3" t="str">
        <f ca="1">IFERROR(__xludf.DUMMYFUNCTION("""COMPUTED_VALUE"""),"2&amp;1")</f>
        <v>2&amp;1</v>
      </c>
      <c r="C13389" s="6" t="str">
        <f ca="1">IFERROR(__xludf.DUMMYFUNCTION("""COMPUTED_VALUE"""),"1.0&amp;2.0")</f>
        <v>1.0&amp;2.0</v>
      </c>
      <c r="D13389" s="8" t="str">
        <f ca="1">IFERROR(__xludf.DUMMYFUNCTION("""COMPUTED_VALUE"""),"2&amp;1")</f>
        <v>2&amp;1</v>
      </c>
      <c r="E13389" s="2">
        <f ca="1">IFERROR(__xludf.DUMMYFUNCTION("""COMPUTED_VALUE"""),1)</f>
        <v>1</v>
      </c>
    </row>
    <row r="13390" spans="1:5" ht="13">
      <c r="A13390" s="2" t="str">
        <f ca="1">IFERROR(__xludf.DUMMYFUNCTION("""COMPUTED_VALUE"""),"Zook Cunalata, Janelle / Law, J. Cameron")</f>
        <v>Zook Cunalata, Janelle / Law, J. Cameron</v>
      </c>
      <c r="B13390" s="3" t="str">
        <f ca="1">IFERROR(__xludf.DUMMYFUNCTION("""COMPUTED_VALUE"""),"2&amp;1")</f>
        <v>2&amp;1</v>
      </c>
      <c r="C13390" s="6" t="str">
        <f ca="1">IFERROR(__xludf.DUMMYFUNCTION("""COMPUTED_VALUE"""),"1.0&amp;2.0")</f>
        <v>1.0&amp;2.0</v>
      </c>
      <c r="D13390" s="8" t="str">
        <f ca="1">IFERROR(__xludf.DUMMYFUNCTION("""COMPUTED_VALUE"""),"2&amp;1")</f>
        <v>2&amp;1</v>
      </c>
      <c r="E13390" s="2">
        <f ca="1">IFERROR(__xludf.DUMMYFUNCTION("""COMPUTED_VALUE"""),1)</f>
        <v>1</v>
      </c>
    </row>
    <row r="13391" spans="1:5" ht="13">
      <c r="A13391" s="2" t="str">
        <f ca="1">IFERROR(__xludf.DUMMYFUNCTION("""COMPUTED_VALUE"""),"Anderson-Lopez, Kristen / Lopez, Robert")</f>
        <v>Anderson-Lopez, Kristen / Lopez, Robert</v>
      </c>
      <c r="B13391" s="8" t="str">
        <f ca="1">IFERROR(__xludf.DUMMYFUNCTION("""COMPUTED_VALUE"""),"2&amp;3")</f>
        <v>2&amp;3</v>
      </c>
      <c r="C13391" s="6" t="str">
        <f ca="1">IFERROR(__xludf.DUMMYFUNCTION("""COMPUTED_VALUE"""),"2.0&amp;3.2")</f>
        <v>2.0&amp;3.2</v>
      </c>
      <c r="D13391" s="8" t="str">
        <f ca="1">IFERROR(__xludf.DUMMYFUNCTION("""COMPUTED_VALUE"""),"2&amp;3")</f>
        <v>2&amp;3</v>
      </c>
      <c r="E13391" s="2">
        <f ca="1">IFERROR(__xludf.DUMMYFUNCTION("""COMPUTED_VALUE"""),1)</f>
        <v>1</v>
      </c>
    </row>
    <row r="13392" spans="1:5" ht="13">
      <c r="A13392" s="8" t="str">
        <f ca="1">IFERROR(__xludf.DUMMYFUNCTION("""COMPUTED_VALUE"""),"Poorman, Sonja / Lim, Jonathan")</f>
        <v>Poorman, Sonja / Lim, Jonathan</v>
      </c>
      <c r="B13392" s="8" t="str">
        <f ca="1">IFERROR(__xludf.DUMMYFUNCTION("""COMPUTED_VALUE"""),"2&amp;3")</f>
        <v>2&amp;3</v>
      </c>
      <c r="C13392" s="6" t="str">
        <f ca="1">IFERROR(__xludf.DUMMYFUNCTION("""COMPUTED_VALUE"""),"2.0&amp;3.3")</f>
        <v>2.0&amp;3.3</v>
      </c>
      <c r="D13392" s="8" t="str">
        <f ca="1">IFERROR(__xludf.DUMMYFUNCTION("""COMPUTED_VALUE"""),"2&amp;3")</f>
        <v>2&amp;3</v>
      </c>
      <c r="E13392" s="2">
        <f ca="1">IFERROR(__xludf.DUMMYFUNCTION("""COMPUTED_VALUE"""),1)</f>
        <v>1</v>
      </c>
    </row>
    <row r="13393" spans="1:5" ht="13">
      <c r="A13393" s="8" t="str">
        <f ca="1">IFERROR(__xludf.DUMMYFUNCTION("""COMPUTED_VALUE"""),"Baker, Bob / Buckley, Robert")</f>
        <v>Baker, Bob / Buckley, Robert</v>
      </c>
      <c r="B13393" s="2" t="str">
        <f ca="1">IFERROR(__xludf.DUMMYFUNCTION("""COMPUTED_VALUE"""),"3&amp;1")</f>
        <v>3&amp;1</v>
      </c>
      <c r="C13393" s="6" t="str">
        <f ca="1">IFERROR(__xludf.DUMMYFUNCTION("""COMPUTED_VALUE"""),"1.0&amp;3.7")</f>
        <v>1.0&amp;3.7</v>
      </c>
      <c r="D13393" s="8" t="str">
        <f ca="1">IFERROR(__xludf.DUMMYFUNCTION("""COMPUTED_VALUE"""),"3&amp;1")</f>
        <v>3&amp;1</v>
      </c>
      <c r="E13393" s="2">
        <f ca="1">IFERROR(__xludf.DUMMYFUNCTION("""COMPUTED_VALUE"""),1)</f>
        <v>1</v>
      </c>
    </row>
    <row r="13394" spans="1:5" ht="13">
      <c r="A13394" s="2" t="str">
        <f ca="1">IFERROR(__xludf.DUMMYFUNCTION("""COMPUTED_VALUE"""),"Barrett, Michael / Ndlovu, Mbuso")</f>
        <v>Barrett, Michael / Ndlovu, Mbuso</v>
      </c>
      <c r="B13394" s="2" t="str">
        <f ca="1">IFERROR(__xludf.DUMMYFUNCTION("""COMPUTED_VALUE"""),"3&amp;1")</f>
        <v>3&amp;1</v>
      </c>
      <c r="C13394" s="6" t="str">
        <f ca="1">IFERROR(__xludf.DUMMYFUNCTION("""COMPUTED_VALUE"""),"1.0&amp;3.1")</f>
        <v>1.0&amp;3.1</v>
      </c>
      <c r="D13394" s="8" t="str">
        <f ca="1">IFERROR(__xludf.DUMMYFUNCTION("""COMPUTED_VALUE"""),"3&amp;1")</f>
        <v>3&amp;1</v>
      </c>
      <c r="E13394" s="2">
        <f ca="1">IFERROR(__xludf.DUMMYFUNCTION("""COMPUTED_VALUE"""),1)</f>
        <v>1</v>
      </c>
    </row>
    <row r="13395" spans="1:5" ht="13">
      <c r="A13395" s="2" t="str">
        <f ca="1">IFERROR(__xludf.DUMMYFUNCTION("""COMPUTED_VALUE"""),"Belafonte, Harry / Freedman, Robert")</f>
        <v>Belafonte, Harry / Freedman, Robert</v>
      </c>
      <c r="B13395" s="2" t="str">
        <f ca="1">IFERROR(__xludf.DUMMYFUNCTION("""COMPUTED_VALUE"""),"3&amp;1")</f>
        <v>3&amp;1</v>
      </c>
      <c r="C13395" s="6" t="str">
        <f ca="1">IFERROR(__xludf.DUMMYFUNCTION("""COMPUTED_VALUE"""),"1.0&amp;3.1")</f>
        <v>1.0&amp;3.1</v>
      </c>
      <c r="D13395" s="8" t="str">
        <f ca="1">IFERROR(__xludf.DUMMYFUNCTION("""COMPUTED_VALUE"""),"7&amp;5")</f>
        <v>7&amp;5</v>
      </c>
      <c r="E13395" s="2">
        <f ca="1">IFERROR(__xludf.DUMMYFUNCTION("""COMPUTED_VALUE"""),2)</f>
        <v>2</v>
      </c>
    </row>
    <row r="13396" spans="1:5" ht="13">
      <c r="A13396" s="2" t="str">
        <f ca="1">IFERROR(__xludf.DUMMYFUNCTION("""COMPUTED_VALUE"""),"Bernie, Ben / Pinkard, Maceo")</f>
        <v>Bernie, Ben / Pinkard, Maceo</v>
      </c>
      <c r="B13396" s="2" t="str">
        <f ca="1">IFERROR(__xludf.DUMMYFUNCTION("""COMPUTED_VALUE"""),"3&amp;1")</f>
        <v>3&amp;1</v>
      </c>
      <c r="C13396" s="6" t="str">
        <f ca="1">IFERROR(__xludf.DUMMYFUNCTION("""COMPUTED_VALUE"""),"1.0&amp;3.1")</f>
        <v>1.0&amp;3.1</v>
      </c>
      <c r="D13396" s="8" t="str">
        <f ca="1">IFERROR(__xludf.DUMMYFUNCTION("""COMPUTED_VALUE"""),"7&amp;5")</f>
        <v>7&amp;5</v>
      </c>
      <c r="E13396" s="2">
        <f ca="1">IFERROR(__xludf.DUMMYFUNCTION("""COMPUTED_VALUE"""),2)</f>
        <v>2</v>
      </c>
    </row>
    <row r="13397" spans="1:5" ht="13">
      <c r="A13397" s="8" t="str">
        <f ca="1">IFERROR(__xludf.DUMMYFUNCTION("""COMPUTED_VALUE"""),"Buxtehude, Dietrich / Chavez, Carlos")</f>
        <v>Buxtehude, Dietrich / Chavez, Carlos</v>
      </c>
      <c r="B13397" s="2" t="str">
        <f ca="1">IFERROR(__xludf.DUMMYFUNCTION("""COMPUTED_VALUE"""),"3&amp;1")</f>
        <v>3&amp;1</v>
      </c>
      <c r="C13397" s="6" t="str">
        <f ca="1">IFERROR(__xludf.DUMMYFUNCTION("""COMPUTED_VALUE"""),"1.0&amp;3.2")</f>
        <v>1.0&amp;3.2</v>
      </c>
      <c r="D13397" s="8" t="str">
        <f ca="1">IFERROR(__xludf.DUMMYFUNCTION("""COMPUTED_VALUE"""),"7&amp;5")</f>
        <v>7&amp;5</v>
      </c>
      <c r="E13397" s="2">
        <f ca="1">IFERROR(__xludf.DUMMYFUNCTION("""COMPUTED_VALUE"""),2)</f>
        <v>2</v>
      </c>
    </row>
    <row r="13398" spans="1:5" ht="13">
      <c r="A13398" s="8" t="str">
        <f ca="1">IFERROR(__xludf.DUMMYFUNCTION("""COMPUTED_VALUE"""),"Curtis, Marvin / Edington, Bryan")</f>
        <v>Curtis, Marvin / Edington, Bryan</v>
      </c>
      <c r="B13398" s="2" t="str">
        <f ca="1">IFERROR(__xludf.DUMMYFUNCTION("""COMPUTED_VALUE"""),"3&amp;1")</f>
        <v>3&amp;1</v>
      </c>
      <c r="C13398" s="6" t="str">
        <f ca="1">IFERROR(__xludf.DUMMYFUNCTION("""COMPUTED_VALUE"""),"1.0&amp;3.1")</f>
        <v>1.0&amp;3.1</v>
      </c>
      <c r="D13398" s="8" t="str">
        <f ca="1">IFERROR(__xludf.DUMMYFUNCTION("""COMPUTED_VALUE"""),"3&amp;1")</f>
        <v>3&amp;1</v>
      </c>
      <c r="E13398" s="2">
        <f ca="1">IFERROR(__xludf.DUMMYFUNCTION("""COMPUTED_VALUE"""),1)</f>
        <v>1</v>
      </c>
    </row>
    <row r="13399" spans="1:5" ht="13">
      <c r="A13399" s="2" t="str">
        <f ca="1">IFERROR(__xludf.DUMMYFUNCTION("""COMPUTED_VALUE"""),"Davis, Miles / Evans, Bill")</f>
        <v>Davis, Miles / Evans, Bill</v>
      </c>
      <c r="B13399" s="2" t="str">
        <f ca="1">IFERROR(__xludf.DUMMYFUNCTION("""COMPUTED_VALUE"""),"3&amp;1")</f>
        <v>3&amp;1</v>
      </c>
      <c r="C13399" s="6" t="str">
        <f ca="1">IFERROR(__xludf.DUMMYFUNCTION("""COMPUTED_VALUE"""),"1.0&amp;3.1")</f>
        <v>1.0&amp;3.1</v>
      </c>
      <c r="D13399" s="8" t="str">
        <f ca="1">IFERROR(__xludf.DUMMYFUNCTION("""COMPUTED_VALUE"""),"7&amp;5")</f>
        <v>7&amp;5</v>
      </c>
      <c r="E13399" s="2">
        <f ca="1">IFERROR(__xludf.DUMMYFUNCTION("""COMPUTED_VALUE"""),2)</f>
        <v>2</v>
      </c>
    </row>
    <row r="13400" spans="1:5" ht="13">
      <c r="A13400" s="2" t="str">
        <f ca="1">IFERROR(__xludf.DUMMYFUNCTION("""COMPUTED_VALUE"""),"Davis, Miles / Feldman, Victor")</f>
        <v>Davis, Miles / Feldman, Victor</v>
      </c>
      <c r="B13400" s="2" t="str">
        <f ca="1">IFERROR(__xludf.DUMMYFUNCTION("""COMPUTED_VALUE"""),"3&amp;1")</f>
        <v>3&amp;1</v>
      </c>
      <c r="C13400" s="6" t="str">
        <f ca="1">IFERROR(__xludf.DUMMYFUNCTION("""COMPUTED_VALUE"""),"1.0&amp;3.1")</f>
        <v>1.0&amp;3.1</v>
      </c>
      <c r="D13400" s="8" t="str">
        <f ca="1">IFERROR(__xludf.DUMMYFUNCTION("""COMPUTED_VALUE"""),"7&amp;5")</f>
        <v>7&amp;5</v>
      </c>
      <c r="E13400" s="2">
        <f ca="1">IFERROR(__xludf.DUMMYFUNCTION("""COMPUTED_VALUE"""),2)</f>
        <v>2</v>
      </c>
    </row>
    <row r="13401" spans="1:5" ht="13">
      <c r="A13401" s="2" t="str">
        <f ca="1">IFERROR(__xludf.DUMMYFUNCTION("""COMPUTED_VALUE"""),"Evans, Norman / Gimbel, Richard")</f>
        <v>Evans, Norman / Gimbel, Richard</v>
      </c>
      <c r="B13401" s="2" t="str">
        <f ca="1">IFERROR(__xludf.DUMMYFUNCTION("""COMPUTED_VALUE"""),"3&amp;1")</f>
        <v>3&amp;1</v>
      </c>
      <c r="C13401" s="6" t="str">
        <f ca="1">IFERROR(__xludf.DUMMYFUNCTION("""COMPUTED_VALUE"""),"1.0&amp;3.1")</f>
        <v>1.0&amp;3.1</v>
      </c>
      <c r="D13401" s="8" t="str">
        <f ca="1">IFERROR(__xludf.DUMMYFUNCTION("""COMPUTED_VALUE"""),"7&amp;5")</f>
        <v>7&amp;5</v>
      </c>
      <c r="E13401" s="2">
        <f ca="1">IFERROR(__xludf.DUMMYFUNCTION("""COMPUTED_VALUE"""),2)</f>
        <v>2</v>
      </c>
    </row>
    <row r="13402" spans="1:5" ht="13">
      <c r="A13402" s="2" t="str">
        <f ca="1">IFERROR(__xludf.DUMMYFUNCTION("""COMPUTED_VALUE"""),"Feldman, Victor / Davis, Miles")</f>
        <v>Feldman, Victor / Davis, Miles</v>
      </c>
      <c r="B13402" s="2" t="str">
        <f ca="1">IFERROR(__xludf.DUMMYFUNCTION("""COMPUTED_VALUE"""),"3&amp;1")</f>
        <v>3&amp;1</v>
      </c>
      <c r="C13402" s="6" t="str">
        <f ca="1">IFERROR(__xludf.DUMMYFUNCTION("""COMPUTED_VALUE"""),"1.0&amp;3.1")</f>
        <v>1.0&amp;3.1</v>
      </c>
      <c r="D13402" s="8" t="str">
        <f ca="1">IFERROR(__xludf.DUMMYFUNCTION("""COMPUTED_VALUE"""),"7&amp;5")</f>
        <v>7&amp;5</v>
      </c>
      <c r="E13402" s="2">
        <f ca="1">IFERROR(__xludf.DUMMYFUNCTION("""COMPUTED_VALUE"""),2)</f>
        <v>2</v>
      </c>
    </row>
    <row r="13403" spans="1:5" ht="13">
      <c r="A13403" s="8" t="str">
        <f ca="1">IFERROR(__xludf.DUMMYFUNCTION("""COMPUTED_VALUE"""),"Gershwin, George / Roberts, Marcus")</f>
        <v>Gershwin, George / Roberts, Marcus</v>
      </c>
      <c r="B13403" s="2" t="str">
        <f ca="1">IFERROR(__xludf.DUMMYFUNCTION("""COMPUTED_VALUE"""),"3&amp;1")</f>
        <v>3&amp;1</v>
      </c>
      <c r="C13403" s="6" t="str">
        <f ca="1">IFERROR(__xludf.DUMMYFUNCTION("""COMPUTED_VALUE"""),"1.0&amp;3.1")</f>
        <v>1.0&amp;3.1</v>
      </c>
      <c r="D13403" s="8" t="str">
        <f ca="1">IFERROR(__xludf.DUMMYFUNCTION("""COMPUTED_VALUE"""),"3&amp;5")</f>
        <v>3&amp;5</v>
      </c>
      <c r="E13403" s="8" t="str">
        <f ca="1">IFERROR(__xludf.DUMMYFUNCTION("""COMPUTED_VALUE"""),"1&amp;2")</f>
        <v>1&amp;2</v>
      </c>
    </row>
    <row r="13404" spans="1:5" ht="13">
      <c r="A13404" s="2" t="str">
        <f ca="1">IFERROR(__xludf.DUMMYFUNCTION("""COMPUTED_VALUE"""),"Gibbs, Stacey / Kirchner, Shawn")</f>
        <v>Gibbs, Stacey / Kirchner, Shawn</v>
      </c>
      <c r="B13404" s="2" t="str">
        <f ca="1">IFERROR(__xludf.DUMMYFUNCTION("""COMPUTED_VALUE"""),"3&amp;1")</f>
        <v>3&amp;1</v>
      </c>
      <c r="C13404" s="6" t="str">
        <f ca="1">IFERROR(__xludf.DUMMYFUNCTION("""COMPUTED_VALUE"""),"1.0&amp;3.1")</f>
        <v>1.0&amp;3.1</v>
      </c>
      <c r="D13404" s="8" t="str">
        <f ca="1">IFERROR(__xludf.DUMMYFUNCTION("""COMPUTED_VALUE"""),"3&amp;1")</f>
        <v>3&amp;1</v>
      </c>
      <c r="E13404" s="2">
        <f ca="1">IFERROR(__xludf.DUMMYFUNCTION("""COMPUTED_VALUE"""),1)</f>
        <v>1</v>
      </c>
    </row>
    <row r="13405" spans="1:5" ht="13">
      <c r="A13405" s="2" t="str">
        <f ca="1">IFERROR(__xludf.DUMMYFUNCTION("""COMPUTED_VALUE"""),"Goodman, Benny / Webb, Chick / Sampson, Edgar")</f>
        <v>Goodman, Benny / Webb, Chick / Sampson, Edgar</v>
      </c>
      <c r="B13405" s="2" t="str">
        <f ca="1">IFERROR(__xludf.DUMMYFUNCTION("""COMPUTED_VALUE"""),"3&amp;1")</f>
        <v>3&amp;1</v>
      </c>
      <c r="C13405" s="6" t="str">
        <f ca="1">IFERROR(__xludf.DUMMYFUNCTION("""COMPUTED_VALUE"""),"1.0&amp;3.1")</f>
        <v>1.0&amp;3.1</v>
      </c>
      <c r="D13405" s="8" t="str">
        <f ca="1">IFERROR(__xludf.DUMMYFUNCTION("""COMPUTED_VALUE"""),"7&amp;5")</f>
        <v>7&amp;5</v>
      </c>
      <c r="E13405" s="2">
        <f ca="1">IFERROR(__xludf.DUMMYFUNCTION("""COMPUTED_VALUE"""),2)</f>
        <v>2</v>
      </c>
    </row>
    <row r="13406" spans="1:5" ht="13">
      <c r="A13406" s="2" t="str">
        <f ca="1">IFERROR(__xludf.DUMMYFUNCTION("""COMPUTED_VALUE"""),"Haley, Will / Spiritchild")</f>
        <v>Haley, Will / Spiritchild</v>
      </c>
      <c r="B13406" s="2" t="str">
        <f ca="1">IFERROR(__xludf.DUMMYFUNCTION("""COMPUTED_VALUE"""),"3&amp;1")</f>
        <v>3&amp;1</v>
      </c>
      <c r="C13406" s="6" t="str">
        <f ca="1">IFERROR(__xludf.DUMMYFUNCTION("""COMPUTED_VALUE"""),"1.0&amp;3.7")</f>
        <v>1.0&amp;3.7</v>
      </c>
      <c r="D13406" s="8" t="str">
        <f ca="1">IFERROR(__xludf.DUMMYFUNCTION("""COMPUTED_VALUE"""),"3&amp;1")</f>
        <v>3&amp;1</v>
      </c>
      <c r="E13406" s="2">
        <f ca="1">IFERROR(__xludf.DUMMYFUNCTION("""COMPUTED_VALUE"""),1)</f>
        <v>1</v>
      </c>
    </row>
    <row r="13407" spans="1:5" ht="13">
      <c r="A13407" s="2" t="str">
        <f ca="1">IFERROR(__xludf.DUMMYFUNCTION("""COMPUTED_VALUE"""),"Hamilton, Jeff / Clayton, Jeff")</f>
        <v>Hamilton, Jeff / Clayton, Jeff</v>
      </c>
      <c r="B13407" s="2" t="str">
        <f ca="1">IFERROR(__xludf.DUMMYFUNCTION("""COMPUTED_VALUE"""),"3&amp;1")</f>
        <v>3&amp;1</v>
      </c>
      <c r="C13407" s="6" t="str">
        <f ca="1">IFERROR(__xludf.DUMMYFUNCTION("""COMPUTED_VALUE"""),"1.0&amp;3.1")</f>
        <v>1.0&amp;3.1</v>
      </c>
      <c r="D13407" s="8" t="str">
        <f ca="1">IFERROR(__xludf.DUMMYFUNCTION("""COMPUTED_VALUE"""),"3&amp;1")</f>
        <v>3&amp;1</v>
      </c>
      <c r="E13407" s="2">
        <f ca="1">IFERROR(__xludf.DUMMYFUNCTION("""COMPUTED_VALUE"""),1)</f>
        <v>1</v>
      </c>
    </row>
    <row r="13408" spans="1:5" ht="13">
      <c r="A13408" s="8" t="str">
        <f ca="1">IFERROR(__xludf.DUMMYFUNCTION("""COMPUTED_VALUE"""),"Harris, Christopher H. / Ruckert, Friedrich")</f>
        <v>Harris, Christopher H. / Ruckert, Friedrich</v>
      </c>
      <c r="B13408" s="3" t="str">
        <f ca="1">IFERROR(__xludf.DUMMYFUNCTION("""COMPUTED_VALUE"""),"3&amp;1")</f>
        <v>3&amp;1</v>
      </c>
      <c r="C13408" s="6" t="str">
        <f ca="1">IFERROR(__xludf.DUMMYFUNCTION("""COMPUTED_VALUE"""),"1.0&amp;3.1")</f>
        <v>1.0&amp;3.1</v>
      </c>
      <c r="D13408" s="8" t="str">
        <f ca="1">IFERROR(__xludf.DUMMYFUNCTION("""COMPUTED_VALUE"""),"3&amp;1")</f>
        <v>3&amp;1</v>
      </c>
      <c r="E13408" s="3">
        <f ca="1">IFERROR(__xludf.DUMMYFUNCTION("""COMPUTED_VALUE"""),1)</f>
        <v>1</v>
      </c>
    </row>
    <row r="13409" spans="1:5" ht="13">
      <c r="A13409" s="8" t="str">
        <f ca="1">IFERROR(__xludf.DUMMYFUNCTION("""COMPUTED_VALUE"""),"Hogan, Moses / Eklund, Peter")</f>
        <v>Hogan, Moses / Eklund, Peter</v>
      </c>
      <c r="B13409" s="2" t="str">
        <f ca="1">IFERROR(__xludf.DUMMYFUNCTION("""COMPUTED_VALUE"""),"3&amp;1")</f>
        <v>3&amp;1</v>
      </c>
      <c r="C13409" s="6" t="str">
        <f ca="1">IFERROR(__xludf.DUMMYFUNCTION("""COMPUTED_VALUE"""),"1.0&amp;3.1")</f>
        <v>1.0&amp;3.1</v>
      </c>
      <c r="D13409" s="8" t="str">
        <f ca="1">IFERROR(__xludf.DUMMYFUNCTION("""COMPUTED_VALUE"""),"7&amp;1")</f>
        <v>7&amp;1</v>
      </c>
      <c r="E13409" s="8" t="str">
        <f ca="1">IFERROR(__xludf.DUMMYFUNCTION("""COMPUTED_VALUE"""),"2&amp;1")</f>
        <v>2&amp;1</v>
      </c>
    </row>
    <row r="13410" spans="1:5" ht="13">
      <c r="A13410" s="2" t="str">
        <f ca="1">IFERROR(__xludf.DUMMYFUNCTION("""COMPUTED_VALUE"""),"Jacobsen, Colin / Aghaei, Siamak")</f>
        <v>Jacobsen, Colin / Aghaei, Siamak</v>
      </c>
      <c r="B13410" s="2" t="str">
        <f ca="1">IFERROR(__xludf.DUMMYFUNCTION("""COMPUTED_VALUE"""),"3&amp;1")</f>
        <v>3&amp;1</v>
      </c>
      <c r="C13410" s="6" t="str">
        <f ca="1">IFERROR(__xludf.DUMMYFUNCTION("""COMPUTED_VALUE"""),"1.0&amp;3.5")</f>
        <v>1.0&amp;3.5</v>
      </c>
      <c r="D13410" s="8" t="str">
        <f ca="1">IFERROR(__xludf.DUMMYFUNCTION("""COMPUTED_VALUE"""),"3&amp;1")</f>
        <v>3&amp;1</v>
      </c>
      <c r="E13410" s="2">
        <f ca="1">IFERROR(__xludf.DUMMYFUNCTION("""COMPUTED_VALUE"""),1)</f>
        <v>1</v>
      </c>
    </row>
    <row r="13411" spans="1:5" ht="13">
      <c r="A13411" s="2" t="str">
        <f ca="1">IFERROR(__xludf.DUMMYFUNCTION("""COMPUTED_VALUE"""),"Layton, Turner / Fisher, Fred / Schwartz, Jean")</f>
        <v>Layton, Turner / Fisher, Fred / Schwartz, Jean</v>
      </c>
      <c r="B13411" s="3" t="str">
        <f ca="1">IFERROR(__xludf.DUMMYFUNCTION("""COMPUTED_VALUE"""),"3&amp;1")</f>
        <v>3&amp;1</v>
      </c>
      <c r="C13411" s="2" t="str">
        <f ca="1">IFERROR(__xludf.DUMMYFUNCTION("""COMPUTED_VALUE"""),"1.0&amp;3.1")</f>
        <v>1.0&amp;3.1</v>
      </c>
      <c r="D13411" s="8" t="str">
        <f ca="1">IFERROR(__xludf.DUMMYFUNCTION("""COMPUTED_VALUE"""),"7&amp;5")</f>
        <v>7&amp;5</v>
      </c>
      <c r="E13411" s="2">
        <f ca="1">IFERROR(__xludf.DUMMYFUNCTION("""COMPUTED_VALUE"""),2)</f>
        <v>2</v>
      </c>
    </row>
    <row r="13412" spans="1:5" ht="13">
      <c r="A13412" s="2" t="str">
        <f ca="1">IFERROR(__xludf.DUMMYFUNCTION("""COMPUTED_VALUE"""),"Mars, Bruno / Ronson, Mark")</f>
        <v>Mars, Bruno / Ronson, Mark</v>
      </c>
      <c r="B13412" s="2" t="str">
        <f ca="1">IFERROR(__xludf.DUMMYFUNCTION("""COMPUTED_VALUE"""),"3&amp;1")</f>
        <v>3&amp;1</v>
      </c>
      <c r="C13412" s="6" t="str">
        <f ca="1">IFERROR(__xludf.DUMMYFUNCTION("""COMPUTED_VALUE"""),"1.0&amp;3.2")</f>
        <v>1.0&amp;3.2</v>
      </c>
      <c r="D13412" s="8" t="str">
        <f ca="1">IFERROR(__xludf.DUMMYFUNCTION("""COMPUTED_VALUE"""),"3&amp;1")</f>
        <v>3&amp;1</v>
      </c>
      <c r="E13412" s="2">
        <f ca="1">IFERROR(__xludf.DUMMYFUNCTION("""COMPUTED_VALUE"""),1)</f>
        <v>1</v>
      </c>
    </row>
    <row r="13413" spans="1:5" ht="13">
      <c r="A13413" s="2" t="str">
        <f ca="1">IFERROR(__xludf.DUMMYFUNCTION("""COMPUTED_VALUE"""),"McFerrin, Bobby / Treece, Roger")</f>
        <v>McFerrin, Bobby / Treece, Roger</v>
      </c>
      <c r="B13413" s="2" t="str">
        <f ca="1">IFERROR(__xludf.DUMMYFUNCTION("""COMPUTED_VALUE"""),"3&amp;1")</f>
        <v>3&amp;1</v>
      </c>
      <c r="C13413" s="6" t="str">
        <f ca="1">IFERROR(__xludf.DUMMYFUNCTION("""COMPUTED_VALUE"""),"1.0&amp;3.1")</f>
        <v>1.0&amp;3.1</v>
      </c>
      <c r="D13413" s="8" t="str">
        <f ca="1">IFERROR(__xludf.DUMMYFUNCTION("""COMPUTED_VALUE"""),"3&amp;1")</f>
        <v>3&amp;1</v>
      </c>
      <c r="E13413" s="2">
        <f ca="1">IFERROR(__xludf.DUMMYFUNCTION("""COMPUTED_VALUE"""),1)</f>
        <v>1</v>
      </c>
    </row>
    <row r="13414" spans="1:5" ht="13">
      <c r="A13414" s="2" t="str">
        <f ca="1">IFERROR(__xludf.DUMMYFUNCTION("""COMPUTED_VALUE"""),"Muhly, Nico / Helbig, Sven / Long, Zhou")</f>
        <v>Muhly, Nico / Helbig, Sven / Long, Zhou</v>
      </c>
      <c r="B13414" s="2" t="str">
        <f ca="1">IFERROR(__xludf.DUMMYFUNCTION("""COMPUTED_VALUE"""),"3&amp;1")</f>
        <v>3&amp;1</v>
      </c>
      <c r="C13414" s="6" t="str">
        <f ca="1">IFERROR(__xludf.DUMMYFUNCTION("""COMPUTED_VALUE"""),"1.0&amp;3.3")</f>
        <v>1.0&amp;3.3</v>
      </c>
      <c r="D13414" s="8" t="str">
        <f ca="1">IFERROR(__xludf.DUMMYFUNCTION("""COMPUTED_VALUE"""),"3&amp;1")</f>
        <v>3&amp;1</v>
      </c>
      <c r="E13414" s="2">
        <f ca="1">IFERROR(__xludf.DUMMYFUNCTION("""COMPUTED_VALUE"""),1)</f>
        <v>1</v>
      </c>
    </row>
    <row r="13415" spans="1:5" ht="13">
      <c r="A13415" s="2" t="str">
        <f ca="1">IFERROR(__xludf.DUMMYFUNCTION("""COMPUTED_VALUE"""),"Orbon, Julian / Seeger, Pete")</f>
        <v>Orbon, Julian / Seeger, Pete</v>
      </c>
      <c r="B13415" s="2" t="str">
        <f ca="1">IFERROR(__xludf.DUMMYFUNCTION("""COMPUTED_VALUE"""),"3&amp;1")</f>
        <v>3&amp;1</v>
      </c>
      <c r="C13415" s="6" t="str">
        <f ca="1">IFERROR(__xludf.DUMMYFUNCTION("""COMPUTED_VALUE"""),"1.0&amp;3.2")</f>
        <v>1.0&amp;3.2</v>
      </c>
      <c r="D13415" s="8" t="str">
        <f ca="1">IFERROR(__xludf.DUMMYFUNCTION("""COMPUTED_VALUE"""),"7&amp;5")</f>
        <v>7&amp;5</v>
      </c>
      <c r="E13415" s="2">
        <f ca="1">IFERROR(__xludf.DUMMYFUNCTION("""COMPUTED_VALUE"""),2)</f>
        <v>2</v>
      </c>
    </row>
    <row r="13416" spans="1:5" ht="13">
      <c r="A13416" s="2" t="str">
        <f ca="1">IFERROR(__xludf.DUMMYFUNCTION("""COMPUTED_VALUE"""),"Papoulis, Jim and Nunez, Francisco")</f>
        <v>Papoulis, Jim and Nunez, Francisco</v>
      </c>
      <c r="B13416" s="2" t="str">
        <f ca="1">IFERROR(__xludf.DUMMYFUNCTION("""COMPUTED_VALUE"""),"3&amp;1")</f>
        <v>3&amp;1</v>
      </c>
      <c r="C13416" s="6" t="str">
        <f ca="1">IFERROR(__xludf.DUMMYFUNCTION("""COMPUTED_VALUE"""),"1.0&amp;3.2")</f>
        <v>1.0&amp;3.2</v>
      </c>
      <c r="D13416" s="8" t="str">
        <f ca="1">IFERROR(__xludf.DUMMYFUNCTION("""COMPUTED_VALUE"""),"3&amp;1")</f>
        <v>3&amp;1</v>
      </c>
      <c r="E13416" s="2">
        <f ca="1">IFERROR(__xludf.DUMMYFUNCTION("""COMPUTED_VALUE"""),1)</f>
        <v>1</v>
      </c>
    </row>
    <row r="13417" spans="1:5" ht="13">
      <c r="A13417" s="2" t="str">
        <f ca="1">IFERROR(__xludf.DUMMYFUNCTION("""COMPUTED_VALUE"""),"Teague, Liam &amp; Chappell, Robert")</f>
        <v>Teague, Liam &amp; Chappell, Robert</v>
      </c>
      <c r="B13417" s="2" t="str">
        <f ca="1">IFERROR(__xludf.DUMMYFUNCTION("""COMPUTED_VALUE"""),"3&amp;1")</f>
        <v>3&amp;1</v>
      </c>
      <c r="C13417" s="2" t="str">
        <f ca="1">IFERROR(__xludf.DUMMYFUNCTION("""COMPUTED_VALUE"""),"1.0&amp;3.1")</f>
        <v>1.0&amp;3.1</v>
      </c>
      <c r="D13417" s="8" t="str">
        <f ca="1">IFERROR(__xludf.DUMMYFUNCTION("""COMPUTED_VALUE"""),"3&amp;1")</f>
        <v>3&amp;1</v>
      </c>
      <c r="E13417" s="2">
        <f ca="1">IFERROR(__xludf.DUMMYFUNCTION("""COMPUTED_VALUE"""),1)</f>
        <v>1</v>
      </c>
    </row>
    <row r="13418" spans="1:5" ht="13">
      <c r="A13418" s="2" t="str">
        <f ca="1">IFERROR(__xludf.DUMMYFUNCTION("""COMPUTED_VALUE"""),"Wycliffe A. Gordon / Chuck Israels")</f>
        <v>Wycliffe A. Gordon / Chuck Israels</v>
      </c>
      <c r="B13418" s="2" t="str">
        <f ca="1">IFERROR(__xludf.DUMMYFUNCTION("""COMPUTED_VALUE"""),"3&amp;1")</f>
        <v>3&amp;1</v>
      </c>
      <c r="C13418" s="6" t="str">
        <f ca="1">IFERROR(__xludf.DUMMYFUNCTION("""COMPUTED_VALUE"""),"1.0&amp;3.1")</f>
        <v>1.0&amp;3.1</v>
      </c>
      <c r="D13418" s="8" t="str">
        <f ca="1">IFERROR(__xludf.DUMMYFUNCTION("""COMPUTED_VALUE"""),"3&amp;1")</f>
        <v>3&amp;1</v>
      </c>
      <c r="E13418" s="2">
        <f ca="1">IFERROR(__xludf.DUMMYFUNCTION("""COMPUTED_VALUE"""),1)</f>
        <v>1</v>
      </c>
    </row>
    <row r="13419" spans="1:5" ht="13">
      <c r="A13419" s="2" t="str">
        <f ca="1">IFERROR(__xludf.DUMMYFUNCTION("""COMPUTED_VALUE"""),"Baker, Barbara / Elliott, David")</f>
        <v>Baker, Barbara / Elliott, David</v>
      </c>
      <c r="B13419" s="3" t="str">
        <f ca="1">IFERROR(__xludf.DUMMYFUNCTION("""COMPUTED_VALUE"""),"4&amp;1")</f>
        <v>4&amp;1</v>
      </c>
      <c r="C13419" s="6" t="str">
        <f ca="1">IFERROR(__xludf.DUMMYFUNCTION("""COMPUTED_VALUE"""),"1.0&amp;4.1")</f>
        <v>1.0&amp;4.1</v>
      </c>
      <c r="D13419" s="8" t="str">
        <f ca="1">IFERROR(__xludf.DUMMYFUNCTION("""COMPUTED_VALUE"""),"4&amp;1")</f>
        <v>4&amp;1</v>
      </c>
      <c r="E13419" s="2">
        <f ca="1">IFERROR(__xludf.DUMMYFUNCTION("""COMPUTED_VALUE"""),1)</f>
        <v>1</v>
      </c>
    </row>
    <row r="13420" spans="1:5" ht="13">
      <c r="A13420" s="2" t="str">
        <f ca="1">IFERROR(__xludf.DUMMYFUNCTION("""COMPUTED_VALUE"""),"Bush, Doug / Islas, Patricia")</f>
        <v>Bush, Doug / Islas, Patricia</v>
      </c>
      <c r="B13420" s="3" t="str">
        <f ca="1">IFERROR(__xludf.DUMMYFUNCTION("""COMPUTED_VALUE"""),"4&amp;1")</f>
        <v>4&amp;1</v>
      </c>
      <c r="C13420" s="7">
        <f ca="1">IFERROR(__xludf.DUMMYFUNCTION("""COMPUTED_VALUE"""),999)</f>
        <v>999</v>
      </c>
      <c r="D13420" s="8" t="str">
        <f ca="1">IFERROR(__xludf.DUMMYFUNCTION("""COMPUTED_VALUE"""),"4&amp;1")</f>
        <v>4&amp;1</v>
      </c>
      <c r="E13420" s="2">
        <f ca="1">IFERROR(__xludf.DUMMYFUNCTION("""COMPUTED_VALUE"""),1)</f>
        <v>1</v>
      </c>
    </row>
    <row r="13421" spans="1:5" ht="13">
      <c r="A13421" s="8" t="str">
        <f ca="1">IFERROR(__xludf.DUMMYFUNCTION("""COMPUTED_VALUE"""),"Chen, Nira / Roubanis, Nicholas")</f>
        <v>Chen, Nira / Roubanis, Nicholas</v>
      </c>
      <c r="B13421" s="2" t="str">
        <f ca="1">IFERROR(__xludf.DUMMYFUNCTION("""COMPUTED_VALUE"""),"4&amp;1")</f>
        <v>4&amp;1</v>
      </c>
      <c r="C13421" s="6" t="str">
        <f ca="1">IFERROR(__xludf.DUMMYFUNCTION("""COMPUTED_VALUE"""),"1.0&amp;4.1")</f>
        <v>1.0&amp;4.1</v>
      </c>
      <c r="D13421" s="8" t="str">
        <f ca="1">IFERROR(__xludf.DUMMYFUNCTION("""COMPUTED_VALUE"""),"4&amp;1")</f>
        <v>4&amp;1</v>
      </c>
      <c r="E13421" s="2">
        <f ca="1">IFERROR(__xludf.DUMMYFUNCTION("""COMPUTED_VALUE"""),1)</f>
        <v>1</v>
      </c>
    </row>
    <row r="13422" spans="1:5" ht="13">
      <c r="A13422" s="2" t="str">
        <f ca="1">IFERROR(__xludf.DUMMYFUNCTION("""COMPUTED_VALUE"""),"Edwards, Hovia / Ralls, Justin")</f>
        <v>Edwards, Hovia / Ralls, Justin</v>
      </c>
      <c r="B13422" s="2" t="str">
        <f ca="1">IFERROR(__xludf.DUMMYFUNCTION("""COMPUTED_VALUE"""),"4&amp;1")</f>
        <v>4&amp;1</v>
      </c>
      <c r="C13422" s="2" t="str">
        <f ca="1">IFERROR(__xludf.DUMMYFUNCTION("""COMPUTED_VALUE"""),"4.7&amp;1.0")</f>
        <v>4.7&amp;1.0</v>
      </c>
      <c r="D13422" s="8" t="str">
        <f ca="1">IFERROR(__xludf.DUMMYFUNCTION("""COMPUTED_VALUE"""),"4&amp;1")</f>
        <v>4&amp;1</v>
      </c>
      <c r="E13422" s="2">
        <f ca="1">IFERROR(__xludf.DUMMYFUNCTION("""COMPUTED_VALUE"""),1)</f>
        <v>1</v>
      </c>
    </row>
    <row r="13423" spans="1:5" ht="13">
      <c r="A13423" s="2" t="str">
        <f ca="1">IFERROR(__xludf.DUMMYFUNCTION("""COMPUTED_VALUE"""),"Hiel, Tom / Convict Julie")</f>
        <v>Hiel, Tom / Convict Julie</v>
      </c>
      <c r="B13423" s="2" t="str">
        <f ca="1">IFERROR(__xludf.DUMMYFUNCTION("""COMPUTED_VALUE"""),"4&amp;1")</f>
        <v>4&amp;1</v>
      </c>
      <c r="C13423" s="6" t="str">
        <f ca="1">IFERROR(__xludf.DUMMYFUNCTION("""COMPUTED_VALUE"""),"1.0&amp;4.1")</f>
        <v>1.0&amp;4.1</v>
      </c>
      <c r="D13423" s="8" t="str">
        <f ca="1">IFERROR(__xludf.DUMMYFUNCTION("""COMPUTED_VALUE"""),"4&amp;1")</f>
        <v>4&amp;1</v>
      </c>
      <c r="E13423" s="2">
        <f ca="1">IFERROR(__xludf.DUMMYFUNCTION("""COMPUTED_VALUE"""),1)</f>
        <v>1</v>
      </c>
    </row>
    <row r="13424" spans="1:5" ht="13">
      <c r="A13424" s="8" t="str">
        <f ca="1">IFERROR(__xludf.DUMMYFUNCTION("""COMPUTED_VALUE"""),"Tchaikovsky, Peter Ilich / Montgomery, Jessie")</f>
        <v>Tchaikovsky, Peter Ilich / Montgomery, Jessie</v>
      </c>
      <c r="B13424" s="2" t="str">
        <f ca="1">IFERROR(__xludf.DUMMYFUNCTION("""COMPUTED_VALUE"""),"4&amp;1")</f>
        <v>4&amp;1</v>
      </c>
      <c r="C13424" s="6" t="str">
        <f ca="1">IFERROR(__xludf.DUMMYFUNCTION("""COMPUTED_VALUE"""),"1.0&amp;4.1")</f>
        <v>1.0&amp;4.1</v>
      </c>
      <c r="D13424" s="8" t="str">
        <f ca="1">IFERROR(__xludf.DUMMYFUNCTION("""COMPUTED_VALUE"""),"4&amp;5")</f>
        <v>4&amp;5</v>
      </c>
      <c r="E13424" s="8" t="str">
        <f ca="1">IFERROR(__xludf.DUMMYFUNCTION("""COMPUTED_VALUE"""),"1&amp;2")</f>
        <v>1&amp;2</v>
      </c>
    </row>
    <row r="13425" spans="1:5" ht="13">
      <c r="A13425" s="2" t="str">
        <f ca="1">IFERROR(__xludf.DUMMYFUNCTION("""COMPUTED_VALUE"""),"Van Zandt Lane, Peter / Franqa, Linqua")</f>
        <v>Van Zandt Lane, Peter / Franqa, Linqua</v>
      </c>
      <c r="B13425" s="2" t="str">
        <f ca="1">IFERROR(__xludf.DUMMYFUNCTION("""COMPUTED_VALUE"""),"4&amp;1")</f>
        <v>4&amp;1</v>
      </c>
      <c r="C13425" s="6" t="str">
        <f ca="1">IFERROR(__xludf.DUMMYFUNCTION("""COMPUTED_VALUE"""),"1.0&amp;4.1")</f>
        <v>1.0&amp;4.1</v>
      </c>
      <c r="D13425" s="8" t="str">
        <f ca="1">IFERROR(__xludf.DUMMYFUNCTION("""COMPUTED_VALUE"""),"4&amp;1")</f>
        <v>4&amp;1</v>
      </c>
      <c r="E13425" s="2">
        <f ca="1">IFERROR(__xludf.DUMMYFUNCTION("""COMPUTED_VALUE"""),1)</f>
        <v>1</v>
      </c>
    </row>
    <row r="13426" spans="1:5" ht="13">
      <c r="A13426" s="2" t="str">
        <f ca="1">IFERROR(__xludf.DUMMYFUNCTION("""COMPUTED_VALUE"""),"Winteregg, Steve / Leone, Sierra")</f>
        <v>Winteregg, Steve / Leone, Sierra</v>
      </c>
      <c r="B13426" s="2" t="str">
        <f ca="1">IFERROR(__xludf.DUMMYFUNCTION("""COMPUTED_VALUE"""),"4&amp;1")</f>
        <v>4&amp;1</v>
      </c>
      <c r="C13426" s="6" t="str">
        <f ca="1">IFERROR(__xludf.DUMMYFUNCTION("""COMPUTED_VALUE"""),"1.0&amp;4.1")</f>
        <v>1.0&amp;4.1</v>
      </c>
      <c r="D13426" s="8" t="str">
        <f ca="1">IFERROR(__xludf.DUMMYFUNCTION("""COMPUTED_VALUE"""),"4&amp;1")</f>
        <v>4&amp;1</v>
      </c>
      <c r="E13426" s="2">
        <f ca="1">IFERROR(__xludf.DUMMYFUNCTION("""COMPUTED_VALUE"""),1)</f>
        <v>1</v>
      </c>
    </row>
    <row r="13427" spans="1:5" ht="13">
      <c r="A13427" s="2" t="str">
        <f ca="1">IFERROR(__xludf.DUMMYFUNCTION("""COMPUTED_VALUE"""),"Kinds of Kings")</f>
        <v>Kinds of Kings</v>
      </c>
      <c r="B13427" s="3" t="str">
        <f ca="1">IFERROR(__xludf.DUMMYFUNCTION("""COMPUTED_VALUE"""),"4&amp;2")</f>
        <v>4&amp;2</v>
      </c>
      <c r="C13427" s="7">
        <f ca="1">IFERROR(__xludf.DUMMYFUNCTION("""COMPUTED_VALUE"""),999)</f>
        <v>999</v>
      </c>
      <c r="D13427" s="8" t="str">
        <f ca="1">IFERROR(__xludf.DUMMYFUNCTION("""COMPUTED_VALUE"""),"4&amp;2")</f>
        <v>4&amp;2</v>
      </c>
      <c r="E13427" s="2">
        <f ca="1">IFERROR(__xludf.DUMMYFUNCTION("""COMPUTED_VALUE"""),1)</f>
        <v>1</v>
      </c>
    </row>
    <row r="13428" spans="1:5" ht="13">
      <c r="A13428" s="2" t="str">
        <f ca="1">IFERROR(__xludf.DUMMYFUNCTION("""COMPUTED_VALUE"""),"The Highwomen")</f>
        <v>The Highwomen</v>
      </c>
      <c r="B13428" s="2" t="str">
        <f ca="1">IFERROR(__xludf.DUMMYFUNCTION("""COMPUTED_VALUE"""),"4&amp;2")</f>
        <v>4&amp;2</v>
      </c>
      <c r="C13428" s="6" t="str">
        <f ca="1">IFERROR(__xludf.DUMMYFUNCTION("""COMPUTED_VALUE"""),"2.0&amp;4.1")</f>
        <v>2.0&amp;4.1</v>
      </c>
      <c r="D13428" s="8" t="str">
        <f ca="1">IFERROR(__xludf.DUMMYFUNCTION("""COMPUTED_VALUE"""),"4&amp;2")</f>
        <v>4&amp;2</v>
      </c>
      <c r="E13428" s="2">
        <f ca="1">IFERROR(__xludf.DUMMYFUNCTION("""COMPUTED_VALUE"""),1)</f>
        <v>1</v>
      </c>
    </row>
    <row r="13429" spans="1:5" ht="13">
      <c r="A13429" s="2" t="str">
        <f ca="1">IFERROR(__xludf.DUMMYFUNCTION("""COMPUTED_VALUE"""),"Azmeh, Kinan / Chaker, Layale")</f>
        <v>Azmeh, Kinan / Chaker, Layale</v>
      </c>
      <c r="B13429" s="3" t="str">
        <f ca="1">IFERROR(__xludf.DUMMYFUNCTION("""COMPUTED_VALUE"""),"4&amp;3")</f>
        <v>4&amp;3</v>
      </c>
      <c r="C13429" s="6" t="str">
        <f ca="1">IFERROR(__xludf.DUMMYFUNCTION("""COMPUTED_VALUE"""),"3.5&amp;4.5")</f>
        <v>3.5&amp;4.5</v>
      </c>
      <c r="D13429" s="8" t="str">
        <f ca="1">IFERROR(__xludf.DUMMYFUNCTION("""COMPUTED_VALUE"""),"4&amp;3")</f>
        <v>4&amp;3</v>
      </c>
      <c r="E13429" s="2">
        <f ca="1">IFERROR(__xludf.DUMMYFUNCTION("""COMPUTED_VALUE"""),1)</f>
        <v>1</v>
      </c>
    </row>
    <row r="13430" spans="1:5" ht="13">
      <c r="A13430" s="2" t="str">
        <f ca="1">IFERROR(__xludf.DUMMYFUNCTION("""COMPUTED_VALUE"""),"Blount, Da'Kneisha Nikoyle / Hall, Justin Noel")</f>
        <v>Blount, Da'Kneisha Nikoyle / Hall, Justin Noel</v>
      </c>
      <c r="B13430" s="3" t="str">
        <f ca="1">IFERROR(__xludf.DUMMYFUNCTION("""COMPUTED_VALUE"""),"4&amp;3")</f>
        <v>4&amp;3</v>
      </c>
      <c r="C13430" s="6" t="str">
        <f ca="1">IFERROR(__xludf.DUMMYFUNCTION("""COMPUTED_VALUE"""),"3.1&amp;4.1")</f>
        <v>3.1&amp;4.1</v>
      </c>
      <c r="D13430" s="8" t="str">
        <f ca="1">IFERROR(__xludf.DUMMYFUNCTION("""COMPUTED_VALUE"""),"4&amp;3")</f>
        <v>4&amp;3</v>
      </c>
      <c r="E13430" s="2">
        <f ca="1">IFERROR(__xludf.DUMMYFUNCTION("""COMPUTED_VALUE"""),1)</f>
        <v>1</v>
      </c>
    </row>
    <row r="13431" spans="1:5" ht="13">
      <c r="A13431" s="8" t="str">
        <f ca="1">IFERROR(__xludf.DUMMYFUNCTION("""COMPUTED_VALUE"""),"Chen Yi / Zhou Long")</f>
        <v>Chen Yi / Zhou Long</v>
      </c>
      <c r="B13431" s="3" t="str">
        <f ca="1">IFERROR(__xludf.DUMMYFUNCTION("""COMPUTED_VALUE"""),"4&amp;3")</f>
        <v>4&amp;3</v>
      </c>
      <c r="C13431" s="6" t="str">
        <f ca="1">IFERROR(__xludf.DUMMYFUNCTION("""COMPUTED_VALUE"""),"3.3&amp;4.3")</f>
        <v>3.3&amp;4.3</v>
      </c>
      <c r="D13431" s="8" t="str">
        <f ca="1">IFERROR(__xludf.DUMMYFUNCTION("""COMPUTED_VALUE"""),"4&amp;3")</f>
        <v>4&amp;3</v>
      </c>
      <c r="E13431" s="2">
        <f ca="1">IFERROR(__xludf.DUMMYFUNCTION("""COMPUTED_VALUE"""),1)</f>
        <v>1</v>
      </c>
    </row>
    <row r="13432" spans="1:5" ht="13">
      <c r="A13432" s="2" t="str">
        <f ca="1">IFERROR(__xludf.DUMMYFUNCTION("""COMPUTED_VALUE"""),"Ford, Cooper / Ramachandran, Manjula")</f>
        <v>Ford, Cooper / Ramachandran, Manjula</v>
      </c>
      <c r="B13432" s="3" t="str">
        <f ca="1">IFERROR(__xludf.DUMMYFUNCTION("""COMPUTED_VALUE"""),"4&amp;3")</f>
        <v>4&amp;3</v>
      </c>
      <c r="C13432" s="6" t="str">
        <f ca="1">IFERROR(__xludf.DUMMYFUNCTION("""COMPUTED_VALUE"""),"3.3&amp;4.5")</f>
        <v>3.3&amp;4.5</v>
      </c>
      <c r="D13432" s="8" t="str">
        <f ca="1">IFERROR(__xludf.DUMMYFUNCTION("""COMPUTED_VALUE"""),"4&amp;3")</f>
        <v>4&amp;3</v>
      </c>
      <c r="E13432" s="2">
        <f ca="1">IFERROR(__xludf.DUMMYFUNCTION("""COMPUTED_VALUE"""),1)</f>
        <v>1</v>
      </c>
    </row>
    <row r="13433" spans="1:5" ht="13">
      <c r="A13433" s="2" t="str">
        <f ca="1">IFERROR(__xludf.DUMMYFUNCTION("""COMPUTED_VALUE"""),"Franco, Germain / Lopez, Robert")</f>
        <v>Franco, Germain / Lopez, Robert</v>
      </c>
      <c r="B13433" s="3" t="str">
        <f ca="1">IFERROR(__xludf.DUMMYFUNCTION("""COMPUTED_VALUE"""),"4&amp;3")</f>
        <v>4&amp;3</v>
      </c>
      <c r="C13433" s="6" t="str">
        <f ca="1">IFERROR(__xludf.DUMMYFUNCTION("""COMPUTED_VALUE"""),"3.2&amp;4.2")</f>
        <v>3.2&amp;4.2</v>
      </c>
      <c r="D13433" s="8" t="str">
        <f ca="1">IFERROR(__xludf.DUMMYFUNCTION("""COMPUTED_VALUE"""),"4&amp;3")</f>
        <v>4&amp;3</v>
      </c>
      <c r="E13433" s="2">
        <f ca="1">IFERROR(__xludf.DUMMYFUNCTION("""COMPUTED_VALUE"""),1)</f>
        <v>1</v>
      </c>
    </row>
    <row r="13434" spans="1:5" ht="13">
      <c r="A13434" s="8" t="str">
        <f ca="1">IFERROR(__xludf.DUMMYFUNCTION("""COMPUTED_VALUE"""),"Franco, Germaine / Miranda, Lin-Manuel")</f>
        <v>Franco, Germaine / Miranda, Lin-Manuel</v>
      </c>
      <c r="B13434" s="3" t="str">
        <f ca="1">IFERROR(__xludf.DUMMYFUNCTION("""COMPUTED_VALUE"""),"4&amp;3")</f>
        <v>4&amp;3</v>
      </c>
      <c r="C13434" s="6" t="str">
        <f ca="1">IFERROR(__xludf.DUMMYFUNCTION("""COMPUTED_VALUE"""),"3.2&amp;4.2")</f>
        <v>3.2&amp;4.2</v>
      </c>
      <c r="D13434" s="8" t="str">
        <f ca="1">IFERROR(__xludf.DUMMYFUNCTION("""COMPUTED_VALUE"""),"4&amp;3")</f>
        <v>4&amp;3</v>
      </c>
      <c r="E13434" s="2">
        <f ca="1">IFERROR(__xludf.DUMMYFUNCTION("""COMPUTED_VALUE"""),1)</f>
        <v>1</v>
      </c>
    </row>
    <row r="13435" spans="1:5" ht="13">
      <c r="A13435" s="8" t="str">
        <f ca="1">IFERROR(__xludf.DUMMYFUNCTION("""COMPUTED_VALUE"""),"Giddens, Rhiannon / Abels, Michael")</f>
        <v>Giddens, Rhiannon / Abels, Michael</v>
      </c>
      <c r="B13435" s="3" t="str">
        <f ca="1">IFERROR(__xludf.DUMMYFUNCTION("""COMPUTED_VALUE"""),"4&amp;3")</f>
        <v>4&amp;3</v>
      </c>
      <c r="C13435" s="6" t="str">
        <f ca="1">IFERROR(__xludf.DUMMYFUNCTION("""COMPUTED_VALUE"""),"3.1&amp;4.1")</f>
        <v>3.1&amp;4.1</v>
      </c>
      <c r="D13435" s="8" t="str">
        <f ca="1">IFERROR(__xludf.DUMMYFUNCTION("""COMPUTED_VALUE"""),"4&amp;3")</f>
        <v>4&amp;3</v>
      </c>
      <c r="E13435" s="2">
        <f ca="1">IFERROR(__xludf.DUMMYFUNCTION("""COMPUTED_VALUE"""),1)</f>
        <v>1</v>
      </c>
    </row>
    <row r="13436" spans="1:5" ht="13">
      <c r="A13436" s="2" t="str">
        <f ca="1">IFERROR(__xludf.DUMMYFUNCTION("""COMPUTED_VALUE"""),"Hisaishi, Joe / Kimura, Yumi")</f>
        <v>Hisaishi, Joe / Kimura, Yumi</v>
      </c>
      <c r="B13436" s="3" t="str">
        <f ca="1">IFERROR(__xludf.DUMMYFUNCTION("""COMPUTED_VALUE"""),"4&amp;3")</f>
        <v>4&amp;3</v>
      </c>
      <c r="C13436" s="6" t="str">
        <f ca="1">IFERROR(__xludf.DUMMYFUNCTION("""COMPUTED_VALUE"""),"3.3&amp;4.3")</f>
        <v>3.3&amp;4.3</v>
      </c>
      <c r="D13436" s="8" t="str">
        <f ca="1">IFERROR(__xludf.DUMMYFUNCTION("""COMPUTED_VALUE"""),"4&amp;3")</f>
        <v>4&amp;3</v>
      </c>
      <c r="E13436" s="2">
        <f ca="1">IFERROR(__xludf.DUMMYFUNCTION("""COMPUTED_VALUE"""),1)</f>
        <v>1</v>
      </c>
    </row>
    <row r="13437" spans="1:5" ht="13">
      <c r="A13437" s="2" t="str">
        <f ca="1">IFERROR(__xludf.DUMMYFUNCTION("""COMPUTED_VALUE"""),"Oba, Hitomi / Oba, Erika")</f>
        <v>Oba, Hitomi / Oba, Erika</v>
      </c>
      <c r="B13437" s="3" t="str">
        <f ca="1">IFERROR(__xludf.DUMMYFUNCTION("""COMPUTED_VALUE"""),"4&amp;3")</f>
        <v>4&amp;3</v>
      </c>
      <c r="C13437" s="7" t="str">
        <f ca="1">IFERROR(__xludf.DUMMYFUNCTION("""COMPUTED_VALUE"""),"3.3&amp;4.3")</f>
        <v>3.3&amp;4.3</v>
      </c>
      <c r="D13437" s="8" t="str">
        <f ca="1">IFERROR(__xludf.DUMMYFUNCTION("""COMPUTED_VALUE"""),"4&amp;3")</f>
        <v>4&amp;3</v>
      </c>
      <c r="E13437" s="2">
        <f ca="1">IFERROR(__xludf.DUMMYFUNCTION("""COMPUTED_VALUE"""),1)</f>
        <v>1</v>
      </c>
    </row>
    <row r="13438" spans="1:5" ht="13">
      <c r="A13438" s="2" t="str">
        <f ca="1">IFERROR(__xludf.DUMMYFUNCTION("""COMPUTED_VALUE"""),"Ramachandran, Manjula &amp; Ford, Cooper")</f>
        <v>Ramachandran, Manjula &amp; Ford, Cooper</v>
      </c>
      <c r="B13438" s="2" t="str">
        <f ca="1">IFERROR(__xludf.DUMMYFUNCTION("""COMPUTED_VALUE"""),"4&amp;3")</f>
        <v>4&amp;3</v>
      </c>
      <c r="C13438" s="2" t="str">
        <f ca="1">IFERROR(__xludf.DUMMYFUNCTION("""COMPUTED_VALUE"""),"3.3&amp;4.6")</f>
        <v>3.3&amp;4.6</v>
      </c>
      <c r="D13438" s="8" t="str">
        <f ca="1">IFERROR(__xludf.DUMMYFUNCTION("""COMPUTED_VALUE"""),"4&amp;3")</f>
        <v>4&amp;3</v>
      </c>
      <c r="E13438" s="2">
        <f ca="1">IFERROR(__xludf.DUMMYFUNCTION("""COMPUTED_VALUE"""),1)</f>
        <v>1</v>
      </c>
    </row>
    <row r="13439" spans="1:5" ht="13">
      <c r="A13439" s="8" t="str">
        <f ca="1">IFERROR(__xludf.DUMMYFUNCTION("""COMPUTED_VALUE"""),"Sato, Shizuka / Wada, Naoya")</f>
        <v>Sato, Shizuka / Wada, Naoya</v>
      </c>
      <c r="B13439" s="3" t="str">
        <f ca="1">IFERROR(__xludf.DUMMYFUNCTION("""COMPUTED_VALUE"""),"4&amp;3")</f>
        <v>4&amp;3</v>
      </c>
      <c r="C13439" s="6" t="str">
        <f ca="1">IFERROR(__xludf.DUMMYFUNCTION("""COMPUTED_VALUE"""),"3.3&amp;4.3")</f>
        <v>3.3&amp;4.3</v>
      </c>
      <c r="D13439" s="8" t="str">
        <f ca="1">IFERROR(__xludf.DUMMYFUNCTION("""COMPUTED_VALUE"""),"4&amp;3")</f>
        <v>4&amp;3</v>
      </c>
      <c r="E13439" s="2">
        <f ca="1">IFERROR(__xludf.DUMMYFUNCTION("""COMPUTED_VALUE"""),1)</f>
        <v>1</v>
      </c>
    </row>
    <row r="13440" spans="1:5" ht="13">
      <c r="A13440" s="2" t="str">
        <f ca="1">IFERROR(__xludf.DUMMYFUNCTION("""COMPUTED_VALUE"""),"Simpson, Valerie / Nickolas, Ashford")</f>
        <v>Simpson, Valerie / Nickolas, Ashford</v>
      </c>
      <c r="B13440" s="3" t="str">
        <f ca="1">IFERROR(__xludf.DUMMYFUNCTION("""COMPUTED_VALUE"""),"4&amp;3")</f>
        <v>4&amp;3</v>
      </c>
      <c r="C13440" s="6" t="str">
        <f ca="1">IFERROR(__xludf.DUMMYFUNCTION("""COMPUTED_VALUE"""),"3.1&amp;4.1")</f>
        <v>3.1&amp;4.1</v>
      </c>
      <c r="D13440" s="8" t="str">
        <f ca="1">IFERROR(__xludf.DUMMYFUNCTION("""COMPUTED_VALUE"""),"4&amp;3")</f>
        <v>4&amp;3</v>
      </c>
      <c r="E13440" s="2">
        <f ca="1">IFERROR(__xludf.DUMMYFUNCTION("""COMPUTED_VALUE"""),1)</f>
        <v>1</v>
      </c>
    </row>
    <row r="13441" spans="1:5" ht="13">
      <c r="A13441" s="2" t="str">
        <f ca="1">IFERROR(__xludf.DUMMYFUNCTION("""COMPUTED_VALUE"""),"Tsujiyoko, Yuka / Morishita, Hiroki")</f>
        <v>Tsujiyoko, Yuka / Morishita, Hiroki</v>
      </c>
      <c r="B13441" s="3" t="str">
        <f ca="1">IFERROR(__xludf.DUMMYFUNCTION("""COMPUTED_VALUE"""),"4&amp;3")</f>
        <v>4&amp;3</v>
      </c>
      <c r="C13441" s="6" t="str">
        <f ca="1">IFERROR(__xludf.DUMMYFUNCTION("""COMPUTED_VALUE"""),"3.3&amp;4.3")</f>
        <v>3.3&amp;4.3</v>
      </c>
      <c r="D13441" s="8" t="str">
        <f ca="1">IFERROR(__xludf.DUMMYFUNCTION("""COMPUTED_VALUE"""),"4&amp;3")</f>
        <v>4&amp;3</v>
      </c>
      <c r="E13441" s="2">
        <f ca="1">IFERROR(__xludf.DUMMYFUNCTION("""COMPUTED_VALUE"""),1)</f>
        <v>1</v>
      </c>
    </row>
    <row r="13442" spans="1:5" ht="13">
      <c r="A13442" s="8" t="str">
        <f ca="1">IFERROR(__xludf.DUMMYFUNCTION("""COMPUTED_VALUE"""),"Tyson, L. Craig / Baker, Barbara")</f>
        <v>Tyson, L. Craig / Baker, Barbara</v>
      </c>
      <c r="B13442" s="3" t="str">
        <f ca="1">IFERROR(__xludf.DUMMYFUNCTION("""COMPUTED_VALUE"""),"4&amp;3")</f>
        <v>4&amp;3</v>
      </c>
      <c r="C13442" s="6" t="str">
        <f ca="1">IFERROR(__xludf.DUMMYFUNCTION("""COMPUTED_VALUE"""),"3.1&amp;4.1")</f>
        <v>3.1&amp;4.1</v>
      </c>
      <c r="D13442" s="8" t="str">
        <f ca="1">IFERROR(__xludf.DUMMYFUNCTION("""COMPUTED_VALUE"""),"4&amp;3")</f>
        <v>4&amp;3</v>
      </c>
      <c r="E13442" s="2">
        <f ca="1">IFERROR(__xludf.DUMMYFUNCTION("""COMPUTED_VALUE"""),1)</f>
        <v>1</v>
      </c>
    </row>
    <row r="13443" spans="1:5" ht="13">
      <c r="A13443" s="2" t="str">
        <f ca="1">IFERROR(__xludf.DUMMYFUNCTION("""COMPUTED_VALUE"""),"Li / Morgan / McBride / D'Rivera")</f>
        <v>Li / Morgan / McBride / D'Rivera</v>
      </c>
      <c r="B13443" s="3" t="str">
        <f ca="1">IFERROR(__xludf.DUMMYFUNCTION("""COMPUTED_VALUE"""),"4&amp;3&amp;1")</f>
        <v>4&amp;3&amp;1</v>
      </c>
      <c r="C13443" s="6" t="str">
        <f ca="1">IFERROR(__xludf.DUMMYFUNCTION("""COMPUTED_VALUE"""),"1.0&amp;3.1&amp;3.2&amp;4.3")</f>
        <v>1.0&amp;3.1&amp;3.2&amp;4.3</v>
      </c>
      <c r="D13443" s="8" t="str">
        <f ca="1">IFERROR(__xludf.DUMMYFUNCTION("""COMPUTED_VALUE"""),"4&amp;3&amp;1")</f>
        <v>4&amp;3&amp;1</v>
      </c>
      <c r="E13443" s="2">
        <f ca="1">IFERROR(__xludf.DUMMYFUNCTION("""COMPUTED_VALUE"""),1)</f>
        <v>1</v>
      </c>
    </row>
    <row r="13444" spans="1:5" ht="13">
      <c r="A13444" s="8" t="str">
        <f ca="1">IFERROR(__xludf.DUMMYFUNCTION("""COMPUTED_VALUE"""),"Young, Victor; King, Wayne; Van Alstyne, Egbert")</f>
        <v>Young, Victor; King, Wayne; Van Alstyne, Egbert</v>
      </c>
      <c r="B13444" s="2">
        <f ca="1">IFERROR(__xludf.DUMMYFUNCTION("""COMPUTED_VALUE"""),1)</f>
        <v>1</v>
      </c>
      <c r="C13444" s="2">
        <f ca="1">IFERROR(__xludf.DUMMYFUNCTION("""COMPUTED_VALUE"""),1)</f>
        <v>1</v>
      </c>
      <c r="D13444" s="8">
        <f ca="1">IFERROR(__xludf.DUMMYFUNCTION("""COMPUTED_VALUE"""),5)</f>
        <v>5</v>
      </c>
      <c r="E13444" s="2">
        <f ca="1">IFERROR(__xludf.DUMMYFUNCTION("""COMPUTED_VALUE"""),2)</f>
        <v>2</v>
      </c>
    </row>
    <row r="13445" spans="1:5" ht="13">
      <c r="A13445" s="8" t="str">
        <f ca="1">IFERROR(__xludf.DUMMYFUNCTION("""COMPUTED_VALUE"""),"Esperòn, Manuel; Cortazar, Ernsesto; Barcelata, Lorenzo")</f>
        <v>Esperòn, Manuel; Cortazar, Ernsesto; Barcelata, Lorenzo</v>
      </c>
      <c r="B13445" s="2">
        <f ca="1">IFERROR(__xludf.DUMMYFUNCTION("""COMPUTED_VALUE"""),3)</f>
        <v>3</v>
      </c>
      <c r="C13445" s="2">
        <f ca="1">IFERROR(__xludf.DUMMYFUNCTION("""COMPUTED_VALUE"""),3.2)</f>
        <v>3.2</v>
      </c>
      <c r="D13445" s="8">
        <f ca="1">IFERROR(__xludf.DUMMYFUNCTION("""COMPUTED_VALUE"""),7)</f>
        <v>7</v>
      </c>
      <c r="E13445" s="2">
        <f ca="1">IFERROR(__xludf.DUMMYFUNCTION("""COMPUTED_VALUE"""),2)</f>
        <v>2</v>
      </c>
    </row>
    <row r="13446" spans="1:5" ht="13">
      <c r="A13446" s="8" t="str">
        <f ca="1">IFERROR(__xludf.DUMMYFUNCTION("""COMPUTED_VALUE"""),"Campell, Jimmy; Connelly, Reg")</f>
        <v>Campell, Jimmy; Connelly, Reg</v>
      </c>
      <c r="B13446" s="2">
        <f ca="1">IFERROR(__xludf.DUMMYFUNCTION("""COMPUTED_VALUE"""),1)</f>
        <v>1</v>
      </c>
      <c r="C13446" s="2">
        <f ca="1">IFERROR(__xludf.DUMMYFUNCTION("""COMPUTED_VALUE"""),1)</f>
        <v>1</v>
      </c>
      <c r="D13446" s="8">
        <f ca="1">IFERROR(__xludf.DUMMYFUNCTION("""COMPUTED_VALUE"""),5)</f>
        <v>5</v>
      </c>
      <c r="E13446" s="2">
        <f ca="1">IFERROR(__xludf.DUMMYFUNCTION("""COMPUTED_VALUE"""),2)</f>
        <v>2</v>
      </c>
    </row>
    <row r="13447" spans="1:5" ht="13">
      <c r="A13447" s="8" t="str">
        <f ca="1">IFERROR(__xludf.DUMMYFUNCTION("""COMPUTED_VALUE"""),"Maxwell, Brooke; Richmond, Jacob")</f>
        <v>Maxwell, Brooke; Richmond, Jacob</v>
      </c>
      <c r="B13447" s="2">
        <f ca="1">IFERROR(__xludf.DUMMYFUNCTION("""COMPUTED_VALUE"""),1)</f>
        <v>1</v>
      </c>
      <c r="C13447" s="2">
        <f ca="1">IFERROR(__xludf.DUMMYFUNCTION("""COMPUTED_VALUE"""),1)</f>
        <v>1</v>
      </c>
      <c r="D13447" s="8">
        <f ca="1">IFERROR(__xludf.DUMMYFUNCTION("""COMPUTED_VALUE"""),1)</f>
        <v>1</v>
      </c>
      <c r="E13447" s="2">
        <f ca="1">IFERROR(__xludf.DUMMYFUNCTION("""COMPUTED_VALUE"""),1)</f>
        <v>1</v>
      </c>
    </row>
    <row r="13448" spans="1:5" ht="13">
      <c r="A13448" s="8" t="str">
        <f ca="1">IFERROR(__xludf.DUMMYFUNCTION("""COMPUTED_VALUE"""),"Rothrock, Claire; Yakus, Milton; Jeffrey, Allen")</f>
        <v>Rothrock, Claire; Yakus, Milton; Jeffrey, Allen</v>
      </c>
      <c r="B13448" s="2">
        <f ca="1">IFERROR(__xludf.DUMMYFUNCTION("""COMPUTED_VALUE"""),1)</f>
        <v>1</v>
      </c>
      <c r="C13448" s="2">
        <f ca="1">IFERROR(__xludf.DUMMYFUNCTION("""COMPUTED_VALUE"""),1)</f>
        <v>1</v>
      </c>
      <c r="D13448" s="8">
        <f ca="1">IFERROR(__xludf.DUMMYFUNCTION("""COMPUTED_VALUE"""),1)</f>
        <v>1</v>
      </c>
      <c r="E13448" s="2">
        <f ca="1">IFERROR(__xludf.DUMMYFUNCTION("""COMPUTED_VALUE"""),1)</f>
        <v>1</v>
      </c>
    </row>
    <row r="13449" spans="1:5" ht="13">
      <c r="A13449" s="8" t="str">
        <f ca="1">IFERROR(__xludf.DUMMYFUNCTION("""COMPUTED_VALUE"""),"Mattrey, Joanna; Long, Steven")</f>
        <v>Mattrey, Joanna; Long, Steven</v>
      </c>
      <c r="B13449" s="2" t="str">
        <f ca="1">IFERROR(__xludf.DUMMYFUNCTION("""COMPUTED_VALUE"""),"2&amp;1")</f>
        <v>2&amp;1</v>
      </c>
      <c r="C13449" s="2" t="str">
        <f ca="1">IFERROR(__xludf.DUMMYFUNCTION("""COMPUTED_VALUE"""),"2&amp;1")</f>
        <v>2&amp;1</v>
      </c>
      <c r="D13449" s="8" t="str">
        <f ca="1">IFERROR(__xludf.DUMMYFUNCTION("""COMPUTED_VALUE"""),"2&amp;1")</f>
        <v>2&amp;1</v>
      </c>
      <c r="E13449" s="2">
        <f ca="1">IFERROR(__xludf.DUMMYFUNCTION("""COMPUTED_VALUE"""),1)</f>
        <v>1</v>
      </c>
    </row>
    <row r="13450" spans="1:5" ht="13">
      <c r="A13450" s="8" t="str">
        <f ca="1">IFERROR(__xludf.DUMMYFUNCTION("""COMPUTED_VALUE"""),"Duarte, Miranda; Finley, Bergen")</f>
        <v>Duarte, Miranda; Finley, Bergen</v>
      </c>
      <c r="B13450" s="2">
        <f ca="1">IFERROR(__xludf.DUMMYFUNCTION("""COMPUTED_VALUE"""),999)</f>
        <v>999</v>
      </c>
      <c r="C13450" s="2">
        <f ca="1">IFERROR(__xludf.DUMMYFUNCTION("""COMPUTED_VALUE"""),999)</f>
        <v>999</v>
      </c>
      <c r="D13450" s="8">
        <f ca="1">IFERROR(__xludf.DUMMYFUNCTION("""COMPUTED_VALUE"""),999)</f>
        <v>999</v>
      </c>
      <c r="E13450" s="2">
        <f ca="1">IFERROR(__xludf.DUMMYFUNCTION("""COMPUTED_VALUE"""),999)</f>
        <v>999</v>
      </c>
    </row>
    <row r="13451" spans="1:5" ht="13">
      <c r="A13451" s="8" t="str">
        <f ca="1">IFERROR(__xludf.DUMMYFUNCTION("""COMPUTED_VALUE"""),"Maxwell, Brooke; Richmond, Jacob")</f>
        <v>Maxwell, Brooke; Richmond, Jacob</v>
      </c>
      <c r="B13451" s="2">
        <f ca="1">IFERROR(__xludf.DUMMYFUNCTION("""COMPUTED_VALUE"""),1)</f>
        <v>1</v>
      </c>
      <c r="C13451" s="2">
        <f ca="1">IFERROR(__xludf.DUMMYFUNCTION("""COMPUTED_VALUE"""),1)</f>
        <v>1</v>
      </c>
      <c r="D13451" s="8">
        <f ca="1">IFERROR(__xludf.DUMMYFUNCTION("""COMPUTED_VALUE"""),1)</f>
        <v>1</v>
      </c>
      <c r="E13451" s="2">
        <f ca="1">IFERROR(__xludf.DUMMYFUNCTION("""COMPUTED_VALUE"""),1)</f>
        <v>1</v>
      </c>
    </row>
    <row r="13452" spans="1:5" ht="13">
      <c r="A13452" s="8" t="str">
        <f ca="1">IFERROR(__xludf.DUMMYFUNCTION("""COMPUTED_VALUE"""),"Achron, Isidor")</f>
        <v>Achron, Isidor</v>
      </c>
      <c r="B13452" s="2"/>
      <c r="C13452" s="2"/>
      <c r="D13452" s="8" t="str">
        <f ca="1">IFERROR(__xludf.DUMMYFUNCTION("""COMPUTED_VALUE"""),"")</f>
        <v/>
      </c>
      <c r="E13452" s="2"/>
    </row>
    <row r="13453" spans="1:5" ht="13">
      <c r="A13453" s="8" t="str">
        <f ca="1">IFERROR(__xludf.DUMMYFUNCTION("""COMPUTED_VALUE"""),"Adaskin, Murray")</f>
        <v>Adaskin, Murray</v>
      </c>
      <c r="B13453" s="2"/>
      <c r="C13453" s="2"/>
      <c r="D13453" s="8" t="str">
        <f ca="1">IFERROR(__xludf.DUMMYFUNCTION("""COMPUTED_VALUE"""),"")</f>
        <v/>
      </c>
      <c r="E13453" s="2"/>
    </row>
    <row r="13454" spans="1:5" ht="13">
      <c r="A13454" s="8" t="str">
        <f ca="1">IFERROR(__xludf.DUMMYFUNCTION("""COMPUTED_VALUE"""),"Adomian, Lan")</f>
        <v>Adomian, Lan</v>
      </c>
      <c r="B13454" s="2"/>
      <c r="C13454" s="2"/>
      <c r="D13454" s="8" t="str">
        <f ca="1">IFERROR(__xludf.DUMMYFUNCTION("""COMPUTED_VALUE"""),"")</f>
        <v/>
      </c>
      <c r="E13454" s="2"/>
    </row>
    <row r="13455" spans="1:5" ht="13">
      <c r="A13455" s="8" t="str">
        <f ca="1">IFERROR(__xludf.DUMMYFUNCTION("""COMPUTED_VALUE"""),"Ahn, Eaktay")</f>
        <v>Ahn, Eaktay</v>
      </c>
      <c r="B13455" s="2"/>
      <c r="C13455" s="2"/>
      <c r="D13455" s="8" t="str">
        <f ca="1">IFERROR(__xludf.DUMMYFUNCTION("""COMPUTED_VALUE"""),"")</f>
        <v/>
      </c>
      <c r="E13455" s="2"/>
    </row>
    <row r="13456" spans="1:5" ht="13">
      <c r="A13456" s="8" t="str">
        <f ca="1">IFERROR(__xludf.DUMMYFUNCTION("""COMPUTED_VALUE"""),"Akimento, Feodor")</f>
        <v>Akimento, Feodor</v>
      </c>
      <c r="B13456" s="2"/>
      <c r="C13456" s="2"/>
      <c r="D13456" s="8" t="str">
        <f ca="1">IFERROR(__xludf.DUMMYFUNCTION("""COMPUTED_VALUE"""),"")</f>
        <v/>
      </c>
      <c r="E13456" s="2"/>
    </row>
    <row r="13457" spans="1:5" ht="13">
      <c r="A13457" s="8" t="str">
        <f ca="1">IFERROR(__xludf.DUMMYFUNCTION("""COMPUTED_VALUE"""),"Alard, Delphin")</f>
        <v>Alard, Delphin</v>
      </c>
      <c r="B13457" s="2"/>
      <c r="C13457" s="2"/>
      <c r="D13457" s="8" t="str">
        <f ca="1">IFERROR(__xludf.DUMMYFUNCTION("""COMPUTED_VALUE"""),"")</f>
        <v/>
      </c>
      <c r="E13457" s="2"/>
    </row>
    <row r="13458" spans="1:5" ht="13">
      <c r="A13458" s="8" t="str">
        <f ca="1">IFERROR(__xludf.DUMMYFUNCTION("""COMPUTED_VALUE"""),"Alessandresco, Alfred")</f>
        <v>Alessandresco, Alfred</v>
      </c>
      <c r="B13458" s="2"/>
      <c r="C13458" s="2"/>
      <c r="D13458" s="8" t="str">
        <f ca="1">IFERROR(__xludf.DUMMYFUNCTION("""COMPUTED_VALUE"""),"")</f>
        <v/>
      </c>
      <c r="E13458" s="2"/>
    </row>
    <row r="13459" spans="1:5" ht="13">
      <c r="A13459" s="8" t="str">
        <f ca="1">IFERROR(__xludf.DUMMYFUNCTION("""COMPUTED_VALUE"""),"Alexander, Carlos")</f>
        <v>Alexander, Carlos</v>
      </c>
      <c r="B13459" s="2"/>
      <c r="C13459" s="2"/>
      <c r="D13459" s="8" t="str">
        <f ca="1">IFERROR(__xludf.DUMMYFUNCTION("""COMPUTED_VALUE"""),"")</f>
        <v/>
      </c>
      <c r="E13459" s="2"/>
    </row>
    <row r="13460" spans="1:5" ht="13">
      <c r="A13460" s="8" t="str">
        <f ca="1">IFERROR(__xludf.DUMMYFUNCTION("""COMPUTED_VALUE"""),"Alexander, Josef")</f>
        <v>Alexander, Josef</v>
      </c>
      <c r="B13460" s="2"/>
      <c r="C13460" s="2"/>
      <c r="D13460" s="8" t="str">
        <f ca="1">IFERROR(__xludf.DUMMYFUNCTION("""COMPUTED_VALUE"""),"")</f>
        <v/>
      </c>
      <c r="E13460" s="2"/>
    </row>
    <row r="13461" spans="1:5" ht="13">
      <c r="A13461" s="8" t="str">
        <f ca="1">IFERROR(__xludf.DUMMYFUNCTION("""COMPUTED_VALUE"""),"Alfano, Franco")</f>
        <v>Alfano, Franco</v>
      </c>
      <c r="B13461" s="2"/>
      <c r="C13461" s="2"/>
      <c r="D13461" s="8" t="str">
        <f ca="1">IFERROR(__xludf.DUMMYFUNCTION("""COMPUTED_VALUE"""),"")</f>
        <v/>
      </c>
      <c r="E13461" s="2"/>
    </row>
    <row r="13462" spans="1:5" ht="13">
      <c r="A13462" s="8" t="str">
        <f ca="1">IFERROR(__xludf.DUMMYFUNCTION("""COMPUTED_VALUE"""),"Algazi, Leon")</f>
        <v>Algazi, Leon</v>
      </c>
      <c r="B13462" s="2"/>
      <c r="C13462" s="2"/>
      <c r="D13462" s="8" t="str">
        <f ca="1">IFERROR(__xludf.DUMMYFUNCTION("""COMPUTED_VALUE"""),"")</f>
        <v/>
      </c>
      <c r="E13462" s="2"/>
    </row>
    <row r="13463" spans="1:5" ht="13">
      <c r="A13463" s="8" t="str">
        <f ca="1">IFERROR(__xludf.DUMMYFUNCTION("""COMPUTED_VALUE"""),"Aliferis, James")</f>
        <v>Aliferis, James</v>
      </c>
      <c r="B13463" s="2"/>
      <c r="C13463" s="2"/>
      <c r="D13463" s="8" t="str">
        <f ca="1">IFERROR(__xludf.DUMMYFUNCTION("""COMPUTED_VALUE"""),"")</f>
        <v/>
      </c>
      <c r="E13463" s="2"/>
    </row>
    <row r="13464" spans="1:5" ht="13">
      <c r="A13464" s="8" t="str">
        <f ca="1">IFERROR(__xludf.DUMMYFUNCTION("""COMPUTED_VALUE"""),"Allanbrook, Douglas")</f>
        <v>Allanbrook, Douglas</v>
      </c>
      <c r="B13464" s="2"/>
      <c r="C13464" s="2"/>
      <c r="D13464" s="8" t="str">
        <f ca="1">IFERROR(__xludf.DUMMYFUNCTION("""COMPUTED_VALUE"""),"")</f>
        <v/>
      </c>
      <c r="E13464" s="2"/>
    </row>
    <row r="13465" spans="1:5" ht="13">
      <c r="A13465" s="8" t="str">
        <f ca="1">IFERROR(__xludf.DUMMYFUNCTION("""COMPUTED_VALUE"""),"Almond, Claude")</f>
        <v>Almond, Claude</v>
      </c>
      <c r="B13465" s="2"/>
      <c r="C13465" s="2"/>
      <c r="D13465" s="8" t="str">
        <f ca="1">IFERROR(__xludf.DUMMYFUNCTION("""COMPUTED_VALUE"""),"")</f>
        <v/>
      </c>
      <c r="E13465" s="2"/>
    </row>
    <row r="13466" spans="1:5" ht="13">
      <c r="A13466" s="8" t="str">
        <f ca="1">IFERROR(__xludf.DUMMYFUNCTION("""COMPUTED_VALUE"""),"Alvarez, Fermin Maria")</f>
        <v>Alvarez, Fermin Maria</v>
      </c>
      <c r="B13466" s="2"/>
      <c r="C13466" s="2"/>
      <c r="D13466" s="8" t="str">
        <f ca="1">IFERROR(__xludf.DUMMYFUNCTION("""COMPUTED_VALUE"""),"")</f>
        <v/>
      </c>
      <c r="E13466" s="2"/>
    </row>
    <row r="13467" spans="1:5" ht="13">
      <c r="A13467" s="8" t="str">
        <f ca="1">IFERROR(__xludf.DUMMYFUNCTION("""COMPUTED_VALUE"""),"Amani, Nicholas")</f>
        <v>Amani, Nicholas</v>
      </c>
      <c r="B13467" s="2"/>
      <c r="C13467" s="2"/>
      <c r="D13467" s="8" t="str">
        <f ca="1">IFERROR(__xludf.DUMMYFUNCTION("""COMPUTED_VALUE"""),"")</f>
        <v/>
      </c>
      <c r="E13467" s="2"/>
    </row>
    <row r="13468" spans="1:5" ht="13">
      <c r="A13468" s="8" t="str">
        <f ca="1">IFERROR(__xludf.DUMMYFUNCTION("""COMPUTED_VALUE"""),"Amfitheatrof, Daniele")</f>
        <v>Amfitheatrof, Daniele</v>
      </c>
      <c r="B13468" s="2"/>
      <c r="C13468" s="2"/>
      <c r="D13468" s="8" t="str">
        <f ca="1">IFERROR(__xludf.DUMMYFUNCTION("""COMPUTED_VALUE"""),"")</f>
        <v/>
      </c>
      <c r="E13468" s="2"/>
    </row>
    <row r="13469" spans="1:5" ht="13">
      <c r="A13469" s="8" t="str">
        <f ca="1">IFERROR(__xludf.DUMMYFUNCTION("""COMPUTED_VALUE"""),"Amirov, Fikret")</f>
        <v>Amirov, Fikret</v>
      </c>
      <c r="B13469" s="2"/>
      <c r="C13469" s="2"/>
      <c r="D13469" s="8" t="str">
        <f ca="1">IFERROR(__xludf.DUMMYFUNCTION("""COMPUTED_VALUE"""),"")</f>
        <v/>
      </c>
      <c r="E13469" s="2"/>
    </row>
    <row r="13470" spans="1:5" ht="13">
      <c r="A13470" s="8" t="str">
        <f ca="1">IFERROR(__xludf.DUMMYFUNCTION("""COMPUTED_VALUE"""),"Anders, Erich")</f>
        <v>Anders, Erich</v>
      </c>
      <c r="B13470" s="2"/>
      <c r="C13470" s="2"/>
      <c r="D13470" s="8" t="str">
        <f ca="1">IFERROR(__xludf.DUMMYFUNCTION("""COMPUTED_VALUE"""),"")</f>
        <v/>
      </c>
      <c r="E13470" s="2"/>
    </row>
    <row r="13471" spans="1:5" ht="13">
      <c r="A13471" s="8" t="str">
        <f ca="1">IFERROR(__xludf.DUMMYFUNCTION("""COMPUTED_VALUE"""),"Andersen, Arthur Olaf")</f>
        <v>Andersen, Arthur Olaf</v>
      </c>
      <c r="B13471" s="2"/>
      <c r="C13471" s="2"/>
      <c r="D13471" s="8" t="str">
        <f ca="1">IFERROR(__xludf.DUMMYFUNCTION("""COMPUTED_VALUE"""),"")</f>
        <v/>
      </c>
      <c r="E13471" s="2"/>
    </row>
    <row r="13472" spans="1:5" ht="13">
      <c r="A13472" s="2" t="str">
        <f ca="1">IFERROR(__xludf.DUMMYFUNCTION("""COMPUTED_VALUE"""),"Andrews, Troy / Ballard, Mike")</f>
        <v>Andrews, Troy / Ballard, Mike</v>
      </c>
      <c r="B13472" s="2"/>
      <c r="C13472" s="2"/>
      <c r="D13472" s="8" t="str">
        <f ca="1">IFERROR(__xludf.DUMMYFUNCTION("""COMPUTED_VALUE"""),"")</f>
        <v/>
      </c>
      <c r="E13472" s="2"/>
    </row>
    <row r="13473" spans="1:5" ht="13">
      <c r="A13473" s="8" t="str">
        <f ca="1">IFERROR(__xludf.DUMMYFUNCTION("""COMPUTED_VALUE"""),"Andrieu, Mihail")</f>
        <v>Andrieu, Mihail</v>
      </c>
      <c r="B13473" s="2"/>
      <c r="C13473" s="2"/>
      <c r="D13473" s="8" t="str">
        <f ca="1">IFERROR(__xludf.DUMMYFUNCTION("""COMPUTED_VALUE"""),"")</f>
        <v/>
      </c>
      <c r="E13473" s="2"/>
    </row>
    <row r="13474" spans="1:5" ht="13">
      <c r="A13474" s="8" t="str">
        <f ca="1">IFERROR(__xludf.DUMMYFUNCTION("""COMPUTED_VALUE"""),"Angyal, Laszlo")</f>
        <v>Angyal, Laszlo</v>
      </c>
      <c r="B13474" s="2"/>
      <c r="C13474" s="2"/>
      <c r="D13474" s="8" t="str">
        <f ca="1">IFERROR(__xludf.DUMMYFUNCTION("""COMPUTED_VALUE"""),"")</f>
        <v/>
      </c>
      <c r="E13474" s="2"/>
    </row>
    <row r="13475" spans="1:5" ht="13">
      <c r="A13475" s="8" t="str">
        <f ca="1">IFERROR(__xludf.DUMMYFUNCTION("""COMPUTED_VALUE"""),"Anrooy, Peter G.")</f>
        <v>Anrooy, Peter G.</v>
      </c>
      <c r="B13475" s="2"/>
      <c r="C13475" s="2"/>
      <c r="D13475" s="8" t="str">
        <f ca="1">IFERROR(__xludf.DUMMYFUNCTION("""COMPUTED_VALUE"""),"")</f>
        <v/>
      </c>
      <c r="E13475" s="2"/>
    </row>
    <row r="13476" spans="1:5" ht="13">
      <c r="A13476" s="8" t="str">
        <f ca="1">IFERROR(__xludf.DUMMYFUNCTION("""COMPUTED_VALUE"""),"Antill, John H.")</f>
        <v>Antill, John H.</v>
      </c>
      <c r="B13476" s="2"/>
      <c r="C13476" s="2"/>
      <c r="D13476" s="8" t="str">
        <f ca="1">IFERROR(__xludf.DUMMYFUNCTION("""COMPUTED_VALUE"""),"")</f>
        <v/>
      </c>
      <c r="E13476" s="2"/>
    </row>
    <row r="13477" spans="1:5" ht="13">
      <c r="A13477" s="8" t="str">
        <f ca="1">IFERROR(__xludf.DUMMYFUNCTION("""COMPUTED_VALUE"""),"Apambarri, Jesus")</f>
        <v>Apambarri, Jesus</v>
      </c>
      <c r="B13477" s="2"/>
      <c r="C13477" s="2"/>
      <c r="D13477" s="8" t="str">
        <f ca="1">IFERROR(__xludf.DUMMYFUNCTION("""COMPUTED_VALUE"""),"")</f>
        <v/>
      </c>
      <c r="E13477" s="2"/>
    </row>
    <row r="13478" spans="1:5" ht="13">
      <c r="A13478" s="8" t="str">
        <f ca="1">IFERROR(__xludf.DUMMYFUNCTION("""COMPUTED_VALUE"""),"Apostel, Hans Erich")</f>
        <v>Apostel, Hans Erich</v>
      </c>
      <c r="B13478" s="2"/>
      <c r="C13478" s="2"/>
      <c r="D13478" s="8" t="str">
        <f ca="1">IFERROR(__xludf.DUMMYFUNCTION("""COMPUTED_VALUE"""),"")</f>
        <v/>
      </c>
      <c r="E13478" s="2"/>
    </row>
    <row r="13479" spans="1:5" ht="13">
      <c r="A13479" s="8" t="str">
        <f ca="1">IFERROR(__xludf.DUMMYFUNCTION("""COMPUTED_VALUE"""),"Appoloni, Guiseppe")</f>
        <v>Appoloni, Guiseppe</v>
      </c>
      <c r="B13479" s="2"/>
      <c r="C13479" s="2"/>
      <c r="D13479" s="8" t="str">
        <f ca="1">IFERROR(__xludf.DUMMYFUNCTION("""COMPUTED_VALUE"""),"")</f>
        <v/>
      </c>
      <c r="E13479" s="2"/>
    </row>
    <row r="13480" spans="1:5" ht="13">
      <c r="A13480" s="8" t="str">
        <f ca="1">IFERROR(__xludf.DUMMYFUNCTION("""COMPUTED_VALUE"""),"Arbos, Enrique")</f>
        <v>Arbos, Enrique</v>
      </c>
      <c r="B13480" s="2"/>
      <c r="C13480" s="2"/>
      <c r="D13480" s="8" t="str">
        <f ca="1">IFERROR(__xludf.DUMMYFUNCTION("""COMPUTED_VALUE"""),"")</f>
        <v/>
      </c>
      <c r="E13480" s="2"/>
    </row>
    <row r="13481" spans="1:5" ht="13">
      <c r="A13481" s="8" t="str">
        <f ca="1">IFERROR(__xludf.DUMMYFUNCTION("""COMPUTED_VALUE"""),"Arlens, Harold")</f>
        <v>Arlens, Harold</v>
      </c>
      <c r="B13481" s="2"/>
      <c r="C13481" s="2"/>
      <c r="D13481" s="8" t="str">
        <f ca="1">IFERROR(__xludf.DUMMYFUNCTION("""COMPUTED_VALUE"""),"")</f>
        <v/>
      </c>
      <c r="E13481" s="2"/>
    </row>
    <row r="13482" spans="1:5" ht="13">
      <c r="A13482" s="8" t="str">
        <f ca="1">IFERROR(__xludf.DUMMYFUNCTION("""COMPUTED_VALUE"""),"Armando, Gualterio")</f>
        <v>Armando, Gualterio</v>
      </c>
      <c r="B13482" s="2"/>
      <c r="C13482" s="2"/>
      <c r="D13482" s="8" t="str">
        <f ca="1">IFERROR(__xludf.DUMMYFUNCTION("""COMPUTED_VALUE"""),"")</f>
        <v/>
      </c>
      <c r="E13482" s="2"/>
    </row>
    <row r="13483" spans="1:5" ht="13">
      <c r="A13483" s="2" t="str">
        <f ca="1">IFERROR(__xludf.DUMMYFUNCTION("""COMPUTED_VALUE"""),"Armstrong, Anton / Ferguson, John")</f>
        <v>Armstrong, Anton / Ferguson, John</v>
      </c>
      <c r="B13483" s="2"/>
      <c r="C13483" s="2"/>
      <c r="D13483" s="8" t="str">
        <f ca="1">IFERROR(__xludf.DUMMYFUNCTION("""COMPUTED_VALUE"""),"")</f>
        <v/>
      </c>
      <c r="E13483" s="2"/>
    </row>
    <row r="13484" spans="1:5" ht="13">
      <c r="A13484" s="8" t="str">
        <f ca="1">IFERROR(__xludf.DUMMYFUNCTION("""COMPUTED_VALUE"""),"Arriaga y Balzola, Juan C.")</f>
        <v>Arriaga y Balzola, Juan C.</v>
      </c>
      <c r="B13484" s="2"/>
      <c r="C13484" s="2"/>
      <c r="D13484" s="8" t="str">
        <f ca="1">IFERROR(__xludf.DUMMYFUNCTION("""COMPUTED_VALUE"""),"")</f>
        <v/>
      </c>
      <c r="E13484" s="2"/>
    </row>
    <row r="13485" spans="1:5" ht="13">
      <c r="A13485" s="8" t="str">
        <f ca="1">IFERROR(__xludf.DUMMYFUNCTION("""COMPUTED_VALUE"""),"Arrigo, Girolamo")</f>
        <v>Arrigo, Girolamo</v>
      </c>
      <c r="B13485" s="2"/>
      <c r="C13485" s="2"/>
      <c r="D13485" s="8" t="str">
        <f ca="1">IFERROR(__xludf.DUMMYFUNCTION("""COMPUTED_VALUE"""),"")</f>
        <v/>
      </c>
      <c r="E13485" s="2"/>
    </row>
    <row r="13486" spans="1:5" ht="13">
      <c r="A13486" s="8" t="str">
        <f ca="1">IFERROR(__xludf.DUMMYFUNCTION("""COMPUTED_VALUE"""),"Artcibouchieff, Nikolay")</f>
        <v>Artcibouchieff, Nikolay</v>
      </c>
      <c r="B13486" s="2"/>
      <c r="C13486" s="2"/>
      <c r="D13486" s="8" t="str">
        <f ca="1">IFERROR(__xludf.DUMMYFUNCTION("""COMPUTED_VALUE"""),"")</f>
        <v/>
      </c>
      <c r="E13486" s="2"/>
    </row>
    <row r="13487" spans="1:5" ht="13">
      <c r="A13487" s="8" t="str">
        <f ca="1">IFERROR(__xludf.DUMMYFUNCTION("""COMPUTED_VALUE"""),"Artot, Alex")</f>
        <v>Artot, Alex</v>
      </c>
      <c r="B13487" s="2"/>
      <c r="C13487" s="2"/>
      <c r="D13487" s="8" t="str">
        <f ca="1">IFERROR(__xludf.DUMMYFUNCTION("""COMPUTED_VALUE"""),"")</f>
        <v/>
      </c>
      <c r="E13487" s="2"/>
    </row>
    <row r="13488" spans="1:5" ht="13">
      <c r="A13488" s="8" t="str">
        <f ca="1">IFERROR(__xludf.DUMMYFUNCTION("""COMPUTED_VALUE"""),"Aschaffenburg, Walter")</f>
        <v>Aschaffenburg, Walter</v>
      </c>
      <c r="B13488" s="2"/>
      <c r="C13488" s="2"/>
      <c r="D13488" s="8" t="str">
        <f ca="1">IFERROR(__xludf.DUMMYFUNCTION("""COMPUTED_VALUE"""),"")</f>
        <v/>
      </c>
      <c r="E13488" s="2"/>
    </row>
    <row r="13489" spans="1:5" ht="13">
      <c r="A13489" s="8" t="str">
        <f ca="1">IFERROR(__xludf.DUMMYFUNCTION("""COMPUTED_VALUE"""),"Asioli, Bonifacio")</f>
        <v>Asioli, Bonifacio</v>
      </c>
      <c r="B13489" s="2"/>
      <c r="C13489" s="2"/>
      <c r="D13489" s="8" t="str">
        <f ca="1">IFERROR(__xludf.DUMMYFUNCTION("""COMPUTED_VALUE"""),"")</f>
        <v/>
      </c>
      <c r="E13489" s="2"/>
    </row>
    <row r="13490" spans="1:5" ht="13">
      <c r="A13490" s="8" t="str">
        <f ca="1">IFERROR(__xludf.DUMMYFUNCTION("""COMPUTED_VALUE"""),"Asutori, Franco")</f>
        <v>Asutori, Franco</v>
      </c>
      <c r="B13490" s="2"/>
      <c r="C13490" s="2"/>
      <c r="D13490" s="8" t="str">
        <f ca="1">IFERROR(__xludf.DUMMYFUNCTION("""COMPUTED_VALUE"""),"")</f>
        <v/>
      </c>
      <c r="E13490" s="2"/>
    </row>
    <row r="13491" spans="1:5" ht="13">
      <c r="A13491" s="8" t="str">
        <f ca="1">IFERROR(__xludf.DUMMYFUNCTION("""COMPUTED_VALUE"""),"Aulin, Tor")</f>
        <v>Aulin, Tor</v>
      </c>
      <c r="B13491" s="2"/>
      <c r="C13491" s="2"/>
      <c r="D13491" s="8" t="str">
        <f ca="1">IFERROR(__xludf.DUMMYFUNCTION("""COMPUTED_VALUE"""),"")</f>
        <v/>
      </c>
      <c r="E13491" s="2"/>
    </row>
    <row r="13492" spans="1:5" ht="13">
      <c r="A13492" s="8" t="str">
        <f ca="1">IFERROR(__xludf.DUMMYFUNCTION("""COMPUTED_VALUE"""),"Austin, Larry")</f>
        <v>Austin, Larry</v>
      </c>
      <c r="B13492" s="2"/>
      <c r="C13492" s="2"/>
      <c r="D13492" s="8" t="str">
        <f ca="1">IFERROR(__xludf.DUMMYFUNCTION("""COMPUTED_VALUE"""),"")</f>
        <v/>
      </c>
      <c r="E13492" s="2"/>
    </row>
    <row r="13493" spans="1:5" ht="13">
      <c r="A13493" s="8" t="str">
        <f ca="1">IFERROR(__xludf.DUMMYFUNCTION("""COMPUTED_VALUE"""),"Avery, Stanley")</f>
        <v>Avery, Stanley</v>
      </c>
      <c r="B13493" s="2"/>
      <c r="C13493" s="2"/>
      <c r="D13493" s="8" t="str">
        <f ca="1">IFERROR(__xludf.DUMMYFUNCTION("""COMPUTED_VALUE"""),"")</f>
        <v/>
      </c>
      <c r="E13493" s="2"/>
    </row>
    <row r="13494" spans="1:5" ht="13">
      <c r="A13494" s="8" t="str">
        <f ca="1">IFERROR(__xludf.DUMMYFUNCTION("""COMPUTED_VALUE"""),"Avshalomoff, Aaron")</f>
        <v>Avshalomoff, Aaron</v>
      </c>
      <c r="B13494" s="2"/>
      <c r="C13494" s="2"/>
      <c r="D13494" s="8" t="str">
        <f ca="1">IFERROR(__xludf.DUMMYFUNCTION("""COMPUTED_VALUE"""),"")</f>
        <v/>
      </c>
      <c r="E13494" s="2"/>
    </row>
    <row r="13495" spans="1:5" ht="13">
      <c r="A13495" s="8" t="str">
        <f ca="1">IFERROR(__xludf.DUMMYFUNCTION("""COMPUTED_VALUE"""),"Avshalomov, Jacob")</f>
        <v>Avshalomov, Jacob</v>
      </c>
      <c r="B13495" s="2"/>
      <c r="C13495" s="2"/>
      <c r="D13495" s="8" t="str">
        <f ca="1">IFERROR(__xludf.DUMMYFUNCTION("""COMPUTED_VALUE"""),"")</f>
        <v/>
      </c>
      <c r="E13495" s="2"/>
    </row>
    <row r="13496" spans="1:5" ht="13">
      <c r="A13496" s="8" t="str">
        <f ca="1">IFERROR(__xludf.DUMMYFUNCTION("""COMPUTED_VALUE"""),"Bachelet, Alfred G.")</f>
        <v>Bachelet, Alfred G.</v>
      </c>
      <c r="B13496" s="2"/>
      <c r="C13496" s="2"/>
      <c r="D13496" s="8" t="str">
        <f ca="1">IFERROR(__xludf.DUMMYFUNCTION("""COMPUTED_VALUE"""),"")</f>
        <v/>
      </c>
      <c r="E13496" s="2"/>
    </row>
    <row r="13497" spans="1:5" ht="13">
      <c r="A13497" s="8" t="str">
        <f ca="1">IFERROR(__xludf.DUMMYFUNCTION("""COMPUTED_VALUE"""),"Baird, Tadeusz")</f>
        <v>Baird, Tadeusz</v>
      </c>
      <c r="B13497" s="2"/>
      <c r="C13497" s="2"/>
      <c r="D13497" s="8" t="str">
        <f ca="1">IFERROR(__xludf.DUMMYFUNCTION("""COMPUTED_VALUE"""),"")</f>
        <v/>
      </c>
      <c r="E13497" s="2"/>
    </row>
    <row r="13498" spans="1:5" ht="13">
      <c r="A13498" s="8" t="str">
        <f ca="1">IFERROR(__xludf.DUMMYFUNCTION("""COMPUTED_VALUE"""),"Bairstow, Sir Edward")</f>
        <v>Bairstow, Sir Edward</v>
      </c>
      <c r="B13498" s="2"/>
      <c r="C13498" s="2"/>
      <c r="D13498" s="8" t="str">
        <f ca="1">IFERROR(__xludf.DUMMYFUNCTION("""COMPUTED_VALUE"""),"")</f>
        <v/>
      </c>
      <c r="E13498" s="2"/>
    </row>
    <row r="13499" spans="1:5" ht="13">
      <c r="A13499" s="8" t="str">
        <f ca="1">IFERROR(__xludf.DUMMYFUNCTION("""COMPUTED_VALUE"""),"Bakaleinikoff, Vladimir")</f>
        <v>Bakaleinikoff, Vladimir</v>
      </c>
      <c r="B13499" s="2"/>
      <c r="C13499" s="2"/>
      <c r="D13499" s="8" t="str">
        <f ca="1">IFERROR(__xludf.DUMMYFUNCTION("""COMPUTED_VALUE"""),"")</f>
        <v/>
      </c>
      <c r="E13499" s="2"/>
    </row>
    <row r="13500" spans="1:5" ht="13">
      <c r="A13500" s="8" t="str">
        <f ca="1">IFERROR(__xludf.DUMMYFUNCTION("""COMPUTED_VALUE"""),"Baker, Robert")</f>
        <v>Baker, Robert</v>
      </c>
      <c r="B13500" s="2"/>
      <c r="C13500" s="2"/>
      <c r="D13500" s="8" t="str">
        <f ca="1">IFERROR(__xludf.DUMMYFUNCTION("""COMPUTED_VALUE"""),"")</f>
        <v/>
      </c>
      <c r="E13500" s="2"/>
    </row>
    <row r="13501" spans="1:5" ht="13">
      <c r="A13501" s="8" t="str">
        <f ca="1">IFERROR(__xludf.DUMMYFUNCTION("""COMPUTED_VALUE"""),"Balada, Leonardo")</f>
        <v>Balada, Leonardo</v>
      </c>
      <c r="B13501" s="2"/>
      <c r="C13501" s="2"/>
      <c r="D13501" s="8" t="str">
        <f ca="1">IFERROR(__xludf.DUMMYFUNCTION("""COMPUTED_VALUE"""),"")</f>
        <v/>
      </c>
      <c r="E13501" s="2"/>
    </row>
    <row r="13502" spans="1:5" ht="13">
      <c r="A13502" s="8" t="str">
        <f ca="1">IFERROR(__xludf.DUMMYFUNCTION("""COMPUTED_VALUE"""),"Balendonck")</f>
        <v>Balendonck</v>
      </c>
      <c r="B13502" s="2"/>
      <c r="C13502" s="2"/>
      <c r="D13502" s="8" t="str">
        <f ca="1">IFERROR(__xludf.DUMMYFUNCTION("""COMPUTED_VALUE"""),"")</f>
        <v/>
      </c>
      <c r="E13502" s="2"/>
    </row>
    <row r="13503" spans="1:5" ht="13">
      <c r="A13503" s="8" t="str">
        <f ca="1">IFERROR(__xludf.DUMMYFUNCTION("""COMPUTED_VALUE"""),"Bales, Richard H.")</f>
        <v>Bales, Richard H.</v>
      </c>
      <c r="B13503" s="2"/>
      <c r="C13503" s="2"/>
      <c r="D13503" s="8" t="str">
        <f ca="1">IFERROR(__xludf.DUMMYFUNCTION("""COMPUTED_VALUE"""),"")</f>
        <v/>
      </c>
      <c r="E13503" s="2"/>
    </row>
    <row r="13504" spans="1:5" ht="13">
      <c r="A13504" s="8" t="str">
        <f ca="1">IFERROR(__xludf.DUMMYFUNCTION("""COMPUTED_VALUE"""),"Ballantine, Edward")</f>
        <v>Ballantine, Edward</v>
      </c>
      <c r="B13504" s="2"/>
      <c r="C13504" s="2"/>
      <c r="D13504" s="8" t="str">
        <f ca="1">IFERROR(__xludf.DUMMYFUNCTION("""COMPUTED_VALUE"""),"")</f>
        <v/>
      </c>
      <c r="E13504" s="2"/>
    </row>
    <row r="13505" spans="1:5" ht="13">
      <c r="A13505" s="8" t="str">
        <f ca="1">IFERROR(__xludf.DUMMYFUNCTION("""COMPUTED_VALUE"""),"Balogh, Erno")</f>
        <v>Balogh, Erno</v>
      </c>
      <c r="B13505" s="2"/>
      <c r="C13505" s="2"/>
      <c r="D13505" s="8" t="str">
        <f ca="1">IFERROR(__xludf.DUMMYFUNCTION("""COMPUTED_VALUE"""),"")</f>
        <v/>
      </c>
      <c r="E13505" s="2"/>
    </row>
    <row r="13506" spans="1:5" ht="13">
      <c r="A13506" s="8" t="str">
        <f ca="1">IFERROR(__xludf.DUMMYFUNCTION("""COMPUTED_VALUE"""),"Barati, George")</f>
        <v>Barati, George</v>
      </c>
      <c r="B13506" s="2"/>
      <c r="C13506" s="2"/>
      <c r="D13506" s="8" t="str">
        <f ca="1">IFERROR(__xludf.DUMMYFUNCTION("""COMPUTED_VALUE"""),"")</f>
        <v/>
      </c>
      <c r="E13506" s="2"/>
    </row>
    <row r="13507" spans="1:5" ht="13">
      <c r="A13507" s="8" t="str">
        <f ca="1">IFERROR(__xludf.DUMMYFUNCTION("""COMPUTED_VALUE"""),"Barkley, Robert O.")</f>
        <v>Barkley, Robert O.</v>
      </c>
      <c r="B13507" s="2"/>
      <c r="C13507" s="2"/>
      <c r="D13507" s="8" t="str">
        <f ca="1">IFERROR(__xludf.DUMMYFUNCTION("""COMPUTED_VALUE"""),"")</f>
        <v/>
      </c>
      <c r="E13507" s="2"/>
    </row>
    <row r="13508" spans="1:5" ht="13">
      <c r="A13508" s="8" t="str">
        <f ca="1">IFERROR(__xludf.DUMMYFUNCTION("""COMPUTED_VALUE"""),"Barlow, Sammuel")</f>
        <v>Barlow, Sammuel</v>
      </c>
      <c r="B13508" s="2"/>
      <c r="C13508" s="2"/>
      <c r="D13508" s="8" t="str">
        <f ca="1">IFERROR(__xludf.DUMMYFUNCTION("""COMPUTED_VALUE"""),"")</f>
        <v/>
      </c>
      <c r="E13508" s="2"/>
    </row>
    <row r="13509" spans="1:5" ht="13">
      <c r="A13509" s="8" t="str">
        <f ca="1">IFERROR(__xludf.DUMMYFUNCTION("""COMPUTED_VALUE"""),"Barraine, Elsa")</f>
        <v>Barraine, Elsa</v>
      </c>
      <c r="B13509" s="2"/>
      <c r="C13509" s="2"/>
      <c r="D13509" s="8" t="str">
        <f ca="1">IFERROR(__xludf.DUMMYFUNCTION("""COMPUTED_VALUE"""),"")</f>
        <v/>
      </c>
      <c r="E13509" s="2"/>
    </row>
    <row r="13510" spans="1:5" ht="13">
      <c r="A13510" s="8" t="str">
        <f ca="1">IFERROR(__xludf.DUMMYFUNCTION("""COMPUTED_VALUE"""),"Barraud, Henry")</f>
        <v>Barraud, Henry</v>
      </c>
      <c r="B13510" s="2"/>
      <c r="C13510" s="2"/>
      <c r="D13510" s="8" t="str">
        <f ca="1">IFERROR(__xludf.DUMMYFUNCTION("""COMPUTED_VALUE"""),"")</f>
        <v/>
      </c>
      <c r="E13510" s="2"/>
    </row>
    <row r="13511" spans="1:5" ht="13">
      <c r="A13511" s="8" t="str">
        <f ca="1">IFERROR(__xludf.DUMMYFUNCTION("""COMPUTED_VALUE"""),"Barrera y Calleja, Gomez")</f>
        <v>Barrera y Calleja, Gomez</v>
      </c>
      <c r="B13511" s="2"/>
      <c r="C13511" s="2"/>
      <c r="D13511" s="8" t="str">
        <f ca="1">IFERROR(__xludf.DUMMYFUNCTION("""COMPUTED_VALUE"""),"")</f>
        <v/>
      </c>
      <c r="E13511" s="2"/>
    </row>
    <row r="13512" spans="1:5" ht="13">
      <c r="A13512" s="8" t="str">
        <f ca="1">IFERROR(__xludf.DUMMYFUNCTION("""COMPUTED_VALUE"""),"Barrozo, Netto Ary")</f>
        <v>Barrozo, Netto Ary</v>
      </c>
      <c r="B13512" s="2"/>
      <c r="C13512" s="2"/>
      <c r="D13512" s="8" t="str">
        <f ca="1">IFERROR(__xludf.DUMMYFUNCTION("""COMPUTED_VALUE"""),"")</f>
        <v/>
      </c>
      <c r="E13512" s="2"/>
    </row>
    <row r="13513" spans="1:5" ht="13">
      <c r="A13513" s="8" t="str">
        <f ca="1">IFERROR(__xludf.DUMMYFUNCTION("""COMPUTED_VALUE"""),"Barrymore, Lionel")</f>
        <v>Barrymore, Lionel</v>
      </c>
      <c r="B13513" s="2"/>
      <c r="C13513" s="2"/>
      <c r="D13513" s="8" t="str">
        <f ca="1">IFERROR(__xludf.DUMMYFUNCTION("""COMPUTED_VALUE"""),"")</f>
        <v/>
      </c>
      <c r="E13513" s="2"/>
    </row>
    <row r="13514" spans="1:5" ht="13">
      <c r="A13514" s="8" t="str">
        <f ca="1">IFERROR(__xludf.DUMMYFUNCTION("""COMPUTED_VALUE"""),"Barth, Hans")</f>
        <v>Barth, Hans</v>
      </c>
      <c r="B13514" s="2"/>
      <c r="C13514" s="2"/>
      <c r="D13514" s="8" t="str">
        <f ca="1">IFERROR(__xludf.DUMMYFUNCTION("""COMPUTED_VALUE"""),"")</f>
        <v/>
      </c>
      <c r="E13514" s="2"/>
    </row>
    <row r="13515" spans="1:5" ht="13">
      <c r="A13515" s="8" t="str">
        <f ca="1">IFERROR(__xludf.DUMMYFUNCTION("""COMPUTED_VALUE"""),"Bassani, Giovanni")</f>
        <v>Bassani, Giovanni</v>
      </c>
      <c r="B13515" s="2"/>
      <c r="C13515" s="2"/>
      <c r="D13515" s="8" t="str">
        <f ca="1">IFERROR(__xludf.DUMMYFUNCTION("""COMPUTED_VALUE"""),"")</f>
        <v/>
      </c>
      <c r="E13515" s="2"/>
    </row>
    <row r="13516" spans="1:5" ht="13">
      <c r="A13516" s="8" t="str">
        <f ca="1">IFERROR(__xludf.DUMMYFUNCTION("""COMPUTED_VALUE"""),"Bate, Stanley")</f>
        <v>Bate, Stanley</v>
      </c>
      <c r="B13516" s="2"/>
      <c r="C13516" s="2"/>
      <c r="D13516" s="8" t="str">
        <f ca="1">IFERROR(__xludf.DUMMYFUNCTION("""COMPUTED_VALUE"""),"")</f>
        <v/>
      </c>
      <c r="E13516" s="2"/>
    </row>
    <row r="13517" spans="1:5" ht="13">
      <c r="A13517" s="8" t="str">
        <f ca="1">IFERROR(__xludf.DUMMYFUNCTION("""COMPUTED_VALUE"""),"Baumann, H.")</f>
        <v>Baumann, H.</v>
      </c>
      <c r="B13517" s="2"/>
      <c r="C13517" s="2"/>
      <c r="D13517" s="8" t="str">
        <f ca="1">IFERROR(__xludf.DUMMYFUNCTION("""COMPUTED_VALUE"""),"")</f>
        <v/>
      </c>
      <c r="E13517" s="2"/>
    </row>
    <row r="13518" spans="1:5" ht="13">
      <c r="A13518" s="8" t="str">
        <f ca="1">IFERROR(__xludf.DUMMYFUNCTION("""COMPUTED_VALUE"""),"Baumgartner, H.")</f>
        <v>Baumgartner, H.</v>
      </c>
      <c r="B13518" s="2"/>
      <c r="C13518" s="2"/>
      <c r="D13518" s="8" t="str">
        <f ca="1">IFERROR(__xludf.DUMMYFUNCTION("""COMPUTED_VALUE"""),"")</f>
        <v/>
      </c>
      <c r="E13518" s="2"/>
    </row>
    <row r="13519" spans="1:5" ht="13">
      <c r="A13519" s="8" t="str">
        <f ca="1">IFERROR(__xludf.DUMMYFUNCTION("""COMPUTED_VALUE"""),"Bazelon, Irwin")</f>
        <v>Bazelon, Irwin</v>
      </c>
      <c r="B13519" s="2"/>
      <c r="C13519" s="2"/>
      <c r="D13519" s="8" t="str">
        <f ca="1">IFERROR(__xludf.DUMMYFUNCTION("""COMPUTED_VALUE"""),"")</f>
        <v/>
      </c>
      <c r="E13519" s="2"/>
    </row>
    <row r="13520" spans="1:5" ht="13">
      <c r="A13520" s="8" t="str">
        <f ca="1">IFERROR(__xludf.DUMMYFUNCTION("""COMPUTED_VALUE"""),"Beach, John")</f>
        <v>Beach, John</v>
      </c>
      <c r="B13520" s="2"/>
      <c r="C13520" s="2"/>
      <c r="D13520" s="8" t="str">
        <f ca="1">IFERROR(__xludf.DUMMYFUNCTION("""COMPUTED_VALUE"""),"")</f>
        <v/>
      </c>
      <c r="E13520" s="2"/>
    </row>
    <row r="13521" spans="1:5" ht="13">
      <c r="A13521" s="8" t="str">
        <f ca="1">IFERROR(__xludf.DUMMYFUNCTION("""COMPUTED_VALUE"""),"Beale, John")</f>
        <v>Beale, John</v>
      </c>
      <c r="B13521" s="2"/>
      <c r="C13521" s="2"/>
      <c r="D13521" s="8" t="str">
        <f ca="1">IFERROR(__xludf.DUMMYFUNCTION("""COMPUTED_VALUE"""),"")</f>
        <v/>
      </c>
      <c r="E13521" s="2"/>
    </row>
    <row r="13522" spans="1:5" ht="13">
      <c r="A13522" s="8" t="str">
        <f ca="1">IFERROR(__xludf.DUMMYFUNCTION("""COMPUTED_VALUE"""),"Beall")</f>
        <v>Beall</v>
      </c>
      <c r="B13522" s="2"/>
      <c r="C13522" s="2"/>
      <c r="D13522" s="8" t="str">
        <f ca="1">IFERROR(__xludf.DUMMYFUNCTION("""COMPUTED_VALUE"""),"")</f>
        <v/>
      </c>
      <c r="E13522" s="2"/>
    </row>
    <row r="13523" spans="1:5" ht="13">
      <c r="A13523" s="8" t="str">
        <f ca="1">IFERROR(__xludf.DUMMYFUNCTION("""COMPUTED_VALUE"""),"Becerra, Gustavo")</f>
        <v>Becerra, Gustavo</v>
      </c>
      <c r="B13523" s="2"/>
      <c r="C13523" s="2"/>
      <c r="D13523" s="8" t="str">
        <f ca="1">IFERROR(__xludf.DUMMYFUNCTION("""COMPUTED_VALUE"""),"")</f>
        <v/>
      </c>
      <c r="E13523" s="2"/>
    </row>
    <row r="13524" spans="1:5" ht="13">
      <c r="A13524" s="8" t="str">
        <f ca="1">IFERROR(__xludf.DUMMYFUNCTION("""COMPUTED_VALUE"""),"Beck, Conrad")</f>
        <v>Beck, Conrad</v>
      </c>
      <c r="B13524" s="2"/>
      <c r="C13524" s="2"/>
      <c r="D13524" s="8" t="str">
        <f ca="1">IFERROR(__xludf.DUMMYFUNCTION("""COMPUTED_VALUE"""),"")</f>
        <v/>
      </c>
      <c r="E13524" s="2"/>
    </row>
    <row r="13525" spans="1:5" ht="13">
      <c r="A13525" s="8" t="str">
        <f ca="1">IFERROR(__xludf.DUMMYFUNCTION("""COMPUTED_VALUE"""),"Becker, John J.")</f>
        <v>Becker, John J.</v>
      </c>
      <c r="B13525" s="2"/>
      <c r="C13525" s="2"/>
      <c r="D13525" s="8" t="str">
        <f ca="1">IFERROR(__xludf.DUMMYFUNCTION("""COMPUTED_VALUE"""),"")</f>
        <v/>
      </c>
      <c r="E13525" s="2"/>
    </row>
    <row r="13526" spans="1:5" ht="13">
      <c r="A13526" s="8" t="str">
        <f ca="1">IFERROR(__xludf.DUMMYFUNCTION("""COMPUTED_VALUE"""),"Bedford, Herbert")</f>
        <v>Bedford, Herbert</v>
      </c>
      <c r="B13526" s="2"/>
      <c r="C13526" s="2"/>
      <c r="D13526" s="8" t="str">
        <f ca="1">IFERROR(__xludf.DUMMYFUNCTION("""COMPUTED_VALUE"""),"")</f>
        <v/>
      </c>
      <c r="E13526" s="2"/>
    </row>
    <row r="13527" spans="1:5" ht="13">
      <c r="A13527" s="8" t="str">
        <f ca="1">IFERROR(__xludf.DUMMYFUNCTION("""COMPUTED_VALUE"""),"Behnke, Emil")</f>
        <v>Behnke, Emil</v>
      </c>
      <c r="B13527" s="2"/>
      <c r="C13527" s="2"/>
      <c r="D13527" s="8" t="str">
        <f ca="1">IFERROR(__xludf.DUMMYFUNCTION("""COMPUTED_VALUE"""),"")</f>
        <v/>
      </c>
      <c r="E13527" s="2"/>
    </row>
    <row r="13528" spans="1:5" ht="13">
      <c r="A13528" s="8" t="str">
        <f ca="1">IFERROR(__xludf.DUMMYFUNCTION("""COMPUTED_VALUE"""),"Bemberg, Herman")</f>
        <v>Bemberg, Herman</v>
      </c>
      <c r="B13528" s="2"/>
      <c r="C13528" s="2"/>
      <c r="D13528" s="8" t="str">
        <f ca="1">IFERROR(__xludf.DUMMYFUNCTION("""COMPUTED_VALUE"""),"")</f>
        <v/>
      </c>
      <c r="E13528" s="2"/>
    </row>
    <row r="13529" spans="1:5" ht="13">
      <c r="A13529" s="8" t="str">
        <f ca="1">IFERROR(__xludf.DUMMYFUNCTION("""COMPUTED_VALUE"""),"Ben-Yohansen, Asher")</f>
        <v>Ben-Yohansen, Asher</v>
      </c>
      <c r="B13529" s="2"/>
      <c r="C13529" s="2"/>
      <c r="D13529" s="8" t="str">
        <f ca="1">IFERROR(__xludf.DUMMYFUNCTION("""COMPUTED_VALUE"""),"")</f>
        <v/>
      </c>
      <c r="E13529" s="2"/>
    </row>
    <row r="13530" spans="1:5" ht="13">
      <c r="A13530" s="8" t="str">
        <f ca="1">IFERROR(__xludf.DUMMYFUNCTION("""COMPUTED_VALUE"""),"Bender, Natasha")</f>
        <v>Bender, Natasha</v>
      </c>
      <c r="B13530" s="2"/>
      <c r="C13530" s="2"/>
      <c r="D13530" s="8" t="str">
        <f ca="1">IFERROR(__xludf.DUMMYFUNCTION("""COMPUTED_VALUE"""),"")</f>
        <v/>
      </c>
      <c r="E13530" s="2"/>
    </row>
    <row r="13531" spans="1:5" ht="13">
      <c r="A13531" s="8" t="str">
        <f ca="1">IFERROR(__xludf.DUMMYFUNCTION("""COMPUTED_VALUE"""),"Bendict, Sir Julius")</f>
        <v>Bendict, Sir Julius</v>
      </c>
      <c r="B13531" s="2"/>
      <c r="C13531" s="2"/>
      <c r="D13531" s="8" t="str">
        <f ca="1">IFERROR(__xludf.DUMMYFUNCTION("""COMPUTED_VALUE"""),"")</f>
        <v/>
      </c>
      <c r="E13531" s="2"/>
    </row>
    <row r="13532" spans="1:5" ht="13">
      <c r="A13532" s="8" t="str">
        <f ca="1">IFERROR(__xludf.DUMMYFUNCTION("""COMPUTED_VALUE"""),"Bendix, Victor E.")</f>
        <v>Bendix, Victor E.</v>
      </c>
      <c r="B13532" s="2"/>
      <c r="C13532" s="2"/>
      <c r="D13532" s="8" t="str">
        <f ca="1">IFERROR(__xludf.DUMMYFUNCTION("""COMPUTED_VALUE"""),"")</f>
        <v/>
      </c>
      <c r="E13532" s="2"/>
    </row>
    <row r="13533" spans="1:5" ht="13">
      <c r="A13533" s="8" t="str">
        <f ca="1">IFERROR(__xludf.DUMMYFUNCTION("""COMPUTED_VALUE"""),"Beniot, Piere")</f>
        <v>Beniot, Piere</v>
      </c>
      <c r="B13533" s="2"/>
      <c r="C13533" s="2"/>
      <c r="D13533" s="8" t="str">
        <f ca="1">IFERROR(__xludf.DUMMYFUNCTION("""COMPUTED_VALUE"""),"")</f>
        <v/>
      </c>
      <c r="E13533" s="2"/>
    </row>
    <row r="13534" spans="1:5" ht="13">
      <c r="A13534" s="8" t="str">
        <f ca="1">IFERROR(__xludf.DUMMYFUNCTION("""COMPUTED_VALUE"""),"Bennett, Sir William Sterndale")</f>
        <v>Bennett, Sir William Sterndale</v>
      </c>
      <c r="B13534" s="2"/>
      <c r="C13534" s="2"/>
      <c r="D13534" s="8" t="str">
        <f ca="1">IFERROR(__xludf.DUMMYFUNCTION("""COMPUTED_VALUE"""),"")</f>
        <v/>
      </c>
      <c r="E13534" s="2"/>
    </row>
    <row r="13535" spans="1:5" ht="13">
      <c r="A13535" s="8" t="str">
        <f ca="1">IFERROR(__xludf.DUMMYFUNCTION("""COMPUTED_VALUE"""),"Bentzon, Niels V.")</f>
        <v>Bentzon, Niels V.</v>
      </c>
      <c r="B13535" s="2"/>
      <c r="C13535" s="2"/>
      <c r="D13535" s="8" t="str">
        <f ca="1">IFERROR(__xludf.DUMMYFUNCTION("""COMPUTED_VALUE"""),"")</f>
        <v/>
      </c>
      <c r="E13535" s="2"/>
    </row>
    <row r="13536" spans="1:5" ht="13">
      <c r="A13536" s="8" t="str">
        <f ca="1">IFERROR(__xludf.DUMMYFUNCTION("""COMPUTED_VALUE"""),"Berger, Theodore")</f>
        <v>Berger, Theodore</v>
      </c>
      <c r="B13536" s="2"/>
      <c r="C13536" s="2"/>
      <c r="D13536" s="8" t="str">
        <f ca="1">IFERROR(__xludf.DUMMYFUNCTION("""COMPUTED_VALUE"""),"")</f>
        <v/>
      </c>
      <c r="E13536" s="2"/>
    </row>
    <row r="13537" spans="1:5" ht="13">
      <c r="A13537" s="8" t="str">
        <f ca="1">IFERROR(__xludf.DUMMYFUNCTION("""COMPUTED_VALUE"""),"Bernat, Robert")</f>
        <v>Bernat, Robert</v>
      </c>
      <c r="B13537" s="2"/>
      <c r="C13537" s="2"/>
      <c r="D13537" s="8" t="str">
        <f ca="1">IFERROR(__xludf.DUMMYFUNCTION("""COMPUTED_VALUE"""),"")</f>
        <v/>
      </c>
      <c r="E13537" s="2"/>
    </row>
    <row r="13538" spans="1:5" ht="13">
      <c r="A13538" s="8" t="str">
        <f ca="1">IFERROR(__xludf.DUMMYFUNCTION("""COMPUTED_VALUE"""),"Bernat, Saul")</f>
        <v>Bernat, Saul</v>
      </c>
      <c r="B13538" s="2"/>
      <c r="C13538" s="2"/>
      <c r="D13538" s="8" t="str">
        <f ca="1">IFERROR(__xludf.DUMMYFUNCTION("""COMPUTED_VALUE"""),"")</f>
        <v/>
      </c>
      <c r="E13538" s="2"/>
    </row>
    <row r="13539" spans="1:5" ht="13">
      <c r="A13539" s="2" t="str">
        <f ca="1">IFERROR(__xludf.DUMMYFUNCTION("""COMPUTED_VALUE"""),"Bernon, Amy F. / Johnson, Victor C. / Lightfoot, Mary Lynn")</f>
        <v>Bernon, Amy F. / Johnson, Victor C. / Lightfoot, Mary Lynn</v>
      </c>
      <c r="B13539" s="2"/>
      <c r="C13539" s="2"/>
      <c r="D13539" s="8" t="str">
        <f ca="1">IFERROR(__xludf.DUMMYFUNCTION("""COMPUTED_VALUE"""),"")</f>
        <v/>
      </c>
      <c r="E13539" s="2"/>
    </row>
    <row r="13540" spans="1:5" ht="13">
      <c r="A13540" s="8" t="str">
        <f ca="1">IFERROR(__xludf.DUMMYFUNCTION("""COMPUTED_VALUE"""),"Bettinelli, Bruno")</f>
        <v>Bettinelli, Bruno</v>
      </c>
      <c r="B13540" s="2"/>
      <c r="C13540" s="2"/>
      <c r="D13540" s="8" t="str">
        <f ca="1">IFERROR(__xludf.DUMMYFUNCTION("""COMPUTED_VALUE"""),"")</f>
        <v/>
      </c>
      <c r="E13540" s="2"/>
    </row>
    <row r="13541" spans="1:5" ht="13">
      <c r="A13541" s="8" t="str">
        <f ca="1">IFERROR(__xludf.DUMMYFUNCTION("""COMPUTED_VALUE"""),"Bezanson, Philip")</f>
        <v>Bezanson, Philip</v>
      </c>
      <c r="B13541" s="2"/>
      <c r="C13541" s="2"/>
      <c r="D13541" s="8" t="str">
        <f ca="1">IFERROR(__xludf.DUMMYFUNCTION("""COMPUTED_VALUE"""),"")</f>
        <v/>
      </c>
      <c r="E13541" s="2"/>
    </row>
    <row r="13542" spans="1:5" ht="13">
      <c r="A13542" s="8" t="str">
        <f ca="1">IFERROR(__xludf.DUMMYFUNCTION("""COMPUTED_VALUE"""),"Bilotti, Anton")</f>
        <v>Bilotti, Anton</v>
      </c>
      <c r="B13542" s="2"/>
      <c r="C13542" s="2"/>
      <c r="D13542" s="8" t="str">
        <f ca="1">IFERROR(__xludf.DUMMYFUNCTION("""COMPUTED_VALUE"""),"")</f>
        <v/>
      </c>
      <c r="E13542" s="2"/>
    </row>
    <row r="13543" spans="1:5" ht="13">
      <c r="A13543" s="8" t="str">
        <f ca="1">IFERROR(__xludf.DUMMYFUNCTION("""COMPUTED_VALUE"""),"Binder, Abraham Wolfe")</f>
        <v>Binder, Abraham Wolfe</v>
      </c>
      <c r="B13543" s="2"/>
      <c r="C13543" s="2"/>
      <c r="D13543" s="8" t="str">
        <f ca="1">IFERROR(__xludf.DUMMYFUNCTION("""COMPUTED_VALUE"""),"")</f>
        <v/>
      </c>
      <c r="E13543" s="2"/>
    </row>
    <row r="13544" spans="1:5" ht="13">
      <c r="A13544" s="8" t="str">
        <f ca="1">IFERROR(__xludf.DUMMYFUNCTION("""COMPUTED_VALUE"""),"Binder, Heinrich Von")</f>
        <v>Binder, Heinrich Von</v>
      </c>
      <c r="B13544" s="2"/>
      <c r="C13544" s="2"/>
      <c r="D13544" s="8" t="str">
        <f ca="1">IFERROR(__xludf.DUMMYFUNCTION("""COMPUTED_VALUE"""),"")</f>
        <v/>
      </c>
      <c r="E13544" s="2"/>
    </row>
    <row r="13545" spans="1:5" ht="13">
      <c r="A13545" s="8" t="str">
        <f ca="1">IFERROR(__xludf.DUMMYFUNCTION("""COMPUTED_VALUE"""),"Bischoff, Hermann")</f>
        <v>Bischoff, Hermann</v>
      </c>
      <c r="B13545" s="2"/>
      <c r="C13545" s="2"/>
      <c r="D13545" s="8" t="str">
        <f ca="1">IFERROR(__xludf.DUMMYFUNCTION("""COMPUTED_VALUE"""),"")</f>
        <v/>
      </c>
      <c r="E13545" s="2"/>
    </row>
    <row r="13546" spans="1:5" ht="13">
      <c r="A13546" s="8" t="str">
        <f ca="1">IFERROR(__xludf.DUMMYFUNCTION("""COMPUTED_VALUE"""),"Blackwood, Easley")</f>
        <v>Blackwood, Easley</v>
      </c>
      <c r="B13546" s="2"/>
      <c r="C13546" s="2"/>
      <c r="D13546" s="8" t="str">
        <f ca="1">IFERROR(__xludf.DUMMYFUNCTION("""COMPUTED_VALUE"""),"")</f>
        <v/>
      </c>
      <c r="E13546" s="2"/>
    </row>
    <row r="13547" spans="1:5" ht="13">
      <c r="A13547" s="8" t="str">
        <f ca="1">IFERROR(__xludf.DUMMYFUNCTION("""COMPUTED_VALUE"""),"Blitzstein, Marc")</f>
        <v>Blitzstein, Marc</v>
      </c>
      <c r="B13547" s="2"/>
      <c r="C13547" s="2"/>
      <c r="D13547" s="8" t="str">
        <f ca="1">IFERROR(__xludf.DUMMYFUNCTION("""COMPUTED_VALUE"""),"")</f>
        <v/>
      </c>
      <c r="E13547" s="2"/>
    </row>
    <row r="13548" spans="1:5" ht="13">
      <c r="A13548" s="8" t="str">
        <f ca="1">IFERROR(__xludf.DUMMYFUNCTION("""COMPUTED_VALUE"""),"Bloch, Andr・Bloch")</f>
        <v>Bloch, Andr・Bloch</v>
      </c>
      <c r="B13548" s="2"/>
      <c r="C13548" s="2"/>
      <c r="D13548" s="8" t="str">
        <f ca="1">IFERROR(__xludf.DUMMYFUNCTION("""COMPUTED_VALUE"""),"")</f>
        <v/>
      </c>
      <c r="E13548" s="2"/>
    </row>
    <row r="13549" spans="1:5" ht="13">
      <c r="A13549" s="8" t="str">
        <f ca="1">IFERROR(__xludf.DUMMYFUNCTION("""COMPUTED_VALUE"""),"Blockx, Jan")</f>
        <v>Blockx, Jan</v>
      </c>
      <c r="B13549" s="2"/>
      <c r="C13549" s="2"/>
      <c r="D13549" s="8" t="str">
        <f ca="1">IFERROR(__xludf.DUMMYFUNCTION("""COMPUTED_VALUE"""),"")</f>
        <v/>
      </c>
      <c r="E13549" s="2"/>
    </row>
    <row r="13550" spans="1:5" ht="13">
      <c r="A13550" s="8" t="str">
        <f ca="1">IFERROR(__xludf.DUMMYFUNCTION("""COMPUTED_VALUE"""),"Blomdahl, Karl-Birger")</f>
        <v>Blomdahl, Karl-Birger</v>
      </c>
      <c r="B13550" s="2"/>
      <c r="C13550" s="2"/>
      <c r="D13550" s="8" t="str">
        <f ca="1">IFERROR(__xludf.DUMMYFUNCTION("""COMPUTED_VALUE"""),"")</f>
        <v/>
      </c>
      <c r="E13550" s="2"/>
    </row>
    <row r="13551" spans="1:5" ht="13">
      <c r="A13551" s="8" t="str">
        <f ca="1">IFERROR(__xludf.DUMMYFUNCTION("""COMPUTED_VALUE"""),"Blumenfeld, Harold")</f>
        <v>Blumenfeld, Harold</v>
      </c>
      <c r="B13551" s="2"/>
      <c r="C13551" s="2"/>
      <c r="D13551" s="8" t="str">
        <f ca="1">IFERROR(__xludf.DUMMYFUNCTION("""COMPUTED_VALUE"""),"")</f>
        <v/>
      </c>
      <c r="E13551" s="2"/>
    </row>
    <row r="13552" spans="1:5" ht="13">
      <c r="A13552" s="8" t="str">
        <f ca="1">IFERROR(__xludf.DUMMYFUNCTION("""COMPUTED_VALUE"""),"Bochsa, Robert")</f>
        <v>Bochsa, Robert</v>
      </c>
      <c r="B13552" s="2"/>
      <c r="C13552" s="2"/>
      <c r="D13552" s="8" t="str">
        <f ca="1">IFERROR(__xludf.DUMMYFUNCTION("""COMPUTED_VALUE"""),"")</f>
        <v/>
      </c>
      <c r="E13552" s="2"/>
    </row>
    <row r="13553" spans="1:5" ht="13">
      <c r="A13553" s="8" t="str">
        <f ca="1">IFERROR(__xludf.DUMMYFUNCTION("""COMPUTED_VALUE"""),"Boehe, Ernst")</f>
        <v>Boehe, Ernst</v>
      </c>
      <c r="B13553" s="2"/>
      <c r="C13553" s="2"/>
      <c r="D13553" s="8" t="str">
        <f ca="1">IFERROR(__xludf.DUMMYFUNCTION("""COMPUTED_VALUE"""),"")</f>
        <v/>
      </c>
      <c r="E13553" s="2"/>
    </row>
    <row r="13554" spans="1:5" ht="13">
      <c r="A13554" s="8" t="str">
        <f ca="1">IFERROR(__xludf.DUMMYFUNCTION("""COMPUTED_VALUE"""),"Bogoroff")</f>
        <v>Bogoroff</v>
      </c>
      <c r="B13554" s="2"/>
      <c r="C13554" s="2"/>
      <c r="D13554" s="8" t="str">
        <f ca="1">IFERROR(__xludf.DUMMYFUNCTION("""COMPUTED_VALUE"""),"")</f>
        <v/>
      </c>
      <c r="E13554" s="2"/>
    </row>
    <row r="13555" spans="1:5" ht="13">
      <c r="A13555" s="8" t="str">
        <f ca="1">IFERROR(__xludf.DUMMYFUNCTION("""COMPUTED_VALUE"""),"Bohlmann, T.H.")</f>
        <v>Bohlmann, T.H.</v>
      </c>
      <c r="B13555" s="2"/>
      <c r="C13555" s="2"/>
      <c r="D13555" s="8" t="str">
        <f ca="1">IFERROR(__xludf.DUMMYFUNCTION("""COMPUTED_VALUE"""),"")</f>
        <v/>
      </c>
      <c r="E13555" s="2"/>
    </row>
    <row r="13556" spans="1:5" ht="13">
      <c r="A13556" s="8" t="str">
        <f ca="1">IFERROR(__xludf.DUMMYFUNCTION("""COMPUTED_VALUE"""),"Bohm, Yohanen")</f>
        <v>Bohm, Yohanen</v>
      </c>
      <c r="B13556" s="2"/>
      <c r="C13556" s="2"/>
      <c r="D13556" s="8" t="str">
        <f ca="1">IFERROR(__xludf.DUMMYFUNCTION("""COMPUTED_VALUE"""),"")</f>
        <v/>
      </c>
      <c r="E13556" s="2"/>
    </row>
    <row r="13557" spans="1:5" ht="13">
      <c r="A13557" s="8" t="str">
        <f ca="1">IFERROR(__xludf.DUMMYFUNCTION("""COMPUTED_VALUE"""),"Bollinger, Samuel")</f>
        <v>Bollinger, Samuel</v>
      </c>
      <c r="B13557" s="2"/>
      <c r="C13557" s="2"/>
      <c r="D13557" s="8" t="str">
        <f ca="1">IFERROR(__xludf.DUMMYFUNCTION("""COMPUTED_VALUE"""),"")</f>
        <v/>
      </c>
      <c r="E13557" s="2"/>
    </row>
    <row r="13558" spans="1:5" ht="13">
      <c r="A13558" s="8" t="str">
        <f ca="1">IFERROR(__xludf.DUMMYFUNCTION("""COMPUTED_VALUE"""),"Bolognesi")</f>
        <v>Bolognesi</v>
      </c>
      <c r="B13558" s="2"/>
      <c r="C13558" s="2"/>
      <c r="D13558" s="8" t="str">
        <f ca="1">IFERROR(__xludf.DUMMYFUNCTION("""COMPUTED_VALUE"""),"")</f>
        <v/>
      </c>
      <c r="E13558" s="2"/>
    </row>
    <row r="13559" spans="1:5" ht="13">
      <c r="A13559" s="8" t="str">
        <f ca="1">IFERROR(__xludf.DUMMYFUNCTION("""COMPUTED_VALUE"""),"Bomgham, Seth")</f>
        <v>Bomgham, Seth</v>
      </c>
      <c r="B13559" s="2"/>
      <c r="C13559" s="2"/>
      <c r="D13559" s="8" t="str">
        <f ca="1">IFERROR(__xludf.DUMMYFUNCTION("""COMPUTED_VALUE"""),"")</f>
        <v/>
      </c>
      <c r="E13559" s="2"/>
    </row>
    <row r="13560" spans="1:5" ht="13">
      <c r="A13560" s="8" t="str">
        <f ca="1">IFERROR(__xludf.DUMMYFUNCTION("""COMPUTED_VALUE"""),"Bondeville, Emmanuel de")</f>
        <v>Bondeville, Emmanuel de</v>
      </c>
      <c r="B13560" s="2"/>
      <c r="C13560" s="2"/>
      <c r="D13560" s="8" t="str">
        <f ca="1">IFERROR(__xludf.DUMMYFUNCTION("""COMPUTED_VALUE"""),"")</f>
        <v/>
      </c>
      <c r="E13560" s="2"/>
    </row>
    <row r="13561" spans="1:5" ht="13">
      <c r="A13561" s="8" t="str">
        <f ca="1">IFERROR(__xludf.DUMMYFUNCTION("""COMPUTED_VALUE"""),"Bonner, Eugene")</f>
        <v>Bonner, Eugene</v>
      </c>
      <c r="B13561" s="2"/>
      <c r="C13561" s="2"/>
      <c r="D13561" s="8" t="str">
        <f ca="1">IFERROR(__xludf.DUMMYFUNCTION("""COMPUTED_VALUE"""),"")</f>
        <v/>
      </c>
      <c r="E13561" s="2"/>
    </row>
    <row r="13562" spans="1:5" ht="13">
      <c r="A13562" s="8" t="str">
        <f ca="1">IFERROR(__xludf.DUMMYFUNCTION("""COMPUTED_VALUE"""),"Bonnet, Joseph")</f>
        <v>Bonnet, Joseph</v>
      </c>
      <c r="B13562" s="2"/>
      <c r="C13562" s="2"/>
      <c r="D13562" s="8" t="str">
        <f ca="1">IFERROR(__xludf.DUMMYFUNCTION("""COMPUTED_VALUE"""),"")</f>
        <v/>
      </c>
      <c r="E13562" s="2"/>
    </row>
    <row r="13563" spans="1:5" ht="13">
      <c r="A13563" s="8" t="str">
        <f ca="1">IFERROR(__xludf.DUMMYFUNCTION("""COMPUTED_VALUE"""),"Bonporti, Francesco")</f>
        <v>Bonporti, Francesco</v>
      </c>
      <c r="B13563" s="2"/>
      <c r="C13563" s="2"/>
      <c r="D13563" s="8" t="str">
        <f ca="1">IFERROR(__xludf.DUMMYFUNCTION("""COMPUTED_VALUE"""),"")</f>
        <v/>
      </c>
      <c r="E13563" s="2"/>
    </row>
    <row r="13564" spans="1:5" ht="13">
      <c r="A13564" s="8" t="str">
        <f ca="1">IFERROR(__xludf.DUMMYFUNCTION("""COMPUTED_VALUE"""),"Boone, Charles")</f>
        <v>Boone, Charles</v>
      </c>
      <c r="B13564" s="2"/>
      <c r="C13564" s="2"/>
      <c r="D13564" s="8" t="str">
        <f ca="1">IFERROR(__xludf.DUMMYFUNCTION("""COMPUTED_VALUE"""),"")</f>
        <v/>
      </c>
      <c r="E13564" s="2"/>
    </row>
    <row r="13565" spans="1:5" ht="13">
      <c r="A13565" s="8" t="str">
        <f ca="1">IFERROR(__xludf.DUMMYFUNCTION("""COMPUTED_VALUE"""),"Borchard, Adolphe")</f>
        <v>Borchard, Adolphe</v>
      </c>
      <c r="B13565" s="2"/>
      <c r="C13565" s="2"/>
      <c r="D13565" s="8" t="str">
        <f ca="1">IFERROR(__xludf.DUMMYFUNCTION("""COMPUTED_VALUE"""),"")</f>
        <v/>
      </c>
      <c r="E13565" s="2"/>
    </row>
    <row r="13566" spans="1:5" ht="13">
      <c r="A13566" s="8" t="str">
        <f ca="1">IFERROR(__xludf.DUMMYFUNCTION("""COMPUTED_VALUE"""),"Bordese, Luigi")</f>
        <v>Bordese, Luigi</v>
      </c>
      <c r="B13566" s="2"/>
      <c r="C13566" s="2"/>
      <c r="D13566" s="8" t="str">
        <f ca="1">IFERROR(__xludf.DUMMYFUNCTION("""COMPUTED_VALUE"""),"")</f>
        <v/>
      </c>
      <c r="E13566" s="2"/>
    </row>
    <row r="13567" spans="1:5" ht="13">
      <c r="A13567" s="8" t="str">
        <f ca="1">IFERROR(__xludf.DUMMYFUNCTION("""COMPUTED_VALUE"""),"Borghi, Luigi")</f>
        <v>Borghi, Luigi</v>
      </c>
      <c r="B13567" s="2"/>
      <c r="C13567" s="2"/>
      <c r="D13567" s="8" t="str">
        <f ca="1">IFERROR(__xludf.DUMMYFUNCTION("""COMPUTED_VALUE"""),"")</f>
        <v/>
      </c>
      <c r="E13567" s="2"/>
    </row>
    <row r="13568" spans="1:5" ht="13">
      <c r="A13568" s="8" t="str">
        <f ca="1">IFERROR(__xludf.DUMMYFUNCTION("""COMPUTED_VALUE"""),"Borishansky, Eliot")</f>
        <v>Borishansky, Eliot</v>
      </c>
      <c r="B13568" s="2"/>
      <c r="C13568" s="2"/>
      <c r="D13568" s="8" t="str">
        <f ca="1">IFERROR(__xludf.DUMMYFUNCTION("""COMPUTED_VALUE"""),"")</f>
        <v/>
      </c>
      <c r="E13568" s="2"/>
    </row>
    <row r="13569" spans="1:5" ht="13">
      <c r="A13569" s="8" t="str">
        <f ca="1">IFERROR(__xludf.DUMMYFUNCTION("""COMPUTED_VALUE"""),"Bornschein, Franz")</f>
        <v>Bornschein, Franz</v>
      </c>
      <c r="B13569" s="2"/>
      <c r="C13569" s="2"/>
      <c r="D13569" s="8" t="str">
        <f ca="1">IFERROR(__xludf.DUMMYFUNCTION("""COMPUTED_VALUE"""),"")</f>
        <v/>
      </c>
      <c r="E13569" s="2"/>
    </row>
    <row r="13570" spans="1:5" ht="13">
      <c r="A13570" s="8" t="str">
        <f ca="1">IFERROR(__xludf.DUMMYFUNCTION("""COMPUTED_VALUE"""),"Bortkiewiez, Sergei")</f>
        <v>Bortkiewiez, Sergei</v>
      </c>
      <c r="B13570" s="2"/>
      <c r="C13570" s="2"/>
      <c r="D13570" s="8" t="str">
        <f ca="1">IFERROR(__xludf.DUMMYFUNCTION("""COMPUTED_VALUE"""),"")</f>
        <v/>
      </c>
      <c r="E13570" s="2"/>
    </row>
    <row r="13571" spans="1:5" ht="13">
      <c r="A13571" s="8" t="str">
        <f ca="1">IFERROR(__xludf.DUMMYFUNCTION("""COMPUTED_VALUE"""),"Bourgault-Ducoudray, Louis")</f>
        <v>Bourgault-Ducoudray, Louis</v>
      </c>
      <c r="B13571" s="2"/>
      <c r="C13571" s="2"/>
      <c r="D13571" s="8" t="str">
        <f ca="1">IFERROR(__xludf.DUMMYFUNCTION("""COMPUTED_VALUE"""),"")</f>
        <v/>
      </c>
      <c r="E13571" s="2"/>
    </row>
    <row r="13572" spans="1:5" ht="13">
      <c r="A13572" s="8" t="str">
        <f ca="1">IFERROR(__xludf.DUMMYFUNCTION("""COMPUTED_VALUE"""),"Bourguignon, Francis de")</f>
        <v>Bourguignon, Francis de</v>
      </c>
      <c r="B13572" s="2"/>
      <c r="C13572" s="2"/>
      <c r="D13572" s="8" t="str">
        <f ca="1">IFERROR(__xludf.DUMMYFUNCTION("""COMPUTED_VALUE"""),"")</f>
        <v/>
      </c>
      <c r="E13572" s="2"/>
    </row>
    <row r="13573" spans="1:5" ht="13">
      <c r="A13573" s="8" t="str">
        <f ca="1">IFERROR(__xludf.DUMMYFUNCTION("""COMPUTED_VALUE"""),"Bourk")</f>
        <v>Bourk</v>
      </c>
      <c r="B13573" s="2"/>
      <c r="C13573" s="2"/>
      <c r="D13573" s="8" t="str">
        <f ca="1">IFERROR(__xludf.DUMMYFUNCTION("""COMPUTED_VALUE"""),"")</f>
        <v/>
      </c>
      <c r="E13573" s="2"/>
    </row>
    <row r="13574" spans="1:5" ht="13">
      <c r="A13574" s="8" t="str">
        <f ca="1">IFERROR(__xludf.DUMMYFUNCTION("""COMPUTED_VALUE"""),"Bowen, Edwin")</f>
        <v>Bowen, Edwin</v>
      </c>
      <c r="B13574" s="2"/>
      <c r="C13574" s="2"/>
      <c r="D13574" s="8" t="str">
        <f ca="1">IFERROR(__xludf.DUMMYFUNCTION("""COMPUTED_VALUE"""),"")</f>
        <v/>
      </c>
      <c r="E13574" s="2"/>
    </row>
    <row r="13575" spans="1:5" ht="13">
      <c r="A13575" s="8" t="str">
        <f ca="1">IFERROR(__xludf.DUMMYFUNCTION("""COMPUTED_VALUE"""),"Boyd, George")</f>
        <v>Boyd, George</v>
      </c>
      <c r="B13575" s="2"/>
      <c r="C13575" s="2"/>
      <c r="D13575" s="8" t="str">
        <f ca="1">IFERROR(__xludf.DUMMYFUNCTION("""COMPUTED_VALUE"""),"")</f>
        <v/>
      </c>
      <c r="E13575" s="2"/>
    </row>
    <row r="13576" spans="1:5" ht="13">
      <c r="A13576" s="8" t="str">
        <f ca="1">IFERROR(__xludf.DUMMYFUNCTION("""COMPUTED_VALUE"""),"Boyd, Jeanne")</f>
        <v>Boyd, Jeanne</v>
      </c>
      <c r="B13576" s="2"/>
      <c r="C13576" s="2"/>
      <c r="D13576" s="8" t="str">
        <f ca="1">IFERROR(__xludf.DUMMYFUNCTION("""COMPUTED_VALUE"""),"")</f>
        <v/>
      </c>
      <c r="E13576" s="2"/>
    </row>
    <row r="13577" spans="1:5" ht="13">
      <c r="A13577" s="8" t="str">
        <f ca="1">IFERROR(__xludf.DUMMYFUNCTION("""COMPUTED_VALUE"""),"Braein, Edward")</f>
        <v>Braein, Edward</v>
      </c>
      <c r="B13577" s="2"/>
      <c r="C13577" s="2"/>
      <c r="D13577" s="8" t="str">
        <f ca="1">IFERROR(__xludf.DUMMYFUNCTION("""COMPUTED_VALUE"""),"")</f>
        <v/>
      </c>
      <c r="E13577" s="2"/>
    </row>
    <row r="13578" spans="1:5" ht="13">
      <c r="A13578" s="8" t="str">
        <f ca="1">IFERROR(__xludf.DUMMYFUNCTION("""COMPUTED_VALUE"""),"Braga, Ernani")</f>
        <v>Braga, Ernani</v>
      </c>
      <c r="B13578" s="2"/>
      <c r="C13578" s="2"/>
      <c r="D13578" s="8" t="str">
        <f ca="1">IFERROR(__xludf.DUMMYFUNCTION("""COMPUTED_VALUE"""),"")</f>
        <v/>
      </c>
      <c r="E13578" s="2"/>
    </row>
    <row r="13579" spans="1:5" ht="13">
      <c r="A13579" s="8" t="str">
        <f ca="1">IFERROR(__xludf.DUMMYFUNCTION("""COMPUTED_VALUE"""),"Braine, Robert")</f>
        <v>Braine, Robert</v>
      </c>
      <c r="B13579" s="2"/>
      <c r="C13579" s="2"/>
      <c r="D13579" s="8" t="str">
        <f ca="1">IFERROR(__xludf.DUMMYFUNCTION("""COMPUTED_VALUE"""),"")</f>
        <v/>
      </c>
      <c r="E13579" s="2"/>
    </row>
    <row r="13580" spans="1:5" ht="13">
      <c r="A13580" s="8" t="str">
        <f ca="1">IFERROR(__xludf.DUMMYFUNCTION("""COMPUTED_VALUE"""),"Brand, Max")</f>
        <v>Brand, Max</v>
      </c>
      <c r="B13580" s="2"/>
      <c r="C13580" s="2"/>
      <c r="D13580" s="8" t="str">
        <f ca="1">IFERROR(__xludf.DUMMYFUNCTION("""COMPUTED_VALUE"""),"")</f>
        <v/>
      </c>
      <c r="E13580" s="2"/>
    </row>
    <row r="13581" spans="1:5" ht="13">
      <c r="A13581" s="8" t="str">
        <f ca="1">IFERROR(__xludf.DUMMYFUNCTION("""COMPUTED_VALUE"""),"Braun, Edith")</f>
        <v>Braun, Edith</v>
      </c>
      <c r="B13581" s="2"/>
      <c r="C13581" s="2"/>
      <c r="D13581" s="8" t="str">
        <f ca="1">IFERROR(__xludf.DUMMYFUNCTION("""COMPUTED_VALUE"""),"")</f>
        <v/>
      </c>
      <c r="E13581" s="2"/>
    </row>
    <row r="13582" spans="1:5" ht="13">
      <c r="A13582" s="8" t="str">
        <f ca="1">IFERROR(__xludf.DUMMYFUNCTION("""COMPUTED_VALUE"""),"Brenta, Gaston")</f>
        <v>Brenta, Gaston</v>
      </c>
      <c r="B13582" s="2"/>
      <c r="C13582" s="2"/>
      <c r="D13582" s="8" t="str">
        <f ca="1">IFERROR(__xludf.DUMMYFUNCTION("""COMPUTED_VALUE"""),"")</f>
        <v/>
      </c>
      <c r="E13582" s="2"/>
    </row>
    <row r="13583" spans="1:5" ht="13">
      <c r="A13583" s="8" t="str">
        <f ca="1">IFERROR(__xludf.DUMMYFUNCTION("""COMPUTED_VALUE"""),"Breton, Tomas")</f>
        <v>Breton, Tomas</v>
      </c>
      <c r="B13583" s="2"/>
      <c r="C13583" s="2"/>
      <c r="D13583" s="8" t="str">
        <f ca="1">IFERROR(__xludf.DUMMYFUNCTION("""COMPUTED_VALUE"""),"")</f>
        <v/>
      </c>
      <c r="E13583" s="2"/>
    </row>
    <row r="13584" spans="1:5" ht="13">
      <c r="A13584" s="8" t="str">
        <f ca="1">IFERROR(__xludf.DUMMYFUNCTION("""COMPUTED_VALUE"""),"Briccetti, Thomas B.")</f>
        <v>Briccetti, Thomas B.</v>
      </c>
      <c r="B13584" s="2"/>
      <c r="C13584" s="2"/>
      <c r="D13584" s="8" t="str">
        <f ca="1">IFERROR(__xludf.DUMMYFUNCTION("""COMPUTED_VALUE"""),"")</f>
        <v/>
      </c>
      <c r="E13584" s="2"/>
    </row>
    <row r="13585" spans="1:5" ht="13">
      <c r="A13585" s="8" t="str">
        <f ca="1">IFERROR(__xludf.DUMMYFUNCTION("""COMPUTED_VALUE"""),"Britain, Radie")</f>
        <v>Britain, Radie</v>
      </c>
      <c r="B13585" s="2"/>
      <c r="C13585" s="2"/>
      <c r="D13585" s="8" t="str">
        <f ca="1">IFERROR(__xludf.DUMMYFUNCTION("""COMPUTED_VALUE"""),"")</f>
        <v/>
      </c>
      <c r="E13585" s="2"/>
    </row>
    <row r="13586" spans="1:5" ht="13">
      <c r="A13586" s="8" t="str">
        <f ca="1">IFERROR(__xludf.DUMMYFUNCTION("""COMPUTED_VALUE"""),"Broadwood, John")</f>
        <v>Broadwood, John</v>
      </c>
      <c r="B13586" s="2"/>
      <c r="C13586" s="2"/>
      <c r="D13586" s="8" t="str">
        <f ca="1">IFERROR(__xludf.DUMMYFUNCTION("""COMPUTED_VALUE"""),"")</f>
        <v/>
      </c>
      <c r="E13586" s="2"/>
    </row>
    <row r="13587" spans="1:5" ht="13">
      <c r="A13587" s="8" t="str">
        <f ca="1">IFERROR(__xludf.DUMMYFUNCTION("""COMPUTED_VALUE"""),"Brockway, Howard")</f>
        <v>Brockway, Howard</v>
      </c>
      <c r="B13587" s="2"/>
      <c r="C13587" s="2"/>
      <c r="D13587" s="8" t="str">
        <f ca="1">IFERROR(__xludf.DUMMYFUNCTION("""COMPUTED_VALUE"""),"")</f>
        <v/>
      </c>
      <c r="E13587" s="2"/>
    </row>
    <row r="13588" spans="1:5" ht="13">
      <c r="A13588" s="8" t="str">
        <f ca="1">IFERROR(__xludf.DUMMYFUNCTION("""COMPUTED_VALUE"""),"Broekman, David")</f>
        <v>Broekman, David</v>
      </c>
      <c r="B13588" s="2"/>
      <c r="C13588" s="2"/>
      <c r="D13588" s="8" t="str">
        <f ca="1">IFERROR(__xludf.DUMMYFUNCTION("""COMPUTED_VALUE"""),"")</f>
        <v/>
      </c>
      <c r="E13588" s="2"/>
    </row>
    <row r="13589" spans="1:5" ht="13">
      <c r="A13589" s="8" t="str">
        <f ca="1">IFERROR(__xludf.DUMMYFUNCTION("""COMPUTED_VALUE"""),"Broman, Sten")</f>
        <v>Broman, Sten</v>
      </c>
      <c r="B13589" s="2"/>
      <c r="C13589" s="2"/>
      <c r="D13589" s="8" t="str">
        <f ca="1">IFERROR(__xludf.DUMMYFUNCTION("""COMPUTED_VALUE"""),"")</f>
        <v/>
      </c>
      <c r="E13589" s="2"/>
    </row>
    <row r="13590" spans="1:5" ht="13">
      <c r="A13590" s="8" t="str">
        <f ca="1">IFERROR(__xludf.DUMMYFUNCTION("""COMPUTED_VALUE"""),"Bronsart, Hans von")</f>
        <v>Bronsart, Hans von</v>
      </c>
      <c r="B13590" s="2"/>
      <c r="C13590" s="2"/>
      <c r="D13590" s="8" t="str">
        <f ca="1">IFERROR(__xludf.DUMMYFUNCTION("""COMPUTED_VALUE"""),"")</f>
        <v/>
      </c>
      <c r="E13590" s="2"/>
    </row>
    <row r="13591" spans="1:5" ht="13">
      <c r="A13591" s="8" t="str">
        <f ca="1">IFERROR(__xludf.DUMMYFUNCTION("""COMPUTED_VALUE"""),"Brooks, Ernest")</f>
        <v>Brooks, Ernest</v>
      </c>
      <c r="B13591" s="2"/>
      <c r="C13591" s="2"/>
      <c r="D13591" s="8" t="str">
        <f ca="1">IFERROR(__xludf.DUMMYFUNCTION("""COMPUTED_VALUE"""),"")</f>
        <v/>
      </c>
      <c r="E13591" s="2"/>
    </row>
    <row r="13592" spans="1:5" ht="13">
      <c r="A13592" s="8" t="str">
        <f ca="1">IFERROR(__xludf.DUMMYFUNCTION("""COMPUTED_VALUE"""),"Brott, Alexander")</f>
        <v>Brott, Alexander</v>
      </c>
      <c r="B13592" s="2"/>
      <c r="C13592" s="2"/>
      <c r="D13592" s="8" t="str">
        <f ca="1">IFERROR(__xludf.DUMMYFUNCTION("""COMPUTED_VALUE"""),"")</f>
        <v/>
      </c>
      <c r="E13592" s="2"/>
    </row>
    <row r="13593" spans="1:5" ht="13">
      <c r="A13593" s="8" t="str">
        <f ca="1">IFERROR(__xludf.DUMMYFUNCTION("""COMPUTED_VALUE"""),"Brown, Earle")</f>
        <v>Brown, Earle</v>
      </c>
      <c r="B13593" s="2"/>
      <c r="C13593" s="2"/>
      <c r="D13593" s="8" t="str">
        <f ca="1">IFERROR(__xludf.DUMMYFUNCTION("""COMPUTED_VALUE"""),"")</f>
        <v/>
      </c>
      <c r="E13593" s="2"/>
    </row>
    <row r="13594" spans="1:5" ht="13">
      <c r="A13594" s="8" t="str">
        <f ca="1">IFERROR(__xludf.DUMMYFUNCTION("""COMPUTED_VALUE"""),"Brubeck, Howard")</f>
        <v>Brubeck, Howard</v>
      </c>
      <c r="B13594" s="2"/>
      <c r="C13594" s="2"/>
      <c r="D13594" s="8" t="str">
        <f ca="1">IFERROR(__xludf.DUMMYFUNCTION("""COMPUTED_VALUE"""),"")</f>
        <v/>
      </c>
      <c r="E13594" s="2"/>
    </row>
    <row r="13595" spans="1:5" ht="13">
      <c r="A13595" s="8" t="str">
        <f ca="1">IFERROR(__xludf.DUMMYFUNCTION("""COMPUTED_VALUE"""),"Brucken Fock, Gerard von")</f>
        <v>Brucken Fock, Gerard von</v>
      </c>
      <c r="B13595" s="2"/>
      <c r="C13595" s="2"/>
      <c r="D13595" s="8" t="str">
        <f ca="1">IFERROR(__xludf.DUMMYFUNCTION("""COMPUTED_VALUE"""),"")</f>
        <v/>
      </c>
      <c r="E13595" s="2"/>
    </row>
    <row r="13596" spans="1:5" ht="13">
      <c r="A13596" s="8" t="str">
        <f ca="1">IFERROR(__xludf.DUMMYFUNCTION("""COMPUTED_VALUE"""),"Brull, Ignaz")</f>
        <v>Brull, Ignaz</v>
      </c>
      <c r="B13596" s="2"/>
      <c r="C13596" s="2"/>
      <c r="D13596" s="8" t="str">
        <f ca="1">IFERROR(__xludf.DUMMYFUNCTION("""COMPUTED_VALUE"""),"")</f>
        <v/>
      </c>
      <c r="E13596" s="2"/>
    </row>
    <row r="13597" spans="1:5" ht="13">
      <c r="A13597" s="8" t="str">
        <f ca="1">IFERROR(__xludf.DUMMYFUNCTION("""COMPUTED_VALUE"""),"Brune, Adolph G.")</f>
        <v>Brune, Adolph G.</v>
      </c>
      <c r="B13597" s="2"/>
      <c r="C13597" s="2"/>
      <c r="D13597" s="8" t="str">
        <f ca="1">IFERROR(__xludf.DUMMYFUNCTION("""COMPUTED_VALUE"""),"")</f>
        <v/>
      </c>
      <c r="E13597" s="2"/>
    </row>
    <row r="13598" spans="1:5" ht="13">
      <c r="A13598" s="8" t="str">
        <f ca="1">IFERROR(__xludf.DUMMYFUNCTION("""COMPUTED_VALUE"""),"Bruneau, Alfred")</f>
        <v>Bruneau, Alfred</v>
      </c>
      <c r="B13598" s="2"/>
      <c r="C13598" s="2"/>
      <c r="D13598" s="8" t="str">
        <f ca="1">IFERROR(__xludf.DUMMYFUNCTION("""COMPUTED_VALUE"""),"")</f>
        <v/>
      </c>
      <c r="E13598" s="2"/>
    </row>
    <row r="13599" spans="1:5" ht="13">
      <c r="A13599" s="8" t="str">
        <f ca="1">IFERROR(__xludf.DUMMYFUNCTION("""COMPUTED_VALUE"""),"Brunswick, Mark")</f>
        <v>Brunswick, Mark</v>
      </c>
      <c r="B13599" s="2"/>
      <c r="C13599" s="2"/>
      <c r="D13599" s="8" t="str">
        <f ca="1">IFERROR(__xludf.DUMMYFUNCTION("""COMPUTED_VALUE"""),"")</f>
        <v/>
      </c>
      <c r="E13599" s="2"/>
    </row>
    <row r="13600" spans="1:5" ht="13">
      <c r="A13600" s="8" t="str">
        <f ca="1">IFERROR(__xludf.DUMMYFUNCTION("""COMPUTED_VALUE"""),"Brunz")</f>
        <v>Brunz</v>
      </c>
      <c r="B13600" s="2"/>
      <c r="C13600" s="2"/>
      <c r="D13600" s="8" t="str">
        <f ca="1">IFERROR(__xludf.DUMMYFUNCTION("""COMPUTED_VALUE"""),"")</f>
        <v/>
      </c>
      <c r="E13600" s="2"/>
    </row>
    <row r="13601" spans="1:5" ht="13">
      <c r="A13601" s="8" t="str">
        <f ca="1">IFERROR(__xludf.DUMMYFUNCTION("""COMPUTED_VALUE"""),"Brusselmans, Michel")</f>
        <v>Brusselmans, Michel</v>
      </c>
      <c r="B13601" s="2"/>
      <c r="C13601" s="2"/>
      <c r="D13601" s="8" t="str">
        <f ca="1">IFERROR(__xludf.DUMMYFUNCTION("""COMPUTED_VALUE"""),"")</f>
        <v/>
      </c>
      <c r="E13601" s="2"/>
    </row>
    <row r="13602" spans="1:5" ht="13">
      <c r="A13602" s="8" t="str">
        <f ca="1">IFERROR(__xludf.DUMMYFUNCTION("""COMPUTED_VALUE"""),"Buchardo, Carlos (or Lopez-Buchardo)")</f>
        <v>Buchardo, Carlos (or Lopez-Buchardo)</v>
      </c>
      <c r="B13602" s="2"/>
      <c r="C13602" s="2"/>
      <c r="D13602" s="8" t="str">
        <f ca="1">IFERROR(__xludf.DUMMYFUNCTION("""COMPUTED_VALUE"""),"")</f>
        <v/>
      </c>
      <c r="E13602" s="2"/>
    </row>
    <row r="13603" spans="1:5" ht="13">
      <c r="A13603" s="8" t="str">
        <f ca="1">IFERROR(__xludf.DUMMYFUNCTION("""COMPUTED_VALUE"""),"Bucharoff, Simon")</f>
        <v>Bucharoff, Simon</v>
      </c>
      <c r="B13603" s="2"/>
      <c r="C13603" s="2"/>
      <c r="D13603" s="8" t="str">
        <f ca="1">IFERROR(__xludf.DUMMYFUNCTION("""COMPUTED_VALUE"""),"")</f>
        <v/>
      </c>
      <c r="E13603" s="2"/>
    </row>
    <row r="13604" spans="1:5" ht="13">
      <c r="A13604" s="8" t="str">
        <f ca="1">IFERROR(__xludf.DUMMYFUNCTION("""COMPUTED_VALUE"""),"Burgm・ler, Norbert")</f>
        <v>Burgm・ler, Norbert</v>
      </c>
      <c r="B13604" s="2"/>
      <c r="C13604" s="2"/>
      <c r="D13604" s="8" t="str">
        <f ca="1">IFERROR(__xludf.DUMMYFUNCTION("""COMPUTED_VALUE"""),"")</f>
        <v/>
      </c>
      <c r="E13604" s="2"/>
    </row>
    <row r="13605" spans="1:5" ht="13">
      <c r="A13605" s="8" t="str">
        <f ca="1">IFERROR(__xludf.DUMMYFUNCTION("""COMPUTED_VALUE"""),"Burmeister, Richard")</f>
        <v>Burmeister, Richard</v>
      </c>
      <c r="B13605" s="2"/>
      <c r="C13605" s="2"/>
      <c r="D13605" s="8" t="str">
        <f ca="1">IFERROR(__xludf.DUMMYFUNCTION("""COMPUTED_VALUE"""),"")</f>
        <v/>
      </c>
      <c r="E13605" s="2"/>
    </row>
    <row r="13606" spans="1:5" ht="13">
      <c r="A13606" s="8" t="str">
        <f ca="1">IFERROR(__xludf.DUMMYFUNCTION("""COMPUTED_VALUE"""),"Buron, Arthur")</f>
        <v>Buron, Arthur</v>
      </c>
      <c r="B13606" s="2"/>
      <c r="C13606" s="2"/>
      <c r="D13606" s="8" t="str">
        <f ca="1">IFERROR(__xludf.DUMMYFUNCTION("""COMPUTED_VALUE"""),"")</f>
        <v/>
      </c>
      <c r="E13606" s="2"/>
    </row>
    <row r="13607" spans="1:5" ht="13">
      <c r="A13607" s="8" t="str">
        <f ca="1">IFERROR(__xludf.DUMMYFUNCTION("""COMPUTED_VALUE"""),"Burt, Francis")</f>
        <v>Burt, Francis</v>
      </c>
      <c r="B13607" s="2"/>
      <c r="C13607" s="2"/>
      <c r="D13607" s="8" t="str">
        <f ca="1">IFERROR(__xludf.DUMMYFUNCTION("""COMPUTED_VALUE"""),"")</f>
        <v/>
      </c>
      <c r="E13607" s="2"/>
    </row>
    <row r="13608" spans="1:5" ht="13">
      <c r="A13608" s="8" t="str">
        <f ca="1">IFERROR(__xludf.DUMMYFUNCTION("""COMPUTED_VALUE"""),"Busch, Adolf")</f>
        <v>Busch, Adolf</v>
      </c>
      <c r="B13608" s="2"/>
      <c r="C13608" s="2"/>
      <c r="D13608" s="8" t="str">
        <f ca="1">IFERROR(__xludf.DUMMYFUNCTION("""COMPUTED_VALUE"""),"")</f>
        <v/>
      </c>
      <c r="E13608" s="2"/>
    </row>
    <row r="13609" spans="1:5" ht="13">
      <c r="A13609" s="8" t="str">
        <f ca="1">IFERROR(__xludf.DUMMYFUNCTION("""COMPUTED_VALUE"""),"Busch, Fritz")</f>
        <v>Busch, Fritz</v>
      </c>
      <c r="B13609" s="2"/>
      <c r="C13609" s="2"/>
      <c r="D13609" s="8" t="str">
        <f ca="1">IFERROR(__xludf.DUMMYFUNCTION("""COMPUTED_VALUE"""),"")</f>
        <v/>
      </c>
      <c r="E13609" s="2"/>
    </row>
    <row r="13610" spans="1:5" ht="13">
      <c r="A13610" s="8" t="str">
        <f ca="1">IFERROR(__xludf.DUMMYFUNCTION("""COMPUTED_VALUE"""),"Caamano, Roberto")</f>
        <v>Caamano, Roberto</v>
      </c>
      <c r="B13610" s="2"/>
      <c r="C13610" s="2"/>
      <c r="D13610" s="8" t="str">
        <f ca="1">IFERROR(__xludf.DUMMYFUNCTION("""COMPUTED_VALUE"""),"")</f>
        <v/>
      </c>
      <c r="E13610" s="2"/>
    </row>
    <row r="13611" spans="1:5" ht="13">
      <c r="A13611" s="8" t="str">
        <f ca="1">IFERROR(__xludf.DUMMYFUNCTION("""COMPUTED_VALUE"""),"Caetani, Roffredo")</f>
        <v>Caetani, Roffredo</v>
      </c>
      <c r="B13611" s="2"/>
      <c r="C13611" s="2"/>
      <c r="D13611" s="8" t="str">
        <f ca="1">IFERROR(__xludf.DUMMYFUNCTION("""COMPUTED_VALUE"""),"")</f>
        <v/>
      </c>
      <c r="E13611" s="2"/>
    </row>
    <row r="13612" spans="1:5" ht="13">
      <c r="A13612" s="8" t="str">
        <f ca="1">IFERROR(__xludf.DUMMYFUNCTION("""COMPUTED_VALUE"""),"Cain, Llewellyn B.")</f>
        <v>Cain, Llewellyn B.</v>
      </c>
      <c r="B13612" s="2"/>
      <c r="C13612" s="2"/>
      <c r="D13612" s="8" t="str">
        <f ca="1">IFERROR(__xludf.DUMMYFUNCTION("""COMPUTED_VALUE"""),"")</f>
        <v/>
      </c>
      <c r="E13612" s="2"/>
    </row>
    <row r="13613" spans="1:5" ht="13">
      <c r="A13613" s="8" t="str">
        <f ca="1">IFERROR(__xludf.DUMMYFUNCTION("""COMPUTED_VALUE"""),"Calker, Darrell")</f>
        <v>Calker, Darrell</v>
      </c>
      <c r="B13613" s="2"/>
      <c r="C13613" s="2"/>
      <c r="D13613" s="8" t="str">
        <f ca="1">IFERROR(__xludf.DUMMYFUNCTION("""COMPUTED_VALUE"""),"")</f>
        <v/>
      </c>
      <c r="E13613" s="2"/>
    </row>
    <row r="13614" spans="1:5" ht="13">
      <c r="A13614" s="8" t="str">
        <f ca="1">IFERROR(__xludf.DUMMYFUNCTION("""COMPUTED_VALUE"""),"Campbell")</f>
        <v>Campbell</v>
      </c>
      <c r="B13614" s="2"/>
      <c r="C13614" s="2"/>
      <c r="D13614" s="8" t="str">
        <f ca="1">IFERROR(__xludf.DUMMYFUNCTION("""COMPUTED_VALUE"""),"")</f>
        <v/>
      </c>
      <c r="E13614" s="2"/>
    </row>
    <row r="13615" spans="1:5" ht="13">
      <c r="A13615" s="8" t="str">
        <f ca="1">IFERROR(__xludf.DUMMYFUNCTION("""COMPUTED_VALUE"""),"Campo, Conrado del")</f>
        <v>Campo, Conrado del</v>
      </c>
      <c r="B13615" s="2"/>
      <c r="C13615" s="2"/>
      <c r="D13615" s="8" t="str">
        <f ca="1">IFERROR(__xludf.DUMMYFUNCTION("""COMPUTED_VALUE"""),"")</f>
        <v/>
      </c>
      <c r="E13615" s="2"/>
    </row>
    <row r="13616" spans="1:5" ht="13">
      <c r="A13616" s="8" t="str">
        <f ca="1">IFERROR(__xludf.DUMMYFUNCTION("""COMPUTED_VALUE"""),"Campra, Andr・Campra")</f>
        <v>Campra, Andr・Campra</v>
      </c>
      <c r="B13616" s="2"/>
      <c r="C13616" s="2"/>
      <c r="D13616" s="8" t="str">
        <f ca="1">IFERROR(__xludf.DUMMYFUNCTION("""COMPUTED_VALUE"""),"")</f>
        <v/>
      </c>
      <c r="E13616" s="2"/>
    </row>
    <row r="13617" spans="1:5" ht="13">
      <c r="A13617" s="8" t="str">
        <f ca="1">IFERROR(__xludf.DUMMYFUNCTION("""COMPUTED_VALUE"""),"Carvalho, Eleazar de")</f>
        <v>Carvalho, Eleazar de</v>
      </c>
      <c r="B13617" s="2"/>
      <c r="C13617" s="2"/>
      <c r="D13617" s="8" t="str">
        <f ca="1">IFERROR(__xludf.DUMMYFUNCTION("""COMPUTED_VALUE"""),"")</f>
        <v/>
      </c>
      <c r="E13617" s="2"/>
    </row>
    <row r="13618" spans="1:5" ht="13">
      <c r="A13618" s="8" t="str">
        <f ca="1">IFERROR(__xludf.DUMMYFUNCTION("""COMPUTED_VALUE"""),"Cary")</f>
        <v>Cary</v>
      </c>
      <c r="B13618" s="2"/>
      <c r="C13618" s="2"/>
      <c r="D13618" s="8" t="str">
        <f ca="1">IFERROR(__xludf.DUMMYFUNCTION("""COMPUTED_VALUE"""),"")</f>
        <v/>
      </c>
      <c r="E13618" s="2"/>
    </row>
    <row r="13619" spans="1:5" ht="13">
      <c r="A13619" s="8" t="str">
        <f ca="1">IFERROR(__xludf.DUMMYFUNCTION("""COMPUTED_VALUE"""),"Casadesus, Robert")</f>
        <v>Casadesus, Robert</v>
      </c>
      <c r="B13619" s="2"/>
      <c r="C13619" s="2"/>
      <c r="D13619" s="8" t="str">
        <f ca="1">IFERROR(__xludf.DUMMYFUNCTION("""COMPUTED_VALUE"""),"")</f>
        <v/>
      </c>
      <c r="E13619" s="2"/>
    </row>
    <row r="13620" spans="1:5" ht="13">
      <c r="A13620" s="8" t="str">
        <f ca="1">IFERROR(__xludf.DUMMYFUNCTION("""COMPUTED_VALUE"""),"Casini鑽e, Yves")</f>
        <v>Casini鑽e, Yves</v>
      </c>
      <c r="B13620" s="2"/>
      <c r="C13620" s="2"/>
      <c r="D13620" s="8" t="str">
        <f ca="1">IFERROR(__xludf.DUMMYFUNCTION("""COMPUTED_VALUE"""),"")</f>
        <v/>
      </c>
      <c r="E13620" s="2"/>
    </row>
    <row r="13621" spans="1:5" ht="13">
      <c r="A13621" s="8" t="str">
        <f ca="1">IFERROR(__xludf.DUMMYFUNCTION("""COMPUTED_VALUE"""),"Cassado, Joaquin")</f>
        <v>Cassado, Joaquin</v>
      </c>
      <c r="B13621" s="2"/>
      <c r="C13621" s="2"/>
      <c r="D13621" s="8" t="str">
        <f ca="1">IFERROR(__xludf.DUMMYFUNCTION("""COMPUTED_VALUE"""),"")</f>
        <v/>
      </c>
      <c r="E13621" s="2"/>
    </row>
    <row r="13622" spans="1:5" ht="13">
      <c r="A13622" s="8" t="str">
        <f ca="1">IFERROR(__xludf.DUMMYFUNCTION("""COMPUTED_VALUE"""),"Castagnone,Riccardo")</f>
        <v>Castagnone,Riccardo</v>
      </c>
      <c r="B13622" s="2"/>
      <c r="C13622" s="2"/>
      <c r="D13622" s="8" t="str">
        <f ca="1">IFERROR(__xludf.DUMMYFUNCTION("""COMPUTED_VALUE"""),"")</f>
        <v/>
      </c>
      <c r="E13622" s="2"/>
    </row>
    <row r="13623" spans="1:5" ht="13">
      <c r="A13623" s="8" t="str">
        <f ca="1">IFERROR(__xludf.DUMMYFUNCTION("""COMPUTED_VALUE"""),"Castaldi, Alfonso")</f>
        <v>Castaldi, Alfonso</v>
      </c>
      <c r="B13623" s="2"/>
      <c r="C13623" s="2"/>
      <c r="D13623" s="8" t="str">
        <f ca="1">IFERROR(__xludf.DUMMYFUNCTION("""COMPUTED_VALUE"""),"")</f>
        <v/>
      </c>
      <c r="E13623" s="2"/>
    </row>
    <row r="13624" spans="1:5" ht="13">
      <c r="A13624" s="8" t="str">
        <f ca="1">IFERROR(__xludf.DUMMYFUNCTION("""COMPUTED_VALUE"""),"Castellini, J. E.")</f>
        <v>Castellini, J. E.</v>
      </c>
      <c r="B13624" s="2"/>
      <c r="C13624" s="2"/>
      <c r="D13624" s="8" t="str">
        <f ca="1">IFERROR(__xludf.DUMMYFUNCTION("""COMPUTED_VALUE"""),"")</f>
        <v/>
      </c>
      <c r="E13624" s="2"/>
    </row>
    <row r="13625" spans="1:5" ht="13">
      <c r="A13625" s="8" t="str">
        <f ca="1">IFERROR(__xludf.DUMMYFUNCTION("""COMPUTED_VALUE"""),"Castiglioni,Niccolo")</f>
        <v>Castiglioni,Niccolo</v>
      </c>
      <c r="B13625" s="2"/>
      <c r="C13625" s="2"/>
      <c r="D13625" s="8" t="str">
        <f ca="1">IFERROR(__xludf.DUMMYFUNCTION("""COMPUTED_VALUE"""),"")</f>
        <v/>
      </c>
      <c r="E13625" s="2"/>
    </row>
    <row r="13626" spans="1:5" ht="13">
      <c r="A13626" s="8" t="str">
        <f ca="1">IFERROR(__xludf.DUMMYFUNCTION("""COMPUTED_VALUE"""),"Castro, Jose Maria")</f>
        <v>Castro, Jose Maria</v>
      </c>
      <c r="B13626" s="2"/>
      <c r="C13626" s="2"/>
      <c r="D13626" s="8" t="str">
        <f ca="1">IFERROR(__xludf.DUMMYFUNCTION("""COMPUTED_VALUE"""),"")</f>
        <v/>
      </c>
      <c r="E13626" s="2"/>
    </row>
    <row r="13627" spans="1:5" ht="13">
      <c r="A13627" s="8" t="str">
        <f ca="1">IFERROR(__xludf.DUMMYFUNCTION("""COMPUTED_VALUE"""),"Castro, Juan Jos・Castro")</f>
        <v>Castro, Juan Jos・Castro</v>
      </c>
      <c r="B13627" s="2"/>
      <c r="C13627" s="2"/>
      <c r="D13627" s="8" t="str">
        <f ca="1">IFERROR(__xludf.DUMMYFUNCTION("""COMPUTED_VALUE"""),"")</f>
        <v/>
      </c>
      <c r="E13627" s="2"/>
    </row>
    <row r="13628" spans="1:5" ht="13">
      <c r="A13628" s="8" t="str">
        <f ca="1">IFERROR(__xludf.DUMMYFUNCTION("""COMPUTED_VALUE"""),"Catel, Charles")</f>
        <v>Catel, Charles</v>
      </c>
      <c r="B13628" s="2"/>
      <c r="C13628" s="2"/>
      <c r="D13628" s="8" t="str">
        <f ca="1">IFERROR(__xludf.DUMMYFUNCTION("""COMPUTED_VALUE"""),"")</f>
        <v/>
      </c>
      <c r="E13628" s="2"/>
    </row>
    <row r="13629" spans="1:5" ht="13">
      <c r="A13629" s="8" t="str">
        <f ca="1">IFERROR(__xludf.DUMMYFUNCTION("""COMPUTED_VALUE"""),"Cattozzo,Nino")</f>
        <v>Cattozzo,Nino</v>
      </c>
      <c r="B13629" s="2"/>
      <c r="C13629" s="2"/>
      <c r="D13629" s="8" t="str">
        <f ca="1">IFERROR(__xludf.DUMMYFUNCTION("""COMPUTED_VALUE"""),"")</f>
        <v/>
      </c>
      <c r="E13629" s="2"/>
    </row>
    <row r="13630" spans="1:5" ht="13">
      <c r="A13630" s="8" t="str">
        <f ca="1">IFERROR(__xludf.DUMMYFUNCTION("""COMPUTED_VALUE"""),"Caturla, Alessandro")</f>
        <v>Caturla, Alessandro</v>
      </c>
      <c r="B13630" s="2"/>
      <c r="C13630" s="2"/>
      <c r="D13630" s="8" t="str">
        <f ca="1">IFERROR(__xludf.DUMMYFUNCTION("""COMPUTED_VALUE"""),"")</f>
        <v/>
      </c>
      <c r="E13630" s="2"/>
    </row>
    <row r="13631" spans="1:5" ht="13">
      <c r="A13631" s="8" t="str">
        <f ca="1">IFERROR(__xludf.DUMMYFUNCTION("""COMPUTED_VALUE"""),"Cauffman,Frank")</f>
        <v>Cauffman,Frank</v>
      </c>
      <c r="B13631" s="2"/>
      <c r="C13631" s="2"/>
      <c r="D13631" s="8" t="str">
        <f ca="1">IFERROR(__xludf.DUMMYFUNCTION("""COMPUTED_VALUE"""),"")</f>
        <v/>
      </c>
      <c r="E13631" s="2"/>
    </row>
    <row r="13632" spans="1:5" ht="13">
      <c r="A13632" s="8" t="str">
        <f ca="1">IFERROR(__xludf.DUMMYFUNCTION("""COMPUTED_VALUE"""),"Cece, Antonio")</f>
        <v>Cece, Antonio</v>
      </c>
      <c r="B13632" s="2"/>
      <c r="C13632" s="2"/>
      <c r="D13632" s="8" t="str">
        <f ca="1">IFERROR(__xludf.DUMMYFUNCTION("""COMPUTED_VALUE"""),"")</f>
        <v/>
      </c>
      <c r="E13632" s="2"/>
    </row>
    <row r="13633" spans="1:5" ht="13">
      <c r="A13633" s="8" t="str">
        <f ca="1">IFERROR(__xludf.DUMMYFUNCTION("""COMPUTED_VALUE"""),"Cella, Theodore")</f>
        <v>Cella, Theodore</v>
      </c>
      <c r="B13633" s="2"/>
      <c r="C13633" s="2"/>
      <c r="D13633" s="8" t="str">
        <f ca="1">IFERROR(__xludf.DUMMYFUNCTION("""COMPUTED_VALUE"""),"")</f>
        <v/>
      </c>
      <c r="E13633" s="2"/>
    </row>
    <row r="13634" spans="1:5" ht="13">
      <c r="A13634" s="8" t="str">
        <f ca="1">IFERROR(__xludf.DUMMYFUNCTION("""COMPUTED_VALUE"""),"Cesana,Otto")</f>
        <v>Cesana,Otto</v>
      </c>
      <c r="B13634" s="2"/>
      <c r="C13634" s="2"/>
      <c r="D13634" s="8" t="str">
        <f ca="1">IFERROR(__xludf.DUMMYFUNCTION("""COMPUTED_VALUE"""),"")</f>
        <v/>
      </c>
      <c r="E13634" s="2"/>
    </row>
    <row r="13635" spans="1:5" ht="13">
      <c r="A13635" s="8" t="str">
        <f ca="1">IFERROR(__xludf.DUMMYFUNCTION("""COMPUTED_VALUE"""),"Cesti, Pietro Antonio")</f>
        <v>Cesti, Pietro Antonio</v>
      </c>
      <c r="B13635" s="2"/>
      <c r="C13635" s="2"/>
      <c r="D13635" s="8" t="str">
        <f ca="1">IFERROR(__xludf.DUMMYFUNCTION("""COMPUTED_VALUE"""),"")</f>
        <v/>
      </c>
      <c r="E13635" s="2"/>
    </row>
    <row r="13636" spans="1:5" ht="13">
      <c r="A13636" s="8" t="str">
        <f ca="1">IFERROR(__xludf.DUMMYFUNCTION("""COMPUTED_VALUE"""),"Chasins, Abraham")</f>
        <v>Chasins, Abraham</v>
      </c>
      <c r="B13636" s="2"/>
      <c r="C13636" s="2"/>
      <c r="D13636" s="8" t="str">
        <f ca="1">IFERROR(__xludf.DUMMYFUNCTION("""COMPUTED_VALUE"""),"")</f>
        <v/>
      </c>
      <c r="E13636" s="2"/>
    </row>
    <row r="13637" spans="1:5" ht="13">
      <c r="A13637" s="8" t="str">
        <f ca="1">IFERROR(__xludf.DUMMYFUNCTION("""COMPUTED_VALUE"""),"Chavarri, Eduardo L.")</f>
        <v>Chavarri, Eduardo L.</v>
      </c>
      <c r="B13637" s="2"/>
      <c r="C13637" s="2"/>
      <c r="D13637" s="8" t="str">
        <f ca="1">IFERROR(__xludf.DUMMYFUNCTION("""COMPUTED_VALUE"""),"")</f>
        <v/>
      </c>
      <c r="E13637" s="2"/>
    </row>
    <row r="13638" spans="1:5" ht="13">
      <c r="A13638" s="8" t="str">
        <f ca="1">IFERROR(__xludf.DUMMYFUNCTION("""COMPUTED_VALUE"""),"Cheslock, Louis")</f>
        <v>Cheslock, Louis</v>
      </c>
      <c r="B13638" s="2"/>
      <c r="C13638" s="2"/>
      <c r="D13638" s="8" t="str">
        <f ca="1">IFERROR(__xludf.DUMMYFUNCTION("""COMPUTED_VALUE"""),"")</f>
        <v/>
      </c>
      <c r="E13638" s="2"/>
    </row>
    <row r="13639" spans="1:5" ht="13">
      <c r="A13639" s="8" t="str">
        <f ca="1">IFERROR(__xludf.DUMMYFUNCTION("""COMPUTED_VALUE"""),"Chiaffarelli, Albert")</f>
        <v>Chiaffarelli, Albert</v>
      </c>
      <c r="B13639" s="2"/>
      <c r="C13639" s="2"/>
      <c r="D13639" s="8" t="str">
        <f ca="1">IFERROR(__xludf.DUMMYFUNCTION("""COMPUTED_VALUE"""),"")</f>
        <v/>
      </c>
      <c r="E13639" s="2"/>
    </row>
    <row r="13640" spans="1:5" ht="13">
      <c r="A13640" s="8" t="str">
        <f ca="1">IFERROR(__xludf.DUMMYFUNCTION("""COMPUTED_VALUE"""),"Cimara, Pietro")</f>
        <v>Cimara, Pietro</v>
      </c>
      <c r="B13640" s="2"/>
      <c r="C13640" s="2"/>
      <c r="D13640" s="8" t="str">
        <f ca="1">IFERROR(__xludf.DUMMYFUNCTION("""COMPUTED_VALUE"""),"")</f>
        <v/>
      </c>
      <c r="E13640" s="2"/>
    </row>
    <row r="13641" spans="1:5" ht="13">
      <c r="A13641" s="8" t="str">
        <f ca="1">IFERROR(__xludf.DUMMYFUNCTION("""COMPUTED_VALUE"""),"Clapisson, Antoine L.")</f>
        <v>Clapisson, Antoine L.</v>
      </c>
      <c r="B13641" s="2"/>
      <c r="C13641" s="2"/>
      <c r="D13641" s="8" t="str">
        <f ca="1">IFERROR(__xludf.DUMMYFUNCTION("""COMPUTED_VALUE"""),"")</f>
        <v/>
      </c>
      <c r="E13641" s="2"/>
    </row>
    <row r="13642" spans="1:5" ht="13">
      <c r="A13642" s="8" t="str">
        <f ca="1">IFERROR(__xludf.DUMMYFUNCTION("""COMPUTED_VALUE"""),"Clapp, Philip G.")</f>
        <v>Clapp, Philip G.</v>
      </c>
      <c r="B13642" s="2"/>
      <c r="C13642" s="2"/>
      <c r="D13642" s="8" t="str">
        <f ca="1">IFERROR(__xludf.DUMMYFUNCTION("""COMPUTED_VALUE"""),"")</f>
        <v/>
      </c>
      <c r="E13642" s="2"/>
    </row>
    <row r="13643" spans="1:5" ht="13">
      <c r="A13643" s="8" t="str">
        <f ca="1">IFERROR(__xludf.DUMMYFUNCTION("""COMPUTED_VALUE"""),"Cliff, Charles J.")</f>
        <v>Cliff, Charles J.</v>
      </c>
      <c r="B13643" s="2"/>
      <c r="C13643" s="2"/>
      <c r="D13643" s="8" t="str">
        <f ca="1">IFERROR(__xludf.DUMMYFUNCTION("""COMPUTED_VALUE"""),"")</f>
        <v/>
      </c>
      <c r="E13643" s="2"/>
    </row>
    <row r="13644" spans="1:5" ht="13">
      <c r="A13644" s="8" t="str">
        <f ca="1">IFERROR(__xludf.DUMMYFUNCTION("""COMPUTED_VALUE"""),"Clough-Leighter, H.")</f>
        <v>Clough-Leighter, H.</v>
      </c>
      <c r="B13644" s="2"/>
      <c r="C13644" s="2"/>
      <c r="D13644" s="8" t="str">
        <f ca="1">IFERROR(__xludf.DUMMYFUNCTION("""COMPUTED_VALUE"""),"")</f>
        <v/>
      </c>
      <c r="E13644" s="2"/>
    </row>
    <row r="13645" spans="1:5" ht="13">
      <c r="A13645" s="8" t="str">
        <f ca="1">IFERROR(__xludf.DUMMYFUNCTION("""COMPUTED_VALUE"""),"Coerne, Louis")</f>
        <v>Coerne, Louis</v>
      </c>
      <c r="B13645" s="2"/>
      <c r="C13645" s="2"/>
      <c r="D13645" s="8" t="str">
        <f ca="1">IFERROR(__xludf.DUMMYFUNCTION("""COMPUTED_VALUE"""),"")</f>
        <v/>
      </c>
      <c r="E13645" s="2"/>
    </row>
    <row r="13646" spans="1:5" ht="13">
      <c r="A13646" s="8" t="str">
        <f ca="1">IFERROR(__xludf.DUMMYFUNCTION("""COMPUTED_VALUE"""),"Coffey")</f>
        <v>Coffey</v>
      </c>
      <c r="B13646" s="2"/>
      <c r="C13646" s="2"/>
      <c r="D13646" s="8" t="str">
        <f ca="1">IFERROR(__xludf.DUMMYFUNCTION("""COMPUTED_VALUE"""),"")</f>
        <v/>
      </c>
      <c r="E13646" s="2"/>
    </row>
    <row r="13647" spans="1:5" ht="13">
      <c r="A13647" s="8" t="str">
        <f ca="1">IFERROR(__xludf.DUMMYFUNCTION("""COMPUTED_VALUE"""),"Cogan, Robert")</f>
        <v>Cogan, Robert</v>
      </c>
      <c r="B13647" s="2"/>
      <c r="C13647" s="2"/>
      <c r="D13647" s="8" t="str">
        <f ca="1">IFERROR(__xludf.DUMMYFUNCTION("""COMPUTED_VALUE"""),"")</f>
        <v/>
      </c>
      <c r="E13647" s="2"/>
    </row>
    <row r="13648" spans="1:5" ht="13">
      <c r="A13648" s="8" t="str">
        <f ca="1">IFERROR(__xludf.DUMMYFUNCTION("""COMPUTED_VALUE"""),"Cole, Rossetter")</f>
        <v>Cole, Rossetter</v>
      </c>
      <c r="B13648" s="2"/>
      <c r="C13648" s="2"/>
      <c r="D13648" s="8" t="str">
        <f ca="1">IFERROR(__xludf.DUMMYFUNCTION("""COMPUTED_VALUE"""),"")</f>
        <v/>
      </c>
      <c r="E13648" s="2"/>
    </row>
    <row r="13649" spans="1:5" ht="13">
      <c r="A13649" s="8" t="str">
        <f ca="1">IFERROR(__xludf.DUMMYFUNCTION("""COMPUTED_VALUE"""),"Cole, Ulric")</f>
        <v>Cole, Ulric</v>
      </c>
      <c r="B13649" s="2"/>
      <c r="C13649" s="2"/>
      <c r="D13649" s="8" t="str">
        <f ca="1">IFERROR(__xludf.DUMMYFUNCTION("""COMPUTED_VALUE"""),"")</f>
        <v/>
      </c>
      <c r="E13649" s="2"/>
    </row>
    <row r="13650" spans="1:5" ht="13">
      <c r="A13650" s="8" t="str">
        <f ca="1">IFERROR(__xludf.DUMMYFUNCTION("""COMPUTED_VALUE"""),"Colgrass, Arthur")</f>
        <v>Colgrass, Arthur</v>
      </c>
      <c r="B13650" s="2"/>
      <c r="C13650" s="2"/>
      <c r="D13650" s="8" t="str">
        <f ca="1">IFERROR(__xludf.DUMMYFUNCTION("""COMPUTED_VALUE"""),"")</f>
        <v/>
      </c>
      <c r="E13650" s="2"/>
    </row>
    <row r="13651" spans="1:5" ht="13">
      <c r="A13651" s="8" t="str">
        <f ca="1">IFERROR(__xludf.DUMMYFUNCTION("""COMPUTED_VALUE"""),"Constant, Marius")</f>
        <v>Constant, Marius</v>
      </c>
      <c r="B13651" s="2"/>
      <c r="C13651" s="2"/>
      <c r="D13651" s="8" t="str">
        <f ca="1">IFERROR(__xludf.DUMMYFUNCTION("""COMPUTED_VALUE"""),"")</f>
        <v/>
      </c>
      <c r="E13651" s="2"/>
    </row>
    <row r="13652" spans="1:5" ht="13">
      <c r="A13652" s="8" t="str">
        <f ca="1">IFERROR(__xludf.DUMMYFUNCTION("""COMPUTED_VALUE"""),"Cooley, Carleton")</f>
        <v>Cooley, Carleton</v>
      </c>
      <c r="B13652" s="2"/>
      <c r="C13652" s="2"/>
      <c r="D13652" s="8" t="str">
        <f ca="1">IFERROR(__xludf.DUMMYFUNCTION("""COMPUTED_VALUE"""),"")</f>
        <v/>
      </c>
      <c r="E13652" s="2"/>
    </row>
    <row r="13653" spans="1:5" ht="13">
      <c r="A13653" s="2" t="str">
        <f ca="1">IFERROR(__xludf.DUMMYFUNCTION("""COMPUTED_VALUE"""),"Copland, Aaron / Fine, Irving")</f>
        <v>Copland, Aaron / Fine, Irving</v>
      </c>
      <c r="B13653" s="2"/>
      <c r="C13653" s="2"/>
      <c r="D13653" s="8" t="str">
        <f ca="1">IFERROR(__xludf.DUMMYFUNCTION("""COMPUTED_VALUE"""),"")</f>
        <v/>
      </c>
      <c r="E13653" s="2"/>
    </row>
    <row r="13654" spans="1:5" ht="13">
      <c r="A13654" s="2" t="str">
        <f ca="1">IFERROR(__xludf.DUMMYFUNCTION("""COMPUTED_VALUE"""),"Copland, Aaron / Wilding-White, Raymond")</f>
        <v>Copland, Aaron / Wilding-White, Raymond</v>
      </c>
      <c r="B13654" s="2"/>
      <c r="C13654" s="2"/>
      <c r="D13654" s="8" t="str">
        <f ca="1">IFERROR(__xludf.DUMMYFUNCTION("""COMPUTED_VALUE"""),"")</f>
        <v/>
      </c>
      <c r="E13654" s="2"/>
    </row>
    <row r="13655" spans="1:5" ht="13">
      <c r="A13655" s="8" t="str">
        <f ca="1">IFERROR(__xludf.DUMMYFUNCTION("""COMPUTED_VALUE"""),"Coppola, Carmine")</f>
        <v>Coppola, Carmine</v>
      </c>
      <c r="B13655" s="2"/>
      <c r="C13655" s="2"/>
      <c r="D13655" s="8" t="str">
        <f ca="1">IFERROR(__xludf.DUMMYFUNCTION("""COMPUTED_VALUE"""),"")</f>
        <v/>
      </c>
      <c r="E13655" s="2"/>
    </row>
    <row r="13656" spans="1:5" ht="13">
      <c r="A13656" s="8" t="str">
        <f ca="1">IFERROR(__xludf.DUMMYFUNCTION("""COMPUTED_VALUE"""),"Coppola, Piero")</f>
        <v>Coppola, Piero</v>
      </c>
      <c r="B13656" s="2"/>
      <c r="C13656" s="2"/>
      <c r="D13656" s="8" t="str">
        <f ca="1">IFERROR(__xludf.DUMMYFUNCTION("""COMPUTED_VALUE"""),"")</f>
        <v/>
      </c>
      <c r="E13656" s="2"/>
    </row>
    <row r="13657" spans="1:5" ht="13">
      <c r="A13657" s="8" t="str">
        <f ca="1">IFERROR(__xludf.DUMMYFUNCTION("""COMPUTED_VALUE"""),"Cornelissen, Arnold")</f>
        <v>Cornelissen, Arnold</v>
      </c>
      <c r="B13657" s="2"/>
      <c r="C13657" s="2"/>
      <c r="D13657" s="8" t="str">
        <f ca="1">IFERROR(__xludf.DUMMYFUNCTION("""COMPUTED_VALUE"""),"")</f>
        <v/>
      </c>
      <c r="E13657" s="2"/>
    </row>
    <row r="13658" spans="1:5" ht="13">
      <c r="A13658" s="8" t="str">
        <f ca="1">IFERROR(__xludf.DUMMYFUNCTION("""COMPUTED_VALUE"""),"Cortese, Luigi")</f>
        <v>Cortese, Luigi</v>
      </c>
      <c r="B13658" s="2"/>
      <c r="C13658" s="2"/>
      <c r="D13658" s="8" t="str">
        <f ca="1">IFERROR(__xludf.DUMMYFUNCTION("""COMPUTED_VALUE"""),"")</f>
        <v/>
      </c>
      <c r="E13658" s="2"/>
    </row>
    <row r="13659" spans="1:5" ht="13">
      <c r="A13659" s="8" t="str">
        <f ca="1">IFERROR(__xludf.DUMMYFUNCTION("""COMPUTED_VALUE"""),"Cortez, Ramiro")</f>
        <v>Cortez, Ramiro</v>
      </c>
      <c r="B13659" s="2"/>
      <c r="C13659" s="2"/>
      <c r="D13659" s="8" t="str">
        <f ca="1">IFERROR(__xludf.DUMMYFUNCTION("""COMPUTED_VALUE"""),"")</f>
        <v/>
      </c>
      <c r="E13659" s="2"/>
    </row>
    <row r="13660" spans="1:5" ht="13">
      <c r="A13660" s="8" t="str">
        <f ca="1">IFERROR(__xludf.DUMMYFUNCTION("""COMPUTED_VALUE"""),"Costa, Michael")</f>
        <v>Costa, Michael</v>
      </c>
      <c r="B13660" s="2"/>
      <c r="C13660" s="2"/>
      <c r="D13660" s="8" t="str">
        <f ca="1">IFERROR(__xludf.DUMMYFUNCTION("""COMPUTED_VALUE"""),"")</f>
        <v/>
      </c>
      <c r="E13660" s="2"/>
    </row>
    <row r="13661" spans="1:5" ht="13">
      <c r="A13661" s="8" t="str">
        <f ca="1">IFERROR(__xludf.DUMMYFUNCTION("""COMPUTED_VALUE"""),"Cowell, John")</f>
        <v>Cowell, John</v>
      </c>
      <c r="B13661" s="2"/>
      <c r="C13661" s="2"/>
      <c r="D13661" s="8" t="str">
        <f ca="1">IFERROR(__xludf.DUMMYFUNCTION("""COMPUTED_VALUE"""),"")</f>
        <v/>
      </c>
      <c r="E13661" s="2"/>
    </row>
    <row r="13662" spans="1:5" ht="13">
      <c r="A13662" s="8" t="str">
        <f ca="1">IFERROR(__xludf.DUMMYFUNCTION("""COMPUTED_VALUE"""),"Cowley")</f>
        <v>Cowley</v>
      </c>
      <c r="B13662" s="2"/>
      <c r="C13662" s="2"/>
      <c r="D13662" s="8" t="str">
        <f ca="1">IFERROR(__xludf.DUMMYFUNCTION("""COMPUTED_VALUE"""),"")</f>
        <v/>
      </c>
      <c r="E13662" s="2"/>
    </row>
    <row r="13663" spans="1:5" ht="13">
      <c r="A13663" s="8" t="str">
        <f ca="1">IFERROR(__xludf.DUMMYFUNCTION("""COMPUTED_VALUE"""),"Crisman, Merwin")</f>
        <v>Crisman, Merwin</v>
      </c>
      <c r="B13663" s="2"/>
      <c r="C13663" s="2"/>
      <c r="D13663" s="8" t="str">
        <f ca="1">IFERROR(__xludf.DUMMYFUNCTION("""COMPUTED_VALUE"""),"")</f>
        <v/>
      </c>
      <c r="E13663" s="2"/>
    </row>
    <row r="13664" spans="1:5" ht="13">
      <c r="A13664" s="8" t="str">
        <f ca="1">IFERROR(__xludf.DUMMYFUNCTION("""COMPUTED_VALUE"""),"Crist, Bainbridge")</f>
        <v>Crist, Bainbridge</v>
      </c>
      <c r="B13664" s="2"/>
      <c r="C13664" s="2"/>
      <c r="D13664" s="8" t="str">
        <f ca="1">IFERROR(__xludf.DUMMYFUNCTION("""COMPUTED_VALUE"""),"")</f>
        <v/>
      </c>
      <c r="E13664" s="2"/>
    </row>
    <row r="13665" spans="1:5" ht="13">
      <c r="A13665" s="8" t="str">
        <f ca="1">IFERROR(__xludf.DUMMYFUNCTION("""COMPUTED_VALUE"""),"Curry, Arthur")</f>
        <v>Curry, Arthur</v>
      </c>
      <c r="B13665" s="2"/>
      <c r="C13665" s="2"/>
      <c r="D13665" s="8" t="str">
        <f ca="1">IFERROR(__xludf.DUMMYFUNCTION("""COMPUTED_VALUE"""),"")</f>
        <v/>
      </c>
      <c r="E13665" s="2"/>
    </row>
    <row r="13666" spans="1:5" ht="13">
      <c r="A13666" s="8" t="str">
        <f ca="1">IFERROR(__xludf.DUMMYFUNCTION("""COMPUTED_VALUE"""),"Custer, Arthur")</f>
        <v>Custer, Arthur</v>
      </c>
      <c r="B13666" s="2"/>
      <c r="C13666" s="2"/>
      <c r="D13666" s="8" t="str">
        <f ca="1">IFERROR(__xludf.DUMMYFUNCTION("""COMPUTED_VALUE"""),"")</f>
        <v/>
      </c>
      <c r="E13666" s="2"/>
    </row>
    <row r="13667" spans="1:5" ht="13">
      <c r="A13667" s="8" t="str">
        <f ca="1">IFERROR(__xludf.DUMMYFUNCTION("""COMPUTED_VALUE"""),"Cutler, William H.")</f>
        <v>Cutler, William H.</v>
      </c>
      <c r="B13667" s="2"/>
      <c r="C13667" s="2"/>
      <c r="D13667" s="8" t="str">
        <f ca="1">IFERROR(__xludf.DUMMYFUNCTION("""COMPUTED_VALUE"""),"")</f>
        <v/>
      </c>
      <c r="E13667" s="2"/>
    </row>
    <row r="13668" spans="1:5" ht="13">
      <c r="A13668" s="8" t="str">
        <f ca="1">IFERROR(__xludf.DUMMYFUNCTION("""COMPUTED_VALUE"""),"d'Alessandro, Raffaelo")</f>
        <v>d'Alessandro, Raffaelo</v>
      </c>
      <c r="B13668" s="2"/>
      <c r="C13668" s="2"/>
      <c r="D13668" s="8" t="str">
        <f ca="1">IFERROR(__xludf.DUMMYFUNCTION("""COMPUTED_VALUE"""),"")</f>
        <v/>
      </c>
      <c r="E13668" s="2"/>
    </row>
    <row r="13669" spans="1:5" ht="13">
      <c r="A13669" s="8" t="str">
        <f ca="1">IFERROR(__xludf.DUMMYFUNCTION("""COMPUTED_VALUE"""),"d'Ambrosio, Alfred")</f>
        <v>d'Ambrosio, Alfred</v>
      </c>
      <c r="B13669" s="2"/>
      <c r="C13669" s="2"/>
      <c r="D13669" s="8" t="str">
        <f ca="1">IFERROR(__xludf.DUMMYFUNCTION("""COMPUTED_VALUE"""),"")</f>
        <v/>
      </c>
      <c r="E13669" s="2"/>
    </row>
    <row r="13670" spans="1:5" ht="13">
      <c r="A13670" s="8" t="str">
        <f ca="1">IFERROR(__xludf.DUMMYFUNCTION("""COMPUTED_VALUE"""),"d'Astorga, Emanuele")</f>
        <v>d'Astorga, Emanuele</v>
      </c>
      <c r="B13670" s="2"/>
      <c r="C13670" s="2"/>
      <c r="D13670" s="8" t="str">
        <f ca="1">IFERROR(__xludf.DUMMYFUNCTION("""COMPUTED_VALUE"""),"")</f>
        <v/>
      </c>
      <c r="E13670" s="2"/>
    </row>
    <row r="13671" spans="1:5" ht="13">
      <c r="A13671" s="8" t="str">
        <f ca="1">IFERROR(__xludf.DUMMYFUNCTION("""COMPUTED_VALUE"""),"D'Harcourt, Marguerite")</f>
        <v>D'Harcourt, Marguerite</v>
      </c>
      <c r="B13671" s="2"/>
      <c r="C13671" s="2"/>
      <c r="D13671" s="8" t="str">
        <f ca="1">IFERROR(__xludf.DUMMYFUNCTION("""COMPUTED_VALUE"""),"")</f>
        <v/>
      </c>
      <c r="E13671" s="2"/>
    </row>
    <row r="13672" spans="1:5" ht="13">
      <c r="A13672" s="8" t="str">
        <f ca="1">IFERROR(__xludf.DUMMYFUNCTION("""COMPUTED_VALUE"""),"Dachauer")</f>
        <v>Dachauer</v>
      </c>
      <c r="B13672" s="2"/>
      <c r="C13672" s="2"/>
      <c r="D13672" s="8" t="str">
        <f ca="1">IFERROR(__xludf.DUMMYFUNCTION("""COMPUTED_VALUE"""),"")</f>
        <v/>
      </c>
      <c r="E13672" s="2"/>
    </row>
    <row r="13673" spans="1:5" ht="13">
      <c r="A13673" s="8" t="str">
        <f ca="1">IFERROR(__xludf.DUMMYFUNCTION("""COMPUTED_VALUE"""),"Dalby")</f>
        <v>Dalby</v>
      </c>
      <c r="B13673" s="2"/>
      <c r="C13673" s="2"/>
      <c r="D13673" s="8" t="str">
        <f ca="1">IFERROR(__xludf.DUMMYFUNCTION("""COMPUTED_VALUE"""),"")</f>
        <v/>
      </c>
      <c r="E13673" s="2"/>
    </row>
    <row r="13674" spans="1:5" ht="13">
      <c r="A13674" s="8" t="str">
        <f ca="1">IFERROR(__xludf.DUMMYFUNCTION("""COMPUTED_VALUE"""),"Dale, Kathleen Richards")</f>
        <v>Dale, Kathleen Richards</v>
      </c>
      <c r="B13674" s="2"/>
      <c r="C13674" s="2"/>
      <c r="D13674" s="8" t="str">
        <f ca="1">IFERROR(__xludf.DUMMYFUNCTION("""COMPUTED_VALUE"""),"")</f>
        <v/>
      </c>
      <c r="E13674" s="2"/>
    </row>
    <row r="13675" spans="1:5" ht="13">
      <c r="A13675" s="8" t="str">
        <f ca="1">IFERROR(__xludf.DUMMYFUNCTION("""COMPUTED_VALUE"""),"Dalgleish, James")</f>
        <v>Dalgleish, James</v>
      </c>
      <c r="B13675" s="2"/>
      <c r="C13675" s="2"/>
      <c r="D13675" s="8" t="str">
        <f ca="1">IFERROR(__xludf.DUMMYFUNCTION("""COMPUTED_VALUE"""),"")</f>
        <v/>
      </c>
      <c r="E13675" s="2"/>
    </row>
    <row r="13676" spans="1:5" ht="13">
      <c r="A13676" s="8" t="str">
        <f ca="1">IFERROR(__xludf.DUMMYFUNCTION("""COMPUTED_VALUE"""),"Dall'Abaco, Evaristo")</f>
        <v>Dall'Abaco, Evaristo</v>
      </c>
      <c r="B13676" s="2"/>
      <c r="C13676" s="2"/>
      <c r="D13676" s="8" t="str">
        <f ca="1">IFERROR(__xludf.DUMMYFUNCTION("""COMPUTED_VALUE"""),"")</f>
        <v/>
      </c>
      <c r="E13676" s="2"/>
    </row>
    <row r="13677" spans="1:5" ht="13">
      <c r="A13677" s="8" t="str">
        <f ca="1">IFERROR(__xludf.DUMMYFUNCTION("""COMPUTED_VALUE"""),"Dall'Aqua")</f>
        <v>Dall'Aqua</v>
      </c>
      <c r="B13677" s="2"/>
      <c r="C13677" s="2"/>
      <c r="D13677" s="8" t="str">
        <f ca="1">IFERROR(__xludf.DUMMYFUNCTION("""COMPUTED_VALUE"""),"")</f>
        <v/>
      </c>
      <c r="E13677" s="2"/>
    </row>
    <row r="13678" spans="1:5" ht="13">
      <c r="A13678" s="8" t="str">
        <f ca="1">IFERROR(__xludf.DUMMYFUNCTION("""COMPUTED_VALUE"""),"Damrosch, Leopold")</f>
        <v>Damrosch, Leopold</v>
      </c>
      <c r="B13678" s="2"/>
      <c r="C13678" s="2"/>
      <c r="D13678" s="8" t="str">
        <f ca="1">IFERROR(__xludf.DUMMYFUNCTION("""COMPUTED_VALUE"""),"")</f>
        <v/>
      </c>
      <c r="E13678" s="2"/>
    </row>
    <row r="13679" spans="1:5" ht="13">
      <c r="A13679" s="8" t="str">
        <f ca="1">IFERROR(__xludf.DUMMYFUNCTION("""COMPUTED_VALUE"""),"Daniels, Mabel W.")</f>
        <v>Daniels, Mabel W.</v>
      </c>
      <c r="B13679" s="2"/>
      <c r="C13679" s="2"/>
      <c r="D13679" s="8" t="str">
        <f ca="1">IFERROR(__xludf.DUMMYFUNCTION("""COMPUTED_VALUE"""),"")</f>
        <v/>
      </c>
      <c r="E13679" s="2"/>
    </row>
    <row r="13680" spans="1:5" ht="13">
      <c r="A13680" s="8" t="str">
        <f ca="1">IFERROR(__xludf.DUMMYFUNCTION("""COMPUTED_VALUE"""),"Dargomiszky, Alexander S.")</f>
        <v>Dargomiszky, Alexander S.</v>
      </c>
      <c r="B13680" s="2"/>
      <c r="C13680" s="2"/>
      <c r="D13680" s="8" t="str">
        <f ca="1">IFERROR(__xludf.DUMMYFUNCTION("""COMPUTED_VALUE"""),"")</f>
        <v/>
      </c>
      <c r="E13680" s="2"/>
    </row>
    <row r="13681" spans="1:5" ht="13">
      <c r="A13681" s="8" t="str">
        <f ca="1">IFERROR(__xludf.DUMMYFUNCTION("""COMPUTED_VALUE"""),"Dauvergne, Antoine")</f>
        <v>Dauvergne, Antoine</v>
      </c>
      <c r="B13681" s="2"/>
      <c r="C13681" s="2"/>
      <c r="D13681" s="8" t="str">
        <f ca="1">IFERROR(__xludf.DUMMYFUNCTION("""COMPUTED_VALUE"""),"")</f>
        <v/>
      </c>
      <c r="E13681" s="2"/>
    </row>
    <row r="13682" spans="1:5" ht="13">
      <c r="A13682" s="8" t="str">
        <f ca="1">IFERROR(__xludf.DUMMYFUNCTION("""COMPUTED_VALUE"""),"Davico, Vincenzo")</f>
        <v>Davico, Vincenzo</v>
      </c>
      <c r="B13682" s="2"/>
      <c r="C13682" s="2"/>
      <c r="D13682" s="8" t="str">
        <f ca="1">IFERROR(__xludf.DUMMYFUNCTION("""COMPUTED_VALUE"""),"")</f>
        <v/>
      </c>
      <c r="E13682" s="2"/>
    </row>
    <row r="13683" spans="1:5" ht="13">
      <c r="A13683" s="8" t="str">
        <f ca="1">IFERROR(__xludf.DUMMYFUNCTION("""COMPUTED_VALUE"""),"Davidoff, Karl")</f>
        <v>Davidoff, Karl</v>
      </c>
      <c r="B13683" s="2"/>
      <c r="C13683" s="2"/>
      <c r="D13683" s="8" t="str">
        <f ca="1">IFERROR(__xludf.DUMMYFUNCTION("""COMPUTED_VALUE"""),"")</f>
        <v/>
      </c>
      <c r="E13683" s="2"/>
    </row>
    <row r="13684" spans="1:5" ht="13">
      <c r="A13684" s="8" t="str">
        <f ca="1">IFERROR(__xludf.DUMMYFUNCTION("""COMPUTED_VALUE"""),"Davies, Sir H. Walford")</f>
        <v>Davies, Sir H. Walford</v>
      </c>
      <c r="B13684" s="2"/>
      <c r="C13684" s="2"/>
      <c r="D13684" s="8" t="str">
        <f ca="1">IFERROR(__xludf.DUMMYFUNCTION("""COMPUTED_VALUE"""),"")</f>
        <v/>
      </c>
      <c r="E13684" s="2"/>
    </row>
    <row r="13685" spans="1:5" ht="13">
      <c r="A13685" s="8" t="str">
        <f ca="1">IFERROR(__xludf.DUMMYFUNCTION("""COMPUTED_VALUE"""),"Davis, Hilda Emery")</f>
        <v>Davis, Hilda Emery</v>
      </c>
      <c r="B13685" s="2"/>
      <c r="C13685" s="2"/>
      <c r="D13685" s="8" t="str">
        <f ca="1">IFERROR(__xludf.DUMMYFUNCTION("""COMPUTED_VALUE"""),"")</f>
        <v/>
      </c>
      <c r="E13685" s="2"/>
    </row>
    <row r="13686" spans="1:5" ht="13">
      <c r="A13686" s="8" t="str">
        <f ca="1">IFERROR(__xludf.DUMMYFUNCTION("""COMPUTED_VALUE"""),"De Beriot, Charles A.")</f>
        <v>De Beriot, Charles A.</v>
      </c>
      <c r="B13686" s="2"/>
      <c r="C13686" s="2"/>
      <c r="D13686" s="8" t="str">
        <f ca="1">IFERROR(__xludf.DUMMYFUNCTION("""COMPUTED_VALUE"""),"")</f>
        <v/>
      </c>
      <c r="E13686" s="2"/>
    </row>
    <row r="13687" spans="1:5" ht="13">
      <c r="A13687" s="8" t="str">
        <f ca="1">IFERROR(__xludf.DUMMYFUNCTION("""COMPUTED_VALUE"""),"De Curtis")</f>
        <v>De Curtis</v>
      </c>
      <c r="B13687" s="2"/>
      <c r="C13687" s="2"/>
      <c r="D13687" s="8" t="str">
        <f ca="1">IFERROR(__xludf.DUMMYFUNCTION("""COMPUTED_VALUE"""),"")</f>
        <v/>
      </c>
      <c r="E13687" s="2"/>
    </row>
    <row r="13688" spans="1:5" ht="13">
      <c r="A13688" s="8" t="str">
        <f ca="1">IFERROR(__xludf.DUMMYFUNCTION("""COMPUTED_VALUE"""),"De Grandval, Nicholas R.")</f>
        <v>De Grandval, Nicholas R.</v>
      </c>
      <c r="B13688" s="2"/>
      <c r="C13688" s="2"/>
      <c r="D13688" s="8" t="str">
        <f ca="1">IFERROR(__xludf.DUMMYFUNCTION("""COMPUTED_VALUE"""),"")</f>
        <v/>
      </c>
      <c r="E13688" s="2"/>
    </row>
    <row r="13689" spans="1:5" ht="13">
      <c r="A13689" s="8" t="str">
        <f ca="1">IFERROR(__xludf.DUMMYFUNCTION("""COMPUTED_VALUE"""),"De Greef, Arthur")</f>
        <v>De Greef, Arthur</v>
      </c>
      <c r="B13689" s="2"/>
      <c r="C13689" s="2"/>
      <c r="D13689" s="8" t="str">
        <f ca="1">IFERROR(__xludf.DUMMYFUNCTION("""COMPUTED_VALUE"""),"")</f>
        <v/>
      </c>
      <c r="E13689" s="2"/>
    </row>
    <row r="13690" spans="1:5" ht="13">
      <c r="A13690" s="8" t="str">
        <f ca="1">IFERROR(__xludf.DUMMYFUNCTION("""COMPUTED_VALUE"""),"De Hartmann, Thomas A.")</f>
        <v>De Hartmann, Thomas A.</v>
      </c>
      <c r="B13690" s="2"/>
      <c r="C13690" s="2"/>
      <c r="D13690" s="8" t="str">
        <f ca="1">IFERROR(__xludf.DUMMYFUNCTION("""COMPUTED_VALUE"""),"")</f>
        <v/>
      </c>
      <c r="E13690" s="2"/>
    </row>
    <row r="13691" spans="1:5" ht="13">
      <c r="A13691" s="8" t="str">
        <f ca="1">IFERROR(__xludf.DUMMYFUNCTION("""COMPUTED_VALUE"""),"De Leeuw, Ton")</f>
        <v>De Leeuw, Ton</v>
      </c>
      <c r="B13691" s="2"/>
      <c r="C13691" s="2"/>
      <c r="D13691" s="8" t="str">
        <f ca="1">IFERROR(__xludf.DUMMYFUNCTION("""COMPUTED_VALUE"""),"")</f>
        <v/>
      </c>
      <c r="E13691" s="2"/>
    </row>
    <row r="13692" spans="1:5" ht="13">
      <c r="A13692" s="8" t="str">
        <f ca="1">IFERROR(__xludf.DUMMYFUNCTION("""COMPUTED_VALUE"""),"de Leon, Javier")</f>
        <v>de Leon, Javier</v>
      </c>
      <c r="B13692" s="2"/>
      <c r="C13692" s="2"/>
      <c r="D13692" s="8" t="str">
        <f ca="1">IFERROR(__xludf.DUMMYFUNCTION("""COMPUTED_VALUE"""),"")</f>
        <v/>
      </c>
      <c r="E13692" s="2"/>
    </row>
    <row r="13693" spans="1:5" ht="13">
      <c r="A13693" s="8" t="str">
        <f ca="1">IFERROR(__xludf.DUMMYFUNCTION("""COMPUTED_VALUE"""),"De Rubertis, Orestes")</f>
        <v>De Rubertis, Orestes</v>
      </c>
      <c r="B13693" s="2"/>
      <c r="C13693" s="2"/>
      <c r="D13693" s="8" t="str">
        <f ca="1">IFERROR(__xludf.DUMMYFUNCTION("""COMPUTED_VALUE"""),"")</f>
        <v/>
      </c>
      <c r="E13693" s="2"/>
    </row>
    <row r="13694" spans="1:5" ht="13">
      <c r="A13694" s="8" t="str">
        <f ca="1">IFERROR(__xludf.DUMMYFUNCTION("""COMPUTED_VALUE"""),"deGastyne, Serge")</f>
        <v>deGastyne, Serge</v>
      </c>
      <c r="B13694" s="2"/>
      <c r="C13694" s="2"/>
      <c r="D13694" s="8" t="str">
        <f ca="1">IFERROR(__xludf.DUMMYFUNCTION("""COMPUTED_VALUE"""),"")</f>
        <v/>
      </c>
      <c r="E13694" s="2"/>
    </row>
    <row r="13695" spans="1:5" ht="13">
      <c r="A13695" s="8" t="str">
        <f ca="1">IFERROR(__xludf.DUMMYFUNCTION("""COMPUTED_VALUE"""),"Delage, Charles M.")</f>
        <v>Delage, Charles M.</v>
      </c>
      <c r="B13695" s="2"/>
      <c r="C13695" s="2"/>
      <c r="D13695" s="8" t="str">
        <f ca="1">IFERROR(__xludf.DUMMYFUNCTION("""COMPUTED_VALUE"""),"")</f>
        <v/>
      </c>
      <c r="E13695" s="2"/>
    </row>
    <row r="13696" spans="1:5" ht="13">
      <c r="A13696" s="8" t="str">
        <f ca="1">IFERROR(__xludf.DUMMYFUNCTION("""COMPUTED_VALUE"""),"Delaney, Robert Mills")</f>
        <v>Delaney, Robert Mills</v>
      </c>
      <c r="B13696" s="2"/>
      <c r="C13696" s="2"/>
      <c r="D13696" s="8" t="str">
        <f ca="1">IFERROR(__xludf.DUMMYFUNCTION("""COMPUTED_VALUE"""),"")</f>
        <v/>
      </c>
      <c r="E13696" s="2"/>
    </row>
    <row r="13697" spans="1:5" ht="13">
      <c r="A13697" s="8" t="str">
        <f ca="1">IFERROR(__xludf.DUMMYFUNCTION("""COMPUTED_VALUE"""),"Delannoy, Maurice")</f>
        <v>Delannoy, Maurice</v>
      </c>
      <c r="B13697" s="2"/>
      <c r="C13697" s="2"/>
      <c r="D13697" s="8" t="str">
        <f ca="1">IFERROR(__xludf.DUMMYFUNCTION("""COMPUTED_VALUE"""),"")</f>
        <v/>
      </c>
      <c r="E13697" s="2"/>
    </row>
    <row r="13698" spans="1:5" ht="13">
      <c r="A13698" s="8" t="str">
        <f ca="1">IFERROR(__xludf.DUMMYFUNCTION("""COMPUTED_VALUE"""),"Delmas, Marc")</f>
        <v>Delmas, Marc</v>
      </c>
      <c r="B13698" s="2"/>
      <c r="C13698" s="2"/>
      <c r="D13698" s="8" t="str">
        <f ca="1">IFERROR(__xludf.DUMMYFUNCTION("""COMPUTED_VALUE"""),"")</f>
        <v/>
      </c>
      <c r="E13698" s="2"/>
    </row>
    <row r="13699" spans="1:5" ht="13">
      <c r="A13699" s="8" t="str">
        <f ca="1">IFERROR(__xludf.DUMMYFUNCTION("""COMPUTED_VALUE"""),"Delsart")</f>
        <v>Delsart</v>
      </c>
      <c r="B13699" s="2"/>
      <c r="C13699" s="2"/>
      <c r="D13699" s="8" t="str">
        <f ca="1">IFERROR(__xludf.DUMMYFUNCTION("""COMPUTED_VALUE"""),"")</f>
        <v/>
      </c>
      <c r="E13699" s="2"/>
    </row>
    <row r="13700" spans="1:5" ht="13">
      <c r="A13700" s="8" t="str">
        <f ca="1">IFERROR(__xludf.DUMMYFUNCTION("""COMPUTED_VALUE"""),"Delvincourt, Claude")</f>
        <v>Delvincourt, Claude</v>
      </c>
      <c r="B13700" s="2"/>
      <c r="C13700" s="2"/>
      <c r="D13700" s="8" t="str">
        <f ca="1">IFERROR(__xludf.DUMMYFUNCTION("""COMPUTED_VALUE"""),"")</f>
        <v/>
      </c>
      <c r="E13700" s="2"/>
    </row>
    <row r="13701" spans="1:5" ht="13">
      <c r="A13701" s="8" t="str">
        <f ca="1">IFERROR(__xludf.DUMMYFUNCTION("""COMPUTED_VALUE"""),"Denisov, Edison")</f>
        <v>Denisov, Edison</v>
      </c>
      <c r="B13701" s="2"/>
      <c r="C13701" s="2"/>
      <c r="D13701" s="8" t="str">
        <f ca="1">IFERROR(__xludf.DUMMYFUNCTION("""COMPUTED_VALUE"""),"")</f>
        <v/>
      </c>
      <c r="E13701" s="2"/>
    </row>
    <row r="13702" spans="1:5" ht="13">
      <c r="A13702" s="8" t="str">
        <f ca="1">IFERROR(__xludf.DUMMYFUNCTION("""COMPUTED_VALUE"""),"Denny, William")</f>
        <v>Denny, William</v>
      </c>
      <c r="B13702" s="2"/>
      <c r="C13702" s="2"/>
      <c r="D13702" s="8" t="str">
        <f ca="1">IFERROR(__xludf.DUMMYFUNCTION("""COMPUTED_VALUE"""),"")</f>
        <v/>
      </c>
      <c r="E13702" s="2"/>
    </row>
    <row r="13703" spans="1:5" ht="13">
      <c r="A13703" s="8" t="str">
        <f ca="1">IFERROR(__xludf.DUMMYFUNCTION("""COMPUTED_VALUE"""),"Desplanes, Jean-Antoine")</f>
        <v>Desplanes, Jean-Antoine</v>
      </c>
      <c r="B13703" s="2"/>
      <c r="C13703" s="2"/>
      <c r="D13703" s="8" t="str">
        <f ca="1">IFERROR(__xludf.DUMMYFUNCTION("""COMPUTED_VALUE"""),"")</f>
        <v/>
      </c>
      <c r="E13703" s="2"/>
    </row>
    <row r="13704" spans="1:5" ht="13">
      <c r="A13704" s="8" t="str">
        <f ca="1">IFERROR(__xludf.DUMMYFUNCTION("""COMPUTED_VALUE"""),"Dessagnes, Guntrum")</f>
        <v>Dessagnes, Guntrum</v>
      </c>
      <c r="B13704" s="2"/>
      <c r="C13704" s="2"/>
      <c r="D13704" s="8" t="str">
        <f ca="1">IFERROR(__xludf.DUMMYFUNCTION("""COMPUTED_VALUE"""),"")</f>
        <v/>
      </c>
      <c r="E13704" s="2"/>
    </row>
    <row r="13705" spans="1:5" ht="13">
      <c r="A13705" s="8" t="str">
        <f ca="1">IFERROR(__xludf.DUMMYFUNCTION("""COMPUTED_VALUE"""),"Dessau, Paul")</f>
        <v>Dessau, Paul</v>
      </c>
      <c r="B13705" s="2"/>
      <c r="C13705" s="2"/>
      <c r="D13705" s="8" t="str">
        <f ca="1">IFERROR(__xludf.DUMMYFUNCTION("""COMPUTED_VALUE"""),"")</f>
        <v/>
      </c>
      <c r="E13705" s="2"/>
    </row>
    <row r="13706" spans="1:5" ht="13">
      <c r="A13706" s="8" t="str">
        <f ca="1">IFERROR(__xludf.DUMMYFUNCTION("""COMPUTED_VALUE"""),"Dessauer, Josef")</f>
        <v>Dessauer, Josef</v>
      </c>
      <c r="B13706" s="2"/>
      <c r="C13706" s="2"/>
      <c r="D13706" s="8" t="str">
        <f ca="1">IFERROR(__xludf.DUMMYFUNCTION("""COMPUTED_VALUE"""),"")</f>
        <v/>
      </c>
      <c r="E13706" s="2"/>
    </row>
    <row r="13707" spans="1:5" ht="13">
      <c r="A13707" s="8" t="str">
        <f ca="1">IFERROR(__xludf.DUMMYFUNCTION("""COMPUTED_VALUE"""),"Deutsch, Adolph")</f>
        <v>Deutsch, Adolph</v>
      </c>
      <c r="B13707" s="2"/>
      <c r="C13707" s="2"/>
      <c r="D13707" s="8" t="str">
        <f ca="1">IFERROR(__xludf.DUMMYFUNCTION("""COMPUTED_VALUE"""),"")</f>
        <v/>
      </c>
      <c r="E13707" s="2"/>
    </row>
    <row r="13708" spans="1:5" ht="13">
      <c r="A13708" s="8" t="str">
        <f ca="1">IFERROR(__xludf.DUMMYFUNCTION("""COMPUTED_VALUE"""),"Deyo, Ruth L.")</f>
        <v>Deyo, Ruth L.</v>
      </c>
      <c r="B13708" s="2"/>
      <c r="C13708" s="2"/>
      <c r="D13708" s="8" t="str">
        <f ca="1">IFERROR(__xludf.DUMMYFUNCTION("""COMPUTED_VALUE"""),"")</f>
        <v/>
      </c>
      <c r="E13708" s="2"/>
    </row>
    <row r="13709" spans="1:5" ht="13">
      <c r="A13709" s="8" t="str">
        <f ca="1">IFERROR(__xludf.DUMMYFUNCTION("""COMPUTED_VALUE"""),"Di Veroli, Donato")</f>
        <v>Di Veroli, Donato</v>
      </c>
      <c r="B13709" s="2"/>
      <c r="C13709" s="2"/>
      <c r="D13709" s="8" t="str">
        <f ca="1">IFERROR(__xludf.DUMMYFUNCTION("""COMPUTED_VALUE"""),"")</f>
        <v/>
      </c>
      <c r="E13709" s="2"/>
    </row>
    <row r="13710" spans="1:5" ht="13">
      <c r="A13710" s="8" t="str">
        <f ca="1">IFERROR(__xludf.DUMMYFUNCTION("""COMPUTED_VALUE"""),"Diaz, Eugene")</f>
        <v>Diaz, Eugene</v>
      </c>
      <c r="B13710" s="2"/>
      <c r="C13710" s="2"/>
      <c r="D13710" s="8" t="str">
        <f ca="1">IFERROR(__xludf.DUMMYFUNCTION("""COMPUTED_VALUE"""),"")</f>
        <v/>
      </c>
      <c r="E13710" s="2"/>
    </row>
    <row r="13711" spans="1:5" ht="13">
      <c r="A13711" s="8" t="str">
        <f ca="1">IFERROR(__xludf.DUMMYFUNCTION("""COMPUTED_VALUE"""),"Dick, Marcel (March)")</f>
        <v>Dick, Marcel (March)</v>
      </c>
      <c r="B13711" s="2"/>
      <c r="C13711" s="2"/>
      <c r="D13711" s="8" t="str">
        <f ca="1">IFERROR(__xludf.DUMMYFUNCTION("""COMPUTED_VALUE"""),"")</f>
        <v/>
      </c>
      <c r="E13711" s="2"/>
    </row>
    <row r="13712" spans="1:5" ht="13">
      <c r="A13712" s="8" t="str">
        <f ca="1">IFERROR(__xludf.DUMMYFUNCTION("""COMPUTED_VALUE"""),"Diepenbrock, Alphonse")</f>
        <v>Diepenbrock, Alphonse</v>
      </c>
      <c r="B13712" s="2"/>
      <c r="C13712" s="2"/>
      <c r="D13712" s="8" t="str">
        <f ca="1">IFERROR(__xludf.DUMMYFUNCTION("""COMPUTED_VALUE"""),"")</f>
        <v/>
      </c>
      <c r="E13712" s="2"/>
    </row>
    <row r="13713" spans="1:5" ht="13">
      <c r="A13713" s="8" t="str">
        <f ca="1">IFERROR(__xludf.DUMMYFUNCTION("""COMPUTED_VALUE"""),"Dieter, Christian")</f>
        <v>Dieter, Christian</v>
      </c>
      <c r="B13713" s="2"/>
      <c r="C13713" s="2"/>
      <c r="D13713" s="8" t="str">
        <f ca="1">IFERROR(__xludf.DUMMYFUNCTION("""COMPUTED_VALUE"""),"")</f>
        <v/>
      </c>
      <c r="E13713" s="2"/>
    </row>
    <row r="13714" spans="1:5" ht="13">
      <c r="A13714" s="8" t="str">
        <f ca="1">IFERROR(__xludf.DUMMYFUNCTION("""COMPUTED_VALUE"""),"Dirksen,")</f>
        <v>Dirksen,</v>
      </c>
      <c r="B13714" s="2"/>
      <c r="C13714" s="2"/>
      <c r="D13714" s="8" t="str">
        <f ca="1">IFERROR(__xludf.DUMMYFUNCTION("""COMPUTED_VALUE"""),"")</f>
        <v/>
      </c>
      <c r="E13714" s="2"/>
    </row>
    <row r="13715" spans="1:5" ht="13">
      <c r="A13715" s="8" t="str">
        <f ca="1">IFERROR(__xludf.DUMMYFUNCTION("""COMPUTED_VALUE"""),"Dobroven, Issay Alexandrovich")</f>
        <v>Dobroven, Issay Alexandrovich</v>
      </c>
      <c r="B13715" s="2"/>
      <c r="C13715" s="2"/>
      <c r="D13715" s="8" t="str">
        <f ca="1">IFERROR(__xludf.DUMMYFUNCTION("""COMPUTED_VALUE"""),"")</f>
        <v/>
      </c>
      <c r="E13715" s="2"/>
    </row>
    <row r="13716" spans="1:5" ht="13">
      <c r="A13716" s="8" t="str">
        <f ca="1">IFERROR(__xludf.DUMMYFUNCTION("""COMPUTED_VALUE"""),"Donatoni, Franco")</f>
        <v>Donatoni, Franco</v>
      </c>
      <c r="B13716" s="2"/>
      <c r="C13716" s="2"/>
      <c r="D13716" s="8" t="str">
        <f ca="1">IFERROR(__xludf.DUMMYFUNCTION("""COMPUTED_VALUE"""),"")</f>
        <v/>
      </c>
      <c r="E13716" s="2"/>
    </row>
    <row r="13717" spans="1:5" ht="13">
      <c r="A13717" s="8" t="str">
        <f ca="1">IFERROR(__xludf.DUMMYFUNCTION("""COMPUTED_VALUE"""),"Donaudy, Stephano")</f>
        <v>Donaudy, Stephano</v>
      </c>
      <c r="B13717" s="2"/>
      <c r="C13717" s="2"/>
      <c r="D13717" s="8" t="str">
        <f ca="1">IFERROR(__xludf.DUMMYFUNCTION("""COMPUTED_VALUE"""),"")</f>
        <v/>
      </c>
      <c r="E13717" s="2"/>
    </row>
    <row r="13718" spans="1:5" ht="13">
      <c r="A13718" s="8" t="str">
        <f ca="1">IFERROR(__xludf.DUMMYFUNCTION("""COMPUTED_VALUE"""),"Donovan, Richard")</f>
        <v>Donovan, Richard</v>
      </c>
      <c r="B13718" s="2"/>
      <c r="C13718" s="2"/>
      <c r="D13718" s="8" t="str">
        <f ca="1">IFERROR(__xludf.DUMMYFUNCTION("""COMPUTED_VALUE"""),"")</f>
        <v/>
      </c>
      <c r="E13718" s="2"/>
    </row>
    <row r="13719" spans="1:5" ht="13">
      <c r="A13719" s="8" t="str">
        <f ca="1">IFERROR(__xludf.DUMMYFUNCTION("""COMPUTED_VALUE"""),"Dopper, Cornelus")</f>
        <v>Dopper, Cornelus</v>
      </c>
      <c r="B13719" s="2"/>
      <c r="C13719" s="2"/>
      <c r="D13719" s="8" t="str">
        <f ca="1">IFERROR(__xludf.DUMMYFUNCTION("""COMPUTED_VALUE"""),"")</f>
        <v/>
      </c>
      <c r="E13719" s="2"/>
    </row>
    <row r="13720" spans="1:5" ht="13">
      <c r="A13720" s="8" t="str">
        <f ca="1">IFERROR(__xludf.DUMMYFUNCTION("""COMPUTED_VALUE"""),"Dorati, Antal")</f>
        <v>Dorati, Antal</v>
      </c>
      <c r="B13720" s="2"/>
      <c r="C13720" s="2"/>
      <c r="D13720" s="8" t="str">
        <f ca="1">IFERROR(__xludf.DUMMYFUNCTION("""COMPUTED_VALUE"""),"")</f>
        <v/>
      </c>
      <c r="E13720" s="2"/>
    </row>
    <row r="13721" spans="1:5" ht="13">
      <c r="A13721" s="8" t="str">
        <f ca="1">IFERROR(__xludf.DUMMYFUNCTION("""COMPUTED_VALUE"""),"Dorlay, Georges")</f>
        <v>Dorlay, Georges</v>
      </c>
      <c r="B13721" s="2"/>
      <c r="C13721" s="2"/>
      <c r="D13721" s="8" t="str">
        <f ca="1">IFERROR(__xludf.DUMMYFUNCTION("""COMPUTED_VALUE"""),"")</f>
        <v/>
      </c>
      <c r="E13721" s="2"/>
    </row>
    <row r="13722" spans="1:5" ht="13">
      <c r="A13722" s="8" t="str">
        <f ca="1">IFERROR(__xludf.DUMMYFUNCTION("""COMPUTED_VALUE"""),"Downey, John")</f>
        <v>Downey, John</v>
      </c>
      <c r="B13722" s="2"/>
      <c r="C13722" s="2"/>
      <c r="D13722" s="8" t="str">
        <f ca="1">IFERROR(__xludf.DUMMYFUNCTION("""COMPUTED_VALUE"""),"")</f>
        <v/>
      </c>
      <c r="E13722" s="2"/>
    </row>
    <row r="13723" spans="1:5" ht="13">
      <c r="A13723" s="8" t="str">
        <f ca="1">IFERROR(__xludf.DUMMYFUNCTION("""COMPUTED_VALUE"""),"Draeseke, Felix")</f>
        <v>Draeseke, Felix</v>
      </c>
      <c r="B13723" s="2"/>
      <c r="C13723" s="2"/>
      <c r="D13723" s="8" t="str">
        <f ca="1">IFERROR(__xludf.DUMMYFUNCTION("""COMPUTED_VALUE"""),"")</f>
        <v/>
      </c>
      <c r="E13723" s="2"/>
    </row>
    <row r="13724" spans="1:5" ht="13">
      <c r="A13724" s="8" t="str">
        <f ca="1">IFERROR(__xludf.DUMMYFUNCTION("""COMPUTED_VALUE"""),"Dragoi, Sabin")</f>
        <v>Dragoi, Sabin</v>
      </c>
      <c r="B13724" s="2"/>
      <c r="C13724" s="2"/>
      <c r="D13724" s="8" t="str">
        <f ca="1">IFERROR(__xludf.DUMMYFUNCTION("""COMPUTED_VALUE"""),"")</f>
        <v/>
      </c>
      <c r="E13724" s="2"/>
    </row>
    <row r="13725" spans="1:5" ht="13">
      <c r="A13725" s="8" t="str">
        <f ca="1">IFERROR(__xludf.DUMMYFUNCTION("""COMPUTED_VALUE"""),"Dukelsky, Vladimir")</f>
        <v>Dukelsky, Vladimir</v>
      </c>
      <c r="B13725" s="2"/>
      <c r="C13725" s="2"/>
      <c r="D13725" s="8" t="str">
        <f ca="1">IFERROR(__xludf.DUMMYFUNCTION("""COMPUTED_VALUE"""),"")</f>
        <v/>
      </c>
      <c r="E13725" s="2"/>
    </row>
    <row r="13726" spans="1:5" ht="13">
      <c r="A13726" s="8" t="str">
        <f ca="1">IFERROR(__xludf.DUMMYFUNCTION("""COMPUTED_VALUE"""),"Dumler, Martin G.")</f>
        <v>Dumler, Martin G.</v>
      </c>
      <c r="B13726" s="2"/>
      <c r="C13726" s="2"/>
      <c r="D13726" s="8" t="str">
        <f ca="1">IFERROR(__xludf.DUMMYFUNCTION("""COMPUTED_VALUE"""),"")</f>
        <v/>
      </c>
      <c r="E13726" s="2"/>
    </row>
    <row r="13727" spans="1:5" ht="13">
      <c r="A13727" s="8" t="str">
        <f ca="1">IFERROR(__xludf.DUMMYFUNCTION("""COMPUTED_VALUE"""),"Dunham, Henry M.")</f>
        <v>Dunham, Henry M.</v>
      </c>
      <c r="B13727" s="2"/>
      <c r="C13727" s="2"/>
      <c r="D13727" s="8" t="str">
        <f ca="1">IFERROR(__xludf.DUMMYFUNCTION("""COMPUTED_VALUE"""),"")</f>
        <v/>
      </c>
      <c r="E13727" s="2"/>
    </row>
    <row r="13728" spans="1:5" ht="13">
      <c r="A13728" s="8" t="str">
        <f ca="1">IFERROR(__xludf.DUMMYFUNCTION("""COMPUTED_VALUE"""),"Dunn, James Philip")</f>
        <v>Dunn, James Philip</v>
      </c>
      <c r="B13728" s="2"/>
      <c r="C13728" s="2"/>
      <c r="D13728" s="8" t="str">
        <f ca="1">IFERROR(__xludf.DUMMYFUNCTION("""COMPUTED_VALUE"""),"")</f>
        <v/>
      </c>
      <c r="E13728" s="2"/>
    </row>
    <row r="13729" spans="1:5" ht="13">
      <c r="A13729" s="8" t="str">
        <f ca="1">IFERROR(__xludf.DUMMYFUNCTION("""COMPUTED_VALUE"""),"Dupr・ Marcel")</f>
        <v>Dupr・ Marcel</v>
      </c>
      <c r="B13729" s="2"/>
      <c r="C13729" s="2"/>
      <c r="D13729" s="8" t="str">
        <f ca="1">IFERROR(__xludf.DUMMYFUNCTION("""COMPUTED_VALUE"""),"")</f>
        <v/>
      </c>
      <c r="E13729" s="2"/>
    </row>
    <row r="13730" spans="1:5" ht="13">
      <c r="A13730" s="8" t="str">
        <f ca="1">IFERROR(__xludf.DUMMYFUNCTION("""COMPUTED_VALUE"""),"Dupuis, Albert")</f>
        <v>Dupuis, Albert</v>
      </c>
      <c r="B13730" s="2"/>
      <c r="C13730" s="2"/>
      <c r="D13730" s="8" t="str">
        <f ca="1">IFERROR(__xludf.DUMMYFUNCTION("""COMPUTED_VALUE"""),"")</f>
        <v/>
      </c>
      <c r="E13730" s="2"/>
    </row>
    <row r="13731" spans="1:5" ht="13">
      <c r="A13731" s="8" t="str">
        <f ca="1">IFERROR(__xludf.DUMMYFUNCTION("""COMPUTED_VALUE"""),"Durand, August")</f>
        <v>Durand, August</v>
      </c>
      <c r="B13731" s="2"/>
      <c r="C13731" s="2"/>
      <c r="D13731" s="8" t="str">
        <f ca="1">IFERROR(__xludf.DUMMYFUNCTION("""COMPUTED_VALUE"""),"")</f>
        <v/>
      </c>
      <c r="E13731" s="2"/>
    </row>
    <row r="13732" spans="1:5" ht="13">
      <c r="A13732" s="8" t="str">
        <f ca="1">IFERROR(__xludf.DUMMYFUNCTION("""COMPUTED_VALUE"""),"Durham, Lowell")</f>
        <v>Durham, Lowell</v>
      </c>
      <c r="B13732" s="2"/>
      <c r="C13732" s="2"/>
      <c r="D13732" s="8" t="str">
        <f ca="1">IFERROR(__xludf.DUMMYFUNCTION("""COMPUTED_VALUE"""),"")</f>
        <v/>
      </c>
      <c r="E13732" s="2"/>
    </row>
    <row r="13733" spans="1:5" ht="13">
      <c r="A13733" s="8" t="str">
        <f ca="1">IFERROR(__xludf.DUMMYFUNCTION("""COMPUTED_VALUE"""),"Dussek, Jan Ladislav")</f>
        <v>Dussek, Jan Ladislav</v>
      </c>
      <c r="B13733" s="2"/>
      <c r="C13733" s="2"/>
      <c r="D13733" s="8" t="str">
        <f ca="1">IFERROR(__xludf.DUMMYFUNCTION("""COMPUTED_VALUE"""),"")</f>
        <v/>
      </c>
      <c r="E13733" s="2"/>
    </row>
    <row r="13734" spans="1:5" ht="13">
      <c r="A13734" s="8" t="str">
        <f ca="1">IFERROR(__xludf.DUMMYFUNCTION("""COMPUTED_VALUE"""),"Duvivier")</f>
        <v>Duvivier</v>
      </c>
      <c r="B13734" s="2"/>
      <c r="C13734" s="2"/>
      <c r="D13734" s="8" t="str">
        <f ca="1">IFERROR(__xludf.DUMMYFUNCTION("""COMPUTED_VALUE"""),"")</f>
        <v/>
      </c>
      <c r="E13734" s="2"/>
    </row>
    <row r="13735" spans="1:5" ht="13">
      <c r="A13735" s="8" t="str">
        <f ca="1">IFERROR(__xludf.DUMMYFUNCTION("""COMPUTED_VALUE"""),"Dykins")</f>
        <v>Dykins</v>
      </c>
      <c r="B13735" s="2"/>
      <c r="C13735" s="2"/>
      <c r="D13735" s="8" t="str">
        <f ca="1">IFERROR(__xludf.DUMMYFUNCTION("""COMPUTED_VALUE"""),"")</f>
        <v/>
      </c>
      <c r="E13735" s="2"/>
    </row>
    <row r="13736" spans="1:5" ht="13">
      <c r="A13736" s="8" t="str">
        <f ca="1">IFERROR(__xludf.DUMMYFUNCTION("""COMPUTED_VALUE"""),"Dyson, Sir George")</f>
        <v>Dyson, Sir George</v>
      </c>
      <c r="B13736" s="2"/>
      <c r="C13736" s="2"/>
      <c r="D13736" s="8" t="str">
        <f ca="1">IFERROR(__xludf.DUMMYFUNCTION("""COMPUTED_VALUE"""),"")</f>
        <v/>
      </c>
      <c r="E13736" s="2"/>
    </row>
    <row r="13737" spans="1:5" ht="13">
      <c r="A13737" s="8" t="str">
        <f ca="1">IFERROR(__xludf.DUMMYFUNCTION("""COMPUTED_VALUE"""),"Eames, Henry P.")</f>
        <v>Eames, Henry P.</v>
      </c>
      <c r="B13737" s="2"/>
      <c r="C13737" s="2"/>
      <c r="D13737" s="8" t="str">
        <f ca="1">IFERROR(__xludf.DUMMYFUNCTION("""COMPUTED_VALUE"""),"")</f>
        <v/>
      </c>
      <c r="E13737" s="2"/>
    </row>
    <row r="13738" spans="1:5" ht="13">
      <c r="A13738" s="8" t="str">
        <f ca="1">IFERROR(__xludf.DUMMYFUNCTION("""COMPUTED_VALUE"""),"Ebann, W. B.")</f>
        <v>Ebann, W. B.</v>
      </c>
      <c r="B13738" s="2"/>
      <c r="C13738" s="2"/>
      <c r="D13738" s="8" t="str">
        <f ca="1">IFERROR(__xludf.DUMMYFUNCTION("""COMPUTED_VALUE"""),"")</f>
        <v/>
      </c>
      <c r="E13738" s="2"/>
    </row>
    <row r="13739" spans="1:5" ht="13">
      <c r="A13739" s="8" t="str">
        <f ca="1">IFERROR(__xludf.DUMMYFUNCTION("""COMPUTED_VALUE"""),"Eccles")</f>
        <v>Eccles</v>
      </c>
      <c r="B13739" s="2"/>
      <c r="C13739" s="2"/>
      <c r="D13739" s="8" t="str">
        <f ca="1">IFERROR(__xludf.DUMMYFUNCTION("""COMPUTED_VALUE"""),"")</f>
        <v/>
      </c>
      <c r="E13739" s="2"/>
    </row>
    <row r="13740" spans="1:5" ht="13">
      <c r="A13740" s="8" t="str">
        <f ca="1">IFERROR(__xludf.DUMMYFUNCTION("""COMPUTED_VALUE"""),"Eckert, Carl")</f>
        <v>Eckert, Carl</v>
      </c>
      <c r="B13740" s="2"/>
      <c r="C13740" s="2"/>
      <c r="D13740" s="8" t="str">
        <f ca="1">IFERROR(__xludf.DUMMYFUNCTION("""COMPUTED_VALUE"""),"")</f>
        <v/>
      </c>
      <c r="E13740" s="2"/>
    </row>
    <row r="13741" spans="1:5" ht="13">
      <c r="A13741" s="8" t="str">
        <f ca="1">IFERROR(__xludf.DUMMYFUNCTION("""COMPUTED_VALUE"""),"Egge, Klaus")</f>
        <v>Egge, Klaus</v>
      </c>
      <c r="B13741" s="2"/>
      <c r="C13741" s="2"/>
      <c r="D13741" s="8" t="str">
        <f ca="1">IFERROR(__xludf.DUMMYFUNCTION("""COMPUTED_VALUE"""),"")</f>
        <v/>
      </c>
      <c r="E13741" s="2"/>
    </row>
    <row r="13742" spans="1:5" ht="13">
      <c r="A13742" s="8" t="str">
        <f ca="1">IFERROR(__xludf.DUMMYFUNCTION("""COMPUTED_VALUE"""),"Ehrenberg, Carl")</f>
        <v>Ehrenberg, Carl</v>
      </c>
      <c r="B13742" s="2"/>
      <c r="C13742" s="2"/>
      <c r="D13742" s="8" t="str">
        <f ca="1">IFERROR(__xludf.DUMMYFUNCTION("""COMPUTED_VALUE"""),"")</f>
        <v/>
      </c>
      <c r="E13742" s="2"/>
    </row>
    <row r="13743" spans="1:5" ht="13">
      <c r="A13743" s="8" t="str">
        <f ca="1">IFERROR(__xludf.DUMMYFUNCTION("""COMPUTED_VALUE"""),"Eichheim, Henry")</f>
        <v>Eichheim, Henry</v>
      </c>
      <c r="B13743" s="2"/>
      <c r="C13743" s="2"/>
      <c r="D13743" s="8" t="str">
        <f ca="1">IFERROR(__xludf.DUMMYFUNCTION("""COMPUTED_VALUE"""),"")</f>
        <v/>
      </c>
      <c r="E13743" s="2"/>
    </row>
    <row r="13744" spans="1:5" ht="13">
      <c r="A13744" s="8" t="str">
        <f ca="1">IFERROR(__xludf.DUMMYFUNCTION("""COMPUTED_VALUE"""),"Eisenhofer")</f>
        <v>Eisenhofer</v>
      </c>
      <c r="B13744" s="2"/>
      <c r="C13744" s="2"/>
      <c r="D13744" s="8" t="str">
        <f ca="1">IFERROR(__xludf.DUMMYFUNCTION("""COMPUTED_VALUE"""),"")</f>
        <v/>
      </c>
      <c r="E13744" s="2"/>
    </row>
    <row r="13745" spans="1:5" ht="13">
      <c r="A13745" s="8" t="str">
        <f ca="1">IFERROR(__xludf.DUMMYFUNCTION("""COMPUTED_VALUE"""),"Eisfeld, Theodore")</f>
        <v>Eisfeld, Theodore</v>
      </c>
      <c r="B13745" s="2"/>
      <c r="C13745" s="2"/>
      <c r="D13745" s="8" t="str">
        <f ca="1">IFERROR(__xludf.DUMMYFUNCTION("""COMPUTED_VALUE"""),"")</f>
        <v/>
      </c>
      <c r="E13745" s="2"/>
    </row>
    <row r="13746" spans="1:5" ht="13">
      <c r="A13746" s="8" t="str">
        <f ca="1">IFERROR(__xludf.DUMMYFUNCTION("""COMPUTED_VALUE"""),"Elkus, Albert")</f>
        <v>Elkus, Albert</v>
      </c>
      <c r="B13746" s="2"/>
      <c r="C13746" s="2"/>
      <c r="D13746" s="8" t="str">
        <f ca="1">IFERROR(__xludf.DUMMYFUNCTION("""COMPUTED_VALUE"""),"")</f>
        <v/>
      </c>
      <c r="E13746" s="2"/>
    </row>
    <row r="13747" spans="1:5" ht="13">
      <c r="A13747" s="8" t="str">
        <f ca="1">IFERROR(__xludf.DUMMYFUNCTION("""COMPUTED_VALUE"""),"Elmore, Robert")</f>
        <v>Elmore, Robert</v>
      </c>
      <c r="B13747" s="2"/>
      <c r="C13747" s="2"/>
      <c r="D13747" s="8" t="str">
        <f ca="1">IFERROR(__xludf.DUMMYFUNCTION("""COMPUTED_VALUE"""),"")</f>
        <v/>
      </c>
      <c r="E13747" s="2"/>
    </row>
    <row r="13748" spans="1:5" ht="13">
      <c r="A13748" s="8" t="str">
        <f ca="1">IFERROR(__xludf.DUMMYFUNCTION("""COMPUTED_VALUE"""),"Eloy, Jean-Claude")</f>
        <v>Eloy, Jean-Claude</v>
      </c>
      <c r="B13748" s="2"/>
      <c r="C13748" s="2"/>
      <c r="D13748" s="8" t="str">
        <f ca="1">IFERROR(__xludf.DUMMYFUNCTION("""COMPUTED_VALUE"""),"")</f>
        <v/>
      </c>
      <c r="E13748" s="2"/>
    </row>
    <row r="13749" spans="1:5" ht="13">
      <c r="A13749" s="8" t="str">
        <f ca="1">IFERROR(__xludf.DUMMYFUNCTION("""COMPUTED_VALUE"""),"Elsenheimer, Nicholas")</f>
        <v>Elsenheimer, Nicholas</v>
      </c>
      <c r="B13749" s="2"/>
      <c r="C13749" s="2"/>
      <c r="D13749" s="8" t="str">
        <f ca="1">IFERROR(__xludf.DUMMYFUNCTION("""COMPUTED_VALUE"""),"")</f>
        <v/>
      </c>
      <c r="E13749" s="2"/>
    </row>
    <row r="13750" spans="1:5" ht="13">
      <c r="A13750" s="8" t="str">
        <f ca="1">IFERROR(__xludf.DUMMYFUNCTION("""COMPUTED_VALUE"""),"Emborg, Jens L.")</f>
        <v>Emborg, Jens L.</v>
      </c>
      <c r="B13750" s="2"/>
      <c r="C13750" s="2"/>
      <c r="D13750" s="8" t="str">
        <f ca="1">IFERROR(__xludf.DUMMYFUNCTION("""COMPUTED_VALUE"""),"")</f>
        <v/>
      </c>
      <c r="E13750" s="2"/>
    </row>
    <row r="13751" spans="1:5" ht="13">
      <c r="A13751" s="8" t="str">
        <f ca="1">IFERROR(__xludf.DUMMYFUNCTION("""COMPUTED_VALUE"""),"Engel, Carl")</f>
        <v>Engel, Carl</v>
      </c>
      <c r="B13751" s="2"/>
      <c r="C13751" s="2"/>
      <c r="D13751" s="8" t="str">
        <f ca="1">IFERROR(__xludf.DUMMYFUNCTION("""COMPUTED_VALUE"""),"")</f>
        <v/>
      </c>
      <c r="E13751" s="2"/>
    </row>
    <row r="13752" spans="1:5" ht="13">
      <c r="A13752" s="8" t="str">
        <f ca="1">IFERROR(__xludf.DUMMYFUNCTION("""COMPUTED_VALUE"""),"Engel, Lehman")</f>
        <v>Engel, Lehman</v>
      </c>
      <c r="B13752" s="2"/>
      <c r="C13752" s="2"/>
      <c r="D13752" s="8" t="str">
        <f ca="1">IFERROR(__xludf.DUMMYFUNCTION("""COMPUTED_VALUE"""),"")</f>
        <v/>
      </c>
      <c r="E13752" s="2"/>
    </row>
    <row r="13753" spans="1:5" ht="13">
      <c r="A13753" s="8" t="str">
        <f ca="1">IFERROR(__xludf.DUMMYFUNCTION("""COMPUTED_VALUE"""),"Engler, Paul")</f>
        <v>Engler, Paul</v>
      </c>
      <c r="B13753" s="2"/>
      <c r="C13753" s="2"/>
      <c r="D13753" s="8" t="str">
        <f ca="1">IFERROR(__xludf.DUMMYFUNCTION("""COMPUTED_VALUE"""),"")</f>
        <v/>
      </c>
      <c r="E13753" s="2"/>
    </row>
    <row r="13754" spans="1:5" ht="13">
      <c r="A13754" s="8" t="str">
        <f ca="1">IFERROR(__xludf.DUMMYFUNCTION("""COMPUTED_VALUE"""),"Ensor, Samuel")</f>
        <v>Ensor, Samuel</v>
      </c>
      <c r="B13754" s="2"/>
      <c r="C13754" s="2"/>
      <c r="D13754" s="8" t="str">
        <f ca="1">IFERROR(__xludf.DUMMYFUNCTION("""COMPUTED_VALUE"""),"")</f>
        <v/>
      </c>
      <c r="E13754" s="2"/>
    </row>
    <row r="13755" spans="1:5" ht="13">
      <c r="A13755" s="8" t="str">
        <f ca="1">IFERROR(__xludf.DUMMYFUNCTION("""COMPUTED_VALUE"""),"Eppert, Carl")</f>
        <v>Eppert, Carl</v>
      </c>
      <c r="B13755" s="2"/>
      <c r="C13755" s="2"/>
      <c r="D13755" s="8" t="str">
        <f ca="1">IFERROR(__xludf.DUMMYFUNCTION("""COMPUTED_VALUE"""),"")</f>
        <v/>
      </c>
      <c r="E13755" s="2"/>
    </row>
    <row r="13756" spans="1:5" ht="13">
      <c r="A13756" s="8" t="str">
        <f ca="1">IFERROR(__xludf.DUMMYFUNCTION("""COMPUTED_VALUE"""),"Erdmannsdorfer, Max")</f>
        <v>Erdmannsdorfer, Max</v>
      </c>
      <c r="B13756" s="2"/>
      <c r="C13756" s="2"/>
      <c r="D13756" s="8" t="str">
        <f ca="1">IFERROR(__xludf.DUMMYFUNCTION("""COMPUTED_VALUE"""),"")</f>
        <v/>
      </c>
      <c r="E13756" s="2"/>
    </row>
    <row r="13757" spans="1:5" ht="13">
      <c r="A13757" s="8" t="str">
        <f ca="1">IFERROR(__xludf.DUMMYFUNCTION("""COMPUTED_VALUE"""),"Erickson, Robert")</f>
        <v>Erickson, Robert</v>
      </c>
      <c r="B13757" s="2"/>
      <c r="C13757" s="2"/>
      <c r="D13757" s="8" t="str">
        <f ca="1">IFERROR(__xludf.DUMMYFUNCTION("""COMPUTED_VALUE"""),"")</f>
        <v/>
      </c>
      <c r="E13757" s="2"/>
    </row>
    <row r="13758" spans="1:5" ht="13">
      <c r="A13758" s="8" t="str">
        <f ca="1">IFERROR(__xludf.DUMMYFUNCTION("""COMPUTED_VALUE"""),"Erk, Ludwig Christian")</f>
        <v>Erk, Ludwig Christian</v>
      </c>
      <c r="B13758" s="2"/>
      <c r="C13758" s="2"/>
      <c r="D13758" s="8" t="str">
        <f ca="1">IFERROR(__xludf.DUMMYFUNCTION("""COMPUTED_VALUE"""),"")</f>
        <v/>
      </c>
      <c r="E13758" s="2"/>
    </row>
    <row r="13759" spans="1:5" ht="13">
      <c r="A13759" s="8" t="str">
        <f ca="1">IFERROR(__xludf.DUMMYFUNCTION("""COMPUTED_VALUE"""),"Erkel, Ferenc")</f>
        <v>Erkel, Ferenc</v>
      </c>
      <c r="B13759" s="2"/>
      <c r="C13759" s="2"/>
      <c r="D13759" s="8" t="str">
        <f ca="1">IFERROR(__xludf.DUMMYFUNCTION("""COMPUTED_VALUE"""),"")</f>
        <v/>
      </c>
      <c r="E13759" s="2"/>
    </row>
    <row r="13760" spans="1:5" ht="13">
      <c r="A13760" s="8" t="str">
        <f ca="1">IFERROR(__xludf.DUMMYFUNCTION("""COMPUTED_VALUE"""),"Ernesto Cortazar, Lorenzo Barcelata Manuel Esperón")</f>
        <v>Ernesto Cortazar, Lorenzo Barcelata Manuel Esperón</v>
      </c>
      <c r="B13760" s="2"/>
      <c r="C13760" s="2"/>
      <c r="D13760" s="8" t="str">
        <f ca="1">IFERROR(__xludf.DUMMYFUNCTION("""COMPUTED_VALUE"""),"")</f>
        <v/>
      </c>
      <c r="E13760" s="2"/>
    </row>
    <row r="13761" spans="1:5" ht="13">
      <c r="A13761" s="8" t="str">
        <f ca="1">IFERROR(__xludf.DUMMYFUNCTION("""COMPUTED_VALUE"""),"Ernst, Heinrich H.")</f>
        <v>Ernst, Heinrich H.</v>
      </c>
      <c r="B13761" s="2"/>
      <c r="C13761" s="2"/>
      <c r="D13761" s="8" t="str">
        <f ca="1">IFERROR(__xludf.DUMMYFUNCTION("""COMPUTED_VALUE"""),"")</f>
        <v/>
      </c>
      <c r="E13761" s="2"/>
    </row>
    <row r="13762" spans="1:5" ht="13">
      <c r="A13762" s="8" t="str">
        <f ca="1">IFERROR(__xludf.DUMMYFUNCTION("""COMPUTED_VALUE"""),"Erthel, Sebastian")</f>
        <v>Erthel, Sebastian</v>
      </c>
      <c r="B13762" s="2"/>
      <c r="C13762" s="2"/>
      <c r="D13762" s="8" t="str">
        <f ca="1">IFERROR(__xludf.DUMMYFUNCTION("""COMPUTED_VALUE"""),"")</f>
        <v/>
      </c>
      <c r="E13762" s="2"/>
    </row>
    <row r="13763" spans="1:5" ht="13">
      <c r="A13763" s="8" t="str">
        <f ca="1">IFERROR(__xludf.DUMMYFUNCTION("""COMPUTED_VALUE"""),"Espai, Andrei")</f>
        <v>Espai, Andrei</v>
      </c>
      <c r="B13763" s="2"/>
      <c r="C13763" s="2"/>
      <c r="D13763" s="8" t="str">
        <f ca="1">IFERROR(__xludf.DUMMYFUNCTION("""COMPUTED_VALUE"""),"")</f>
        <v/>
      </c>
      <c r="E13763" s="2"/>
    </row>
    <row r="13764" spans="1:5" ht="13">
      <c r="A13764" s="8" t="str">
        <f ca="1">IFERROR(__xludf.DUMMYFUNCTION("""COMPUTED_VALUE"""),"Espla, Oscar")</f>
        <v>Espla, Oscar</v>
      </c>
      <c r="B13764" s="2"/>
      <c r="C13764" s="2"/>
      <c r="D13764" s="8" t="str">
        <f ca="1">IFERROR(__xludf.DUMMYFUNCTION("""COMPUTED_VALUE"""),"")</f>
        <v/>
      </c>
      <c r="E13764" s="2"/>
    </row>
    <row r="13765" spans="1:5" ht="13">
      <c r="A13765" s="8" t="str">
        <f ca="1">IFERROR(__xludf.DUMMYFUNCTION("""COMPUTED_VALUE"""),"Esser, Heinrich")</f>
        <v>Esser, Heinrich</v>
      </c>
      <c r="B13765" s="2"/>
      <c r="C13765" s="2"/>
      <c r="D13765" s="8" t="str">
        <f ca="1">IFERROR(__xludf.DUMMYFUNCTION("""COMPUTED_VALUE"""),"")</f>
        <v/>
      </c>
      <c r="E13765" s="2"/>
    </row>
    <row r="13766" spans="1:5" ht="13">
      <c r="A13766" s="8" t="str">
        <f ca="1">IFERROR(__xludf.DUMMYFUNCTION("""COMPUTED_VALUE"""),"Esterhazy, Count Franz")</f>
        <v>Esterhazy, Count Franz</v>
      </c>
      <c r="B13766" s="2"/>
      <c r="C13766" s="2"/>
      <c r="D13766" s="8" t="str">
        <f ca="1">IFERROR(__xludf.DUMMYFUNCTION("""COMPUTED_VALUE"""),"")</f>
        <v/>
      </c>
      <c r="E13766" s="2"/>
    </row>
    <row r="13767" spans="1:5" ht="13">
      <c r="A13767" s="8" t="str">
        <f ca="1">IFERROR(__xludf.DUMMYFUNCTION("""COMPUTED_VALUE"""),"Etler, Alvin")</f>
        <v>Etler, Alvin</v>
      </c>
      <c r="B13767" s="2"/>
      <c r="C13767" s="2"/>
      <c r="D13767" s="8" t="str">
        <f ca="1">IFERROR(__xludf.DUMMYFUNCTION("""COMPUTED_VALUE"""),"")</f>
        <v/>
      </c>
      <c r="E13767" s="2"/>
    </row>
    <row r="13768" spans="1:5" ht="13">
      <c r="A13768" s="8" t="str">
        <f ca="1">IFERROR(__xludf.DUMMYFUNCTION("""COMPUTED_VALUE"""),"Ettinger, Max")</f>
        <v>Ettinger, Max</v>
      </c>
      <c r="B13768" s="2"/>
      <c r="C13768" s="2"/>
      <c r="D13768" s="8" t="str">
        <f ca="1">IFERROR(__xludf.DUMMYFUNCTION("""COMPUTED_VALUE"""),"")</f>
        <v/>
      </c>
      <c r="E13768" s="2"/>
    </row>
    <row r="13769" spans="1:5" ht="13">
      <c r="A13769" s="8" t="str">
        <f ca="1">IFERROR(__xludf.DUMMYFUNCTION("""COMPUTED_VALUE"""),"Evangelatos, Antiochus")</f>
        <v>Evangelatos, Antiochus</v>
      </c>
      <c r="B13769" s="2"/>
      <c r="C13769" s="2"/>
      <c r="D13769" s="8" t="str">
        <f ca="1">IFERROR(__xludf.DUMMYFUNCTION("""COMPUTED_VALUE"""),"")</f>
        <v/>
      </c>
      <c r="E13769" s="2"/>
    </row>
    <row r="13770" spans="1:5" ht="13">
      <c r="A13770" s="8" t="str">
        <f ca="1">IFERROR(__xludf.DUMMYFUNCTION("""COMPUTED_VALUE"""),"Evers, Carl")</f>
        <v>Evers, Carl</v>
      </c>
      <c r="B13770" s="2"/>
      <c r="C13770" s="2"/>
      <c r="D13770" s="8" t="str">
        <f ca="1">IFERROR(__xludf.DUMMYFUNCTION("""COMPUTED_VALUE"""),"")</f>
        <v/>
      </c>
      <c r="E13770" s="2"/>
    </row>
    <row r="13771" spans="1:5" ht="13">
      <c r="A13771" s="8" t="str">
        <f ca="1">IFERROR(__xludf.DUMMYFUNCTION("""COMPUTED_VALUE"""),"Evett, Robert")</f>
        <v>Evett, Robert</v>
      </c>
      <c r="B13771" s="2"/>
      <c r="C13771" s="2"/>
      <c r="D13771" s="8" t="str">
        <f ca="1">IFERROR(__xludf.DUMMYFUNCTION("""COMPUTED_VALUE"""),"")</f>
        <v/>
      </c>
      <c r="E13771" s="2"/>
    </row>
    <row r="13772" spans="1:5" ht="13">
      <c r="A13772" s="8" t="str">
        <f ca="1">IFERROR(__xludf.DUMMYFUNCTION("""COMPUTED_VALUE"""),"F・hs, Ferdinand K.")</f>
        <v>F・hs, Ferdinand K.</v>
      </c>
      <c r="B13772" s="2"/>
      <c r="C13772" s="2"/>
      <c r="D13772" s="8" t="str">
        <f ca="1">IFERROR(__xludf.DUMMYFUNCTION("""COMPUTED_VALUE"""),"")</f>
        <v/>
      </c>
      <c r="E13772" s="2"/>
    </row>
    <row r="13773" spans="1:5" ht="13">
      <c r="A13773" s="8" t="str">
        <f ca="1">IFERROR(__xludf.DUMMYFUNCTION("""COMPUTED_VALUE"""),"Fabini, Eduardo")</f>
        <v>Fabini, Eduardo</v>
      </c>
      <c r="B13773" s="2"/>
      <c r="C13773" s="2"/>
      <c r="D13773" s="8" t="str">
        <f ca="1">IFERROR(__xludf.DUMMYFUNCTION("""COMPUTED_VALUE"""),"")</f>
        <v/>
      </c>
      <c r="E13773" s="2"/>
    </row>
    <row r="13774" spans="1:5" ht="13">
      <c r="A13774" s="8" t="str">
        <f ca="1">IFERROR(__xludf.DUMMYFUNCTION("""COMPUTED_VALUE"""),"Faccio, Franco")</f>
        <v>Faccio, Franco</v>
      </c>
      <c r="B13774" s="2"/>
      <c r="C13774" s="2"/>
      <c r="D13774" s="8" t="str">
        <f ca="1">IFERROR(__xludf.DUMMYFUNCTION("""COMPUTED_VALUE"""),"")</f>
        <v/>
      </c>
      <c r="E13774" s="2"/>
    </row>
    <row r="13775" spans="1:5" ht="13">
      <c r="A13775" s="8" t="str">
        <f ca="1">IFERROR(__xludf.DUMMYFUNCTION("""COMPUTED_VALUE"""),"Fairchild, Blair")</f>
        <v>Fairchild, Blair</v>
      </c>
      <c r="B13775" s="2"/>
      <c r="C13775" s="2"/>
      <c r="D13775" s="8" t="str">
        <f ca="1">IFERROR(__xludf.DUMMYFUNCTION("""COMPUTED_VALUE"""),"")</f>
        <v/>
      </c>
      <c r="E13775" s="2"/>
    </row>
    <row r="13776" spans="1:5" ht="13">
      <c r="A13776" s="8" t="str">
        <f ca="1">IFERROR(__xludf.DUMMYFUNCTION("""COMPUTED_VALUE"""),"Fanelli, Ernest")</f>
        <v>Fanelli, Ernest</v>
      </c>
      <c r="B13776" s="2"/>
      <c r="C13776" s="2"/>
      <c r="D13776" s="8" t="str">
        <f ca="1">IFERROR(__xludf.DUMMYFUNCTION("""COMPUTED_VALUE"""),"")</f>
        <v/>
      </c>
      <c r="E13776" s="2"/>
    </row>
    <row r="13777" spans="1:5" ht="13">
      <c r="A13777" s="8" t="str">
        <f ca="1">IFERROR(__xludf.DUMMYFUNCTION("""COMPUTED_VALUE"""),"Farberman, Harold")</f>
        <v>Farberman, Harold</v>
      </c>
      <c r="B13777" s="2"/>
      <c r="C13777" s="2"/>
      <c r="D13777" s="8" t="str">
        <f ca="1">IFERROR(__xludf.DUMMYFUNCTION("""COMPUTED_VALUE"""),"")</f>
        <v/>
      </c>
      <c r="E13777" s="2"/>
    </row>
    <row r="13778" spans="1:5" ht="13">
      <c r="A13778" s="8" t="str">
        <f ca="1">IFERROR(__xludf.DUMMYFUNCTION("""COMPUTED_VALUE"""),"Farwell, Arthur")</f>
        <v>Farwell, Arthur</v>
      </c>
      <c r="B13778" s="2"/>
      <c r="C13778" s="2"/>
      <c r="D13778" s="8" t="str">
        <f ca="1">IFERROR(__xludf.DUMMYFUNCTION("""COMPUTED_VALUE"""),"")</f>
        <v/>
      </c>
      <c r="E13778" s="2"/>
    </row>
    <row r="13779" spans="1:5" ht="13">
      <c r="A13779" s="8" t="str">
        <f ca="1">IFERROR(__xludf.DUMMYFUNCTION("""COMPUTED_VALUE"""),"Febvre-Longeray, A.")</f>
        <v>Febvre-Longeray, A.</v>
      </c>
      <c r="B13779" s="2"/>
      <c r="C13779" s="2"/>
      <c r="D13779" s="8" t="str">
        <f ca="1">IFERROR(__xludf.DUMMYFUNCTION("""COMPUTED_VALUE"""),"")</f>
        <v/>
      </c>
      <c r="E13779" s="2"/>
    </row>
    <row r="13780" spans="1:5" ht="13">
      <c r="A13780" s="8" t="str">
        <f ca="1">IFERROR(__xludf.DUMMYFUNCTION("""COMPUTED_VALUE"""),"Ferguson, Donald")</f>
        <v>Ferguson, Donald</v>
      </c>
      <c r="B13780" s="2"/>
      <c r="C13780" s="2"/>
      <c r="D13780" s="8" t="str">
        <f ca="1">IFERROR(__xludf.DUMMYFUNCTION("""COMPUTED_VALUE"""),"")</f>
        <v/>
      </c>
      <c r="E13780" s="2"/>
    </row>
    <row r="13781" spans="1:5" ht="13">
      <c r="A13781" s="8" t="str">
        <f ca="1">IFERROR(__xludf.DUMMYFUNCTION("""COMPUTED_VALUE"""),"Ferguson, Howard")</f>
        <v>Ferguson, Howard</v>
      </c>
      <c r="B13781" s="2"/>
      <c r="C13781" s="2"/>
      <c r="D13781" s="8" t="str">
        <f ca="1">IFERROR(__xludf.DUMMYFUNCTION("""COMPUTED_VALUE"""),"")</f>
        <v/>
      </c>
      <c r="E13781" s="2"/>
    </row>
    <row r="13782" spans="1:5" ht="13">
      <c r="A13782" s="8" t="str">
        <f ca="1">IFERROR(__xludf.DUMMYFUNCTION("""COMPUTED_VALUE"""),"Ferir, Emile")</f>
        <v>Ferir, Emile</v>
      </c>
      <c r="B13782" s="2"/>
      <c r="C13782" s="2"/>
      <c r="D13782" s="8" t="str">
        <f ca="1">IFERROR(__xludf.DUMMYFUNCTION("""COMPUTED_VALUE"""),"")</f>
        <v/>
      </c>
      <c r="E13782" s="2"/>
    </row>
    <row r="13783" spans="1:5" ht="13">
      <c r="A13783" s="8" t="str">
        <f ca="1">IFERROR(__xludf.DUMMYFUNCTION("""COMPUTED_VALUE"""),"Ferrari, Benedetto")</f>
        <v>Ferrari, Benedetto</v>
      </c>
      <c r="B13783" s="2"/>
      <c r="C13783" s="2"/>
      <c r="D13783" s="8" t="str">
        <f ca="1">IFERROR(__xludf.DUMMYFUNCTION("""COMPUTED_VALUE"""),"")</f>
        <v/>
      </c>
      <c r="E13783" s="2"/>
    </row>
    <row r="13784" spans="1:5" ht="13">
      <c r="A13784" s="8" t="str">
        <f ca="1">IFERROR(__xludf.DUMMYFUNCTION("""COMPUTED_VALUE"""),"Ferroud, Pierre-Octave")</f>
        <v>Ferroud, Pierre-Octave</v>
      </c>
      <c r="B13784" s="2"/>
      <c r="C13784" s="2"/>
      <c r="D13784" s="8" t="str">
        <f ca="1">IFERROR(__xludf.DUMMYFUNCTION("""COMPUTED_VALUE"""),"")</f>
        <v/>
      </c>
      <c r="E13784" s="2"/>
    </row>
    <row r="13785" spans="1:5" ht="13">
      <c r="A13785" s="8" t="str">
        <f ca="1">IFERROR(__xludf.DUMMYFUNCTION("""COMPUTED_VALUE"""),"Fesca, Friedr. Ernst")</f>
        <v>Fesca, Friedr. Ernst</v>
      </c>
      <c r="B13785" s="2"/>
      <c r="C13785" s="2"/>
      <c r="D13785" s="8" t="str">
        <f ca="1">IFERROR(__xludf.DUMMYFUNCTION("""COMPUTED_VALUE"""),"")</f>
        <v/>
      </c>
      <c r="E13785" s="2"/>
    </row>
    <row r="13786" spans="1:5" ht="13">
      <c r="A13786" s="8" t="str">
        <f ca="1">IFERROR(__xludf.DUMMYFUNCTION("""COMPUTED_VALUE"""),"Ficher, Jacobo")</f>
        <v>Ficher, Jacobo</v>
      </c>
      <c r="B13786" s="2"/>
      <c r="C13786" s="2"/>
      <c r="D13786" s="8" t="str">
        <f ca="1">IFERROR(__xludf.DUMMYFUNCTION("""COMPUTED_VALUE"""),"")</f>
        <v/>
      </c>
      <c r="E13786" s="2"/>
    </row>
    <row r="13787" spans="1:5" ht="13">
      <c r="A13787" s="8" t="str">
        <f ca="1">IFERROR(__xludf.DUMMYFUNCTION("""COMPUTED_VALUE"""),"Fiedler, August Max")</f>
        <v>Fiedler, August Max</v>
      </c>
      <c r="B13787" s="2"/>
      <c r="C13787" s="2"/>
      <c r="D13787" s="8" t="str">
        <f ca="1">IFERROR(__xludf.DUMMYFUNCTION("""COMPUTED_VALUE"""),"")</f>
        <v/>
      </c>
      <c r="E13787" s="2"/>
    </row>
    <row r="13788" spans="1:5" ht="13">
      <c r="A13788" s="8" t="str">
        <f ca="1">IFERROR(__xludf.DUMMYFUNCTION("""COMPUTED_VALUE"""),"Finley, Bergen &amp; Duarte, Miranda")</f>
        <v>Finley, Bergen &amp; Duarte, Miranda</v>
      </c>
      <c r="B13788" s="2"/>
      <c r="C13788" s="2"/>
      <c r="D13788" s="8" t="str">
        <f ca="1">IFERROR(__xludf.DUMMYFUNCTION("""COMPUTED_VALUE"""),"")</f>
        <v/>
      </c>
      <c r="E13788" s="2"/>
    </row>
    <row r="13789" spans="1:5" ht="13">
      <c r="A13789" s="8" t="str">
        <f ca="1">IFERROR(__xludf.DUMMYFUNCTION("""COMPUTED_VALUE"""),"Fischer, Anton")</f>
        <v>Fischer, Anton</v>
      </c>
      <c r="B13789" s="2"/>
      <c r="C13789" s="2"/>
      <c r="D13789" s="8" t="str">
        <f ca="1">IFERROR(__xludf.DUMMYFUNCTION("""COMPUTED_VALUE"""),"")</f>
        <v/>
      </c>
      <c r="E13789" s="2"/>
    </row>
    <row r="13790" spans="1:5" ht="13">
      <c r="A13790" s="8" t="str">
        <f ca="1">IFERROR(__xludf.DUMMYFUNCTION("""COMPUTED_VALUE"""),"Fischer, C. L.")</f>
        <v>Fischer, C. L.</v>
      </c>
      <c r="B13790" s="2"/>
      <c r="C13790" s="2"/>
      <c r="D13790" s="8" t="str">
        <f ca="1">IFERROR(__xludf.DUMMYFUNCTION("""COMPUTED_VALUE"""),"")</f>
        <v/>
      </c>
      <c r="E13790" s="2"/>
    </row>
    <row r="13791" spans="1:5" ht="13">
      <c r="A13791" s="8" t="str">
        <f ca="1">IFERROR(__xludf.DUMMYFUNCTION("""COMPUTED_VALUE"""),"Fischer, C.A. and Kranz, Albert")</f>
        <v>Fischer, C.A. and Kranz, Albert</v>
      </c>
      <c r="B13791" s="2"/>
      <c r="C13791" s="2"/>
      <c r="D13791" s="8" t="str">
        <f ca="1">IFERROR(__xludf.DUMMYFUNCTION("""COMPUTED_VALUE"""),"")</f>
        <v/>
      </c>
      <c r="E13791" s="2"/>
    </row>
    <row r="13792" spans="1:5" ht="13">
      <c r="A13792" s="8" t="str">
        <f ca="1">IFERROR(__xludf.DUMMYFUNCTION("""COMPUTED_VALUE"""),"Fischer, Irwin")</f>
        <v>Fischer, Irwin</v>
      </c>
      <c r="B13792" s="2"/>
      <c r="C13792" s="2"/>
      <c r="D13792" s="8" t="str">
        <f ca="1">IFERROR(__xludf.DUMMYFUNCTION("""COMPUTED_VALUE"""),"")</f>
        <v/>
      </c>
      <c r="E13792" s="2"/>
    </row>
    <row r="13793" spans="1:5" ht="13">
      <c r="A13793" s="8" t="str">
        <f ca="1">IFERROR(__xludf.DUMMYFUNCTION("""COMPUTED_VALUE"""),"Fiser, Lubas")</f>
        <v>Fiser, Lubas</v>
      </c>
      <c r="B13793" s="2"/>
      <c r="C13793" s="2"/>
      <c r="D13793" s="8" t="str">
        <f ca="1">IFERROR(__xludf.DUMMYFUNCTION("""COMPUTED_VALUE"""),"")</f>
        <v/>
      </c>
      <c r="E13793" s="2"/>
    </row>
    <row r="13794" spans="1:5" ht="13">
      <c r="A13794" s="8" t="str">
        <f ca="1">IFERROR(__xludf.DUMMYFUNCTION("""COMPUTED_VALUE"""),"Fitelberg, Gyzegorz")</f>
        <v>Fitelberg, Gyzegorz</v>
      </c>
      <c r="B13794" s="2"/>
      <c r="C13794" s="2"/>
      <c r="D13794" s="8" t="str">
        <f ca="1">IFERROR(__xludf.DUMMYFUNCTION("""COMPUTED_VALUE"""),"")</f>
        <v/>
      </c>
      <c r="E13794" s="2"/>
    </row>
    <row r="13795" spans="1:5" ht="13">
      <c r="A13795" s="8" t="str">
        <f ca="1">IFERROR(__xludf.DUMMYFUNCTION("""COMPUTED_VALUE"""),"Fitelberg, Jerzy")</f>
        <v>Fitelberg, Jerzy</v>
      </c>
      <c r="B13795" s="2"/>
      <c r="C13795" s="2"/>
      <c r="D13795" s="8" t="str">
        <f ca="1">IFERROR(__xludf.DUMMYFUNCTION("""COMPUTED_VALUE"""),"")</f>
        <v/>
      </c>
      <c r="E13795" s="2"/>
    </row>
    <row r="13796" spans="1:5" ht="13">
      <c r="A13796" s="8" t="str">
        <f ca="1">IFERROR(__xludf.DUMMYFUNCTION("""COMPUTED_VALUE"""),"Flanagan, William")</f>
        <v>Flanagan, William</v>
      </c>
      <c r="B13796" s="2"/>
      <c r="C13796" s="2"/>
      <c r="D13796" s="8" t="str">
        <f ca="1">IFERROR(__xludf.DUMMYFUNCTION("""COMPUTED_VALUE"""),"")</f>
        <v/>
      </c>
      <c r="E13796" s="2"/>
    </row>
    <row r="13797" spans="1:5" ht="13">
      <c r="A13797" s="8" t="str">
        <f ca="1">IFERROR(__xludf.DUMMYFUNCTION("""COMPUTED_VALUE"""),"Floersheim, Otto")</f>
        <v>Floersheim, Otto</v>
      </c>
      <c r="B13797" s="2"/>
      <c r="C13797" s="2"/>
      <c r="D13797" s="8" t="str">
        <f ca="1">IFERROR(__xludf.DUMMYFUNCTION("""COMPUTED_VALUE"""),"")</f>
        <v/>
      </c>
      <c r="E13797" s="2"/>
    </row>
    <row r="13798" spans="1:5" ht="13">
      <c r="A13798" s="8" t="str">
        <f ca="1">IFERROR(__xludf.DUMMYFUNCTION("""COMPUTED_VALUE"""),"Floridia, Pietro")</f>
        <v>Floridia, Pietro</v>
      </c>
      <c r="B13798" s="2"/>
      <c r="C13798" s="2"/>
      <c r="D13798" s="8" t="str">
        <f ca="1">IFERROR(__xludf.DUMMYFUNCTION("""COMPUTED_VALUE"""),"")</f>
        <v/>
      </c>
      <c r="E13798" s="2"/>
    </row>
    <row r="13799" spans="1:5" ht="13">
      <c r="A13799" s="8" t="str">
        <f ca="1">IFERROR(__xludf.DUMMYFUNCTION("""COMPUTED_VALUE"""),"Foerster, Josef B.")</f>
        <v>Foerster, Josef B.</v>
      </c>
      <c r="B13799" s="2"/>
      <c r="C13799" s="2"/>
      <c r="D13799" s="8" t="str">
        <f ca="1">IFERROR(__xludf.DUMMYFUNCTION("""COMPUTED_VALUE"""),"")</f>
        <v/>
      </c>
      <c r="E13799" s="2"/>
    </row>
    <row r="13800" spans="1:5" ht="13">
      <c r="A13800" s="8" t="str">
        <f ca="1">IFERROR(__xludf.DUMMYFUNCTION("""COMPUTED_VALUE"""),"Fogg, Eric")</f>
        <v>Fogg, Eric</v>
      </c>
      <c r="B13800" s="2"/>
      <c r="C13800" s="2"/>
      <c r="D13800" s="8" t="str">
        <f ca="1">IFERROR(__xludf.DUMMYFUNCTION("""COMPUTED_VALUE"""),"")</f>
        <v/>
      </c>
      <c r="E13800" s="2"/>
    </row>
    <row r="13801" spans="1:5" ht="13">
      <c r="A13801" s="8" t="str">
        <f ca="1">IFERROR(__xludf.DUMMYFUNCTION("""COMPUTED_VALUE"""),"Font y De Anta, Manuel")</f>
        <v>Font y De Anta, Manuel</v>
      </c>
      <c r="B13801" s="2"/>
      <c r="C13801" s="2"/>
      <c r="D13801" s="8" t="str">
        <f ca="1">IFERROR(__xludf.DUMMYFUNCTION("""COMPUTED_VALUE"""),"")</f>
        <v/>
      </c>
      <c r="E13801" s="2"/>
    </row>
    <row r="13802" spans="1:5" ht="13">
      <c r="A13802" s="8" t="str">
        <f ca="1">IFERROR(__xludf.DUMMYFUNCTION("""COMPUTED_VALUE"""),"Foote, George")</f>
        <v>Foote, George</v>
      </c>
      <c r="B13802" s="2"/>
      <c r="C13802" s="2"/>
      <c r="D13802" s="8" t="str">
        <f ca="1">IFERROR(__xludf.DUMMYFUNCTION("""COMPUTED_VALUE"""),"")</f>
        <v/>
      </c>
      <c r="E13802" s="2"/>
    </row>
    <row r="13803" spans="1:5" ht="13">
      <c r="A13803" s="2" t="str">
        <f ca="1">IFERROR(__xludf.DUMMYFUNCTION("""COMPUTED_VALUE"""),"Ford, John")</f>
        <v>Ford, John</v>
      </c>
      <c r="B13803" s="2"/>
      <c r="C13803" s="2"/>
      <c r="D13803" s="8" t="str">
        <f ca="1">IFERROR(__xludf.DUMMYFUNCTION("""COMPUTED_VALUE"""),"")</f>
        <v/>
      </c>
      <c r="E13803" s="2"/>
    </row>
    <row r="13804" spans="1:5" ht="13">
      <c r="A13804" s="8" t="str">
        <f ca="1">IFERROR(__xludf.DUMMYFUNCTION("""COMPUTED_VALUE"""),"Fourdrain, Felix")</f>
        <v>Fourdrain, Felix</v>
      </c>
      <c r="B13804" s="2"/>
      <c r="C13804" s="2"/>
      <c r="D13804" s="8" t="str">
        <f ca="1">IFERROR(__xludf.DUMMYFUNCTION("""COMPUTED_VALUE"""),"")</f>
        <v/>
      </c>
      <c r="E13804" s="2"/>
    </row>
    <row r="13805" spans="1:5" ht="13">
      <c r="A13805" s="8" t="str">
        <f ca="1">IFERROR(__xludf.DUMMYFUNCTION("""COMPUTED_VALUE"""),"Fourestier, Louis")</f>
        <v>Fourestier, Louis</v>
      </c>
      <c r="B13805" s="2"/>
      <c r="C13805" s="2"/>
      <c r="D13805" s="8" t="str">
        <f ca="1">IFERROR(__xludf.DUMMYFUNCTION("""COMPUTED_VALUE"""),"")</f>
        <v/>
      </c>
      <c r="E13805" s="2"/>
    </row>
    <row r="13806" spans="1:5" ht="13">
      <c r="A13806" s="8" t="str">
        <f ca="1">IFERROR(__xludf.DUMMYFUNCTION("""COMPUTED_VALUE"""),"Franchetti, Alberto")</f>
        <v>Franchetti, Alberto</v>
      </c>
      <c r="B13806" s="2"/>
      <c r="C13806" s="2"/>
      <c r="D13806" s="8" t="str">
        <f ca="1">IFERROR(__xludf.DUMMYFUNCTION("""COMPUTED_VALUE"""),"")</f>
        <v/>
      </c>
      <c r="E13806" s="2"/>
    </row>
    <row r="13807" spans="1:5" ht="13">
      <c r="A13807" s="8" t="str">
        <f ca="1">IFERROR(__xludf.DUMMYFUNCTION("""COMPUTED_VALUE"""),"Franchetti, Arnold")</f>
        <v>Franchetti, Arnold</v>
      </c>
      <c r="B13807" s="2"/>
      <c r="C13807" s="2"/>
      <c r="D13807" s="8" t="str">
        <f ca="1">IFERROR(__xludf.DUMMYFUNCTION("""COMPUTED_VALUE"""),"")</f>
        <v/>
      </c>
      <c r="E13807" s="2"/>
    </row>
    <row r="13808" spans="1:5" ht="13">
      <c r="A13808" s="8" t="str">
        <f ca="1">IFERROR(__xludf.DUMMYFUNCTION("""COMPUTED_VALUE"""),"Franckenstein, Clements von")</f>
        <v>Franckenstein, Clements von</v>
      </c>
      <c r="B13808" s="2"/>
      <c r="C13808" s="2"/>
      <c r="D13808" s="8" t="str">
        <f ca="1">IFERROR(__xludf.DUMMYFUNCTION("""COMPUTED_VALUE"""),"")</f>
        <v/>
      </c>
      <c r="E13808" s="2"/>
    </row>
    <row r="13809" spans="1:5" ht="13">
      <c r="A13809" s="8" t="str">
        <f ca="1">IFERROR(__xludf.DUMMYFUNCTION("""COMPUTED_VALUE"""),"Franklin, Benjamin (attributed to)")</f>
        <v>Franklin, Benjamin (attributed to)</v>
      </c>
      <c r="B13809" s="2"/>
      <c r="C13809" s="2"/>
      <c r="D13809" s="8" t="str">
        <f ca="1">IFERROR(__xludf.DUMMYFUNCTION("""COMPUTED_VALUE"""),"")</f>
        <v/>
      </c>
      <c r="E13809" s="2"/>
    </row>
    <row r="13810" spans="1:5" ht="13">
      <c r="A13810" s="8" t="str">
        <f ca="1">IFERROR(__xludf.DUMMYFUNCTION("""COMPUTED_VALUE"""),"Franz, Robert")</f>
        <v>Franz, Robert</v>
      </c>
      <c r="B13810" s="2"/>
      <c r="C13810" s="2"/>
      <c r="D13810" s="8" t="str">
        <f ca="1">IFERROR(__xludf.DUMMYFUNCTION("""COMPUTED_VALUE"""),"")</f>
        <v/>
      </c>
      <c r="E13810" s="2"/>
    </row>
    <row r="13811" spans="1:5" ht="13">
      <c r="A13811" s="8" t="str">
        <f ca="1">IFERROR(__xludf.DUMMYFUNCTION("""COMPUTED_VALUE"""),"Frazzi, Vito")</f>
        <v>Frazzi, Vito</v>
      </c>
      <c r="B13811" s="2"/>
      <c r="C13811" s="2"/>
      <c r="D13811" s="8" t="str">
        <f ca="1">IFERROR(__xludf.DUMMYFUNCTION("""COMPUTED_VALUE"""),"")</f>
        <v/>
      </c>
      <c r="E13811" s="2"/>
    </row>
    <row r="13812" spans="1:5" ht="13">
      <c r="A13812" s="8" t="str">
        <f ca="1">IFERROR(__xludf.DUMMYFUNCTION("""COMPUTED_VALUE"""),"Frederick the Great")</f>
        <v>Frederick the Great</v>
      </c>
      <c r="B13812" s="2"/>
      <c r="C13812" s="2"/>
      <c r="D13812" s="8" t="str">
        <f ca="1">IFERROR(__xludf.DUMMYFUNCTION("""COMPUTED_VALUE"""),"")</f>
        <v/>
      </c>
      <c r="E13812" s="2"/>
    </row>
    <row r="13813" spans="1:5" ht="13">
      <c r="A13813" s="8" t="str">
        <f ca="1">IFERROR(__xludf.DUMMYFUNCTION("""COMPUTED_VALUE"""),"Freedman, Harry")</f>
        <v>Freedman, Harry</v>
      </c>
      <c r="B13813" s="2"/>
      <c r="C13813" s="2"/>
      <c r="D13813" s="8" t="str">
        <f ca="1">IFERROR(__xludf.DUMMYFUNCTION("""COMPUTED_VALUE"""),"")</f>
        <v/>
      </c>
      <c r="E13813" s="2"/>
    </row>
    <row r="13814" spans="1:5" ht="13">
      <c r="A13814" s="8" t="str">
        <f ca="1">IFERROR(__xludf.DUMMYFUNCTION("""COMPUTED_VALUE"""),"Frey")</f>
        <v>Frey</v>
      </c>
      <c r="B13814" s="2"/>
      <c r="C13814" s="2"/>
      <c r="D13814" s="8" t="str">
        <f ca="1">IFERROR(__xludf.DUMMYFUNCTION("""COMPUTED_VALUE"""),"")</f>
        <v/>
      </c>
      <c r="E13814" s="2"/>
    </row>
    <row r="13815" spans="1:5" ht="13">
      <c r="A13815" s="8" t="str">
        <f ca="1">IFERROR(__xludf.DUMMYFUNCTION("""COMPUTED_VALUE"""),"Freyre")</f>
        <v>Freyre</v>
      </c>
      <c r="B13815" s="2"/>
      <c r="C13815" s="2"/>
      <c r="D13815" s="8" t="str">
        <f ca="1">IFERROR(__xludf.DUMMYFUNCTION("""COMPUTED_VALUE"""),"")</f>
        <v/>
      </c>
      <c r="E13815" s="2"/>
    </row>
    <row r="13816" spans="1:5" ht="13">
      <c r="A13816" s="8" t="str">
        <f ca="1">IFERROR(__xludf.DUMMYFUNCTION("""COMPUTED_VALUE"""),"Fricker, Peter R.")</f>
        <v>Fricker, Peter R.</v>
      </c>
      <c r="B13816" s="2"/>
      <c r="C13816" s="2"/>
      <c r="D13816" s="8" t="str">
        <f ca="1">IFERROR(__xludf.DUMMYFUNCTION("""COMPUTED_VALUE"""),"")</f>
        <v/>
      </c>
      <c r="E13816" s="2"/>
    </row>
    <row r="13817" spans="1:5" ht="13">
      <c r="A13817" s="8" t="str">
        <f ca="1">IFERROR(__xludf.DUMMYFUNCTION("""COMPUTED_VALUE"""),"Frid, Geza")</f>
        <v>Frid, Geza</v>
      </c>
      <c r="B13817" s="2"/>
      <c r="C13817" s="2"/>
      <c r="D13817" s="8" t="str">
        <f ca="1">IFERROR(__xludf.DUMMYFUNCTION("""COMPUTED_VALUE"""),"")</f>
        <v/>
      </c>
      <c r="E13817" s="2"/>
    </row>
    <row r="13818" spans="1:5" ht="13">
      <c r="A13818" s="8" t="str">
        <f ca="1">IFERROR(__xludf.DUMMYFUNCTION("""COMPUTED_VALUE"""),"Fried, Oskar")</f>
        <v>Fried, Oskar</v>
      </c>
      <c r="B13818" s="2"/>
      <c r="C13818" s="2"/>
      <c r="D13818" s="8" t="str">
        <f ca="1">IFERROR(__xludf.DUMMYFUNCTION("""COMPUTED_VALUE"""),"")</f>
        <v/>
      </c>
      <c r="E13818" s="2"/>
    </row>
    <row r="13819" spans="1:5" ht="13">
      <c r="A13819" s="8" t="str">
        <f ca="1">IFERROR(__xludf.DUMMYFUNCTION("""COMPUTED_VALUE"""),"Frischen, Josef")</f>
        <v>Frischen, Josef</v>
      </c>
      <c r="B13819" s="2"/>
      <c r="C13819" s="2"/>
      <c r="D13819" s="8" t="str">
        <f ca="1">IFERROR(__xludf.DUMMYFUNCTION("""COMPUTED_VALUE"""),"")</f>
        <v/>
      </c>
      <c r="E13819" s="2"/>
    </row>
    <row r="13820" spans="1:5" ht="13">
      <c r="A13820" s="8" t="str">
        <f ca="1">IFERROR(__xludf.DUMMYFUNCTION("""COMPUTED_VALUE"""),"Froberger, Johann J.")</f>
        <v>Froberger, Johann J.</v>
      </c>
      <c r="B13820" s="2"/>
      <c r="C13820" s="2"/>
      <c r="D13820" s="8" t="str">
        <f ca="1">IFERROR(__xludf.DUMMYFUNCTION("""COMPUTED_VALUE"""),"")</f>
        <v/>
      </c>
      <c r="E13820" s="2"/>
    </row>
    <row r="13821" spans="1:5" ht="13">
      <c r="A13821" s="8" t="str">
        <f ca="1">IFERROR(__xludf.DUMMYFUNCTION("""COMPUTED_VALUE"""),"Fuleihan, Anis")</f>
        <v>Fuleihan, Anis</v>
      </c>
      <c r="B13821" s="2"/>
      <c r="C13821" s="2"/>
      <c r="D13821" s="8" t="str">
        <f ca="1">IFERROR(__xludf.DUMMYFUNCTION("""COMPUTED_VALUE"""),"")</f>
        <v/>
      </c>
      <c r="E13821" s="2"/>
    </row>
    <row r="13822" spans="1:5" ht="13">
      <c r="A13822" s="8" t="str">
        <f ca="1">IFERROR(__xludf.DUMMYFUNCTION("""COMPUTED_VALUE"""),"Furstenau, Moritz")</f>
        <v>Furstenau, Moritz</v>
      </c>
      <c r="B13822" s="2"/>
      <c r="C13822" s="2"/>
      <c r="D13822" s="8" t="str">
        <f ca="1">IFERROR(__xludf.DUMMYFUNCTION("""COMPUTED_VALUE"""),"")</f>
        <v/>
      </c>
      <c r="E13822" s="2"/>
    </row>
    <row r="13823" spans="1:5" ht="13">
      <c r="A13823" s="8" t="str">
        <f ca="1">IFERROR(__xludf.DUMMYFUNCTION("""COMPUTED_VALUE"""),"Furter, Virto")</f>
        <v>Furter, Virto</v>
      </c>
      <c r="B13823" s="2"/>
      <c r="C13823" s="2"/>
      <c r="D13823" s="8" t="str">
        <f ca="1">IFERROR(__xludf.DUMMYFUNCTION("""COMPUTED_VALUE"""),"")</f>
        <v/>
      </c>
      <c r="E13823" s="2"/>
    </row>
    <row r="13824" spans="1:5" ht="13">
      <c r="A13824" s="8" t="str">
        <f ca="1">IFERROR(__xludf.DUMMYFUNCTION("""COMPUTED_VALUE"""),"Gabrilowitsch, Ossip S.")</f>
        <v>Gabrilowitsch, Ossip S.</v>
      </c>
      <c r="B13824" s="2"/>
      <c r="C13824" s="2"/>
      <c r="D13824" s="8" t="str">
        <f ca="1">IFERROR(__xludf.DUMMYFUNCTION("""COMPUTED_VALUE"""),"")</f>
        <v/>
      </c>
      <c r="E13824" s="2"/>
    </row>
    <row r="13825" spans="1:5" ht="13">
      <c r="A13825" s="8" t="str">
        <f ca="1">IFERROR(__xludf.DUMMYFUNCTION("""COMPUTED_VALUE"""),"Gaburo, Kenneth")</f>
        <v>Gaburo, Kenneth</v>
      </c>
      <c r="B13825" s="2"/>
      <c r="C13825" s="2"/>
      <c r="D13825" s="8" t="str">
        <f ca="1">IFERROR(__xludf.DUMMYFUNCTION("""COMPUTED_VALUE"""),"")</f>
        <v/>
      </c>
      <c r="E13825" s="2"/>
    </row>
    <row r="13826" spans="1:5" ht="13">
      <c r="A13826" s="8" t="str">
        <f ca="1">IFERROR(__xludf.DUMMYFUNCTION("""COMPUTED_VALUE"""),"Gaertner, Louis")</f>
        <v>Gaertner, Louis</v>
      </c>
      <c r="B13826" s="2"/>
      <c r="C13826" s="2"/>
      <c r="D13826" s="8" t="str">
        <f ca="1">IFERROR(__xludf.DUMMYFUNCTION("""COMPUTED_VALUE"""),"")</f>
        <v/>
      </c>
      <c r="E13826" s="2"/>
    </row>
    <row r="13827" spans="1:5" ht="13">
      <c r="A13827" s="8" t="str">
        <f ca="1">IFERROR(__xludf.DUMMYFUNCTION("""COMPUTED_VALUE"""),"Gal, Hans")</f>
        <v>Gal, Hans</v>
      </c>
      <c r="B13827" s="2"/>
      <c r="C13827" s="2"/>
      <c r="D13827" s="8" t="str">
        <f ca="1">IFERROR(__xludf.DUMMYFUNCTION("""COMPUTED_VALUE"""),"")</f>
        <v/>
      </c>
      <c r="E13827" s="2"/>
    </row>
    <row r="13828" spans="1:5" ht="13">
      <c r="A13828" s="8" t="str">
        <f ca="1">IFERROR(__xludf.DUMMYFUNCTION("""COMPUTED_VALUE"""),"Galliard, Johann E.")</f>
        <v>Galliard, Johann E.</v>
      </c>
      <c r="B13828" s="2"/>
      <c r="C13828" s="2"/>
      <c r="D13828" s="8" t="str">
        <f ca="1">IFERROR(__xludf.DUMMYFUNCTION("""COMPUTED_VALUE"""),"")</f>
        <v/>
      </c>
      <c r="E13828" s="2"/>
    </row>
    <row r="13829" spans="1:5" ht="13">
      <c r="A13829" s="8" t="str">
        <f ca="1">IFERROR(__xludf.DUMMYFUNCTION("""COMPUTED_VALUE"""),"Gallico, Paolo")</f>
        <v>Gallico, Paolo</v>
      </c>
      <c r="B13829" s="2"/>
      <c r="C13829" s="2"/>
      <c r="D13829" s="8" t="str">
        <f ca="1">IFERROR(__xludf.DUMMYFUNCTION("""COMPUTED_VALUE"""),"")</f>
        <v/>
      </c>
      <c r="E13829" s="2"/>
    </row>
    <row r="13830" spans="1:5" ht="13">
      <c r="A13830" s="8" t="str">
        <f ca="1">IFERROR(__xludf.DUMMYFUNCTION("""COMPUTED_VALUE"""),"Galynin, Herman")</f>
        <v>Galynin, Herman</v>
      </c>
      <c r="B13830" s="2"/>
      <c r="C13830" s="2"/>
      <c r="D13830" s="8" t="str">
        <f ca="1">IFERROR(__xludf.DUMMYFUNCTION("""COMPUTED_VALUE"""),"")</f>
        <v/>
      </c>
      <c r="E13830" s="2"/>
    </row>
    <row r="13831" spans="1:5" ht="13">
      <c r="A13831" s="8" t="str">
        <f ca="1">IFERROR(__xludf.DUMMYFUNCTION("""COMPUTED_VALUE"""),"Gandolf, Riccardo")</f>
        <v>Gandolf, Riccardo</v>
      </c>
      <c r="B13831" s="2"/>
      <c r="C13831" s="2"/>
      <c r="D13831" s="8" t="str">
        <f ca="1">IFERROR(__xludf.DUMMYFUNCTION("""COMPUTED_VALUE"""),"")</f>
        <v/>
      </c>
      <c r="E13831" s="2"/>
    </row>
    <row r="13832" spans="1:5" ht="13">
      <c r="A13832" s="8" t="str">
        <f ca="1">IFERROR(__xludf.DUMMYFUNCTION("""COMPUTED_VALUE"""),"Ganz, Rudolph")</f>
        <v>Ganz, Rudolph</v>
      </c>
      <c r="B13832" s="2"/>
      <c r="C13832" s="2"/>
      <c r="D13832" s="8" t="str">
        <f ca="1">IFERROR(__xludf.DUMMYFUNCTION("""COMPUTED_VALUE"""),"")</f>
        <v/>
      </c>
      <c r="E13832" s="2"/>
    </row>
    <row r="13833" spans="1:5" ht="13">
      <c r="A13833" s="8" t="str">
        <f ca="1">IFERROR(__xludf.DUMMYFUNCTION("""COMPUTED_VALUE"""),"Garat, Pierre Jean")</f>
        <v>Garat, Pierre Jean</v>
      </c>
      <c r="B13833" s="2"/>
      <c r="C13833" s="2"/>
      <c r="D13833" s="8" t="str">
        <f ca="1">IFERROR(__xludf.DUMMYFUNCTION("""COMPUTED_VALUE"""),"")</f>
        <v/>
      </c>
      <c r="E13833" s="2"/>
    </row>
    <row r="13834" spans="1:5" ht="13">
      <c r="A13834" s="8" t="str">
        <f ca="1">IFERROR(__xludf.DUMMYFUNCTION("""COMPUTED_VALUE"""),"Gardiner, Henry B.")</f>
        <v>Gardiner, Henry B.</v>
      </c>
      <c r="B13834" s="2"/>
      <c r="C13834" s="2"/>
      <c r="D13834" s="8" t="str">
        <f ca="1">IFERROR(__xludf.DUMMYFUNCTION("""COMPUTED_VALUE"""),"")</f>
        <v/>
      </c>
      <c r="E13834" s="2"/>
    </row>
    <row r="13835" spans="1:5" ht="13">
      <c r="A13835" s="8" t="str">
        <f ca="1">IFERROR(__xludf.DUMMYFUNCTION("""COMPUTED_VALUE"""),"Gardner, Samuel")</f>
        <v>Gardner, Samuel</v>
      </c>
      <c r="B13835" s="2"/>
      <c r="C13835" s="2"/>
      <c r="D13835" s="8" t="str">
        <f ca="1">IFERROR(__xludf.DUMMYFUNCTION("""COMPUTED_VALUE"""),"")</f>
        <v/>
      </c>
      <c r="E13835" s="2"/>
    </row>
    <row r="13836" spans="1:5" ht="13">
      <c r="A13836" s="8" t="str">
        <f ca="1">IFERROR(__xludf.DUMMYFUNCTION("""COMPUTED_VALUE"""),"Garnier, Louis")</f>
        <v>Garnier, Louis</v>
      </c>
      <c r="B13836" s="2"/>
      <c r="C13836" s="2"/>
      <c r="D13836" s="8" t="str">
        <f ca="1">IFERROR(__xludf.DUMMYFUNCTION("""COMPUTED_VALUE"""),"")</f>
        <v/>
      </c>
      <c r="E13836" s="2"/>
    </row>
    <row r="13837" spans="1:5" ht="13">
      <c r="A13837" s="8" t="str">
        <f ca="1">IFERROR(__xludf.DUMMYFUNCTION("""COMPUTED_VALUE"""),"Garofalo,")</f>
        <v>Garofalo,</v>
      </c>
      <c r="B13837" s="2"/>
      <c r="C13837" s="2"/>
      <c r="D13837" s="8" t="str">
        <f ca="1">IFERROR(__xludf.DUMMYFUNCTION("""COMPUTED_VALUE"""),"")</f>
        <v/>
      </c>
      <c r="E13837" s="2"/>
    </row>
    <row r="13838" spans="1:5" ht="13">
      <c r="A13838" s="8" t="str">
        <f ca="1">IFERROR(__xludf.DUMMYFUNCTION("""COMPUTED_VALUE"""),"Garrido-Lecca, Celso")</f>
        <v>Garrido-Lecca, Celso</v>
      </c>
      <c r="B13838" s="2"/>
      <c r="C13838" s="2"/>
      <c r="D13838" s="8" t="str">
        <f ca="1">IFERROR(__xludf.DUMMYFUNCTION("""COMPUTED_VALUE"""),"")</f>
        <v/>
      </c>
      <c r="E13838" s="2"/>
    </row>
    <row r="13839" spans="1:5" ht="13">
      <c r="A13839" s="8" t="str">
        <f ca="1">IFERROR(__xludf.DUMMYFUNCTION("""COMPUTED_VALUE"""),"Gasparini, Francesco")</f>
        <v>Gasparini, Francesco</v>
      </c>
      <c r="B13839" s="2"/>
      <c r="C13839" s="2"/>
      <c r="D13839" s="8" t="str">
        <f ca="1">IFERROR(__xludf.DUMMYFUNCTION("""COMPUTED_VALUE"""),"")</f>
        <v/>
      </c>
      <c r="E13839" s="2"/>
    </row>
    <row r="13840" spans="1:5" ht="13">
      <c r="A13840" s="8" t="str">
        <f ca="1">IFERROR(__xludf.DUMMYFUNCTION("""COMPUTED_VALUE"""),"Gassman, Remi")</f>
        <v>Gassman, Remi</v>
      </c>
      <c r="B13840" s="2"/>
      <c r="C13840" s="2"/>
      <c r="D13840" s="8" t="str">
        <f ca="1">IFERROR(__xludf.DUMMYFUNCTION("""COMPUTED_VALUE"""),"")</f>
        <v/>
      </c>
      <c r="E13840" s="2"/>
    </row>
    <row r="13841" spans="1:5" ht="13">
      <c r="A13841" s="8" t="str">
        <f ca="1">IFERROR(__xludf.DUMMYFUNCTION("""COMPUTED_VALUE"""),"Gaubert, Phillipe")</f>
        <v>Gaubert, Phillipe</v>
      </c>
      <c r="B13841" s="2"/>
      <c r="C13841" s="2"/>
      <c r="D13841" s="8" t="str">
        <f ca="1">IFERROR(__xludf.DUMMYFUNCTION("""COMPUTED_VALUE"""),"")</f>
        <v/>
      </c>
      <c r="E13841" s="2"/>
    </row>
    <row r="13842" spans="1:5" ht="13">
      <c r="A13842" s="8" t="str">
        <f ca="1">IFERROR(__xludf.DUMMYFUNCTION("""COMPUTED_VALUE"""),"Gaul, Harvey")</f>
        <v>Gaul, Harvey</v>
      </c>
      <c r="B13842" s="2"/>
      <c r="C13842" s="2"/>
      <c r="D13842" s="8" t="str">
        <f ca="1">IFERROR(__xludf.DUMMYFUNCTION("""COMPUTED_VALUE"""),"")</f>
        <v/>
      </c>
      <c r="E13842" s="2"/>
    </row>
    <row r="13843" spans="1:5" ht="13">
      <c r="A13843" s="8" t="str">
        <f ca="1">IFERROR(__xludf.DUMMYFUNCTION("""COMPUTED_VALUE"""),"Gebhard, Heinrich")</f>
        <v>Gebhard, Heinrich</v>
      </c>
      <c r="B13843" s="2"/>
      <c r="C13843" s="2"/>
      <c r="D13843" s="8" t="str">
        <f ca="1">IFERROR(__xludf.DUMMYFUNCTION("""COMPUTED_VALUE"""),"")</f>
        <v/>
      </c>
      <c r="E13843" s="2"/>
    </row>
    <row r="13844" spans="1:5" ht="13">
      <c r="A13844" s="8" t="str">
        <f ca="1">IFERROR(__xludf.DUMMYFUNCTION("""COMPUTED_VALUE"""),"Genzmer, Harold")</f>
        <v>Genzmer, Harold</v>
      </c>
      <c r="B13844" s="2"/>
      <c r="C13844" s="2"/>
      <c r="D13844" s="8" t="str">
        <f ca="1">IFERROR(__xludf.DUMMYFUNCTION("""COMPUTED_VALUE"""),"")</f>
        <v/>
      </c>
      <c r="E13844" s="2"/>
    </row>
    <row r="13845" spans="1:5" ht="13">
      <c r="A13845" s="8" t="str">
        <f ca="1">IFERROR(__xludf.DUMMYFUNCTION("""COMPUTED_VALUE"""),"Georges, Alexander")</f>
        <v>Georges, Alexander</v>
      </c>
      <c r="B13845" s="2"/>
      <c r="C13845" s="2"/>
      <c r="D13845" s="8" t="str">
        <f ca="1">IFERROR(__xludf.DUMMYFUNCTION("""COMPUTED_VALUE"""),"")</f>
        <v/>
      </c>
      <c r="E13845" s="2"/>
    </row>
    <row r="13846" spans="1:5" ht="13">
      <c r="A13846" s="8" t="str">
        <f ca="1">IFERROR(__xludf.DUMMYFUNCTION("""COMPUTED_VALUE"""),"Geral,")</f>
        <v>Geral,</v>
      </c>
      <c r="B13846" s="2"/>
      <c r="C13846" s="2"/>
      <c r="D13846" s="8" t="str">
        <f ca="1">IFERROR(__xludf.DUMMYFUNCTION("""COMPUTED_VALUE"""),"")</f>
        <v/>
      </c>
      <c r="E13846" s="2"/>
    </row>
    <row r="13847" spans="1:5" ht="13">
      <c r="A13847" s="8" t="str">
        <f ca="1">IFERROR(__xludf.DUMMYFUNCTION("""COMPUTED_VALUE"""),"Gerard, Louis")</f>
        <v>Gerard, Louis</v>
      </c>
      <c r="B13847" s="2"/>
      <c r="C13847" s="2"/>
      <c r="D13847" s="8" t="str">
        <f ca="1">IFERROR(__xludf.DUMMYFUNCTION("""COMPUTED_VALUE"""),"")</f>
        <v/>
      </c>
      <c r="E13847" s="2"/>
    </row>
    <row r="13848" spans="1:5" ht="13">
      <c r="A13848" s="8" t="str">
        <f ca="1">IFERROR(__xludf.DUMMYFUNCTION("""COMPUTED_VALUE"""),"Gericke, Wilhelm")</f>
        <v>Gericke, Wilhelm</v>
      </c>
      <c r="B13848" s="2"/>
      <c r="C13848" s="2"/>
      <c r="D13848" s="8" t="str">
        <f ca="1">IFERROR(__xludf.DUMMYFUNCTION("""COMPUTED_VALUE"""),"")</f>
        <v/>
      </c>
      <c r="E13848" s="2"/>
    </row>
    <row r="13849" spans="1:5" ht="13">
      <c r="A13849" s="8" t="str">
        <f ca="1">IFERROR(__xludf.DUMMYFUNCTION("""COMPUTED_VALUE"""),"Gernsheim, Friedrich")</f>
        <v>Gernsheim, Friedrich</v>
      </c>
      <c r="B13849" s="2"/>
      <c r="C13849" s="2"/>
      <c r="D13849" s="8" t="str">
        <f ca="1">IFERROR(__xludf.DUMMYFUNCTION("""COMPUTED_VALUE"""),"")</f>
        <v/>
      </c>
      <c r="E13849" s="2"/>
    </row>
    <row r="13850" spans="1:5" ht="13">
      <c r="A13850" s="8" t="str">
        <f ca="1">IFERROR(__xludf.DUMMYFUNCTION("""COMPUTED_VALUE"""),"Gerster, Ottmar")</f>
        <v>Gerster, Ottmar</v>
      </c>
      <c r="B13850" s="2"/>
      <c r="C13850" s="2"/>
      <c r="D13850" s="8" t="str">
        <f ca="1">IFERROR(__xludf.DUMMYFUNCTION("""COMPUTED_VALUE"""),"")</f>
        <v/>
      </c>
      <c r="E13850" s="2"/>
    </row>
    <row r="13851" spans="1:5" ht="13">
      <c r="A13851" s="8" t="str">
        <f ca="1">IFERROR(__xludf.DUMMYFUNCTION("""COMPUTED_VALUE"""),"Gesensway, Louis")</f>
        <v>Gesensway, Louis</v>
      </c>
      <c r="B13851" s="2"/>
      <c r="C13851" s="2"/>
      <c r="D13851" s="8" t="str">
        <f ca="1">IFERROR(__xludf.DUMMYFUNCTION("""COMPUTED_VALUE"""),"")</f>
        <v/>
      </c>
      <c r="E13851" s="2"/>
    </row>
    <row r="13852" spans="1:5" ht="13">
      <c r="A13852" s="8" t="str">
        <f ca="1">IFERROR(__xludf.DUMMYFUNCTION("""COMPUTED_VALUE"""),"Ghedini, Giorgio")</f>
        <v>Ghedini, Giorgio</v>
      </c>
      <c r="B13852" s="2"/>
      <c r="C13852" s="2"/>
      <c r="D13852" s="8" t="str">
        <f ca="1">IFERROR(__xludf.DUMMYFUNCTION("""COMPUTED_VALUE"""),"")</f>
        <v/>
      </c>
      <c r="E13852" s="2"/>
    </row>
    <row r="13853" spans="1:5" ht="13">
      <c r="A13853" s="8" t="str">
        <f ca="1">IFERROR(__xludf.DUMMYFUNCTION("""COMPUTED_VALUE"""),"Ghione, Franco")</f>
        <v>Ghione, Franco</v>
      </c>
      <c r="B13853" s="2"/>
      <c r="C13853" s="2"/>
      <c r="D13853" s="8" t="str">
        <f ca="1">IFERROR(__xludf.DUMMYFUNCTION("""COMPUTED_VALUE"""),"")</f>
        <v/>
      </c>
      <c r="E13853" s="2"/>
    </row>
    <row r="13854" spans="1:5" ht="13">
      <c r="A13854" s="8" t="str">
        <f ca="1">IFERROR(__xludf.DUMMYFUNCTION("""COMPUTED_VALUE"""),"Gilardi, Gilarado")</f>
        <v>Gilardi, Gilarado</v>
      </c>
      <c r="B13854" s="2"/>
      <c r="C13854" s="2"/>
      <c r="D13854" s="8" t="str">
        <f ca="1">IFERROR(__xludf.DUMMYFUNCTION("""COMPUTED_VALUE"""),"")</f>
        <v/>
      </c>
      <c r="E13854" s="2"/>
    </row>
    <row r="13855" spans="1:5" ht="13">
      <c r="A13855" s="8" t="str">
        <f ca="1">IFERROR(__xludf.DUMMYFUNCTION("""COMPUTED_VALUE"""),"Gilbert, Henry F.B.")</f>
        <v>Gilbert, Henry F.B.</v>
      </c>
      <c r="B13855" s="2"/>
      <c r="C13855" s="2"/>
      <c r="D13855" s="8" t="str">
        <f ca="1">IFERROR(__xludf.DUMMYFUNCTION("""COMPUTED_VALUE"""),"")</f>
        <v/>
      </c>
      <c r="E13855" s="2"/>
    </row>
    <row r="13856" spans="1:5" ht="13">
      <c r="A13856" s="8" t="str">
        <f ca="1">IFERROR(__xludf.DUMMYFUNCTION("""COMPUTED_VALUE"""),"Gilchrist, Wm. W.")</f>
        <v>Gilchrist, Wm. W.</v>
      </c>
      <c r="B13856" s="2"/>
      <c r="C13856" s="2"/>
      <c r="D13856" s="8" t="str">
        <f ca="1">IFERROR(__xludf.DUMMYFUNCTION("""COMPUTED_VALUE"""),"")</f>
        <v/>
      </c>
      <c r="E13856" s="2"/>
    </row>
    <row r="13857" spans="1:5" ht="13">
      <c r="A13857" s="8" t="str">
        <f ca="1">IFERROR(__xludf.DUMMYFUNCTION("""COMPUTED_VALUE"""),"Giuranna, Barbara")</f>
        <v>Giuranna, Barbara</v>
      </c>
      <c r="B13857" s="2"/>
      <c r="C13857" s="2"/>
      <c r="D13857" s="8" t="str">
        <f ca="1">IFERROR(__xludf.DUMMYFUNCTION("""COMPUTED_VALUE"""),"")</f>
        <v/>
      </c>
      <c r="E13857" s="2"/>
    </row>
    <row r="13858" spans="1:5" ht="13">
      <c r="A13858" s="8" t="str">
        <f ca="1">IFERROR(__xludf.DUMMYFUNCTION("""COMPUTED_VALUE"""),"Gleason, Fred. Grant")</f>
        <v>Gleason, Fred. Grant</v>
      </c>
      <c r="B13858" s="2"/>
      <c r="C13858" s="2"/>
      <c r="D13858" s="8" t="str">
        <f ca="1">IFERROR(__xludf.DUMMYFUNCTION("""COMPUTED_VALUE"""),"")</f>
        <v/>
      </c>
      <c r="E13858" s="2"/>
    </row>
    <row r="13859" spans="1:5" ht="13">
      <c r="A13859" s="8" t="str">
        <f ca="1">IFERROR(__xludf.DUMMYFUNCTION("""COMPUTED_VALUE"""),"Gnattali, Radames")</f>
        <v>Gnattali, Radames</v>
      </c>
      <c r="B13859" s="2"/>
      <c r="C13859" s="2"/>
      <c r="D13859" s="8" t="str">
        <f ca="1">IFERROR(__xludf.DUMMYFUNCTION("""COMPUTED_VALUE"""),"")</f>
        <v/>
      </c>
      <c r="E13859" s="2"/>
    </row>
    <row r="13860" spans="1:5" ht="13">
      <c r="A13860" s="8" t="str">
        <f ca="1">IFERROR(__xludf.DUMMYFUNCTION("""COMPUTED_VALUE"""),"Gockel, August")</f>
        <v>Gockel, August</v>
      </c>
      <c r="B13860" s="2"/>
      <c r="C13860" s="2"/>
      <c r="D13860" s="8" t="str">
        <f ca="1">IFERROR(__xludf.DUMMYFUNCTION("""COMPUTED_VALUE"""),"")</f>
        <v/>
      </c>
      <c r="E13860" s="2"/>
    </row>
    <row r="13861" spans="1:5" ht="13">
      <c r="A13861" s="8" t="str">
        <f ca="1">IFERROR(__xludf.DUMMYFUNCTION("""COMPUTED_VALUE"""),"Godard, Benjamine")</f>
        <v>Godard, Benjamine</v>
      </c>
      <c r="B13861" s="2"/>
      <c r="C13861" s="2"/>
      <c r="D13861" s="8" t="str">
        <f ca="1">IFERROR(__xludf.DUMMYFUNCTION("""COMPUTED_VALUE"""),"")</f>
        <v/>
      </c>
      <c r="E13861" s="2"/>
    </row>
    <row r="13862" spans="1:5" ht="13">
      <c r="A13862" s="8" t="str">
        <f ca="1">IFERROR(__xludf.DUMMYFUNCTION("""COMPUTED_VALUE"""),"Godefroid, Dievdonne")</f>
        <v>Godefroid, Dievdonne</v>
      </c>
      <c r="B13862" s="2"/>
      <c r="C13862" s="2"/>
      <c r="D13862" s="8" t="str">
        <f ca="1">IFERROR(__xludf.DUMMYFUNCTION("""COMPUTED_VALUE"""),"")</f>
        <v/>
      </c>
      <c r="E13862" s="2"/>
    </row>
    <row r="13863" spans="1:5" ht="13">
      <c r="A13863" s="8" t="str">
        <f ca="1">IFERROR(__xludf.DUMMYFUNCTION("""COMPUTED_VALUE"""),"Godowsky, Leopold")</f>
        <v>Godowsky, Leopold</v>
      </c>
      <c r="B13863" s="2"/>
      <c r="C13863" s="2"/>
      <c r="D13863" s="8" t="str">
        <f ca="1">IFERROR(__xludf.DUMMYFUNCTION("""COMPUTED_VALUE"""),"")</f>
        <v/>
      </c>
      <c r="E13863" s="2"/>
    </row>
    <row r="13864" spans="1:5" ht="13">
      <c r="A13864" s="8" t="str">
        <f ca="1">IFERROR(__xludf.DUMMYFUNCTION("""COMPUTED_VALUE"""),"Goeb, Roger")</f>
        <v>Goeb, Roger</v>
      </c>
      <c r="B13864" s="2"/>
      <c r="C13864" s="2"/>
      <c r="D13864" s="8" t="str">
        <f ca="1">IFERROR(__xludf.DUMMYFUNCTION("""COMPUTED_VALUE"""),"")</f>
        <v/>
      </c>
      <c r="E13864" s="2"/>
    </row>
    <row r="13865" spans="1:5" ht="13">
      <c r="A13865" s="8" t="str">
        <f ca="1">IFERROR(__xludf.DUMMYFUNCTION("""COMPUTED_VALUE"""),"Goehr, Alexander")</f>
        <v>Goehr, Alexander</v>
      </c>
      <c r="B13865" s="2"/>
      <c r="C13865" s="2"/>
      <c r="D13865" s="8" t="str">
        <f ca="1">IFERROR(__xludf.DUMMYFUNCTION("""COMPUTED_VALUE"""),"")</f>
        <v/>
      </c>
      <c r="E13865" s="2"/>
    </row>
    <row r="13866" spans="1:5" ht="13">
      <c r="A13866" s="8" t="str">
        <f ca="1">IFERROR(__xludf.DUMMYFUNCTION("""COMPUTED_VALUE"""),"Goepp, Philip")</f>
        <v>Goepp, Philip</v>
      </c>
      <c r="B13866" s="2"/>
      <c r="C13866" s="2"/>
      <c r="D13866" s="8" t="str">
        <f ca="1">IFERROR(__xludf.DUMMYFUNCTION("""COMPUTED_VALUE"""),"")</f>
        <v/>
      </c>
      <c r="E13866" s="2"/>
    </row>
    <row r="13867" spans="1:5" ht="13">
      <c r="A13867" s="8" t="str">
        <f ca="1">IFERROR(__xludf.DUMMYFUNCTION("""COMPUTED_VALUE"""),"Goetz, Hermann")</f>
        <v>Goetz, Hermann</v>
      </c>
      <c r="B13867" s="2"/>
      <c r="C13867" s="2"/>
      <c r="D13867" s="8" t="str">
        <f ca="1">IFERROR(__xludf.DUMMYFUNCTION("""COMPUTED_VALUE"""),"")</f>
        <v/>
      </c>
      <c r="E13867" s="2"/>
    </row>
    <row r="13868" spans="1:5" ht="13">
      <c r="A13868" s="8" t="str">
        <f ca="1">IFERROR(__xludf.DUMMYFUNCTION("""COMPUTED_VALUE"""),"Goldbeck, Robert")</f>
        <v>Goldbeck, Robert</v>
      </c>
      <c r="B13868" s="2"/>
      <c r="C13868" s="2"/>
      <c r="D13868" s="8" t="str">
        <f ca="1">IFERROR(__xludf.DUMMYFUNCTION("""COMPUTED_VALUE"""),"")</f>
        <v/>
      </c>
      <c r="E13868" s="2"/>
    </row>
    <row r="13869" spans="1:5" ht="13">
      <c r="A13869" s="8" t="str">
        <f ca="1">IFERROR(__xludf.DUMMYFUNCTION("""COMPUTED_VALUE"""),"Goldmark, Rubin")</f>
        <v>Goldmark, Rubin</v>
      </c>
      <c r="B13869" s="2"/>
      <c r="C13869" s="2"/>
      <c r="D13869" s="8" t="str">
        <f ca="1">IFERROR(__xludf.DUMMYFUNCTION("""COMPUTED_VALUE"""),"")</f>
        <v/>
      </c>
      <c r="E13869" s="2"/>
    </row>
    <row r="13870" spans="1:5" ht="13">
      <c r="A13870" s="8" t="str">
        <f ca="1">IFERROR(__xludf.DUMMYFUNCTION("""COMPUTED_VALUE"""),"Goldschmidt, Berthold")</f>
        <v>Goldschmidt, Berthold</v>
      </c>
      <c r="B13870" s="2"/>
      <c r="C13870" s="2"/>
      <c r="D13870" s="8" t="str">
        <f ca="1">IFERROR(__xludf.DUMMYFUNCTION("""COMPUTED_VALUE"""),"")</f>
        <v/>
      </c>
      <c r="E13870" s="2"/>
    </row>
    <row r="13871" spans="1:5" ht="13">
      <c r="A13871" s="8" t="str">
        <f ca="1">IFERROR(__xludf.DUMMYFUNCTION("""COMPUTED_VALUE"""),"Golestan, Stan")</f>
        <v>Golestan, Stan</v>
      </c>
      <c r="B13871" s="2"/>
      <c r="C13871" s="2"/>
      <c r="D13871" s="8" t="str">
        <f ca="1">IFERROR(__xludf.DUMMYFUNCTION("""COMPUTED_VALUE"""),"")</f>
        <v/>
      </c>
      <c r="E13871" s="2"/>
    </row>
    <row r="13872" spans="1:5" ht="13">
      <c r="A13872" s="8" t="str">
        <f ca="1">IFERROR(__xludf.DUMMYFUNCTION("""COMPUTED_VALUE"""),"Gombac")</f>
        <v>Gombac</v>
      </c>
      <c r="B13872" s="2"/>
      <c r="C13872" s="2"/>
      <c r="D13872" s="8" t="str">
        <f ca="1">IFERROR(__xludf.DUMMYFUNCTION("""COMPUTED_VALUE"""),"")</f>
        <v/>
      </c>
      <c r="E13872" s="2"/>
    </row>
    <row r="13873" spans="1:5" ht="13">
      <c r="A13873" s="8" t="str">
        <f ca="1">IFERROR(__xludf.DUMMYFUNCTION("""COMPUTED_VALUE"""),"Gomer, Lleweln")</f>
        <v>Gomer, Lleweln</v>
      </c>
      <c r="B13873" s="2"/>
      <c r="C13873" s="2"/>
      <c r="D13873" s="8" t="str">
        <f ca="1">IFERROR(__xludf.DUMMYFUNCTION("""COMPUTED_VALUE"""),"")</f>
        <v/>
      </c>
      <c r="E13873" s="2"/>
    </row>
    <row r="13874" spans="1:5" ht="13">
      <c r="A13874" s="8" t="str">
        <f ca="1">IFERROR(__xludf.DUMMYFUNCTION("""COMPUTED_VALUE"""),"Gorin, Igor")</f>
        <v>Gorin, Igor</v>
      </c>
      <c r="B13874" s="2"/>
      <c r="C13874" s="2"/>
      <c r="D13874" s="8" t="str">
        <f ca="1">IFERROR(__xludf.DUMMYFUNCTION("""COMPUTED_VALUE"""),"")</f>
        <v/>
      </c>
      <c r="E13874" s="2"/>
    </row>
    <row r="13875" spans="1:5" ht="13">
      <c r="A13875" s="8" t="str">
        <f ca="1">IFERROR(__xludf.DUMMYFUNCTION("""COMPUTED_VALUE"""),"Gossec, Francois")</f>
        <v>Gossec, Francois</v>
      </c>
      <c r="B13875" s="2"/>
      <c r="C13875" s="2"/>
      <c r="D13875" s="8" t="str">
        <f ca="1">IFERROR(__xludf.DUMMYFUNCTION("""COMPUTED_VALUE"""),"")</f>
        <v/>
      </c>
      <c r="E13875" s="2"/>
    </row>
    <row r="13876" spans="1:5" ht="13">
      <c r="A13876" s="8" t="str">
        <f ca="1">IFERROR(__xludf.DUMMYFUNCTION("""COMPUTED_VALUE"""),"Gotovac, Johov")</f>
        <v>Gotovac, Johov</v>
      </c>
      <c r="B13876" s="2"/>
      <c r="C13876" s="2"/>
      <c r="D13876" s="8" t="str">
        <f ca="1">IFERROR(__xludf.DUMMYFUNCTION("""COMPUTED_VALUE"""),"")</f>
        <v/>
      </c>
      <c r="E13876" s="2"/>
    </row>
    <row r="13877" spans="1:5" ht="13">
      <c r="A13877" s="8" t="str">
        <f ca="1">IFERROR(__xludf.DUMMYFUNCTION("""COMPUTED_VALUE"""),"Gottlieb, Jack")</f>
        <v>Gottlieb, Jack</v>
      </c>
      <c r="B13877" s="2"/>
      <c r="C13877" s="2"/>
      <c r="D13877" s="8" t="str">
        <f ca="1">IFERROR(__xludf.DUMMYFUNCTION("""COMPUTED_VALUE"""),"")</f>
        <v/>
      </c>
      <c r="E13877" s="2"/>
    </row>
    <row r="13878" spans="1:5" ht="13">
      <c r="A13878" s="8" t="str">
        <f ca="1">IFERROR(__xludf.DUMMYFUNCTION("""COMPUTED_VALUE"""),"Goudoever, Henry D. van")</f>
        <v>Goudoever, Henry D. van</v>
      </c>
      <c r="B13878" s="2"/>
      <c r="C13878" s="2"/>
      <c r="D13878" s="8" t="str">
        <f ca="1">IFERROR(__xludf.DUMMYFUNCTION("""COMPUTED_VALUE"""),"")</f>
        <v/>
      </c>
      <c r="E13878" s="2"/>
    </row>
    <row r="13879" spans="1:5" ht="13">
      <c r="A13879" s="8" t="str">
        <f ca="1">IFERROR(__xludf.DUMMYFUNCTION("""COMPUTED_VALUE"""),"Graener, Paul")</f>
        <v>Graener, Paul</v>
      </c>
      <c r="B13879" s="2"/>
      <c r="C13879" s="2"/>
      <c r="D13879" s="8" t="str">
        <f ca="1">IFERROR(__xludf.DUMMYFUNCTION("""COMPUTED_VALUE"""),"")</f>
        <v/>
      </c>
      <c r="E13879" s="2"/>
    </row>
    <row r="13880" spans="1:5" ht="13">
      <c r="A13880" s="8" t="str">
        <f ca="1">IFERROR(__xludf.DUMMYFUNCTION("""COMPUTED_VALUE"""),"Gramatte, Sonia Marie")</f>
        <v>Gramatte, Sonia Marie</v>
      </c>
      <c r="B13880" s="2"/>
      <c r="C13880" s="2"/>
      <c r="D13880" s="8" t="str">
        <f ca="1">IFERROR(__xludf.DUMMYFUNCTION("""COMPUTED_VALUE"""),"")</f>
        <v/>
      </c>
      <c r="E13880" s="2"/>
    </row>
    <row r="13881" spans="1:5" ht="13">
      <c r="A13881" s="8" t="str">
        <f ca="1">IFERROR(__xludf.DUMMYFUNCTION("""COMPUTED_VALUE"""),"Grammann, Carl")</f>
        <v>Grammann, Carl</v>
      </c>
      <c r="B13881" s="2"/>
      <c r="C13881" s="2"/>
      <c r="D13881" s="8" t="str">
        <f ca="1">IFERROR(__xludf.DUMMYFUNCTION("""COMPUTED_VALUE"""),"")</f>
        <v/>
      </c>
      <c r="E13881" s="2"/>
    </row>
    <row r="13882" spans="1:5" ht="13">
      <c r="A13882" s="8" t="str">
        <f ca="1">IFERROR(__xludf.DUMMYFUNCTION("""COMPUTED_VALUE"""),"Granz")</f>
        <v>Granz</v>
      </c>
      <c r="B13882" s="2"/>
      <c r="C13882" s="2"/>
      <c r="D13882" s="8" t="str">
        <f ca="1">IFERROR(__xludf.DUMMYFUNCTION("""COMPUTED_VALUE"""),"")</f>
        <v/>
      </c>
      <c r="E13882" s="2"/>
    </row>
    <row r="13883" spans="1:5" ht="13">
      <c r="A13883" s="8" t="str">
        <f ca="1">IFERROR(__xludf.DUMMYFUNCTION("""COMPUTED_VALUE"""),"Graun, Karl")</f>
        <v>Graun, Karl</v>
      </c>
      <c r="B13883" s="2"/>
      <c r="C13883" s="2"/>
      <c r="D13883" s="8" t="str">
        <f ca="1">IFERROR(__xludf.DUMMYFUNCTION("""COMPUTED_VALUE"""),"")</f>
        <v/>
      </c>
      <c r="E13883" s="2"/>
    </row>
    <row r="13884" spans="1:5" ht="13">
      <c r="A13884" s="8" t="str">
        <f ca="1">IFERROR(__xludf.DUMMYFUNCTION("""COMPUTED_VALUE"""),"Gray (unknown)")</f>
        <v>Gray (unknown)</v>
      </c>
      <c r="B13884" s="2"/>
      <c r="C13884" s="2"/>
      <c r="D13884" s="8" t="str">
        <f ca="1">IFERROR(__xludf.DUMMYFUNCTION("""COMPUTED_VALUE"""),"")</f>
        <v/>
      </c>
      <c r="E13884" s="2"/>
    </row>
    <row r="13885" spans="1:5" ht="13">
      <c r="A13885" s="8" t="str">
        <f ca="1">IFERROR(__xludf.DUMMYFUNCTION("""COMPUTED_VALUE"""),"Greensway, L.")</f>
        <v>Greensway, L.</v>
      </c>
      <c r="B13885" s="2"/>
      <c r="C13885" s="2"/>
      <c r="D13885" s="8" t="str">
        <f ca="1">IFERROR(__xludf.DUMMYFUNCTION("""COMPUTED_VALUE"""),"")</f>
        <v/>
      </c>
      <c r="E13885" s="2"/>
    </row>
    <row r="13886" spans="1:5" ht="13">
      <c r="A13886" s="8" t="str">
        <f ca="1">IFERROR(__xludf.DUMMYFUNCTION("""COMPUTED_VALUE"""),"Grignon, Lamote de")</f>
        <v>Grignon, Lamote de</v>
      </c>
      <c r="B13886" s="2"/>
      <c r="C13886" s="2"/>
      <c r="D13886" s="8" t="str">
        <f ca="1">IFERROR(__xludf.DUMMYFUNCTION("""COMPUTED_VALUE"""),"")</f>
        <v/>
      </c>
      <c r="E13886" s="2"/>
    </row>
    <row r="13887" spans="1:5" ht="13">
      <c r="A13887" s="8" t="str">
        <f ca="1">IFERROR(__xludf.DUMMYFUNCTION("""COMPUTED_VALUE"""),"Grimm, Carl Hugo")</f>
        <v>Grimm, Carl Hugo</v>
      </c>
      <c r="B13887" s="2"/>
      <c r="C13887" s="2"/>
      <c r="D13887" s="8" t="str">
        <f ca="1">IFERROR(__xludf.DUMMYFUNCTION("""COMPUTED_VALUE"""),"")</f>
        <v/>
      </c>
      <c r="E13887" s="2"/>
    </row>
    <row r="13888" spans="1:5" ht="13">
      <c r="A13888" s="8" t="str">
        <f ca="1">IFERROR(__xludf.DUMMYFUNCTION("""COMPUTED_VALUE"""),"Grimm, Julius Otto")</f>
        <v>Grimm, Julius Otto</v>
      </c>
      <c r="B13888" s="2"/>
      <c r="C13888" s="2"/>
      <c r="D13888" s="8" t="str">
        <f ca="1">IFERROR(__xludf.DUMMYFUNCTION("""COMPUTED_VALUE"""),"")</f>
        <v/>
      </c>
      <c r="E13888" s="2"/>
    </row>
    <row r="13889" spans="1:5" ht="13">
      <c r="A13889" s="8" t="str">
        <f ca="1">IFERROR(__xludf.DUMMYFUNCTION("""COMPUTED_VALUE"""),"Grison, Jules")</f>
        <v>Grison, Jules</v>
      </c>
      <c r="B13889" s="2"/>
      <c r="C13889" s="2"/>
      <c r="D13889" s="8" t="str">
        <f ca="1">IFERROR(__xludf.DUMMYFUNCTION("""COMPUTED_VALUE"""),"")</f>
        <v/>
      </c>
      <c r="E13889" s="2"/>
    </row>
    <row r="13890" spans="1:5" ht="13">
      <c r="A13890" s="8" t="str">
        <f ca="1">IFERROR(__xludf.DUMMYFUNCTION("""COMPUTED_VALUE"""),"Gr臈ener, Hermann")</f>
        <v>Gr臈ener, Hermann</v>
      </c>
      <c r="B13890" s="2"/>
      <c r="C13890" s="2"/>
      <c r="D13890" s="8" t="str">
        <f ca="1">IFERROR(__xludf.DUMMYFUNCTION("""COMPUTED_VALUE"""),"")</f>
        <v/>
      </c>
      <c r="E13890" s="2"/>
    </row>
    <row r="13891" spans="1:5" ht="13">
      <c r="A13891" s="8" t="str">
        <f ca="1">IFERROR(__xludf.DUMMYFUNCTION("""COMPUTED_VALUE"""),"Guerrini, Guido")</f>
        <v>Guerrini, Guido</v>
      </c>
      <c r="B13891" s="2"/>
      <c r="C13891" s="2"/>
      <c r="D13891" s="8" t="str">
        <f ca="1">IFERROR(__xludf.DUMMYFUNCTION("""COMPUTED_VALUE"""),"")</f>
        <v/>
      </c>
      <c r="E13891" s="2"/>
    </row>
    <row r="13892" spans="1:5" ht="13">
      <c r="A13892" s="8" t="str">
        <f ca="1">IFERROR(__xludf.DUMMYFUNCTION("""COMPUTED_VALUE"""),"Guilhaud, George")</f>
        <v>Guilhaud, George</v>
      </c>
      <c r="B13892" s="2"/>
      <c r="C13892" s="2"/>
      <c r="D13892" s="8" t="str">
        <f ca="1">IFERROR(__xludf.DUMMYFUNCTION("""COMPUTED_VALUE"""),"")</f>
        <v/>
      </c>
      <c r="E13892" s="2"/>
    </row>
    <row r="13893" spans="1:5" ht="13">
      <c r="A13893" s="8" t="str">
        <f ca="1">IFERROR(__xludf.DUMMYFUNCTION("""COMPUTED_VALUE"""),"Guion, David")</f>
        <v>Guion, David</v>
      </c>
      <c r="B13893" s="2"/>
      <c r="C13893" s="2"/>
      <c r="D13893" s="8" t="str">
        <f ca="1">IFERROR(__xludf.DUMMYFUNCTION("""COMPUTED_VALUE"""),"")</f>
        <v/>
      </c>
      <c r="E13893" s="2"/>
    </row>
    <row r="13894" spans="1:5" ht="13">
      <c r="A13894" s="8" t="str">
        <f ca="1">IFERROR(__xludf.DUMMYFUNCTION("""COMPUTED_VALUE"""),"Guiraud, Ernest")</f>
        <v>Guiraud, Ernest</v>
      </c>
      <c r="B13894" s="2"/>
      <c r="C13894" s="2"/>
      <c r="D13894" s="8" t="str">
        <f ca="1">IFERROR(__xludf.DUMMYFUNCTION("""COMPUTED_VALUE"""),"")</f>
        <v/>
      </c>
      <c r="E13894" s="2"/>
    </row>
    <row r="13895" spans="1:5" ht="13">
      <c r="A13895" s="8" t="str">
        <f ca="1">IFERROR(__xludf.DUMMYFUNCTION("""COMPUTED_VALUE"""),"Gumbert, Ferdinand")</f>
        <v>Gumbert, Ferdinand</v>
      </c>
      <c r="B13895" s="2"/>
      <c r="C13895" s="2"/>
      <c r="D13895" s="8" t="str">
        <f ca="1">IFERROR(__xludf.DUMMYFUNCTION("""COMPUTED_VALUE"""),"")</f>
        <v/>
      </c>
      <c r="E13895" s="2"/>
    </row>
    <row r="13896" spans="1:5" ht="13">
      <c r="A13896" s="8" t="str">
        <f ca="1">IFERROR(__xludf.DUMMYFUNCTION("""COMPUTED_VALUE"""),"Gusikoff, Michael")</f>
        <v>Gusikoff, Michael</v>
      </c>
      <c r="B13896" s="2"/>
      <c r="C13896" s="2"/>
      <c r="D13896" s="8" t="str">
        <f ca="1">IFERROR(__xludf.DUMMYFUNCTION("""COMPUTED_VALUE"""),"")</f>
        <v/>
      </c>
      <c r="E13896" s="2"/>
    </row>
    <row r="13897" spans="1:5" ht="13">
      <c r="A13897" s="8" t="str">
        <f ca="1">IFERROR(__xludf.DUMMYFUNCTION("""COMPUTED_VALUE"""),"Gutche, Gene")</f>
        <v>Gutche, Gene</v>
      </c>
      <c r="B13897" s="2"/>
      <c r="C13897" s="2"/>
      <c r="D13897" s="8" t="str">
        <f ca="1">IFERROR(__xludf.DUMMYFUNCTION("""COMPUTED_VALUE"""),"")</f>
        <v/>
      </c>
      <c r="E13897" s="2"/>
    </row>
    <row r="13898" spans="1:5" ht="13">
      <c r="A13898" s="8" t="str">
        <f ca="1">IFERROR(__xludf.DUMMYFUNCTION("""COMPUTED_VALUE"""),"H・, Georges")</f>
        <v>H・, Georges</v>
      </c>
      <c r="B13898" s="2"/>
      <c r="C13898" s="2"/>
      <c r="D13898" s="8" t="str">
        <f ca="1">IFERROR(__xludf.DUMMYFUNCTION("""COMPUTED_VALUE"""),"")</f>
        <v/>
      </c>
      <c r="E13898" s="2"/>
    </row>
    <row r="13899" spans="1:5" ht="13">
      <c r="A13899" s="8" t="str">
        <f ca="1">IFERROR(__xludf.DUMMYFUNCTION("""COMPUTED_VALUE"""),"Haase, C.")</f>
        <v>Haase, C.</v>
      </c>
      <c r="B13899" s="2"/>
      <c r="C13899" s="2"/>
      <c r="D13899" s="8" t="str">
        <f ca="1">IFERROR(__xludf.DUMMYFUNCTION("""COMPUTED_VALUE"""),"")</f>
        <v/>
      </c>
      <c r="E13899" s="2"/>
    </row>
    <row r="13900" spans="1:5" ht="13">
      <c r="A13900" s="8" t="str">
        <f ca="1">IFERROR(__xludf.DUMMYFUNCTION("""COMPUTED_VALUE"""),"Hageman, Richard")</f>
        <v>Hageman, Richard</v>
      </c>
      <c r="B13900" s="2"/>
      <c r="C13900" s="2"/>
      <c r="D13900" s="8" t="str">
        <f ca="1">IFERROR(__xludf.DUMMYFUNCTION("""COMPUTED_VALUE"""),"")</f>
        <v/>
      </c>
      <c r="E13900" s="2"/>
    </row>
    <row r="13901" spans="1:5" ht="13">
      <c r="A13901" s="8" t="str">
        <f ca="1">IFERROR(__xludf.DUMMYFUNCTION("""COMPUTED_VALUE"""),"Hahn, Aug.")</f>
        <v>Hahn, Aug.</v>
      </c>
      <c r="B13901" s="2"/>
      <c r="C13901" s="2"/>
      <c r="D13901" s="8" t="str">
        <f ca="1">IFERROR(__xludf.DUMMYFUNCTION("""COMPUTED_VALUE"""),"")</f>
        <v/>
      </c>
      <c r="E13901" s="2"/>
    </row>
    <row r="13902" spans="1:5" ht="13">
      <c r="A13902" s="8" t="str">
        <f ca="1">IFERROR(__xludf.DUMMYFUNCTION("""COMPUTED_VALUE"""),"Haieff, Alexei")</f>
        <v>Haieff, Alexei</v>
      </c>
      <c r="B13902" s="2"/>
      <c r="C13902" s="2"/>
      <c r="D13902" s="8" t="str">
        <f ca="1">IFERROR(__xludf.DUMMYFUNCTION("""COMPUTED_VALUE"""),"")</f>
        <v/>
      </c>
      <c r="E13902" s="2"/>
    </row>
    <row r="13903" spans="1:5" ht="13">
      <c r="A13903" s="8" t="str">
        <f ca="1">IFERROR(__xludf.DUMMYFUNCTION("""COMPUTED_VALUE"""),"Haines, Edmund T.")</f>
        <v>Haines, Edmund T.</v>
      </c>
      <c r="B13903" s="2"/>
      <c r="C13903" s="2"/>
      <c r="D13903" s="8" t="str">
        <f ca="1">IFERROR(__xludf.DUMMYFUNCTION("""COMPUTED_VALUE"""),"")</f>
        <v/>
      </c>
      <c r="E13903" s="2"/>
    </row>
    <row r="13904" spans="1:5" ht="13">
      <c r="A13904" s="8" t="str">
        <f ca="1">IFERROR(__xludf.DUMMYFUNCTION("""COMPUTED_VALUE"""),"Halffter-Escriche, Ernesto")</f>
        <v>Halffter-Escriche, Ernesto</v>
      </c>
      <c r="B13904" s="2"/>
      <c r="C13904" s="2"/>
      <c r="D13904" s="8" t="str">
        <f ca="1">IFERROR(__xludf.DUMMYFUNCTION("""COMPUTED_VALUE"""),"")</f>
        <v/>
      </c>
      <c r="E13904" s="2"/>
    </row>
    <row r="13905" spans="1:5" ht="13">
      <c r="A13905" s="8" t="str">
        <f ca="1">IFERROR(__xludf.DUMMYFUNCTION("""COMPUTED_VALUE"""),"Hall, Reginald")</f>
        <v>Hall, Reginald</v>
      </c>
      <c r="B13905" s="2"/>
      <c r="C13905" s="2"/>
      <c r="D13905" s="8" t="str">
        <f ca="1">IFERROR(__xludf.DUMMYFUNCTION("""COMPUTED_VALUE"""),"")</f>
        <v/>
      </c>
      <c r="E13905" s="2"/>
    </row>
    <row r="13906" spans="1:5" ht="13">
      <c r="A13906" s="8" t="str">
        <f ca="1">IFERROR(__xludf.DUMMYFUNCTION("""COMPUTED_VALUE"""),"Halle, Jens")</f>
        <v>Halle, Jens</v>
      </c>
      <c r="B13906" s="2"/>
      <c r="C13906" s="2"/>
      <c r="D13906" s="8" t="str">
        <f ca="1">IFERROR(__xludf.DUMMYFUNCTION("""COMPUTED_VALUE"""),"")</f>
        <v/>
      </c>
      <c r="E13906" s="2"/>
    </row>
    <row r="13907" spans="1:5" ht="13">
      <c r="A13907" s="8" t="str">
        <f ca="1">IFERROR(__xludf.DUMMYFUNCTION("""COMPUTED_VALUE"""),"Hallstroem, Ivar")</f>
        <v>Hallstroem, Ivar</v>
      </c>
      <c r="B13907" s="2"/>
      <c r="C13907" s="2"/>
      <c r="D13907" s="8" t="str">
        <f ca="1">IFERROR(__xludf.DUMMYFUNCTION("""COMPUTED_VALUE"""),"")</f>
        <v/>
      </c>
      <c r="E13907" s="2"/>
    </row>
    <row r="13908" spans="1:5" ht="13">
      <c r="A13908" s="8" t="str">
        <f ca="1">IFERROR(__xludf.DUMMYFUNCTION("""COMPUTED_VALUE"""),"Hall駭, Andreas")</f>
        <v>Hall駭, Andreas</v>
      </c>
      <c r="B13908" s="2"/>
      <c r="C13908" s="2"/>
      <c r="D13908" s="8" t="str">
        <f ca="1">IFERROR(__xludf.DUMMYFUNCTION("""COMPUTED_VALUE"""),"")</f>
        <v/>
      </c>
      <c r="E13908" s="2"/>
    </row>
    <row r="13909" spans="1:5" ht="13">
      <c r="A13909" s="8" t="str">
        <f ca="1">IFERROR(__xludf.DUMMYFUNCTION("""COMPUTED_VALUE"""),"Hamm, Chas.")</f>
        <v>Hamm, Chas.</v>
      </c>
      <c r="B13909" s="2"/>
      <c r="C13909" s="2"/>
      <c r="D13909" s="8" t="str">
        <f ca="1">IFERROR(__xludf.DUMMYFUNCTION("""COMPUTED_VALUE"""),"")</f>
        <v/>
      </c>
      <c r="E13909" s="2"/>
    </row>
    <row r="13910" spans="1:5" ht="13">
      <c r="A13910" s="8" t="str">
        <f ca="1">IFERROR(__xludf.DUMMYFUNCTION("""COMPUTED_VALUE"""),"Hammerbacher")</f>
        <v>Hammerbacher</v>
      </c>
      <c r="B13910" s="2"/>
      <c r="C13910" s="2"/>
      <c r="D13910" s="8" t="str">
        <f ca="1">IFERROR(__xludf.DUMMYFUNCTION("""COMPUTED_VALUE"""),"")</f>
        <v/>
      </c>
      <c r="E13910" s="2"/>
    </row>
    <row r="13911" spans="1:5" ht="13">
      <c r="A13911" s="8" t="str">
        <f ca="1">IFERROR(__xludf.DUMMYFUNCTION("""COMPUTED_VALUE"""),"Harkness, Rebekah")</f>
        <v>Harkness, Rebekah</v>
      </c>
      <c r="B13911" s="2"/>
      <c r="C13911" s="2"/>
      <c r="D13911" s="8" t="str">
        <f ca="1">IFERROR(__xludf.DUMMYFUNCTION("""COMPUTED_VALUE"""),"")</f>
        <v/>
      </c>
      <c r="E13911" s="2"/>
    </row>
    <row r="13912" spans="1:5" ht="13">
      <c r="A13912" s="8" t="str">
        <f ca="1">IFERROR(__xludf.DUMMYFUNCTION("""COMPUTED_VALUE"""),"Harmati, Sandor")</f>
        <v>Harmati, Sandor</v>
      </c>
      <c r="B13912" s="2"/>
      <c r="C13912" s="2"/>
      <c r="D13912" s="8" t="str">
        <f ca="1">IFERROR(__xludf.DUMMYFUNCTION("""COMPUTED_VALUE"""),"")</f>
        <v/>
      </c>
      <c r="E13912" s="2"/>
    </row>
    <row r="13913" spans="1:5" ht="13">
      <c r="A13913" s="8" t="str">
        <f ca="1">IFERROR(__xludf.DUMMYFUNCTION("""COMPUTED_VALUE"""),"Harris, Victor")</f>
        <v>Harris, Victor</v>
      </c>
      <c r="B13913" s="2"/>
      <c r="C13913" s="2"/>
      <c r="D13913" s="8" t="str">
        <f ca="1">IFERROR(__xludf.DUMMYFUNCTION("""COMPUTED_VALUE"""),"")</f>
        <v/>
      </c>
      <c r="E13913" s="2"/>
    </row>
    <row r="13914" spans="1:5" ht="13">
      <c r="A13914" s="8" t="str">
        <f ca="1">IFERROR(__xludf.DUMMYFUNCTION("""COMPUTED_VALUE"""),"Harsanyi, Tibor")</f>
        <v>Harsanyi, Tibor</v>
      </c>
      <c r="B13914" s="2"/>
      <c r="C13914" s="2"/>
      <c r="D13914" s="8" t="str">
        <f ca="1">IFERROR(__xludf.DUMMYFUNCTION("""COMPUTED_VALUE"""),"")</f>
        <v/>
      </c>
      <c r="E13914" s="2"/>
    </row>
    <row r="13915" spans="1:5" ht="13">
      <c r="A13915" s="8" t="str">
        <f ca="1">IFERROR(__xludf.DUMMYFUNCTION("""COMPUTED_VALUE"""),"Hart, Fred")</f>
        <v>Hart, Fred</v>
      </c>
      <c r="B13915" s="2"/>
      <c r="C13915" s="2"/>
      <c r="D13915" s="8" t="str">
        <f ca="1">IFERROR(__xludf.DUMMYFUNCTION("""COMPUTED_VALUE"""),"")</f>
        <v/>
      </c>
      <c r="E13915" s="2"/>
    </row>
    <row r="13916" spans="1:5" ht="13">
      <c r="A13916" s="8" t="str">
        <f ca="1">IFERROR(__xludf.DUMMYFUNCTION("""COMPUTED_VALUE"""),"Hartmann")</f>
        <v>Hartmann</v>
      </c>
      <c r="B13916" s="2"/>
      <c r="C13916" s="2"/>
      <c r="D13916" s="8" t="str">
        <f ca="1">IFERROR(__xludf.DUMMYFUNCTION("""COMPUTED_VALUE"""),"")</f>
        <v/>
      </c>
      <c r="E13916" s="2"/>
    </row>
    <row r="13917" spans="1:5" ht="13">
      <c r="A13917" s="8" t="str">
        <f ca="1">IFERROR(__xludf.DUMMYFUNCTION("""COMPUTED_VALUE"""),"Hartmann, Karl A.")</f>
        <v>Hartmann, Karl A.</v>
      </c>
      <c r="B13917" s="2"/>
      <c r="C13917" s="2"/>
      <c r="D13917" s="8" t="str">
        <f ca="1">IFERROR(__xludf.DUMMYFUNCTION("""COMPUTED_VALUE"""),"")</f>
        <v/>
      </c>
      <c r="E13917" s="2"/>
    </row>
    <row r="13918" spans="1:5" ht="13">
      <c r="A13918" s="8" t="str">
        <f ca="1">IFERROR(__xludf.DUMMYFUNCTION("""COMPUTED_VALUE"""),"Harvey, Vivien")</f>
        <v>Harvey, Vivien</v>
      </c>
      <c r="B13918" s="2"/>
      <c r="C13918" s="2"/>
      <c r="D13918" s="8" t="str">
        <f ca="1">IFERROR(__xludf.DUMMYFUNCTION("""COMPUTED_VALUE"""),"")</f>
        <v/>
      </c>
      <c r="E13918" s="2"/>
    </row>
    <row r="13919" spans="1:5" ht="13">
      <c r="A13919" s="8" t="str">
        <f ca="1">IFERROR(__xludf.DUMMYFUNCTION("""COMPUTED_VALUE"""),"Hatton, Gaylen")</f>
        <v>Hatton, Gaylen</v>
      </c>
      <c r="B13919" s="2"/>
      <c r="C13919" s="2"/>
      <c r="D13919" s="8" t="str">
        <f ca="1">IFERROR(__xludf.DUMMYFUNCTION("""COMPUTED_VALUE"""),"")</f>
        <v/>
      </c>
      <c r="E13919" s="2"/>
    </row>
    <row r="13920" spans="1:5" ht="13">
      <c r="A13920" s="8" t="str">
        <f ca="1">IFERROR(__xludf.DUMMYFUNCTION("""COMPUTED_VALUE"""),"Haubiel, Charles")</f>
        <v>Haubiel, Charles</v>
      </c>
      <c r="B13920" s="2"/>
      <c r="C13920" s="2"/>
      <c r="D13920" s="8" t="str">
        <f ca="1">IFERROR(__xludf.DUMMYFUNCTION("""COMPUTED_VALUE"""),"")</f>
        <v/>
      </c>
      <c r="E13920" s="2"/>
    </row>
    <row r="13921" spans="1:5" ht="13">
      <c r="A13921" s="8" t="str">
        <f ca="1">IFERROR(__xludf.DUMMYFUNCTION("""COMPUTED_VALUE"""),"Hauff, Wilhelm")</f>
        <v>Hauff, Wilhelm</v>
      </c>
      <c r="B13921" s="2"/>
      <c r="C13921" s="2"/>
      <c r="D13921" s="8" t="str">
        <f ca="1">IFERROR(__xludf.DUMMYFUNCTION("""COMPUTED_VALUE"""),"")</f>
        <v/>
      </c>
      <c r="E13921" s="2"/>
    </row>
    <row r="13922" spans="1:5" ht="13">
      <c r="A13922" s="8" t="str">
        <f ca="1">IFERROR(__xludf.DUMMYFUNCTION("""COMPUTED_VALUE"""),"Haug, Hans")</f>
        <v>Haug, Hans</v>
      </c>
      <c r="B13922" s="2"/>
      <c r="C13922" s="2"/>
      <c r="D13922" s="8" t="str">
        <f ca="1">IFERROR(__xludf.DUMMYFUNCTION("""COMPUTED_VALUE"""),"")</f>
        <v/>
      </c>
      <c r="E13922" s="2"/>
    </row>
    <row r="13923" spans="1:5" ht="13">
      <c r="A13923" s="8" t="str">
        <f ca="1">IFERROR(__xludf.DUMMYFUNCTION("""COMPUTED_VALUE"""),"Hausegger, Siegmund von")</f>
        <v>Hausegger, Siegmund von</v>
      </c>
      <c r="B13923" s="2"/>
      <c r="C13923" s="2"/>
      <c r="D13923" s="8" t="str">
        <f ca="1">IFERROR(__xludf.DUMMYFUNCTION("""COMPUTED_VALUE"""),"")</f>
        <v/>
      </c>
      <c r="E13923" s="2"/>
    </row>
    <row r="13924" spans="1:5" ht="13">
      <c r="A13924" s="8" t="str">
        <f ca="1">IFERROR(__xludf.DUMMYFUNCTION("""COMPUTED_VALUE"""),"Haussermann, John, Jr.")</f>
        <v>Haussermann, John, Jr.</v>
      </c>
      <c r="B13924" s="2"/>
      <c r="C13924" s="2"/>
      <c r="D13924" s="8" t="str">
        <f ca="1">IFERROR(__xludf.DUMMYFUNCTION("""COMPUTED_VALUE"""),"")</f>
        <v/>
      </c>
      <c r="E13924" s="2"/>
    </row>
    <row r="13925" spans="1:5" ht="13">
      <c r="A13925" s="8" t="str">
        <f ca="1">IFERROR(__xludf.DUMMYFUNCTION("""COMPUTED_VALUE"""),"Havelka, Svatopluk")</f>
        <v>Havelka, Svatopluk</v>
      </c>
      <c r="B13925" s="2"/>
      <c r="C13925" s="2"/>
      <c r="D13925" s="8" t="str">
        <f ca="1">IFERROR(__xludf.DUMMYFUNCTION("""COMPUTED_VALUE"""),"")</f>
        <v/>
      </c>
      <c r="E13925" s="2"/>
    </row>
    <row r="13926" spans="1:5" ht="13">
      <c r="A13926" s="8" t="str">
        <f ca="1">IFERROR(__xludf.DUMMYFUNCTION("""COMPUTED_VALUE"""),"Haynes, Walter B.")</f>
        <v>Haynes, Walter B.</v>
      </c>
      <c r="B13926" s="2"/>
      <c r="C13926" s="2"/>
      <c r="D13926" s="8" t="str">
        <f ca="1">IFERROR(__xludf.DUMMYFUNCTION("""COMPUTED_VALUE"""),"")</f>
        <v/>
      </c>
      <c r="E13926" s="2"/>
    </row>
    <row r="13927" spans="1:5" ht="13">
      <c r="A13927" s="8" t="str">
        <f ca="1">IFERROR(__xludf.DUMMYFUNCTION("""COMPUTED_VALUE"""),"Heckscher, C駘este Mrs.")</f>
        <v>Heckscher, C駘este Mrs.</v>
      </c>
      <c r="B13927" s="2"/>
      <c r="C13927" s="2"/>
      <c r="D13927" s="8" t="str">
        <f ca="1">IFERROR(__xludf.DUMMYFUNCTION("""COMPUTED_VALUE"""),"")</f>
        <v/>
      </c>
      <c r="E13927" s="2"/>
    </row>
    <row r="13928" spans="1:5" ht="13">
      <c r="A13928" s="8" t="str">
        <f ca="1">IFERROR(__xludf.DUMMYFUNCTION("""COMPUTED_VALUE"""),"Hefti, J.C.")</f>
        <v>Hefti, J.C.</v>
      </c>
      <c r="B13928" s="2"/>
      <c r="C13928" s="2"/>
      <c r="D13928" s="8" t="str">
        <f ca="1">IFERROR(__xludf.DUMMYFUNCTION("""COMPUTED_VALUE"""),"")</f>
        <v/>
      </c>
      <c r="E13928" s="2"/>
    </row>
    <row r="13929" spans="1:5" ht="13">
      <c r="A13929" s="8" t="str">
        <f ca="1">IFERROR(__xludf.DUMMYFUNCTION("""COMPUTED_VALUE"""),"Heider, Werner")</f>
        <v>Heider, Werner</v>
      </c>
      <c r="B13929" s="2"/>
      <c r="C13929" s="2"/>
      <c r="D13929" s="8" t="str">
        <f ca="1">IFERROR(__xludf.DUMMYFUNCTION("""COMPUTED_VALUE"""),"")</f>
        <v/>
      </c>
      <c r="E13929" s="2"/>
    </row>
    <row r="13930" spans="1:5" ht="13">
      <c r="A13930" s="8" t="str">
        <f ca="1">IFERROR(__xludf.DUMMYFUNCTION("""COMPUTED_VALUE"""),"Heinefetter")</f>
        <v>Heinefetter</v>
      </c>
      <c r="B13930" s="2"/>
      <c r="C13930" s="2"/>
      <c r="D13930" s="8" t="str">
        <f ca="1">IFERROR(__xludf.DUMMYFUNCTION("""COMPUTED_VALUE"""),"")</f>
        <v/>
      </c>
      <c r="E13930" s="2"/>
    </row>
    <row r="13931" spans="1:5" ht="13">
      <c r="A13931" s="8" t="str">
        <f ca="1">IFERROR(__xludf.DUMMYFUNCTION("""COMPUTED_VALUE"""),"Heinemyer, Ernest W.")</f>
        <v>Heinemyer, Ernest W.</v>
      </c>
      <c r="B13931" s="2"/>
      <c r="C13931" s="2"/>
      <c r="D13931" s="8" t="str">
        <f ca="1">IFERROR(__xludf.DUMMYFUNCTION("""COMPUTED_VALUE"""),"")</f>
        <v/>
      </c>
      <c r="E13931" s="2"/>
    </row>
    <row r="13932" spans="1:5" ht="13">
      <c r="A13932" s="8" t="str">
        <f ca="1">IFERROR(__xludf.DUMMYFUNCTION("""COMPUTED_VALUE"""),"Helfer, Walter")</f>
        <v>Helfer, Walter</v>
      </c>
      <c r="B13932" s="2"/>
      <c r="C13932" s="2"/>
      <c r="D13932" s="8" t="str">
        <f ca="1">IFERROR(__xludf.DUMMYFUNCTION("""COMPUTED_VALUE"""),"")</f>
        <v/>
      </c>
      <c r="E13932" s="2"/>
    </row>
    <row r="13933" spans="1:5" ht="13">
      <c r="A13933" s="8" t="str">
        <f ca="1">IFERROR(__xludf.DUMMYFUNCTION("""COMPUTED_VALUE"""),"Heller, James G.")</f>
        <v>Heller, James G.</v>
      </c>
      <c r="B13933" s="2"/>
      <c r="C13933" s="2"/>
      <c r="D13933" s="8" t="str">
        <f ca="1">IFERROR(__xludf.DUMMYFUNCTION("""COMPUTED_VALUE"""),"")</f>
        <v/>
      </c>
      <c r="E13933" s="2"/>
    </row>
    <row r="13934" spans="1:5" ht="13">
      <c r="A13934" s="8" t="str">
        <f ca="1">IFERROR(__xludf.DUMMYFUNCTION("""COMPUTED_VALUE"""),"Heller, Stephen")</f>
        <v>Heller, Stephen</v>
      </c>
      <c r="B13934" s="2"/>
      <c r="C13934" s="2"/>
      <c r="D13934" s="8" t="str">
        <f ca="1">IFERROR(__xludf.DUMMYFUNCTION("""COMPUTED_VALUE"""),"")</f>
        <v/>
      </c>
      <c r="E13934" s="2"/>
    </row>
    <row r="13935" spans="1:5" ht="13">
      <c r="A13935" s="8" t="str">
        <f ca="1">IFERROR(__xludf.DUMMYFUNCTION("""COMPUTED_VALUE"""),"Helm, Everett")</f>
        <v>Helm, Everett</v>
      </c>
      <c r="B13935" s="2"/>
      <c r="C13935" s="2"/>
      <c r="D13935" s="8" t="str">
        <f ca="1">IFERROR(__xludf.DUMMYFUNCTION("""COMPUTED_VALUE"""),"")</f>
        <v/>
      </c>
      <c r="E13935" s="2"/>
    </row>
    <row r="13936" spans="1:5" ht="13">
      <c r="A13936" s="8" t="str">
        <f ca="1">IFERROR(__xludf.DUMMYFUNCTION("""COMPUTED_VALUE"""),"Helps, Robert")</f>
        <v>Helps, Robert</v>
      </c>
      <c r="B13936" s="2"/>
      <c r="C13936" s="2"/>
      <c r="D13936" s="8" t="str">
        <f ca="1">IFERROR(__xludf.DUMMYFUNCTION("""COMPUTED_VALUE"""),"")</f>
        <v/>
      </c>
      <c r="E13936" s="2"/>
    </row>
    <row r="13937" spans="1:5" ht="13">
      <c r="A13937" s="8" t="str">
        <f ca="1">IFERROR(__xludf.DUMMYFUNCTION("""COMPUTED_VALUE"""),"Hely-Hutchinson, Christian")</f>
        <v>Hely-Hutchinson, Christian</v>
      </c>
      <c r="B13937" s="2"/>
      <c r="C13937" s="2"/>
      <c r="D13937" s="8" t="str">
        <f ca="1">IFERROR(__xludf.DUMMYFUNCTION("""COMPUTED_VALUE"""),"")</f>
        <v/>
      </c>
      <c r="E13937" s="2"/>
    </row>
    <row r="13938" spans="1:5" ht="13">
      <c r="A13938" s="8" t="str">
        <f ca="1">IFERROR(__xludf.DUMMYFUNCTION("""COMPUTED_VALUE"""),"Hemmer, Eugene")</f>
        <v>Hemmer, Eugene</v>
      </c>
      <c r="B13938" s="2"/>
      <c r="C13938" s="2"/>
      <c r="D13938" s="8" t="str">
        <f ca="1">IFERROR(__xludf.DUMMYFUNCTION("""COMPUTED_VALUE"""),"")</f>
        <v/>
      </c>
      <c r="E13938" s="2"/>
    </row>
    <row r="13939" spans="1:5" ht="13">
      <c r="A13939" s="8" t="str">
        <f ca="1">IFERROR(__xludf.DUMMYFUNCTION("""COMPUTED_VALUE"""),"Hendl, Walter")</f>
        <v>Hendl, Walter</v>
      </c>
      <c r="B13939" s="2"/>
      <c r="C13939" s="2"/>
      <c r="D13939" s="8" t="str">
        <f ca="1">IFERROR(__xludf.DUMMYFUNCTION("""COMPUTED_VALUE"""),"")</f>
        <v/>
      </c>
      <c r="E13939" s="2"/>
    </row>
    <row r="13940" spans="1:5" ht="13">
      <c r="A13940" s="8" t="str">
        <f ca="1">IFERROR(__xludf.DUMMYFUNCTION("""COMPUTED_VALUE"""),"Heniot, Hans")</f>
        <v>Heniot, Hans</v>
      </c>
      <c r="B13940" s="2"/>
      <c r="C13940" s="2"/>
      <c r="D13940" s="8" t="str">
        <f ca="1">IFERROR(__xludf.DUMMYFUNCTION("""COMPUTED_VALUE"""),"")</f>
        <v/>
      </c>
      <c r="E13940" s="2"/>
    </row>
    <row r="13941" spans="1:5" ht="13">
      <c r="A13941" s="8" t="str">
        <f ca="1">IFERROR(__xludf.DUMMYFUNCTION("""COMPUTED_VALUE"""),"Henkemans, Hans")</f>
        <v>Henkemans, Hans</v>
      </c>
      <c r="B13941" s="2"/>
      <c r="C13941" s="2"/>
      <c r="D13941" s="8" t="str">
        <f ca="1">IFERROR(__xludf.DUMMYFUNCTION("""COMPUTED_VALUE"""),"")</f>
        <v/>
      </c>
      <c r="E13941" s="2"/>
    </row>
    <row r="13942" spans="1:5" ht="13">
      <c r="A13942" s="8" t="str">
        <f ca="1">IFERROR(__xludf.DUMMYFUNCTION("""COMPUTED_VALUE"""),"Henschel, Sir George")</f>
        <v>Henschel, Sir George</v>
      </c>
      <c r="B13942" s="2"/>
      <c r="C13942" s="2"/>
      <c r="D13942" s="8" t="str">
        <f ca="1">IFERROR(__xludf.DUMMYFUNCTION("""COMPUTED_VALUE"""),"")</f>
        <v/>
      </c>
      <c r="E13942" s="2"/>
    </row>
    <row r="13943" spans="1:5" ht="13">
      <c r="A13943" s="8" t="str">
        <f ca="1">IFERROR(__xludf.DUMMYFUNCTION("""COMPUTED_VALUE"""),"Henselt, Adolf von")</f>
        <v>Henselt, Adolf von</v>
      </c>
      <c r="B13943" s="2"/>
      <c r="C13943" s="2"/>
      <c r="D13943" s="8" t="str">
        <f ca="1">IFERROR(__xludf.DUMMYFUNCTION("""COMPUTED_VALUE"""),"")</f>
        <v/>
      </c>
      <c r="E13943" s="2"/>
    </row>
    <row r="13944" spans="1:5" ht="13">
      <c r="A13944" s="8" t="str">
        <f ca="1">IFERROR(__xludf.DUMMYFUNCTION("""COMPUTED_VALUE"""),"Herbeck, Johann")</f>
        <v>Herbeck, Johann</v>
      </c>
      <c r="B13944" s="2"/>
      <c r="C13944" s="2"/>
      <c r="D13944" s="8" t="str">
        <f ca="1">IFERROR(__xludf.DUMMYFUNCTION("""COMPUTED_VALUE"""),"")</f>
        <v/>
      </c>
      <c r="E13944" s="2"/>
    </row>
    <row r="13945" spans="1:5" ht="13">
      <c r="A13945" s="8" t="str">
        <f ca="1">IFERROR(__xludf.DUMMYFUNCTION("""COMPUTED_VALUE"""),"Herder, Pablo")</f>
        <v>Herder, Pablo</v>
      </c>
      <c r="B13945" s="2"/>
      <c r="C13945" s="2"/>
      <c r="D13945" s="8" t="str">
        <f ca="1">IFERROR(__xludf.DUMMYFUNCTION("""COMPUTED_VALUE"""),"")</f>
        <v/>
      </c>
      <c r="E13945" s="2"/>
    </row>
    <row r="13946" spans="1:5" ht="13">
      <c r="A13946" s="8" t="str">
        <f ca="1">IFERROR(__xludf.DUMMYFUNCTION("""COMPUTED_VALUE"""),"Hermann, Hans")</f>
        <v>Hermann, Hans</v>
      </c>
      <c r="B13946" s="2"/>
      <c r="C13946" s="2"/>
      <c r="D13946" s="8" t="str">
        <f ca="1">IFERROR(__xludf.DUMMYFUNCTION("""COMPUTED_VALUE"""),"")</f>
        <v/>
      </c>
      <c r="E13946" s="2"/>
    </row>
    <row r="13947" spans="1:5" ht="13">
      <c r="A13947" s="8" t="str">
        <f ca="1">IFERROR(__xludf.DUMMYFUNCTION("""COMPUTED_VALUE"""),"Hernandez, Pablo")</f>
        <v>Hernandez, Pablo</v>
      </c>
      <c r="B13947" s="2"/>
      <c r="C13947" s="2"/>
      <c r="D13947" s="8" t="str">
        <f ca="1">IFERROR(__xludf.DUMMYFUNCTION("""COMPUTED_VALUE"""),"")</f>
        <v/>
      </c>
      <c r="E13947" s="2"/>
    </row>
    <row r="13948" spans="1:5" ht="13">
      <c r="A13948" s="8" t="str">
        <f ca="1">IFERROR(__xludf.DUMMYFUNCTION("""COMPUTED_VALUE"""),"Heuberger, Richard F.")</f>
        <v>Heuberger, Richard F.</v>
      </c>
      <c r="B13948" s="2"/>
      <c r="C13948" s="2"/>
      <c r="D13948" s="8" t="str">
        <f ca="1">IFERROR(__xludf.DUMMYFUNCTION("""COMPUTED_VALUE"""),"")</f>
        <v/>
      </c>
      <c r="E13948" s="2"/>
    </row>
    <row r="13949" spans="1:5" ht="13">
      <c r="A13949" s="8" t="str">
        <f ca="1">IFERROR(__xludf.DUMMYFUNCTION("""COMPUTED_VALUE"""),"Hier, Ethel Glenn")</f>
        <v>Hier, Ethel Glenn</v>
      </c>
      <c r="B13949" s="2"/>
      <c r="C13949" s="2"/>
      <c r="D13949" s="8" t="str">
        <f ca="1">IFERROR(__xludf.DUMMYFUNCTION("""COMPUTED_VALUE"""),"")</f>
        <v/>
      </c>
      <c r="E13949" s="2"/>
    </row>
    <row r="13950" spans="1:5" ht="13">
      <c r="A13950" s="8" t="str">
        <f ca="1">IFERROR(__xludf.DUMMYFUNCTION("""COMPUTED_VALUE"""),"Hijman, Julius")</f>
        <v>Hijman, Julius</v>
      </c>
      <c r="B13950" s="2"/>
      <c r="C13950" s="2"/>
      <c r="D13950" s="8" t="str">
        <f ca="1">IFERROR(__xludf.DUMMYFUNCTION("""COMPUTED_VALUE"""),"")</f>
        <v/>
      </c>
      <c r="E13950" s="2"/>
    </row>
    <row r="13951" spans="1:5" ht="13">
      <c r="A13951" s="8" t="str">
        <f ca="1">IFERROR(__xludf.DUMMYFUNCTION("""COMPUTED_VALUE"""),"Hildach, Eugen")</f>
        <v>Hildach, Eugen</v>
      </c>
      <c r="B13951" s="2"/>
      <c r="C13951" s="2"/>
      <c r="D13951" s="8" t="str">
        <f ca="1">IFERROR(__xludf.DUMMYFUNCTION("""COMPUTED_VALUE"""),"")</f>
        <v/>
      </c>
      <c r="E13951" s="2"/>
    </row>
    <row r="13952" spans="1:5" ht="13">
      <c r="A13952" s="8" t="str">
        <f ca="1">IFERROR(__xludf.DUMMYFUNCTION("""COMPUTED_VALUE"""),"Hill, Alfred")</f>
        <v>Hill, Alfred</v>
      </c>
      <c r="B13952" s="2"/>
      <c r="C13952" s="2"/>
      <c r="D13952" s="8" t="str">
        <f ca="1">IFERROR(__xludf.DUMMYFUNCTION("""COMPUTED_VALUE"""),"")</f>
        <v/>
      </c>
      <c r="E13952" s="2"/>
    </row>
    <row r="13953" spans="1:5" ht="13">
      <c r="A13953" s="8" t="str">
        <f ca="1">IFERROR(__xludf.DUMMYFUNCTION("""COMPUTED_VALUE"""),"Hill, Edward B.")</f>
        <v>Hill, Edward B.</v>
      </c>
      <c r="B13953" s="2"/>
      <c r="C13953" s="2"/>
      <c r="D13953" s="8" t="str">
        <f ca="1">IFERROR(__xludf.DUMMYFUNCTION("""COMPUTED_VALUE"""),"")</f>
        <v/>
      </c>
      <c r="E13953" s="2"/>
    </row>
    <row r="13954" spans="1:5" ht="13">
      <c r="A13954" s="8" t="str">
        <f ca="1">IFERROR(__xludf.DUMMYFUNCTION("""COMPUTED_VALUE"""),"Hiller, Ferd.")</f>
        <v>Hiller, Ferd.</v>
      </c>
      <c r="B13954" s="2"/>
      <c r="C13954" s="2"/>
      <c r="D13954" s="8" t="str">
        <f ca="1">IFERROR(__xludf.DUMMYFUNCTION("""COMPUTED_VALUE"""),"")</f>
        <v/>
      </c>
      <c r="E13954" s="2"/>
    </row>
    <row r="13955" spans="1:5" ht="13">
      <c r="A13955" s="8" t="str">
        <f ca="1">IFERROR(__xludf.DUMMYFUNCTION("""COMPUTED_VALUE"""),"Hines, Jerome")</f>
        <v>Hines, Jerome</v>
      </c>
      <c r="B13955" s="2"/>
      <c r="C13955" s="2"/>
      <c r="D13955" s="8" t="str">
        <f ca="1">IFERROR(__xludf.DUMMYFUNCTION("""COMPUTED_VALUE"""),"")</f>
        <v/>
      </c>
      <c r="E13955" s="2"/>
    </row>
    <row r="13956" spans="1:5" ht="13">
      <c r="A13956" s="8" t="str">
        <f ca="1">IFERROR(__xludf.DUMMYFUNCTION("""COMPUTED_VALUE"""),"Hinton, Arthur")</f>
        <v>Hinton, Arthur</v>
      </c>
      <c r="B13956" s="2"/>
      <c r="C13956" s="2"/>
      <c r="D13956" s="8" t="str">
        <f ca="1">IFERROR(__xludf.DUMMYFUNCTION("""COMPUTED_VALUE"""),"")</f>
        <v/>
      </c>
      <c r="E13956" s="2"/>
    </row>
    <row r="13957" spans="1:5" ht="13">
      <c r="A13957" s="8" t="str">
        <f ca="1">IFERROR(__xludf.DUMMYFUNCTION("""COMPUTED_VALUE"""),"Hodeir, Andre")</f>
        <v>Hodeir, Andre</v>
      </c>
      <c r="B13957" s="2"/>
      <c r="C13957" s="2"/>
      <c r="D13957" s="8" t="str">
        <f ca="1">IFERROR(__xludf.DUMMYFUNCTION("""COMPUTED_VALUE"""),"")</f>
        <v/>
      </c>
      <c r="E13957" s="2"/>
    </row>
    <row r="13958" spans="1:5" ht="13">
      <c r="A13958" s="8" t="str">
        <f ca="1">IFERROR(__xludf.DUMMYFUNCTION("""COMPUTED_VALUE"""),"Hodgson, Walter")</f>
        <v>Hodgson, Walter</v>
      </c>
      <c r="B13958" s="2"/>
      <c r="C13958" s="2"/>
      <c r="D13958" s="8" t="str">
        <f ca="1">IFERROR(__xludf.DUMMYFUNCTION("""COMPUTED_VALUE"""),"")</f>
        <v/>
      </c>
      <c r="E13958" s="2"/>
    </row>
    <row r="13959" spans="1:5" ht="13">
      <c r="A13959" s="8" t="str">
        <f ca="1">IFERROR(__xludf.DUMMYFUNCTION("""COMPUTED_VALUE"""),"Hofmann, Josef")</f>
        <v>Hofmann, Josef</v>
      </c>
      <c r="B13959" s="2"/>
      <c r="C13959" s="2"/>
      <c r="D13959" s="8" t="str">
        <f ca="1">IFERROR(__xludf.DUMMYFUNCTION("""COMPUTED_VALUE"""),"")</f>
        <v/>
      </c>
      <c r="E13959" s="2"/>
    </row>
    <row r="13960" spans="1:5" ht="13">
      <c r="A13960" s="8" t="str">
        <f ca="1">IFERROR(__xludf.DUMMYFUNCTION("""COMPUTED_VALUE"""),"Holden, David")</f>
        <v>Holden, David</v>
      </c>
      <c r="B13960" s="2"/>
      <c r="C13960" s="2"/>
      <c r="D13960" s="8" t="str">
        <f ca="1">IFERROR(__xludf.DUMMYFUNCTION("""COMPUTED_VALUE"""),"")</f>
        <v/>
      </c>
      <c r="E13960" s="2"/>
    </row>
    <row r="13961" spans="1:5" ht="13">
      <c r="A13961" s="8" t="str">
        <f ca="1">IFERROR(__xludf.DUMMYFUNCTION("""COMPUTED_VALUE"""),"Holler, Karl")</f>
        <v>Holler, Karl</v>
      </c>
      <c r="B13961" s="2"/>
      <c r="C13961" s="2"/>
      <c r="D13961" s="8" t="str">
        <f ca="1">IFERROR(__xludf.DUMMYFUNCTION("""COMPUTED_VALUE"""),"")</f>
        <v/>
      </c>
      <c r="E13961" s="2"/>
    </row>
    <row r="13962" spans="1:5" ht="13">
      <c r="A13962" s="8" t="str">
        <f ca="1">IFERROR(__xludf.DUMMYFUNCTION("""COMPUTED_VALUE"""),"Homer, Sidney")</f>
        <v>Homer, Sidney</v>
      </c>
      <c r="B13962" s="2"/>
      <c r="C13962" s="2"/>
      <c r="D13962" s="8" t="str">
        <f ca="1">IFERROR(__xludf.DUMMYFUNCTION("""COMPUTED_VALUE"""),"")</f>
        <v/>
      </c>
      <c r="E13962" s="2"/>
    </row>
    <row r="13963" spans="1:5" ht="13">
      <c r="A13963" s="8" t="str">
        <f ca="1">IFERROR(__xludf.DUMMYFUNCTION("""COMPUTED_VALUE"""),"Hovey, Serge")</f>
        <v>Hovey, Serge</v>
      </c>
      <c r="B13963" s="2"/>
      <c r="C13963" s="2"/>
      <c r="D13963" s="8" t="str">
        <f ca="1">IFERROR(__xludf.DUMMYFUNCTION("""COMPUTED_VALUE"""),"")</f>
        <v/>
      </c>
      <c r="E13963" s="2"/>
    </row>
    <row r="13964" spans="1:5" ht="13">
      <c r="A13964" s="8" t="str">
        <f ca="1">IFERROR(__xludf.DUMMYFUNCTION("""COMPUTED_VALUE"""),"Huber, Hans")</f>
        <v>Huber, Hans</v>
      </c>
      <c r="B13964" s="2"/>
      <c r="C13964" s="2"/>
      <c r="D13964" s="8" t="str">
        <f ca="1">IFERROR(__xludf.DUMMYFUNCTION("""COMPUTED_VALUE"""),"")</f>
        <v/>
      </c>
      <c r="E13964" s="2"/>
    </row>
    <row r="13965" spans="1:5" ht="13">
      <c r="A13965" s="8" t="str">
        <f ca="1">IFERROR(__xludf.DUMMYFUNCTION("""COMPUTED_VALUE"""),"Huffman, Walter S.")</f>
        <v>Huffman, Walter S.</v>
      </c>
      <c r="B13965" s="2"/>
      <c r="C13965" s="2"/>
      <c r="D13965" s="8" t="str">
        <f ca="1">IFERROR(__xludf.DUMMYFUNCTION("""COMPUTED_VALUE"""),"")</f>
        <v/>
      </c>
      <c r="E13965" s="2"/>
    </row>
    <row r="13966" spans="1:5" ht="13">
      <c r="A13966" s="8" t="str">
        <f ca="1">IFERROR(__xludf.DUMMYFUNCTION("""COMPUTED_VALUE"""),"Huggler, John")</f>
        <v>Huggler, John</v>
      </c>
      <c r="B13966" s="2"/>
      <c r="C13966" s="2"/>
      <c r="D13966" s="8" t="str">
        <f ca="1">IFERROR(__xludf.DUMMYFUNCTION("""COMPUTED_VALUE"""),"")</f>
        <v/>
      </c>
      <c r="E13966" s="2"/>
    </row>
    <row r="13967" spans="1:5" ht="13">
      <c r="A13967" s="8" t="str">
        <f ca="1">IFERROR(__xludf.DUMMYFUNCTION("""COMPUTED_VALUE"""),"Hughes, Herbert")</f>
        <v>Hughes, Herbert</v>
      </c>
      <c r="B13967" s="2"/>
      <c r="C13967" s="2"/>
      <c r="D13967" s="8" t="str">
        <f ca="1">IFERROR(__xludf.DUMMYFUNCTION("""COMPUTED_VALUE"""),"")</f>
        <v/>
      </c>
      <c r="E13967" s="2"/>
    </row>
    <row r="13968" spans="1:5" ht="13">
      <c r="A13968" s="8" t="str">
        <f ca="1">IFERROR(__xludf.DUMMYFUNCTION("""COMPUTED_VALUE"""),"Hughes, Kent")</f>
        <v>Hughes, Kent</v>
      </c>
      <c r="B13968" s="2"/>
      <c r="C13968" s="2"/>
      <c r="D13968" s="8" t="str">
        <f ca="1">IFERROR(__xludf.DUMMYFUNCTION("""COMPUTED_VALUE"""),"")</f>
        <v/>
      </c>
      <c r="E13968" s="2"/>
    </row>
    <row r="13969" spans="1:5" ht="13">
      <c r="A13969" s="8" t="str">
        <f ca="1">IFERROR(__xludf.DUMMYFUNCTION("""COMPUTED_VALUE"""),"Humphreys, Henry")</f>
        <v>Humphreys, Henry</v>
      </c>
      <c r="B13969" s="2"/>
      <c r="C13969" s="2"/>
      <c r="D13969" s="8" t="str">
        <f ca="1">IFERROR(__xludf.DUMMYFUNCTION("""COMPUTED_VALUE"""),"")</f>
        <v/>
      </c>
      <c r="E13969" s="2"/>
    </row>
    <row r="13970" spans="1:5" ht="13">
      <c r="A13970" s="8" t="str">
        <f ca="1">IFERROR(__xludf.DUMMYFUNCTION("""COMPUTED_VALUE"""),"Hur・ Jean")</f>
        <v>Hur・ Jean</v>
      </c>
      <c r="B13970" s="2"/>
      <c r="C13970" s="2"/>
      <c r="D13970" s="8" t="str">
        <f ca="1">IFERROR(__xludf.DUMMYFUNCTION("""COMPUTED_VALUE"""),"")</f>
        <v/>
      </c>
      <c r="E13970" s="2"/>
    </row>
    <row r="13971" spans="1:5" ht="13">
      <c r="A13971" s="8" t="str">
        <f ca="1">IFERROR(__xludf.DUMMYFUNCTION("""COMPUTED_VALUE"""),"Huss, Henry H.")</f>
        <v>Huss, Henry H.</v>
      </c>
      <c r="B13971" s="2"/>
      <c r="C13971" s="2"/>
      <c r="D13971" s="8" t="str">
        <f ca="1">IFERROR(__xludf.DUMMYFUNCTION("""COMPUTED_VALUE"""),"")</f>
        <v/>
      </c>
      <c r="E13971" s="2"/>
    </row>
    <row r="13972" spans="1:5" ht="13">
      <c r="A13972" s="8" t="str">
        <f ca="1">IFERROR(__xludf.DUMMYFUNCTION("""COMPUTED_VALUE"""),"Huston, Scott")</f>
        <v>Huston, Scott</v>
      </c>
      <c r="B13972" s="2"/>
      <c r="C13972" s="2"/>
      <c r="D13972" s="8" t="str">
        <f ca="1">IFERROR(__xludf.DUMMYFUNCTION("""COMPUTED_VALUE"""),"")</f>
        <v/>
      </c>
      <c r="E13972" s="2"/>
    </row>
    <row r="13973" spans="1:5" ht="13">
      <c r="A13973" s="8" t="str">
        <f ca="1">IFERROR(__xludf.DUMMYFUNCTION("""COMPUTED_VALUE"""),"Hutcheson, Ernest")</f>
        <v>Hutcheson, Ernest</v>
      </c>
      <c r="B13973" s="2"/>
      <c r="C13973" s="2"/>
      <c r="D13973" s="8" t="str">
        <f ca="1">IFERROR(__xludf.DUMMYFUNCTION("""COMPUTED_VALUE"""),"")</f>
        <v/>
      </c>
      <c r="E13973" s="2"/>
    </row>
    <row r="13974" spans="1:5" ht="13">
      <c r="A13974" s="8" t="str">
        <f ca="1">IFERROR(__xludf.DUMMYFUNCTION("""COMPUTED_VALUE"""),"H舐tel, A.")</f>
        <v>H舐tel, A.</v>
      </c>
      <c r="B13974" s="2"/>
      <c r="C13974" s="2"/>
      <c r="D13974" s="8" t="str">
        <f ca="1">IFERROR(__xludf.DUMMYFUNCTION("""COMPUTED_VALUE"""),"")</f>
        <v/>
      </c>
      <c r="E13974" s="2"/>
    </row>
    <row r="13975" spans="1:5" ht="13">
      <c r="A13975" s="8" t="str">
        <f ca="1">IFERROR(__xludf.DUMMYFUNCTION("""COMPUTED_VALUE"""),"H駻old, Louis Joseph")</f>
        <v>H駻old, Louis Joseph</v>
      </c>
      <c r="B13975" s="2"/>
      <c r="C13975" s="2"/>
      <c r="D13975" s="8" t="str">
        <f ca="1">IFERROR(__xludf.DUMMYFUNCTION("""COMPUTED_VALUE"""),"")</f>
        <v/>
      </c>
      <c r="E13975" s="2"/>
    </row>
    <row r="13976" spans="1:5" ht="13">
      <c r="A13976" s="8" t="str">
        <f ca="1">IFERROR(__xludf.DUMMYFUNCTION("""COMPUTED_VALUE"""),"Ienni")</f>
        <v>Ienni</v>
      </c>
      <c r="B13976" s="2"/>
      <c r="C13976" s="2"/>
      <c r="D13976" s="8" t="str">
        <f ca="1">IFERROR(__xludf.DUMMYFUNCTION("""COMPUTED_VALUE"""),"")</f>
        <v/>
      </c>
      <c r="E13976" s="2"/>
    </row>
    <row r="13977" spans="1:5" ht="13">
      <c r="A13977" s="8" t="str">
        <f ca="1">IFERROR(__xludf.DUMMYFUNCTION("""COMPUTED_VALUE"""),"Illiashenko, Andre S.")</f>
        <v>Illiashenko, Andre S.</v>
      </c>
      <c r="B13977" s="2"/>
      <c r="C13977" s="2"/>
      <c r="D13977" s="8" t="str">
        <f ca="1">IFERROR(__xludf.DUMMYFUNCTION("""COMPUTED_VALUE"""),"")</f>
        <v/>
      </c>
      <c r="E13977" s="2"/>
    </row>
    <row r="13978" spans="1:5" ht="13">
      <c r="A13978" s="8" t="str">
        <f ca="1">IFERROR(__xludf.DUMMYFUNCTION("""COMPUTED_VALUE"""),"Infante, Manuel")</f>
        <v>Infante, Manuel</v>
      </c>
      <c r="B13978" s="2"/>
      <c r="C13978" s="2"/>
      <c r="D13978" s="8" t="str">
        <f ca="1">IFERROR(__xludf.DUMMYFUNCTION("""COMPUTED_VALUE"""),"")</f>
        <v/>
      </c>
      <c r="E13978" s="2"/>
    </row>
    <row r="13979" spans="1:5" ht="13">
      <c r="A13979" s="8" t="str">
        <f ca="1">IFERROR(__xludf.DUMMYFUNCTION("""COMPUTED_VALUE"""),"Ingegneri, Marc A.")</f>
        <v>Ingegneri, Marc A.</v>
      </c>
      <c r="B13979" s="2"/>
      <c r="C13979" s="2"/>
      <c r="D13979" s="8" t="str">
        <f ca="1">IFERROR(__xludf.DUMMYFUNCTION("""COMPUTED_VALUE"""),"")</f>
        <v/>
      </c>
      <c r="E13979" s="2"/>
    </row>
    <row r="13980" spans="1:5" ht="13">
      <c r="A13980" s="8" t="str">
        <f ca="1">IFERROR(__xludf.DUMMYFUNCTION("""COMPUTED_VALUE"""),"Inghelbrecht, Desire-Emile")</f>
        <v>Inghelbrecht, Desire-Emile</v>
      </c>
      <c r="B13980" s="2"/>
      <c r="C13980" s="2"/>
      <c r="D13980" s="8" t="str">
        <f ca="1">IFERROR(__xludf.DUMMYFUNCTION("""COMPUTED_VALUE"""),"")</f>
        <v/>
      </c>
      <c r="E13980" s="2"/>
    </row>
    <row r="13981" spans="1:5" ht="13">
      <c r="A13981" s="8" t="str">
        <f ca="1">IFERROR(__xludf.DUMMYFUNCTION("""COMPUTED_VALUE"""),"Iturbi, Jose")</f>
        <v>Iturbi, Jose</v>
      </c>
      <c r="B13981" s="2"/>
      <c r="C13981" s="2"/>
      <c r="D13981" s="8" t="str">
        <f ca="1">IFERROR(__xludf.DUMMYFUNCTION("""COMPUTED_VALUE"""),"")</f>
        <v/>
      </c>
      <c r="E13981" s="2"/>
    </row>
    <row r="13982" spans="1:5" ht="13">
      <c r="A13982" s="8" t="str">
        <f ca="1">IFERROR(__xludf.DUMMYFUNCTION("""COMPUTED_VALUE"""),"Itzel")</f>
        <v>Itzel</v>
      </c>
      <c r="B13982" s="2"/>
      <c r="C13982" s="2"/>
      <c r="D13982" s="8" t="str">
        <f ca="1">IFERROR(__xludf.DUMMYFUNCTION("""COMPUTED_VALUE"""),"")</f>
        <v/>
      </c>
      <c r="E13982" s="2"/>
    </row>
    <row r="13983" spans="1:5" ht="13">
      <c r="A13983" s="8" t="str">
        <f ca="1">IFERROR(__xludf.DUMMYFUNCTION("""COMPUTED_VALUE"""),"Jacobi, Frederick")</f>
        <v>Jacobi, Frederick</v>
      </c>
      <c r="B13983" s="2"/>
      <c r="C13983" s="2"/>
      <c r="D13983" s="8" t="str">
        <f ca="1">IFERROR(__xludf.DUMMYFUNCTION("""COMPUTED_VALUE"""),"")</f>
        <v/>
      </c>
      <c r="E13983" s="2"/>
    </row>
    <row r="13984" spans="1:5" ht="13">
      <c r="A13984" s="8" t="str">
        <f ca="1">IFERROR(__xludf.DUMMYFUNCTION("""COMPUTED_VALUE"""),"Jacques-Dalcroze, ﾉmile")</f>
        <v>Jacques-Dalcroze, ﾉmile</v>
      </c>
      <c r="B13984" s="2"/>
      <c r="C13984" s="2"/>
      <c r="D13984" s="8" t="str">
        <f ca="1">IFERROR(__xludf.DUMMYFUNCTION("""COMPUTED_VALUE"""),"")</f>
        <v/>
      </c>
      <c r="E13984" s="2"/>
    </row>
    <row r="13985" spans="1:5" ht="13">
      <c r="A13985" s="8" t="str">
        <f ca="1">IFERROR(__xludf.DUMMYFUNCTION("""COMPUTED_VALUE"""),"Janin, Jacques")</f>
        <v>Janin, Jacques</v>
      </c>
      <c r="B13985" s="2"/>
      <c r="C13985" s="2"/>
      <c r="D13985" s="8" t="str">
        <f ca="1">IFERROR(__xludf.DUMMYFUNCTION("""COMPUTED_VALUE"""),"")</f>
        <v/>
      </c>
      <c r="E13985" s="2"/>
    </row>
    <row r="13986" spans="1:5" ht="13">
      <c r="A13986" s="8" t="str">
        <f ca="1">IFERROR(__xludf.DUMMYFUNCTION("""COMPUTED_VALUE"""),"Janssen, Werner")</f>
        <v>Janssen, Werner</v>
      </c>
      <c r="B13986" s="2"/>
      <c r="C13986" s="2"/>
      <c r="D13986" s="8" t="str">
        <f ca="1">IFERROR(__xludf.DUMMYFUNCTION("""COMPUTED_VALUE"""),"")</f>
        <v/>
      </c>
      <c r="E13986" s="2"/>
    </row>
    <row r="13987" spans="1:5" ht="13">
      <c r="A13987" s="8" t="str">
        <f ca="1">IFERROR(__xludf.DUMMYFUNCTION("""COMPUTED_VALUE"""),"Jarecki, Tadeusz N. de")</f>
        <v>Jarecki, Tadeusz N. de</v>
      </c>
      <c r="B13987" s="2"/>
      <c r="C13987" s="2"/>
      <c r="D13987" s="8" t="str">
        <f ca="1">IFERROR(__xludf.DUMMYFUNCTION("""COMPUTED_VALUE"""),"")</f>
        <v/>
      </c>
      <c r="E13987" s="2"/>
    </row>
    <row r="13988" spans="1:5" ht="13">
      <c r="A13988" s="8" t="str">
        <f ca="1">IFERROR(__xludf.DUMMYFUNCTION("""COMPUTED_VALUE"""),"Jaroch, Jiri")</f>
        <v>Jaroch, Jiri</v>
      </c>
      <c r="B13988" s="2"/>
      <c r="C13988" s="2"/>
      <c r="D13988" s="8" t="str">
        <f ca="1">IFERROR(__xludf.DUMMYFUNCTION("""COMPUTED_VALUE"""),"")</f>
        <v/>
      </c>
      <c r="E13988" s="2"/>
    </row>
    <row r="13989" spans="1:5" ht="13">
      <c r="A13989" s="8" t="str">
        <f ca="1">IFERROR(__xludf.DUMMYFUNCTION("""COMPUTED_VALUE"""),"Jaubert, Maurice")</f>
        <v>Jaubert, Maurice</v>
      </c>
      <c r="B13989" s="2"/>
      <c r="C13989" s="2"/>
      <c r="D13989" s="8" t="str">
        <f ca="1">IFERROR(__xludf.DUMMYFUNCTION("""COMPUTED_VALUE"""),"")</f>
        <v/>
      </c>
      <c r="E13989" s="2"/>
    </row>
    <row r="13990" spans="1:5" ht="13">
      <c r="A13990" s="8" t="str">
        <f ca="1">IFERROR(__xludf.DUMMYFUNCTION("""COMPUTED_VALUE"""),"Jenkins, Joseph")</f>
        <v>Jenkins, Joseph</v>
      </c>
      <c r="B13990" s="2"/>
      <c r="C13990" s="2"/>
      <c r="D13990" s="8" t="str">
        <f ca="1">IFERROR(__xludf.DUMMYFUNCTION("""COMPUTED_VALUE"""),"")</f>
        <v/>
      </c>
      <c r="E13990" s="2"/>
    </row>
    <row r="13991" spans="1:5" ht="13">
      <c r="A13991" s="8" t="str">
        <f ca="1">IFERROR(__xludf.DUMMYFUNCTION("""COMPUTED_VALUE"""),"Jenkins, Joseph W.")</f>
        <v>Jenkins, Joseph W.</v>
      </c>
      <c r="B13991" s="2"/>
      <c r="C13991" s="2"/>
      <c r="D13991" s="8" t="str">
        <f ca="1">IFERROR(__xludf.DUMMYFUNCTION("""COMPUTED_VALUE"""),"")</f>
        <v/>
      </c>
      <c r="E13991" s="2"/>
    </row>
    <row r="13992" spans="1:5" ht="13">
      <c r="A13992" s="8" t="str">
        <f ca="1">IFERROR(__xludf.DUMMYFUNCTION("""COMPUTED_VALUE"""),"Jensen, Adolf")</f>
        <v>Jensen, Adolf</v>
      </c>
      <c r="B13992" s="2"/>
      <c r="C13992" s="2"/>
      <c r="D13992" s="8" t="str">
        <f ca="1">IFERROR(__xludf.DUMMYFUNCTION("""COMPUTED_VALUE"""),"")</f>
        <v/>
      </c>
      <c r="E13992" s="2"/>
    </row>
    <row r="13993" spans="1:5" ht="13">
      <c r="A13993" s="8" t="str">
        <f ca="1">IFERROR(__xludf.DUMMYFUNCTION("""COMPUTED_VALUE"""),"Jensen, Ludwig Irgens")</f>
        <v>Jensen, Ludwig Irgens</v>
      </c>
      <c r="B13993" s="2"/>
      <c r="C13993" s="2"/>
      <c r="D13993" s="8" t="str">
        <f ca="1">IFERROR(__xludf.DUMMYFUNCTION("""COMPUTED_VALUE"""),"")</f>
        <v/>
      </c>
      <c r="E13993" s="2"/>
    </row>
    <row r="13994" spans="1:5" ht="13">
      <c r="A13994" s="8" t="str">
        <f ca="1">IFERROR(__xludf.DUMMYFUNCTION("""COMPUTED_VALUE"""),"Jimenez-Mabarak, Carlos")</f>
        <v>Jimenez-Mabarak, Carlos</v>
      </c>
      <c r="B13994" s="2"/>
      <c r="C13994" s="2"/>
      <c r="D13994" s="8" t="str">
        <f ca="1">IFERROR(__xludf.DUMMYFUNCTION("""COMPUTED_VALUE"""),"")</f>
        <v/>
      </c>
      <c r="E13994" s="2"/>
    </row>
    <row r="13995" spans="1:5" ht="13">
      <c r="A13995" s="8" t="str">
        <f ca="1">IFERROR(__xludf.DUMMYFUNCTION("""COMPUTED_VALUE"""),"Jirak, Karel B.")</f>
        <v>Jirak, Karel B.</v>
      </c>
      <c r="B13995" s="2"/>
      <c r="C13995" s="2"/>
      <c r="D13995" s="8" t="str">
        <f ca="1">IFERROR(__xludf.DUMMYFUNCTION("""COMPUTED_VALUE"""),"")</f>
        <v/>
      </c>
      <c r="E13995" s="2"/>
    </row>
    <row r="13996" spans="1:5" ht="13">
      <c r="A13996" s="8" t="str">
        <f ca="1">IFERROR(__xludf.DUMMYFUNCTION("""COMPUTED_VALUE"""),"Joachim, Otto")</f>
        <v>Joachim, Otto</v>
      </c>
      <c r="B13996" s="2"/>
      <c r="C13996" s="2"/>
      <c r="D13996" s="8" t="str">
        <f ca="1">IFERROR(__xludf.DUMMYFUNCTION("""COMPUTED_VALUE"""),"")</f>
        <v/>
      </c>
      <c r="E13996" s="2"/>
    </row>
    <row r="13997" spans="1:5" ht="13">
      <c r="A13997" s="8" t="str">
        <f ca="1">IFERROR(__xludf.DUMMYFUNCTION("""COMPUTED_VALUE"""),"Johanson, S.E.")</f>
        <v>Johanson, S.E.</v>
      </c>
      <c r="B13997" s="2"/>
      <c r="C13997" s="2"/>
      <c r="D13997" s="8" t="str">
        <f ca="1">IFERROR(__xludf.DUMMYFUNCTION("""COMPUTED_VALUE"""),"")</f>
        <v/>
      </c>
      <c r="E13997" s="2"/>
    </row>
    <row r="13998" spans="1:5" ht="13">
      <c r="A13998" s="8" t="str">
        <f ca="1">IFERROR(__xludf.DUMMYFUNCTION("""COMPUTED_VALUE"""),"Johns, Clayton")</f>
        <v>Johns, Clayton</v>
      </c>
      <c r="B13998" s="2"/>
      <c r="C13998" s="2"/>
      <c r="D13998" s="8" t="str">
        <f ca="1">IFERROR(__xludf.DUMMYFUNCTION("""COMPUTED_VALUE"""),"")</f>
        <v/>
      </c>
      <c r="E13998" s="2"/>
    </row>
    <row r="13999" spans="1:5" ht="13">
      <c r="A13999" s="8" t="str">
        <f ca="1">IFERROR(__xludf.DUMMYFUNCTION("""COMPUTED_VALUE"""),"Johnston, Benjamin")</f>
        <v>Johnston, Benjamin</v>
      </c>
      <c r="B13999" s="2"/>
      <c r="C13999" s="2"/>
      <c r="D13999" s="8" t="str">
        <f ca="1">IFERROR(__xludf.DUMMYFUNCTION("""COMPUTED_VALUE"""),"")</f>
        <v/>
      </c>
      <c r="E13999" s="2"/>
    </row>
    <row r="14000" spans="1:5" ht="13">
      <c r="A14000" s="8" t="str">
        <f ca="1">IFERROR(__xludf.DUMMYFUNCTION("""COMPUTED_VALUE"""),"Jommelli, Niccolo")</f>
        <v>Jommelli, Niccolo</v>
      </c>
      <c r="B14000" s="2"/>
      <c r="C14000" s="2"/>
      <c r="D14000" s="8" t="str">
        <f ca="1">IFERROR(__xludf.DUMMYFUNCTION("""COMPUTED_VALUE"""),"")</f>
        <v/>
      </c>
      <c r="E14000" s="2"/>
    </row>
    <row r="14001" spans="1:5" ht="13">
      <c r="A14001" s="8" t="str">
        <f ca="1">IFERROR(__xludf.DUMMYFUNCTION("""COMPUTED_VALUE"""),"Jones, George T.")</f>
        <v>Jones, George T.</v>
      </c>
      <c r="B14001" s="2"/>
      <c r="C14001" s="2"/>
      <c r="D14001" s="8" t="str">
        <f ca="1">IFERROR(__xludf.DUMMYFUNCTION("""COMPUTED_VALUE"""),"")</f>
        <v/>
      </c>
      <c r="E14001" s="2"/>
    </row>
    <row r="14002" spans="1:5" ht="13">
      <c r="A14002" s="8" t="str">
        <f ca="1">IFERROR(__xludf.DUMMYFUNCTION("""COMPUTED_VALUE"""),"Jora, Michel")</f>
        <v>Jora, Michel</v>
      </c>
      <c r="B14002" s="2"/>
      <c r="C14002" s="2"/>
      <c r="D14002" s="8" t="str">
        <f ca="1">IFERROR(__xludf.DUMMYFUNCTION("""COMPUTED_VALUE"""),"")</f>
        <v/>
      </c>
      <c r="E14002" s="2"/>
    </row>
    <row r="14003" spans="1:5" ht="13">
      <c r="A14003" s="8" t="str">
        <f ca="1">IFERROR(__xludf.DUMMYFUNCTION("""COMPUTED_VALUE"""),"Jordan, Sverre")</f>
        <v>Jordan, Sverre</v>
      </c>
      <c r="B14003" s="2"/>
      <c r="C14003" s="2"/>
      <c r="D14003" s="8" t="str">
        <f ca="1">IFERROR(__xludf.DUMMYFUNCTION("""COMPUTED_VALUE"""),"")</f>
        <v/>
      </c>
      <c r="E14003" s="2"/>
    </row>
    <row r="14004" spans="1:5" ht="13">
      <c r="A14004" s="8" t="str">
        <f ca="1">IFERROR(__xludf.DUMMYFUNCTION("""COMPUTED_VALUE"""),"Josephs, Wilfred")</f>
        <v>Josephs, Wilfred</v>
      </c>
      <c r="B14004" s="2"/>
      <c r="C14004" s="2"/>
      <c r="D14004" s="8" t="str">
        <f ca="1">IFERROR(__xludf.DUMMYFUNCTION("""COMPUTED_VALUE"""),"")</f>
        <v/>
      </c>
      <c r="E14004" s="2"/>
    </row>
    <row r="14005" spans="1:5" ht="13">
      <c r="A14005" s="8" t="str">
        <f ca="1">IFERROR(__xludf.DUMMYFUNCTION("""COMPUTED_VALUE"""),"Joslyn, Henry")</f>
        <v>Joslyn, Henry</v>
      </c>
      <c r="B14005" s="2"/>
      <c r="C14005" s="2"/>
      <c r="D14005" s="8" t="str">
        <f ca="1">IFERROR(__xludf.DUMMYFUNCTION("""COMPUTED_VALUE"""),"")</f>
        <v/>
      </c>
      <c r="E14005" s="2"/>
    </row>
    <row r="14006" spans="1:5" ht="13">
      <c r="A14006" s="8" t="str">
        <f ca="1">IFERROR(__xludf.DUMMYFUNCTION("""COMPUTED_VALUE"""),"Josten, Werner")</f>
        <v>Josten, Werner</v>
      </c>
      <c r="B14006" s="2"/>
      <c r="C14006" s="2"/>
      <c r="D14006" s="8" t="str">
        <f ca="1">IFERROR(__xludf.DUMMYFUNCTION("""COMPUTED_VALUE"""),"")</f>
        <v/>
      </c>
      <c r="E14006" s="2"/>
    </row>
    <row r="14007" spans="1:5" ht="13">
      <c r="A14007" s="8" t="str">
        <f ca="1">IFERROR(__xludf.DUMMYFUNCTION("""COMPUTED_VALUE"""),"Just, Robert")</f>
        <v>Just, Robert</v>
      </c>
      <c r="B14007" s="2"/>
      <c r="C14007" s="2"/>
      <c r="D14007" s="8" t="str">
        <f ca="1">IFERROR(__xludf.DUMMYFUNCTION("""COMPUTED_VALUE"""),"")</f>
        <v/>
      </c>
      <c r="E14007" s="2"/>
    </row>
    <row r="14008" spans="1:5" ht="13">
      <c r="A14008" s="8" t="str">
        <f ca="1">IFERROR(__xludf.DUMMYFUNCTION("""COMPUTED_VALUE"""),"Kabelac, Miloslav")</f>
        <v>Kabelac, Miloslav</v>
      </c>
      <c r="B14008" s="2"/>
      <c r="C14008" s="2"/>
      <c r="D14008" s="8" t="str">
        <f ca="1">IFERROR(__xludf.DUMMYFUNCTION("""COMPUTED_VALUE"""),"")</f>
        <v/>
      </c>
      <c r="E14008" s="2"/>
    </row>
    <row r="14009" spans="1:5" ht="13">
      <c r="A14009" s="8" t="str">
        <f ca="1">IFERROR(__xludf.DUMMYFUNCTION("""COMPUTED_VALUE"""),"Kagel, Mauricio")</f>
        <v>Kagel, Mauricio</v>
      </c>
      <c r="B14009" s="2"/>
      <c r="C14009" s="2"/>
      <c r="D14009" s="8" t="str">
        <f ca="1">IFERROR(__xludf.DUMMYFUNCTION("""COMPUTED_VALUE"""),"")</f>
        <v/>
      </c>
      <c r="E14009" s="2"/>
    </row>
    <row r="14010" spans="1:5" ht="13">
      <c r="A14010" s="8" t="str">
        <f ca="1">IFERROR(__xludf.DUMMYFUNCTION("""COMPUTED_VALUE"""),"Kalkbrenner, Friedrich W.")</f>
        <v>Kalkbrenner, Friedrich W.</v>
      </c>
      <c r="B14010" s="2"/>
      <c r="C14010" s="2"/>
      <c r="D14010" s="8" t="str">
        <f ca="1">IFERROR(__xludf.DUMMYFUNCTION("""COMPUTED_VALUE"""),"")</f>
        <v/>
      </c>
      <c r="E14010" s="2"/>
    </row>
    <row r="14011" spans="1:5" ht="13">
      <c r="A14011" s="8" t="str">
        <f ca="1">IFERROR(__xludf.DUMMYFUNCTION("""COMPUTED_VALUE"""),"Kalliwoda, Johann W.")</f>
        <v>Kalliwoda, Johann W.</v>
      </c>
      <c r="B14011" s="2"/>
      <c r="C14011" s="2"/>
      <c r="D14011" s="8" t="str">
        <f ca="1">IFERROR(__xludf.DUMMYFUNCTION("""COMPUTED_VALUE"""),"")</f>
        <v/>
      </c>
      <c r="E14011" s="2"/>
    </row>
    <row r="14012" spans="1:5" ht="13">
      <c r="A14012" s="8" t="str">
        <f ca="1">IFERROR(__xludf.DUMMYFUNCTION("""COMPUTED_VALUE"""),"Kalman, Emerich")</f>
        <v>Kalman, Emerich</v>
      </c>
      <c r="B14012" s="2"/>
      <c r="C14012" s="2"/>
      <c r="D14012" s="8" t="str">
        <f ca="1">IFERROR(__xludf.DUMMYFUNCTION("""COMPUTED_VALUE"""),"")</f>
        <v/>
      </c>
      <c r="E14012" s="2"/>
    </row>
    <row r="14013" spans="1:5" ht="13">
      <c r="A14013" s="8" t="str">
        <f ca="1">IFERROR(__xludf.DUMMYFUNCTION("""COMPUTED_VALUE"""),"Kaminski, Heinrich")</f>
        <v>Kaminski, Heinrich</v>
      </c>
      <c r="B14013" s="2"/>
      <c r="C14013" s="2"/>
      <c r="D14013" s="8" t="str">
        <f ca="1">IFERROR(__xludf.DUMMYFUNCTION("""COMPUTED_VALUE"""),"")</f>
        <v/>
      </c>
      <c r="E14013" s="2"/>
    </row>
    <row r="14014" spans="1:5" ht="13">
      <c r="A14014" s="8" t="str">
        <f ca="1">IFERROR(__xludf.DUMMYFUNCTION("""COMPUTED_VALUE"""),"Kanitz, Ernest")</f>
        <v>Kanitz, Ernest</v>
      </c>
      <c r="B14014" s="2"/>
      <c r="C14014" s="2"/>
      <c r="D14014" s="8" t="str">
        <f ca="1">IFERROR(__xludf.DUMMYFUNCTION("""COMPUTED_VALUE"""),"")</f>
        <v/>
      </c>
      <c r="E14014" s="2"/>
    </row>
    <row r="14015" spans="1:5" ht="13">
      <c r="A14015" s="8" t="str">
        <f ca="1">IFERROR(__xludf.DUMMYFUNCTION("""COMPUTED_VALUE"""),"Kaper, Bronislaw")</f>
        <v>Kaper, Bronislaw</v>
      </c>
      <c r="B14015" s="2"/>
      <c r="C14015" s="2"/>
      <c r="D14015" s="8" t="str">
        <f ca="1">IFERROR(__xludf.DUMMYFUNCTION("""COMPUTED_VALUE"""),"")</f>
        <v/>
      </c>
      <c r="E14015" s="2"/>
    </row>
    <row r="14016" spans="1:5" ht="13">
      <c r="A14016" s="8" t="str">
        <f ca="1">IFERROR(__xludf.DUMMYFUNCTION("""COMPUTED_VALUE"""),"Karlowicz, Mieczslaw")</f>
        <v>Karlowicz, Mieczslaw</v>
      </c>
      <c r="B14016" s="2"/>
      <c r="C14016" s="2"/>
      <c r="D14016" s="8" t="str">
        <f ca="1">IFERROR(__xludf.DUMMYFUNCTION("""COMPUTED_VALUE"""),"")</f>
        <v/>
      </c>
      <c r="E14016" s="2"/>
    </row>
    <row r="14017" spans="1:5" ht="13">
      <c r="A14017" s="8" t="str">
        <f ca="1">IFERROR(__xludf.DUMMYFUNCTION("""COMPUTED_VALUE"""),"Kassern, Tadeusz Z.")</f>
        <v>Kassern, Tadeusz Z.</v>
      </c>
      <c r="B14017" s="2"/>
      <c r="C14017" s="2"/>
      <c r="D14017" s="8" t="str">
        <f ca="1">IFERROR(__xludf.DUMMYFUNCTION("""COMPUTED_VALUE"""),"")</f>
        <v/>
      </c>
      <c r="E14017" s="2"/>
    </row>
    <row r="14018" spans="1:5" ht="13">
      <c r="A14018" s="8" t="str">
        <f ca="1">IFERROR(__xludf.DUMMYFUNCTION("""COMPUTED_VALUE"""),"Katwijk, Paul van")</f>
        <v>Katwijk, Paul van</v>
      </c>
      <c r="B14018" s="2"/>
      <c r="C14018" s="2"/>
      <c r="D14018" s="8" t="str">
        <f ca="1">IFERROR(__xludf.DUMMYFUNCTION("""COMPUTED_VALUE"""),"")</f>
        <v/>
      </c>
      <c r="E14018" s="2"/>
    </row>
    <row r="14019" spans="1:5" ht="13">
      <c r="A14019" s="8" t="str">
        <f ca="1">IFERROR(__xludf.DUMMYFUNCTION("""COMPUTED_VALUE"""),"Kaufmann, Walter")</f>
        <v>Kaufmann, Walter</v>
      </c>
      <c r="B14019" s="2"/>
      <c r="C14019" s="2"/>
      <c r="D14019" s="8" t="str">
        <f ca="1">IFERROR(__xludf.DUMMYFUNCTION("""COMPUTED_VALUE"""),"")</f>
        <v/>
      </c>
      <c r="E14019" s="2"/>
    </row>
    <row r="14020" spans="1:5" ht="13">
      <c r="A14020" s="8" t="str">
        <f ca="1">IFERROR(__xludf.DUMMYFUNCTION("""COMPUTED_VALUE"""),"Kaun, Hugo")</f>
        <v>Kaun, Hugo</v>
      </c>
      <c r="B14020" s="2"/>
      <c r="C14020" s="2"/>
      <c r="D14020" s="8" t="str">
        <f ca="1">IFERROR(__xludf.DUMMYFUNCTION("""COMPUTED_VALUE"""),"")</f>
        <v/>
      </c>
      <c r="E14020" s="2"/>
    </row>
    <row r="14021" spans="1:5" ht="13">
      <c r="A14021" s="8" t="str">
        <f ca="1">IFERROR(__xludf.DUMMYFUNCTION("""COMPUTED_VALUE"""),"Kay, Hershey")</f>
        <v>Kay, Hershey</v>
      </c>
      <c r="B14021" s="2"/>
      <c r="C14021" s="2"/>
      <c r="D14021" s="8" t="str">
        <f ca="1">IFERROR(__xludf.DUMMYFUNCTION("""COMPUTED_VALUE"""),"")</f>
        <v/>
      </c>
      <c r="E14021" s="2"/>
    </row>
    <row r="14022" spans="1:5" ht="13">
      <c r="A14022" s="8" t="str">
        <f ca="1">IFERROR(__xludf.DUMMYFUNCTION("""COMPUTED_VALUE"""),"Keats, Donald")</f>
        <v>Keats, Donald</v>
      </c>
      <c r="B14022" s="2"/>
      <c r="C14022" s="2"/>
      <c r="D14022" s="8" t="str">
        <f ca="1">IFERROR(__xludf.DUMMYFUNCTION("""COMPUTED_VALUE"""),"")</f>
        <v/>
      </c>
      <c r="E14022" s="2"/>
    </row>
    <row r="14023" spans="1:5" ht="13">
      <c r="A14023" s="8" t="str">
        <f ca="1">IFERROR(__xludf.DUMMYFUNCTION("""COMPUTED_VALUE"""),"Kelkel, Manfred")</f>
        <v>Kelkel, Manfred</v>
      </c>
      <c r="B14023" s="2"/>
      <c r="C14023" s="2"/>
      <c r="D14023" s="8" t="str">
        <f ca="1">IFERROR(__xludf.DUMMYFUNCTION("""COMPUTED_VALUE"""),"")</f>
        <v/>
      </c>
      <c r="E14023" s="2"/>
    </row>
    <row r="14024" spans="1:5" ht="13">
      <c r="A14024" s="8" t="str">
        <f ca="1">IFERROR(__xludf.DUMMYFUNCTION("""COMPUTED_VALUE"""),"Keller, Homer")</f>
        <v>Keller, Homer</v>
      </c>
      <c r="B14024" s="2"/>
      <c r="C14024" s="2"/>
      <c r="D14024" s="8" t="str">
        <f ca="1">IFERROR(__xludf.DUMMYFUNCTION("""COMPUTED_VALUE"""),"")</f>
        <v/>
      </c>
      <c r="E14024" s="2"/>
    </row>
    <row r="14025" spans="1:5" ht="13">
      <c r="A14025" s="8" t="str">
        <f ca="1">IFERROR(__xludf.DUMMYFUNCTION("""COMPUTED_VALUE"""),"Kelley, Edgar S.")</f>
        <v>Kelley, Edgar S.</v>
      </c>
      <c r="B14025" s="2"/>
      <c r="C14025" s="2"/>
      <c r="D14025" s="8" t="str">
        <f ca="1">IFERROR(__xludf.DUMMYFUNCTION("""COMPUTED_VALUE"""),"")</f>
        <v/>
      </c>
      <c r="E14025" s="2"/>
    </row>
    <row r="14026" spans="1:5" ht="13">
      <c r="A14026" s="8" t="str">
        <f ca="1">IFERROR(__xludf.DUMMYFUNCTION("""COMPUTED_VALUE"""),"Kelly, Robert")</f>
        <v>Kelly, Robert</v>
      </c>
      <c r="B14026" s="2"/>
      <c r="C14026" s="2"/>
      <c r="D14026" s="8" t="str">
        <f ca="1">IFERROR(__xludf.DUMMYFUNCTION("""COMPUTED_VALUE"""),"")</f>
        <v/>
      </c>
      <c r="E14026" s="2"/>
    </row>
    <row r="14027" spans="1:5" ht="13">
      <c r="A14027" s="8" t="str">
        <f ca="1">IFERROR(__xludf.DUMMYFUNCTION("""COMPUTED_VALUE"""),"Kennedy, John B.")</f>
        <v>Kennedy, John B.</v>
      </c>
      <c r="B14027" s="2"/>
      <c r="C14027" s="2"/>
      <c r="D14027" s="8" t="str">
        <f ca="1">IFERROR(__xludf.DUMMYFUNCTION("""COMPUTED_VALUE"""),"")</f>
        <v/>
      </c>
      <c r="E14027" s="2"/>
    </row>
    <row r="14028" spans="1:5" ht="13">
      <c r="A14028" s="8" t="str">
        <f ca="1">IFERROR(__xludf.DUMMYFUNCTION("""COMPUTED_VALUE"""),"Kessler, John")</f>
        <v>Kessler, John</v>
      </c>
      <c r="B14028" s="2"/>
      <c r="C14028" s="2"/>
      <c r="D14028" s="8" t="str">
        <f ca="1">IFERROR(__xludf.DUMMYFUNCTION("""COMPUTED_VALUE"""),"")</f>
        <v/>
      </c>
      <c r="E14028" s="2"/>
    </row>
    <row r="14029" spans="1:5" ht="13">
      <c r="A14029" s="8" t="str">
        <f ca="1">IFERROR(__xludf.DUMMYFUNCTION("""COMPUTED_VALUE"""),"Khrennikov, Tikhon N.")</f>
        <v>Khrennikov, Tikhon N.</v>
      </c>
      <c r="B14029" s="2"/>
      <c r="C14029" s="2"/>
      <c r="D14029" s="8" t="str">
        <f ca="1">IFERROR(__xludf.DUMMYFUNCTION("""COMPUTED_VALUE"""),"")</f>
        <v/>
      </c>
      <c r="E14029" s="2"/>
    </row>
    <row r="14030" spans="1:5" ht="13">
      <c r="A14030" s="8" t="str">
        <f ca="1">IFERROR(__xludf.DUMMYFUNCTION("""COMPUTED_VALUE"""),"Kim, Earl")</f>
        <v>Kim, Earl</v>
      </c>
      <c r="B14030" s="2"/>
      <c r="C14030" s="2"/>
      <c r="D14030" s="8" t="str">
        <f ca="1">IFERROR(__xludf.DUMMYFUNCTION("""COMPUTED_VALUE"""),"")</f>
        <v/>
      </c>
      <c r="E14030" s="2"/>
    </row>
    <row r="14031" spans="1:5" ht="13">
      <c r="A14031" s="8" t="str">
        <f ca="1">IFERROR(__xludf.DUMMYFUNCTION("""COMPUTED_VALUE"""),"Kinkel, Charles")</f>
        <v>Kinkel, Charles</v>
      </c>
      <c r="B14031" s="2"/>
      <c r="C14031" s="2"/>
      <c r="D14031" s="8" t="str">
        <f ca="1">IFERROR(__xludf.DUMMYFUNCTION("""COMPUTED_VALUE"""),"")</f>
        <v/>
      </c>
      <c r="E14031" s="2"/>
    </row>
    <row r="14032" spans="1:5" ht="13">
      <c r="A14032" s="8" t="str">
        <f ca="1">IFERROR(__xludf.DUMMYFUNCTION("""COMPUTED_VALUE"""),"Kirchner, Leon")</f>
        <v>Kirchner, Leon</v>
      </c>
      <c r="B14032" s="2"/>
      <c r="C14032" s="2"/>
      <c r="D14032" s="8" t="str">
        <f ca="1">IFERROR(__xludf.DUMMYFUNCTION("""COMPUTED_VALUE"""),"")</f>
        <v/>
      </c>
      <c r="E14032" s="2"/>
    </row>
    <row r="14033" spans="1:5" ht="13">
      <c r="A14033" s="8" t="str">
        <f ca="1">IFERROR(__xludf.DUMMYFUNCTION("""COMPUTED_VALUE"""),"Klebe, Gisellher")</f>
        <v>Klebe, Gisellher</v>
      </c>
      <c r="B14033" s="2"/>
      <c r="C14033" s="2"/>
      <c r="D14033" s="8" t="str">
        <f ca="1">IFERROR(__xludf.DUMMYFUNCTION("""COMPUTED_VALUE"""),"")</f>
        <v/>
      </c>
      <c r="E14033" s="2"/>
    </row>
    <row r="14034" spans="1:5" ht="13">
      <c r="A14034" s="8" t="str">
        <f ca="1">IFERROR(__xludf.DUMMYFUNCTION("""COMPUTED_VALUE"""),"Klein, Bruno")</f>
        <v>Klein, Bruno</v>
      </c>
      <c r="B14034" s="2"/>
      <c r="C14034" s="2"/>
      <c r="D14034" s="8" t="str">
        <f ca="1">IFERROR(__xludf.DUMMYFUNCTION("""COMPUTED_VALUE"""),"")</f>
        <v/>
      </c>
      <c r="E14034" s="2"/>
    </row>
    <row r="14035" spans="1:5" ht="13">
      <c r="A14035" s="8" t="str">
        <f ca="1">IFERROR(__xludf.DUMMYFUNCTION("""COMPUTED_VALUE"""),"Klein, Joseph")</f>
        <v>Klein, Joseph</v>
      </c>
      <c r="B14035" s="2"/>
      <c r="C14035" s="2"/>
      <c r="D14035" s="8" t="str">
        <f ca="1">IFERROR(__xludf.DUMMYFUNCTION("""COMPUTED_VALUE"""),"")</f>
        <v/>
      </c>
      <c r="E14035" s="2"/>
    </row>
    <row r="14036" spans="1:5" ht="13">
      <c r="A14036" s="8" t="str">
        <f ca="1">IFERROR(__xludf.DUMMYFUNCTION("""COMPUTED_VALUE"""),"Klenau, Paul von")</f>
        <v>Klenau, Paul von</v>
      </c>
      <c r="B14036" s="2"/>
      <c r="C14036" s="2"/>
      <c r="D14036" s="8" t="str">
        <f ca="1">IFERROR(__xludf.DUMMYFUNCTION("""COMPUTED_VALUE"""),"")</f>
        <v/>
      </c>
      <c r="E14036" s="2"/>
    </row>
    <row r="14037" spans="1:5" ht="13">
      <c r="A14037" s="8" t="str">
        <f ca="1">IFERROR(__xludf.DUMMYFUNCTION("""COMPUTED_VALUE"""),"Klengel, Julius")</f>
        <v>Klengel, Julius</v>
      </c>
      <c r="B14037" s="2"/>
      <c r="C14037" s="2"/>
      <c r="D14037" s="8" t="str">
        <f ca="1">IFERROR(__xludf.DUMMYFUNCTION("""COMPUTED_VALUE"""),"")</f>
        <v/>
      </c>
      <c r="E14037" s="2"/>
    </row>
    <row r="14038" spans="1:5" ht="13">
      <c r="A14038" s="8" t="str">
        <f ca="1">IFERROR(__xludf.DUMMYFUNCTION("""COMPUTED_VALUE"""),"Klose, Freidrich")</f>
        <v>Klose, Freidrich</v>
      </c>
      <c r="B14038" s="2"/>
      <c r="C14038" s="2"/>
      <c r="D14038" s="8" t="str">
        <f ca="1">IFERROR(__xludf.DUMMYFUNCTION("""COMPUTED_VALUE"""),"")</f>
        <v/>
      </c>
      <c r="E14038" s="2"/>
    </row>
    <row r="14039" spans="1:5" ht="13">
      <c r="A14039" s="8" t="str">
        <f ca="1">IFERROR(__xludf.DUMMYFUNCTION("""COMPUTED_VALUE"""),"Knipper, Lev Konstantinovitch")</f>
        <v>Knipper, Lev Konstantinovitch</v>
      </c>
      <c r="B14039" s="2"/>
      <c r="C14039" s="2"/>
      <c r="D14039" s="8" t="str">
        <f ca="1">IFERROR(__xludf.DUMMYFUNCTION("""COMPUTED_VALUE"""),"")</f>
        <v/>
      </c>
      <c r="E14039" s="2"/>
    </row>
    <row r="14040" spans="1:5" ht="13">
      <c r="A14040" s="8" t="str">
        <f ca="1">IFERROR(__xludf.DUMMYFUNCTION("""COMPUTED_VALUE"""),"Knorr, Ivan")</f>
        <v>Knorr, Ivan</v>
      </c>
      <c r="B14040" s="2"/>
      <c r="C14040" s="2"/>
      <c r="D14040" s="8" t="str">
        <f ca="1">IFERROR(__xludf.DUMMYFUNCTION("""COMPUTED_VALUE"""),"")</f>
        <v/>
      </c>
      <c r="E14040" s="2"/>
    </row>
    <row r="14041" spans="1:5" ht="13">
      <c r="A14041" s="8" t="str">
        <f ca="1">IFERROR(__xludf.DUMMYFUNCTION("""COMPUTED_VALUE"""),"Koch, Erland Von")</f>
        <v>Koch, Erland Von</v>
      </c>
      <c r="B14041" s="2"/>
      <c r="C14041" s="2"/>
      <c r="D14041" s="8" t="str">
        <f ca="1">IFERROR(__xludf.DUMMYFUNCTION("""COMPUTED_VALUE"""),"")</f>
        <v/>
      </c>
      <c r="E14041" s="2"/>
    </row>
    <row r="14042" spans="1:5" ht="13">
      <c r="A14042" s="8" t="str">
        <f ca="1">IFERROR(__xludf.DUMMYFUNCTION("""COMPUTED_VALUE"""),"Koch, Franz")</f>
        <v>Koch, Franz</v>
      </c>
      <c r="B14042" s="2"/>
      <c r="C14042" s="2"/>
      <c r="D14042" s="8" t="str">
        <f ca="1">IFERROR(__xludf.DUMMYFUNCTION("""COMPUTED_VALUE"""),"")</f>
        <v/>
      </c>
      <c r="E14042" s="2"/>
    </row>
    <row r="14043" spans="1:5" ht="13">
      <c r="A14043" s="8" t="str">
        <f ca="1">IFERROR(__xludf.DUMMYFUNCTION("""COMPUTED_VALUE"""),"Kochetov, Nikolay R.")</f>
        <v>Kochetov, Nikolay R.</v>
      </c>
      <c r="B14043" s="2"/>
      <c r="C14043" s="2"/>
      <c r="D14043" s="8" t="str">
        <f ca="1">IFERROR(__xludf.DUMMYFUNCTION("""COMPUTED_VALUE"""),"")</f>
        <v/>
      </c>
      <c r="E14043" s="2"/>
    </row>
    <row r="14044" spans="1:5" ht="13">
      <c r="A14044" s="8" t="str">
        <f ca="1">IFERROR(__xludf.DUMMYFUNCTION("""COMPUTED_VALUE"""),"Koeneman, Theodore")</f>
        <v>Koeneman, Theodore</v>
      </c>
      <c r="B14044" s="2"/>
      <c r="C14044" s="2"/>
      <c r="D14044" s="8" t="str">
        <f ca="1">IFERROR(__xludf.DUMMYFUNCTION("""COMPUTED_VALUE"""),"")</f>
        <v/>
      </c>
      <c r="E14044" s="2"/>
    </row>
    <row r="14045" spans="1:5" ht="13">
      <c r="A14045" s="8" t="str">
        <f ca="1">IFERROR(__xludf.DUMMYFUNCTION("""COMPUTED_VALUE"""),"Koessler, Hans")</f>
        <v>Koessler, Hans</v>
      </c>
      <c r="B14045" s="2"/>
      <c r="C14045" s="2"/>
      <c r="D14045" s="8" t="str">
        <f ca="1">IFERROR(__xludf.DUMMYFUNCTION("""COMPUTED_VALUE"""),"")</f>
        <v/>
      </c>
      <c r="E14045" s="2"/>
    </row>
    <row r="14046" spans="1:5" ht="13">
      <c r="A14046" s="8" t="str">
        <f ca="1">IFERROR(__xludf.DUMMYFUNCTION("""COMPUTED_VALUE"""),"Kohs, Ellis B.")</f>
        <v>Kohs, Ellis B.</v>
      </c>
      <c r="B14046" s="2"/>
      <c r="C14046" s="2"/>
      <c r="D14046" s="8" t="str">
        <f ca="1">IFERROR(__xludf.DUMMYFUNCTION("""COMPUTED_VALUE"""),"")</f>
        <v/>
      </c>
      <c r="E14046" s="2"/>
    </row>
    <row r="14047" spans="1:5" ht="13">
      <c r="A14047" s="8" t="str">
        <f ca="1">IFERROR(__xludf.DUMMYFUNCTION("""COMPUTED_VALUE"""),"Kolar, Victor")</f>
        <v>Kolar, Victor</v>
      </c>
      <c r="B14047" s="2"/>
      <c r="C14047" s="2"/>
      <c r="D14047" s="8" t="str">
        <f ca="1">IFERROR(__xludf.DUMMYFUNCTION("""COMPUTED_VALUE"""),"")</f>
        <v/>
      </c>
      <c r="E14047" s="2"/>
    </row>
    <row r="14048" spans="1:5" ht="13">
      <c r="A14048" s="8" t="str">
        <f ca="1">IFERROR(__xludf.DUMMYFUNCTION("""COMPUTED_VALUE"""),"Komzak, Karel")</f>
        <v>Komzak, Karel</v>
      </c>
      <c r="B14048" s="2"/>
      <c r="C14048" s="2"/>
      <c r="D14048" s="8" t="str">
        <f ca="1">IFERROR(__xludf.DUMMYFUNCTION("""COMPUTED_VALUE"""),"")</f>
        <v/>
      </c>
      <c r="E14048" s="2"/>
    </row>
    <row r="14049" spans="1:5" ht="13">
      <c r="A14049" s="8" t="str">
        <f ca="1">IFERROR(__xludf.DUMMYFUNCTION("""COMPUTED_VALUE"""),"Konoye, Hidemaro")</f>
        <v>Konoye, Hidemaro</v>
      </c>
      <c r="B14049" s="2"/>
      <c r="C14049" s="2"/>
      <c r="D14049" s="8" t="str">
        <f ca="1">IFERROR(__xludf.DUMMYFUNCTION("""COMPUTED_VALUE"""),"")</f>
        <v/>
      </c>
      <c r="E14049" s="2"/>
    </row>
    <row r="14050" spans="1:5" ht="13">
      <c r="A14050" s="8" t="str">
        <f ca="1">IFERROR(__xludf.DUMMYFUNCTION("""COMPUTED_VALUE"""),"Konstantinoff, K.")</f>
        <v>Konstantinoff, K.</v>
      </c>
      <c r="B14050" s="2"/>
      <c r="C14050" s="2"/>
      <c r="D14050" s="8" t="str">
        <f ca="1">IFERROR(__xludf.DUMMYFUNCTION("""COMPUTED_VALUE"""),"")</f>
        <v/>
      </c>
      <c r="E14050" s="2"/>
    </row>
    <row r="14051" spans="1:5" ht="13">
      <c r="A14051" s="8" t="str">
        <f ca="1">IFERROR(__xludf.DUMMYFUNCTION("""COMPUTED_VALUE"""),"Korbay, Francis")</f>
        <v>Korbay, Francis</v>
      </c>
      <c r="B14051" s="2"/>
      <c r="C14051" s="2"/>
      <c r="D14051" s="8" t="str">
        <f ca="1">IFERROR(__xludf.DUMMYFUNCTION("""COMPUTED_VALUE"""),"")</f>
        <v/>
      </c>
      <c r="E14051" s="2"/>
    </row>
    <row r="14052" spans="1:5" ht="13">
      <c r="A14052" s="8" t="str">
        <f ca="1">IFERROR(__xludf.DUMMYFUNCTION("""COMPUTED_VALUE"""),"Koreschenko, Arseny")</f>
        <v>Koreschenko, Arseny</v>
      </c>
      <c r="B14052" s="2"/>
      <c r="C14052" s="2"/>
      <c r="D14052" s="8" t="str">
        <f ca="1">IFERROR(__xludf.DUMMYFUNCTION("""COMPUTED_VALUE"""),"")</f>
        <v/>
      </c>
      <c r="E14052" s="2"/>
    </row>
    <row r="14053" spans="1:5" ht="13">
      <c r="A14053" s="8" t="str">
        <f ca="1">IFERROR(__xludf.DUMMYFUNCTION("""COMPUTED_VALUE"""),"Korn, Peter")</f>
        <v>Korn, Peter</v>
      </c>
      <c r="B14053" s="2"/>
      <c r="C14053" s="2"/>
      <c r="D14053" s="8" t="str">
        <f ca="1">IFERROR(__xludf.DUMMYFUNCTION("""COMPUTED_VALUE"""),"")</f>
        <v/>
      </c>
      <c r="E14053" s="2"/>
    </row>
    <row r="14054" spans="1:5" ht="13">
      <c r="A14054" s="8" t="str">
        <f ca="1">IFERROR(__xludf.DUMMYFUNCTION("""COMPUTED_VALUE"""),"Kornauth, Egon")</f>
        <v>Kornauth, Egon</v>
      </c>
      <c r="B14054" s="2"/>
      <c r="C14054" s="2"/>
      <c r="D14054" s="8" t="str">
        <f ca="1">IFERROR(__xludf.DUMMYFUNCTION("""COMPUTED_VALUE"""),"")</f>
        <v/>
      </c>
      <c r="E14054" s="2"/>
    </row>
    <row r="14055" spans="1:5" ht="13">
      <c r="A14055" s="8" t="str">
        <f ca="1">IFERROR(__xludf.DUMMYFUNCTION("""COMPUTED_VALUE"""),"Kornsand, Emil")</f>
        <v>Kornsand, Emil</v>
      </c>
      <c r="B14055" s="2"/>
      <c r="C14055" s="2"/>
      <c r="D14055" s="8" t="str">
        <f ca="1">IFERROR(__xludf.DUMMYFUNCTION("""COMPUTED_VALUE"""),"")</f>
        <v/>
      </c>
      <c r="E14055" s="2"/>
    </row>
    <row r="14056" spans="1:5" ht="13">
      <c r="A14056" s="8" t="str">
        <f ca="1">IFERROR(__xludf.DUMMYFUNCTION("""COMPUTED_VALUE"""),"Koshetz")</f>
        <v>Koshetz</v>
      </c>
      <c r="B14056" s="2"/>
      <c r="C14056" s="2"/>
      <c r="D14056" s="8" t="str">
        <f ca="1">IFERROR(__xludf.DUMMYFUNCTION("""COMPUTED_VALUE"""),"")</f>
        <v/>
      </c>
      <c r="E14056" s="2"/>
    </row>
    <row r="14057" spans="1:5" ht="13">
      <c r="A14057" s="8" t="str">
        <f ca="1">IFERROR(__xludf.DUMMYFUNCTION("""COMPUTED_VALUE"""),"Kostelanetz, Andre")</f>
        <v>Kostelanetz, Andre</v>
      </c>
      <c r="B14057" s="2"/>
      <c r="C14057" s="2"/>
      <c r="D14057" s="8" t="str">
        <f ca="1">IFERROR(__xludf.DUMMYFUNCTION("""COMPUTED_VALUE"""),"")</f>
        <v/>
      </c>
      <c r="E14057" s="2"/>
    </row>
    <row r="14058" spans="1:5" ht="13">
      <c r="A14058" s="8" t="str">
        <f ca="1">IFERROR(__xludf.DUMMYFUNCTION("""COMPUTED_VALUE"""),"Koutzon, Boris")</f>
        <v>Koutzon, Boris</v>
      </c>
      <c r="B14058" s="2"/>
      <c r="C14058" s="2"/>
      <c r="D14058" s="8" t="str">
        <f ca="1">IFERROR(__xludf.DUMMYFUNCTION("""COMPUTED_VALUE"""),"")</f>
        <v/>
      </c>
      <c r="E14058" s="2"/>
    </row>
    <row r="14059" spans="1:5" ht="13">
      <c r="A14059" s="8" t="str">
        <f ca="1">IFERROR(__xludf.DUMMYFUNCTION("""COMPUTED_VALUE"""),"Koyama, Kiyoshige")</f>
        <v>Koyama, Kiyoshige</v>
      </c>
      <c r="B14059" s="2"/>
      <c r="C14059" s="2"/>
      <c r="D14059" s="8" t="str">
        <f ca="1">IFERROR(__xludf.DUMMYFUNCTION("""COMPUTED_VALUE"""),"")</f>
        <v/>
      </c>
      <c r="E14059" s="2"/>
    </row>
    <row r="14060" spans="1:5" ht="13">
      <c r="A14060" s="8" t="str">
        <f ca="1">IFERROR(__xludf.DUMMYFUNCTION("""COMPUTED_VALUE"""),"Kozeluch, Leopold")</f>
        <v>Kozeluch, Leopold</v>
      </c>
      <c r="B14060" s="2"/>
      <c r="C14060" s="2"/>
      <c r="D14060" s="8" t="str">
        <f ca="1">IFERROR(__xludf.DUMMYFUNCTION("""COMPUTED_VALUE"""),"")</f>
        <v/>
      </c>
      <c r="E14060" s="2"/>
    </row>
    <row r="14061" spans="1:5" ht="13">
      <c r="A14061" s="8" t="str">
        <f ca="1">IFERROR(__xludf.DUMMYFUNCTION("""COMPUTED_VALUE"""),"Kraft, Anton")</f>
        <v>Kraft, Anton</v>
      </c>
      <c r="B14061" s="2"/>
      <c r="C14061" s="2"/>
      <c r="D14061" s="8" t="str">
        <f ca="1">IFERROR(__xludf.DUMMYFUNCTION("""COMPUTED_VALUE"""),"")</f>
        <v/>
      </c>
      <c r="E14061" s="2"/>
    </row>
    <row r="14062" spans="1:5" ht="13">
      <c r="A14062" s="8" t="str">
        <f ca="1">IFERROR(__xludf.DUMMYFUNCTION("""COMPUTED_VALUE"""),"Kraft, Leo")</f>
        <v>Kraft, Leo</v>
      </c>
      <c r="B14062" s="2"/>
      <c r="C14062" s="2"/>
      <c r="D14062" s="8" t="str">
        <f ca="1">IFERROR(__xludf.DUMMYFUNCTION("""COMPUTED_VALUE"""),"")</f>
        <v/>
      </c>
      <c r="E14062" s="2"/>
    </row>
    <row r="14063" spans="1:5" ht="13">
      <c r="A14063" s="8" t="str">
        <f ca="1">IFERROR(__xludf.DUMMYFUNCTION("""COMPUTED_VALUE"""),"Kramer, A. Walter")</f>
        <v>Kramer, A. Walter</v>
      </c>
      <c r="B14063" s="2"/>
      <c r="C14063" s="2"/>
      <c r="D14063" s="8" t="str">
        <f ca="1">IFERROR(__xludf.DUMMYFUNCTION("""COMPUTED_VALUE"""),"")</f>
        <v/>
      </c>
      <c r="E14063" s="2"/>
    </row>
    <row r="14064" spans="1:5" ht="13">
      <c r="A14064" s="8" t="str">
        <f ca="1">IFERROR(__xludf.DUMMYFUNCTION("""COMPUTED_VALUE"""),"Krasa, Hans")</f>
        <v>Krasa, Hans</v>
      </c>
      <c r="B14064" s="2"/>
      <c r="C14064" s="2"/>
      <c r="D14064" s="8" t="str">
        <f ca="1">IFERROR(__xludf.DUMMYFUNCTION("""COMPUTED_VALUE"""),"")</f>
        <v/>
      </c>
      <c r="E14064" s="2"/>
    </row>
    <row r="14065" spans="1:5" ht="13">
      <c r="A14065" s="8" t="str">
        <f ca="1">IFERROR(__xludf.DUMMYFUNCTION("""COMPUTED_VALUE"""),"Krein, Gregory")</f>
        <v>Krein, Gregory</v>
      </c>
      <c r="B14065" s="2"/>
      <c r="C14065" s="2"/>
      <c r="D14065" s="8" t="str">
        <f ca="1">IFERROR(__xludf.DUMMYFUNCTION("""COMPUTED_VALUE"""),"")</f>
        <v/>
      </c>
      <c r="E14065" s="2"/>
    </row>
    <row r="14066" spans="1:5" ht="13">
      <c r="A14066" s="8" t="str">
        <f ca="1">IFERROR(__xludf.DUMMYFUNCTION("""COMPUTED_VALUE"""),"Kretchmer, Edmund")</f>
        <v>Kretchmer, Edmund</v>
      </c>
      <c r="B14066" s="2"/>
      <c r="C14066" s="2"/>
      <c r="D14066" s="8" t="str">
        <f ca="1">IFERROR(__xludf.DUMMYFUNCTION("""COMPUTED_VALUE"""),"")</f>
        <v/>
      </c>
      <c r="E14066" s="2"/>
    </row>
    <row r="14067" spans="1:5" ht="13">
      <c r="A14067" s="8" t="str">
        <f ca="1">IFERROR(__xludf.DUMMYFUNCTION("""COMPUTED_VALUE"""),"Kreutz, Arthur")</f>
        <v>Kreutz, Arthur</v>
      </c>
      <c r="B14067" s="2"/>
      <c r="C14067" s="2"/>
      <c r="D14067" s="8" t="str">
        <f ca="1">IFERROR(__xludf.DUMMYFUNCTION("""COMPUTED_VALUE"""),"")</f>
        <v/>
      </c>
      <c r="E14067" s="2"/>
    </row>
    <row r="14068" spans="1:5" ht="13">
      <c r="A14068" s="8" t="str">
        <f ca="1">IFERROR(__xludf.DUMMYFUNCTION("""COMPUTED_VALUE"""),"Kreutzer, Konradin")</f>
        <v>Kreutzer, Konradin</v>
      </c>
      <c r="B14068" s="2"/>
      <c r="C14068" s="2"/>
      <c r="D14068" s="8" t="str">
        <f ca="1">IFERROR(__xludf.DUMMYFUNCTION("""COMPUTED_VALUE"""),"")</f>
        <v/>
      </c>
      <c r="E14068" s="2"/>
    </row>
    <row r="14069" spans="1:5" ht="13">
      <c r="A14069" s="8" t="str">
        <f ca="1">IFERROR(__xludf.DUMMYFUNCTION("""COMPUTED_VALUE"""),"Kreutzer, Rudolph")</f>
        <v>Kreutzer, Rudolph</v>
      </c>
      <c r="B14069" s="2"/>
      <c r="C14069" s="2"/>
      <c r="D14069" s="8" t="str">
        <f ca="1">IFERROR(__xludf.DUMMYFUNCTION("""COMPUTED_VALUE"""),"")</f>
        <v/>
      </c>
      <c r="E14069" s="2"/>
    </row>
    <row r="14070" spans="1:5" ht="13">
      <c r="A14070" s="8" t="str">
        <f ca="1">IFERROR(__xludf.DUMMYFUNCTION("""COMPUTED_VALUE"""),"Kroeger, Ernest")</f>
        <v>Kroeger, Ernest</v>
      </c>
      <c r="B14070" s="2"/>
      <c r="C14070" s="2"/>
      <c r="D14070" s="8" t="str">
        <f ca="1">IFERROR(__xludf.DUMMYFUNCTION("""COMPUTED_VALUE"""),"")</f>
        <v/>
      </c>
      <c r="E14070" s="2"/>
    </row>
    <row r="14071" spans="1:5" ht="13">
      <c r="A14071" s="8" t="str">
        <f ca="1">IFERROR(__xludf.DUMMYFUNCTION("""COMPUTED_VALUE"""),"Krug, Arnold")</f>
        <v>Krug, Arnold</v>
      </c>
      <c r="B14071" s="2"/>
      <c r="C14071" s="2"/>
      <c r="D14071" s="8" t="str">
        <f ca="1">IFERROR(__xludf.DUMMYFUNCTION("""COMPUTED_VALUE"""),"")</f>
        <v/>
      </c>
      <c r="E14071" s="2"/>
    </row>
    <row r="14072" spans="1:5" ht="13">
      <c r="A14072" s="8" t="str">
        <f ca="1">IFERROR(__xludf.DUMMYFUNCTION("""COMPUTED_VALUE"""),"Krull, Frederic")</f>
        <v>Krull, Frederic</v>
      </c>
      <c r="B14072" s="2"/>
      <c r="C14072" s="2"/>
      <c r="D14072" s="8" t="str">
        <f ca="1">IFERROR(__xludf.DUMMYFUNCTION("""COMPUTED_VALUE"""),"")</f>
        <v/>
      </c>
      <c r="E14072" s="2"/>
    </row>
    <row r="14073" spans="1:5" ht="13">
      <c r="A14073" s="8" t="str">
        <f ca="1">IFERROR(__xludf.DUMMYFUNCTION("""COMPUTED_VALUE"""),"Kubelik, Jan")</f>
        <v>Kubelik, Jan</v>
      </c>
      <c r="B14073" s="2"/>
      <c r="C14073" s="2"/>
      <c r="D14073" s="8" t="str">
        <f ca="1">IFERROR(__xludf.DUMMYFUNCTION("""COMPUTED_VALUE"""),"")</f>
        <v/>
      </c>
      <c r="E14073" s="2"/>
    </row>
    <row r="14074" spans="1:5" ht="13">
      <c r="A14074" s="8" t="str">
        <f ca="1">IFERROR(__xludf.DUMMYFUNCTION("""COMPUTED_VALUE"""),"Kummer, Friedrich")</f>
        <v>Kummer, Friedrich</v>
      </c>
      <c r="B14074" s="2"/>
      <c r="C14074" s="2"/>
      <c r="D14074" s="8" t="str">
        <f ca="1">IFERROR(__xludf.DUMMYFUNCTION("""COMPUTED_VALUE"""),"")</f>
        <v/>
      </c>
      <c r="E14074" s="2"/>
    </row>
    <row r="14075" spans="1:5" ht="13">
      <c r="A14075" s="8" t="str">
        <f ca="1">IFERROR(__xludf.DUMMYFUNCTION("""COMPUTED_VALUE"""),"Kupferman, Meyer")</f>
        <v>Kupferman, Meyer</v>
      </c>
      <c r="B14075" s="2"/>
      <c r="C14075" s="2"/>
      <c r="D14075" s="8" t="str">
        <f ca="1">IFERROR(__xludf.DUMMYFUNCTION("""COMPUTED_VALUE"""),"")</f>
        <v/>
      </c>
      <c r="E14075" s="2"/>
    </row>
    <row r="14076" spans="1:5" ht="13">
      <c r="A14076" s="8" t="str">
        <f ca="1">IFERROR(__xludf.DUMMYFUNCTION("""COMPUTED_VALUE"""),"Kurth, Chas")</f>
        <v>Kurth, Chas</v>
      </c>
      <c r="B14076" s="2"/>
      <c r="C14076" s="2"/>
      <c r="D14076" s="8" t="str">
        <f ca="1">IFERROR(__xludf.DUMMYFUNCTION("""COMPUTED_VALUE"""),"")</f>
        <v/>
      </c>
      <c r="E14076" s="2"/>
    </row>
    <row r="14077" spans="1:5" ht="13">
      <c r="A14077" s="8" t="str">
        <f ca="1">IFERROR(__xludf.DUMMYFUNCTION("""COMPUTED_VALUE"""),"Kurthy, Zoltan")</f>
        <v>Kurthy, Zoltan</v>
      </c>
      <c r="B14077" s="2"/>
      <c r="C14077" s="2"/>
      <c r="D14077" s="8" t="str">
        <f ca="1">IFERROR(__xludf.DUMMYFUNCTION("""COMPUTED_VALUE"""),"")</f>
        <v/>
      </c>
      <c r="E14077" s="2"/>
    </row>
    <row r="14078" spans="1:5" ht="13">
      <c r="A14078" s="8" t="str">
        <f ca="1">IFERROR(__xludf.DUMMYFUNCTION("""COMPUTED_VALUE"""),"Kurtz, Edward F.")</f>
        <v>Kurtz, Edward F.</v>
      </c>
      <c r="B14078" s="2"/>
      <c r="C14078" s="2"/>
      <c r="D14078" s="8" t="str">
        <f ca="1">IFERROR(__xludf.DUMMYFUNCTION("""COMPUTED_VALUE"""),"")</f>
        <v/>
      </c>
      <c r="E14078" s="2"/>
    </row>
    <row r="14079" spans="1:5" ht="13">
      <c r="A14079" s="8" t="str">
        <f ca="1">IFERROR(__xludf.DUMMYFUNCTION("""COMPUTED_VALUE"""),"Kyser, Kay")</f>
        <v>Kyser, Kay</v>
      </c>
      <c r="B14079" s="2"/>
      <c r="C14079" s="2"/>
      <c r="D14079" s="8" t="str">
        <f ca="1">IFERROR(__xludf.DUMMYFUNCTION("""COMPUTED_VALUE"""),"")</f>
        <v/>
      </c>
      <c r="E14079" s="2"/>
    </row>
    <row r="14080" spans="1:5" ht="13">
      <c r="A14080" s="8" t="str">
        <f ca="1">IFERROR(__xludf.DUMMYFUNCTION("""COMPUTED_VALUE"""),"La Forge")</f>
        <v>La Forge</v>
      </c>
      <c r="B14080" s="2"/>
      <c r="C14080" s="2"/>
      <c r="D14080" s="8" t="str">
        <f ca="1">IFERROR(__xludf.DUMMYFUNCTION("""COMPUTED_VALUE"""),"")</f>
        <v/>
      </c>
      <c r="E14080" s="2"/>
    </row>
    <row r="14081" spans="1:5" ht="13">
      <c r="A14081" s="8" t="str">
        <f ca="1">IFERROR(__xludf.DUMMYFUNCTION("""COMPUTED_VALUE"""),"La Monaca, Joseph")</f>
        <v>La Monaca, Joseph</v>
      </c>
      <c r="B14081" s="2"/>
      <c r="C14081" s="2"/>
      <c r="D14081" s="8" t="str">
        <f ca="1">IFERROR(__xludf.DUMMYFUNCTION("""COMPUTED_VALUE"""),"")</f>
        <v/>
      </c>
      <c r="E14081" s="2"/>
    </row>
    <row r="14082" spans="1:5" ht="13">
      <c r="A14082" s="8" t="str">
        <f ca="1">IFERROR(__xludf.DUMMYFUNCTION("""COMPUTED_VALUE"""),"La Montaine, John")</f>
        <v>La Montaine, John</v>
      </c>
      <c r="B14082" s="2"/>
      <c r="C14082" s="2"/>
      <c r="D14082" s="8" t="str">
        <f ca="1">IFERROR(__xludf.DUMMYFUNCTION("""COMPUTED_VALUE"""),"")</f>
        <v/>
      </c>
      <c r="E14082" s="2"/>
    </row>
    <row r="14083" spans="1:5" ht="13">
      <c r="A14083" s="8" t="str">
        <f ca="1">IFERROR(__xludf.DUMMYFUNCTION("""COMPUTED_VALUE"""),"La Violette, Wesley")</f>
        <v>La Violette, Wesley</v>
      </c>
      <c r="B14083" s="2"/>
      <c r="C14083" s="2"/>
      <c r="D14083" s="8" t="str">
        <f ca="1">IFERROR(__xludf.DUMMYFUNCTION("""COMPUTED_VALUE"""),"")</f>
        <v/>
      </c>
      <c r="E14083" s="2"/>
    </row>
    <row r="14084" spans="1:5" ht="13">
      <c r="A14084" s="8" t="str">
        <f ca="1">IFERROR(__xludf.DUMMYFUNCTION("""COMPUTED_VALUE"""),"Labate, Bruno")</f>
        <v>Labate, Bruno</v>
      </c>
      <c r="B14084" s="2"/>
      <c r="C14084" s="2"/>
      <c r="D14084" s="8" t="str">
        <f ca="1">IFERROR(__xludf.DUMMYFUNCTION("""COMPUTED_VALUE"""),"")</f>
        <v/>
      </c>
      <c r="E14084" s="2"/>
    </row>
    <row r="14085" spans="1:5" ht="13">
      <c r="A14085" s="8" t="str">
        <f ca="1">IFERROR(__xludf.DUMMYFUNCTION("""COMPUTED_VALUE"""),"Labroca, Mario")</f>
        <v>Labroca, Mario</v>
      </c>
      <c r="B14085" s="2"/>
      <c r="C14085" s="2"/>
      <c r="D14085" s="8" t="str">
        <f ca="1">IFERROR(__xludf.DUMMYFUNCTION("""COMPUTED_VALUE"""),"")</f>
        <v/>
      </c>
      <c r="E14085" s="2"/>
    </row>
    <row r="14086" spans="1:5" ht="13">
      <c r="A14086" s="8" t="str">
        <f ca="1">IFERROR(__xludf.DUMMYFUNCTION("""COMPUTED_VALUE"""),"Labunski, Felix")</f>
        <v>Labunski, Felix</v>
      </c>
      <c r="B14086" s="2"/>
      <c r="C14086" s="2"/>
      <c r="D14086" s="8" t="str">
        <f ca="1">IFERROR(__xludf.DUMMYFUNCTION("""COMPUTED_VALUE"""),"")</f>
        <v/>
      </c>
      <c r="E14086" s="2"/>
    </row>
    <row r="14087" spans="1:5" ht="13">
      <c r="A14087" s="8" t="str">
        <f ca="1">IFERROR(__xludf.DUMMYFUNCTION("""COMPUTED_VALUE"""),"Labunski, Wiktor")</f>
        <v>Labunski, Wiktor</v>
      </c>
      <c r="B14087" s="2"/>
      <c r="C14087" s="2"/>
      <c r="D14087" s="8" t="str">
        <f ca="1">IFERROR(__xludf.DUMMYFUNCTION("""COMPUTED_VALUE"""),"")</f>
        <v/>
      </c>
      <c r="E14087" s="2"/>
    </row>
    <row r="14088" spans="1:5" ht="13">
      <c r="A14088" s="8" t="str">
        <f ca="1">IFERROR(__xludf.DUMMYFUNCTION("""COMPUTED_VALUE"""),"Lacalle")</f>
        <v>Lacalle</v>
      </c>
      <c r="B14088" s="2"/>
      <c r="C14088" s="2"/>
      <c r="D14088" s="8" t="str">
        <f ca="1">IFERROR(__xludf.DUMMYFUNCTION("""COMPUTED_VALUE"""),"")</f>
        <v/>
      </c>
      <c r="E14088" s="2"/>
    </row>
    <row r="14089" spans="1:5" ht="13">
      <c r="A14089" s="8" t="str">
        <f ca="1">IFERROR(__xludf.DUMMYFUNCTION("""COMPUTED_VALUE"""),"Lachner Brothers")</f>
        <v>Lachner Brothers</v>
      </c>
      <c r="B14089" s="2"/>
      <c r="C14089" s="2"/>
      <c r="D14089" s="8" t="str">
        <f ca="1">IFERROR(__xludf.DUMMYFUNCTION("""COMPUTED_VALUE"""),"")</f>
        <v/>
      </c>
      <c r="E14089" s="2"/>
    </row>
    <row r="14090" spans="1:5" ht="13">
      <c r="A14090" s="8" t="str">
        <f ca="1">IFERROR(__xludf.DUMMYFUNCTION("""COMPUTED_VALUE"""),"Lachner, Ignaz")</f>
        <v>Lachner, Ignaz</v>
      </c>
      <c r="B14090" s="2"/>
      <c r="C14090" s="2"/>
      <c r="D14090" s="8" t="str">
        <f ca="1">IFERROR(__xludf.DUMMYFUNCTION("""COMPUTED_VALUE"""),"")</f>
        <v/>
      </c>
      <c r="E14090" s="2"/>
    </row>
    <row r="14091" spans="1:5" ht="13">
      <c r="A14091" s="8" t="str">
        <f ca="1">IFERROR(__xludf.DUMMYFUNCTION("""COMPUTED_VALUE"""),"Lachner, Vincenz")</f>
        <v>Lachner, Vincenz</v>
      </c>
      <c r="B14091" s="2"/>
      <c r="C14091" s="2"/>
      <c r="D14091" s="8" t="str">
        <f ca="1">IFERROR(__xludf.DUMMYFUNCTION("""COMPUTED_VALUE"""),"")</f>
        <v/>
      </c>
      <c r="E14091" s="2"/>
    </row>
    <row r="14092" spans="1:5" ht="13">
      <c r="A14092" s="8" t="str">
        <f ca="1">IFERROR(__xludf.DUMMYFUNCTION("""COMPUTED_VALUE"""),"Ladmirault, Paul E.")</f>
        <v>Ladmirault, Paul E.</v>
      </c>
      <c r="B14092" s="2"/>
      <c r="C14092" s="2"/>
      <c r="D14092" s="8" t="str">
        <f ca="1">IFERROR(__xludf.DUMMYFUNCTION("""COMPUTED_VALUE"""),"")</f>
        <v/>
      </c>
      <c r="E14092" s="2"/>
    </row>
    <row r="14093" spans="1:5" ht="13">
      <c r="A14093" s="8" t="str">
        <f ca="1">IFERROR(__xludf.DUMMYFUNCTION("""COMPUTED_VALUE"""),"Lajtha, Laszlo")</f>
        <v>Lajtha, Laszlo</v>
      </c>
      <c r="B14093" s="2"/>
      <c r="C14093" s="2"/>
      <c r="D14093" s="8" t="str">
        <f ca="1">IFERROR(__xludf.DUMMYFUNCTION("""COMPUTED_VALUE"""),"")</f>
        <v/>
      </c>
      <c r="E14093" s="2"/>
    </row>
    <row r="14094" spans="1:5" ht="13">
      <c r="A14094" s="8" t="str">
        <f ca="1">IFERROR(__xludf.DUMMYFUNCTION("""COMPUTED_VALUE"""),"Lalande, Michel R. de")</f>
        <v>Lalande, Michel R. de</v>
      </c>
      <c r="B14094" s="2"/>
      <c r="C14094" s="2"/>
      <c r="D14094" s="8" t="str">
        <f ca="1">IFERROR(__xludf.DUMMYFUNCTION("""COMPUTED_VALUE"""),"")</f>
        <v/>
      </c>
      <c r="E14094" s="2"/>
    </row>
    <row r="14095" spans="1:5" ht="13">
      <c r="A14095" s="8" t="str">
        <f ca="1">IFERROR(__xludf.DUMMYFUNCTION("""COMPUTED_VALUE"""),"Lalo, Edouard")</f>
        <v>Lalo, Edouard</v>
      </c>
      <c r="B14095" s="2"/>
      <c r="C14095" s="2"/>
      <c r="D14095" s="8" t="str">
        <f ca="1">IFERROR(__xludf.DUMMYFUNCTION("""COMPUTED_VALUE"""),"")</f>
        <v/>
      </c>
      <c r="E14095" s="2"/>
    </row>
    <row r="14096" spans="1:5" ht="13">
      <c r="A14096" s="8" t="str">
        <f ca="1">IFERROR(__xludf.DUMMYFUNCTION("""COMPUTED_VALUE"""),"Lamond, Frederic")</f>
        <v>Lamond, Frederic</v>
      </c>
      <c r="B14096" s="2"/>
      <c r="C14096" s="2"/>
      <c r="D14096" s="8" t="str">
        <f ca="1">IFERROR(__xludf.DUMMYFUNCTION("""COMPUTED_VALUE"""),"")</f>
        <v/>
      </c>
      <c r="E14096" s="2"/>
    </row>
    <row r="14097" spans="1:5" ht="13">
      <c r="A14097" s="8" t="str">
        <f ca="1">IFERROR(__xludf.DUMMYFUNCTION("""COMPUTED_VALUE"""),"Lamote De Grignon, Juan")</f>
        <v>Lamote De Grignon, Juan</v>
      </c>
      <c r="B14097" s="2"/>
      <c r="C14097" s="2"/>
      <c r="D14097" s="8" t="str">
        <f ca="1">IFERROR(__xludf.DUMMYFUNCTION("""COMPUTED_VALUE"""),"")</f>
        <v/>
      </c>
      <c r="E14097" s="2"/>
    </row>
    <row r="14098" spans="1:5" ht="13">
      <c r="A14098" s="8" t="str">
        <f ca="1">IFERROR(__xludf.DUMMYFUNCTION("""COMPUTED_VALUE"""),"Lampe, Johann F.")</f>
        <v>Lampe, Johann F.</v>
      </c>
      <c r="B14098" s="2"/>
      <c r="C14098" s="2"/>
      <c r="D14098" s="8" t="str">
        <f ca="1">IFERROR(__xludf.DUMMYFUNCTION("""COMPUTED_VALUE"""),"")</f>
        <v/>
      </c>
      <c r="E14098" s="2"/>
    </row>
    <row r="14099" spans="1:5" ht="13">
      <c r="A14099" s="8" t="str">
        <f ca="1">IFERROR(__xludf.DUMMYFUNCTION("""COMPUTED_VALUE"""),"Landowski, Marcel")</f>
        <v>Landowski, Marcel</v>
      </c>
      <c r="B14099" s="2"/>
      <c r="C14099" s="2"/>
      <c r="D14099" s="8" t="str">
        <f ca="1">IFERROR(__xludf.DUMMYFUNCTION("""COMPUTED_VALUE"""),"")</f>
        <v/>
      </c>
      <c r="E14099" s="2"/>
    </row>
    <row r="14100" spans="1:5" ht="13">
      <c r="A14100" s="8" t="str">
        <f ca="1">IFERROR(__xludf.DUMMYFUNCTION("""COMPUTED_VALUE"""),"Landre, Guillaume")</f>
        <v>Landre, Guillaume</v>
      </c>
      <c r="B14100" s="2"/>
      <c r="C14100" s="2"/>
      <c r="D14100" s="8" t="str">
        <f ca="1">IFERROR(__xludf.DUMMYFUNCTION("""COMPUTED_VALUE"""),"")</f>
        <v/>
      </c>
      <c r="E14100" s="2"/>
    </row>
    <row r="14101" spans="1:5" ht="13">
      <c r="A14101" s="8" t="str">
        <f ca="1">IFERROR(__xludf.DUMMYFUNCTION("""COMPUTED_VALUE"""),"Lang, Henry Albert")</f>
        <v>Lang, Henry Albert</v>
      </c>
      <c r="B14101" s="2"/>
      <c r="C14101" s="2"/>
      <c r="D14101" s="8" t="str">
        <f ca="1">IFERROR(__xludf.DUMMYFUNCTION("""COMPUTED_VALUE"""),"")</f>
        <v/>
      </c>
      <c r="E14101" s="2"/>
    </row>
    <row r="14102" spans="1:5" ht="13">
      <c r="A14102" s="8" t="str">
        <f ca="1">IFERROR(__xludf.DUMMYFUNCTION("""COMPUTED_VALUE"""),"Lang, Margaret R.")</f>
        <v>Lang, Margaret R.</v>
      </c>
      <c r="B14102" s="2"/>
      <c r="C14102" s="2"/>
      <c r="D14102" s="8" t="str">
        <f ca="1">IFERROR(__xludf.DUMMYFUNCTION("""COMPUTED_VALUE"""),"")</f>
        <v/>
      </c>
      <c r="E14102" s="2"/>
    </row>
    <row r="14103" spans="1:5" ht="13">
      <c r="A14103" s="8" t="str">
        <f ca="1">IFERROR(__xludf.DUMMYFUNCTION("""COMPUTED_VALUE"""),"Lange-Muller, Peter")</f>
        <v>Lange-Muller, Peter</v>
      </c>
      <c r="B14103" s="2"/>
      <c r="C14103" s="2"/>
      <c r="D14103" s="8" t="str">
        <f ca="1">IFERROR(__xludf.DUMMYFUNCTION("""COMPUTED_VALUE"""),"")</f>
        <v/>
      </c>
      <c r="E14103" s="2"/>
    </row>
    <row r="14104" spans="1:5" ht="13">
      <c r="A14104" s="8" t="str">
        <f ca="1">IFERROR(__xludf.DUMMYFUNCTION("""COMPUTED_VALUE"""),"Langendoen, Jakobus")</f>
        <v>Langendoen, Jakobus</v>
      </c>
      <c r="B14104" s="2"/>
      <c r="C14104" s="2"/>
      <c r="D14104" s="8" t="str">
        <f ca="1">IFERROR(__xludf.DUMMYFUNCTION("""COMPUTED_VALUE"""),"")</f>
        <v/>
      </c>
      <c r="E14104" s="2"/>
    </row>
    <row r="14105" spans="1:5" ht="13">
      <c r="A14105" s="8" t="str">
        <f ca="1">IFERROR(__xludf.DUMMYFUNCTION("""COMPUTED_VALUE"""),"Langer, Ferdinand")</f>
        <v>Langer, Ferdinand</v>
      </c>
      <c r="B14105" s="2"/>
      <c r="C14105" s="2"/>
      <c r="D14105" s="8" t="str">
        <f ca="1">IFERROR(__xludf.DUMMYFUNCTION("""COMPUTED_VALUE"""),"")</f>
        <v/>
      </c>
      <c r="E14105" s="2"/>
    </row>
    <row r="14106" spans="1:5" ht="13">
      <c r="A14106" s="8" t="str">
        <f ca="1">IFERROR(__xludf.DUMMYFUNCTION("""COMPUTED_VALUE"""),"Langstroth, Ivan")</f>
        <v>Langstroth, Ivan</v>
      </c>
      <c r="B14106" s="2"/>
      <c r="C14106" s="2"/>
      <c r="D14106" s="8" t="str">
        <f ca="1">IFERROR(__xludf.DUMMYFUNCTION("""COMPUTED_VALUE"""),"")</f>
        <v/>
      </c>
      <c r="E14106" s="2"/>
    </row>
    <row r="14107" spans="1:5" ht="13">
      <c r="A14107" s="8" t="str">
        <f ca="1">IFERROR(__xludf.DUMMYFUNCTION("""COMPUTED_VALUE"""),"Lanner, Josef")</f>
        <v>Lanner, Josef</v>
      </c>
      <c r="B14107" s="2"/>
      <c r="C14107" s="2"/>
      <c r="D14107" s="8" t="str">
        <f ca="1">IFERROR(__xludf.DUMMYFUNCTION("""COMPUTED_VALUE"""),"")</f>
        <v/>
      </c>
      <c r="E14107" s="2"/>
    </row>
    <row r="14108" spans="1:5" ht="13">
      <c r="A14108" s="8" t="str">
        <f ca="1">IFERROR(__xludf.DUMMYFUNCTION("""COMPUTED_VALUE"""),"Laparra, Raoul")</f>
        <v>Laparra, Raoul</v>
      </c>
      <c r="B14108" s="2"/>
      <c r="C14108" s="2"/>
      <c r="D14108" s="8" t="str">
        <f ca="1">IFERROR(__xludf.DUMMYFUNCTION("""COMPUTED_VALUE"""),"")</f>
        <v/>
      </c>
      <c r="E14108" s="2"/>
    </row>
    <row r="14109" spans="1:5" ht="13">
      <c r="A14109" s="8" t="str">
        <f ca="1">IFERROR(__xludf.DUMMYFUNCTION("""COMPUTED_VALUE"""),"Larkin, John")</f>
        <v>Larkin, John</v>
      </c>
      <c r="B14109" s="2"/>
      <c r="C14109" s="2"/>
      <c r="D14109" s="8" t="str">
        <f ca="1">IFERROR(__xludf.DUMMYFUNCTION("""COMPUTED_VALUE"""),"")</f>
        <v/>
      </c>
      <c r="E14109" s="2"/>
    </row>
    <row r="14110" spans="1:5" ht="13">
      <c r="A14110" s="8" t="str">
        <f ca="1">IFERROR(__xludf.DUMMYFUNCTION("""COMPUTED_VALUE"""),"Lassen, Eduard")</f>
        <v>Lassen, Eduard</v>
      </c>
      <c r="B14110" s="2"/>
      <c r="C14110" s="2"/>
      <c r="D14110" s="8" t="str">
        <f ca="1">IFERROR(__xludf.DUMMYFUNCTION("""COMPUTED_VALUE"""),"")</f>
        <v/>
      </c>
      <c r="E14110" s="2"/>
    </row>
    <row r="14111" spans="1:5" ht="13">
      <c r="A14111" s="8" t="str">
        <f ca="1">IFERROR(__xludf.DUMMYFUNCTION("""COMPUTED_VALUE"""),"Laszlo, Alexander")</f>
        <v>Laszlo, Alexander</v>
      </c>
      <c r="B14111" s="2"/>
      <c r="C14111" s="2"/>
      <c r="D14111" s="8" t="str">
        <f ca="1">IFERROR(__xludf.DUMMYFUNCTION("""COMPUTED_VALUE"""),"")</f>
        <v/>
      </c>
      <c r="E14111" s="2"/>
    </row>
    <row r="14112" spans="1:5" ht="13">
      <c r="A14112" s="8" t="str">
        <f ca="1">IFERROR(__xludf.DUMMYFUNCTION("""COMPUTED_VALUE"""),"Latham, William P.")</f>
        <v>Latham, William P.</v>
      </c>
      <c r="B14112" s="2"/>
      <c r="C14112" s="2"/>
      <c r="D14112" s="8" t="str">
        <f ca="1">IFERROR(__xludf.DUMMYFUNCTION("""COMPUTED_VALUE"""),"")</f>
        <v/>
      </c>
      <c r="E14112" s="2"/>
    </row>
    <row r="14113" spans="1:5" ht="13">
      <c r="A14113" s="8" t="str">
        <f ca="1">IFERROR(__xludf.DUMMYFUNCTION("""COMPUTED_VALUE"""),"Laucella, Nicola")</f>
        <v>Laucella, Nicola</v>
      </c>
      <c r="B14113" s="2"/>
      <c r="C14113" s="2"/>
      <c r="D14113" s="8" t="str">
        <f ca="1">IFERROR(__xludf.DUMMYFUNCTION("""COMPUTED_VALUE"""),"")</f>
        <v/>
      </c>
      <c r="E14113" s="2"/>
    </row>
    <row r="14114" spans="1:5" ht="13">
      <c r="A14114" s="8" t="str">
        <f ca="1">IFERROR(__xludf.DUMMYFUNCTION("""COMPUTED_VALUE"""),"Laudenslager")</f>
        <v>Laudenslager</v>
      </c>
      <c r="B14114" s="2"/>
      <c r="C14114" s="2"/>
      <c r="D14114" s="8" t="str">
        <f ca="1">IFERROR(__xludf.DUMMYFUNCTION("""COMPUTED_VALUE"""),"")</f>
        <v/>
      </c>
      <c r="E14114" s="2"/>
    </row>
    <row r="14115" spans="1:5" ht="13">
      <c r="A14115" s="8" t="str">
        <f ca="1">IFERROR(__xludf.DUMMYFUNCTION("""COMPUTED_VALUE"""),"Lavry, Marc")</f>
        <v>Lavry, Marc</v>
      </c>
      <c r="B14115" s="2"/>
      <c r="C14115" s="2"/>
      <c r="D14115" s="8" t="str">
        <f ca="1">IFERROR(__xludf.DUMMYFUNCTION("""COMPUTED_VALUE"""),"")</f>
        <v/>
      </c>
      <c r="E14115" s="2"/>
    </row>
    <row r="14116" spans="1:5" ht="13">
      <c r="A14116" s="8" t="str">
        <f ca="1">IFERROR(__xludf.DUMMYFUNCTION("""COMPUTED_VALUE"""),"Layton, Billy Jim")</f>
        <v>Layton, Billy Jim</v>
      </c>
      <c r="B14116" s="2"/>
      <c r="C14116" s="2"/>
      <c r="D14116" s="8" t="str">
        <f ca="1">IFERROR(__xludf.DUMMYFUNCTION("""COMPUTED_VALUE"""),"")</f>
        <v/>
      </c>
      <c r="E14116" s="2"/>
    </row>
    <row r="14117" spans="1:5" ht="13">
      <c r="A14117" s="8" t="str">
        <f ca="1">IFERROR(__xludf.DUMMYFUNCTION("""COMPUTED_VALUE"""),"Lazar, Filip")</f>
        <v>Lazar, Filip</v>
      </c>
      <c r="B14117" s="2"/>
      <c r="C14117" s="2"/>
      <c r="D14117" s="8" t="str">
        <f ca="1">IFERROR(__xludf.DUMMYFUNCTION("""COMPUTED_VALUE"""),"")</f>
        <v/>
      </c>
      <c r="E14117" s="2"/>
    </row>
    <row r="14118" spans="1:5" ht="13">
      <c r="A14118" s="8" t="str">
        <f ca="1">IFERROR(__xludf.DUMMYFUNCTION("""COMPUTED_VALUE"""),"Lazarus, Daniel")</f>
        <v>Lazarus, Daniel</v>
      </c>
      <c r="B14118" s="2"/>
      <c r="C14118" s="2"/>
      <c r="D14118" s="8" t="str">
        <f ca="1">IFERROR(__xludf.DUMMYFUNCTION("""COMPUTED_VALUE"""),"")</f>
        <v/>
      </c>
      <c r="E14118" s="2"/>
    </row>
    <row r="14119" spans="1:5" ht="13">
      <c r="A14119" s="8" t="str">
        <f ca="1">IFERROR(__xludf.DUMMYFUNCTION("""COMPUTED_VALUE"""),"Lazzari, Sylvio")</f>
        <v>Lazzari, Sylvio</v>
      </c>
      <c r="B14119" s="2"/>
      <c r="C14119" s="2"/>
      <c r="D14119" s="8" t="str">
        <f ca="1">IFERROR(__xludf.DUMMYFUNCTION("""COMPUTED_VALUE"""),"")</f>
        <v/>
      </c>
      <c r="E14119" s="2"/>
    </row>
    <row r="14120" spans="1:5" ht="13">
      <c r="A14120" s="8" t="str">
        <f ca="1">IFERROR(__xludf.DUMMYFUNCTION("""COMPUTED_VALUE"""),"Le Clair, Jean Marie")</f>
        <v>Le Clair, Jean Marie</v>
      </c>
      <c r="B14120" s="2"/>
      <c r="C14120" s="2"/>
      <c r="D14120" s="8" t="str">
        <f ca="1">IFERROR(__xludf.DUMMYFUNCTION("""COMPUTED_VALUE"""),"")</f>
        <v/>
      </c>
      <c r="E14120" s="2"/>
    </row>
    <row r="14121" spans="1:5" ht="13">
      <c r="A14121" s="8" t="str">
        <f ca="1">IFERROR(__xludf.DUMMYFUNCTION("""COMPUTED_VALUE"""),"Le Flem, Paul")</f>
        <v>Le Flem, Paul</v>
      </c>
      <c r="B14121" s="2"/>
      <c r="C14121" s="2"/>
      <c r="D14121" s="8" t="str">
        <f ca="1">IFERROR(__xludf.DUMMYFUNCTION("""COMPUTED_VALUE"""),"")</f>
        <v/>
      </c>
      <c r="E14121" s="2"/>
    </row>
    <row r="14122" spans="1:5" ht="13">
      <c r="A14122" s="8" t="str">
        <f ca="1">IFERROR(__xludf.DUMMYFUNCTION("""COMPUTED_VALUE"""),"Le Guillard, A.")</f>
        <v>Le Guillard, A.</v>
      </c>
      <c r="B14122" s="2"/>
      <c r="C14122" s="2"/>
      <c r="D14122" s="8" t="str">
        <f ca="1">IFERROR(__xludf.DUMMYFUNCTION("""COMPUTED_VALUE"""),"")</f>
        <v/>
      </c>
      <c r="E14122" s="2"/>
    </row>
    <row r="14123" spans="1:5" ht="13">
      <c r="A14123" s="8" t="str">
        <f ca="1">IFERROR(__xludf.DUMMYFUNCTION("""COMPUTED_VALUE"""),"Leboucher, Maurice")</f>
        <v>Leboucher, Maurice</v>
      </c>
      <c r="B14123" s="2"/>
      <c r="C14123" s="2"/>
      <c r="D14123" s="8" t="str">
        <f ca="1">IFERROR(__xludf.DUMMYFUNCTION("""COMPUTED_VALUE"""),"")</f>
        <v/>
      </c>
      <c r="E14123" s="2"/>
    </row>
    <row r="14124" spans="1:5" ht="13">
      <c r="A14124" s="8" t="str">
        <f ca="1">IFERROR(__xludf.DUMMYFUNCTION("""COMPUTED_VALUE"""),"Lees, Benjamin")</f>
        <v>Lees, Benjamin</v>
      </c>
      <c r="B14124" s="2"/>
      <c r="C14124" s="2"/>
      <c r="D14124" s="8" t="str">
        <f ca="1">IFERROR(__xludf.DUMMYFUNCTION("""COMPUTED_VALUE"""),"")</f>
        <v/>
      </c>
      <c r="E14124" s="2"/>
    </row>
    <row r="14125" spans="1:5" ht="13">
      <c r="A14125" s="8" t="str">
        <f ca="1">IFERROR(__xludf.DUMMYFUNCTION("""COMPUTED_VALUE"""),"Leeuw, Ton de")</f>
        <v>Leeuw, Ton de</v>
      </c>
      <c r="B14125" s="2"/>
      <c r="C14125" s="2"/>
      <c r="D14125" s="8" t="str">
        <f ca="1">IFERROR(__xludf.DUMMYFUNCTION("""COMPUTED_VALUE"""),"")</f>
        <v/>
      </c>
      <c r="E14125" s="2"/>
    </row>
    <row r="14126" spans="1:5" ht="13">
      <c r="A14126" s="8" t="str">
        <f ca="1">IFERROR(__xludf.DUMMYFUNCTION("""COMPUTED_VALUE"""),"Leginska, Ethel")</f>
        <v>Leginska, Ethel</v>
      </c>
      <c r="B14126" s="2"/>
      <c r="C14126" s="2"/>
      <c r="D14126" s="8" t="str">
        <f ca="1">IFERROR(__xludf.DUMMYFUNCTION("""COMPUTED_VALUE"""),"")</f>
        <v/>
      </c>
      <c r="E14126" s="2"/>
    </row>
    <row r="14127" spans="1:5" ht="13">
      <c r="A14127" s="8" t="str">
        <f ca="1">IFERROR(__xludf.DUMMYFUNCTION("""COMPUTED_VALUE"""),"Legley, Victor")</f>
        <v>Legley, Victor</v>
      </c>
      <c r="B14127" s="2"/>
      <c r="C14127" s="2"/>
      <c r="D14127" s="8" t="str">
        <f ca="1">IFERROR(__xludf.DUMMYFUNCTION("""COMPUTED_VALUE"""),"")</f>
        <v/>
      </c>
      <c r="E14127" s="2"/>
    </row>
    <row r="14128" spans="1:5" ht="13">
      <c r="A14128" s="8" t="str">
        <f ca="1">IFERROR(__xludf.DUMMYFUNCTION("""COMPUTED_VALUE"""),"Lehmann, Elizabeth")</f>
        <v>Lehmann, Elizabeth</v>
      </c>
      <c r="B14128" s="2"/>
      <c r="C14128" s="2"/>
      <c r="D14128" s="8" t="str">
        <f ca="1">IFERROR(__xludf.DUMMYFUNCTION("""COMPUTED_VALUE"""),"")</f>
        <v/>
      </c>
      <c r="E14128" s="2"/>
    </row>
    <row r="14129" spans="1:5" ht="13">
      <c r="A14129" s="8" t="str">
        <f ca="1">IFERROR(__xludf.DUMMYFUNCTION("""COMPUTED_VALUE"""),"Leibowitz, Rene")</f>
        <v>Leibowitz, Rene</v>
      </c>
      <c r="B14129" s="2"/>
      <c r="C14129" s="2"/>
      <c r="D14129" s="8" t="str">
        <f ca="1">IFERROR(__xludf.DUMMYFUNCTION("""COMPUTED_VALUE"""),"")</f>
        <v/>
      </c>
      <c r="E14129" s="2"/>
    </row>
    <row r="14130" spans="1:5" ht="13">
      <c r="A14130" s="8" t="str">
        <f ca="1">IFERROR(__xludf.DUMMYFUNCTION("""COMPUTED_VALUE"""),"Leich, Roland")</f>
        <v>Leich, Roland</v>
      </c>
      <c r="B14130" s="2"/>
      <c r="C14130" s="2"/>
      <c r="D14130" s="8" t="str">
        <f ca="1">IFERROR(__xludf.DUMMYFUNCTION("""COMPUTED_VALUE"""),"")</f>
        <v/>
      </c>
      <c r="E14130" s="2"/>
    </row>
    <row r="14131" spans="1:5" ht="13">
      <c r="A14131" s="8" t="str">
        <f ca="1">IFERROR(__xludf.DUMMYFUNCTION("""COMPUTED_VALUE"""),"Leighton, George")</f>
        <v>Leighton, George</v>
      </c>
      <c r="B14131" s="2"/>
      <c r="C14131" s="2"/>
      <c r="D14131" s="8" t="str">
        <f ca="1">IFERROR(__xludf.DUMMYFUNCTION("""COMPUTED_VALUE"""),"")</f>
        <v/>
      </c>
      <c r="E14131" s="2"/>
    </row>
    <row r="14132" spans="1:5" ht="13">
      <c r="A14132" s="8" t="str">
        <f ca="1">IFERROR(__xludf.DUMMYFUNCTION("""COMPUTED_VALUE"""),"Leitermeyer")</f>
        <v>Leitermeyer</v>
      </c>
      <c r="B14132" s="2"/>
      <c r="C14132" s="2"/>
      <c r="D14132" s="8" t="str">
        <f ca="1">IFERROR(__xludf.DUMMYFUNCTION("""COMPUTED_VALUE"""),"")</f>
        <v/>
      </c>
      <c r="E14132" s="2"/>
    </row>
    <row r="14133" spans="1:5" ht="13">
      <c r="A14133" s="8" t="str">
        <f ca="1">IFERROR(__xludf.DUMMYFUNCTION("""COMPUTED_VALUE"""),"Lendvai, Erwin")</f>
        <v>Lendvai, Erwin</v>
      </c>
      <c r="B14133" s="2"/>
      <c r="C14133" s="2"/>
      <c r="D14133" s="8" t="str">
        <f ca="1">IFERROR(__xludf.DUMMYFUNCTION("""COMPUTED_VALUE"""),"")</f>
        <v/>
      </c>
      <c r="E14133" s="2"/>
    </row>
    <row r="14134" spans="1:5" ht="13">
      <c r="A14134" s="8" t="str">
        <f ca="1">IFERROR(__xludf.DUMMYFUNCTION("""COMPUTED_VALUE"""),"Leplin, Emanuel")</f>
        <v>Leplin, Emanuel</v>
      </c>
      <c r="B14134" s="2"/>
      <c r="C14134" s="2"/>
      <c r="D14134" s="8" t="str">
        <f ca="1">IFERROR(__xludf.DUMMYFUNCTION("""COMPUTED_VALUE"""),"")</f>
        <v/>
      </c>
      <c r="E14134" s="2"/>
    </row>
    <row r="14135" spans="1:5" ht="13">
      <c r="A14135" s="8" t="str">
        <f ca="1">IFERROR(__xludf.DUMMYFUNCTION("""COMPUTED_VALUE"""),"Leps, Wassili")</f>
        <v>Leps, Wassili</v>
      </c>
      <c r="B14135" s="2"/>
      <c r="C14135" s="2"/>
      <c r="D14135" s="8" t="str">
        <f ca="1">IFERROR(__xludf.DUMMYFUNCTION("""COMPUTED_VALUE"""),"")</f>
        <v/>
      </c>
      <c r="E14135" s="2"/>
    </row>
    <row r="14136" spans="1:5" ht="13">
      <c r="A14136" s="8" t="str">
        <f ca="1">IFERROR(__xludf.DUMMYFUNCTION("""COMPUTED_VALUE"""),"Leroux, Xavier")</f>
        <v>Leroux, Xavier</v>
      </c>
      <c r="B14136" s="2"/>
      <c r="C14136" s="2"/>
      <c r="D14136" s="8" t="str">
        <f ca="1">IFERROR(__xludf.DUMMYFUNCTION("""COMPUTED_VALUE"""),"")</f>
        <v/>
      </c>
      <c r="E14136" s="2"/>
    </row>
    <row r="14137" spans="1:5" ht="13">
      <c r="A14137" s="8" t="str">
        <f ca="1">IFERROR(__xludf.DUMMYFUNCTION("""COMPUTED_VALUE"""),"Lessman, W. J. Otto")</f>
        <v>Lessman, W. J. Otto</v>
      </c>
      <c r="B14137" s="2"/>
      <c r="C14137" s="2"/>
      <c r="D14137" s="8" t="str">
        <f ca="1">IFERROR(__xludf.DUMMYFUNCTION("""COMPUTED_VALUE"""),"")</f>
        <v/>
      </c>
      <c r="E14137" s="2"/>
    </row>
    <row r="14138" spans="1:5" ht="13">
      <c r="A14138" s="8" t="str">
        <f ca="1">IFERROR(__xludf.DUMMYFUNCTION("""COMPUTED_VALUE"""),"Lesur, Daniel")</f>
        <v>Lesur, Daniel</v>
      </c>
      <c r="B14138" s="2"/>
      <c r="C14138" s="2"/>
      <c r="D14138" s="8" t="str">
        <f ca="1">IFERROR(__xludf.DUMMYFUNCTION("""COMPUTED_VALUE"""),"")</f>
        <v/>
      </c>
      <c r="E14138" s="2"/>
    </row>
    <row r="14139" spans="1:5" ht="13">
      <c r="A14139" s="8" t="str">
        <f ca="1">IFERROR(__xludf.DUMMYFUNCTION("""COMPUTED_VALUE"""),"Levant, Oscar")</f>
        <v>Levant, Oscar</v>
      </c>
      <c r="B14139" s="2"/>
      <c r="C14139" s="2"/>
      <c r="D14139" s="8" t="str">
        <f ca="1">IFERROR(__xludf.DUMMYFUNCTION("""COMPUTED_VALUE"""),"")</f>
        <v/>
      </c>
      <c r="E14139" s="2"/>
    </row>
    <row r="14140" spans="1:5" ht="13">
      <c r="A14140" s="8" t="str">
        <f ca="1">IFERROR(__xludf.DUMMYFUNCTION("""COMPUTED_VALUE"""),"Levidis, Dimitri")</f>
        <v>Levidis, Dimitri</v>
      </c>
      <c r="B14140" s="2"/>
      <c r="C14140" s="2"/>
      <c r="D14140" s="8" t="str">
        <f ca="1">IFERROR(__xludf.DUMMYFUNCTION("""COMPUTED_VALUE"""),"")</f>
        <v/>
      </c>
      <c r="E14140" s="2"/>
    </row>
    <row r="14141" spans="1:5" ht="13">
      <c r="A14141" s="8" t="str">
        <f ca="1">IFERROR(__xludf.DUMMYFUNCTION("""COMPUTED_VALUE"""),"Levy")</f>
        <v>Levy</v>
      </c>
      <c r="B14141" s="2"/>
      <c r="C14141" s="2"/>
      <c r="D14141" s="8" t="str">
        <f ca="1">IFERROR(__xludf.DUMMYFUNCTION("""COMPUTED_VALUE"""),"")</f>
        <v/>
      </c>
      <c r="E14141" s="2"/>
    </row>
    <row r="14142" spans="1:5" ht="13">
      <c r="A14142" s="8" t="str">
        <f ca="1">IFERROR(__xludf.DUMMYFUNCTION("""COMPUTED_VALUE"""),"Levy, Marvin David")</f>
        <v>Levy, Marvin David</v>
      </c>
      <c r="B14142" s="2"/>
      <c r="C14142" s="2"/>
      <c r="D14142" s="8" t="str">
        <f ca="1">IFERROR(__xludf.DUMMYFUNCTION("""COMPUTED_VALUE"""),"")</f>
        <v/>
      </c>
      <c r="E14142" s="2"/>
    </row>
    <row r="14143" spans="1:5" ht="13">
      <c r="A14143" s="8" t="str">
        <f ca="1">IFERROR(__xludf.DUMMYFUNCTION("""COMPUTED_VALUE"""),"Lewis, H. Merrils")</f>
        <v>Lewis, H. Merrils</v>
      </c>
      <c r="B14143" s="2"/>
      <c r="C14143" s="2"/>
      <c r="D14143" s="8" t="str">
        <f ca="1">IFERROR(__xludf.DUMMYFUNCTION("""COMPUTED_VALUE"""),"")</f>
        <v/>
      </c>
      <c r="E14143" s="2"/>
    </row>
    <row r="14144" spans="1:5" ht="13">
      <c r="A14144" s="8" t="str">
        <f ca="1">IFERROR(__xludf.DUMMYFUNCTION("""COMPUTED_VALUE"""),"Lewis, Robert Hall")</f>
        <v>Lewis, Robert Hall</v>
      </c>
      <c r="B14144" s="2"/>
      <c r="C14144" s="2"/>
      <c r="D14144" s="8" t="str">
        <f ca="1">IFERROR(__xludf.DUMMYFUNCTION("""COMPUTED_VALUE"""),"")</f>
        <v/>
      </c>
      <c r="E14144" s="2"/>
    </row>
    <row r="14145" spans="1:5" ht="13">
      <c r="A14145" s="8" t="str">
        <f ca="1">IFERROR(__xludf.DUMMYFUNCTION("""COMPUTED_VALUE"""),"Liebermann, Rolf")</f>
        <v>Liebermann, Rolf</v>
      </c>
      <c r="B14145" s="2"/>
      <c r="C14145" s="2"/>
      <c r="D14145" s="8" t="str">
        <f ca="1">IFERROR(__xludf.DUMMYFUNCTION("""COMPUTED_VALUE"""),"")</f>
        <v/>
      </c>
      <c r="E14145" s="2"/>
    </row>
    <row r="14146" spans="1:5" ht="13">
      <c r="A14146" s="8" t="str">
        <f ca="1">IFERROR(__xludf.DUMMYFUNCTION("""COMPUTED_VALUE"""),"Lieberson, S.A.")</f>
        <v>Lieberson, S.A.</v>
      </c>
      <c r="B14146" s="2"/>
      <c r="C14146" s="2"/>
      <c r="D14146" s="8" t="str">
        <f ca="1">IFERROR(__xludf.DUMMYFUNCTION("""COMPUTED_VALUE"""),"")</f>
        <v/>
      </c>
      <c r="E14146" s="2"/>
    </row>
    <row r="14147" spans="1:5" ht="13">
      <c r="A14147" s="8" t="str">
        <f ca="1">IFERROR(__xludf.DUMMYFUNCTION("""COMPUTED_VALUE"""),"Lindner, August")</f>
        <v>Lindner, August</v>
      </c>
      <c r="B14147" s="2"/>
      <c r="C14147" s="2"/>
      <c r="D14147" s="8" t="str">
        <f ca="1">IFERROR(__xludf.DUMMYFUNCTION("""COMPUTED_VALUE"""),"")</f>
        <v/>
      </c>
      <c r="E14147" s="2"/>
    </row>
    <row r="14148" spans="1:5" ht="13">
      <c r="A14148" s="8" t="str">
        <f ca="1">IFERROR(__xludf.DUMMYFUNCTION("""COMPUTED_VALUE"""),"Lindpaintner, Peter")</f>
        <v>Lindpaintner, Peter</v>
      </c>
      <c r="B14148" s="2"/>
      <c r="C14148" s="2"/>
      <c r="D14148" s="8" t="str">
        <f ca="1">IFERROR(__xludf.DUMMYFUNCTION("""COMPUTED_VALUE"""),"")</f>
        <v/>
      </c>
      <c r="E14148" s="2"/>
    </row>
    <row r="14149" spans="1:5" ht="13">
      <c r="A14149" s="8" t="str">
        <f ca="1">IFERROR(__xludf.DUMMYFUNCTION("""COMPUTED_VALUE"""),"Lipatti, Dinu")</f>
        <v>Lipatti, Dinu</v>
      </c>
      <c r="B14149" s="2"/>
      <c r="C14149" s="2"/>
      <c r="D14149" s="8" t="str">
        <f ca="1">IFERROR(__xludf.DUMMYFUNCTION("""COMPUTED_VALUE"""),"")</f>
        <v/>
      </c>
      <c r="E14149" s="2"/>
    </row>
    <row r="14150" spans="1:5" ht="13">
      <c r="A14150" s="8" t="str">
        <f ca="1">IFERROR(__xludf.DUMMYFUNCTION("""COMPUTED_VALUE"""),"Lipinsky, Karl")</f>
        <v>Lipinsky, Karl</v>
      </c>
      <c r="B14150" s="2"/>
      <c r="C14150" s="2"/>
      <c r="D14150" s="8" t="str">
        <f ca="1">IFERROR(__xludf.DUMMYFUNCTION("""COMPUTED_VALUE"""),"")</f>
        <v/>
      </c>
      <c r="E14150" s="2"/>
    </row>
    <row r="14151" spans="1:5" ht="13">
      <c r="A14151" s="8" t="str">
        <f ca="1">IFERROR(__xludf.DUMMYFUNCTION("""COMPUTED_VALUE"""),"Litolff, Henry")</f>
        <v>Litolff, Henry</v>
      </c>
      <c r="B14151" s="2"/>
      <c r="C14151" s="2"/>
      <c r="D14151" s="8" t="str">
        <f ca="1">IFERROR(__xludf.DUMMYFUNCTION("""COMPUTED_VALUE"""),"")</f>
        <v/>
      </c>
      <c r="E14151" s="2"/>
    </row>
    <row r="14152" spans="1:5" ht="13">
      <c r="A14152" s="8" t="str">
        <f ca="1">IFERROR(__xludf.DUMMYFUNCTION("""COMPUTED_VALUE"""),"Lobe, Johann C.")</f>
        <v>Lobe, Johann C.</v>
      </c>
      <c r="B14152" s="2"/>
      <c r="C14152" s="2"/>
      <c r="D14152" s="8" t="str">
        <f ca="1">IFERROR(__xludf.DUMMYFUNCTION("""COMPUTED_VALUE"""),"")</f>
        <v/>
      </c>
      <c r="E14152" s="2"/>
    </row>
    <row r="14153" spans="1:5" ht="13">
      <c r="A14153" s="8" t="str">
        <f ca="1">IFERROR(__xludf.DUMMYFUNCTION("""COMPUTED_VALUE"""),"Lockwood, Normand")</f>
        <v>Lockwood, Normand</v>
      </c>
      <c r="B14153" s="2"/>
      <c r="C14153" s="2"/>
      <c r="D14153" s="8" t="str">
        <f ca="1">IFERROR(__xludf.DUMMYFUNCTION("""COMPUTED_VALUE"""),"")</f>
        <v/>
      </c>
      <c r="E14153" s="2"/>
    </row>
    <row r="14154" spans="1:5" ht="13">
      <c r="A14154" s="8" t="str">
        <f ca="1">IFERROR(__xludf.DUMMYFUNCTION("""COMPUTED_VALUE"""),"Loder, George")</f>
        <v>Loder, George</v>
      </c>
      <c r="B14154" s="2"/>
      <c r="C14154" s="2"/>
      <c r="D14154" s="8" t="str">
        <f ca="1">IFERROR(__xludf.DUMMYFUNCTION("""COMPUTED_VALUE"""),"")</f>
        <v/>
      </c>
      <c r="E14154" s="2"/>
    </row>
    <row r="14155" spans="1:5" ht="13">
      <c r="A14155" s="8" t="str">
        <f ca="1">IFERROR(__xludf.DUMMYFUNCTION("""COMPUTED_VALUE"""),"Lorca, Federico G.")</f>
        <v>Lorca, Federico G.</v>
      </c>
      <c r="B14155" s="2"/>
      <c r="C14155" s="2"/>
      <c r="D14155" s="8" t="str">
        <f ca="1">IFERROR(__xludf.DUMMYFUNCTION("""COMPUTED_VALUE"""),"")</f>
        <v/>
      </c>
      <c r="E14155" s="2"/>
    </row>
    <row r="14156" spans="1:5" ht="13">
      <c r="A14156" s="8" t="str">
        <f ca="1">IFERROR(__xludf.DUMMYFUNCTION("""COMPUTED_VALUE"""),"Lorenziti, Luigi")</f>
        <v>Lorenziti, Luigi</v>
      </c>
      <c r="B14156" s="2"/>
      <c r="C14156" s="2"/>
      <c r="D14156" s="8" t="str">
        <f ca="1">IFERROR(__xludf.DUMMYFUNCTION("""COMPUTED_VALUE"""),"")</f>
        <v/>
      </c>
      <c r="E14156" s="2"/>
    </row>
    <row r="14157" spans="1:5" ht="13">
      <c r="A14157" s="8" t="str">
        <f ca="1">IFERROR(__xludf.DUMMYFUNCTION("""COMPUTED_VALUE"""),"Lortzing, Gustav A.")</f>
        <v>Lortzing, Gustav A.</v>
      </c>
      <c r="B14157" s="2"/>
      <c r="C14157" s="2"/>
      <c r="D14157" s="8" t="str">
        <f ca="1">IFERROR(__xludf.DUMMYFUNCTION("""COMPUTED_VALUE"""),"")</f>
        <v/>
      </c>
      <c r="E14157" s="2"/>
    </row>
    <row r="14158" spans="1:5" ht="13">
      <c r="A14158" s="8" t="str">
        <f ca="1">IFERROR(__xludf.DUMMYFUNCTION("""COMPUTED_VALUE"""),"Loureglio, Fleuthere")</f>
        <v>Loureglio, Fleuthere</v>
      </c>
      <c r="B14158" s="2"/>
      <c r="C14158" s="2"/>
      <c r="D14158" s="8" t="str">
        <f ca="1">IFERROR(__xludf.DUMMYFUNCTION("""COMPUTED_VALUE"""),"")</f>
        <v/>
      </c>
      <c r="E14158" s="2"/>
    </row>
    <row r="14159" spans="1:5" ht="13">
      <c r="A14159" s="8" t="str">
        <f ca="1">IFERROR(__xludf.DUMMYFUNCTION("""COMPUTED_VALUE"""),"Louri・ Arthur")</f>
        <v>Louri・ Arthur</v>
      </c>
      <c r="B14159" s="2"/>
      <c r="C14159" s="2"/>
      <c r="D14159" s="8" t="str">
        <f ca="1">IFERROR(__xludf.DUMMYFUNCTION("""COMPUTED_VALUE"""),"")</f>
        <v/>
      </c>
      <c r="E14159" s="2"/>
    </row>
    <row r="14160" spans="1:5" ht="13">
      <c r="A14160" s="8" t="str">
        <f ca="1">IFERROR(__xludf.DUMMYFUNCTION("""COMPUTED_VALUE"""),"Lualdi, Adriano")</f>
        <v>Lualdi, Adriano</v>
      </c>
      <c r="B14160" s="2"/>
      <c r="C14160" s="2"/>
      <c r="D14160" s="8" t="str">
        <f ca="1">IFERROR(__xludf.DUMMYFUNCTION("""COMPUTED_VALUE"""),"")</f>
        <v/>
      </c>
      <c r="E14160" s="2"/>
    </row>
    <row r="14161" spans="1:5" ht="13">
      <c r="A14161" s="8" t="str">
        <f ca="1">IFERROR(__xludf.DUMMYFUNCTION("""COMPUTED_VALUE"""),"Lucas, Clarence")</f>
        <v>Lucas, Clarence</v>
      </c>
      <c r="B14161" s="2"/>
      <c r="C14161" s="2"/>
      <c r="D14161" s="8" t="str">
        <f ca="1">IFERROR(__xludf.DUMMYFUNCTION("""COMPUTED_VALUE"""),"")</f>
        <v/>
      </c>
      <c r="E14161" s="2"/>
    </row>
    <row r="14162" spans="1:5" ht="13">
      <c r="A14162" s="8" t="str">
        <f ca="1">IFERROR(__xludf.DUMMYFUNCTION("""COMPUTED_VALUE"""),"Luckhardt, Hilman")</f>
        <v>Luckhardt, Hilman</v>
      </c>
      <c r="B14162" s="2"/>
      <c r="C14162" s="2"/>
      <c r="D14162" s="8" t="str">
        <f ca="1">IFERROR(__xludf.DUMMYFUNCTION("""COMPUTED_VALUE"""),"")</f>
        <v/>
      </c>
      <c r="E14162" s="2"/>
    </row>
    <row r="14163" spans="1:5" ht="13">
      <c r="A14163" s="8" t="str">
        <f ca="1">IFERROR(__xludf.DUMMYFUNCTION("""COMPUTED_VALUE"""),"Ludlow, Ben")</f>
        <v>Ludlow, Ben</v>
      </c>
      <c r="B14163" s="2"/>
      <c r="C14163" s="2"/>
      <c r="D14163" s="8" t="str">
        <f ca="1">IFERROR(__xludf.DUMMYFUNCTION("""COMPUTED_VALUE"""),"")</f>
        <v/>
      </c>
      <c r="E14163" s="2"/>
    </row>
    <row r="14164" spans="1:5" ht="13">
      <c r="A14164" s="8" t="str">
        <f ca="1">IFERROR(__xludf.DUMMYFUNCTION("""COMPUTED_VALUE"""),"Luebeck, Ernest")</f>
        <v>Luebeck, Ernest</v>
      </c>
      <c r="B14164" s="2"/>
      <c r="C14164" s="2"/>
      <c r="D14164" s="8" t="str">
        <f ca="1">IFERROR(__xludf.DUMMYFUNCTION("""COMPUTED_VALUE"""),"")</f>
        <v/>
      </c>
      <c r="E14164" s="2"/>
    </row>
    <row r="14165" spans="1:5" ht="13">
      <c r="A14165" s="8" t="str">
        <f ca="1">IFERROR(__xludf.DUMMYFUNCTION("""COMPUTED_VALUE"""),"Luigini, Alexander")</f>
        <v>Luigini, Alexander</v>
      </c>
      <c r="B14165" s="2"/>
      <c r="C14165" s="2"/>
      <c r="D14165" s="8" t="str">
        <f ca="1">IFERROR(__xludf.DUMMYFUNCTION("""COMPUTED_VALUE"""),"")</f>
        <v/>
      </c>
      <c r="E14165" s="2"/>
    </row>
    <row r="14166" spans="1:5" ht="13">
      <c r="A14166" s="8" t="str">
        <f ca="1">IFERROR(__xludf.DUMMYFUNCTION("""COMPUTED_VALUE"""),"Lynn, George")</f>
        <v>Lynn, George</v>
      </c>
      <c r="B14166" s="2"/>
      <c r="C14166" s="2"/>
      <c r="D14166" s="8" t="str">
        <f ca="1">IFERROR(__xludf.DUMMYFUNCTION("""COMPUTED_VALUE"""),"")</f>
        <v/>
      </c>
      <c r="E14166" s="2"/>
    </row>
    <row r="14167" spans="1:5" ht="13">
      <c r="A14167" s="8" t="str">
        <f ca="1">IFERROR(__xludf.DUMMYFUNCTION("""COMPUTED_VALUE"""),"Maas, Louis")</f>
        <v>Maas, Louis</v>
      </c>
      <c r="B14167" s="2"/>
      <c r="C14167" s="2"/>
      <c r="D14167" s="8" t="str">
        <f ca="1">IFERROR(__xludf.DUMMYFUNCTION("""COMPUTED_VALUE"""),"")</f>
        <v/>
      </c>
      <c r="E14167" s="2"/>
    </row>
    <row r="14168" spans="1:5" ht="13">
      <c r="A14168" s="8" t="str">
        <f ca="1">IFERROR(__xludf.DUMMYFUNCTION("""COMPUTED_VALUE"""),"Machedo, Augusto")</f>
        <v>Machedo, Augusto</v>
      </c>
      <c r="B14168" s="2"/>
      <c r="C14168" s="2"/>
      <c r="D14168" s="8" t="str">
        <f ca="1">IFERROR(__xludf.DUMMYFUNCTION("""COMPUTED_VALUE"""),"")</f>
        <v/>
      </c>
      <c r="E14168" s="2"/>
    </row>
    <row r="14169" spans="1:5" ht="13">
      <c r="A14169" s="8" t="str">
        <f ca="1">IFERROR(__xludf.DUMMYFUNCTION("""COMPUTED_VALUE"""),"Macinnis, Donald")</f>
        <v>Macinnis, Donald</v>
      </c>
      <c r="B14169" s="2"/>
      <c r="C14169" s="2"/>
      <c r="D14169" s="8" t="str">
        <f ca="1">IFERROR(__xludf.DUMMYFUNCTION("""COMPUTED_VALUE"""),"")</f>
        <v/>
      </c>
      <c r="E14169" s="2"/>
    </row>
    <row r="14170" spans="1:5" ht="13">
      <c r="A14170" s="8" t="str">
        <f ca="1">IFERROR(__xludf.DUMMYFUNCTION("""COMPUTED_VALUE"""),"MacKenzie, Sir Alex C.")</f>
        <v>MacKenzie, Sir Alex C.</v>
      </c>
      <c r="B14170" s="2"/>
      <c r="C14170" s="2"/>
      <c r="D14170" s="8" t="str">
        <f ca="1">IFERROR(__xludf.DUMMYFUNCTION("""COMPUTED_VALUE"""),"")</f>
        <v/>
      </c>
      <c r="E14170" s="2"/>
    </row>
    <row r="14171" spans="1:5" ht="13">
      <c r="A14171" s="8" t="str">
        <f ca="1">IFERROR(__xludf.DUMMYFUNCTION("""COMPUTED_VALUE"""),"MacMillan, Sir Ernest")</f>
        <v>MacMillan, Sir Ernest</v>
      </c>
      <c r="B14171" s="2"/>
      <c r="C14171" s="2"/>
      <c r="D14171" s="8" t="str">
        <f ca="1">IFERROR(__xludf.DUMMYFUNCTION("""COMPUTED_VALUE"""),"")</f>
        <v/>
      </c>
      <c r="E14171" s="2"/>
    </row>
    <row r="14172" spans="1:5" ht="13">
      <c r="A14172" s="8" t="str">
        <f ca="1">IFERROR(__xludf.DUMMYFUNCTION("""COMPUTED_VALUE"""),"Maderna, Bruno")</f>
        <v>Maderna, Bruno</v>
      </c>
      <c r="B14172" s="2"/>
      <c r="C14172" s="2"/>
      <c r="D14172" s="8" t="str">
        <f ca="1">IFERROR(__xludf.DUMMYFUNCTION("""COMPUTED_VALUE"""),"")</f>
        <v/>
      </c>
      <c r="E14172" s="2"/>
    </row>
    <row r="14173" spans="1:5" ht="13">
      <c r="A14173" s="8" t="str">
        <f ca="1">IFERROR(__xludf.DUMMYFUNCTION("""COMPUTED_VALUE"""),"Madetoja, Leevi")</f>
        <v>Madetoja, Leevi</v>
      </c>
      <c r="B14173" s="2"/>
      <c r="C14173" s="2"/>
      <c r="D14173" s="8" t="str">
        <f ca="1">IFERROR(__xludf.DUMMYFUNCTION("""COMPUTED_VALUE"""),"")</f>
        <v/>
      </c>
      <c r="E14173" s="2"/>
    </row>
    <row r="14174" spans="1:5" ht="13">
      <c r="A14174" s="8" t="str">
        <f ca="1">IFERROR(__xludf.DUMMYFUNCTION("""COMPUTED_VALUE"""),"Maekelberghe, August")</f>
        <v>Maekelberghe, August</v>
      </c>
      <c r="B14174" s="2"/>
      <c r="C14174" s="2"/>
      <c r="D14174" s="8" t="str">
        <f ca="1">IFERROR(__xludf.DUMMYFUNCTION("""COMPUTED_VALUE"""),"")</f>
        <v/>
      </c>
      <c r="E14174" s="2"/>
    </row>
    <row r="14175" spans="1:5" ht="13">
      <c r="A14175" s="8" t="str">
        <f ca="1">IFERROR(__xludf.DUMMYFUNCTION("""COMPUTED_VALUE"""),"Maillart, Aim・Louis")</f>
        <v>Maillart, Aim・Louis</v>
      </c>
      <c r="B14175" s="2"/>
      <c r="C14175" s="2"/>
      <c r="D14175" s="8" t="str">
        <f ca="1">IFERROR(__xludf.DUMMYFUNCTION("""COMPUTED_VALUE"""),"")</f>
        <v/>
      </c>
      <c r="E14175" s="2"/>
    </row>
    <row r="14176" spans="1:5" ht="13">
      <c r="A14176" s="8" t="str">
        <f ca="1">IFERROR(__xludf.DUMMYFUNCTION("""COMPUTED_VALUE"""),"Malats, Josquin")</f>
        <v>Malats, Josquin</v>
      </c>
      <c r="B14176" s="2"/>
      <c r="C14176" s="2"/>
      <c r="D14176" s="8" t="str">
        <f ca="1">IFERROR(__xludf.DUMMYFUNCTION("""COMPUTED_VALUE"""),"")</f>
        <v/>
      </c>
      <c r="E14176" s="2"/>
    </row>
    <row r="14177" spans="1:5" ht="13">
      <c r="A14177" s="8" t="str">
        <f ca="1">IFERROR(__xludf.DUMMYFUNCTION("""COMPUTED_VALUE"""),"Malotte, Albert")</f>
        <v>Malotte, Albert</v>
      </c>
      <c r="B14177" s="2"/>
      <c r="C14177" s="2"/>
      <c r="D14177" s="8" t="str">
        <f ca="1">IFERROR(__xludf.DUMMYFUNCTION("""COMPUTED_VALUE"""),"")</f>
        <v/>
      </c>
      <c r="E14177" s="2"/>
    </row>
    <row r="14178" spans="1:5" ht="13">
      <c r="A14178" s="8" t="str">
        <f ca="1">IFERROR(__xludf.DUMMYFUNCTION("""COMPUTED_VALUE"""),"Mancinelli, Luigi")</f>
        <v>Mancinelli, Luigi</v>
      </c>
      <c r="B14178" s="2"/>
      <c r="C14178" s="2"/>
      <c r="D14178" s="8" t="str">
        <f ca="1">IFERROR(__xludf.DUMMYFUNCTION("""COMPUTED_VALUE"""),"")</f>
        <v/>
      </c>
      <c r="E14178" s="2"/>
    </row>
    <row r="14179" spans="1:5" ht="13">
      <c r="A14179" s="8" t="str">
        <f ca="1">IFERROR(__xludf.DUMMYFUNCTION("""COMPUTED_VALUE"""),"Manczyk, Fritz")</f>
        <v>Manczyk, Fritz</v>
      </c>
      <c r="B14179" s="2"/>
      <c r="C14179" s="2"/>
      <c r="D14179" s="8" t="str">
        <f ca="1">IFERROR(__xludf.DUMMYFUNCTION("""COMPUTED_VALUE"""),"")</f>
        <v/>
      </c>
      <c r="E14179" s="2"/>
    </row>
    <row r="14180" spans="1:5" ht="13">
      <c r="A14180" s="8" t="str">
        <f ca="1">IFERROR(__xludf.DUMMYFUNCTION("""COMPUTED_VALUE"""),"Mandl, Richard")</f>
        <v>Mandl, Richard</v>
      </c>
      <c r="B14180" s="2"/>
      <c r="C14180" s="2"/>
      <c r="D14180" s="8" t="str">
        <f ca="1">IFERROR(__xludf.DUMMYFUNCTION("""COMPUTED_VALUE"""),"")</f>
        <v/>
      </c>
      <c r="E14180" s="2"/>
    </row>
    <row r="14181" spans="1:5" ht="13">
      <c r="A14181" s="8" t="str">
        <f ca="1">IFERROR(__xludf.DUMMYFUNCTION("""COMPUTED_VALUE"""),"Manheim, Ernest")</f>
        <v>Manheim, Ernest</v>
      </c>
      <c r="B14181" s="2"/>
      <c r="C14181" s="2"/>
      <c r="D14181" s="8" t="str">
        <f ca="1">IFERROR(__xludf.DUMMYFUNCTION("""COMPUTED_VALUE"""),"")</f>
        <v/>
      </c>
      <c r="E14181" s="2"/>
    </row>
    <row r="14182" spans="1:5" ht="13">
      <c r="A14182" s="8" t="str">
        <f ca="1">IFERROR(__xludf.DUMMYFUNCTION("""COMPUTED_VALUE"""),"Mann, Robert")</f>
        <v>Mann, Robert</v>
      </c>
      <c r="B14182" s="2"/>
      <c r="C14182" s="2"/>
      <c r="D14182" s="8" t="str">
        <f ca="1">IFERROR(__xludf.DUMMYFUNCTION("""COMPUTED_VALUE"""),"")</f>
        <v/>
      </c>
      <c r="E14182" s="2"/>
    </row>
    <row r="14183" spans="1:5" ht="13">
      <c r="A14183" s="8" t="str">
        <f ca="1">IFERROR(__xludf.DUMMYFUNCTION("""COMPUTED_VALUE"""),"Manuel, Roland")</f>
        <v>Manuel, Roland</v>
      </c>
      <c r="B14183" s="2"/>
      <c r="C14183" s="2"/>
      <c r="D14183" s="8" t="str">
        <f ca="1">IFERROR(__xludf.DUMMYFUNCTION("""COMPUTED_VALUE"""),"")</f>
        <v/>
      </c>
      <c r="E14183" s="2"/>
    </row>
    <row r="14184" spans="1:5" ht="13">
      <c r="A14184" s="8" t="str">
        <f ca="1">IFERROR(__xludf.DUMMYFUNCTION("""COMPUTED_VALUE"""),"Maquarre, Andre")</f>
        <v>Maquarre, Andre</v>
      </c>
      <c r="B14184" s="2"/>
      <c r="C14184" s="2"/>
      <c r="D14184" s="8" t="str">
        <f ca="1">IFERROR(__xludf.DUMMYFUNCTION("""COMPUTED_VALUE"""),"")</f>
        <v/>
      </c>
      <c r="E14184" s="2"/>
    </row>
    <row r="14185" spans="1:5" ht="13">
      <c r="A14185" s="8" t="str">
        <f ca="1">IFERROR(__xludf.DUMMYFUNCTION("""COMPUTED_VALUE"""),"Marguma, Pasquale")</f>
        <v>Marguma, Pasquale</v>
      </c>
      <c r="B14185" s="2"/>
      <c r="C14185" s="2"/>
      <c r="D14185" s="8" t="str">
        <f ca="1">IFERROR(__xludf.DUMMYFUNCTION("""COMPUTED_VALUE"""),"")</f>
        <v/>
      </c>
      <c r="E14185" s="2"/>
    </row>
    <row r="14186" spans="1:5" ht="13">
      <c r="A14186" s="8" t="str">
        <f ca="1">IFERROR(__xludf.DUMMYFUNCTION("""COMPUTED_VALUE"""),"Markevitch, Igor")</f>
        <v>Markevitch, Igor</v>
      </c>
      <c r="B14186" s="2"/>
      <c r="C14186" s="2"/>
      <c r="D14186" s="8" t="str">
        <f ca="1">IFERROR(__xludf.DUMMYFUNCTION("""COMPUTED_VALUE"""),"")</f>
        <v/>
      </c>
      <c r="E14186" s="2"/>
    </row>
    <row r="14187" spans="1:5" ht="13">
      <c r="A14187" s="8" t="str">
        <f ca="1">IFERROR(__xludf.DUMMYFUNCTION("""COMPUTED_VALUE"""),"Marschner, Heinrich")</f>
        <v>Marschner, Heinrich</v>
      </c>
      <c r="B14187" s="2"/>
      <c r="C14187" s="2"/>
      <c r="D14187" s="8" t="str">
        <f ca="1">IFERROR(__xludf.DUMMYFUNCTION("""COMPUTED_VALUE"""),"")</f>
        <v/>
      </c>
      <c r="E14187" s="2"/>
    </row>
    <row r="14188" spans="1:5" ht="13">
      <c r="A14188" s="8" t="str">
        <f ca="1">IFERROR(__xludf.DUMMYFUNCTION("""COMPUTED_VALUE"""),"Martelli, Henri")</f>
        <v>Martelli, Henri</v>
      </c>
      <c r="B14188" s="2"/>
      <c r="C14188" s="2"/>
      <c r="D14188" s="8" t="str">
        <f ca="1">IFERROR(__xludf.DUMMYFUNCTION("""COMPUTED_VALUE"""),"")</f>
        <v/>
      </c>
      <c r="E14188" s="2"/>
    </row>
    <row r="14189" spans="1:5" ht="13">
      <c r="A14189" s="8" t="str">
        <f ca="1">IFERROR(__xludf.DUMMYFUNCTION("""COMPUTED_VALUE"""),"Martinez, Ambrosio")</f>
        <v>Martinez, Ambrosio</v>
      </c>
      <c r="B14189" s="2"/>
      <c r="C14189" s="2"/>
      <c r="D14189" s="8" t="str">
        <f ca="1">IFERROR(__xludf.DUMMYFUNCTION("""COMPUTED_VALUE"""),"")</f>
        <v/>
      </c>
      <c r="E14189" s="2"/>
    </row>
    <row r="14190" spans="1:5" ht="13">
      <c r="A14190" s="8" t="str">
        <f ca="1">IFERROR(__xludf.DUMMYFUNCTION("""COMPUTED_VALUE"""),"Martini, Jean Paul")</f>
        <v>Martini, Jean Paul</v>
      </c>
      <c r="B14190" s="2"/>
      <c r="C14190" s="2"/>
      <c r="D14190" s="8" t="str">
        <f ca="1">IFERROR(__xludf.DUMMYFUNCTION("""COMPUTED_VALUE"""),"")</f>
        <v/>
      </c>
      <c r="E14190" s="2"/>
    </row>
    <row r="14191" spans="1:5" ht="13">
      <c r="A14191" s="8" t="str">
        <f ca="1">IFERROR(__xludf.DUMMYFUNCTION("""COMPUTED_VALUE"""),"Martinon, Jean")</f>
        <v>Martinon, Jean</v>
      </c>
      <c r="B14191" s="2"/>
      <c r="C14191" s="2"/>
      <c r="D14191" s="8" t="str">
        <f ca="1">IFERROR(__xludf.DUMMYFUNCTION("""COMPUTED_VALUE"""),"")</f>
        <v/>
      </c>
      <c r="E14191" s="2"/>
    </row>
    <row r="14192" spans="1:5" ht="13">
      <c r="A14192" s="8" t="str">
        <f ca="1">IFERROR(__xludf.DUMMYFUNCTION("""COMPUTED_VALUE"""),"Marx, Adolph B.")</f>
        <v>Marx, Adolph B.</v>
      </c>
      <c r="B14192" s="2"/>
      <c r="C14192" s="2"/>
      <c r="D14192" s="8" t="str">
        <f ca="1">IFERROR(__xludf.DUMMYFUNCTION("""COMPUTED_VALUE"""),"")</f>
        <v/>
      </c>
      <c r="E14192" s="2"/>
    </row>
    <row r="14193" spans="1:5" ht="13">
      <c r="A14193" s="8" t="str">
        <f ca="1">IFERROR(__xludf.DUMMYFUNCTION("""COMPUTED_VALUE"""),"Marx, Burle Walter")</f>
        <v>Marx, Burle Walter</v>
      </c>
      <c r="B14193" s="2"/>
      <c r="C14193" s="2"/>
      <c r="D14193" s="8" t="str">
        <f ca="1">IFERROR(__xludf.DUMMYFUNCTION("""COMPUTED_VALUE"""),"")</f>
        <v/>
      </c>
      <c r="E14193" s="2"/>
    </row>
    <row r="14194" spans="1:5" ht="13">
      <c r="A14194" s="8" t="str">
        <f ca="1">IFERROR(__xludf.DUMMYFUNCTION("""COMPUTED_VALUE"""),"Masetti, Enzo")</f>
        <v>Masetti, Enzo</v>
      </c>
      <c r="B14194" s="2"/>
      <c r="C14194" s="2"/>
      <c r="D14194" s="8" t="str">
        <f ca="1">IFERROR(__xludf.DUMMYFUNCTION("""COMPUTED_VALUE"""),"")</f>
        <v/>
      </c>
      <c r="E14194" s="2"/>
    </row>
    <row r="14195" spans="1:5" ht="13">
      <c r="A14195" s="8" t="str">
        <f ca="1">IFERROR(__xludf.DUMMYFUNCTION("""COMPUTED_VALUE"""),"Mason, Daniel G.")</f>
        <v>Mason, Daniel G.</v>
      </c>
      <c r="B14195" s="2"/>
      <c r="C14195" s="2"/>
      <c r="D14195" s="8" t="str">
        <f ca="1">IFERROR(__xludf.DUMMYFUNCTION("""COMPUTED_VALUE"""),"")</f>
        <v/>
      </c>
      <c r="E14195" s="2"/>
    </row>
    <row r="14196" spans="1:5" ht="13">
      <c r="A14196" s="8" t="str">
        <f ca="1">IFERROR(__xludf.DUMMYFUNCTION("""COMPUTED_VALUE"""),"Mason, Stuart")</f>
        <v>Mason, Stuart</v>
      </c>
      <c r="B14196" s="2"/>
      <c r="C14196" s="2"/>
      <c r="D14196" s="8" t="str">
        <f ca="1">IFERROR(__xludf.DUMMYFUNCTION("""COMPUTED_VALUE"""),"")</f>
        <v/>
      </c>
      <c r="E14196" s="2"/>
    </row>
    <row r="14197" spans="1:5" ht="13">
      <c r="A14197" s="8" t="str">
        <f ca="1">IFERROR(__xludf.DUMMYFUNCTION("""COMPUTED_VALUE"""),"Mason, William")</f>
        <v>Mason, William</v>
      </c>
      <c r="B14197" s="2"/>
      <c r="C14197" s="2"/>
      <c r="D14197" s="8" t="str">
        <f ca="1">IFERROR(__xludf.DUMMYFUNCTION("""COMPUTED_VALUE"""),"")</f>
        <v/>
      </c>
      <c r="E14197" s="2"/>
    </row>
    <row r="14198" spans="1:5" ht="13">
      <c r="A14198" s="8" t="str">
        <f ca="1">IFERROR(__xludf.DUMMYFUNCTION("""COMPUTED_VALUE"""),"Matthay, Tobias")</f>
        <v>Matthay, Tobias</v>
      </c>
      <c r="B14198" s="2"/>
      <c r="C14198" s="2"/>
      <c r="D14198" s="8" t="str">
        <f ca="1">IFERROR(__xludf.DUMMYFUNCTION("""COMPUTED_VALUE"""),"")</f>
        <v/>
      </c>
      <c r="E14198" s="2"/>
    </row>
    <row r="14199" spans="1:5" ht="13">
      <c r="A14199" s="8" t="str">
        <f ca="1">IFERROR(__xludf.DUMMYFUNCTION("""COMPUTED_VALUE"""),"Matzka, George")</f>
        <v>Matzka, George</v>
      </c>
      <c r="B14199" s="2"/>
      <c r="C14199" s="2"/>
      <c r="D14199" s="8" t="str">
        <f ca="1">IFERROR(__xludf.DUMMYFUNCTION("""COMPUTED_VALUE"""),"")</f>
        <v/>
      </c>
      <c r="E14199" s="2"/>
    </row>
    <row r="14200" spans="1:5" ht="13">
      <c r="A14200" s="8" t="str">
        <f ca="1">IFERROR(__xludf.DUMMYFUNCTION("""COMPUTED_VALUE"""),"Maurer, Gustav")</f>
        <v>Maurer, Gustav</v>
      </c>
      <c r="B14200" s="2"/>
      <c r="C14200" s="2"/>
      <c r="D14200" s="8" t="str">
        <f ca="1">IFERROR(__xludf.DUMMYFUNCTION("""COMPUTED_VALUE"""),"")</f>
        <v/>
      </c>
      <c r="E14200" s="2"/>
    </row>
    <row r="14201" spans="1:5" ht="13">
      <c r="A14201" s="8" t="str">
        <f ca="1">IFERROR(__xludf.DUMMYFUNCTION("""COMPUTED_VALUE"""),"Maurer, Ludwig W.")</f>
        <v>Maurer, Ludwig W.</v>
      </c>
      <c r="B14201" s="2"/>
      <c r="C14201" s="2"/>
      <c r="D14201" s="8" t="str">
        <f ca="1">IFERROR(__xludf.DUMMYFUNCTION("""COMPUTED_VALUE"""),"")</f>
        <v/>
      </c>
      <c r="E14201" s="2"/>
    </row>
    <row r="14202" spans="1:5" ht="13">
      <c r="A14202" s="8" t="str">
        <f ca="1">IFERROR(__xludf.DUMMYFUNCTION("""COMPUTED_VALUE"""),"Maurice, Pierre")</f>
        <v>Maurice, Pierre</v>
      </c>
      <c r="B14202" s="2"/>
      <c r="C14202" s="2"/>
      <c r="D14202" s="8" t="str">
        <f ca="1">IFERROR(__xludf.DUMMYFUNCTION("""COMPUTED_VALUE"""),"")</f>
        <v/>
      </c>
      <c r="E14202" s="2"/>
    </row>
    <row r="14203" spans="1:5" ht="13">
      <c r="A14203" s="8" t="str">
        <f ca="1">IFERROR(__xludf.DUMMYFUNCTION("""COMPUTED_VALUE"""),"Maxwell, Brooke &amp; Richmond, Jacob")</f>
        <v>Maxwell, Brooke &amp; Richmond, Jacob</v>
      </c>
      <c r="B14203" s="2"/>
      <c r="C14203" s="2"/>
      <c r="D14203" s="8" t="str">
        <f ca="1">IFERROR(__xludf.DUMMYFUNCTION("""COMPUTED_VALUE"""),"")</f>
        <v/>
      </c>
      <c r="E14203" s="2"/>
    </row>
    <row r="14204" spans="1:5" ht="13">
      <c r="A14204" s="8" t="str">
        <f ca="1">IFERROR(__xludf.DUMMYFUNCTION("""COMPUTED_VALUE"""),"Mayer, William")</f>
        <v>Mayer, William</v>
      </c>
      <c r="B14204" s="2"/>
      <c r="C14204" s="2"/>
      <c r="D14204" s="8" t="str">
        <f ca="1">IFERROR(__xludf.DUMMYFUNCTION("""COMPUTED_VALUE"""),"")</f>
        <v/>
      </c>
      <c r="E14204" s="2"/>
    </row>
    <row r="14205" spans="1:5" ht="13">
      <c r="A14205" s="8" t="str">
        <f ca="1">IFERROR(__xludf.DUMMYFUNCTION("""COMPUTED_VALUE"""),"Mayseder, Joseph")</f>
        <v>Mayseder, Joseph</v>
      </c>
      <c r="B14205" s="2"/>
      <c r="C14205" s="2"/>
      <c r="D14205" s="8" t="str">
        <f ca="1">IFERROR(__xludf.DUMMYFUNCTION("""COMPUTED_VALUE"""),"")</f>
        <v/>
      </c>
      <c r="E14205" s="2"/>
    </row>
    <row r="14206" spans="1:5" ht="13">
      <c r="A14206" s="8" t="str">
        <f ca="1">IFERROR(__xludf.DUMMYFUNCTION("""COMPUTED_VALUE"""),"Mayuzumi, Toshiro")</f>
        <v>Mayuzumi, Toshiro</v>
      </c>
      <c r="B14206" s="2"/>
      <c r="C14206" s="2"/>
      <c r="D14206" s="8" t="str">
        <f ca="1">IFERROR(__xludf.DUMMYFUNCTION("""COMPUTED_VALUE"""),"")</f>
        <v/>
      </c>
      <c r="E14206" s="2"/>
    </row>
    <row r="14207" spans="1:5" ht="13">
      <c r="A14207" s="8" t="str">
        <f ca="1">IFERROR(__xludf.DUMMYFUNCTION("""COMPUTED_VALUE"""),"McBride, Robert G.")</f>
        <v>McBride, Robert G.</v>
      </c>
      <c r="B14207" s="2"/>
      <c r="C14207" s="2"/>
      <c r="D14207" s="8" t="str">
        <f ca="1">IFERROR(__xludf.DUMMYFUNCTION("""COMPUTED_VALUE"""),"")</f>
        <v/>
      </c>
      <c r="E14207" s="2"/>
    </row>
    <row r="14208" spans="1:5" ht="13">
      <c r="A14208" s="8" t="str">
        <f ca="1">IFERROR(__xludf.DUMMYFUNCTION("""COMPUTED_VALUE"""),"McCollin, Frances")</f>
        <v>McCollin, Frances</v>
      </c>
      <c r="B14208" s="2"/>
      <c r="C14208" s="2"/>
      <c r="D14208" s="8" t="str">
        <f ca="1">IFERROR(__xludf.DUMMYFUNCTION("""COMPUTED_VALUE"""),"")</f>
        <v/>
      </c>
      <c r="E14208" s="2"/>
    </row>
    <row r="14209" spans="1:5" ht="13">
      <c r="A14209" s="8" t="str">
        <f ca="1">IFERROR(__xludf.DUMMYFUNCTION("""COMPUTED_VALUE"""),"McColloh, Byron")</f>
        <v>McColloh, Byron</v>
      </c>
      <c r="B14209" s="2"/>
      <c r="C14209" s="2"/>
      <c r="D14209" s="8" t="str">
        <f ca="1">IFERROR(__xludf.DUMMYFUNCTION("""COMPUTED_VALUE"""),"")</f>
        <v/>
      </c>
      <c r="E14209" s="2"/>
    </row>
    <row r="14210" spans="1:5" ht="13">
      <c r="A14210" s="8" t="str">
        <f ca="1">IFERROR(__xludf.DUMMYFUNCTION("""COMPUTED_VALUE"""),"McCoy, Wm. J.")</f>
        <v>McCoy, Wm. J.</v>
      </c>
      <c r="B14210" s="2"/>
      <c r="C14210" s="2"/>
      <c r="D14210" s="8" t="str">
        <f ca="1">IFERROR(__xludf.DUMMYFUNCTION("""COMPUTED_VALUE"""),"")</f>
        <v/>
      </c>
      <c r="E14210" s="2"/>
    </row>
    <row r="14211" spans="1:5" ht="13">
      <c r="A14211" s="8" t="str">
        <f ca="1">IFERROR(__xludf.DUMMYFUNCTION("""COMPUTED_VALUE"""),"McDonald, Harl")</f>
        <v>McDonald, Harl</v>
      </c>
      <c r="B14211" s="2"/>
      <c r="C14211" s="2"/>
      <c r="D14211" s="8" t="str">
        <f ca="1">IFERROR(__xludf.DUMMYFUNCTION("""COMPUTED_VALUE"""),"")</f>
        <v/>
      </c>
      <c r="E14211" s="2"/>
    </row>
    <row r="14212" spans="1:5" ht="13">
      <c r="A14212" s="8" t="str">
        <f ca="1">IFERROR(__xludf.DUMMYFUNCTION("""COMPUTED_VALUE"""),"McEwen, Sir John")</f>
        <v>McEwen, Sir John</v>
      </c>
      <c r="B14212" s="2"/>
      <c r="C14212" s="2"/>
      <c r="D14212" s="8" t="str">
        <f ca="1">IFERROR(__xludf.DUMMYFUNCTION("""COMPUTED_VALUE"""),"")</f>
        <v/>
      </c>
      <c r="E14212" s="2"/>
    </row>
    <row r="14213" spans="1:5" ht="13">
      <c r="A14213" s="8" t="str">
        <f ca="1">IFERROR(__xludf.DUMMYFUNCTION("""COMPUTED_VALUE"""),"McKinley, Carl")</f>
        <v>McKinley, Carl</v>
      </c>
      <c r="B14213" s="2"/>
      <c r="C14213" s="2"/>
      <c r="D14213" s="8" t="str">
        <f ca="1">IFERROR(__xludf.DUMMYFUNCTION("""COMPUTED_VALUE"""),"")</f>
        <v/>
      </c>
      <c r="E14213" s="2"/>
    </row>
    <row r="14214" spans="1:5" ht="13">
      <c r="A14214" s="8" t="str">
        <f ca="1">IFERROR(__xludf.DUMMYFUNCTION("""COMPUTED_VALUE"""),"McLaughlin, John")</f>
        <v>McLaughlin, John</v>
      </c>
      <c r="B14214" s="2"/>
      <c r="C14214" s="2"/>
      <c r="D14214" s="8" t="str">
        <f ca="1">IFERROR(__xludf.DUMMYFUNCTION("""COMPUTED_VALUE"""),"")</f>
        <v/>
      </c>
      <c r="E14214" s="2"/>
    </row>
    <row r="14215" spans="1:5" ht="13">
      <c r="A14215" s="8" t="str">
        <f ca="1">IFERROR(__xludf.DUMMYFUNCTION("""COMPUTED_VALUE"""),"Meacham, Frank W.")</f>
        <v>Meacham, Frank W.</v>
      </c>
      <c r="B14215" s="2"/>
      <c r="C14215" s="2"/>
      <c r="D14215" s="8" t="str">
        <f ca="1">IFERROR(__xludf.DUMMYFUNCTION("""COMPUTED_VALUE"""),"")</f>
        <v/>
      </c>
      <c r="E14215" s="2"/>
    </row>
    <row r="14216" spans="1:5" ht="13">
      <c r="A14216" s="8" t="str">
        <f ca="1">IFERROR(__xludf.DUMMYFUNCTION("""COMPUTED_VALUE"""),"Mednikoff, Nikolai")</f>
        <v>Mednikoff, Nikolai</v>
      </c>
      <c r="B14216" s="2"/>
      <c r="C14216" s="2"/>
      <c r="D14216" s="8" t="str">
        <f ca="1">IFERROR(__xludf.DUMMYFUNCTION("""COMPUTED_VALUE"""),"")</f>
        <v/>
      </c>
      <c r="E14216" s="2"/>
    </row>
    <row r="14217" spans="1:5" ht="13">
      <c r="A14217" s="8" t="str">
        <f ca="1">IFERROR(__xludf.DUMMYFUNCTION("""COMPUTED_VALUE"""),"Medtner, Nicholas K.")</f>
        <v>Medtner, Nicholas K.</v>
      </c>
      <c r="B14217" s="2"/>
      <c r="C14217" s="2"/>
      <c r="D14217" s="8" t="str">
        <f ca="1">IFERROR(__xludf.DUMMYFUNCTION("""COMPUTED_VALUE"""),"")</f>
        <v/>
      </c>
      <c r="E14217" s="2"/>
    </row>
    <row r="14218" spans="1:5" ht="13">
      <c r="A14218" s="8" t="str">
        <f ca="1">IFERROR(__xludf.DUMMYFUNCTION("""COMPUTED_VALUE"""),"Meeker")</f>
        <v>Meeker</v>
      </c>
      <c r="B14218" s="2"/>
      <c r="C14218" s="2"/>
      <c r="D14218" s="8" t="str">
        <f ca="1">IFERROR(__xludf.DUMMYFUNCTION("""COMPUTED_VALUE"""),"")</f>
        <v/>
      </c>
      <c r="E14218" s="2"/>
    </row>
    <row r="14219" spans="1:5" ht="13">
      <c r="A14219" s="8" t="str">
        <f ca="1">IFERROR(__xludf.DUMMYFUNCTION("""COMPUTED_VALUE"""),"Mehul, Etienne N.")</f>
        <v>Mehul, Etienne N.</v>
      </c>
      <c r="B14219" s="2"/>
      <c r="C14219" s="2"/>
      <c r="D14219" s="8" t="str">
        <f ca="1">IFERROR(__xludf.DUMMYFUNCTION("""COMPUTED_VALUE"""),"")</f>
        <v/>
      </c>
      <c r="E14219" s="2"/>
    </row>
    <row r="14220" spans="1:5" ht="13">
      <c r="A14220" s="8" t="str">
        <f ca="1">IFERROR(__xludf.DUMMYFUNCTION("""COMPUTED_VALUE"""),"Melamet")</f>
        <v>Melamet</v>
      </c>
      <c r="B14220" s="2"/>
      <c r="C14220" s="2"/>
      <c r="D14220" s="8" t="str">
        <f ca="1">IFERROR(__xludf.DUMMYFUNCTION("""COMPUTED_VALUE"""),"")</f>
        <v/>
      </c>
      <c r="E14220" s="2"/>
    </row>
    <row r="14221" spans="1:5" ht="13">
      <c r="A14221" s="8" t="str">
        <f ca="1">IFERROR(__xludf.DUMMYFUNCTION("""COMPUTED_VALUE"""),"Mellers, Wilfred")</f>
        <v>Mellers, Wilfred</v>
      </c>
      <c r="B14221" s="2"/>
      <c r="C14221" s="2"/>
      <c r="D14221" s="8" t="str">
        <f ca="1">IFERROR(__xludf.DUMMYFUNCTION("""COMPUTED_VALUE"""),"")</f>
        <v/>
      </c>
      <c r="E14221" s="2"/>
    </row>
    <row r="14222" spans="1:5" ht="13">
      <c r="A14222" s="8" t="str">
        <f ca="1">IFERROR(__xludf.DUMMYFUNCTION("""COMPUTED_VALUE"""),"Mengelberg, Rudolph")</f>
        <v>Mengelberg, Rudolph</v>
      </c>
      <c r="B14222" s="2"/>
      <c r="C14222" s="2"/>
      <c r="D14222" s="8" t="str">
        <f ca="1">IFERROR(__xludf.DUMMYFUNCTION("""COMPUTED_VALUE"""),"")</f>
        <v/>
      </c>
      <c r="E14222" s="2"/>
    </row>
    <row r="14223" spans="1:5" ht="13">
      <c r="A14223" s="8" t="str">
        <f ca="1">IFERROR(__xludf.DUMMYFUNCTION("""COMPUTED_VALUE"""),"Mennini, Louis")</f>
        <v>Mennini, Louis</v>
      </c>
      <c r="B14223" s="2"/>
      <c r="C14223" s="2"/>
      <c r="D14223" s="8" t="str">
        <f ca="1">IFERROR(__xludf.DUMMYFUNCTION("""COMPUTED_VALUE"""),"")</f>
        <v/>
      </c>
      <c r="E14223" s="2"/>
    </row>
    <row r="14224" spans="1:5" ht="13">
      <c r="A14224" s="8" t="str">
        <f ca="1">IFERROR(__xludf.DUMMYFUNCTION("""COMPUTED_VALUE"""),"Mercadante, Guiseppe Saverio")</f>
        <v>Mercadante, Guiseppe Saverio</v>
      </c>
      <c r="B14224" s="2"/>
      <c r="C14224" s="2"/>
      <c r="D14224" s="8" t="str">
        <f ca="1">IFERROR(__xludf.DUMMYFUNCTION("""COMPUTED_VALUE"""),"")</f>
        <v/>
      </c>
      <c r="E14224" s="2"/>
    </row>
    <row r="14225" spans="1:5" ht="13">
      <c r="A14225" s="8" t="str">
        <f ca="1">IFERROR(__xludf.DUMMYFUNCTION("""COMPUTED_VALUE"""),"Mercer, John H.")</f>
        <v>Mercer, John H.</v>
      </c>
      <c r="B14225" s="2"/>
      <c r="C14225" s="2"/>
      <c r="D14225" s="8" t="str">
        <f ca="1">IFERROR(__xludf.DUMMYFUNCTION("""COMPUTED_VALUE"""),"")</f>
        <v/>
      </c>
      <c r="E14225" s="2"/>
    </row>
    <row r="14226" spans="1:5" ht="13">
      <c r="A14226" s="8" t="str">
        <f ca="1">IFERROR(__xludf.DUMMYFUNCTION("""COMPUTED_VALUE"""),"Merikanto, Oscar")</f>
        <v>Merikanto, Oscar</v>
      </c>
      <c r="B14226" s="2"/>
      <c r="C14226" s="2"/>
      <c r="D14226" s="8" t="str">
        <f ca="1">IFERROR(__xludf.DUMMYFUNCTION("""COMPUTED_VALUE"""),"")</f>
        <v/>
      </c>
      <c r="E14226" s="2"/>
    </row>
    <row r="14227" spans="1:5" ht="13">
      <c r="A14227" s="8" t="str">
        <f ca="1">IFERROR(__xludf.DUMMYFUNCTION("""COMPUTED_VALUE"""),"Mero, Yolanda")</f>
        <v>Mero, Yolanda</v>
      </c>
      <c r="B14227" s="2"/>
      <c r="C14227" s="2"/>
      <c r="D14227" s="8" t="str">
        <f ca="1">IFERROR(__xludf.DUMMYFUNCTION("""COMPUTED_VALUE"""),"")</f>
        <v/>
      </c>
      <c r="E14227" s="2"/>
    </row>
    <row r="14228" spans="1:5" ht="13">
      <c r="A14228" s="8" t="str">
        <f ca="1">IFERROR(__xludf.DUMMYFUNCTION("""COMPUTED_VALUE"""),"Messager, Andr・Messager")</f>
        <v>Messager, Andr・Messager</v>
      </c>
      <c r="B14228" s="2"/>
      <c r="C14228" s="2"/>
      <c r="D14228" s="8" t="str">
        <f ca="1">IFERROR(__xludf.DUMMYFUNCTION("""COMPUTED_VALUE"""),"")</f>
        <v/>
      </c>
      <c r="E14228" s="2"/>
    </row>
    <row r="14229" spans="1:5" ht="13">
      <c r="A14229" s="8" t="str">
        <f ca="1">IFERROR(__xludf.DUMMYFUNCTION("""COMPUTED_VALUE"""),"Metzdorff, Richard")</f>
        <v>Metzdorff, Richard</v>
      </c>
      <c r="B14229" s="2"/>
      <c r="C14229" s="2"/>
      <c r="D14229" s="8" t="str">
        <f ca="1">IFERROR(__xludf.DUMMYFUNCTION("""COMPUTED_VALUE"""),"")</f>
        <v/>
      </c>
      <c r="E14229" s="2"/>
    </row>
    <row r="14230" spans="1:5" ht="13">
      <c r="A14230" s="8" t="str">
        <f ca="1">IFERROR(__xludf.DUMMYFUNCTION("""COMPUTED_VALUE"""),"Metzl, Vladimir")</f>
        <v>Metzl, Vladimir</v>
      </c>
      <c r="B14230" s="2"/>
      <c r="C14230" s="2"/>
      <c r="D14230" s="8" t="str">
        <f ca="1">IFERROR(__xludf.DUMMYFUNCTION("""COMPUTED_VALUE"""),"")</f>
        <v/>
      </c>
      <c r="E14230" s="2"/>
    </row>
    <row r="14231" spans="1:5" ht="13">
      <c r="A14231" s="8" t="str">
        <f ca="1">IFERROR(__xludf.DUMMYFUNCTION("""COMPUTED_VALUE"""),"Mica, Frantisek")</f>
        <v>Mica, Frantisek</v>
      </c>
      <c r="B14231" s="2"/>
      <c r="C14231" s="2"/>
      <c r="D14231" s="8" t="str">
        <f ca="1">IFERROR(__xludf.DUMMYFUNCTION("""COMPUTED_VALUE"""),"")</f>
        <v/>
      </c>
      <c r="E14231" s="2"/>
    </row>
    <row r="14232" spans="1:5" ht="13">
      <c r="A14232" s="8" t="str">
        <f ca="1">IFERROR(__xludf.DUMMYFUNCTION("""COMPUTED_VALUE"""),"Middelschulte, Wilhelm")</f>
        <v>Middelschulte, Wilhelm</v>
      </c>
      <c r="B14232" s="2"/>
      <c r="C14232" s="2"/>
      <c r="D14232" s="8" t="str">
        <f ca="1">IFERROR(__xludf.DUMMYFUNCTION("""COMPUTED_VALUE"""),"")</f>
        <v/>
      </c>
      <c r="E14232" s="2"/>
    </row>
    <row r="14233" spans="1:5" ht="13">
      <c r="A14233" s="8" t="str">
        <f ca="1">IFERROR(__xludf.DUMMYFUNCTION("""COMPUTED_VALUE"""),"Miersch, Paul")</f>
        <v>Miersch, Paul</v>
      </c>
      <c r="B14233" s="2"/>
      <c r="C14233" s="2"/>
      <c r="D14233" s="8" t="str">
        <f ca="1">IFERROR(__xludf.DUMMYFUNCTION("""COMPUTED_VALUE"""),"")</f>
        <v/>
      </c>
      <c r="E14233" s="2"/>
    </row>
    <row r="14234" spans="1:5" ht="13">
      <c r="A14234" s="8" t="str">
        <f ca="1">IFERROR(__xludf.DUMMYFUNCTION("""COMPUTED_VALUE"""),"Mihalovici, Marcel")</f>
        <v>Mihalovici, Marcel</v>
      </c>
      <c r="B14234" s="2"/>
      <c r="C14234" s="2"/>
      <c r="D14234" s="8" t="str">
        <f ca="1">IFERROR(__xludf.DUMMYFUNCTION("""COMPUTED_VALUE"""),"")</f>
        <v/>
      </c>
      <c r="E14234" s="2"/>
    </row>
    <row r="14235" spans="1:5" ht="13">
      <c r="A14235" s="8" t="str">
        <f ca="1">IFERROR(__xludf.DUMMYFUNCTION("""COMPUTED_VALUE"""),"Mikeshina, Ariadna")</f>
        <v>Mikeshina, Ariadna</v>
      </c>
      <c r="B14235" s="2"/>
      <c r="C14235" s="2"/>
      <c r="D14235" s="8" t="str">
        <f ca="1">IFERROR(__xludf.DUMMYFUNCTION("""COMPUTED_VALUE"""),"")</f>
        <v/>
      </c>
      <c r="E14235" s="2"/>
    </row>
    <row r="14236" spans="1:5" ht="13">
      <c r="A14236" s="8" t="str">
        <f ca="1">IFERROR(__xludf.DUMMYFUNCTION("""COMPUTED_VALUE"""),"Miller, Edward")</f>
        <v>Miller, Edward</v>
      </c>
      <c r="B14236" s="2"/>
      <c r="C14236" s="2"/>
      <c r="D14236" s="8" t="str">
        <f ca="1">IFERROR(__xludf.DUMMYFUNCTION("""COMPUTED_VALUE"""),"")</f>
        <v/>
      </c>
      <c r="E14236" s="2"/>
    </row>
    <row r="14237" spans="1:5" ht="13">
      <c r="A14237" s="8" t="str">
        <f ca="1">IFERROR(__xludf.DUMMYFUNCTION("""COMPUTED_VALUE"""),"Mills, Charles")</f>
        <v>Mills, Charles</v>
      </c>
      <c r="B14237" s="2"/>
      <c r="C14237" s="2"/>
      <c r="D14237" s="8" t="str">
        <f ca="1">IFERROR(__xludf.DUMMYFUNCTION("""COMPUTED_VALUE"""),"")</f>
        <v/>
      </c>
      <c r="E14237" s="2"/>
    </row>
    <row r="14238" spans="1:5" ht="13">
      <c r="A14238" s="8" t="str">
        <f ca="1">IFERROR(__xludf.DUMMYFUNCTION("""COMPUTED_VALUE"""),"Mills, Sebastian B.")</f>
        <v>Mills, Sebastian B.</v>
      </c>
      <c r="B14238" s="2"/>
      <c r="C14238" s="2"/>
      <c r="D14238" s="8" t="str">
        <f ca="1">IFERROR(__xludf.DUMMYFUNCTION("""COMPUTED_VALUE"""),"")</f>
        <v/>
      </c>
      <c r="E14238" s="2"/>
    </row>
    <row r="14239" spans="1:5" ht="13">
      <c r="A14239" s="8" t="str">
        <f ca="1">IFERROR(__xludf.DUMMYFUNCTION("""COMPUTED_VALUE"""),"Milton Yakus, and Allen Jeffrey; Arr. Russ Foris Claire Rothrock")</f>
        <v>Milton Yakus, and Allen Jeffrey; Arr. Russ Foris Claire Rothrock</v>
      </c>
      <c r="B14239" s="2"/>
      <c r="C14239" s="2"/>
      <c r="D14239" s="8" t="str">
        <f ca="1">IFERROR(__xludf.DUMMYFUNCTION("""COMPUTED_VALUE"""),"")</f>
        <v/>
      </c>
      <c r="E14239" s="2"/>
    </row>
    <row r="14240" spans="1:5" ht="13">
      <c r="A14240" s="8" t="str">
        <f ca="1">IFERROR(__xludf.DUMMYFUNCTION("""COMPUTED_VALUE"""),"Minkus, Leon")</f>
        <v>Minkus, Leon</v>
      </c>
      <c r="B14240" s="2"/>
      <c r="C14240" s="2"/>
      <c r="D14240" s="8" t="str">
        <f ca="1">IFERROR(__xludf.DUMMYFUNCTION("""COMPUTED_VALUE"""),"")</f>
        <v/>
      </c>
      <c r="E14240" s="2"/>
    </row>
    <row r="14241" spans="1:5" ht="13">
      <c r="A14241" s="8" t="str">
        <f ca="1">IFERROR(__xludf.DUMMYFUNCTION("""COMPUTED_VALUE"""),"Mitropoulos, Dmitri")</f>
        <v>Mitropoulos, Dmitri</v>
      </c>
      <c r="B14241" s="2"/>
      <c r="C14241" s="2"/>
      <c r="D14241" s="8" t="str">
        <f ca="1">IFERROR(__xludf.DUMMYFUNCTION("""COMPUTED_VALUE"""),"")</f>
        <v/>
      </c>
      <c r="E14241" s="2"/>
    </row>
    <row r="14242" spans="1:5" ht="13">
      <c r="A14242" s="8" t="str">
        <f ca="1">IFERROR(__xludf.DUMMYFUNCTION("""COMPUTED_VALUE"""),"Miyagi, Michio")</f>
        <v>Miyagi, Michio</v>
      </c>
      <c r="B14242" s="2"/>
      <c r="C14242" s="2"/>
      <c r="D14242" s="8" t="str">
        <f ca="1">IFERROR(__xludf.DUMMYFUNCTION("""COMPUTED_VALUE"""),"")</f>
        <v/>
      </c>
      <c r="E14242" s="2"/>
    </row>
    <row r="14243" spans="1:5" ht="13">
      <c r="A14243" s="8" t="str">
        <f ca="1">IFERROR(__xludf.DUMMYFUNCTION("""COMPUTED_VALUE"""),"Miyoshi, Akira")</f>
        <v>Miyoshi, Akira</v>
      </c>
      <c r="B14243" s="2"/>
      <c r="C14243" s="2"/>
      <c r="D14243" s="8" t="str">
        <f ca="1">IFERROR(__xludf.DUMMYFUNCTION("""COMPUTED_VALUE"""),"")</f>
        <v/>
      </c>
      <c r="E14243" s="2"/>
    </row>
    <row r="14244" spans="1:5" ht="13">
      <c r="A14244" s="8" t="str">
        <f ca="1">IFERROR(__xludf.DUMMYFUNCTION("""COMPUTED_VALUE"""),"Moeran, Ernest John")</f>
        <v>Moeran, Ernest John</v>
      </c>
      <c r="B14244" s="2"/>
      <c r="C14244" s="2"/>
      <c r="D14244" s="8" t="str">
        <f ca="1">IFERROR(__xludf.DUMMYFUNCTION("""COMPUTED_VALUE"""),"")</f>
        <v/>
      </c>
      <c r="E14244" s="2"/>
    </row>
    <row r="14245" spans="1:5" ht="13">
      <c r="A14245" s="8" t="str">
        <f ca="1">IFERROR(__xludf.DUMMYFUNCTION("""COMPUTED_VALUE"""),"Moevs, Robert")</f>
        <v>Moevs, Robert</v>
      </c>
      <c r="B14245" s="2"/>
      <c r="C14245" s="2"/>
      <c r="D14245" s="8" t="str">
        <f ca="1">IFERROR(__xludf.DUMMYFUNCTION("""COMPUTED_VALUE"""),"")</f>
        <v/>
      </c>
      <c r="E14245" s="2"/>
    </row>
    <row r="14246" spans="1:5" ht="13">
      <c r="A14246" s="8" t="str">
        <f ca="1">IFERROR(__xludf.DUMMYFUNCTION("""COMPUTED_VALUE"""),"Molique, Bernhard")</f>
        <v>Molique, Bernhard</v>
      </c>
      <c r="B14246" s="2"/>
      <c r="C14246" s="2"/>
      <c r="D14246" s="8" t="str">
        <f ca="1">IFERROR(__xludf.DUMMYFUNCTION("""COMPUTED_VALUE"""),"")</f>
        <v/>
      </c>
      <c r="E14246" s="2"/>
    </row>
    <row r="14247" spans="1:5" ht="13">
      <c r="A14247" s="8" t="str">
        <f ca="1">IFERROR(__xludf.DUMMYFUNCTION("""COMPUTED_VALUE"""),"Mompou, Federico")</f>
        <v>Mompou, Federico</v>
      </c>
      <c r="B14247" s="2"/>
      <c r="C14247" s="2"/>
      <c r="D14247" s="8" t="str">
        <f ca="1">IFERROR(__xludf.DUMMYFUNCTION("""COMPUTED_VALUE"""),"")</f>
        <v/>
      </c>
      <c r="E14247" s="2"/>
    </row>
    <row r="14248" spans="1:5" ht="13">
      <c r="A14248" s="8" t="str">
        <f ca="1">IFERROR(__xludf.DUMMYFUNCTION("""COMPUTED_VALUE"""),"Mondonville, Joseph")</f>
        <v>Mondonville, Joseph</v>
      </c>
      <c r="B14248" s="2"/>
      <c r="C14248" s="2"/>
      <c r="D14248" s="8" t="str">
        <f ca="1">IFERROR(__xludf.DUMMYFUNCTION("""COMPUTED_VALUE"""),"")</f>
        <v/>
      </c>
      <c r="E14248" s="2"/>
    </row>
    <row r="14249" spans="1:5" ht="13">
      <c r="A14249" s="8" t="str">
        <f ca="1">IFERROR(__xludf.DUMMYFUNCTION("""COMPUTED_VALUE"""),"Moniuszko, Stanislaw")</f>
        <v>Moniuszko, Stanislaw</v>
      </c>
      <c r="B14249" s="2"/>
      <c r="C14249" s="2"/>
      <c r="D14249" s="8" t="str">
        <f ca="1">IFERROR(__xludf.DUMMYFUNCTION("""COMPUTED_VALUE"""),"")</f>
        <v/>
      </c>
      <c r="E14249" s="2"/>
    </row>
    <row r="14250" spans="1:5" ht="13">
      <c r="A14250" s="8" t="str">
        <f ca="1">IFERROR(__xludf.DUMMYFUNCTION("""COMPUTED_VALUE"""),"Monsigny, Pierre")</f>
        <v>Monsigny, Pierre</v>
      </c>
      <c r="B14250" s="2"/>
      <c r="C14250" s="2"/>
      <c r="D14250" s="8" t="str">
        <f ca="1">IFERROR(__xludf.DUMMYFUNCTION("""COMPUTED_VALUE"""),"")</f>
        <v/>
      </c>
      <c r="E14250" s="2"/>
    </row>
    <row r="14251" spans="1:5" ht="13">
      <c r="A14251" s="8" t="str">
        <f ca="1">IFERROR(__xludf.DUMMYFUNCTION("""COMPUTED_VALUE"""),"Montzaros, N.")</f>
        <v>Montzaros, N.</v>
      </c>
      <c r="B14251" s="2"/>
      <c r="C14251" s="2"/>
      <c r="D14251" s="8" t="str">
        <f ca="1">IFERROR(__xludf.DUMMYFUNCTION("""COMPUTED_VALUE"""),"")</f>
        <v/>
      </c>
      <c r="E14251" s="2"/>
    </row>
    <row r="14252" spans="1:5" ht="13">
      <c r="A14252" s="8" t="str">
        <f ca="1">IFERROR(__xludf.DUMMYFUNCTION("""COMPUTED_VALUE"""),"Moor, Emanuel")</f>
        <v>Moor, Emanuel</v>
      </c>
      <c r="B14252" s="2"/>
      <c r="C14252" s="2"/>
      <c r="D14252" s="8" t="str">
        <f ca="1">IFERROR(__xludf.DUMMYFUNCTION("""COMPUTED_VALUE"""),"")</f>
        <v/>
      </c>
      <c r="E14252" s="2"/>
    </row>
    <row r="14253" spans="1:5" ht="13">
      <c r="A14253" s="8" t="str">
        <f ca="1">IFERROR(__xludf.DUMMYFUNCTION("""COMPUTED_VALUE"""),"Morales, Petro")</f>
        <v>Morales, Petro</v>
      </c>
      <c r="B14253" s="2"/>
      <c r="C14253" s="2"/>
      <c r="D14253" s="8" t="str">
        <f ca="1">IFERROR(__xludf.DUMMYFUNCTION("""COMPUTED_VALUE"""),"")</f>
        <v/>
      </c>
      <c r="E14253" s="2"/>
    </row>
    <row r="14254" spans="1:5" ht="13">
      <c r="A14254" s="8" t="str">
        <f ca="1">IFERROR(__xludf.DUMMYFUNCTION("""COMPUTED_VALUE"""),"Morawetz, Oskar")</f>
        <v>Morawetz, Oskar</v>
      </c>
      <c r="B14254" s="2"/>
      <c r="C14254" s="2"/>
      <c r="D14254" s="8" t="str">
        <f ca="1">IFERROR(__xludf.DUMMYFUNCTION("""COMPUTED_VALUE"""),"")</f>
        <v/>
      </c>
      <c r="E14254" s="2"/>
    </row>
    <row r="14255" spans="1:5" ht="13">
      <c r="A14255" s="8" t="str">
        <f ca="1">IFERROR(__xludf.DUMMYFUNCTION("""COMPUTED_VALUE"""),"Moreno, Torroba")</f>
        <v>Moreno, Torroba</v>
      </c>
      <c r="B14255" s="2"/>
      <c r="C14255" s="2"/>
      <c r="D14255" s="8" t="str">
        <f ca="1">IFERROR(__xludf.DUMMYFUNCTION("""COMPUTED_VALUE"""),"")</f>
        <v/>
      </c>
      <c r="E14255" s="2"/>
    </row>
    <row r="14256" spans="1:5" ht="13">
      <c r="A14256" s="8" t="str">
        <f ca="1">IFERROR(__xludf.DUMMYFUNCTION("""COMPUTED_VALUE"""),"Morgan, Arthur")</f>
        <v>Morgan, Arthur</v>
      </c>
      <c r="B14256" s="2"/>
      <c r="C14256" s="2"/>
      <c r="D14256" s="8" t="str">
        <f ca="1">IFERROR(__xludf.DUMMYFUNCTION("""COMPUTED_VALUE"""),"")</f>
        <v/>
      </c>
      <c r="E14256" s="2"/>
    </row>
    <row r="14257" spans="1:5" ht="13">
      <c r="A14257" s="8" t="str">
        <f ca="1">IFERROR(__xludf.DUMMYFUNCTION("""COMPUTED_VALUE"""),"Morris, Harold")</f>
        <v>Morris, Harold</v>
      </c>
      <c r="B14257" s="2"/>
      <c r="C14257" s="2"/>
      <c r="D14257" s="8" t="str">
        <f ca="1">IFERROR(__xludf.DUMMYFUNCTION("""COMPUTED_VALUE"""),"")</f>
        <v/>
      </c>
      <c r="E14257" s="2"/>
    </row>
    <row r="14258" spans="1:5" ht="13">
      <c r="A14258" s="8" t="str">
        <f ca="1">IFERROR(__xludf.DUMMYFUNCTION("""COMPUTED_VALUE"""),"Moscheles, Isador")</f>
        <v>Moscheles, Isador</v>
      </c>
      <c r="B14258" s="2"/>
      <c r="C14258" s="2"/>
      <c r="D14258" s="8" t="str">
        <f ca="1">IFERROR(__xludf.DUMMYFUNCTION("""COMPUTED_VALUE"""),"")</f>
        <v/>
      </c>
      <c r="E14258" s="2"/>
    </row>
    <row r="14259" spans="1:5" ht="13">
      <c r="A14259" s="8" t="str">
        <f ca="1">IFERROR(__xludf.DUMMYFUNCTION("""COMPUTED_VALUE"""),"Mossolov, Alexander")</f>
        <v>Mossolov, Alexander</v>
      </c>
      <c r="B14259" s="2"/>
      <c r="C14259" s="2"/>
      <c r="D14259" s="8" t="str">
        <f ca="1">IFERROR(__xludf.DUMMYFUNCTION("""COMPUTED_VALUE"""),"")</f>
        <v/>
      </c>
      <c r="E14259" s="2"/>
    </row>
    <row r="14260" spans="1:5" ht="13">
      <c r="A14260" s="8" t="str">
        <f ca="1">IFERROR(__xludf.DUMMYFUNCTION("""COMPUTED_VALUE"""),"Mouquet, Jules")</f>
        <v>Mouquet, Jules</v>
      </c>
      <c r="B14260" s="2"/>
      <c r="C14260" s="2"/>
      <c r="D14260" s="8" t="str">
        <f ca="1">IFERROR(__xludf.DUMMYFUNCTION("""COMPUTED_VALUE"""),"")</f>
        <v/>
      </c>
      <c r="E14260" s="2"/>
    </row>
    <row r="14261" spans="1:5" ht="13">
      <c r="A14261" s="8" t="str">
        <f ca="1">IFERROR(__xludf.DUMMYFUNCTION("""COMPUTED_VALUE"""),"Mowrey, Dent")</f>
        <v>Mowrey, Dent</v>
      </c>
      <c r="B14261" s="2"/>
      <c r="C14261" s="2"/>
      <c r="D14261" s="8" t="str">
        <f ca="1">IFERROR(__xludf.DUMMYFUNCTION("""COMPUTED_VALUE"""),"")</f>
        <v/>
      </c>
      <c r="E14261" s="2"/>
    </row>
    <row r="14262" spans="1:5" ht="13">
      <c r="A14262" s="8" t="str">
        <f ca="1">IFERROR(__xludf.DUMMYFUNCTION("""COMPUTED_VALUE"""),"Moyzes, Alexander")</f>
        <v>Moyzes, Alexander</v>
      </c>
      <c r="B14262" s="2"/>
      <c r="C14262" s="2"/>
      <c r="D14262" s="8" t="str">
        <f ca="1">IFERROR(__xludf.DUMMYFUNCTION("""COMPUTED_VALUE"""),"")</f>
        <v/>
      </c>
      <c r="E14262" s="2"/>
    </row>
    <row r="14263" spans="1:5" ht="13">
      <c r="A14263" s="8" t="str">
        <f ca="1">IFERROR(__xludf.DUMMYFUNCTION("""COMPUTED_VALUE"""),"Mraczek, Joseph")</f>
        <v>Mraczek, Joseph</v>
      </c>
      <c r="B14263" s="2"/>
      <c r="C14263" s="2"/>
      <c r="D14263" s="8" t="str">
        <f ca="1">IFERROR(__xludf.DUMMYFUNCTION("""COMPUTED_VALUE"""),"")</f>
        <v/>
      </c>
      <c r="E14263" s="2"/>
    </row>
    <row r="14264" spans="1:5" ht="13">
      <c r="A14264" s="8" t="str">
        <f ca="1">IFERROR(__xludf.DUMMYFUNCTION("""COMPUTED_VALUE"""),"Mueller, Otto")</f>
        <v>Mueller, Otto</v>
      </c>
      <c r="B14264" s="2"/>
      <c r="C14264" s="2"/>
      <c r="D14264" s="8" t="str">
        <f ca="1">IFERROR(__xludf.DUMMYFUNCTION("""COMPUTED_VALUE"""),"")</f>
        <v/>
      </c>
      <c r="E14264" s="2"/>
    </row>
    <row r="14265" spans="1:5" ht="13">
      <c r="A14265" s="8" t="str">
        <f ca="1">IFERROR(__xludf.DUMMYFUNCTION("""COMPUTED_VALUE"""),"Mul・ Guiseppe")</f>
        <v>Mul・ Guiseppe</v>
      </c>
      <c r="B14265" s="2"/>
      <c r="C14265" s="2"/>
      <c r="D14265" s="8" t="str">
        <f ca="1">IFERROR(__xludf.DUMMYFUNCTION("""COMPUTED_VALUE"""),"")</f>
        <v/>
      </c>
      <c r="E14265" s="2"/>
    </row>
    <row r="14266" spans="1:5" ht="13">
      <c r="A14266" s="8" t="str">
        <f ca="1">IFERROR(__xludf.DUMMYFUNCTION("""COMPUTED_VALUE"""),"Muradely, Vano")</f>
        <v>Muradely, Vano</v>
      </c>
      <c r="B14266" s="2"/>
      <c r="C14266" s="2"/>
      <c r="D14266" s="8" t="str">
        <f ca="1">IFERROR(__xludf.DUMMYFUNCTION("""COMPUTED_VALUE"""),"")</f>
        <v/>
      </c>
      <c r="E14266" s="2"/>
    </row>
    <row r="14267" spans="1:5" ht="13">
      <c r="A14267" s="8" t="str">
        <f ca="1">IFERROR(__xludf.DUMMYFUNCTION("""COMPUTED_VALUE"""),"Muravlev, Alexei")</f>
        <v>Muravlev, Alexei</v>
      </c>
      <c r="B14267" s="2"/>
      <c r="C14267" s="2"/>
      <c r="D14267" s="8" t="str">
        <f ca="1">IFERROR(__xludf.DUMMYFUNCTION("""COMPUTED_VALUE"""),"")</f>
        <v/>
      </c>
      <c r="E14267" s="2"/>
    </row>
    <row r="14268" spans="1:5" ht="13">
      <c r="A14268" s="8" t="str">
        <f ca="1">IFERROR(__xludf.DUMMYFUNCTION("""COMPUTED_VALUE"""),"Murray, Dom Gregory")</f>
        <v>Murray, Dom Gregory</v>
      </c>
      <c r="B14268" s="2"/>
      <c r="C14268" s="2"/>
      <c r="D14268" s="8" t="str">
        <f ca="1">IFERROR(__xludf.DUMMYFUNCTION("""COMPUTED_VALUE"""),"")</f>
        <v/>
      </c>
      <c r="E14268" s="2"/>
    </row>
    <row r="14269" spans="1:5" ht="13">
      <c r="A14269" s="8" t="str">
        <f ca="1">IFERROR(__xludf.DUMMYFUNCTION("""COMPUTED_VALUE"""),"Myrow, Frederic")</f>
        <v>Myrow, Frederic</v>
      </c>
      <c r="B14269" s="2"/>
      <c r="C14269" s="2"/>
      <c r="D14269" s="8" t="str">
        <f ca="1">IFERROR(__xludf.DUMMYFUNCTION("""COMPUTED_VALUE"""),"")</f>
        <v/>
      </c>
      <c r="E14269" s="2"/>
    </row>
    <row r="14270" spans="1:5" ht="13">
      <c r="A14270" s="8" t="str">
        <f ca="1">IFERROR(__xludf.DUMMYFUNCTION("""COMPUTED_VALUE"""),"Nabokov, Nicolas")</f>
        <v>Nabokov, Nicolas</v>
      </c>
      <c r="B14270" s="2"/>
      <c r="C14270" s="2"/>
      <c r="D14270" s="8" t="str">
        <f ca="1">IFERROR(__xludf.DUMMYFUNCTION("""COMPUTED_VALUE"""),"")</f>
        <v/>
      </c>
      <c r="E14270" s="2"/>
    </row>
    <row r="14271" spans="1:5" ht="13">
      <c r="A14271" s="8" t="str">
        <f ca="1">IFERROR(__xludf.DUMMYFUNCTION("""COMPUTED_VALUE"""),"Nadelmann,")</f>
        <v>Nadelmann,</v>
      </c>
      <c r="B14271" s="2"/>
      <c r="C14271" s="2"/>
      <c r="D14271" s="8" t="str">
        <f ca="1">IFERROR(__xludf.DUMMYFUNCTION("""COMPUTED_VALUE"""),"")</f>
        <v/>
      </c>
      <c r="E14271" s="2"/>
    </row>
    <row r="14272" spans="1:5" ht="13">
      <c r="A14272" s="8" t="str">
        <f ca="1">IFERROR(__xludf.DUMMYFUNCTION("""COMPUTED_VALUE"""),"Napoleao, Arthur")</f>
        <v>Napoleao, Arthur</v>
      </c>
      <c r="B14272" s="2"/>
      <c r="C14272" s="2"/>
      <c r="D14272" s="8" t="str">
        <f ca="1">IFERROR(__xludf.DUMMYFUNCTION("""COMPUTED_VALUE"""),"")</f>
        <v/>
      </c>
      <c r="E14272" s="2"/>
    </row>
    <row r="14273" spans="1:5" ht="13">
      <c r="A14273" s="8" t="str">
        <f ca="1">IFERROR(__xludf.DUMMYFUNCTION("""COMPUTED_VALUE"""),"Napravnik, Eduard")</f>
        <v>Napravnik, Eduard</v>
      </c>
      <c r="B14273" s="2"/>
      <c r="C14273" s="2"/>
      <c r="D14273" s="8" t="str">
        <f ca="1">IFERROR(__xludf.DUMMYFUNCTION("""COMPUTED_VALUE"""),"")</f>
        <v/>
      </c>
      <c r="E14273" s="2"/>
    </row>
    <row r="14274" spans="1:5" ht="13">
      <c r="A14274" s="8" t="str">
        <f ca="1">IFERROR(__xludf.DUMMYFUNCTION("""COMPUTED_VALUE"""),"Navarro, Juan")</f>
        <v>Navarro, Juan</v>
      </c>
      <c r="B14274" s="2"/>
      <c r="C14274" s="2"/>
      <c r="D14274" s="8" t="str">
        <f ca="1">IFERROR(__xludf.DUMMYFUNCTION("""COMPUTED_VALUE"""),"")</f>
        <v/>
      </c>
      <c r="E14274" s="2"/>
    </row>
    <row r="14275" spans="1:5" ht="13">
      <c r="A14275" s="8" t="str">
        <f ca="1">IFERROR(__xludf.DUMMYFUNCTION("""COMPUTED_VALUE"""),"Neukirchner")</f>
        <v>Neukirchner</v>
      </c>
      <c r="B14275" s="2"/>
      <c r="C14275" s="2"/>
      <c r="D14275" s="8" t="str">
        <f ca="1">IFERROR(__xludf.DUMMYFUNCTION("""COMPUTED_VALUE"""),"")</f>
        <v/>
      </c>
      <c r="E14275" s="2"/>
    </row>
    <row r="14276" spans="1:5" ht="13">
      <c r="A14276" s="8" t="str">
        <f ca="1">IFERROR(__xludf.DUMMYFUNCTION("""COMPUTED_VALUE"""),"Nicholson, Charles")</f>
        <v>Nicholson, Charles</v>
      </c>
      <c r="B14276" s="2"/>
      <c r="C14276" s="2"/>
      <c r="D14276" s="8" t="str">
        <f ca="1">IFERROR(__xludf.DUMMYFUNCTION("""COMPUTED_VALUE"""),"")</f>
        <v/>
      </c>
      <c r="E14276" s="2"/>
    </row>
    <row r="14277" spans="1:5" ht="13">
      <c r="A14277" s="8" t="str">
        <f ca="1">IFERROR(__xludf.DUMMYFUNCTION("""COMPUTED_VALUE"""),"Nicod・ Jean Louis")</f>
        <v>Nicod・ Jean Louis</v>
      </c>
      <c r="B14277" s="2"/>
      <c r="C14277" s="2"/>
      <c r="D14277" s="8" t="str">
        <f ca="1">IFERROR(__xludf.DUMMYFUNCTION("""COMPUTED_VALUE"""),"")</f>
        <v/>
      </c>
      <c r="E14277" s="2"/>
    </row>
    <row r="14278" spans="1:5" ht="13">
      <c r="A14278" s="8" t="str">
        <f ca="1">IFERROR(__xludf.DUMMYFUNCTION("""COMPUTED_VALUE"""),"Nicolai, Philippe")</f>
        <v>Nicolai, Philippe</v>
      </c>
      <c r="B14278" s="2"/>
      <c r="C14278" s="2"/>
      <c r="D14278" s="8" t="str">
        <f ca="1">IFERROR(__xludf.DUMMYFUNCTION("""COMPUTED_VALUE"""),"")</f>
        <v/>
      </c>
      <c r="E14278" s="2"/>
    </row>
    <row r="14279" spans="1:5" ht="13">
      <c r="A14279" s="8" t="str">
        <f ca="1">IFERROR(__xludf.DUMMYFUNCTION("""COMPUTED_VALUE"""),"Nigg, Serge")</f>
        <v>Nigg, Serge</v>
      </c>
      <c r="B14279" s="2"/>
      <c r="C14279" s="2"/>
      <c r="D14279" s="8" t="str">
        <f ca="1">IFERROR(__xludf.DUMMYFUNCTION("""COMPUTED_VALUE"""),"")</f>
        <v/>
      </c>
      <c r="E14279" s="2"/>
    </row>
    <row r="14280" spans="1:5" ht="13">
      <c r="A14280" s="8" t="str">
        <f ca="1">IFERROR(__xludf.DUMMYFUNCTION("""COMPUTED_VALUE"""),"Nikolsky, Yuri")</f>
        <v>Nikolsky, Yuri</v>
      </c>
      <c r="B14280" s="2"/>
      <c r="C14280" s="2"/>
      <c r="D14280" s="8" t="str">
        <f ca="1">IFERROR(__xludf.DUMMYFUNCTION("""COMPUTED_VALUE"""),"")</f>
        <v/>
      </c>
      <c r="E14280" s="2"/>
    </row>
    <row r="14281" spans="1:5" ht="13">
      <c r="A14281" s="8" t="str">
        <f ca="1">IFERROR(__xludf.DUMMYFUNCTION("""COMPUTED_VALUE"""),"Nini, Alexander")</f>
        <v>Nini, Alexander</v>
      </c>
      <c r="B14281" s="2"/>
      <c r="C14281" s="2"/>
      <c r="D14281" s="8" t="str">
        <f ca="1">IFERROR(__xludf.DUMMYFUNCTION("""COMPUTED_VALUE"""),"")</f>
        <v/>
      </c>
      <c r="E14281" s="2"/>
    </row>
    <row r="14282" spans="1:5" ht="13">
      <c r="A14282" s="8" t="str">
        <f ca="1">IFERROR(__xludf.DUMMYFUNCTION("""COMPUTED_VALUE"""),"Noble, Tertius")</f>
        <v>Noble, Tertius</v>
      </c>
      <c r="B14282" s="2"/>
      <c r="C14282" s="2"/>
      <c r="D14282" s="8" t="str">
        <f ca="1">IFERROR(__xludf.DUMMYFUNCTION("""COMPUTED_VALUE"""),"")</f>
        <v/>
      </c>
      <c r="E14282" s="2"/>
    </row>
    <row r="14283" spans="1:5" ht="13">
      <c r="A14283" s="8" t="str">
        <f ca="1">IFERROR(__xludf.DUMMYFUNCTION("""COMPUTED_VALUE"""),"Noelte, Albert")</f>
        <v>Noelte, Albert</v>
      </c>
      <c r="B14283" s="2"/>
      <c r="C14283" s="2"/>
      <c r="D14283" s="8" t="str">
        <f ca="1">IFERROR(__xludf.DUMMYFUNCTION("""COMPUTED_VALUE"""),"")</f>
        <v/>
      </c>
      <c r="E14283" s="2"/>
    </row>
    <row r="14284" spans="1:5" ht="13">
      <c r="A14284" s="8" t="str">
        <f ca="1">IFERROR(__xludf.DUMMYFUNCTION("""COMPUTED_VALUE"""),"Nono, Luigi")</f>
        <v>Nono, Luigi</v>
      </c>
      <c r="B14284" s="2"/>
      <c r="C14284" s="2"/>
      <c r="D14284" s="8" t="str">
        <f ca="1">IFERROR(__xludf.DUMMYFUNCTION("""COMPUTED_VALUE"""),"")</f>
        <v/>
      </c>
      <c r="E14284" s="2"/>
    </row>
    <row r="14285" spans="1:5" ht="13">
      <c r="A14285" s="8" t="str">
        <f ca="1">IFERROR(__xludf.DUMMYFUNCTION("""COMPUTED_VALUE"""),"Norden, N. Lindsay")</f>
        <v>Norden, N. Lindsay</v>
      </c>
      <c r="B14285" s="2"/>
      <c r="C14285" s="2"/>
      <c r="D14285" s="8" t="str">
        <f ca="1">IFERROR(__xludf.DUMMYFUNCTION("""COMPUTED_VALUE"""),"")</f>
        <v/>
      </c>
      <c r="E14285" s="2"/>
    </row>
    <row r="14286" spans="1:5" ht="13">
      <c r="A14286" s="8" t="str">
        <f ca="1">IFERROR(__xludf.DUMMYFUNCTION("""COMPUTED_VALUE"""),"Nordheim, Arne")</f>
        <v>Nordheim, Arne</v>
      </c>
      <c r="B14286" s="2"/>
      <c r="C14286" s="2"/>
      <c r="D14286" s="8" t="str">
        <f ca="1">IFERROR(__xludf.DUMMYFUNCTION("""COMPUTED_VALUE"""),"")</f>
        <v/>
      </c>
      <c r="E14286" s="2"/>
    </row>
    <row r="14287" spans="1:5" ht="13">
      <c r="A14287" s="8" t="str">
        <f ca="1">IFERROR(__xludf.DUMMYFUNCTION("""COMPUTED_VALUE"""),"Nordoff, Paul")</f>
        <v>Nordoff, Paul</v>
      </c>
      <c r="B14287" s="2"/>
      <c r="C14287" s="2"/>
      <c r="D14287" s="8" t="str">
        <f ca="1">IFERROR(__xludf.DUMMYFUNCTION("""COMPUTED_VALUE"""),"")</f>
        <v/>
      </c>
      <c r="E14287" s="2"/>
    </row>
    <row r="14288" spans="1:5" ht="13">
      <c r="A14288" s="8" t="str">
        <f ca="1">IFERROR(__xludf.DUMMYFUNCTION("""COMPUTED_VALUE"""),"Noren, Heinrich")</f>
        <v>Noren, Heinrich</v>
      </c>
      <c r="B14288" s="2"/>
      <c r="C14288" s="2"/>
      <c r="D14288" s="8" t="str">
        <f ca="1">IFERROR(__xludf.DUMMYFUNCTION("""COMPUTED_VALUE"""),"")</f>
        <v/>
      </c>
      <c r="E14288" s="2"/>
    </row>
    <row r="14289" spans="1:5" ht="13">
      <c r="A14289" s="8" t="str">
        <f ca="1">IFERROR(__xludf.DUMMYFUNCTION("""COMPUTED_VALUE"""),"North, Alexander")</f>
        <v>North, Alexander</v>
      </c>
      <c r="B14289" s="2"/>
      <c r="C14289" s="2"/>
      <c r="D14289" s="8" t="str">
        <f ca="1">IFERROR(__xludf.DUMMYFUNCTION("""COMPUTED_VALUE"""),"")</f>
        <v/>
      </c>
      <c r="E14289" s="2"/>
    </row>
    <row r="14290" spans="1:5" ht="13">
      <c r="A14290" s="8" t="str">
        <f ca="1">IFERROR(__xludf.DUMMYFUNCTION("""COMPUTED_VALUE"""),"Norton, Spencer")</f>
        <v>Norton, Spencer</v>
      </c>
      <c r="B14290" s="2"/>
      <c r="C14290" s="2"/>
      <c r="D14290" s="8" t="str">
        <f ca="1">IFERROR(__xludf.DUMMYFUNCTION("""COMPUTED_VALUE"""),"")</f>
        <v/>
      </c>
      <c r="E14290" s="2"/>
    </row>
    <row r="14291" spans="1:5" ht="13">
      <c r="A14291" s="8" t="str">
        <f ca="1">IFERROR(__xludf.DUMMYFUNCTION("""COMPUTED_VALUE"""),"Noskowski, Siegmund")</f>
        <v>Noskowski, Siegmund</v>
      </c>
      <c r="B14291" s="2"/>
      <c r="C14291" s="2"/>
      <c r="D14291" s="8" t="str">
        <f ca="1">IFERROR(__xludf.DUMMYFUNCTION("""COMPUTED_VALUE"""),"")</f>
        <v/>
      </c>
      <c r="E14291" s="2"/>
    </row>
    <row r="14292" spans="1:5" ht="13">
      <c r="A14292" s="8" t="str">
        <f ca="1">IFERROR(__xludf.DUMMYFUNCTION("""COMPUTED_VALUE"""),"Novak, Vitezslov")</f>
        <v>Novak, Vitezslov</v>
      </c>
      <c r="B14292" s="2"/>
      <c r="C14292" s="2"/>
      <c r="D14292" s="8" t="str">
        <f ca="1">IFERROR(__xludf.DUMMYFUNCTION("""COMPUTED_VALUE"""),"")</f>
        <v/>
      </c>
      <c r="E14292" s="2"/>
    </row>
    <row r="14293" spans="1:5" ht="13">
      <c r="A14293" s="8" t="str">
        <f ca="1">IFERROR(__xludf.DUMMYFUNCTION("""COMPUTED_VALUE"""),"Nussio, Otmar")</f>
        <v>Nussio, Otmar</v>
      </c>
      <c r="B14293" s="2"/>
      <c r="C14293" s="2"/>
      <c r="D14293" s="8" t="str">
        <f ca="1">IFERROR(__xludf.DUMMYFUNCTION("""COMPUTED_VALUE"""),"")</f>
        <v/>
      </c>
      <c r="E14293" s="2"/>
    </row>
    <row r="14294" spans="1:5" ht="13">
      <c r="A14294" s="8" t="str">
        <f ca="1">IFERROR(__xludf.DUMMYFUNCTION("""COMPUTED_VALUE"""),"Nystroem, Gosta")</f>
        <v>Nystroem, Gosta</v>
      </c>
      <c r="B14294" s="2"/>
      <c r="C14294" s="2"/>
      <c r="D14294" s="8" t="str">
        <f ca="1">IFERROR(__xludf.DUMMYFUNCTION("""COMPUTED_VALUE"""),"")</f>
        <v/>
      </c>
      <c r="E14294" s="2"/>
    </row>
    <row r="14295" spans="1:5" ht="13">
      <c r="A14295" s="8" t="str">
        <f ca="1">IFERROR(__xludf.DUMMYFUNCTION("""COMPUTED_VALUE"""),"O'Niell, Charles")</f>
        <v>O'Niell, Charles</v>
      </c>
      <c r="B14295" s="2"/>
      <c r="C14295" s="2"/>
      <c r="D14295" s="8" t="str">
        <f ca="1">IFERROR(__xludf.DUMMYFUNCTION("""COMPUTED_VALUE"""),"")</f>
        <v/>
      </c>
      <c r="E14295" s="2"/>
    </row>
    <row r="14296" spans="1:5" ht="13">
      <c r="A14296" s="8" t="str">
        <f ca="1">IFERROR(__xludf.DUMMYFUNCTION("""COMPUTED_VALUE"""),"Ohana, Maurice")</f>
        <v>Ohana, Maurice</v>
      </c>
      <c r="B14296" s="2"/>
      <c r="C14296" s="2"/>
      <c r="D14296" s="8" t="str">
        <f ca="1">IFERROR(__xludf.DUMMYFUNCTION("""COMPUTED_VALUE"""),"")</f>
        <v/>
      </c>
      <c r="E14296" s="2"/>
    </row>
    <row r="14297" spans="1:5" ht="13">
      <c r="A14297" s="8" t="str">
        <f ca="1">IFERROR(__xludf.DUMMYFUNCTION("""COMPUTED_VALUE"""),"Oldberg, Arne")</f>
        <v>Oldberg, Arne</v>
      </c>
      <c r="B14297" s="2"/>
      <c r="C14297" s="2"/>
      <c r="D14297" s="8" t="str">
        <f ca="1">IFERROR(__xludf.DUMMYFUNCTION("""COMPUTED_VALUE"""),"")</f>
        <v/>
      </c>
      <c r="E14297" s="2"/>
    </row>
    <row r="14298" spans="1:5" ht="13">
      <c r="A14298" s="8" t="str">
        <f ca="1">IFERROR(__xludf.DUMMYFUNCTION("""COMPUTED_VALUE"""),"Onderdonk")</f>
        <v>Onderdonk</v>
      </c>
      <c r="B14298" s="2"/>
      <c r="C14298" s="2"/>
      <c r="D14298" s="8" t="str">
        <f ca="1">IFERROR(__xludf.DUMMYFUNCTION("""COMPUTED_VALUE"""),"")</f>
        <v/>
      </c>
      <c r="E14298" s="2"/>
    </row>
    <row r="14299" spans="1:5" ht="13">
      <c r="A14299" s="8" t="str">
        <f ca="1">IFERROR(__xludf.DUMMYFUNCTION("""COMPUTED_VALUE"""),"Orbon, Julian")</f>
        <v>Orbon, Julian</v>
      </c>
      <c r="B14299" s="2"/>
      <c r="C14299" s="2"/>
      <c r="D14299" s="8" t="str">
        <f ca="1">IFERROR(__xludf.DUMMYFUNCTION("""COMPUTED_VALUE"""),"")</f>
        <v/>
      </c>
      <c r="E14299" s="2"/>
    </row>
    <row r="14300" spans="1:5" ht="13">
      <c r="A14300" s="8" t="str">
        <f ca="1">IFERROR(__xludf.DUMMYFUNCTION("""COMPUTED_VALUE"""),"Ornstein, Leo")</f>
        <v>Ornstein, Leo</v>
      </c>
      <c r="B14300" s="2"/>
      <c r="C14300" s="2"/>
      <c r="D14300" s="8" t="str">
        <f ca="1">IFERROR(__xludf.DUMMYFUNCTION("""COMPUTED_VALUE"""),"")</f>
        <v/>
      </c>
      <c r="E14300" s="2"/>
    </row>
    <row r="14301" spans="1:5" ht="13">
      <c r="A14301" s="8" t="str">
        <f ca="1">IFERROR(__xludf.DUMMYFUNCTION("""COMPUTED_VALUE"""),"Orrego-Salas, Juan")</f>
        <v>Orrego-Salas, Juan</v>
      </c>
      <c r="B14301" s="2"/>
      <c r="C14301" s="2"/>
      <c r="D14301" s="8" t="str">
        <f ca="1">IFERROR(__xludf.DUMMYFUNCTION("""COMPUTED_VALUE"""),"")</f>
        <v/>
      </c>
      <c r="E14301" s="2"/>
    </row>
    <row r="14302" spans="1:5" ht="13">
      <c r="A14302" s="8" t="str">
        <f ca="1">IFERROR(__xludf.DUMMYFUNCTION("""COMPUTED_VALUE"""),"Osher")</f>
        <v>Osher</v>
      </c>
      <c r="B14302" s="2"/>
      <c r="C14302" s="2"/>
      <c r="D14302" s="8" t="str">
        <f ca="1">IFERROR(__xludf.DUMMYFUNCTION("""COMPUTED_VALUE"""),"")</f>
        <v/>
      </c>
      <c r="E14302" s="2"/>
    </row>
    <row r="14303" spans="1:5" ht="13">
      <c r="A14303" s="8" t="str">
        <f ca="1">IFERROR(__xludf.DUMMYFUNCTION("""COMPUTED_VALUE"""),"Otescu, I. Nonna")</f>
        <v>Otescu, I. Nonna</v>
      </c>
      <c r="B14303" s="2"/>
      <c r="C14303" s="2"/>
      <c r="D14303" s="8" t="str">
        <f ca="1">IFERROR(__xludf.DUMMYFUNCTION("""COMPUTED_VALUE"""),"")</f>
        <v/>
      </c>
      <c r="E14303" s="2"/>
    </row>
    <row r="14304" spans="1:5" ht="13">
      <c r="A14304" s="8" t="str">
        <f ca="1">IFERROR(__xludf.DUMMYFUNCTION("""COMPUTED_VALUE"""),"Otey, Wendell")</f>
        <v>Otey, Wendell</v>
      </c>
      <c r="B14304" s="2"/>
      <c r="C14304" s="2"/>
      <c r="D14304" s="8" t="str">
        <f ca="1">IFERROR(__xludf.DUMMYFUNCTION("""COMPUTED_VALUE"""),"")</f>
        <v/>
      </c>
      <c r="E14304" s="2"/>
    </row>
    <row r="14305" spans="1:5" ht="13">
      <c r="A14305" s="8" t="str">
        <f ca="1">IFERROR(__xludf.DUMMYFUNCTION("""COMPUTED_VALUE"""),"Otis, Philo Adams")</f>
        <v>Otis, Philo Adams</v>
      </c>
      <c r="B14305" s="2"/>
      <c r="C14305" s="2"/>
      <c r="D14305" s="8" t="str">
        <f ca="1">IFERROR(__xludf.DUMMYFUNCTION("""COMPUTED_VALUE"""),"")</f>
        <v/>
      </c>
      <c r="E14305" s="2"/>
    </row>
    <row r="14306" spans="1:5" ht="13">
      <c r="A14306" s="8" t="str">
        <f ca="1">IFERROR(__xludf.DUMMYFUNCTION("""COMPUTED_VALUE"""),"Ott, Joseph")</f>
        <v>Ott, Joseph</v>
      </c>
      <c r="B14306" s="2"/>
      <c r="C14306" s="2"/>
      <c r="D14306" s="8" t="str">
        <f ca="1">IFERROR(__xludf.DUMMYFUNCTION("""COMPUTED_VALUE"""),"")</f>
        <v/>
      </c>
      <c r="E14306" s="2"/>
    </row>
    <row r="14307" spans="1:5" ht="13">
      <c r="A14307" s="8" t="str">
        <f ca="1">IFERROR(__xludf.DUMMYFUNCTION("""COMPUTED_VALUE"""),"Otterstrom, Thorwald")</f>
        <v>Otterstrom, Thorwald</v>
      </c>
      <c r="B14307" s="2"/>
      <c r="C14307" s="2"/>
      <c r="D14307" s="8" t="str">
        <f ca="1">IFERROR(__xludf.DUMMYFUNCTION("""COMPUTED_VALUE"""),"")</f>
        <v/>
      </c>
      <c r="E14307" s="2"/>
    </row>
    <row r="14308" spans="1:5" ht="13">
      <c r="A14308" s="8" t="str">
        <f ca="1">IFERROR(__xludf.DUMMYFUNCTION("""COMPUTED_VALUE"""),"Paer, Ferd")</f>
        <v>Paer, Ferd</v>
      </c>
      <c r="B14308" s="2"/>
      <c r="C14308" s="2"/>
      <c r="D14308" s="8" t="str">
        <f ca="1">IFERROR(__xludf.DUMMYFUNCTION("""COMPUTED_VALUE"""),"")</f>
        <v/>
      </c>
      <c r="E14308" s="2"/>
    </row>
    <row r="14309" spans="1:5" ht="13">
      <c r="A14309" s="8" t="str">
        <f ca="1">IFERROR(__xludf.DUMMYFUNCTION("""COMPUTED_VALUE"""),"Pakhmutova, Alexandra")</f>
        <v>Pakhmutova, Alexandra</v>
      </c>
      <c r="B14309" s="2"/>
      <c r="C14309" s="2"/>
      <c r="D14309" s="8" t="str">
        <f ca="1">IFERROR(__xludf.DUMMYFUNCTION("""COMPUTED_VALUE"""),"")</f>
        <v/>
      </c>
      <c r="E14309" s="2"/>
    </row>
    <row r="14310" spans="1:5" ht="13">
      <c r="A14310" s="8" t="str">
        <f ca="1">IFERROR(__xludf.DUMMYFUNCTION("""COMPUTED_VALUE"""),"Palau, Manul")</f>
        <v>Palau, Manul</v>
      </c>
      <c r="B14310" s="2"/>
      <c r="C14310" s="2"/>
      <c r="D14310" s="8" t="str">
        <f ca="1">IFERROR(__xludf.DUMMYFUNCTION("""COMPUTED_VALUE"""),"")</f>
        <v/>
      </c>
      <c r="E14310" s="2"/>
    </row>
    <row r="14311" spans="1:5" ht="13">
      <c r="A14311" s="8" t="str">
        <f ca="1">IFERROR(__xludf.DUMMYFUNCTION("""COMPUTED_VALUE"""),"Palester, Roman")</f>
        <v>Palester, Roman</v>
      </c>
      <c r="B14311" s="2"/>
      <c r="C14311" s="2"/>
      <c r="D14311" s="8" t="str">
        <f ca="1">IFERROR(__xludf.DUMMYFUNCTION("""COMPUTED_VALUE"""),"")</f>
        <v/>
      </c>
      <c r="E14311" s="2"/>
    </row>
    <row r="14312" spans="1:5" ht="13">
      <c r="A14312" s="8" t="str">
        <f ca="1">IFERROR(__xludf.DUMMYFUNCTION("""COMPUTED_VALUE"""),"Panizza, Hector")</f>
        <v>Panizza, Hector</v>
      </c>
      <c r="B14312" s="2"/>
      <c r="C14312" s="2"/>
      <c r="D14312" s="8" t="str">
        <f ca="1">IFERROR(__xludf.DUMMYFUNCTION("""COMPUTED_VALUE"""),"")</f>
        <v/>
      </c>
      <c r="E14312" s="2"/>
    </row>
    <row r="14313" spans="1:5" ht="13">
      <c r="A14313" s="8" t="str">
        <f ca="1">IFERROR(__xludf.DUMMYFUNCTION("""COMPUTED_VALUE"""),"Papaioannou, Yannis")</f>
        <v>Papaioannou, Yannis</v>
      </c>
      <c r="B14313" s="2"/>
      <c r="C14313" s="2"/>
      <c r="D14313" s="8" t="str">
        <f ca="1">IFERROR(__xludf.DUMMYFUNCTION("""COMPUTED_VALUE"""),"")</f>
        <v/>
      </c>
      <c r="E14313" s="2"/>
    </row>
    <row r="14314" spans="1:5" ht="13">
      <c r="A14314" s="8" t="str">
        <f ca="1">IFERROR(__xludf.DUMMYFUNCTION("""COMPUTED_VALUE"""),"Paray, Paul")</f>
        <v>Paray, Paul</v>
      </c>
      <c r="B14314" s="2"/>
      <c r="C14314" s="2"/>
      <c r="D14314" s="8" t="str">
        <f ca="1">IFERROR(__xludf.DUMMYFUNCTION("""COMPUTED_VALUE"""),"")</f>
        <v/>
      </c>
      <c r="E14314" s="2"/>
    </row>
    <row r="14315" spans="1:5" ht="13">
      <c r="A14315" s="8" t="str">
        <f ca="1">IFERROR(__xludf.DUMMYFUNCTION("""COMPUTED_VALUE"""),"Parchman, Gen Louis")</f>
        <v>Parchman, Gen Louis</v>
      </c>
      <c r="B14315" s="2"/>
      <c r="C14315" s="2"/>
      <c r="D14315" s="8" t="str">
        <f ca="1">IFERROR(__xludf.DUMMYFUNCTION("""COMPUTED_VALUE"""),"")</f>
        <v/>
      </c>
      <c r="E14315" s="2"/>
    </row>
    <row r="14316" spans="1:5" ht="13">
      <c r="A14316" s="8" t="str">
        <f ca="1">IFERROR(__xludf.DUMMYFUNCTION("""COMPUTED_VALUE"""),"Parish-Alvars, Elias")</f>
        <v>Parish-Alvars, Elias</v>
      </c>
      <c r="B14316" s="2"/>
      <c r="C14316" s="2"/>
      <c r="D14316" s="8" t="str">
        <f ca="1">IFERROR(__xludf.DUMMYFUNCTION("""COMPUTED_VALUE"""),"")</f>
        <v/>
      </c>
      <c r="E14316" s="2"/>
    </row>
    <row r="14317" spans="1:5" ht="13">
      <c r="A14317" s="8" t="str">
        <f ca="1">IFERROR(__xludf.DUMMYFUNCTION("""COMPUTED_VALUE"""),"Parris, Robert")</f>
        <v>Parris, Robert</v>
      </c>
      <c r="B14317" s="2"/>
      <c r="C14317" s="2"/>
      <c r="D14317" s="8" t="str">
        <f ca="1">IFERROR(__xludf.DUMMYFUNCTION("""COMPUTED_VALUE"""),"")</f>
        <v/>
      </c>
      <c r="E14317" s="2"/>
    </row>
    <row r="14318" spans="1:5" ht="13">
      <c r="A14318" s="8" t="str">
        <f ca="1">IFERROR(__xludf.DUMMYFUNCTION("""COMPUTED_VALUE"""),"Partos, Odon")</f>
        <v>Partos, Odon</v>
      </c>
      <c r="B14318" s="2"/>
      <c r="C14318" s="2"/>
      <c r="D14318" s="8" t="str">
        <f ca="1">IFERROR(__xludf.DUMMYFUNCTION("""COMPUTED_VALUE"""),"")</f>
        <v/>
      </c>
      <c r="E14318" s="2"/>
    </row>
    <row r="14319" spans="1:5" ht="13">
      <c r="A14319" s="8" t="str">
        <f ca="1">IFERROR(__xludf.DUMMYFUNCTION("""COMPUTED_VALUE"""),"Pascal, Claude")</f>
        <v>Pascal, Claude</v>
      </c>
      <c r="B14319" s="2"/>
      <c r="C14319" s="2"/>
      <c r="D14319" s="8" t="str">
        <f ca="1">IFERROR(__xludf.DUMMYFUNCTION("""COMPUTED_VALUE"""),"")</f>
        <v/>
      </c>
      <c r="E14319" s="2"/>
    </row>
    <row r="14320" spans="1:5" ht="13">
      <c r="A14320" s="8" t="str">
        <f ca="1">IFERROR(__xludf.DUMMYFUNCTION("""COMPUTED_VALUE"""),"Pendleton, Edmund")</f>
        <v>Pendleton, Edmund</v>
      </c>
      <c r="B14320" s="2"/>
      <c r="C14320" s="2"/>
      <c r="D14320" s="8" t="str">
        <f ca="1">IFERROR(__xludf.DUMMYFUNCTION("""COMPUTED_VALUE"""),"")</f>
        <v/>
      </c>
      <c r="E14320" s="2"/>
    </row>
    <row r="14321" spans="1:5" ht="13">
      <c r="A14321" s="8" t="str">
        <f ca="1">IFERROR(__xludf.DUMMYFUNCTION("""COMPUTED_VALUE"""),"Peragallo, Mario")</f>
        <v>Peragallo, Mario</v>
      </c>
      <c r="B14321" s="2"/>
      <c r="C14321" s="2"/>
      <c r="D14321" s="8" t="str">
        <f ca="1">IFERROR(__xludf.DUMMYFUNCTION("""COMPUTED_VALUE"""),"")</f>
        <v/>
      </c>
      <c r="E14321" s="2"/>
    </row>
    <row r="14322" spans="1:5" ht="13">
      <c r="A14322" s="8" t="str">
        <f ca="1">IFERROR(__xludf.DUMMYFUNCTION("""COMPUTED_VALUE"""),"Peri, Jacopo")</f>
        <v>Peri, Jacopo</v>
      </c>
      <c r="B14322" s="2"/>
      <c r="C14322" s="2"/>
      <c r="D14322" s="8" t="str">
        <f ca="1">IFERROR(__xludf.DUMMYFUNCTION("""COMPUTED_VALUE"""),"")</f>
        <v/>
      </c>
      <c r="E14322" s="2"/>
    </row>
    <row r="14323" spans="1:5" ht="13">
      <c r="A14323" s="8" t="str">
        <f ca="1">IFERROR(__xludf.DUMMYFUNCTION("""COMPUTED_VALUE"""),"Perinello, Carlo")</f>
        <v>Perinello, Carlo</v>
      </c>
      <c r="B14323" s="2"/>
      <c r="C14323" s="2"/>
      <c r="D14323" s="8" t="str">
        <f ca="1">IFERROR(__xludf.DUMMYFUNCTION("""COMPUTED_VALUE"""),"")</f>
        <v/>
      </c>
      <c r="E14323" s="2"/>
    </row>
    <row r="14324" spans="1:5" ht="13">
      <c r="A14324" s="8" t="str">
        <f ca="1">IFERROR(__xludf.DUMMYFUNCTION("""COMPUTED_VALUE"""),"Perkins, John")</f>
        <v>Perkins, John</v>
      </c>
      <c r="B14324" s="2"/>
      <c r="C14324" s="2"/>
      <c r="D14324" s="8" t="str">
        <f ca="1">IFERROR(__xludf.DUMMYFUNCTION("""COMPUTED_VALUE"""),"")</f>
        <v/>
      </c>
      <c r="E14324" s="2"/>
    </row>
    <row r="14325" spans="1:5" ht="13">
      <c r="A14325" s="8" t="str">
        <f ca="1">IFERROR(__xludf.DUMMYFUNCTION("""COMPUTED_VALUE"""),"Perle, George")</f>
        <v>Perle, George</v>
      </c>
      <c r="B14325" s="2"/>
      <c r="C14325" s="2"/>
      <c r="D14325" s="8" t="str">
        <f ca="1">IFERROR(__xludf.DUMMYFUNCTION("""COMPUTED_VALUE"""),"")</f>
        <v/>
      </c>
      <c r="E14325" s="2"/>
    </row>
    <row r="14326" spans="1:5" ht="13">
      <c r="A14326" s="8" t="str">
        <f ca="1">IFERROR(__xludf.DUMMYFUNCTION("""COMPUTED_VALUE"""),"Perotinus")</f>
        <v>Perotinus</v>
      </c>
      <c r="B14326" s="2"/>
      <c r="C14326" s="2"/>
      <c r="D14326" s="8" t="str">
        <f ca="1">IFERROR(__xludf.DUMMYFUNCTION("""COMPUTED_VALUE"""),"")</f>
        <v/>
      </c>
      <c r="E14326" s="2"/>
    </row>
    <row r="14327" spans="1:5" ht="13">
      <c r="A14327" s="8" t="str">
        <f ca="1">IFERROR(__xludf.DUMMYFUNCTION("""COMPUTED_VALUE"""),"Perpessa, Harilaos")</f>
        <v>Perpessa, Harilaos</v>
      </c>
      <c r="B14327" s="2"/>
      <c r="C14327" s="2"/>
      <c r="D14327" s="8" t="str">
        <f ca="1">IFERROR(__xludf.DUMMYFUNCTION("""COMPUTED_VALUE"""),"")</f>
        <v/>
      </c>
      <c r="E14327" s="2"/>
    </row>
    <row r="14328" spans="1:5" ht="13">
      <c r="A14328" s="8" t="str">
        <f ca="1">IFERROR(__xludf.DUMMYFUNCTION("""COMPUTED_VALUE"""),"Pescara, Aurelio")</f>
        <v>Pescara, Aurelio</v>
      </c>
      <c r="B14328" s="2"/>
      <c r="C14328" s="2"/>
      <c r="D14328" s="8" t="str">
        <f ca="1">IFERROR(__xludf.DUMMYFUNCTION("""COMPUTED_VALUE"""),"")</f>
        <v/>
      </c>
      <c r="E14328" s="2"/>
    </row>
    <row r="14329" spans="1:5" ht="13">
      <c r="A14329" s="8" t="str">
        <f ca="1">IFERROR(__xludf.DUMMYFUNCTION("""COMPUTED_VALUE"""),"Peterson-Berger, Olaf")</f>
        <v>Peterson-Berger, Olaf</v>
      </c>
      <c r="B14329" s="2"/>
      <c r="C14329" s="2"/>
      <c r="D14329" s="8" t="str">
        <f ca="1">IFERROR(__xludf.DUMMYFUNCTION("""COMPUTED_VALUE"""),"")</f>
        <v/>
      </c>
      <c r="E14329" s="2"/>
    </row>
    <row r="14330" spans="1:5" ht="13">
      <c r="A14330" s="8" t="str">
        <f ca="1">IFERROR(__xludf.DUMMYFUNCTION("""COMPUTED_VALUE"""),"Peterson, Wayne")</f>
        <v>Peterson, Wayne</v>
      </c>
      <c r="B14330" s="2"/>
      <c r="C14330" s="2"/>
      <c r="D14330" s="8" t="str">
        <f ca="1">IFERROR(__xludf.DUMMYFUNCTION("""COMPUTED_VALUE"""),"")</f>
        <v/>
      </c>
      <c r="E14330" s="2"/>
    </row>
    <row r="14331" spans="1:5" ht="13">
      <c r="A14331" s="8" t="str">
        <f ca="1">IFERROR(__xludf.DUMMYFUNCTION("""COMPUTED_VALUE"""),"Petridis, Petro")</f>
        <v>Petridis, Petro</v>
      </c>
      <c r="B14331" s="2"/>
      <c r="C14331" s="2"/>
      <c r="D14331" s="8" t="str">
        <f ca="1">IFERROR(__xludf.DUMMYFUNCTION("""COMPUTED_VALUE"""),"")</f>
        <v/>
      </c>
      <c r="E14331" s="2"/>
    </row>
    <row r="14332" spans="1:5" ht="13">
      <c r="A14332" s="8" t="str">
        <f ca="1">IFERROR(__xludf.DUMMYFUNCTION("""COMPUTED_VALUE"""),"Petzold, Johann")</f>
        <v>Petzold, Johann</v>
      </c>
      <c r="B14332" s="2"/>
      <c r="C14332" s="2"/>
      <c r="D14332" s="8" t="str">
        <f ca="1">IFERROR(__xludf.DUMMYFUNCTION("""COMPUTED_VALUE"""),"")</f>
        <v/>
      </c>
      <c r="E14332" s="2"/>
    </row>
    <row r="14333" spans="1:5" ht="13">
      <c r="A14333" s="8" t="str">
        <f ca="1">IFERROR(__xludf.DUMMYFUNCTION("""COMPUTED_VALUE"""),"Pfeiffer, Theodore")</f>
        <v>Pfeiffer, Theodore</v>
      </c>
      <c r="B14333" s="2"/>
      <c r="C14333" s="2"/>
      <c r="D14333" s="8" t="str">
        <f ca="1">IFERROR(__xludf.DUMMYFUNCTION("""COMPUTED_VALUE"""),"")</f>
        <v/>
      </c>
      <c r="E14333" s="2"/>
    </row>
    <row r="14334" spans="1:5" ht="13">
      <c r="A14334" s="8" t="str">
        <f ca="1">IFERROR(__xludf.DUMMYFUNCTION("""COMPUTED_VALUE"""),"Phelps, Norman")</f>
        <v>Phelps, Norman</v>
      </c>
      <c r="B14334" s="2"/>
      <c r="C14334" s="2"/>
      <c r="D14334" s="8" t="str">
        <f ca="1">IFERROR(__xludf.DUMMYFUNCTION("""COMPUTED_VALUE"""),"")</f>
        <v/>
      </c>
      <c r="E14334" s="2"/>
    </row>
    <row r="14335" spans="1:5" ht="13">
      <c r="A14335" s="8" t="str">
        <f ca="1">IFERROR(__xludf.DUMMYFUNCTION("""COMPUTED_VALUE"""),"Phillips, Montague")</f>
        <v>Phillips, Montague</v>
      </c>
      <c r="B14335" s="2"/>
      <c r="C14335" s="2"/>
      <c r="D14335" s="8" t="str">
        <f ca="1">IFERROR(__xludf.DUMMYFUNCTION("""COMPUTED_VALUE"""),"")</f>
        <v/>
      </c>
      <c r="E14335" s="2"/>
    </row>
    <row r="14336" spans="1:5" ht="13">
      <c r="A14336" s="8" t="str">
        <f ca="1">IFERROR(__xludf.DUMMYFUNCTION("""COMPUTED_VALUE"""),"Phillips, Van")</f>
        <v>Phillips, Van</v>
      </c>
      <c r="B14336" s="2"/>
      <c r="C14336" s="2"/>
      <c r="D14336" s="8" t="str">
        <f ca="1">IFERROR(__xludf.DUMMYFUNCTION("""COMPUTED_VALUE"""),"")</f>
        <v/>
      </c>
      <c r="E14336" s="2"/>
    </row>
    <row r="14337" spans="1:5" ht="13">
      <c r="A14337" s="8" t="str">
        <f ca="1">IFERROR(__xludf.DUMMYFUNCTION("""COMPUTED_VALUE"""),"Piatagorsky, Gregor")</f>
        <v>Piatagorsky, Gregor</v>
      </c>
      <c r="B14337" s="2"/>
      <c r="C14337" s="2"/>
      <c r="D14337" s="8" t="str">
        <f ca="1">IFERROR(__xludf.DUMMYFUNCTION("""COMPUTED_VALUE"""),"")</f>
        <v/>
      </c>
      <c r="E14337" s="2"/>
    </row>
    <row r="14338" spans="1:5" ht="13">
      <c r="A14338" s="8" t="str">
        <f ca="1">IFERROR(__xludf.DUMMYFUNCTION("""COMPUTED_VALUE"""),"Pick-Mangiagalli, Riccardo")</f>
        <v>Pick-Mangiagalli, Riccardo</v>
      </c>
      <c r="B14338" s="2"/>
      <c r="C14338" s="2"/>
      <c r="D14338" s="8" t="str">
        <f ca="1">IFERROR(__xludf.DUMMYFUNCTION("""COMPUTED_VALUE"""),"")</f>
        <v/>
      </c>
      <c r="E14338" s="2"/>
    </row>
    <row r="14339" spans="1:5" ht="13">
      <c r="A14339" s="8" t="str">
        <f ca="1">IFERROR(__xludf.DUMMYFUNCTION("""COMPUTED_VALUE"""),"Pickhardt, Ione")</f>
        <v>Pickhardt, Ione</v>
      </c>
      <c r="B14339" s="2"/>
      <c r="C14339" s="2"/>
      <c r="D14339" s="8" t="str">
        <f ca="1">IFERROR(__xludf.DUMMYFUNCTION("""COMPUTED_VALUE"""),"")</f>
        <v/>
      </c>
      <c r="E14339" s="2"/>
    </row>
    <row r="14340" spans="1:5" ht="13">
      <c r="A14340" s="8" t="str">
        <f ca="1">IFERROR(__xludf.DUMMYFUNCTION("""COMPUTED_VALUE"""),"Pijper, William")</f>
        <v>Pijper, William</v>
      </c>
      <c r="B14340" s="2"/>
      <c r="C14340" s="2"/>
      <c r="D14340" s="8" t="str">
        <f ca="1">IFERROR(__xludf.DUMMYFUNCTION("""COMPUTED_VALUE"""),"")</f>
        <v/>
      </c>
      <c r="E14340" s="2"/>
    </row>
    <row r="14341" spans="1:5" ht="13">
      <c r="A14341" s="8" t="str">
        <f ca="1">IFERROR(__xludf.DUMMYFUNCTION("""COMPUTED_VALUE"""),"Pilati, Mario")</f>
        <v>Pilati, Mario</v>
      </c>
      <c r="B14341" s="2"/>
      <c r="C14341" s="2"/>
      <c r="D14341" s="8" t="str">
        <f ca="1">IFERROR(__xludf.DUMMYFUNCTION("""COMPUTED_VALUE"""),"")</f>
        <v/>
      </c>
      <c r="E14341" s="2"/>
    </row>
    <row r="14342" spans="1:5" ht="13">
      <c r="A14342" s="8" t="str">
        <f ca="1">IFERROR(__xludf.DUMMYFUNCTION("""COMPUTED_VALUE"""),"Pingoud, Ernest")</f>
        <v>Pingoud, Ernest</v>
      </c>
      <c r="B14342" s="2"/>
      <c r="C14342" s="2"/>
      <c r="D14342" s="8" t="str">
        <f ca="1">IFERROR(__xludf.DUMMYFUNCTION("""COMPUTED_VALUE"""),"")</f>
        <v/>
      </c>
      <c r="E14342" s="2"/>
    </row>
    <row r="14343" spans="1:5" ht="13">
      <c r="A14343" s="8" t="str">
        <f ca="1">IFERROR(__xludf.DUMMYFUNCTION("""COMPUTED_VALUE"""),"Pinsuti, Ciro")</f>
        <v>Pinsuti, Ciro</v>
      </c>
      <c r="B14343" s="2"/>
      <c r="C14343" s="2"/>
      <c r="D14343" s="8" t="str">
        <f ca="1">IFERROR(__xludf.DUMMYFUNCTION("""COMPUTED_VALUE"""),"")</f>
        <v/>
      </c>
      <c r="E14343" s="2"/>
    </row>
    <row r="14344" spans="1:5" ht="13">
      <c r="A14344" s="8" t="str">
        <f ca="1">IFERROR(__xludf.DUMMYFUNCTION("""COMPUTED_VALUE"""),"Pisk, Paul")</f>
        <v>Pisk, Paul</v>
      </c>
      <c r="B14344" s="2"/>
      <c r="C14344" s="2"/>
      <c r="D14344" s="8" t="str">
        <f ca="1">IFERROR(__xludf.DUMMYFUNCTION("""COMPUTED_VALUE"""),"")</f>
        <v/>
      </c>
      <c r="E14344" s="2"/>
    </row>
    <row r="14345" spans="1:5" ht="13">
      <c r="A14345" s="8" t="str">
        <f ca="1">IFERROR(__xludf.DUMMYFUNCTION("""COMPUTED_VALUE"""),"Pitt, Percy")</f>
        <v>Pitt, Percy</v>
      </c>
      <c r="B14345" s="2"/>
      <c r="C14345" s="2"/>
      <c r="D14345" s="8" t="str">
        <f ca="1">IFERROR(__xludf.DUMMYFUNCTION("""COMPUTED_VALUE"""),"")</f>
        <v/>
      </c>
      <c r="E14345" s="2"/>
    </row>
    <row r="14346" spans="1:5" ht="13">
      <c r="A14346" s="8" t="str">
        <f ca="1">IFERROR(__xludf.DUMMYFUNCTION("""COMPUTED_VALUE"""),"Pittaluga, Gustavo")</f>
        <v>Pittaluga, Gustavo</v>
      </c>
      <c r="B14346" s="2"/>
      <c r="C14346" s="2"/>
      <c r="D14346" s="8" t="str">
        <f ca="1">IFERROR(__xludf.DUMMYFUNCTION("""COMPUTED_VALUE"""),"")</f>
        <v/>
      </c>
      <c r="E14346" s="2"/>
    </row>
    <row r="14347" spans="1:5" ht="13">
      <c r="A14347" s="8" t="str">
        <f ca="1">IFERROR(__xludf.DUMMYFUNCTION("""COMPUTED_VALUE"""),"Poenitz, Franz")</f>
        <v>Poenitz, Franz</v>
      </c>
      <c r="B14347" s="2"/>
      <c r="C14347" s="2"/>
      <c r="D14347" s="8" t="str">
        <f ca="1">IFERROR(__xludf.DUMMYFUNCTION("""COMPUTED_VALUE"""),"")</f>
        <v/>
      </c>
      <c r="E14347" s="2"/>
    </row>
    <row r="14348" spans="1:5" ht="13">
      <c r="A14348" s="8" t="str">
        <f ca="1">IFERROR(__xludf.DUMMYFUNCTION("""COMPUTED_VALUE"""),"Pohlig, Carl")</f>
        <v>Pohlig, Carl</v>
      </c>
      <c r="B14348" s="2"/>
      <c r="C14348" s="2"/>
      <c r="D14348" s="8" t="str">
        <f ca="1">IFERROR(__xludf.DUMMYFUNCTION("""COMPUTED_VALUE"""),"")</f>
        <v/>
      </c>
      <c r="E14348" s="2"/>
    </row>
    <row r="14349" spans="1:5" ht="13">
      <c r="A14349" s="8" t="str">
        <f ca="1">IFERROR(__xludf.DUMMYFUNCTION("""COMPUTED_VALUE"""),"Pons, Jose")</f>
        <v>Pons, Jose</v>
      </c>
      <c r="B14349" s="2"/>
      <c r="C14349" s="2"/>
      <c r="D14349" s="8" t="str">
        <f ca="1">IFERROR(__xludf.DUMMYFUNCTION("""COMPUTED_VALUE"""),"")</f>
        <v/>
      </c>
      <c r="E14349" s="2"/>
    </row>
    <row r="14350" spans="1:5" ht="13">
      <c r="A14350" s="8" t="str">
        <f ca="1">IFERROR(__xludf.DUMMYFUNCTION("""COMPUTED_VALUE"""),"Poot, Marcel")</f>
        <v>Poot, Marcel</v>
      </c>
      <c r="B14350" s="2"/>
      <c r="C14350" s="2"/>
      <c r="D14350" s="8" t="str">
        <f ca="1">IFERROR(__xludf.DUMMYFUNCTION("""COMPUTED_VALUE"""),"")</f>
        <v/>
      </c>
      <c r="E14350" s="2"/>
    </row>
    <row r="14351" spans="1:5" ht="13">
      <c r="A14351" s="8" t="str">
        <f ca="1">IFERROR(__xludf.DUMMYFUNCTION("""COMPUTED_VALUE"""),"Porrino, Ennio")</f>
        <v>Porrino, Ennio</v>
      </c>
      <c r="B14351" s="2"/>
      <c r="C14351" s="2"/>
      <c r="D14351" s="8" t="str">
        <f ca="1">IFERROR(__xludf.DUMMYFUNCTION("""COMPUTED_VALUE"""),"")</f>
        <v/>
      </c>
      <c r="E14351" s="2"/>
    </row>
    <row r="14352" spans="1:5" ht="13">
      <c r="A14352" s="8" t="str">
        <f ca="1">IFERROR(__xludf.DUMMYFUNCTION("""COMPUTED_VALUE"""),"Potjes")</f>
        <v>Potjes</v>
      </c>
      <c r="B14352" s="2"/>
      <c r="C14352" s="2"/>
      <c r="D14352" s="8" t="str">
        <f ca="1">IFERROR(__xludf.DUMMYFUNCTION("""COMPUTED_VALUE"""),"")</f>
        <v/>
      </c>
      <c r="E14352" s="2"/>
    </row>
    <row r="14353" spans="1:5" ht="13">
      <c r="A14353" s="8" t="str">
        <f ca="1">IFERROR(__xludf.DUMMYFUNCTION("""COMPUTED_VALUE"""),"Potter, Edward C.")</f>
        <v>Potter, Edward C.</v>
      </c>
      <c r="B14353" s="2"/>
      <c r="C14353" s="2"/>
      <c r="D14353" s="8" t="str">
        <f ca="1">IFERROR(__xludf.DUMMYFUNCTION("""COMPUTED_VALUE"""),"")</f>
        <v/>
      </c>
      <c r="E14353" s="2"/>
    </row>
    <row r="14354" spans="1:5" ht="13">
      <c r="A14354" s="8" t="str">
        <f ca="1">IFERROR(__xludf.DUMMYFUNCTION("""COMPUTED_VALUE"""),"Pousseur, Henri")</f>
        <v>Pousseur, Henri</v>
      </c>
      <c r="B14354" s="2"/>
      <c r="C14354" s="2"/>
      <c r="D14354" s="8" t="str">
        <f ca="1">IFERROR(__xludf.DUMMYFUNCTION("""COMPUTED_VALUE"""),"")</f>
        <v/>
      </c>
      <c r="E14354" s="2"/>
    </row>
    <row r="14355" spans="1:5" ht="13">
      <c r="A14355" s="8" t="str">
        <f ca="1">IFERROR(__xludf.DUMMYFUNCTION("""COMPUTED_VALUE"""),"Powell")</f>
        <v>Powell</v>
      </c>
      <c r="B14355" s="2"/>
      <c r="C14355" s="2"/>
      <c r="D14355" s="8" t="str">
        <f ca="1">IFERROR(__xludf.DUMMYFUNCTION("""COMPUTED_VALUE"""),"")</f>
        <v/>
      </c>
      <c r="E14355" s="2"/>
    </row>
    <row r="14356" spans="1:5" ht="13">
      <c r="A14356" s="8" t="str">
        <f ca="1">IFERROR(__xludf.DUMMYFUNCTION("""COMPUTED_VALUE"""),"Preyer, Gottfried")</f>
        <v>Preyer, Gottfried</v>
      </c>
      <c r="B14356" s="2"/>
      <c r="C14356" s="2"/>
      <c r="D14356" s="8" t="str">
        <f ca="1">IFERROR(__xludf.DUMMYFUNCTION("""COMPUTED_VALUE"""),"")</f>
        <v/>
      </c>
      <c r="E14356" s="2"/>
    </row>
    <row r="14357" spans="1:5" ht="13">
      <c r="A14357" s="8" t="str">
        <f ca="1">IFERROR(__xludf.DUMMYFUNCTION("""COMPUTED_VALUE"""),"Prince, Robert")</f>
        <v>Prince, Robert</v>
      </c>
      <c r="B14357" s="2"/>
      <c r="C14357" s="2"/>
      <c r="D14357" s="8" t="str">
        <f ca="1">IFERROR(__xludf.DUMMYFUNCTION("""COMPUTED_VALUE"""),"")</f>
        <v/>
      </c>
      <c r="E14357" s="2"/>
    </row>
    <row r="14358" spans="1:5" ht="13">
      <c r="A14358" s="8" t="str">
        <f ca="1">IFERROR(__xludf.DUMMYFUNCTION("""COMPUTED_VALUE"""),"Prinz, Leonhard")</f>
        <v>Prinz, Leonhard</v>
      </c>
      <c r="B14358" s="2"/>
      <c r="C14358" s="2"/>
      <c r="D14358" s="8" t="str">
        <f ca="1">IFERROR(__xludf.DUMMYFUNCTION("""COMPUTED_VALUE"""),"")</f>
        <v/>
      </c>
      <c r="E14358" s="2"/>
    </row>
    <row r="14359" spans="1:5" ht="13">
      <c r="A14359" s="8" t="str">
        <f ca="1">IFERROR(__xludf.DUMMYFUNCTION("""COMPUTED_VALUE"""),"Prohaska, Felix")</f>
        <v>Prohaska, Felix</v>
      </c>
      <c r="B14359" s="2"/>
      <c r="C14359" s="2"/>
      <c r="D14359" s="8" t="str">
        <f ca="1">IFERROR(__xludf.DUMMYFUNCTION("""COMPUTED_VALUE"""),"")</f>
        <v/>
      </c>
      <c r="E14359" s="2"/>
    </row>
    <row r="14360" spans="1:5" ht="13">
      <c r="A14360" s="8" t="str">
        <f ca="1">IFERROR(__xludf.DUMMYFUNCTION("""COMPUTED_VALUE"""),"Prume, Jehin")</f>
        <v>Prume, Jehin</v>
      </c>
      <c r="B14360" s="2"/>
      <c r="C14360" s="2"/>
      <c r="D14360" s="8" t="str">
        <f ca="1">IFERROR(__xludf.DUMMYFUNCTION("""COMPUTED_VALUE"""),"")</f>
        <v/>
      </c>
      <c r="E14360" s="2"/>
    </row>
    <row r="14361" spans="1:5" ht="13">
      <c r="A14361" s="8" t="str">
        <f ca="1">IFERROR(__xludf.DUMMYFUNCTION("""COMPUTED_VALUE"""),"Prydatkevytch")</f>
        <v>Prydatkevytch</v>
      </c>
      <c r="B14361" s="2"/>
      <c r="C14361" s="2"/>
      <c r="D14361" s="8" t="str">
        <f ca="1">IFERROR(__xludf.DUMMYFUNCTION("""COMPUTED_VALUE"""),"")</f>
        <v/>
      </c>
      <c r="E14361" s="2"/>
    </row>
    <row r="14362" spans="1:5" ht="13">
      <c r="A14362" s="8" t="str">
        <f ca="1">IFERROR(__xludf.DUMMYFUNCTION("""COMPUTED_VALUE"""),"Psahos")</f>
        <v>Psahos</v>
      </c>
      <c r="B14362" s="2"/>
      <c r="C14362" s="2"/>
      <c r="D14362" s="8" t="str">
        <f ca="1">IFERROR(__xludf.DUMMYFUNCTION("""COMPUTED_VALUE"""),"")</f>
        <v/>
      </c>
      <c r="E14362" s="2"/>
    </row>
    <row r="14363" spans="1:5" ht="13">
      <c r="A14363" s="8" t="str">
        <f ca="1">IFERROR(__xludf.DUMMYFUNCTION("""COMPUTED_VALUE"""),"Quantz, Johann")</f>
        <v>Quantz, Johann</v>
      </c>
      <c r="B14363" s="2"/>
      <c r="C14363" s="2"/>
      <c r="D14363" s="8" t="str">
        <f ca="1">IFERROR(__xludf.DUMMYFUNCTION("""COMPUTED_VALUE"""),"")</f>
        <v/>
      </c>
      <c r="E14363" s="2"/>
    </row>
    <row r="14364" spans="1:5" ht="13">
      <c r="A14364" s="8" t="str">
        <f ca="1">IFERROR(__xludf.DUMMYFUNCTION("""COMPUTED_VALUE"""),"Rainger, Ralph")</f>
        <v>Rainger, Ralph</v>
      </c>
      <c r="B14364" s="2"/>
      <c r="C14364" s="2"/>
      <c r="D14364" s="8" t="str">
        <f ca="1">IFERROR(__xludf.DUMMYFUNCTION("""COMPUTED_VALUE"""),"")</f>
        <v/>
      </c>
      <c r="E14364" s="2"/>
    </row>
    <row r="14365" spans="1:5" ht="13">
      <c r="A14365" s="8" t="str">
        <f ca="1">IFERROR(__xludf.DUMMYFUNCTION("""COMPUTED_VALUE"""),"Raksin, David")</f>
        <v>Raksin, David</v>
      </c>
      <c r="B14365" s="2"/>
      <c r="C14365" s="2"/>
      <c r="D14365" s="8" t="str">
        <f ca="1">IFERROR(__xludf.DUMMYFUNCTION("""COMPUTED_VALUE"""),"")</f>
        <v/>
      </c>
      <c r="E14365" s="2"/>
    </row>
    <row r="14366" spans="1:5" ht="13">
      <c r="A14366" s="8" t="str">
        <f ca="1">IFERROR(__xludf.DUMMYFUNCTION("""COMPUTED_VALUE"""),"Rangstr, Ture")</f>
        <v>Rangstr, Ture</v>
      </c>
      <c r="B14366" s="2"/>
      <c r="C14366" s="2"/>
      <c r="D14366" s="8" t="str">
        <f ca="1">IFERROR(__xludf.DUMMYFUNCTION("""COMPUTED_VALUE"""),"")</f>
        <v/>
      </c>
      <c r="E14366" s="2"/>
    </row>
    <row r="14367" spans="1:5" ht="13">
      <c r="A14367" s="8" t="str">
        <f ca="1">IFERROR(__xludf.DUMMYFUNCTION("""COMPUTED_VALUE"""),"Ratner, Leonard")</f>
        <v>Ratner, Leonard</v>
      </c>
      <c r="B14367" s="2"/>
      <c r="C14367" s="2"/>
      <c r="D14367" s="8" t="str">
        <f ca="1">IFERROR(__xludf.DUMMYFUNCTION("""COMPUTED_VALUE"""),"")</f>
        <v/>
      </c>
      <c r="E14367" s="2"/>
    </row>
    <row r="14368" spans="1:5" ht="13">
      <c r="A14368" s="8" t="str">
        <f ca="1">IFERROR(__xludf.DUMMYFUNCTION("""COMPUTED_VALUE"""),"Reddick, William")</f>
        <v>Reddick, William</v>
      </c>
      <c r="B14368" s="2"/>
      <c r="C14368" s="2"/>
      <c r="D14368" s="8" t="str">
        <f ca="1">IFERROR(__xludf.DUMMYFUNCTION("""COMPUTED_VALUE"""),"")</f>
        <v/>
      </c>
      <c r="E14368" s="2"/>
    </row>
    <row r="14369" spans="1:5" ht="13">
      <c r="A14369" s="8" t="str">
        <f ca="1">IFERROR(__xludf.DUMMYFUNCTION("""COMPUTED_VALUE"""),"Reg Connelly Jimmy Campbell")</f>
        <v>Reg Connelly Jimmy Campbell</v>
      </c>
      <c r="B14369" s="2"/>
      <c r="C14369" s="2"/>
      <c r="D14369" s="8" t="str">
        <f ca="1">IFERROR(__xludf.DUMMYFUNCTION("""COMPUTED_VALUE"""),"")</f>
        <v/>
      </c>
      <c r="E14369" s="2"/>
    </row>
    <row r="14370" spans="1:5" ht="13">
      <c r="A14370" s="8" t="str">
        <f ca="1">IFERROR(__xludf.DUMMYFUNCTION("""COMPUTED_VALUE"""),"Regamey, Constantin")</f>
        <v>Regamey, Constantin</v>
      </c>
      <c r="B14370" s="2"/>
      <c r="C14370" s="2"/>
      <c r="D14370" s="8" t="str">
        <f ca="1">IFERROR(__xludf.DUMMYFUNCTION("""COMPUTED_VALUE"""),"")</f>
        <v/>
      </c>
      <c r="E14370" s="2"/>
    </row>
    <row r="14371" spans="1:5" ht="13">
      <c r="A14371" s="8" t="str">
        <f ca="1">IFERROR(__xludf.DUMMYFUNCTION("""COMPUTED_VALUE"""),"Reicha, Antonin")</f>
        <v>Reicha, Antonin</v>
      </c>
      <c r="B14371" s="2"/>
      <c r="C14371" s="2"/>
      <c r="D14371" s="8" t="str">
        <f ca="1">IFERROR(__xludf.DUMMYFUNCTION("""COMPUTED_VALUE"""),"")</f>
        <v/>
      </c>
      <c r="E14371" s="2"/>
    </row>
    <row r="14372" spans="1:5" ht="13">
      <c r="A14372" s="8" t="str">
        <f ca="1">IFERROR(__xludf.DUMMYFUNCTION("""COMPUTED_VALUE"""),"Reinhold, Hugo")</f>
        <v>Reinhold, Hugo</v>
      </c>
      <c r="B14372" s="2"/>
      <c r="C14372" s="2"/>
      <c r="D14372" s="8" t="str">
        <f ca="1">IFERROR(__xludf.DUMMYFUNCTION("""COMPUTED_VALUE"""),"")</f>
        <v/>
      </c>
      <c r="E14372" s="2"/>
    </row>
    <row r="14373" spans="1:5" ht="13">
      <c r="A14373" s="8" t="str">
        <f ca="1">IFERROR(__xludf.DUMMYFUNCTION("""COMPUTED_VALUE"""),"Reiser, Alois")</f>
        <v>Reiser, Alois</v>
      </c>
      <c r="B14373" s="2"/>
      <c r="C14373" s="2"/>
      <c r="D14373" s="8" t="str">
        <f ca="1">IFERROR(__xludf.DUMMYFUNCTION("""COMPUTED_VALUE"""),"")</f>
        <v/>
      </c>
      <c r="E14373" s="2"/>
    </row>
    <row r="14374" spans="1:5" ht="13">
      <c r="A14374" s="8" t="str">
        <f ca="1">IFERROR(__xludf.DUMMYFUNCTION("""COMPUTED_VALUE"""),"Reissiger, Karl")</f>
        <v>Reissiger, Karl</v>
      </c>
      <c r="B14374" s="2"/>
      <c r="C14374" s="2"/>
      <c r="D14374" s="8" t="str">
        <f ca="1">IFERROR(__xludf.DUMMYFUNCTION("""COMPUTED_VALUE"""),"")</f>
        <v/>
      </c>
      <c r="E14374" s="2"/>
    </row>
    <row r="14375" spans="1:5" ht="13">
      <c r="A14375" s="8" t="str">
        <f ca="1">IFERROR(__xludf.DUMMYFUNCTION("""COMPUTED_VALUE"""),"Reni・ Henriette")</f>
        <v>Reni・ Henriette</v>
      </c>
      <c r="B14375" s="2"/>
      <c r="C14375" s="2"/>
      <c r="D14375" s="8" t="str">
        <f ca="1">IFERROR(__xludf.DUMMYFUNCTION("""COMPUTED_VALUE"""),"")</f>
        <v/>
      </c>
      <c r="E14375" s="2"/>
    </row>
    <row r="14376" spans="1:5" ht="13">
      <c r="A14376" s="8" t="str">
        <f ca="1">IFERROR(__xludf.DUMMYFUNCTION("""COMPUTED_VALUE"""),"Reti, Rudolph")</f>
        <v>Reti, Rudolph</v>
      </c>
      <c r="B14376" s="2"/>
      <c r="C14376" s="2"/>
      <c r="D14376" s="8" t="str">
        <f ca="1">IFERROR(__xludf.DUMMYFUNCTION("""COMPUTED_VALUE"""),"")</f>
        <v/>
      </c>
      <c r="E14376" s="2"/>
    </row>
    <row r="14377" spans="1:5" ht="13">
      <c r="A14377" s="8" t="str">
        <f ca="1">IFERROR(__xludf.DUMMYFUNCTION("""COMPUTED_VALUE"""),"Reyer, Ernest")</f>
        <v>Reyer, Ernest</v>
      </c>
      <c r="B14377" s="2"/>
      <c r="C14377" s="2"/>
      <c r="D14377" s="8" t="str">
        <f ca="1">IFERROR(__xludf.DUMMYFUNCTION("""COMPUTED_VALUE"""),"")</f>
        <v/>
      </c>
      <c r="E14377" s="2"/>
    </row>
    <row r="14378" spans="1:5" ht="13">
      <c r="A14378" s="8" t="str">
        <f ca="1">IFERROR(__xludf.DUMMYFUNCTION("""COMPUTED_VALUE"""),"Ribaupierre, Andr・de")</f>
        <v>Ribaupierre, Andr・de</v>
      </c>
      <c r="B14378" s="2"/>
      <c r="C14378" s="2"/>
      <c r="D14378" s="8" t="str">
        <f ca="1">IFERROR(__xludf.DUMMYFUNCTION("""COMPUTED_VALUE"""),"")</f>
        <v/>
      </c>
      <c r="E14378" s="2"/>
    </row>
    <row r="14379" spans="1:5" ht="13">
      <c r="A14379" s="8" t="str">
        <f ca="1">IFERROR(__xludf.DUMMYFUNCTION("""COMPUTED_VALUE"""),"Rice, Wilham")</f>
        <v>Rice, Wilham</v>
      </c>
      <c r="B14379" s="2"/>
      <c r="C14379" s="2"/>
      <c r="D14379" s="8" t="str">
        <f ca="1">IFERROR(__xludf.DUMMYFUNCTION("""COMPUTED_VALUE"""),"")</f>
        <v/>
      </c>
      <c r="E14379" s="2"/>
    </row>
    <row r="14380" spans="1:5" ht="13">
      <c r="A14380" s="8" t="str">
        <f ca="1">IFERROR(__xludf.DUMMYFUNCTION("""COMPUTED_VALUE"""),"Rickard, Truman")</f>
        <v>Rickard, Truman</v>
      </c>
      <c r="B14380" s="2"/>
      <c r="C14380" s="2"/>
      <c r="D14380" s="8" t="str">
        <f ca="1">IFERROR(__xludf.DUMMYFUNCTION("""COMPUTED_VALUE"""),"")</f>
        <v/>
      </c>
      <c r="E14380" s="2"/>
    </row>
    <row r="14381" spans="1:5" ht="13">
      <c r="A14381" s="8" t="str">
        <f ca="1">IFERROR(__xludf.DUMMYFUNCTION("""COMPUTED_VALUE"""),"Rief, Paul")</f>
        <v>Rief, Paul</v>
      </c>
      <c r="B14381" s="2"/>
      <c r="C14381" s="2"/>
      <c r="D14381" s="8" t="str">
        <f ca="1">IFERROR(__xludf.DUMMYFUNCTION("""COMPUTED_VALUE"""),"")</f>
        <v/>
      </c>
      <c r="E14381" s="2"/>
    </row>
    <row r="14382" spans="1:5" ht="13">
      <c r="A14382" s="8" t="str">
        <f ca="1">IFERROR(__xludf.DUMMYFUNCTION("""COMPUTED_VALUE"""),"Riegal, Heinrich J.")</f>
        <v>Riegal, Heinrich J.</v>
      </c>
      <c r="B14382" s="2"/>
      <c r="C14382" s="2"/>
      <c r="D14382" s="8" t="str">
        <f ca="1">IFERROR(__xludf.DUMMYFUNCTION("""COMPUTED_VALUE"""),"")</f>
        <v/>
      </c>
      <c r="E14382" s="2"/>
    </row>
    <row r="14383" spans="1:5" ht="13">
      <c r="A14383" s="8" t="str">
        <f ca="1">IFERROR(__xludf.DUMMYFUNCTION("""COMPUTED_VALUE"""),"Riemenschneider, George")</f>
        <v>Riemenschneider, George</v>
      </c>
      <c r="B14383" s="2"/>
      <c r="C14383" s="2"/>
      <c r="D14383" s="8" t="str">
        <f ca="1">IFERROR(__xludf.DUMMYFUNCTION("""COMPUTED_VALUE"""),"")</f>
        <v/>
      </c>
      <c r="E14383" s="2"/>
    </row>
    <row r="14384" spans="1:5" ht="13">
      <c r="A14384" s="8" t="str">
        <f ca="1">IFERROR(__xludf.DUMMYFUNCTION("""COMPUTED_VALUE"""),"Ries, Ferdinand")</f>
        <v>Ries, Ferdinand</v>
      </c>
      <c r="B14384" s="2"/>
      <c r="C14384" s="2"/>
      <c r="D14384" s="8" t="str">
        <f ca="1">IFERROR(__xludf.DUMMYFUNCTION("""COMPUTED_VALUE"""),"")</f>
        <v/>
      </c>
      <c r="E14384" s="2"/>
    </row>
    <row r="14385" spans="1:5" ht="13">
      <c r="A14385" s="8" t="str">
        <f ca="1">IFERROR(__xludf.DUMMYFUNCTION("""COMPUTED_VALUE"""),"Ries, Franz")</f>
        <v>Ries, Franz</v>
      </c>
      <c r="B14385" s="2"/>
      <c r="C14385" s="2"/>
      <c r="D14385" s="8" t="str">
        <f ca="1">IFERROR(__xludf.DUMMYFUNCTION("""COMPUTED_VALUE"""),"")</f>
        <v/>
      </c>
      <c r="E14385" s="2"/>
    </row>
    <row r="14386" spans="1:5" ht="13">
      <c r="A14386" s="8" t="str">
        <f ca="1">IFERROR(__xludf.DUMMYFUNCTION("""COMPUTED_VALUE"""),"Riesenfeld, Hugo")</f>
        <v>Riesenfeld, Hugo</v>
      </c>
      <c r="B14386" s="2"/>
      <c r="C14386" s="2"/>
      <c r="D14386" s="8" t="str">
        <f ca="1">IFERROR(__xludf.DUMMYFUNCTION("""COMPUTED_VALUE"""),"")</f>
        <v/>
      </c>
      <c r="E14386" s="2"/>
    </row>
    <row r="14387" spans="1:5" ht="13">
      <c r="A14387" s="8" t="str">
        <f ca="1">IFERROR(__xludf.DUMMYFUNCTION("""COMPUTED_VALUE"""),"Rietz, Julius")</f>
        <v>Rietz, Julius</v>
      </c>
      <c r="B14387" s="2"/>
      <c r="C14387" s="2"/>
      <c r="D14387" s="8" t="str">
        <f ca="1">IFERROR(__xludf.DUMMYFUNCTION("""COMPUTED_VALUE"""),"")</f>
        <v/>
      </c>
      <c r="E14387" s="2"/>
    </row>
    <row r="14388" spans="1:5" ht="13">
      <c r="A14388" s="8" t="str">
        <f ca="1">IFERROR(__xludf.DUMMYFUNCTION("""COMPUTED_VALUE"""),"Riisager, Knudaage")</f>
        <v>Riisager, Knudaage</v>
      </c>
      <c r="B14388" s="2"/>
      <c r="C14388" s="2"/>
      <c r="D14388" s="8" t="str">
        <f ca="1">IFERROR(__xludf.DUMMYFUNCTION("""COMPUTED_VALUE"""),"")</f>
        <v/>
      </c>
      <c r="E14388" s="2"/>
    </row>
    <row r="14389" spans="1:5" ht="13">
      <c r="A14389" s="8" t="str">
        <f ca="1">IFERROR(__xludf.DUMMYFUNCTION("""COMPUTED_VALUE"""),"Ritter, Alexander")</f>
        <v>Ritter, Alexander</v>
      </c>
      <c r="B14389" s="2"/>
      <c r="C14389" s="2"/>
      <c r="D14389" s="8" t="str">
        <f ca="1">IFERROR(__xludf.DUMMYFUNCTION("""COMPUTED_VALUE"""),"")</f>
        <v/>
      </c>
      <c r="E14389" s="2"/>
    </row>
    <row r="14390" spans="1:5" ht="13">
      <c r="A14390" s="8" t="str">
        <f ca="1">IFERROR(__xludf.DUMMYFUNCTION("""COMPUTED_VALUE"""),"Ritter, Frederic L.")</f>
        <v>Ritter, Frederic L.</v>
      </c>
      <c r="B14390" s="2"/>
      <c r="C14390" s="2"/>
      <c r="D14390" s="8" t="str">
        <f ca="1">IFERROR(__xludf.DUMMYFUNCTION("""COMPUTED_VALUE"""),"")</f>
        <v/>
      </c>
      <c r="E14390" s="2"/>
    </row>
    <row r="14391" spans="1:5" ht="13">
      <c r="A14391" s="8" t="str">
        <f ca="1">IFERROR(__xludf.DUMMYFUNCTION("""COMPUTED_VALUE"""),"Rivier, Jean")</f>
        <v>Rivier, Jean</v>
      </c>
      <c r="B14391" s="2"/>
      <c r="C14391" s="2"/>
      <c r="D14391" s="8" t="str">
        <f ca="1">IFERROR(__xludf.DUMMYFUNCTION("""COMPUTED_VALUE"""),"")</f>
        <v/>
      </c>
      <c r="E14391" s="2"/>
    </row>
    <row r="14392" spans="1:5" ht="13">
      <c r="A14392" s="8" t="str">
        <f ca="1">IFERROR(__xludf.DUMMYFUNCTION("""COMPUTED_VALUE"""),"Robb, John Donald")</f>
        <v>Robb, John Donald</v>
      </c>
      <c r="B14392" s="2"/>
      <c r="C14392" s="2"/>
      <c r="D14392" s="8" t="str">
        <f ca="1">IFERROR(__xludf.DUMMYFUNCTION("""COMPUTED_VALUE"""),"")</f>
        <v/>
      </c>
      <c r="E14392" s="2"/>
    </row>
    <row r="14393" spans="1:5" ht="13">
      <c r="A14393" s="8" t="str">
        <f ca="1">IFERROR(__xludf.DUMMYFUNCTION("""COMPUTED_VALUE"""),"Roberts, Arthur")</f>
        <v>Roberts, Arthur</v>
      </c>
      <c r="B14393" s="2"/>
      <c r="C14393" s="2"/>
      <c r="D14393" s="8" t="str">
        <f ca="1">IFERROR(__xludf.DUMMYFUNCTION("""COMPUTED_VALUE"""),"")</f>
        <v/>
      </c>
      <c r="E14393" s="2"/>
    </row>
    <row r="14394" spans="1:5" ht="13">
      <c r="A14394" s="8" t="str">
        <f ca="1">IFERROR(__xludf.DUMMYFUNCTION("""COMPUTED_VALUE"""),"Rocca, Lodovico")</f>
        <v>Rocca, Lodovico</v>
      </c>
      <c r="B14394" s="2"/>
      <c r="C14394" s="2"/>
      <c r="D14394" s="8" t="str">
        <f ca="1">IFERROR(__xludf.DUMMYFUNCTION("""COMPUTED_VALUE"""),"")</f>
        <v/>
      </c>
      <c r="E14394" s="2"/>
    </row>
    <row r="14395" spans="1:5" ht="13">
      <c r="A14395" s="8" t="str">
        <f ca="1">IFERROR(__xludf.DUMMYFUNCTION("""COMPUTED_VALUE"""),"Roemheld, Heinz")</f>
        <v>Roemheld, Heinz</v>
      </c>
      <c r="B14395" s="2"/>
      <c r="C14395" s="2"/>
      <c r="D14395" s="8" t="str">
        <f ca="1">IFERROR(__xludf.DUMMYFUNCTION("""COMPUTED_VALUE"""),"")</f>
        <v/>
      </c>
      <c r="E14395" s="2"/>
    </row>
    <row r="14396" spans="1:5" ht="13">
      <c r="A14396" s="8" t="str">
        <f ca="1">IFERROR(__xludf.DUMMYFUNCTION("""COMPUTED_VALUE"""),"Rogalski, Theodore")</f>
        <v>Rogalski, Theodore</v>
      </c>
      <c r="B14396" s="2"/>
      <c r="C14396" s="2"/>
      <c r="D14396" s="8" t="str">
        <f ca="1">IFERROR(__xludf.DUMMYFUNCTION("""COMPUTED_VALUE"""),"")</f>
        <v/>
      </c>
      <c r="E14396" s="2"/>
    </row>
    <row r="14397" spans="1:5" ht="13">
      <c r="A14397" s="8" t="str">
        <f ca="1">IFERROR(__xludf.DUMMYFUNCTION("""COMPUTED_VALUE"""),"Roger, Kurt George")</f>
        <v>Roger, Kurt George</v>
      </c>
      <c r="B14397" s="2"/>
      <c r="C14397" s="2"/>
      <c r="D14397" s="8" t="str">
        <f ca="1">IFERROR(__xludf.DUMMYFUNCTION("""COMPUTED_VALUE"""),"")</f>
        <v/>
      </c>
      <c r="E14397" s="2"/>
    </row>
    <row r="14398" spans="1:5" ht="13">
      <c r="A14398" s="8" t="str">
        <f ca="1">IFERROR(__xludf.DUMMYFUNCTION("""COMPUTED_VALUE"""),"Rogers, M. Robert")</f>
        <v>Rogers, M. Robert</v>
      </c>
      <c r="B14398" s="2"/>
      <c r="C14398" s="2"/>
      <c r="D14398" s="8" t="str">
        <f ca="1">IFERROR(__xludf.DUMMYFUNCTION("""COMPUTED_VALUE"""),"")</f>
        <v/>
      </c>
      <c r="E14398" s="2"/>
    </row>
    <row r="14399" spans="1:5" ht="13">
      <c r="A14399" s="8" t="str">
        <f ca="1">IFERROR(__xludf.DUMMYFUNCTION("""COMPUTED_VALUE"""),"Rohe, Robert K.")</f>
        <v>Rohe, Robert K.</v>
      </c>
      <c r="B14399" s="2"/>
      <c r="C14399" s="2"/>
      <c r="D14399" s="8" t="str">
        <f ca="1">IFERROR(__xludf.DUMMYFUNCTION("""COMPUTED_VALUE"""),"")</f>
        <v/>
      </c>
      <c r="E14399" s="2"/>
    </row>
    <row r="14400" spans="1:5" ht="13">
      <c r="A14400" s="8" t="str">
        <f ca="1">IFERROR(__xludf.DUMMYFUNCTION("""COMPUTED_VALUE"""),"Roldan, Amedeo")</f>
        <v>Roldan, Amedeo</v>
      </c>
      <c r="B14400" s="2"/>
      <c r="C14400" s="2"/>
      <c r="D14400" s="8" t="str">
        <f ca="1">IFERROR(__xludf.DUMMYFUNCTION("""COMPUTED_VALUE"""),"")</f>
        <v/>
      </c>
      <c r="E14400" s="2"/>
    </row>
    <row r="14401" spans="1:5" ht="13">
      <c r="A14401" s="8" t="str">
        <f ca="1">IFERROR(__xludf.DUMMYFUNCTION("""COMPUTED_VALUE"""),"Rollins, Mary Lynn")</f>
        <v>Rollins, Mary Lynn</v>
      </c>
      <c r="B14401" s="2"/>
      <c r="C14401" s="2"/>
      <c r="D14401" s="8" t="str">
        <f ca="1">IFERROR(__xludf.DUMMYFUNCTION("""COMPUTED_VALUE"""),"")</f>
        <v/>
      </c>
      <c r="E14401" s="2"/>
    </row>
    <row r="14402" spans="1:5" ht="13">
      <c r="A14402" s="8" t="str">
        <f ca="1">IFERROR(__xludf.DUMMYFUNCTION("""COMPUTED_VALUE"""),"Romberg, Bernhart")</f>
        <v>Romberg, Bernhart</v>
      </c>
      <c r="B14402" s="2"/>
      <c r="C14402" s="2"/>
      <c r="D14402" s="8" t="str">
        <f ca="1">IFERROR(__xludf.DUMMYFUNCTION("""COMPUTED_VALUE"""),"")</f>
        <v/>
      </c>
      <c r="E14402" s="2"/>
    </row>
    <row r="14403" spans="1:5" ht="13">
      <c r="A14403" s="8" t="str">
        <f ca="1">IFERROR(__xludf.DUMMYFUNCTION("""COMPUTED_VALUE"""),"Ronald, Sir Landor")</f>
        <v>Ronald, Sir Landor</v>
      </c>
      <c r="B14403" s="2"/>
      <c r="C14403" s="2"/>
      <c r="D14403" s="8" t="str">
        <f ca="1">IFERROR(__xludf.DUMMYFUNCTION("""COMPUTED_VALUE"""),"")</f>
        <v/>
      </c>
      <c r="E14403" s="2"/>
    </row>
    <row r="14404" spans="1:5" ht="13">
      <c r="A14404" s="8" t="str">
        <f ca="1">IFERROR(__xludf.DUMMYFUNCTION("""COMPUTED_VALUE"""),"Rontgen, Julius")</f>
        <v>Rontgen, Julius</v>
      </c>
      <c r="B14404" s="2"/>
      <c r="C14404" s="2"/>
      <c r="D14404" s="8" t="str">
        <f ca="1">IFERROR(__xludf.DUMMYFUNCTION("""COMPUTED_VALUE"""),"")</f>
        <v/>
      </c>
      <c r="E14404" s="2"/>
    </row>
    <row r="14405" spans="1:5" ht="13">
      <c r="A14405" s="8" t="str">
        <f ca="1">IFERROR(__xludf.DUMMYFUNCTION("""COMPUTED_VALUE"""),"Ropartz, Joseph Guy")</f>
        <v>Ropartz, Joseph Guy</v>
      </c>
      <c r="B14405" s="2"/>
      <c r="C14405" s="2"/>
      <c r="D14405" s="8" t="str">
        <f ca="1">IFERROR(__xludf.DUMMYFUNCTION("""COMPUTED_VALUE"""),"")</f>
        <v/>
      </c>
      <c r="E14405" s="2"/>
    </row>
    <row r="14406" spans="1:5" ht="13">
      <c r="A14406" s="8" t="str">
        <f ca="1">IFERROR(__xludf.DUMMYFUNCTION("""COMPUTED_VALUE"""),"Rosales, Antonio")</f>
        <v>Rosales, Antonio</v>
      </c>
      <c r="B14406" s="2"/>
      <c r="C14406" s="2"/>
      <c r="D14406" s="8" t="str">
        <f ca="1">IFERROR(__xludf.DUMMYFUNCTION("""COMPUTED_VALUE"""),"")</f>
        <v/>
      </c>
      <c r="E14406" s="2"/>
    </row>
    <row r="14407" spans="1:5" ht="13">
      <c r="A14407" s="8" t="str">
        <f ca="1">IFERROR(__xludf.DUMMYFUNCTION("""COMPUTED_VALUE"""),"Rosen, Milton")</f>
        <v>Rosen, Milton</v>
      </c>
      <c r="B14407" s="2"/>
      <c r="C14407" s="2"/>
      <c r="D14407" s="8" t="str">
        <f ca="1">IFERROR(__xludf.DUMMYFUNCTION("""COMPUTED_VALUE"""),"")</f>
        <v/>
      </c>
      <c r="E14407" s="2"/>
    </row>
    <row r="14408" spans="1:5" ht="13">
      <c r="A14408" s="8" t="str">
        <f ca="1">IFERROR(__xludf.DUMMYFUNCTION("""COMPUTED_VALUE"""),"Rosenthal, Laurence")</f>
        <v>Rosenthal, Laurence</v>
      </c>
      <c r="B14408" s="2"/>
      <c r="C14408" s="2"/>
      <c r="D14408" s="8" t="str">
        <f ca="1">IFERROR(__xludf.DUMMYFUNCTION("""COMPUTED_VALUE"""),"")</f>
        <v/>
      </c>
      <c r="E14408" s="2"/>
    </row>
    <row r="14409" spans="1:5" ht="13">
      <c r="A14409" s="8" t="str">
        <f ca="1">IFERROR(__xludf.DUMMYFUNCTION("""COMPUTED_VALUE"""),"Rosseau, Norbert")</f>
        <v>Rosseau, Norbert</v>
      </c>
      <c r="B14409" s="2"/>
      <c r="C14409" s="2"/>
      <c r="D14409" s="8" t="str">
        <f ca="1">IFERROR(__xludf.DUMMYFUNCTION("""COMPUTED_VALUE"""),"")</f>
        <v/>
      </c>
      <c r="E14409" s="2"/>
    </row>
    <row r="14410" spans="1:5" ht="13">
      <c r="A14410" s="8" t="str">
        <f ca="1">IFERROR(__xludf.DUMMYFUNCTION("""COMPUTED_VALUE"""),"Rossellini, Renzo")</f>
        <v>Rossellini, Renzo</v>
      </c>
      <c r="B14410" s="2"/>
      <c r="C14410" s="2"/>
      <c r="D14410" s="8" t="str">
        <f ca="1">IFERROR(__xludf.DUMMYFUNCTION("""COMPUTED_VALUE"""),"")</f>
        <v/>
      </c>
      <c r="E14410" s="2"/>
    </row>
    <row r="14411" spans="1:5" ht="13">
      <c r="A14411" s="8" t="str">
        <f ca="1">IFERROR(__xludf.DUMMYFUNCTION("""COMPUTED_VALUE"""),"Rossi, Francesco")</f>
        <v>Rossi, Francesco</v>
      </c>
      <c r="B14411" s="2"/>
      <c r="C14411" s="2"/>
      <c r="D14411" s="8" t="str">
        <f ca="1">IFERROR(__xludf.DUMMYFUNCTION("""COMPUTED_VALUE"""),"")</f>
        <v/>
      </c>
      <c r="E14411" s="2"/>
    </row>
    <row r="14412" spans="1:5" ht="13">
      <c r="A14412" s="8" t="str">
        <f ca="1">IFERROR(__xludf.DUMMYFUNCTION("""COMPUTED_VALUE"""),"Rothwell, Walter H.")</f>
        <v>Rothwell, Walter H.</v>
      </c>
      <c r="B14412" s="2"/>
      <c r="C14412" s="2"/>
      <c r="D14412" s="8" t="str">
        <f ca="1">IFERROR(__xludf.DUMMYFUNCTION("""COMPUTED_VALUE"""),"")</f>
        <v/>
      </c>
      <c r="E14412" s="2"/>
    </row>
    <row r="14413" spans="1:5" ht="13">
      <c r="A14413" s="8" t="str">
        <f ca="1">IFERROR(__xludf.DUMMYFUNCTION("""COMPUTED_VALUE"""),"Rousseau, Jean Jacques")</f>
        <v>Rousseau, Jean Jacques</v>
      </c>
      <c r="B14413" s="2"/>
      <c r="C14413" s="2"/>
      <c r="D14413" s="8" t="str">
        <f ca="1">IFERROR(__xludf.DUMMYFUNCTION("""COMPUTED_VALUE"""),"")</f>
        <v/>
      </c>
      <c r="E14413" s="2"/>
    </row>
    <row r="14414" spans="1:5" ht="13">
      <c r="A14414" s="8" t="str">
        <f ca="1">IFERROR(__xludf.DUMMYFUNCTION("""COMPUTED_VALUE"""),"Royce, Edward")</f>
        <v>Royce, Edward</v>
      </c>
      <c r="B14414" s="2"/>
      <c r="C14414" s="2"/>
      <c r="D14414" s="8" t="str">
        <f ca="1">IFERROR(__xludf.DUMMYFUNCTION("""COMPUTED_VALUE"""),"")</f>
        <v/>
      </c>
      <c r="E14414" s="2"/>
    </row>
    <row r="14415" spans="1:5" ht="13">
      <c r="A14415" s="8" t="str">
        <f ca="1">IFERROR(__xludf.DUMMYFUNCTION("""COMPUTED_VALUE"""),"Rubinstein, Beryl")</f>
        <v>Rubinstein, Beryl</v>
      </c>
      <c r="B14415" s="2"/>
      <c r="C14415" s="2"/>
      <c r="D14415" s="8" t="str">
        <f ca="1">IFERROR(__xludf.DUMMYFUNCTION("""COMPUTED_VALUE"""),"")</f>
        <v/>
      </c>
      <c r="E14415" s="2"/>
    </row>
    <row r="14416" spans="1:5" ht="13">
      <c r="A14416" s="8" t="str">
        <f ca="1">IFERROR(__xludf.DUMMYFUNCTION("""COMPUTED_VALUE"""),"Rudin, Herman")</f>
        <v>Rudin, Herman</v>
      </c>
      <c r="B14416" s="2"/>
      <c r="C14416" s="2"/>
      <c r="D14416" s="8" t="str">
        <f ca="1">IFERROR(__xludf.DUMMYFUNCTION("""COMPUTED_VALUE"""),"")</f>
        <v/>
      </c>
      <c r="E14416" s="2"/>
    </row>
    <row r="14417" spans="1:5" ht="13">
      <c r="A14417" s="8" t="str">
        <f ca="1">IFERROR(__xludf.DUMMYFUNCTION("""COMPUTED_VALUE"""),"Rufty, Hilton")</f>
        <v>Rufty, Hilton</v>
      </c>
      <c r="B14417" s="2"/>
      <c r="C14417" s="2"/>
      <c r="D14417" s="8" t="str">
        <f ca="1">IFERROR(__xludf.DUMMYFUNCTION("""COMPUTED_VALUE"""),"")</f>
        <v/>
      </c>
      <c r="E14417" s="2"/>
    </row>
    <row r="14418" spans="1:5" ht="13">
      <c r="A14418" s="8" t="str">
        <f ca="1">IFERROR(__xludf.DUMMYFUNCTION("""COMPUTED_VALUE"""),"Russo, William")</f>
        <v>Russo, William</v>
      </c>
      <c r="B14418" s="2"/>
      <c r="C14418" s="2"/>
      <c r="D14418" s="8" t="str">
        <f ca="1">IFERROR(__xludf.DUMMYFUNCTION("""COMPUTED_VALUE"""),"")</f>
        <v/>
      </c>
      <c r="E14418" s="2"/>
    </row>
    <row r="14419" spans="1:5" ht="13">
      <c r="A14419" s="8" t="str">
        <f ca="1">IFERROR(__xludf.DUMMYFUNCTION("""COMPUTED_VALUE"""),"Rybner, Cornelius")</f>
        <v>Rybner, Cornelius</v>
      </c>
      <c r="B14419" s="2"/>
      <c r="C14419" s="2"/>
      <c r="D14419" s="8" t="str">
        <f ca="1">IFERROR(__xludf.DUMMYFUNCTION("""COMPUTED_VALUE"""),"")</f>
        <v/>
      </c>
      <c r="E14419" s="2"/>
    </row>
    <row r="14420" spans="1:5" ht="13">
      <c r="A14420" s="8" t="str">
        <f ca="1">IFERROR(__xludf.DUMMYFUNCTION("""COMPUTED_VALUE"""),"Rychlick, Charles V.")</f>
        <v>Rychlick, Charles V.</v>
      </c>
      <c r="B14420" s="2"/>
      <c r="C14420" s="2"/>
      <c r="D14420" s="8" t="str">
        <f ca="1">IFERROR(__xludf.DUMMYFUNCTION("""COMPUTED_VALUE"""),"")</f>
        <v/>
      </c>
      <c r="E14420" s="2"/>
    </row>
    <row r="14421" spans="1:5" ht="13">
      <c r="A14421" s="8" t="str">
        <f ca="1">IFERROR(__xludf.DUMMYFUNCTION("""COMPUTED_VALUE"""),"Rycki, Ludomir")</f>
        <v>Rycki, Ludomir</v>
      </c>
      <c r="B14421" s="2"/>
      <c r="C14421" s="2"/>
      <c r="D14421" s="8" t="str">
        <f ca="1">IFERROR(__xludf.DUMMYFUNCTION("""COMPUTED_VALUE"""),"")</f>
        <v/>
      </c>
      <c r="E14421" s="2"/>
    </row>
    <row r="14422" spans="1:5" ht="13">
      <c r="A14422" s="8" t="str">
        <f ca="1">IFERROR(__xludf.DUMMYFUNCTION("""COMPUTED_VALUE"""),"Saar, Louis V.")</f>
        <v>Saar, Louis V.</v>
      </c>
      <c r="B14422" s="2"/>
      <c r="C14422" s="2"/>
      <c r="D14422" s="8" t="str">
        <f ca="1">IFERROR(__xludf.DUMMYFUNCTION("""COMPUTED_VALUE"""),"")</f>
        <v/>
      </c>
      <c r="E14422" s="2"/>
    </row>
    <row r="14423" spans="1:5" ht="13">
      <c r="A14423" s="8" t="str">
        <f ca="1">IFERROR(__xludf.DUMMYFUNCTION("""COMPUTED_VALUE"""),"Saeverud, Harald")</f>
        <v>Saeverud, Harald</v>
      </c>
      <c r="B14423" s="2"/>
      <c r="C14423" s="2"/>
      <c r="D14423" s="8" t="str">
        <f ca="1">IFERROR(__xludf.DUMMYFUNCTION("""COMPUTED_VALUE"""),"")</f>
        <v/>
      </c>
      <c r="E14423" s="2"/>
    </row>
    <row r="14424" spans="1:5" ht="13">
      <c r="A14424" s="8" t="str">
        <f ca="1">IFERROR(__xludf.DUMMYFUNCTION("""COMPUTED_VALUE"""),"Sainton, Prosper")</f>
        <v>Sainton, Prosper</v>
      </c>
      <c r="B14424" s="2"/>
      <c r="C14424" s="2"/>
      <c r="D14424" s="8" t="str">
        <f ca="1">IFERROR(__xludf.DUMMYFUNCTION("""COMPUTED_VALUE"""),"")</f>
        <v/>
      </c>
      <c r="E14424" s="2"/>
    </row>
    <row r="14425" spans="1:5" ht="13">
      <c r="A14425" s="8" t="str">
        <f ca="1">IFERROR(__xludf.DUMMYFUNCTION("""COMPUTED_VALUE"""),"Saknowsky")</f>
        <v>Saknowsky</v>
      </c>
      <c r="B14425" s="2"/>
      <c r="C14425" s="2"/>
      <c r="D14425" s="8" t="str">
        <f ca="1">IFERROR(__xludf.DUMMYFUNCTION("""COMPUTED_VALUE"""),"")</f>
        <v/>
      </c>
      <c r="E14425" s="2"/>
    </row>
    <row r="14426" spans="1:5" ht="13">
      <c r="A14426" s="8" t="str">
        <f ca="1">IFERROR(__xludf.DUMMYFUNCTION("""COMPUTED_VALUE"""),"Saltzman, Eric")</f>
        <v>Saltzman, Eric</v>
      </c>
      <c r="B14426" s="2"/>
      <c r="C14426" s="2"/>
      <c r="D14426" s="8" t="str">
        <f ca="1">IFERROR(__xludf.DUMMYFUNCTION("""COMPUTED_VALUE"""),"")</f>
        <v/>
      </c>
      <c r="E14426" s="2"/>
    </row>
    <row r="14427" spans="1:5" ht="13">
      <c r="A14427" s="8" t="str">
        <f ca="1">IFERROR(__xludf.DUMMYFUNCTION("""COMPUTED_VALUE"""),"Salviucci, Giovanni")</f>
        <v>Salviucci, Giovanni</v>
      </c>
      <c r="B14427" s="2"/>
      <c r="C14427" s="2"/>
      <c r="D14427" s="8" t="str">
        <f ca="1">IFERROR(__xludf.DUMMYFUNCTION("""COMPUTED_VALUE"""),"")</f>
        <v/>
      </c>
      <c r="E14427" s="2"/>
    </row>
    <row r="14428" spans="1:5" ht="13">
      <c r="A14428" s="8" t="str">
        <f ca="1">IFERROR(__xludf.DUMMYFUNCTION("""COMPUTED_VALUE"""),"Samazeuilh, Gustave")</f>
        <v>Samazeuilh, Gustave</v>
      </c>
      <c r="B14428" s="2"/>
      <c r="C14428" s="2"/>
      <c r="D14428" s="8" t="str">
        <f ca="1">IFERROR(__xludf.DUMMYFUNCTION("""COMPUTED_VALUE"""),"")</f>
        <v/>
      </c>
      <c r="E14428" s="2"/>
    </row>
    <row r="14429" spans="1:5" ht="13">
      <c r="A14429" s="8" t="str">
        <f ca="1">IFERROR(__xludf.DUMMYFUNCTION("""COMPUTED_VALUE"""),"Saminsky, Lazare")</f>
        <v>Saminsky, Lazare</v>
      </c>
      <c r="B14429" s="2"/>
      <c r="C14429" s="2"/>
      <c r="D14429" s="8" t="str">
        <f ca="1">IFERROR(__xludf.DUMMYFUNCTION("""COMPUTED_VALUE"""),"")</f>
        <v/>
      </c>
      <c r="E14429" s="2"/>
    </row>
    <row r="14430" spans="1:5" ht="13">
      <c r="A14430" s="8" t="str">
        <f ca="1">IFERROR(__xludf.DUMMYFUNCTION("""COMPUTED_VALUE"""),"Sammartini, Giovanni B.")</f>
        <v>Sammartini, Giovanni B.</v>
      </c>
      <c r="B14430" s="2"/>
      <c r="C14430" s="2"/>
      <c r="D14430" s="8" t="str">
        <f ca="1">IFERROR(__xludf.DUMMYFUNCTION("""COMPUTED_VALUE"""),"")</f>
        <v/>
      </c>
      <c r="E14430" s="2"/>
    </row>
    <row r="14431" spans="1:5" ht="13">
      <c r="A14431" s="8" t="str">
        <f ca="1">IFERROR(__xludf.DUMMYFUNCTION("""COMPUTED_VALUE"""),"Sandby, Herman")</f>
        <v>Sandby, Herman</v>
      </c>
      <c r="B14431" s="2"/>
      <c r="C14431" s="2"/>
      <c r="D14431" s="8" t="str">
        <f ca="1">IFERROR(__xludf.DUMMYFUNCTION("""COMPUTED_VALUE"""),"")</f>
        <v/>
      </c>
      <c r="E14431" s="2"/>
    </row>
    <row r="14432" spans="1:5" ht="13">
      <c r="A14432" s="8" t="str">
        <f ca="1">IFERROR(__xludf.DUMMYFUNCTION("""COMPUTED_VALUE"""),"Sanders, Robert L.")</f>
        <v>Sanders, Robert L.</v>
      </c>
      <c r="B14432" s="2"/>
      <c r="C14432" s="2"/>
      <c r="D14432" s="8" t="str">
        <f ca="1">IFERROR(__xludf.DUMMYFUNCTION("""COMPUTED_VALUE"""),"")</f>
        <v/>
      </c>
      <c r="E14432" s="2"/>
    </row>
    <row r="14433" spans="1:5" ht="13">
      <c r="A14433" s="8" t="str">
        <f ca="1">IFERROR(__xludf.DUMMYFUNCTION("""COMPUTED_VALUE"""),"Sanderson")</f>
        <v>Sanderson</v>
      </c>
      <c r="B14433" s="2"/>
      <c r="C14433" s="2"/>
      <c r="D14433" s="8" t="str">
        <f ca="1">IFERROR(__xludf.DUMMYFUNCTION("""COMPUTED_VALUE"""),"")</f>
        <v/>
      </c>
      <c r="E14433" s="2"/>
    </row>
    <row r="14434" spans="1:5" ht="13">
      <c r="A14434" s="8" t="str">
        <f ca="1">IFERROR(__xludf.DUMMYFUNCTION("""COMPUTED_VALUE"""),"Sandifur")</f>
        <v>Sandifur</v>
      </c>
      <c r="B14434" s="2"/>
      <c r="C14434" s="2"/>
      <c r="D14434" s="8" t="str">
        <f ca="1">IFERROR(__xludf.DUMMYFUNCTION("""COMPUTED_VALUE"""),"")</f>
        <v/>
      </c>
      <c r="E14434" s="2"/>
    </row>
    <row r="14435" spans="1:5" ht="13">
      <c r="A14435" s="8" t="str">
        <f ca="1">IFERROR(__xludf.DUMMYFUNCTION("""COMPUTED_VALUE"""),"Sanjuan, Pedro")</f>
        <v>Sanjuan, Pedro</v>
      </c>
      <c r="B14435" s="2"/>
      <c r="C14435" s="2"/>
      <c r="D14435" s="8" t="str">
        <f ca="1">IFERROR(__xludf.DUMMYFUNCTION("""COMPUTED_VALUE"""),"")</f>
        <v/>
      </c>
      <c r="E14435" s="2"/>
    </row>
    <row r="14436" spans="1:5" ht="13">
      <c r="A14436" s="8" t="str">
        <f ca="1">IFERROR(__xludf.DUMMYFUNCTION("""COMPUTED_VALUE"""),"Santa Cruz, Wilson")</f>
        <v>Santa Cruz, Wilson</v>
      </c>
      <c r="B14436" s="2"/>
      <c r="C14436" s="2"/>
      <c r="D14436" s="8" t="str">
        <f ca="1">IFERROR(__xludf.DUMMYFUNCTION("""COMPUTED_VALUE"""),"")</f>
        <v/>
      </c>
      <c r="E14436" s="2"/>
    </row>
    <row r="14437" spans="1:5" ht="13">
      <c r="A14437" s="8" t="str">
        <f ca="1">IFERROR(__xludf.DUMMYFUNCTION("""COMPUTED_VALUE"""),"Santoliquido, Francesco")</f>
        <v>Santoliquido, Francesco</v>
      </c>
      <c r="B14437" s="2"/>
      <c r="C14437" s="2"/>
      <c r="D14437" s="8" t="str">
        <f ca="1">IFERROR(__xludf.DUMMYFUNCTION("""COMPUTED_VALUE"""),"")</f>
        <v/>
      </c>
      <c r="E14437" s="2"/>
    </row>
    <row r="14438" spans="1:5" ht="13">
      <c r="A14438" s="8" t="str">
        <f ca="1">IFERROR(__xludf.DUMMYFUNCTION("""COMPUTED_VALUE"""),"Santoro, Claudio")</f>
        <v>Santoro, Claudio</v>
      </c>
      <c r="B14438" s="2"/>
      <c r="C14438" s="2"/>
      <c r="D14438" s="8" t="str">
        <f ca="1">IFERROR(__xludf.DUMMYFUNCTION("""COMPUTED_VALUE"""),"")</f>
        <v/>
      </c>
      <c r="E14438" s="2"/>
    </row>
    <row r="14439" spans="1:5" ht="13">
      <c r="A14439" s="8" t="str">
        <f ca="1">IFERROR(__xludf.DUMMYFUNCTION("""COMPUTED_VALUE"""),"Saperton")</f>
        <v>Saperton</v>
      </c>
      <c r="B14439" s="2"/>
      <c r="C14439" s="2"/>
      <c r="D14439" s="8" t="str">
        <f ca="1">IFERROR(__xludf.DUMMYFUNCTION("""COMPUTED_VALUE"""),"")</f>
        <v/>
      </c>
      <c r="E14439" s="2"/>
    </row>
    <row r="14440" spans="1:5" ht="13">
      <c r="A14440" s="8" t="str">
        <f ca="1">IFERROR(__xludf.DUMMYFUNCTION("""COMPUTED_VALUE"""),"Sapio, Romualdo")</f>
        <v>Sapio, Romualdo</v>
      </c>
      <c r="B14440" s="2"/>
      <c r="C14440" s="2"/>
      <c r="D14440" s="8" t="str">
        <f ca="1">IFERROR(__xludf.DUMMYFUNCTION("""COMPUTED_VALUE"""),"")</f>
        <v/>
      </c>
      <c r="E14440" s="2"/>
    </row>
    <row r="14441" spans="1:5" ht="13">
      <c r="A14441" s="8" t="str">
        <f ca="1">IFERROR(__xludf.DUMMYFUNCTION("""COMPUTED_VALUE"""),"Sapp, Allen D.")</f>
        <v>Sapp, Allen D.</v>
      </c>
      <c r="B14441" s="2"/>
      <c r="C14441" s="2"/>
      <c r="D14441" s="8" t="str">
        <f ca="1">IFERROR(__xludf.DUMMYFUNCTION("""COMPUTED_VALUE"""),"")</f>
        <v/>
      </c>
      <c r="E14441" s="2"/>
    </row>
    <row r="14442" spans="1:5" ht="13">
      <c r="A14442" s="8" t="str">
        <f ca="1">IFERROR(__xludf.DUMMYFUNCTION("""COMPUTED_VALUE"""),"Sarmientos, Jorge Guatamala")</f>
        <v>Sarmientos, Jorge Guatamala</v>
      </c>
      <c r="B14442" s="2"/>
      <c r="C14442" s="2"/>
      <c r="D14442" s="8" t="str">
        <f ca="1">IFERROR(__xludf.DUMMYFUNCTION("""COMPUTED_VALUE"""),"")</f>
        <v/>
      </c>
      <c r="E14442" s="2"/>
    </row>
    <row r="14443" spans="1:5" ht="13">
      <c r="A14443" s="8" t="str">
        <f ca="1">IFERROR(__xludf.DUMMYFUNCTION("""COMPUTED_VALUE"""),"Sasonkin, Manus")</f>
        <v>Sasonkin, Manus</v>
      </c>
      <c r="B14443" s="2"/>
      <c r="C14443" s="2"/>
      <c r="D14443" s="8" t="str">
        <f ca="1">IFERROR(__xludf.DUMMYFUNCTION("""COMPUTED_VALUE"""),"")</f>
        <v/>
      </c>
      <c r="E14443" s="2"/>
    </row>
    <row r="14444" spans="1:5" ht="13">
      <c r="A14444" s="8" t="str">
        <f ca="1">IFERROR(__xludf.DUMMYFUNCTION("""COMPUTED_VALUE"""),"Satter, Gustav")</f>
        <v>Satter, Gustav</v>
      </c>
      <c r="B14444" s="2"/>
      <c r="C14444" s="2"/>
      <c r="D14444" s="8" t="str">
        <f ca="1">IFERROR(__xludf.DUMMYFUNCTION("""COMPUTED_VALUE"""),"")</f>
        <v/>
      </c>
      <c r="E14444" s="2"/>
    </row>
    <row r="14445" spans="1:5" ht="13">
      <c r="A14445" s="8" t="str">
        <f ca="1">IFERROR(__xludf.DUMMYFUNCTION("""COMPUTED_VALUE"""),"Sauer, Emil")</f>
        <v>Sauer, Emil</v>
      </c>
      <c r="B14445" s="2"/>
      <c r="C14445" s="2"/>
      <c r="D14445" s="8" t="str">
        <f ca="1">IFERROR(__xludf.DUMMYFUNCTION("""COMPUTED_VALUE"""),"")</f>
        <v/>
      </c>
      <c r="E14445" s="2"/>
    </row>
    <row r="14446" spans="1:5" ht="13">
      <c r="A14446" s="8" t="str">
        <f ca="1">IFERROR(__xludf.DUMMYFUNCTION("""COMPUTED_VALUE"""),"Sauguet, Henri")</f>
        <v>Sauguet, Henri</v>
      </c>
      <c r="B14446" s="2"/>
      <c r="C14446" s="2"/>
      <c r="D14446" s="8" t="str">
        <f ca="1">IFERROR(__xludf.DUMMYFUNCTION("""COMPUTED_VALUE"""),"")</f>
        <v/>
      </c>
      <c r="E14446" s="2"/>
    </row>
    <row r="14447" spans="1:5" ht="13">
      <c r="A14447" s="8" t="str">
        <f ca="1">IFERROR(__xludf.DUMMYFUNCTION("""COMPUTED_VALUE"""),"Savine, Alex")</f>
        <v>Savine, Alex</v>
      </c>
      <c r="B14447" s="2"/>
      <c r="C14447" s="2"/>
      <c r="D14447" s="8" t="str">
        <f ca="1">IFERROR(__xludf.DUMMYFUNCTION("""COMPUTED_VALUE"""),"")</f>
        <v/>
      </c>
      <c r="E14447" s="2"/>
    </row>
    <row r="14448" spans="1:5" ht="13">
      <c r="A14448" s="8" t="str">
        <f ca="1">IFERROR(__xludf.DUMMYFUNCTION("""COMPUTED_VALUE"""),"Saxe, Serge")</f>
        <v>Saxe, Serge</v>
      </c>
      <c r="B14448" s="2"/>
      <c r="C14448" s="2"/>
      <c r="D14448" s="8" t="str">
        <f ca="1">IFERROR(__xludf.DUMMYFUNCTION("""COMPUTED_VALUE"""),"")</f>
        <v/>
      </c>
      <c r="E14448" s="2"/>
    </row>
    <row r="14449" spans="1:5" ht="13">
      <c r="A14449" s="8" t="str">
        <f ca="1">IFERROR(__xludf.DUMMYFUNCTION("""COMPUTED_VALUE"""),"Scalero, Rosario")</f>
        <v>Scalero, Rosario</v>
      </c>
      <c r="B14449" s="2"/>
      <c r="C14449" s="2"/>
      <c r="D14449" s="8" t="str">
        <f ca="1">IFERROR(__xludf.DUMMYFUNCTION("""COMPUTED_VALUE"""),"")</f>
        <v/>
      </c>
      <c r="E14449" s="2"/>
    </row>
    <row r="14450" spans="1:5" ht="13">
      <c r="A14450" s="8" t="str">
        <f ca="1">IFERROR(__xludf.DUMMYFUNCTION("""COMPUTED_VALUE"""),"Schaefer, Ferdinand")</f>
        <v>Schaefer, Ferdinand</v>
      </c>
      <c r="B14450" s="2"/>
      <c r="C14450" s="2"/>
      <c r="D14450" s="8" t="str">
        <f ca="1">IFERROR(__xludf.DUMMYFUNCTION("""COMPUTED_VALUE"""),"")</f>
        <v/>
      </c>
      <c r="E14450" s="2"/>
    </row>
    <row r="14451" spans="1:5" ht="13">
      <c r="A14451" s="8" t="str">
        <f ca="1">IFERROR(__xludf.DUMMYFUNCTION("""COMPUTED_VALUE"""),"Scharwenka, Philipp")</f>
        <v>Scharwenka, Philipp</v>
      </c>
      <c r="B14451" s="2"/>
      <c r="C14451" s="2"/>
      <c r="D14451" s="8" t="str">
        <f ca="1">IFERROR(__xludf.DUMMYFUNCTION("""COMPUTED_VALUE"""),"")</f>
        <v/>
      </c>
      <c r="E14451" s="2"/>
    </row>
    <row r="14452" spans="1:5" ht="13">
      <c r="A14452" s="8" t="str">
        <f ca="1">IFERROR(__xludf.DUMMYFUNCTION("""COMPUTED_VALUE"""),"Scharwenka, Xaver")</f>
        <v>Scharwenka, Xaver</v>
      </c>
      <c r="B14452" s="2"/>
      <c r="C14452" s="2"/>
      <c r="D14452" s="8" t="str">
        <f ca="1">IFERROR(__xludf.DUMMYFUNCTION("""COMPUTED_VALUE"""),"")</f>
        <v/>
      </c>
      <c r="E14452" s="2"/>
    </row>
    <row r="14453" spans="1:5" ht="13">
      <c r="A14453" s="8" t="str">
        <f ca="1">IFERROR(__xludf.DUMMYFUNCTION("""COMPUTED_VALUE"""),"Schedrin, Rodion")</f>
        <v>Schedrin, Rodion</v>
      </c>
      <c r="B14453" s="2"/>
      <c r="C14453" s="2"/>
      <c r="D14453" s="8" t="str">
        <f ca="1">IFERROR(__xludf.DUMMYFUNCTION("""COMPUTED_VALUE"""),"")</f>
        <v/>
      </c>
      <c r="E14453" s="2"/>
    </row>
    <row r="14454" spans="1:5" ht="13">
      <c r="A14454" s="8" t="str">
        <f ca="1">IFERROR(__xludf.DUMMYFUNCTION("""COMPUTED_VALUE"""),"Scheidt, Sam.")</f>
        <v>Scheidt, Sam.</v>
      </c>
      <c r="B14454" s="2"/>
      <c r="C14454" s="2"/>
      <c r="D14454" s="8" t="str">
        <f ca="1">IFERROR(__xludf.DUMMYFUNCTION("""COMPUTED_VALUE"""),"")</f>
        <v/>
      </c>
      <c r="E14454" s="2"/>
    </row>
    <row r="14455" spans="1:5" ht="13">
      <c r="A14455" s="8" t="str">
        <f ca="1">IFERROR(__xludf.DUMMYFUNCTION("""COMPUTED_VALUE"""),"Scheinfeld, David")</f>
        <v>Scheinfeld, David</v>
      </c>
      <c r="B14455" s="2"/>
      <c r="C14455" s="2"/>
      <c r="D14455" s="8" t="str">
        <f ca="1">IFERROR(__xludf.DUMMYFUNCTION("""COMPUTED_VALUE"""),"")</f>
        <v/>
      </c>
      <c r="E14455" s="2"/>
    </row>
    <row r="14456" spans="1:5" ht="13">
      <c r="A14456" s="8" t="str">
        <f ca="1">IFERROR(__xludf.DUMMYFUNCTION("""COMPUTED_VALUE"""),"Scheinpflug, Paul")</f>
        <v>Scheinpflug, Paul</v>
      </c>
      <c r="B14456" s="2"/>
      <c r="C14456" s="2"/>
      <c r="D14456" s="8" t="str">
        <f ca="1">IFERROR(__xludf.DUMMYFUNCTION("""COMPUTED_VALUE"""),"")</f>
        <v/>
      </c>
      <c r="E14456" s="2"/>
    </row>
    <row r="14457" spans="1:5" ht="13">
      <c r="A14457" s="8" t="str">
        <f ca="1">IFERROR(__xludf.DUMMYFUNCTION("""COMPUTED_VALUE"""),"Schelling, Ernest")</f>
        <v>Schelling, Ernest</v>
      </c>
      <c r="B14457" s="2"/>
      <c r="C14457" s="2"/>
      <c r="D14457" s="8" t="str">
        <f ca="1">IFERROR(__xludf.DUMMYFUNCTION("""COMPUTED_VALUE"""),"")</f>
        <v/>
      </c>
      <c r="E14457" s="2"/>
    </row>
    <row r="14458" spans="1:5" ht="13">
      <c r="A14458" s="8" t="str">
        <f ca="1">IFERROR(__xludf.DUMMYFUNCTION("""COMPUTED_VALUE"""),"Schenck, Elliott")</f>
        <v>Schenck, Elliott</v>
      </c>
      <c r="B14458" s="2"/>
      <c r="C14458" s="2"/>
      <c r="D14458" s="8" t="str">
        <f ca="1">IFERROR(__xludf.DUMMYFUNCTION("""COMPUTED_VALUE"""),"")</f>
        <v/>
      </c>
      <c r="E14458" s="2"/>
    </row>
    <row r="14459" spans="1:5" ht="13">
      <c r="A14459" s="8" t="str">
        <f ca="1">IFERROR(__xludf.DUMMYFUNCTION("""COMPUTED_VALUE"""),"Schiassi")</f>
        <v>Schiassi</v>
      </c>
      <c r="B14459" s="2"/>
      <c r="C14459" s="2"/>
      <c r="D14459" s="8" t="str">
        <f ca="1">IFERROR(__xludf.DUMMYFUNCTION("""COMPUTED_VALUE"""),"")</f>
        <v/>
      </c>
      <c r="E14459" s="2"/>
    </row>
    <row r="14460" spans="1:5" ht="13">
      <c r="A14460" s="8" t="str">
        <f ca="1">IFERROR(__xludf.DUMMYFUNCTION("""COMPUTED_VALUE"""),"Schidlowski, Leon")</f>
        <v>Schidlowski, Leon</v>
      </c>
      <c r="B14460" s="2"/>
      <c r="C14460" s="2"/>
      <c r="D14460" s="8" t="str">
        <f ca="1">IFERROR(__xludf.DUMMYFUNCTION("""COMPUTED_VALUE"""),"")</f>
        <v/>
      </c>
      <c r="E14460" s="2"/>
    </row>
    <row r="14461" spans="1:5" ht="13">
      <c r="A14461" s="8" t="str">
        <f ca="1">IFERROR(__xludf.DUMMYFUNCTION("""COMPUTED_VALUE"""),"Schillinger, Joseph")</f>
        <v>Schillinger, Joseph</v>
      </c>
      <c r="B14461" s="2"/>
      <c r="C14461" s="2"/>
      <c r="D14461" s="8" t="str">
        <f ca="1">IFERROR(__xludf.DUMMYFUNCTION("""COMPUTED_VALUE"""),"")</f>
        <v/>
      </c>
      <c r="E14461" s="2"/>
    </row>
    <row r="14462" spans="1:5" ht="13">
      <c r="A14462" s="8" t="str">
        <f ca="1">IFERROR(__xludf.DUMMYFUNCTION("""COMPUTED_VALUE"""),"Schillings, Max")</f>
        <v>Schillings, Max</v>
      </c>
      <c r="B14462" s="2"/>
      <c r="C14462" s="2"/>
      <c r="D14462" s="8" t="str">
        <f ca="1">IFERROR(__xludf.DUMMYFUNCTION("""COMPUTED_VALUE"""),"")</f>
        <v/>
      </c>
      <c r="E14462" s="2"/>
    </row>
    <row r="14463" spans="1:5" ht="13">
      <c r="A14463" s="8" t="str">
        <f ca="1">IFERROR(__xludf.DUMMYFUNCTION("""COMPUTED_VALUE"""),"Schimmerling, Hanus")</f>
        <v>Schimmerling, Hanus</v>
      </c>
      <c r="B14463" s="2"/>
      <c r="C14463" s="2"/>
      <c r="D14463" s="8" t="str">
        <f ca="1">IFERROR(__xludf.DUMMYFUNCTION("""COMPUTED_VALUE"""),"")</f>
        <v/>
      </c>
      <c r="E14463" s="2"/>
    </row>
    <row r="14464" spans="1:5" ht="13">
      <c r="A14464" s="8" t="str">
        <f ca="1">IFERROR(__xludf.DUMMYFUNCTION("""COMPUTED_VALUE"""),"Schindelmeisser, Louis")</f>
        <v>Schindelmeisser, Louis</v>
      </c>
      <c r="B14464" s="2"/>
      <c r="C14464" s="2"/>
      <c r="D14464" s="8" t="str">
        <f ca="1">IFERROR(__xludf.DUMMYFUNCTION("""COMPUTED_VALUE"""),"")</f>
        <v/>
      </c>
      <c r="E14464" s="2"/>
    </row>
    <row r="14465" spans="1:5" ht="13">
      <c r="A14465" s="8" t="str">
        <f ca="1">IFERROR(__xludf.DUMMYFUNCTION("""COMPUTED_VALUE"""),"Schindler, Kurt")</f>
        <v>Schindler, Kurt</v>
      </c>
      <c r="B14465" s="2"/>
      <c r="C14465" s="2"/>
      <c r="D14465" s="8" t="str">
        <f ca="1">IFERROR(__xludf.DUMMYFUNCTION("""COMPUTED_VALUE"""),"")</f>
        <v/>
      </c>
      <c r="E14465" s="2"/>
    </row>
    <row r="14466" spans="1:5" ht="13">
      <c r="A14466" s="8" t="str">
        <f ca="1">IFERROR(__xludf.DUMMYFUNCTION("""COMPUTED_VALUE"""),"Schipa, Tito")</f>
        <v>Schipa, Tito</v>
      </c>
      <c r="B14466" s="2"/>
      <c r="C14466" s="2"/>
      <c r="D14466" s="8" t="str">
        <f ca="1">IFERROR(__xludf.DUMMYFUNCTION("""COMPUTED_VALUE"""),"")</f>
        <v/>
      </c>
      <c r="E14466" s="2"/>
    </row>
    <row r="14467" spans="1:5" ht="13">
      <c r="A14467" s="8" t="str">
        <f ca="1">IFERROR(__xludf.DUMMYFUNCTION("""COMPUTED_VALUE"""),"Schjeldrup, Gerhard")</f>
        <v>Schjeldrup, Gerhard</v>
      </c>
      <c r="B14467" s="2"/>
      <c r="C14467" s="2"/>
      <c r="D14467" s="8" t="str">
        <f ca="1">IFERROR(__xludf.DUMMYFUNCTION("""COMPUTED_VALUE"""),"")</f>
        <v/>
      </c>
      <c r="E14467" s="2"/>
    </row>
    <row r="14468" spans="1:5" ht="13">
      <c r="A14468" s="8" t="str">
        <f ca="1">IFERROR(__xludf.DUMMYFUNCTION("""COMPUTED_VALUE"""),"Schmitz, H.")</f>
        <v>Schmitz, H.</v>
      </c>
      <c r="B14468" s="2"/>
      <c r="C14468" s="2"/>
      <c r="D14468" s="8" t="str">
        <f ca="1">IFERROR(__xludf.DUMMYFUNCTION("""COMPUTED_VALUE"""),"")</f>
        <v/>
      </c>
      <c r="E14468" s="2"/>
    </row>
    <row r="14469" spans="1:5" ht="13">
      <c r="A14469" s="8" t="str">
        <f ca="1">IFERROR(__xludf.DUMMYFUNCTION("""COMPUTED_VALUE"""),"Schnabel, Arthur")</f>
        <v>Schnabel, Arthur</v>
      </c>
      <c r="B14469" s="2"/>
      <c r="C14469" s="2"/>
      <c r="D14469" s="8" t="str">
        <f ca="1">IFERROR(__xludf.DUMMYFUNCTION("""COMPUTED_VALUE"""),"")</f>
        <v/>
      </c>
      <c r="E14469" s="2"/>
    </row>
    <row r="14470" spans="1:5" ht="13">
      <c r="A14470" s="8" t="str">
        <f ca="1">IFERROR(__xludf.DUMMYFUNCTION("""COMPUTED_VALUE"""),"Schneider, Edward F.")</f>
        <v>Schneider, Edward F.</v>
      </c>
      <c r="B14470" s="2"/>
      <c r="C14470" s="2"/>
      <c r="D14470" s="8" t="str">
        <f ca="1">IFERROR(__xludf.DUMMYFUNCTION("""COMPUTED_VALUE"""),"")</f>
        <v/>
      </c>
      <c r="E14470" s="2"/>
    </row>
    <row r="14471" spans="1:5" ht="13">
      <c r="A14471" s="8" t="str">
        <f ca="1">IFERROR(__xludf.DUMMYFUNCTION("""COMPUTED_VALUE"""),"Schneider, Fr.")</f>
        <v>Schneider, Fr.</v>
      </c>
      <c r="B14471" s="2"/>
      <c r="C14471" s="2"/>
      <c r="D14471" s="8" t="str">
        <f ca="1">IFERROR(__xludf.DUMMYFUNCTION("""COMPUTED_VALUE"""),"")</f>
        <v/>
      </c>
      <c r="E14471" s="2"/>
    </row>
    <row r="14472" spans="1:5" ht="13">
      <c r="A14472" s="8" t="str">
        <f ca="1">IFERROR(__xludf.DUMMYFUNCTION("""COMPUTED_VALUE"""),"Schoenfeld, Henry")</f>
        <v>Schoenfeld, Henry</v>
      </c>
      <c r="B14472" s="2"/>
      <c r="C14472" s="2"/>
      <c r="D14472" s="8" t="str">
        <f ca="1">IFERROR(__xludf.DUMMYFUNCTION("""COMPUTED_VALUE"""),"")</f>
        <v/>
      </c>
      <c r="E14472" s="2"/>
    </row>
    <row r="14473" spans="1:5" ht="13">
      <c r="A14473" s="8" t="str">
        <f ca="1">IFERROR(__xludf.DUMMYFUNCTION("""COMPUTED_VALUE"""),"Schoenherr, Max")</f>
        <v>Schoenherr, Max</v>
      </c>
      <c r="B14473" s="2"/>
      <c r="C14473" s="2"/>
      <c r="D14473" s="8" t="str">
        <f ca="1">IFERROR(__xludf.DUMMYFUNCTION("""COMPUTED_VALUE"""),"")</f>
        <v/>
      </c>
      <c r="E14473" s="2"/>
    </row>
    <row r="14474" spans="1:5" ht="13">
      <c r="A14474" s="8" t="str">
        <f ca="1">IFERROR(__xludf.DUMMYFUNCTION("""COMPUTED_VALUE"""),"Scholz, Bernard")</f>
        <v>Scholz, Bernard</v>
      </c>
      <c r="B14474" s="2"/>
      <c r="C14474" s="2"/>
      <c r="D14474" s="8" t="str">
        <f ca="1">IFERROR(__xludf.DUMMYFUNCTION("""COMPUTED_VALUE"""),"")</f>
        <v/>
      </c>
      <c r="E14474" s="2"/>
    </row>
    <row r="14475" spans="1:5" ht="13">
      <c r="A14475" s="8" t="str">
        <f ca="1">IFERROR(__xludf.DUMMYFUNCTION("""COMPUTED_VALUE"""),"Schreiber, Frederick")</f>
        <v>Schreiber, Frederick</v>
      </c>
      <c r="B14475" s="2"/>
      <c r="C14475" s="2"/>
      <c r="D14475" s="8" t="str">
        <f ca="1">IFERROR(__xludf.DUMMYFUNCTION("""COMPUTED_VALUE"""),"")</f>
        <v/>
      </c>
      <c r="E14475" s="2"/>
    </row>
    <row r="14476" spans="1:5" ht="13">
      <c r="A14476" s="8" t="str">
        <f ca="1">IFERROR(__xludf.DUMMYFUNCTION("""COMPUTED_VALUE"""),"Schreiber, Louis")</f>
        <v>Schreiber, Louis</v>
      </c>
      <c r="B14476" s="2"/>
      <c r="C14476" s="2"/>
      <c r="D14476" s="8" t="str">
        <f ca="1">IFERROR(__xludf.DUMMYFUNCTION("""COMPUTED_VALUE"""),"")</f>
        <v/>
      </c>
      <c r="E14476" s="2"/>
    </row>
    <row r="14477" spans="1:5" ht="13">
      <c r="A14477" s="8" t="str">
        <f ca="1">IFERROR(__xludf.DUMMYFUNCTION("""COMPUTED_VALUE"""),"Schreiner, Alexander")</f>
        <v>Schreiner, Alexander</v>
      </c>
      <c r="B14477" s="2"/>
      <c r="C14477" s="2"/>
      <c r="D14477" s="8" t="str">
        <f ca="1">IFERROR(__xludf.DUMMYFUNCTION("""COMPUTED_VALUE"""),"")</f>
        <v/>
      </c>
      <c r="E14477" s="2"/>
    </row>
    <row r="14478" spans="1:5" ht="13">
      <c r="A14478" s="8" t="str">
        <f ca="1">IFERROR(__xludf.DUMMYFUNCTION("""COMPUTED_VALUE"""),"Schroeder, William")</f>
        <v>Schroeder, William</v>
      </c>
      <c r="B14478" s="2"/>
      <c r="C14478" s="2"/>
      <c r="D14478" s="8" t="str">
        <f ca="1">IFERROR(__xludf.DUMMYFUNCTION("""COMPUTED_VALUE"""),"")</f>
        <v/>
      </c>
      <c r="E14478" s="2"/>
    </row>
    <row r="14479" spans="1:5" ht="13">
      <c r="A14479" s="8" t="str">
        <f ca="1">IFERROR(__xludf.DUMMYFUNCTION("""COMPUTED_VALUE"""),"Schumann, George")</f>
        <v>Schumann, George</v>
      </c>
      <c r="B14479" s="2"/>
      <c r="C14479" s="2"/>
      <c r="D14479" s="8" t="str">
        <f ca="1">IFERROR(__xludf.DUMMYFUNCTION("""COMPUTED_VALUE"""),"")</f>
        <v/>
      </c>
      <c r="E14479" s="2"/>
    </row>
    <row r="14480" spans="1:5" ht="13">
      <c r="A14480" s="8" t="str">
        <f ca="1">IFERROR(__xludf.DUMMYFUNCTION("""COMPUTED_VALUE"""),"Schutt, Edward")</f>
        <v>Schutt, Edward</v>
      </c>
      <c r="B14480" s="2"/>
      <c r="C14480" s="2"/>
      <c r="D14480" s="8" t="str">
        <f ca="1">IFERROR(__xludf.DUMMYFUNCTION("""COMPUTED_VALUE"""),"")</f>
        <v/>
      </c>
      <c r="E14480" s="2"/>
    </row>
    <row r="14481" spans="1:5" ht="13">
      <c r="A14481" s="8" t="str">
        <f ca="1">IFERROR(__xludf.DUMMYFUNCTION("""COMPUTED_VALUE"""),"Schuyten, Ernest")</f>
        <v>Schuyten, Ernest</v>
      </c>
      <c r="B14481" s="2"/>
      <c r="C14481" s="2"/>
      <c r="D14481" s="8" t="str">
        <f ca="1">IFERROR(__xludf.DUMMYFUNCTION("""COMPUTED_VALUE"""),"")</f>
        <v/>
      </c>
      <c r="E14481" s="2"/>
    </row>
    <row r="14482" spans="1:5" ht="13">
      <c r="A14482" s="8" t="str">
        <f ca="1">IFERROR(__xludf.DUMMYFUNCTION("""COMPUTED_VALUE"""),"Schytte, Ludwig")</f>
        <v>Schytte, Ludwig</v>
      </c>
      <c r="B14482" s="2"/>
      <c r="C14482" s="2"/>
      <c r="D14482" s="8" t="str">
        <f ca="1">IFERROR(__xludf.DUMMYFUNCTION("""COMPUTED_VALUE"""),"")</f>
        <v/>
      </c>
      <c r="E14482" s="2"/>
    </row>
    <row r="14483" spans="1:5" ht="13">
      <c r="A14483" s="8" t="str">
        <f ca="1">IFERROR(__xludf.DUMMYFUNCTION("""COMPUTED_VALUE"""),"Searle, Humphrey")</f>
        <v>Searle, Humphrey</v>
      </c>
      <c r="B14483" s="2"/>
      <c r="C14483" s="2"/>
      <c r="D14483" s="8" t="str">
        <f ca="1">IFERROR(__xludf.DUMMYFUNCTION("""COMPUTED_VALUE"""),"")</f>
        <v/>
      </c>
      <c r="E14483" s="2"/>
    </row>
    <row r="14484" spans="1:5" ht="13">
      <c r="A14484" s="8" t="str">
        <f ca="1">IFERROR(__xludf.DUMMYFUNCTION("""COMPUTED_VALUE"""),"Seay, Virginia")</f>
        <v>Seay, Virginia</v>
      </c>
      <c r="B14484" s="2"/>
      <c r="C14484" s="2"/>
      <c r="D14484" s="8" t="str">
        <f ca="1">IFERROR(__xludf.DUMMYFUNCTION("""COMPUTED_VALUE"""),"")</f>
        <v/>
      </c>
      <c r="E14484" s="2"/>
    </row>
    <row r="14485" spans="1:5" ht="13">
      <c r="A14485" s="8" t="str">
        <f ca="1">IFERROR(__xludf.DUMMYFUNCTION("""COMPUTED_VALUE"""),"Seeboeck, Wm. Chas")</f>
        <v>Seeboeck, Wm. Chas</v>
      </c>
      <c r="B14485" s="2"/>
      <c r="C14485" s="2"/>
      <c r="D14485" s="8" t="str">
        <f ca="1">IFERROR(__xludf.DUMMYFUNCTION("""COMPUTED_VALUE"""),"")</f>
        <v/>
      </c>
      <c r="E14485" s="2"/>
    </row>
    <row r="14486" spans="1:5" ht="13">
      <c r="A14486" s="8" t="str">
        <f ca="1">IFERROR(__xludf.DUMMYFUNCTION("""COMPUTED_VALUE"""),"Selmer, Johan Peter")</f>
        <v>Selmer, Johan Peter</v>
      </c>
      <c r="B14486" s="2"/>
      <c r="C14486" s="2"/>
      <c r="D14486" s="8" t="str">
        <f ca="1">IFERROR(__xludf.DUMMYFUNCTION("""COMPUTED_VALUE"""),"")</f>
        <v/>
      </c>
      <c r="E14486" s="2"/>
    </row>
    <row r="14487" spans="1:5" ht="13">
      <c r="A14487" s="8" t="str">
        <f ca="1">IFERROR(__xludf.DUMMYFUNCTION("""COMPUTED_VALUE"""),"Semmler, Alexander")</f>
        <v>Semmler, Alexander</v>
      </c>
      <c r="B14487" s="2"/>
      <c r="C14487" s="2"/>
      <c r="D14487" s="8" t="str">
        <f ca="1">IFERROR(__xludf.DUMMYFUNCTION("""COMPUTED_VALUE"""),"")</f>
        <v/>
      </c>
      <c r="E14487" s="2"/>
    </row>
    <row r="14488" spans="1:5" ht="13">
      <c r="A14488" s="8" t="str">
        <f ca="1">IFERROR(__xludf.DUMMYFUNCTION("""COMPUTED_VALUE"""),"Serebrier, Jose")</f>
        <v>Serebrier, Jose</v>
      </c>
      <c r="B14488" s="2"/>
      <c r="C14488" s="2"/>
      <c r="D14488" s="8" t="str">
        <f ca="1">IFERROR(__xludf.DUMMYFUNCTION("""COMPUTED_VALUE"""),"")</f>
        <v/>
      </c>
      <c r="E14488" s="2"/>
    </row>
    <row r="14489" spans="1:5" ht="13">
      <c r="A14489" s="8" t="str">
        <f ca="1">IFERROR(__xludf.DUMMYFUNCTION("""COMPUTED_VALUE"""),"Servais, Adrian")</f>
        <v>Servais, Adrian</v>
      </c>
      <c r="B14489" s="2"/>
      <c r="C14489" s="2"/>
      <c r="D14489" s="8" t="str">
        <f ca="1">IFERROR(__xludf.DUMMYFUNCTION("""COMPUTED_VALUE"""),"")</f>
        <v/>
      </c>
      <c r="E14489" s="2"/>
    </row>
    <row r="14490" spans="1:5" ht="13">
      <c r="A14490" s="8" t="str">
        <f ca="1">IFERROR(__xludf.DUMMYFUNCTION("""COMPUTED_VALUE"""),"Sessions, Roger")</f>
        <v>Sessions, Roger</v>
      </c>
      <c r="B14490" s="2"/>
      <c r="C14490" s="2"/>
      <c r="D14490" s="8" t="str">
        <f ca="1">IFERROR(__xludf.DUMMYFUNCTION("""COMPUTED_VALUE"""),"")</f>
        <v/>
      </c>
      <c r="E14490" s="2"/>
    </row>
    <row r="14491" spans="1:5" ht="13">
      <c r="A14491" s="8" t="str">
        <f ca="1">IFERROR(__xludf.DUMMYFUNCTION("""COMPUTED_VALUE"""),"Severn, Thomas")</f>
        <v>Severn, Thomas</v>
      </c>
      <c r="B14491" s="2"/>
      <c r="C14491" s="2"/>
      <c r="D14491" s="8" t="str">
        <f ca="1">IFERROR(__xludf.DUMMYFUNCTION("""COMPUTED_VALUE"""),"")</f>
        <v/>
      </c>
      <c r="E14491" s="2"/>
    </row>
    <row r="14492" spans="1:5" ht="13">
      <c r="A14492" s="8" t="str">
        <f ca="1">IFERROR(__xludf.DUMMYFUNCTION("""COMPUTED_VALUE"""),"Sevitzky, Fabian")</f>
        <v>Sevitzky, Fabian</v>
      </c>
      <c r="B14492" s="2"/>
      <c r="C14492" s="2"/>
      <c r="D14492" s="8" t="str">
        <f ca="1">IFERROR(__xludf.DUMMYFUNCTION("""COMPUTED_VALUE"""),"")</f>
        <v/>
      </c>
      <c r="E14492" s="2"/>
    </row>
    <row r="14493" spans="1:5" ht="13">
      <c r="A14493" s="8" t="str">
        <f ca="1">IFERROR(__xludf.DUMMYFUNCTION("""COMPUTED_VALUE"""),"Sgambati, Gioccomo")</f>
        <v>Sgambati, Gioccomo</v>
      </c>
      <c r="B14493" s="2"/>
      <c r="C14493" s="2"/>
      <c r="D14493" s="8" t="str">
        <f ca="1">IFERROR(__xludf.DUMMYFUNCTION("""COMPUTED_VALUE"""),"")</f>
        <v/>
      </c>
      <c r="E14493" s="2"/>
    </row>
    <row r="14494" spans="1:5" ht="13">
      <c r="A14494" s="8" t="str">
        <f ca="1">IFERROR(__xludf.DUMMYFUNCTION("""COMPUTED_VALUE"""),"Shannon, James R.")</f>
        <v>Shannon, James R.</v>
      </c>
      <c r="B14494" s="2"/>
      <c r="C14494" s="2"/>
      <c r="D14494" s="8" t="str">
        <f ca="1">IFERROR(__xludf.DUMMYFUNCTION("""COMPUTED_VALUE"""),"")</f>
        <v/>
      </c>
      <c r="E14494" s="2"/>
    </row>
    <row r="14495" spans="1:5" ht="13">
      <c r="A14495" s="8" t="str">
        <f ca="1">IFERROR(__xludf.DUMMYFUNCTION("""COMPUTED_VALUE"""),"Shapero, Harold S.")</f>
        <v>Shapero, Harold S.</v>
      </c>
      <c r="B14495" s="2"/>
      <c r="C14495" s="2"/>
      <c r="D14495" s="8" t="str">
        <f ca="1">IFERROR(__xludf.DUMMYFUNCTION("""COMPUTED_VALUE"""),"")</f>
        <v/>
      </c>
      <c r="E14495" s="2"/>
    </row>
    <row r="14496" spans="1:5" ht="13">
      <c r="A14496" s="8" t="str">
        <f ca="1">IFERROR(__xludf.DUMMYFUNCTION("""COMPUTED_VALUE"""),"Shapey, Ralph")</f>
        <v>Shapey, Ralph</v>
      </c>
      <c r="B14496" s="2"/>
      <c r="C14496" s="2"/>
      <c r="D14496" s="8" t="str">
        <f ca="1">IFERROR(__xludf.DUMMYFUNCTION("""COMPUTED_VALUE"""),"")</f>
        <v/>
      </c>
      <c r="E14496" s="2"/>
    </row>
    <row r="14497" spans="1:5" ht="13">
      <c r="A14497" s="8" t="str">
        <f ca="1">IFERROR(__xludf.DUMMYFUNCTION("""COMPUTED_VALUE"""),"Shaporin, Yury A.")</f>
        <v>Shaporin, Yury A.</v>
      </c>
      <c r="B14497" s="2"/>
      <c r="C14497" s="2"/>
      <c r="D14497" s="8" t="str">
        <f ca="1">IFERROR(__xludf.DUMMYFUNCTION("""COMPUTED_VALUE"""),"")</f>
        <v/>
      </c>
      <c r="E14497" s="2"/>
    </row>
    <row r="14498" spans="1:5" ht="13">
      <c r="A14498" s="8" t="str">
        <f ca="1">IFERROR(__xludf.DUMMYFUNCTION("""COMPUTED_VALUE"""),"Shaw, Arti")</f>
        <v>Shaw, Arti</v>
      </c>
      <c r="B14498" s="2"/>
      <c r="C14498" s="2"/>
      <c r="D14498" s="8" t="str">
        <f ca="1">IFERROR(__xludf.DUMMYFUNCTION("""COMPUTED_VALUE"""),"")</f>
        <v/>
      </c>
      <c r="E14498" s="2"/>
    </row>
    <row r="14499" spans="1:5" ht="13">
      <c r="A14499" s="8" t="str">
        <f ca="1">IFERROR(__xludf.DUMMYFUNCTION("""COMPUTED_VALUE"""),"Shelley, Harry R.")</f>
        <v>Shelley, Harry R.</v>
      </c>
      <c r="B14499" s="2"/>
      <c r="C14499" s="2"/>
      <c r="D14499" s="8" t="str">
        <f ca="1">IFERROR(__xludf.DUMMYFUNCTION("""COMPUTED_VALUE"""),"")</f>
        <v/>
      </c>
      <c r="E14499" s="2"/>
    </row>
    <row r="14500" spans="1:5" ht="13">
      <c r="A14500" s="8" t="str">
        <f ca="1">IFERROR(__xludf.DUMMYFUNCTION("""COMPUTED_VALUE"""),"Shepherd, Arthur")</f>
        <v>Shepherd, Arthur</v>
      </c>
      <c r="B14500" s="2"/>
      <c r="C14500" s="2"/>
      <c r="D14500" s="8" t="str">
        <f ca="1">IFERROR(__xludf.DUMMYFUNCTION("""COMPUTED_VALUE"""),"")</f>
        <v/>
      </c>
      <c r="E14500" s="2"/>
    </row>
    <row r="14501" spans="1:5" ht="13">
      <c r="A14501" s="8" t="str">
        <f ca="1">IFERROR(__xludf.DUMMYFUNCTION("""COMPUTED_VALUE"""),"Sherrif, Noam")</f>
        <v>Sherrif, Noam</v>
      </c>
      <c r="B14501" s="2"/>
      <c r="C14501" s="2"/>
      <c r="D14501" s="8" t="str">
        <f ca="1">IFERROR(__xludf.DUMMYFUNCTION("""COMPUTED_VALUE"""),"")</f>
        <v/>
      </c>
      <c r="E14501" s="2"/>
    </row>
    <row r="14502" spans="1:5" ht="13">
      <c r="A14502" s="8" t="str">
        <f ca="1">IFERROR(__xludf.DUMMYFUNCTION("""COMPUTED_VALUE"""),"Shifrin, Seymour")</f>
        <v>Shifrin, Seymour</v>
      </c>
      <c r="B14502" s="2"/>
      <c r="C14502" s="2"/>
      <c r="D14502" s="8" t="str">
        <f ca="1">IFERROR(__xludf.DUMMYFUNCTION("""COMPUTED_VALUE"""),"")</f>
        <v/>
      </c>
      <c r="E14502" s="2"/>
    </row>
    <row r="14503" spans="1:5" ht="13">
      <c r="A14503" s="8" t="str">
        <f ca="1">IFERROR(__xludf.DUMMYFUNCTION("""COMPUTED_VALUE"""),"Shure, R. Deane")</f>
        <v>Shure, R. Deane</v>
      </c>
      <c r="B14503" s="2"/>
      <c r="C14503" s="2"/>
      <c r="D14503" s="8" t="str">
        <f ca="1">IFERROR(__xludf.DUMMYFUNCTION("""COMPUTED_VALUE"""),"")</f>
        <v/>
      </c>
      <c r="E14503" s="2"/>
    </row>
    <row r="14504" spans="1:5" ht="13">
      <c r="A14504" s="8" t="str">
        <f ca="1">IFERROR(__xludf.DUMMYFUNCTION("""COMPUTED_VALUE"""),"Siebmann")</f>
        <v>Siebmann</v>
      </c>
      <c r="B14504" s="2"/>
      <c r="C14504" s="2"/>
      <c r="D14504" s="8" t="str">
        <f ca="1">IFERROR(__xludf.DUMMYFUNCTION("""COMPUTED_VALUE"""),"")</f>
        <v/>
      </c>
      <c r="E14504" s="2"/>
    </row>
    <row r="14505" spans="1:5" ht="13">
      <c r="A14505" s="8" t="str">
        <f ca="1">IFERROR(__xludf.DUMMYFUNCTION("""COMPUTED_VALUE"""),"Siegal, Alvin")</f>
        <v>Siegal, Alvin</v>
      </c>
      <c r="B14505" s="2"/>
      <c r="C14505" s="2"/>
      <c r="D14505" s="8" t="str">
        <f ca="1">IFERROR(__xludf.DUMMYFUNCTION("""COMPUTED_VALUE"""),"")</f>
        <v/>
      </c>
      <c r="E14505" s="2"/>
    </row>
    <row r="14506" spans="1:5" ht="13">
      <c r="A14506" s="8" t="str">
        <f ca="1">IFERROR(__xludf.DUMMYFUNCTION("""COMPUTED_VALUE"""),"Siemonn")</f>
        <v>Siemonn</v>
      </c>
      <c r="B14506" s="2"/>
      <c r="C14506" s="2"/>
      <c r="D14506" s="8" t="str">
        <f ca="1">IFERROR(__xludf.DUMMYFUNCTION("""COMPUTED_VALUE"""),"")</f>
        <v/>
      </c>
      <c r="E14506" s="2"/>
    </row>
    <row r="14507" spans="1:5" ht="13">
      <c r="A14507" s="8" t="str">
        <f ca="1">IFERROR(__xludf.DUMMYFUNCTION("""COMPUTED_VALUE"""),"Silva, Romeo or Oscar da,")</f>
        <v>Silva, Romeo or Oscar da,</v>
      </c>
      <c r="B14507" s="2"/>
      <c r="C14507" s="2"/>
      <c r="D14507" s="8" t="str">
        <f ca="1">IFERROR(__xludf.DUMMYFUNCTION("""COMPUTED_VALUE"""),"")</f>
        <v/>
      </c>
      <c r="E14507" s="2"/>
    </row>
    <row r="14508" spans="1:5" ht="13">
      <c r="A14508" s="8" t="str">
        <f ca="1">IFERROR(__xludf.DUMMYFUNCTION("""COMPUTED_VALUE"""),"Silvestri, Constantin")</f>
        <v>Silvestri, Constantin</v>
      </c>
      <c r="B14508" s="2"/>
      <c r="C14508" s="2"/>
      <c r="D14508" s="8" t="str">
        <f ca="1">IFERROR(__xludf.DUMMYFUNCTION("""COMPUTED_VALUE"""),"")</f>
        <v/>
      </c>
      <c r="E14508" s="2"/>
    </row>
    <row r="14509" spans="1:5" ht="13">
      <c r="A14509" s="8" t="str">
        <f ca="1">IFERROR(__xludf.DUMMYFUNCTION("""COMPUTED_VALUE"""),"Simoni")</f>
        <v>Simoni</v>
      </c>
      <c r="B14509" s="2"/>
      <c r="C14509" s="2"/>
      <c r="D14509" s="8" t="str">
        <f ca="1">IFERROR(__xludf.DUMMYFUNCTION("""COMPUTED_VALUE"""),"")</f>
        <v/>
      </c>
      <c r="E14509" s="2"/>
    </row>
    <row r="14510" spans="1:5" ht="13">
      <c r="A14510" s="8" t="str">
        <f ca="1">IFERROR(__xludf.DUMMYFUNCTION("""COMPUTED_VALUE"""),"Singer, Otto")</f>
        <v>Singer, Otto</v>
      </c>
      <c r="B14510" s="2"/>
      <c r="C14510" s="2"/>
      <c r="D14510" s="8" t="str">
        <f ca="1">IFERROR(__xludf.DUMMYFUNCTION("""COMPUTED_VALUE"""),"")</f>
        <v/>
      </c>
      <c r="E14510" s="2"/>
    </row>
    <row r="14511" spans="1:5" ht="13">
      <c r="A14511" s="8" t="str">
        <f ca="1">IFERROR(__xludf.DUMMYFUNCTION("""COMPUTED_VALUE"""),"Siqueira, Jos・Siqueira")</f>
        <v>Siqueira, Jos・Siqueira</v>
      </c>
      <c r="B14511" s="2"/>
      <c r="C14511" s="2"/>
      <c r="D14511" s="8" t="str">
        <f ca="1">IFERROR(__xludf.DUMMYFUNCTION("""COMPUTED_VALUE"""),"")</f>
        <v/>
      </c>
      <c r="E14511" s="2"/>
    </row>
    <row r="14512" spans="1:5" ht="13">
      <c r="A14512" s="8" t="str">
        <f ca="1">IFERROR(__xludf.DUMMYFUNCTION("""COMPUTED_VALUE"""),"Sitt, Hans")</f>
        <v>Sitt, Hans</v>
      </c>
      <c r="B14512" s="2"/>
      <c r="C14512" s="2"/>
      <c r="D14512" s="8" t="str">
        <f ca="1">IFERROR(__xludf.DUMMYFUNCTION("""COMPUTED_VALUE"""),"")</f>
        <v/>
      </c>
      <c r="E14512" s="2"/>
    </row>
    <row r="14513" spans="1:5" ht="13">
      <c r="A14513" s="8" t="str">
        <f ca="1">IFERROR(__xludf.DUMMYFUNCTION("""COMPUTED_VALUE"""),"Sjoberg, Svante")</f>
        <v>Sjoberg, Svante</v>
      </c>
      <c r="B14513" s="2"/>
      <c r="C14513" s="2"/>
      <c r="D14513" s="8" t="str">
        <f ca="1">IFERROR(__xludf.DUMMYFUNCTION("""COMPUTED_VALUE"""),"")</f>
        <v/>
      </c>
      <c r="E14513" s="2"/>
    </row>
    <row r="14514" spans="1:5" ht="13">
      <c r="A14514" s="8" t="str">
        <f ca="1">IFERROR(__xludf.DUMMYFUNCTION("""COMPUTED_VALUE"""),"Sjogren, Emil")</f>
        <v>Sjogren, Emil</v>
      </c>
      <c r="B14514" s="2"/>
      <c r="C14514" s="2"/>
      <c r="D14514" s="8" t="str">
        <f ca="1">IFERROR(__xludf.DUMMYFUNCTION("""COMPUTED_VALUE"""),"")</f>
        <v/>
      </c>
      <c r="E14514" s="2"/>
    </row>
    <row r="14515" spans="1:5" ht="13">
      <c r="A14515" s="8" t="str">
        <f ca="1">IFERROR(__xludf.DUMMYFUNCTION("""COMPUTED_VALUE"""),"Skalkotas, Nikos")</f>
        <v>Skalkotas, Nikos</v>
      </c>
      <c r="B14515" s="2"/>
      <c r="C14515" s="2"/>
      <c r="D14515" s="8" t="str">
        <f ca="1">IFERROR(__xludf.DUMMYFUNCTION("""COMPUTED_VALUE"""),"")</f>
        <v/>
      </c>
      <c r="E14515" s="2"/>
    </row>
    <row r="14516" spans="1:5" ht="13">
      <c r="A14516" s="8" t="str">
        <f ca="1">IFERROR(__xludf.DUMMYFUNCTION("""COMPUTED_VALUE"""),"Skiles, Marlin")</f>
        <v>Skiles, Marlin</v>
      </c>
      <c r="B14516" s="2"/>
      <c r="C14516" s="2"/>
      <c r="D14516" s="8" t="str">
        <f ca="1">IFERROR(__xludf.DUMMYFUNCTION("""COMPUTED_VALUE"""),"")</f>
        <v/>
      </c>
      <c r="E14516" s="2"/>
    </row>
    <row r="14517" spans="1:5" ht="13">
      <c r="A14517" s="8" t="str">
        <f ca="1">IFERROR(__xludf.DUMMYFUNCTION("""COMPUTED_VALUE"""),"Skilton, Chas. Sanford")</f>
        <v>Skilton, Chas. Sanford</v>
      </c>
      <c r="B14517" s="2"/>
      <c r="C14517" s="2"/>
      <c r="D14517" s="8" t="str">
        <f ca="1">IFERROR(__xludf.DUMMYFUNCTION("""COMPUTED_VALUE"""),"")</f>
        <v/>
      </c>
      <c r="E14517" s="2"/>
    </row>
    <row r="14518" spans="1:5" ht="13">
      <c r="A14518" s="8" t="str">
        <f ca="1">IFERROR(__xludf.DUMMYFUNCTION("""COMPUTED_VALUE"""),"Sklavos, George")</f>
        <v>Sklavos, George</v>
      </c>
      <c r="B14518" s="2"/>
      <c r="C14518" s="2"/>
      <c r="D14518" s="8" t="str">
        <f ca="1">IFERROR(__xludf.DUMMYFUNCTION("""COMPUTED_VALUE"""),"")</f>
        <v/>
      </c>
      <c r="E14518" s="2"/>
    </row>
    <row r="14519" spans="1:5" ht="13">
      <c r="A14519" s="8" t="str">
        <f ca="1">IFERROR(__xludf.DUMMYFUNCTION("""COMPUTED_VALUE"""),"Smit, Leo")</f>
        <v>Smit, Leo</v>
      </c>
      <c r="B14519" s="2"/>
      <c r="C14519" s="2"/>
      <c r="D14519" s="8" t="str">
        <f ca="1">IFERROR(__xludf.DUMMYFUNCTION("""COMPUTED_VALUE"""),"")</f>
        <v/>
      </c>
      <c r="E14519" s="2"/>
    </row>
    <row r="14520" spans="1:5" ht="13">
      <c r="A14520" s="8" t="str">
        <f ca="1">IFERROR(__xludf.DUMMYFUNCTION("""COMPUTED_VALUE"""),"Smith, David S.")</f>
        <v>Smith, David S.</v>
      </c>
      <c r="B14520" s="2"/>
      <c r="C14520" s="2"/>
      <c r="D14520" s="8" t="str">
        <f ca="1">IFERROR(__xludf.DUMMYFUNCTION("""COMPUTED_VALUE"""),"")</f>
        <v/>
      </c>
      <c r="E14520" s="2"/>
    </row>
    <row r="14521" spans="1:5" ht="13">
      <c r="A14521" s="8" t="str">
        <f ca="1">IFERROR(__xludf.DUMMYFUNCTION("""COMPUTED_VALUE"""),"Smith, John C.")</f>
        <v>Smith, John C.</v>
      </c>
      <c r="B14521" s="2"/>
      <c r="C14521" s="2"/>
      <c r="D14521" s="8" t="str">
        <f ca="1">IFERROR(__xludf.DUMMYFUNCTION("""COMPUTED_VALUE"""),"")</f>
        <v/>
      </c>
      <c r="E14521" s="2"/>
    </row>
    <row r="14522" spans="1:5" ht="13">
      <c r="A14522" s="8" t="str">
        <f ca="1">IFERROR(__xludf.DUMMYFUNCTION("""COMPUTED_VALUE"""),"Smith, Lani")</f>
        <v>Smith, Lani</v>
      </c>
      <c r="B14522" s="2"/>
      <c r="C14522" s="2"/>
      <c r="D14522" s="8" t="str">
        <f ca="1">IFERROR(__xludf.DUMMYFUNCTION("""COMPUTED_VALUE"""),"")</f>
        <v/>
      </c>
      <c r="E14522" s="2"/>
    </row>
    <row r="14523" spans="1:5" ht="13">
      <c r="A14523" s="8" t="str">
        <f ca="1">IFERROR(__xludf.DUMMYFUNCTION("""COMPUTED_VALUE"""),"Smith, Leland C.")</f>
        <v>Smith, Leland C.</v>
      </c>
      <c r="B14523" s="2"/>
      <c r="C14523" s="2"/>
      <c r="D14523" s="8" t="str">
        <f ca="1">IFERROR(__xludf.DUMMYFUNCTION("""COMPUTED_VALUE"""),"")</f>
        <v/>
      </c>
      <c r="E14523" s="2"/>
    </row>
    <row r="14524" spans="1:5" ht="13">
      <c r="A14524" s="8" t="str">
        <f ca="1">IFERROR(__xludf.DUMMYFUNCTION("""COMPUTED_VALUE"""),"Smith, Russell")</f>
        <v>Smith, Russell</v>
      </c>
      <c r="B14524" s="2"/>
      <c r="C14524" s="2"/>
      <c r="D14524" s="8" t="str">
        <f ca="1">IFERROR(__xludf.DUMMYFUNCTION("""COMPUTED_VALUE"""),"")</f>
        <v/>
      </c>
      <c r="E14524" s="2"/>
    </row>
    <row r="14525" spans="1:5" ht="13">
      <c r="A14525" s="8" t="str">
        <f ca="1">IFERROR(__xludf.DUMMYFUNCTION("""COMPUTED_VALUE"""),"Smith, William O.")</f>
        <v>Smith, William O.</v>
      </c>
      <c r="B14525" s="2"/>
      <c r="C14525" s="2"/>
      <c r="D14525" s="8" t="str">
        <f ca="1">IFERROR(__xludf.DUMMYFUNCTION("""COMPUTED_VALUE"""),"")</f>
        <v/>
      </c>
      <c r="E14525" s="2"/>
    </row>
    <row r="14526" spans="1:5" ht="13">
      <c r="A14526" s="8" t="str">
        <f ca="1">IFERROR(__xludf.DUMMYFUNCTION("""COMPUTED_VALUE"""),"Soderman, Johan")</f>
        <v>Soderman, Johan</v>
      </c>
      <c r="B14526" s="2"/>
      <c r="C14526" s="2"/>
      <c r="D14526" s="8" t="str">
        <f ca="1">IFERROR(__xludf.DUMMYFUNCTION("""COMPUTED_VALUE"""),"")</f>
        <v/>
      </c>
      <c r="E14526" s="2"/>
    </row>
    <row r="14527" spans="1:5" ht="13">
      <c r="A14527" s="8" t="str">
        <f ca="1">IFERROR(__xludf.DUMMYFUNCTION("""COMPUTED_VALUE"""),"Sollberger, Harvey D.")</f>
        <v>Sollberger, Harvey D.</v>
      </c>
      <c r="B14527" s="2"/>
      <c r="C14527" s="2"/>
      <c r="D14527" s="8" t="str">
        <f ca="1">IFERROR(__xludf.DUMMYFUNCTION("""COMPUTED_VALUE"""),"")</f>
        <v/>
      </c>
      <c r="E14527" s="2"/>
    </row>
    <row r="14528" spans="1:5" ht="13">
      <c r="A14528" s="8" t="str">
        <f ca="1">IFERROR(__xludf.DUMMYFUNCTION("""COMPUTED_VALUE"""),"Somers, Harry S.")</f>
        <v>Somers, Harry S.</v>
      </c>
      <c r="B14528" s="2"/>
      <c r="C14528" s="2"/>
      <c r="D14528" s="8" t="str">
        <f ca="1">IFERROR(__xludf.DUMMYFUNCTION("""COMPUTED_VALUE"""),"")</f>
        <v/>
      </c>
      <c r="E14528" s="2"/>
    </row>
    <row r="14529" spans="1:5" ht="13">
      <c r="A14529" s="8" t="str">
        <f ca="1">IFERROR(__xludf.DUMMYFUNCTION("""COMPUTED_VALUE"""),"Somervell, Sir Arthur")</f>
        <v>Somervell, Sir Arthur</v>
      </c>
      <c r="B14529" s="2"/>
      <c r="C14529" s="2"/>
      <c r="D14529" s="8" t="str">
        <f ca="1">IFERROR(__xludf.DUMMYFUNCTION("""COMPUTED_VALUE"""),"")</f>
        <v/>
      </c>
      <c r="E14529" s="2"/>
    </row>
    <row r="14530" spans="1:5" ht="13">
      <c r="A14530" s="8" t="str">
        <f ca="1">IFERROR(__xludf.DUMMYFUNCTION("""COMPUTED_VALUE"""),"Sonzogno, Guilio C.")</f>
        <v>Sonzogno, Guilio C.</v>
      </c>
      <c r="B14530" s="2"/>
      <c r="C14530" s="2"/>
      <c r="D14530" s="8" t="str">
        <f ca="1">IFERROR(__xludf.DUMMYFUNCTION("""COMPUTED_VALUE"""),"")</f>
        <v/>
      </c>
      <c r="E14530" s="2"/>
    </row>
    <row r="14531" spans="1:5" ht="13">
      <c r="A14531" s="8" t="str">
        <f ca="1">IFERROR(__xludf.DUMMYFUNCTION("""COMPUTED_VALUE"""),"Spaeth, Dr. J. Duncan")</f>
        <v>Spaeth, Dr. J. Duncan</v>
      </c>
      <c r="B14531" s="2"/>
      <c r="C14531" s="2"/>
      <c r="D14531" s="8" t="str">
        <f ca="1">IFERROR(__xludf.DUMMYFUNCTION("""COMPUTED_VALUE"""),"")</f>
        <v/>
      </c>
      <c r="E14531" s="2"/>
    </row>
    <row r="14532" spans="1:5" ht="13">
      <c r="A14532" s="8" t="str">
        <f ca="1">IFERROR(__xludf.DUMMYFUNCTION("""COMPUTED_VALUE"""),"Spathy")</f>
        <v>Spathy</v>
      </c>
      <c r="B14532" s="2"/>
      <c r="C14532" s="2"/>
      <c r="D14532" s="8" t="str">
        <f ca="1">IFERROR(__xludf.DUMMYFUNCTION("""COMPUTED_VALUE"""),"")</f>
        <v/>
      </c>
      <c r="E14532" s="2"/>
    </row>
    <row r="14533" spans="1:5" ht="13">
      <c r="A14533" s="8" t="str">
        <f ca="1">IFERROR(__xludf.DUMMYFUNCTION("""COMPUTED_VALUE"""),"Spelman, Timothy M.")</f>
        <v>Spelman, Timothy M.</v>
      </c>
      <c r="B14533" s="2"/>
      <c r="C14533" s="2"/>
      <c r="D14533" s="8" t="str">
        <f ca="1">IFERROR(__xludf.DUMMYFUNCTION("""COMPUTED_VALUE"""),"")</f>
        <v/>
      </c>
      <c r="E14533" s="2"/>
    </row>
    <row r="14534" spans="1:5" ht="13">
      <c r="A14534" s="8" t="str">
        <f ca="1">IFERROR(__xludf.DUMMYFUNCTION("""COMPUTED_VALUE"""),"Spier, LaSalle")</f>
        <v>Spier, LaSalle</v>
      </c>
      <c r="B14534" s="2"/>
      <c r="C14534" s="2"/>
      <c r="D14534" s="8" t="str">
        <f ca="1">IFERROR(__xludf.DUMMYFUNCTION("""COMPUTED_VALUE"""),"")</f>
        <v/>
      </c>
      <c r="E14534" s="2"/>
    </row>
    <row r="14535" spans="1:5" ht="13">
      <c r="A14535" s="8" t="str">
        <f ca="1">IFERROR(__xludf.DUMMYFUNCTION("""COMPUTED_VALUE"""),"Spinelli, Nicola")</f>
        <v>Spinelli, Nicola</v>
      </c>
      <c r="B14535" s="2"/>
      <c r="C14535" s="2"/>
      <c r="D14535" s="8" t="str">
        <f ca="1">IFERROR(__xludf.DUMMYFUNCTION("""COMPUTED_VALUE"""),"")</f>
        <v/>
      </c>
      <c r="E14535" s="2"/>
    </row>
    <row r="14536" spans="1:5" ht="13">
      <c r="A14536" s="8" t="str">
        <f ca="1">IFERROR(__xludf.DUMMYFUNCTION("""COMPUTED_VALUE"""),"Spisak, Michal")</f>
        <v>Spisak, Michal</v>
      </c>
      <c r="B14536" s="2"/>
      <c r="C14536" s="2"/>
      <c r="D14536" s="8" t="str">
        <f ca="1">IFERROR(__xludf.DUMMYFUNCTION("""COMPUTED_VALUE"""),"")</f>
        <v/>
      </c>
      <c r="E14536" s="2"/>
    </row>
    <row r="14537" spans="1:5" ht="13">
      <c r="A14537" s="8" t="str">
        <f ca="1">IFERROR(__xludf.DUMMYFUNCTION("""COMPUTED_VALUE"""),"Spontini, Gasparo L.")</f>
        <v>Spontini, Gasparo L.</v>
      </c>
      <c r="B14537" s="2"/>
      <c r="C14537" s="2"/>
      <c r="D14537" s="8" t="str">
        <f ca="1">IFERROR(__xludf.DUMMYFUNCTION("""COMPUTED_VALUE"""),"")</f>
        <v/>
      </c>
      <c r="E14537" s="2"/>
    </row>
    <row r="14538" spans="1:5" ht="13">
      <c r="A14538" s="8" t="str">
        <f ca="1">IFERROR(__xludf.DUMMYFUNCTION("""COMPUTED_VALUE"""),"Sprigg")</f>
        <v>Sprigg</v>
      </c>
      <c r="B14538" s="2"/>
      <c r="C14538" s="2"/>
      <c r="D14538" s="8" t="str">
        <f ca="1">IFERROR(__xludf.DUMMYFUNCTION("""COMPUTED_VALUE"""),"")</f>
        <v/>
      </c>
      <c r="E14538" s="2"/>
    </row>
    <row r="14539" spans="1:5" ht="13">
      <c r="A14539" s="8" t="str">
        <f ca="1">IFERROR(__xludf.DUMMYFUNCTION("""COMPUTED_VALUE"""),"Stahlberg, Fred.")</f>
        <v>Stahlberg, Fred.</v>
      </c>
      <c r="B14539" s="2"/>
      <c r="C14539" s="2"/>
      <c r="D14539" s="8" t="str">
        <f ca="1">IFERROR(__xludf.DUMMYFUNCTION("""COMPUTED_VALUE"""),"")</f>
        <v/>
      </c>
      <c r="E14539" s="2"/>
    </row>
    <row r="14540" spans="1:5" ht="13">
      <c r="A14540" s="8" t="str">
        <f ca="1">IFERROR(__xludf.DUMMYFUNCTION("""COMPUTED_VALUE"""),"Stanley, Albert A.")</f>
        <v>Stanley, Albert A.</v>
      </c>
      <c r="B14540" s="2"/>
      <c r="C14540" s="2"/>
      <c r="D14540" s="8" t="str">
        <f ca="1">IFERROR(__xludf.DUMMYFUNCTION("""COMPUTED_VALUE"""),"")</f>
        <v/>
      </c>
      <c r="E14540" s="2"/>
    </row>
    <row r="14541" spans="1:5" ht="13">
      <c r="A14541" s="8" t="str">
        <f ca="1">IFERROR(__xludf.DUMMYFUNCTION("""COMPUTED_VALUE"""),"Starokadomsky, Mikhail")</f>
        <v>Starokadomsky, Mikhail</v>
      </c>
      <c r="B14541" s="2"/>
      <c r="C14541" s="2"/>
      <c r="D14541" s="8" t="str">
        <f ca="1">IFERROR(__xludf.DUMMYFUNCTION("""COMPUTED_VALUE"""),"")</f>
        <v/>
      </c>
      <c r="E14541" s="2"/>
    </row>
    <row r="14542" spans="1:5" ht="13">
      <c r="A14542" s="8" t="str">
        <f ca="1">IFERROR(__xludf.DUMMYFUNCTION("""COMPUTED_VALUE"""),"Stearns, Theodore")</f>
        <v>Stearns, Theodore</v>
      </c>
      <c r="B14542" s="2"/>
      <c r="C14542" s="2"/>
      <c r="D14542" s="8" t="str">
        <f ca="1">IFERROR(__xludf.DUMMYFUNCTION("""COMPUTED_VALUE"""),"")</f>
        <v/>
      </c>
      <c r="E14542" s="2"/>
    </row>
    <row r="14543" spans="1:5" ht="13">
      <c r="A14543" s="8" t="str">
        <f ca="1">IFERROR(__xludf.DUMMYFUNCTION("""COMPUTED_VALUE"""),"Stein, Leon")</f>
        <v>Stein, Leon</v>
      </c>
      <c r="B14543" s="2"/>
      <c r="C14543" s="2"/>
      <c r="D14543" s="8" t="str">
        <f ca="1">IFERROR(__xludf.DUMMYFUNCTION("""COMPUTED_VALUE"""),"")</f>
        <v/>
      </c>
      <c r="E14543" s="2"/>
    </row>
    <row r="14544" spans="1:5" ht="13">
      <c r="A14544" s="8" t="str">
        <f ca="1">IFERROR(__xludf.DUMMYFUNCTION("""COMPUTED_VALUE"""),"Steiner, Ethan")</f>
        <v>Steiner, Ethan</v>
      </c>
      <c r="B14544" s="2"/>
      <c r="C14544" s="2"/>
      <c r="D14544" s="8" t="str">
        <f ca="1">IFERROR(__xludf.DUMMYFUNCTION("""COMPUTED_VALUE"""),"")</f>
        <v/>
      </c>
      <c r="E14544" s="2"/>
    </row>
    <row r="14545" spans="1:5" ht="13">
      <c r="A14545" s="8" t="str">
        <f ca="1">IFERROR(__xludf.DUMMYFUNCTION("""COMPUTED_VALUE"""),"Steiner, Geo")</f>
        <v>Steiner, Geo</v>
      </c>
      <c r="B14545" s="2"/>
      <c r="C14545" s="2"/>
      <c r="D14545" s="8" t="str">
        <f ca="1">IFERROR(__xludf.DUMMYFUNCTION("""COMPUTED_VALUE"""),"")</f>
        <v/>
      </c>
      <c r="E14545" s="2"/>
    </row>
    <row r="14546" spans="1:5" ht="13">
      <c r="A14546" s="8" t="str">
        <f ca="1">IFERROR(__xludf.DUMMYFUNCTION("""COMPUTED_VALUE"""),"Steinert, Alexander L.")</f>
        <v>Steinert, Alexander L.</v>
      </c>
      <c r="B14546" s="2"/>
      <c r="C14546" s="2"/>
      <c r="D14546" s="8" t="str">
        <f ca="1">IFERROR(__xludf.DUMMYFUNCTION("""COMPUTED_VALUE"""),"")</f>
        <v/>
      </c>
      <c r="E14546" s="2"/>
    </row>
    <row r="14547" spans="1:5" ht="13">
      <c r="A14547" s="8" t="str">
        <f ca="1">IFERROR(__xludf.DUMMYFUNCTION("""COMPUTED_VALUE"""),"Steinhauser")</f>
        <v>Steinhauser</v>
      </c>
      <c r="B14547" s="2"/>
      <c r="C14547" s="2"/>
      <c r="D14547" s="8" t="str">
        <f ca="1">IFERROR(__xludf.DUMMYFUNCTION("""COMPUTED_VALUE"""),"")</f>
        <v/>
      </c>
      <c r="E14547" s="2"/>
    </row>
    <row r="14548" spans="1:5" ht="13">
      <c r="A14548" s="8" t="str">
        <f ca="1">IFERROR(__xludf.DUMMYFUNCTION("""COMPUTED_VALUE"""),"Steinman, David Ward")</f>
        <v>Steinman, David Ward</v>
      </c>
      <c r="B14548" s="2"/>
      <c r="C14548" s="2"/>
      <c r="D14548" s="8" t="str">
        <f ca="1">IFERROR(__xludf.DUMMYFUNCTION("""COMPUTED_VALUE"""),"")</f>
        <v/>
      </c>
      <c r="E14548" s="2"/>
    </row>
    <row r="14549" spans="1:5" ht="13">
      <c r="A14549" s="8" t="str">
        <f ca="1">IFERROR(__xludf.DUMMYFUNCTION("""COMPUTED_VALUE"""),"Stephan, Rudi")</f>
        <v>Stephan, Rudi</v>
      </c>
      <c r="B14549" s="2"/>
      <c r="C14549" s="2"/>
      <c r="D14549" s="8" t="str">
        <f ca="1">IFERROR(__xludf.DUMMYFUNCTION("""COMPUTED_VALUE"""),"")</f>
        <v/>
      </c>
      <c r="E14549" s="2"/>
    </row>
    <row r="14550" spans="1:5" ht="13">
      <c r="A14550" s="8" t="str">
        <f ca="1">IFERROR(__xludf.DUMMYFUNCTION("""COMPUTED_VALUE"""),"Steven Long Joanna Mattrey")</f>
        <v>Steven Long Joanna Mattrey</v>
      </c>
      <c r="B14550" s="2"/>
      <c r="C14550" s="2"/>
      <c r="D14550" s="8" t="str">
        <f ca="1">IFERROR(__xludf.DUMMYFUNCTION("""COMPUTED_VALUE"""),"")</f>
        <v/>
      </c>
      <c r="E14550" s="2"/>
    </row>
    <row r="14551" spans="1:5" ht="13">
      <c r="A14551" s="8" t="str">
        <f ca="1">IFERROR(__xludf.DUMMYFUNCTION("""COMPUTED_VALUE"""),"Stewart, Robert")</f>
        <v>Stewart, Robert</v>
      </c>
      <c r="B14551" s="2"/>
      <c r="C14551" s="2"/>
      <c r="D14551" s="8" t="str">
        <f ca="1">IFERROR(__xludf.DUMMYFUNCTION("""COMPUTED_VALUE"""),"")</f>
        <v/>
      </c>
      <c r="E14551" s="2"/>
    </row>
    <row r="14552" spans="1:5" ht="13">
      <c r="A14552" s="8" t="str">
        <f ca="1">IFERROR(__xludf.DUMMYFUNCTION("""COMPUTED_VALUE"""),"Stigelli, George")</f>
        <v>Stigelli, George</v>
      </c>
      <c r="B14552" s="2"/>
      <c r="C14552" s="2"/>
      <c r="D14552" s="8" t="str">
        <f ca="1">IFERROR(__xludf.DUMMYFUNCTION("""COMPUTED_VALUE"""),"")</f>
        <v/>
      </c>
      <c r="E14552" s="2"/>
    </row>
    <row r="14553" spans="1:5" ht="13">
      <c r="A14553" s="8" t="str">
        <f ca="1">IFERROR(__xludf.DUMMYFUNCTION("""COMPUTED_VALUE"""),"Stock, Frederick")</f>
        <v>Stock, Frederick</v>
      </c>
      <c r="B14553" s="2"/>
      <c r="C14553" s="2"/>
      <c r="D14553" s="8" t="str">
        <f ca="1">IFERROR(__xludf.DUMMYFUNCTION("""COMPUTED_VALUE"""),"")</f>
        <v/>
      </c>
      <c r="E14553" s="2"/>
    </row>
    <row r="14554" spans="1:5" ht="13">
      <c r="A14554" s="8" t="str">
        <f ca="1">IFERROR(__xludf.DUMMYFUNCTION("""COMPUTED_VALUE"""),"Stoehr, Richard")</f>
        <v>Stoehr, Richard</v>
      </c>
      <c r="B14554" s="2"/>
      <c r="C14554" s="2"/>
      <c r="D14554" s="8" t="str">
        <f ca="1">IFERROR(__xludf.DUMMYFUNCTION("""COMPUTED_VALUE"""),"")</f>
        <v/>
      </c>
      <c r="E14554" s="2"/>
    </row>
    <row r="14555" spans="1:5" ht="13">
      <c r="A14555" s="8" t="str">
        <f ca="1">IFERROR(__xludf.DUMMYFUNCTION("""COMPUTED_VALUE"""),"Stoelzel, Gottfried")</f>
        <v>Stoelzel, Gottfried</v>
      </c>
      <c r="B14555" s="2"/>
      <c r="C14555" s="2"/>
      <c r="D14555" s="8" t="str">
        <f ca="1">IFERROR(__xludf.DUMMYFUNCTION("""COMPUTED_VALUE"""),"")</f>
        <v/>
      </c>
      <c r="E14555" s="2"/>
    </row>
    <row r="14556" spans="1:5" ht="13">
      <c r="A14556" s="8" t="str">
        <f ca="1">IFERROR(__xludf.DUMMYFUNCTION("""COMPUTED_VALUE"""),"Stojowski, Sigismund")</f>
        <v>Stojowski, Sigismund</v>
      </c>
      <c r="B14556" s="2"/>
      <c r="C14556" s="2"/>
      <c r="D14556" s="8" t="str">
        <f ca="1">IFERROR(__xludf.DUMMYFUNCTION("""COMPUTED_VALUE"""),"")</f>
        <v/>
      </c>
      <c r="E14556" s="2"/>
    </row>
    <row r="14557" spans="1:5" ht="13">
      <c r="A14557" s="8" t="str">
        <f ca="1">IFERROR(__xludf.DUMMYFUNCTION("""COMPUTED_VALUE"""),"Storch, M. Anton")</f>
        <v>Storch, M. Anton</v>
      </c>
      <c r="B14557" s="2"/>
      <c r="C14557" s="2"/>
      <c r="D14557" s="8" t="str">
        <f ca="1">IFERROR(__xludf.DUMMYFUNCTION("""COMPUTED_VALUE"""),"")</f>
        <v/>
      </c>
      <c r="E14557" s="2"/>
    </row>
    <row r="14558" spans="1:5" ht="13">
      <c r="A14558" s="8" t="str">
        <f ca="1">IFERROR(__xludf.DUMMYFUNCTION("""COMPUTED_VALUE"""),"Straesser, Ewald")</f>
        <v>Straesser, Ewald</v>
      </c>
      <c r="B14558" s="2"/>
      <c r="C14558" s="2"/>
      <c r="D14558" s="8" t="str">
        <f ca="1">IFERROR(__xludf.DUMMYFUNCTION("""COMPUTED_VALUE"""),"")</f>
        <v/>
      </c>
      <c r="E14558" s="2"/>
    </row>
    <row r="14559" spans="1:5" ht="13">
      <c r="A14559" s="8" t="str">
        <f ca="1">IFERROR(__xludf.DUMMYFUNCTION("""COMPUTED_VALUE"""),"Strang, Gerald")</f>
        <v>Strang, Gerald</v>
      </c>
      <c r="B14559" s="2"/>
      <c r="C14559" s="2"/>
      <c r="D14559" s="8" t="str">
        <f ca="1">IFERROR(__xludf.DUMMYFUNCTION("""COMPUTED_VALUE"""),"")</f>
        <v/>
      </c>
      <c r="E14559" s="2"/>
    </row>
    <row r="14560" spans="1:5" ht="13">
      <c r="A14560" s="8" t="str">
        <f ca="1">IFERROR(__xludf.DUMMYFUNCTION("""COMPUTED_VALUE"""),"Strange, Max")</f>
        <v>Strange, Max</v>
      </c>
      <c r="B14560" s="2"/>
      <c r="C14560" s="2"/>
      <c r="D14560" s="8" t="str">
        <f ca="1">IFERROR(__xludf.DUMMYFUNCTION("""COMPUTED_VALUE"""),"")</f>
        <v/>
      </c>
      <c r="E14560" s="2"/>
    </row>
    <row r="14561" spans="1:5" ht="13">
      <c r="A14561" s="8" t="str">
        <f ca="1">IFERROR(__xludf.DUMMYFUNCTION("""COMPUTED_VALUE"""),"Stranger, Russell")</f>
        <v>Stranger, Russell</v>
      </c>
      <c r="B14561" s="2"/>
      <c r="C14561" s="2"/>
      <c r="D14561" s="8" t="str">
        <f ca="1">IFERROR(__xludf.DUMMYFUNCTION("""COMPUTED_VALUE"""),"")</f>
        <v/>
      </c>
      <c r="E14561" s="2"/>
    </row>
    <row r="14562" spans="1:5" ht="13">
      <c r="A14562" s="8" t="str">
        <f ca="1">IFERROR(__xludf.DUMMYFUNCTION("""COMPUTED_VALUE"""),"Stransky, Josef")</f>
        <v>Stransky, Josef</v>
      </c>
      <c r="B14562" s="2"/>
      <c r="C14562" s="2"/>
      <c r="D14562" s="8" t="str">
        <f ca="1">IFERROR(__xludf.DUMMYFUNCTION("""COMPUTED_VALUE"""),"")</f>
        <v/>
      </c>
      <c r="E14562" s="2"/>
    </row>
    <row r="14563" spans="1:5" ht="13">
      <c r="A14563" s="8" t="str">
        <f ca="1">IFERROR(__xludf.DUMMYFUNCTION("""COMPUTED_VALUE"""),"Strauss, Johann, Sr.")</f>
        <v>Strauss, Johann, Sr.</v>
      </c>
      <c r="B14563" s="2"/>
      <c r="C14563" s="2"/>
      <c r="D14563" s="8" t="str">
        <f ca="1">IFERROR(__xludf.DUMMYFUNCTION("""COMPUTED_VALUE"""),"")</f>
        <v/>
      </c>
      <c r="E14563" s="2"/>
    </row>
    <row r="14564" spans="1:5" ht="13">
      <c r="A14564" s="8" t="str">
        <f ca="1">IFERROR(__xludf.DUMMYFUNCTION("""COMPUTED_VALUE"""),"Striegler, Kurt Emil")</f>
        <v>Striegler, Kurt Emil</v>
      </c>
      <c r="B14564" s="2"/>
      <c r="C14564" s="2"/>
      <c r="D14564" s="8" t="str">
        <f ca="1">IFERROR(__xludf.DUMMYFUNCTION("""COMPUTED_VALUE"""),"")</f>
        <v/>
      </c>
      <c r="E14564" s="2"/>
    </row>
    <row r="14565" spans="1:5" ht="13">
      <c r="A14565" s="8" t="str">
        <f ca="1">IFERROR(__xludf.DUMMYFUNCTION("""COMPUTED_VALUE"""),"Stringfield, Lamar")</f>
        <v>Stringfield, Lamar</v>
      </c>
      <c r="B14565" s="2"/>
      <c r="C14565" s="2"/>
      <c r="D14565" s="8" t="str">
        <f ca="1">IFERROR(__xludf.DUMMYFUNCTION("""COMPUTED_VALUE"""),"")</f>
        <v/>
      </c>
      <c r="E14565" s="2"/>
    </row>
    <row r="14566" spans="1:5" ht="13">
      <c r="A14566" s="8" t="str">
        <f ca="1">IFERROR(__xludf.DUMMYFUNCTION("""COMPUTED_VALUE"""),"Stringham, Edwin J.")</f>
        <v>Stringham, Edwin J.</v>
      </c>
      <c r="B14566" s="2"/>
      <c r="C14566" s="2"/>
      <c r="D14566" s="8" t="str">
        <f ca="1">IFERROR(__xludf.DUMMYFUNCTION("""COMPUTED_VALUE"""),"")</f>
        <v/>
      </c>
      <c r="E14566" s="2"/>
    </row>
    <row r="14567" spans="1:5" ht="13">
      <c r="A14567" s="8" t="str">
        <f ca="1">IFERROR(__xludf.DUMMYFUNCTION("""COMPUTED_VALUE"""),"Strong, George T.")</f>
        <v>Strong, George T.</v>
      </c>
      <c r="B14567" s="2"/>
      <c r="C14567" s="2"/>
      <c r="D14567" s="8" t="str">
        <f ca="1">IFERROR(__xludf.DUMMYFUNCTION("""COMPUTED_VALUE"""),"")</f>
        <v/>
      </c>
      <c r="E14567" s="2"/>
    </row>
    <row r="14568" spans="1:5" ht="13">
      <c r="A14568" s="8" t="str">
        <f ca="1">IFERROR(__xludf.DUMMYFUNCTION("""COMPUTED_VALUE"""),"Strube, Gustave")</f>
        <v>Strube, Gustave</v>
      </c>
      <c r="B14568" s="2"/>
      <c r="C14568" s="2"/>
      <c r="D14568" s="8" t="str">
        <f ca="1">IFERROR(__xludf.DUMMYFUNCTION("""COMPUTED_VALUE"""),"")</f>
        <v/>
      </c>
      <c r="E14568" s="2"/>
    </row>
    <row r="14569" spans="1:5" ht="13">
      <c r="A14569" s="8" t="str">
        <f ca="1">IFERROR(__xludf.DUMMYFUNCTION("""COMPUTED_VALUE"""),"Sturm, Louis")</f>
        <v>Sturm, Louis</v>
      </c>
      <c r="B14569" s="2"/>
      <c r="C14569" s="2"/>
      <c r="D14569" s="8" t="str">
        <f ca="1">IFERROR(__xludf.DUMMYFUNCTION("""COMPUTED_VALUE"""),"")</f>
        <v/>
      </c>
      <c r="E14569" s="2"/>
    </row>
    <row r="14570" spans="1:5" ht="13">
      <c r="A14570" s="8" t="str">
        <f ca="1">IFERROR(__xludf.DUMMYFUNCTION("""COMPUTED_VALUE"""),"Suderberg, Robert")</f>
        <v>Suderberg, Robert</v>
      </c>
      <c r="B14570" s="2"/>
      <c r="C14570" s="2"/>
      <c r="D14570" s="8" t="str">
        <f ca="1">IFERROR(__xludf.DUMMYFUNCTION("""COMPUTED_VALUE"""),"")</f>
        <v/>
      </c>
      <c r="E14570" s="2"/>
    </row>
    <row r="14571" spans="1:5" ht="13">
      <c r="A14571" s="8" t="str">
        <f ca="1">IFERROR(__xludf.DUMMYFUNCTION("""COMPUTED_VALUE"""),"Suesse, Dana")</f>
        <v>Suesse, Dana</v>
      </c>
      <c r="B14571" s="2"/>
      <c r="C14571" s="2"/>
      <c r="D14571" s="8" t="str">
        <f ca="1">IFERROR(__xludf.DUMMYFUNCTION("""COMPUTED_VALUE"""),"")</f>
        <v/>
      </c>
      <c r="E14571" s="2"/>
    </row>
    <row r="14572" spans="1:5" ht="13">
      <c r="A14572" s="8" t="str">
        <f ca="1">IFERROR(__xludf.DUMMYFUNCTION("""COMPUTED_VALUE"""),"Sulek, Stephen")</f>
        <v>Sulek, Stephen</v>
      </c>
      <c r="B14572" s="2"/>
      <c r="C14572" s="2"/>
      <c r="D14572" s="8" t="str">
        <f ca="1">IFERROR(__xludf.DUMMYFUNCTION("""COMPUTED_VALUE"""),"")</f>
        <v/>
      </c>
      <c r="E14572" s="2"/>
    </row>
    <row r="14573" spans="1:5" ht="13">
      <c r="A14573" s="8" t="str">
        <f ca="1">IFERROR(__xludf.DUMMYFUNCTION("""COMPUTED_VALUE"""),"Sweelinck, Jan Peter")</f>
        <v>Sweelinck, Jan Peter</v>
      </c>
      <c r="B14573" s="2"/>
      <c r="C14573" s="2"/>
      <c r="D14573" s="8" t="str">
        <f ca="1">IFERROR(__xludf.DUMMYFUNCTION("""COMPUTED_VALUE"""),"")</f>
        <v/>
      </c>
      <c r="E14573" s="2"/>
    </row>
    <row r="14574" spans="1:5" ht="13">
      <c r="A14574" s="8" t="str">
        <f ca="1">IFERROR(__xludf.DUMMYFUNCTION("""COMPUTED_VALUE"""),"Sweet, Reginald")</f>
        <v>Sweet, Reginald</v>
      </c>
      <c r="B14574" s="2"/>
      <c r="C14574" s="2"/>
      <c r="D14574" s="8" t="str">
        <f ca="1">IFERROR(__xludf.DUMMYFUNCTION("""COMPUTED_VALUE"""),"")</f>
        <v/>
      </c>
      <c r="E14574" s="2"/>
    </row>
    <row r="14575" spans="1:5" ht="13">
      <c r="A14575" s="8" t="str">
        <f ca="1">IFERROR(__xludf.DUMMYFUNCTION("""COMPUTED_VALUE"""),"Swert, Jules de")</f>
        <v>Swert, Jules de</v>
      </c>
      <c r="B14575" s="2"/>
      <c r="C14575" s="2"/>
      <c r="D14575" s="8" t="str">
        <f ca="1">IFERROR(__xludf.DUMMYFUNCTION("""COMPUTED_VALUE"""),"")</f>
        <v/>
      </c>
      <c r="E14575" s="2"/>
    </row>
    <row r="14576" spans="1:5" ht="13">
      <c r="A14576" s="8" t="str">
        <f ca="1">IFERROR(__xludf.DUMMYFUNCTION("""COMPUTED_VALUE"""),"Swierzynski, Michal")</f>
        <v>Swierzynski, Michal</v>
      </c>
      <c r="B14576" s="2"/>
      <c r="C14576" s="2"/>
      <c r="D14576" s="8" t="str">
        <f ca="1">IFERROR(__xludf.DUMMYFUNCTION("""COMPUTED_VALUE"""),"")</f>
        <v/>
      </c>
      <c r="E14576" s="2"/>
    </row>
    <row r="14577" spans="1:5" ht="13">
      <c r="A14577" s="8" t="str">
        <f ca="1">IFERROR(__xludf.DUMMYFUNCTION("""COMPUTED_VALUE"""),"Sydeman, William")</f>
        <v>Sydeman, William</v>
      </c>
      <c r="B14577" s="2"/>
      <c r="C14577" s="2"/>
      <c r="D14577" s="8" t="str">
        <f ca="1">IFERROR(__xludf.DUMMYFUNCTION("""COMPUTED_VALUE"""),"")</f>
        <v/>
      </c>
      <c r="E14577" s="2"/>
    </row>
    <row r="14578" spans="1:5" ht="13">
      <c r="A14578" s="8" t="str">
        <f ca="1">IFERROR(__xludf.DUMMYFUNCTION("""COMPUTED_VALUE"""),"Szabelski, Boheslav")</f>
        <v>Szabelski, Boheslav</v>
      </c>
      <c r="B14578" s="2"/>
      <c r="C14578" s="2"/>
      <c r="D14578" s="8" t="str">
        <f ca="1">IFERROR(__xludf.DUMMYFUNCTION("""COMPUTED_VALUE"""),"")</f>
        <v/>
      </c>
      <c r="E14578" s="2"/>
    </row>
    <row r="14579" spans="1:5" ht="13">
      <c r="A14579" s="8" t="str">
        <f ca="1">IFERROR(__xludf.DUMMYFUNCTION("""COMPUTED_VALUE"""),"Szalowski, Antonin")</f>
        <v>Szalowski, Antonin</v>
      </c>
      <c r="B14579" s="2"/>
      <c r="C14579" s="2"/>
      <c r="D14579" s="8" t="str">
        <f ca="1">IFERROR(__xludf.DUMMYFUNCTION("""COMPUTED_VALUE"""),"")</f>
        <v/>
      </c>
      <c r="E14579" s="2"/>
    </row>
    <row r="14580" spans="1:5" ht="13">
      <c r="A14580" s="8" t="str">
        <f ca="1">IFERROR(__xludf.DUMMYFUNCTION("""COMPUTED_VALUE"""),"Takacs, Jeno")</f>
        <v>Takacs, Jeno</v>
      </c>
      <c r="B14580" s="2"/>
      <c r="C14580" s="2"/>
      <c r="D14580" s="8" t="str">
        <f ca="1">IFERROR(__xludf.DUMMYFUNCTION("""COMPUTED_VALUE"""),"")</f>
        <v/>
      </c>
      <c r="E14580" s="2"/>
    </row>
    <row r="14581" spans="1:5" ht="13">
      <c r="A14581" s="8" t="str">
        <f ca="1">IFERROR(__xludf.DUMMYFUNCTION("""COMPUTED_VALUE"""),"Takahashi, Yuji")</f>
        <v>Takahashi, Yuji</v>
      </c>
      <c r="B14581" s="2"/>
      <c r="C14581" s="2"/>
      <c r="D14581" s="8" t="str">
        <f ca="1">IFERROR(__xludf.DUMMYFUNCTION("""COMPUTED_VALUE"""),"")</f>
        <v/>
      </c>
      <c r="E14581" s="2"/>
    </row>
    <row r="14582" spans="1:5" ht="13">
      <c r="A14582" s="8" t="str">
        <f ca="1">IFERROR(__xludf.DUMMYFUNCTION("""COMPUTED_VALUE"""),"Talma, Louise")</f>
        <v>Talma, Louise</v>
      </c>
      <c r="B14582" s="2"/>
      <c r="C14582" s="2"/>
      <c r="D14582" s="8" t="str">
        <f ca="1">IFERROR(__xludf.DUMMYFUNCTION("""COMPUTED_VALUE"""),"")</f>
        <v/>
      </c>
      <c r="E14582" s="2"/>
    </row>
    <row r="14583" spans="1:5" ht="13">
      <c r="A14583" s="8" t="str">
        <f ca="1">IFERROR(__xludf.DUMMYFUNCTION("""COMPUTED_VALUE"""),"Tangstrom")</f>
        <v>Tangstrom</v>
      </c>
      <c r="B14583" s="2"/>
      <c r="C14583" s="2"/>
      <c r="D14583" s="8" t="str">
        <f ca="1">IFERROR(__xludf.DUMMYFUNCTION("""COMPUTED_VALUE"""),"")</f>
        <v/>
      </c>
      <c r="E14583" s="2"/>
    </row>
    <row r="14584" spans="1:5" ht="13">
      <c r="A14584" s="8" t="str">
        <f ca="1">IFERROR(__xludf.DUMMYFUNCTION("""COMPUTED_VALUE"""),"Tauriella, Antonio")</f>
        <v>Tauriella, Antonio</v>
      </c>
      <c r="B14584" s="2"/>
      <c r="C14584" s="2"/>
      <c r="D14584" s="8" t="str">
        <f ca="1">IFERROR(__xludf.DUMMYFUNCTION("""COMPUTED_VALUE"""),"")</f>
        <v/>
      </c>
      <c r="E14584" s="2"/>
    </row>
    <row r="14585" spans="1:5" ht="13">
      <c r="A14585" s="8" t="str">
        <f ca="1">IFERROR(__xludf.DUMMYFUNCTION("""COMPUTED_VALUE"""),"Tavares, Henkel")</f>
        <v>Tavares, Henkel</v>
      </c>
      <c r="B14585" s="2"/>
      <c r="C14585" s="2"/>
      <c r="D14585" s="8" t="str">
        <f ca="1">IFERROR(__xludf.DUMMYFUNCTION("""COMPUTED_VALUE"""),"")</f>
        <v/>
      </c>
      <c r="E14585" s="2"/>
    </row>
    <row r="14586" spans="1:5" ht="13">
      <c r="A14586" s="8" t="str">
        <f ca="1">IFERROR(__xludf.DUMMYFUNCTION("""COMPUTED_VALUE"""),"Tavares, Mario")</f>
        <v>Tavares, Mario</v>
      </c>
      <c r="B14586" s="2"/>
      <c r="C14586" s="2"/>
      <c r="D14586" s="8" t="str">
        <f ca="1">IFERROR(__xludf.DUMMYFUNCTION("""COMPUTED_VALUE"""),"")</f>
        <v/>
      </c>
      <c r="E14586" s="2"/>
    </row>
    <row r="14587" spans="1:5" ht="13">
      <c r="A14587" s="8" t="str">
        <f ca="1">IFERROR(__xludf.DUMMYFUNCTION("""COMPUTED_VALUE"""),"Taylor, Clifford")</f>
        <v>Taylor, Clifford</v>
      </c>
      <c r="B14587" s="2"/>
      <c r="C14587" s="2"/>
      <c r="D14587" s="8" t="str">
        <f ca="1">IFERROR(__xludf.DUMMYFUNCTION("""COMPUTED_VALUE"""),"")</f>
        <v/>
      </c>
      <c r="E14587" s="2"/>
    </row>
    <row r="14588" spans="1:5" ht="13">
      <c r="A14588" s="8" t="str">
        <f ca="1">IFERROR(__xludf.DUMMYFUNCTION("""COMPUTED_VALUE"""),"Tchaikovsky, Andr・Tchaikovsky")</f>
        <v>Tchaikovsky, Andr・Tchaikovsky</v>
      </c>
      <c r="B14588" s="2"/>
      <c r="C14588" s="2"/>
      <c r="D14588" s="8" t="str">
        <f ca="1">IFERROR(__xludf.DUMMYFUNCTION("""COMPUTED_VALUE"""),"")</f>
        <v/>
      </c>
      <c r="E14588" s="2"/>
    </row>
    <row r="14589" spans="1:5" ht="13">
      <c r="A14589" s="8" t="str">
        <f ca="1">IFERROR(__xludf.DUMMYFUNCTION("""COMPUTED_VALUE"""),"Tedesco, Ignatz")</f>
        <v>Tedesco, Ignatz</v>
      </c>
      <c r="B14589" s="2"/>
      <c r="C14589" s="2"/>
      <c r="D14589" s="8" t="str">
        <f ca="1">IFERROR(__xludf.DUMMYFUNCTION("""COMPUTED_VALUE"""),"")</f>
        <v/>
      </c>
      <c r="E14589" s="2"/>
    </row>
    <row r="14590" spans="1:5" ht="13">
      <c r="A14590" s="8" t="str">
        <f ca="1">IFERROR(__xludf.DUMMYFUNCTION("""COMPUTED_VALUE"""),"Templeton, Alec")</f>
        <v>Templeton, Alec</v>
      </c>
      <c r="B14590" s="2"/>
      <c r="C14590" s="2"/>
      <c r="D14590" s="8" t="str">
        <f ca="1">IFERROR(__xludf.DUMMYFUNCTION("""COMPUTED_VALUE"""),"")</f>
        <v/>
      </c>
      <c r="E14590" s="2"/>
    </row>
    <row r="14591" spans="1:5" ht="13">
      <c r="A14591" s="8" t="str">
        <f ca="1">IFERROR(__xludf.DUMMYFUNCTION("""COMPUTED_VALUE"""),"Ten Have, Jean")</f>
        <v>Ten Have, Jean</v>
      </c>
      <c r="B14591" s="2"/>
      <c r="C14591" s="2"/>
      <c r="D14591" s="8" t="str">
        <f ca="1">IFERROR(__xludf.DUMMYFUNCTION("""COMPUTED_VALUE"""),"")</f>
        <v/>
      </c>
      <c r="E14591" s="2"/>
    </row>
    <row r="14592" spans="1:5" ht="13">
      <c r="A14592" s="8" t="str">
        <f ca="1">IFERROR(__xludf.DUMMYFUNCTION("""COMPUTED_VALUE"""),"Tharichen, Werner")</f>
        <v>Tharichen, Werner</v>
      </c>
      <c r="B14592" s="2"/>
      <c r="C14592" s="2"/>
      <c r="D14592" s="8" t="str">
        <f ca="1">IFERROR(__xludf.DUMMYFUNCTION("""COMPUTED_VALUE"""),"")</f>
        <v/>
      </c>
      <c r="E14592" s="2"/>
    </row>
    <row r="14593" spans="1:5" ht="13">
      <c r="A14593" s="8" t="str">
        <f ca="1">IFERROR(__xludf.DUMMYFUNCTION("""COMPUTED_VALUE"""),"Thatcher, Sir Reginald")</f>
        <v>Thatcher, Sir Reginald</v>
      </c>
      <c r="B14593" s="2"/>
      <c r="C14593" s="2"/>
      <c r="D14593" s="8" t="str">
        <f ca="1">IFERROR(__xludf.DUMMYFUNCTION("""COMPUTED_VALUE"""),"")</f>
        <v/>
      </c>
      <c r="E14593" s="2"/>
    </row>
    <row r="14594" spans="1:5" ht="13">
      <c r="A14594" s="8" t="str">
        <f ca="1">IFERROR(__xludf.DUMMYFUNCTION("""COMPUTED_VALUE"""),"Theodorakis,")</f>
        <v>Theodorakis,</v>
      </c>
      <c r="B14594" s="2"/>
      <c r="C14594" s="2"/>
      <c r="D14594" s="8" t="str">
        <f ca="1">IFERROR(__xludf.DUMMYFUNCTION("""COMPUTED_VALUE"""),"")</f>
        <v/>
      </c>
      <c r="E14594" s="2"/>
    </row>
    <row r="14595" spans="1:5" ht="13">
      <c r="A14595" s="8" t="str">
        <f ca="1">IFERROR(__xludf.DUMMYFUNCTION("""COMPUTED_VALUE"""),"Thieriot, Ferdinand")</f>
        <v>Thieriot, Ferdinand</v>
      </c>
      <c r="B14595" s="2"/>
      <c r="C14595" s="2"/>
      <c r="D14595" s="8" t="str">
        <f ca="1">IFERROR(__xludf.DUMMYFUNCTION("""COMPUTED_VALUE"""),"")</f>
        <v/>
      </c>
      <c r="E14595" s="2"/>
    </row>
    <row r="14596" spans="1:5" ht="13">
      <c r="A14596" s="8" t="str">
        <f ca="1">IFERROR(__xludf.DUMMYFUNCTION("""COMPUTED_VALUE"""),"Thiriet, Maurice")</f>
        <v>Thiriet, Maurice</v>
      </c>
      <c r="B14596" s="2"/>
      <c r="C14596" s="2"/>
      <c r="D14596" s="8" t="str">
        <f ca="1">IFERROR(__xludf.DUMMYFUNCTION("""COMPUTED_VALUE"""),"")</f>
        <v/>
      </c>
      <c r="E14596" s="2"/>
    </row>
    <row r="14597" spans="1:5" ht="13">
      <c r="A14597" s="8" t="str">
        <f ca="1">IFERROR(__xludf.DUMMYFUNCTION("""COMPUTED_VALUE"""),"Thomas, Arthur")</f>
        <v>Thomas, Arthur</v>
      </c>
      <c r="B14597" s="2"/>
      <c r="C14597" s="2"/>
      <c r="D14597" s="8" t="str">
        <f ca="1">IFERROR(__xludf.DUMMYFUNCTION("""COMPUTED_VALUE"""),"")</f>
        <v/>
      </c>
      <c r="E14597" s="2"/>
    </row>
    <row r="14598" spans="1:5" ht="13">
      <c r="A14598" s="8" t="str">
        <f ca="1">IFERROR(__xludf.DUMMYFUNCTION("""COMPUTED_VALUE"""),"Thomas, John")</f>
        <v>Thomas, John</v>
      </c>
      <c r="B14598" s="2"/>
      <c r="C14598" s="2"/>
      <c r="D14598" s="8" t="str">
        <f ca="1">IFERROR(__xludf.DUMMYFUNCTION("""COMPUTED_VALUE"""),"")</f>
        <v/>
      </c>
      <c r="E14598" s="2"/>
    </row>
    <row r="14599" spans="1:5" ht="13">
      <c r="A14599" s="8" t="str">
        <f ca="1">IFERROR(__xludf.DUMMYFUNCTION("""COMPUTED_VALUE"""),"Thomasi, Henri")</f>
        <v>Thomasi, Henri</v>
      </c>
      <c r="B14599" s="2"/>
      <c r="C14599" s="2"/>
      <c r="D14599" s="8" t="str">
        <f ca="1">IFERROR(__xludf.DUMMYFUNCTION("""COMPUTED_VALUE"""),"")</f>
        <v/>
      </c>
      <c r="E14599" s="2"/>
    </row>
    <row r="14600" spans="1:5" ht="13">
      <c r="A14600" s="8" t="str">
        <f ca="1">IFERROR(__xludf.DUMMYFUNCTION("""COMPUTED_VALUE"""),"Thome, Francis")</f>
        <v>Thome, Francis</v>
      </c>
      <c r="B14600" s="2"/>
      <c r="C14600" s="2"/>
      <c r="D14600" s="8" t="str">
        <f ca="1">IFERROR(__xludf.DUMMYFUNCTION("""COMPUTED_VALUE"""),"")</f>
        <v/>
      </c>
      <c r="E14600" s="2"/>
    </row>
    <row r="14601" spans="1:5" ht="13">
      <c r="A14601" s="8" t="str">
        <f ca="1">IFERROR(__xludf.DUMMYFUNCTION("""COMPUTED_VALUE"""),"Thorne, Francis")</f>
        <v>Thorne, Francis</v>
      </c>
      <c r="B14601" s="2"/>
      <c r="C14601" s="2"/>
      <c r="D14601" s="8" t="str">
        <f ca="1">IFERROR(__xludf.DUMMYFUNCTION("""COMPUTED_VALUE"""),"")</f>
        <v/>
      </c>
      <c r="E14601" s="2"/>
    </row>
    <row r="14602" spans="1:5" ht="13">
      <c r="A14602" s="8" t="str">
        <f ca="1">IFERROR(__xludf.DUMMYFUNCTION("""COMPUTED_VALUE"""),"Thrane, Waldemar")</f>
        <v>Thrane, Waldemar</v>
      </c>
      <c r="B14602" s="2"/>
      <c r="C14602" s="2"/>
      <c r="D14602" s="8" t="str">
        <f ca="1">IFERROR(__xludf.DUMMYFUNCTION("""COMPUTED_VALUE"""),"")</f>
        <v/>
      </c>
      <c r="E14602" s="2"/>
    </row>
    <row r="14603" spans="1:5" ht="13">
      <c r="A14603" s="8" t="str">
        <f ca="1">IFERROR(__xludf.DUMMYFUNCTION("""COMPUTED_VALUE"""),"Tily, Herbert J.")</f>
        <v>Tily, Herbert J.</v>
      </c>
      <c r="B14603" s="2"/>
      <c r="C14603" s="2"/>
      <c r="D14603" s="8" t="str">
        <f ca="1">IFERROR(__xludf.DUMMYFUNCTION("""COMPUTED_VALUE"""),"")</f>
        <v/>
      </c>
      <c r="E14603" s="2"/>
    </row>
    <row r="14604" spans="1:5" ht="13">
      <c r="A14604" s="8" t="str">
        <f ca="1">IFERROR(__xludf.DUMMYFUNCTION("""COMPUTED_VALUE"""),"Tinel, Edgar")</f>
        <v>Tinel, Edgar</v>
      </c>
      <c r="B14604" s="2"/>
      <c r="C14604" s="2"/>
      <c r="D14604" s="8" t="str">
        <f ca="1">IFERROR(__xludf.DUMMYFUNCTION("""COMPUTED_VALUE"""),"")</f>
        <v/>
      </c>
      <c r="E14604" s="2"/>
    </row>
    <row r="14605" spans="1:5" ht="13">
      <c r="A14605" s="8" t="str">
        <f ca="1">IFERROR(__xludf.DUMMYFUNCTION("""COMPUTED_VALUE"""),"Tipton, Albert")</f>
        <v>Tipton, Albert</v>
      </c>
      <c r="B14605" s="2"/>
      <c r="C14605" s="2"/>
      <c r="D14605" s="8" t="str">
        <f ca="1">IFERROR(__xludf.DUMMYFUNCTION("""COMPUTED_VALUE"""),"")</f>
        <v/>
      </c>
      <c r="E14605" s="2"/>
    </row>
    <row r="14606" spans="1:5" ht="13">
      <c r="A14606" s="8" t="str">
        <f ca="1">IFERROR(__xludf.DUMMYFUNCTION("""COMPUTED_VALUE"""),"Tiringdelli, Pietro")</f>
        <v>Tiringdelli, Pietro</v>
      </c>
      <c r="B14606" s="2"/>
      <c r="C14606" s="2"/>
      <c r="D14606" s="8" t="str">
        <f ca="1">IFERROR(__xludf.DUMMYFUNCTION("""COMPUTED_VALUE"""),"")</f>
        <v/>
      </c>
      <c r="E14606" s="2"/>
    </row>
    <row r="14607" spans="1:5" ht="13">
      <c r="A14607" s="8" t="str">
        <f ca="1">IFERROR(__xludf.DUMMYFUNCTION("""COMPUTED_VALUE"""),"Tommasini, Vincenzo")</f>
        <v>Tommasini, Vincenzo</v>
      </c>
      <c r="B14607" s="2"/>
      <c r="C14607" s="2"/>
      <c r="D14607" s="8" t="str">
        <f ca="1">IFERROR(__xludf.DUMMYFUNCTION("""COMPUTED_VALUE"""),"")</f>
        <v/>
      </c>
      <c r="E14607" s="2"/>
    </row>
    <row r="14608" spans="1:5" ht="13">
      <c r="A14608" s="8" t="str">
        <f ca="1">IFERROR(__xludf.DUMMYFUNCTION("""COMPUTED_VALUE"""),"Toni, Alceo")</f>
        <v>Toni, Alceo</v>
      </c>
      <c r="B14608" s="2"/>
      <c r="C14608" s="2"/>
      <c r="D14608" s="8" t="str">
        <f ca="1">IFERROR(__xludf.DUMMYFUNCTION("""COMPUTED_VALUE"""),"")</f>
        <v/>
      </c>
      <c r="E14608" s="2"/>
    </row>
    <row r="14609" spans="1:5" ht="13">
      <c r="A14609" s="8" t="str">
        <f ca="1">IFERROR(__xludf.DUMMYFUNCTION("""COMPUTED_VALUE"""),"Topliff")</f>
        <v>Topliff</v>
      </c>
      <c r="B14609" s="2"/>
      <c r="C14609" s="2"/>
      <c r="D14609" s="8" t="str">
        <f ca="1">IFERROR(__xludf.DUMMYFUNCTION("""COMPUTED_VALUE"""),"")</f>
        <v/>
      </c>
      <c r="E14609" s="2"/>
    </row>
    <row r="14610" spans="1:5" ht="13">
      <c r="A14610" s="8" t="str">
        <f ca="1">IFERROR(__xludf.DUMMYFUNCTION("""COMPUTED_VALUE"""),"Trapp, Max")</f>
        <v>Trapp, Max</v>
      </c>
      <c r="B14610" s="2"/>
      <c r="C14610" s="2"/>
      <c r="D14610" s="8" t="str">
        <f ca="1">IFERROR(__xludf.DUMMYFUNCTION("""COMPUTED_VALUE"""),"")</f>
        <v/>
      </c>
      <c r="E14610" s="2"/>
    </row>
    <row r="14611" spans="1:5" ht="13">
      <c r="A14611" s="8" t="str">
        <f ca="1">IFERROR(__xludf.DUMMYFUNCTION("""COMPUTED_VALUE"""),"Travis, Roy Elihu")</f>
        <v>Travis, Roy Elihu</v>
      </c>
      <c r="B14611" s="2"/>
      <c r="C14611" s="2"/>
      <c r="D14611" s="8" t="str">
        <f ca="1">IFERROR(__xludf.DUMMYFUNCTION("""COMPUTED_VALUE"""),"")</f>
        <v/>
      </c>
      <c r="E14611" s="2"/>
    </row>
    <row r="14612" spans="1:5" ht="13">
      <c r="A14612" s="2" t="str">
        <f ca="1">IFERROR(__xludf.DUMMYFUNCTION("""COMPUTED_VALUE"""),"Trecek-King, Anthony / Mobley, Anthony")</f>
        <v>Trecek-King, Anthony / Mobley, Anthony</v>
      </c>
      <c r="B14612" s="2"/>
      <c r="C14612" s="2"/>
      <c r="D14612" s="8" t="str">
        <f ca="1">IFERROR(__xludf.DUMMYFUNCTION("""COMPUTED_VALUE"""),"")</f>
        <v/>
      </c>
      <c r="E14612" s="2"/>
    </row>
    <row r="14613" spans="1:5" ht="13">
      <c r="A14613" s="8" t="str">
        <f ca="1">IFERROR(__xludf.DUMMYFUNCTION("""COMPUTED_VALUE"""),"Triggs, Harold")</f>
        <v>Triggs, Harold</v>
      </c>
      <c r="B14613" s="2"/>
      <c r="C14613" s="2"/>
      <c r="D14613" s="8" t="str">
        <f ca="1">IFERROR(__xludf.DUMMYFUNCTION("""COMPUTED_VALUE"""),"")</f>
        <v/>
      </c>
      <c r="E14613" s="2"/>
    </row>
    <row r="14614" spans="1:5" ht="13">
      <c r="A14614" s="8" t="str">
        <f ca="1">IFERROR(__xludf.DUMMYFUNCTION("""COMPUTED_VALUE"""),"Trimble, Lester")</f>
        <v>Trimble, Lester</v>
      </c>
      <c r="B14614" s="2"/>
      <c r="C14614" s="2"/>
      <c r="D14614" s="8" t="str">
        <f ca="1">IFERROR(__xludf.DUMMYFUNCTION("""COMPUTED_VALUE"""),"")</f>
        <v/>
      </c>
      <c r="E14614" s="2"/>
    </row>
    <row r="14615" spans="1:5" ht="13">
      <c r="A14615" s="8" t="str">
        <f ca="1">IFERROR(__xludf.DUMMYFUNCTION("""COMPUTED_VALUE"""),"Trubitt")</f>
        <v>Trubitt</v>
      </c>
      <c r="B14615" s="2"/>
      <c r="C14615" s="2"/>
      <c r="D14615" s="8" t="str">
        <f ca="1">IFERROR(__xludf.DUMMYFUNCTION("""COMPUTED_VALUE"""),"")</f>
        <v/>
      </c>
      <c r="E14615" s="2"/>
    </row>
    <row r="14616" spans="1:5" ht="13">
      <c r="A14616" s="8" t="str">
        <f ca="1">IFERROR(__xludf.DUMMYFUNCTION("""COMPUTED_VALUE"""),"Trythall, Harry G.")</f>
        <v>Trythall, Harry G.</v>
      </c>
      <c r="B14616" s="2"/>
      <c r="C14616" s="2"/>
      <c r="D14616" s="8" t="str">
        <f ca="1">IFERROR(__xludf.DUMMYFUNCTION("""COMPUTED_VALUE"""),"")</f>
        <v/>
      </c>
      <c r="E14616" s="2"/>
    </row>
    <row r="14617" spans="1:5" ht="13">
      <c r="A14617" s="8" t="str">
        <f ca="1">IFERROR(__xludf.DUMMYFUNCTION("""COMPUTED_VALUE"""),"Tschesnokoff")</f>
        <v>Tschesnokoff</v>
      </c>
      <c r="B14617" s="2"/>
      <c r="C14617" s="2"/>
      <c r="D14617" s="8" t="str">
        <f ca="1">IFERROR(__xludf.DUMMYFUNCTION("""COMPUTED_VALUE"""),"")</f>
        <v/>
      </c>
      <c r="E14617" s="2"/>
    </row>
    <row r="14618" spans="1:5" ht="13">
      <c r="A14618" s="8" t="str">
        <f ca="1">IFERROR(__xludf.DUMMYFUNCTION("""COMPUTED_VALUE"""),"Tubin, Edward")</f>
        <v>Tubin, Edward</v>
      </c>
      <c r="B14618" s="2"/>
      <c r="C14618" s="2"/>
      <c r="D14618" s="8" t="str">
        <f ca="1">IFERROR(__xludf.DUMMYFUNCTION("""COMPUTED_VALUE"""),"")</f>
        <v/>
      </c>
      <c r="E14618" s="2"/>
    </row>
    <row r="14619" spans="1:5" ht="13">
      <c r="A14619" s="8" t="str">
        <f ca="1">IFERROR(__xludf.DUMMYFUNCTION("""COMPUTED_VALUE"""),"Turchi, Guido")</f>
        <v>Turchi, Guido</v>
      </c>
      <c r="B14619" s="2"/>
      <c r="C14619" s="2"/>
      <c r="D14619" s="8" t="str">
        <f ca="1">IFERROR(__xludf.DUMMYFUNCTION("""COMPUTED_VALUE"""),"")</f>
        <v/>
      </c>
      <c r="E14619" s="2"/>
    </row>
    <row r="14620" spans="1:5" ht="13">
      <c r="A14620" s="8" t="str">
        <f ca="1">IFERROR(__xludf.DUMMYFUNCTION("""COMPUTED_VALUE"""),"Tureman")</f>
        <v>Tureman</v>
      </c>
      <c r="B14620" s="2"/>
      <c r="C14620" s="2"/>
      <c r="D14620" s="8" t="str">
        <f ca="1">IFERROR(__xludf.DUMMYFUNCTION("""COMPUTED_VALUE"""),"")</f>
        <v/>
      </c>
      <c r="E14620" s="2"/>
    </row>
    <row r="14621" spans="1:5" ht="13">
      <c r="A14621" s="8" t="str">
        <f ca="1">IFERROR(__xludf.DUMMYFUNCTION("""COMPUTED_VALUE"""),"Turner, Charles")</f>
        <v>Turner, Charles</v>
      </c>
      <c r="B14621" s="2"/>
      <c r="C14621" s="2"/>
      <c r="D14621" s="8" t="str">
        <f ca="1">IFERROR(__xludf.DUMMYFUNCTION("""COMPUTED_VALUE"""),"")</f>
        <v/>
      </c>
      <c r="E14621" s="2"/>
    </row>
    <row r="14622" spans="1:5" ht="13">
      <c r="A14622" s="8" t="str">
        <f ca="1">IFERROR(__xludf.DUMMYFUNCTION("""COMPUTED_VALUE"""),"Turner, Godfrey")</f>
        <v>Turner, Godfrey</v>
      </c>
      <c r="B14622" s="2"/>
      <c r="C14622" s="2"/>
      <c r="D14622" s="8" t="str">
        <f ca="1">IFERROR(__xludf.DUMMYFUNCTION("""COMPUTED_VALUE"""),"")</f>
        <v/>
      </c>
      <c r="E14622" s="2"/>
    </row>
    <row r="14623" spans="1:5" ht="13">
      <c r="A14623" s="8" t="str">
        <f ca="1">IFERROR(__xludf.DUMMYFUNCTION("""COMPUTED_VALUE"""),"Tuthill, Burnet C.")</f>
        <v>Tuthill, Burnet C.</v>
      </c>
      <c r="B14623" s="2"/>
      <c r="C14623" s="2"/>
      <c r="D14623" s="8" t="str">
        <f ca="1">IFERROR(__xludf.DUMMYFUNCTION("""COMPUTED_VALUE"""),"")</f>
        <v/>
      </c>
      <c r="E14623" s="2"/>
    </row>
    <row r="14624" spans="1:5" ht="13">
      <c r="A14624" s="8" t="str">
        <f ca="1">IFERROR(__xludf.DUMMYFUNCTION("""COMPUTED_VALUE"""),"Tyler, Abram R.")</f>
        <v>Tyler, Abram R.</v>
      </c>
      <c r="B14624" s="2"/>
      <c r="C14624" s="2"/>
      <c r="D14624" s="8" t="str">
        <f ca="1">IFERROR(__xludf.DUMMYFUNCTION("""COMPUTED_VALUE"""),"")</f>
        <v/>
      </c>
      <c r="E14624" s="2"/>
    </row>
    <row r="14625" spans="1:5" ht="13">
      <c r="A14625" s="8" t="str">
        <f ca="1">IFERROR(__xludf.DUMMYFUNCTION("""COMPUTED_VALUE"""),"Ugarte, Floro M.")</f>
        <v>Ugarte, Floro M.</v>
      </c>
      <c r="B14625" s="2"/>
      <c r="C14625" s="2"/>
      <c r="D14625" s="8" t="str">
        <f ca="1">IFERROR(__xludf.DUMMYFUNCTION("""COMPUTED_VALUE"""),"")</f>
        <v/>
      </c>
      <c r="E14625" s="2"/>
    </row>
    <row r="14626" spans="1:5" ht="13">
      <c r="A14626" s="8" t="str">
        <f ca="1">IFERROR(__xludf.DUMMYFUNCTION("""COMPUTED_VALUE"""),"Uhlig, Theodore")</f>
        <v>Uhlig, Theodore</v>
      </c>
      <c r="B14626" s="2"/>
      <c r="C14626" s="2"/>
      <c r="D14626" s="8" t="str">
        <f ca="1">IFERROR(__xludf.DUMMYFUNCTION("""COMPUTED_VALUE"""),"")</f>
        <v/>
      </c>
      <c r="E14626" s="2"/>
    </row>
    <row r="14627" spans="1:5" ht="13">
      <c r="A14627" s="8" t="str">
        <f ca="1">IFERROR(__xludf.DUMMYFUNCTION("""COMPUTED_VALUE"""),"Urack, Otto")</f>
        <v>Urack, Otto</v>
      </c>
      <c r="B14627" s="2"/>
      <c r="C14627" s="2"/>
      <c r="D14627" s="8" t="str">
        <f ca="1">IFERROR(__xludf.DUMMYFUNCTION("""COMPUTED_VALUE"""),"")</f>
        <v/>
      </c>
      <c r="E14627" s="2"/>
    </row>
    <row r="14628" spans="1:5" ht="13">
      <c r="A14628" s="8" t="str">
        <f ca="1">IFERROR(__xludf.DUMMYFUNCTION("""COMPUTED_VALUE"""),"Urspruch, Anton")</f>
        <v>Urspruch, Anton</v>
      </c>
      <c r="B14628" s="2"/>
      <c r="C14628" s="2"/>
      <c r="D14628" s="8" t="str">
        <f ca="1">IFERROR(__xludf.DUMMYFUNCTION("""COMPUTED_VALUE"""),"")</f>
        <v/>
      </c>
      <c r="E14628" s="2"/>
    </row>
    <row r="14629" spans="1:5" ht="13">
      <c r="A14629" s="8" t="str">
        <f ca="1">IFERROR(__xludf.DUMMYFUNCTION("""COMPUTED_VALUE"""),"Usigli")</f>
        <v>Usigli</v>
      </c>
      <c r="B14629" s="2"/>
      <c r="C14629" s="2"/>
      <c r="D14629" s="8" t="str">
        <f ca="1">IFERROR(__xludf.DUMMYFUNCTION("""COMPUTED_VALUE"""),"")</f>
        <v/>
      </c>
      <c r="E14629" s="2"/>
    </row>
    <row r="14630" spans="1:5" ht="13">
      <c r="A14630" s="8" t="str">
        <f ca="1">IFERROR(__xludf.DUMMYFUNCTION("""COMPUTED_VALUE"""),"Ussachevsky, Vladimir")</f>
        <v>Ussachevsky, Vladimir</v>
      </c>
      <c r="B14630" s="2"/>
      <c r="C14630" s="2"/>
      <c r="D14630" s="8" t="str">
        <f ca="1">IFERROR(__xludf.DUMMYFUNCTION("""COMPUTED_VALUE"""),"")</f>
        <v/>
      </c>
      <c r="E14630" s="2"/>
    </row>
    <row r="14631" spans="1:5" ht="13">
      <c r="A14631" s="8" t="str">
        <f ca="1">IFERROR(__xludf.DUMMYFUNCTION("""COMPUTED_VALUE"""),"Vactor, David Van")</f>
        <v>Vactor, David Van</v>
      </c>
      <c r="B14631" s="2"/>
      <c r="C14631" s="2"/>
      <c r="D14631" s="8" t="str">
        <f ca="1">IFERROR(__xludf.DUMMYFUNCTION("""COMPUTED_VALUE"""),"")</f>
        <v/>
      </c>
      <c r="E14631" s="2"/>
    </row>
    <row r="14632" spans="1:5" ht="13">
      <c r="A14632" s="8" t="str">
        <f ca="1">IFERROR(__xludf.DUMMYFUNCTION("""COMPUTED_VALUE"""),"Valls, Josep")</f>
        <v>Valls, Josep</v>
      </c>
      <c r="B14632" s="2"/>
      <c r="C14632" s="2"/>
      <c r="D14632" s="8" t="str">
        <f ca="1">IFERROR(__xludf.DUMMYFUNCTION("""COMPUTED_VALUE"""),"")</f>
        <v/>
      </c>
      <c r="E14632" s="2"/>
    </row>
    <row r="14633" spans="1:5" ht="13">
      <c r="A14633" s="8" t="str">
        <f ca="1">IFERROR(__xludf.DUMMYFUNCTION("""COMPUTED_VALUE"""),"Van Der Stucken, Frank V.")</f>
        <v>Van Der Stucken, Frank V.</v>
      </c>
      <c r="B14633" s="2"/>
      <c r="C14633" s="2"/>
      <c r="D14633" s="8" t="str">
        <f ca="1">IFERROR(__xludf.DUMMYFUNCTION("""COMPUTED_VALUE"""),"")</f>
        <v/>
      </c>
      <c r="E14633" s="2"/>
    </row>
    <row r="14634" spans="1:5" ht="13">
      <c r="A14634" s="8" t="str">
        <f ca="1">IFERROR(__xludf.DUMMYFUNCTION("""COMPUTED_VALUE"""),"Van Der Voort, Paul")</f>
        <v>Van Der Voort, Paul</v>
      </c>
      <c r="B14634" s="2"/>
      <c r="C14634" s="2"/>
      <c r="D14634" s="8" t="str">
        <f ca="1">IFERROR(__xludf.DUMMYFUNCTION("""COMPUTED_VALUE"""),"")</f>
        <v/>
      </c>
      <c r="E14634" s="2"/>
    </row>
    <row r="14635" spans="1:5" ht="13">
      <c r="A14635" s="8" t="str">
        <f ca="1">IFERROR(__xludf.DUMMYFUNCTION("""COMPUTED_VALUE"""),"Van Gelden, Lex")</f>
        <v>Van Gelden, Lex</v>
      </c>
      <c r="B14635" s="2"/>
      <c r="C14635" s="2"/>
      <c r="D14635" s="8" t="str">
        <f ca="1">IFERROR(__xludf.DUMMYFUNCTION("""COMPUTED_VALUE"""),"")</f>
        <v/>
      </c>
      <c r="E14635" s="2"/>
    </row>
    <row r="14636" spans="1:5" ht="13">
      <c r="A14636" s="8" t="str">
        <f ca="1">IFERROR(__xludf.DUMMYFUNCTION("""COMPUTED_VALUE"""),"Van Gelder, Martinus")</f>
        <v>Van Gelder, Martinus</v>
      </c>
      <c r="B14636" s="2"/>
      <c r="C14636" s="2"/>
      <c r="D14636" s="8" t="str">
        <f ca="1">IFERROR(__xludf.DUMMYFUNCTION("""COMPUTED_VALUE"""),"")</f>
        <v/>
      </c>
      <c r="E14636" s="2"/>
    </row>
    <row r="14637" spans="1:5" ht="13">
      <c r="A14637" s="8" t="str">
        <f ca="1">IFERROR(__xludf.DUMMYFUNCTION("""COMPUTED_VALUE"""),"Van Gilse, Jan")</f>
        <v>Van Gilse, Jan</v>
      </c>
      <c r="B14637" s="2"/>
      <c r="C14637" s="2"/>
      <c r="D14637" s="8" t="str">
        <f ca="1">IFERROR(__xludf.DUMMYFUNCTION("""COMPUTED_VALUE"""),"")</f>
        <v/>
      </c>
      <c r="E14637" s="2"/>
    </row>
    <row r="14638" spans="1:5" ht="13">
      <c r="A14638" s="8" t="str">
        <f ca="1">IFERROR(__xludf.DUMMYFUNCTION("""COMPUTED_VALUE"""),"Vannah, Kate")</f>
        <v>Vannah, Kate</v>
      </c>
      <c r="B14638" s="2"/>
      <c r="C14638" s="2"/>
      <c r="D14638" s="8" t="str">
        <f ca="1">IFERROR(__xludf.DUMMYFUNCTION("""COMPUTED_VALUE"""),"")</f>
        <v/>
      </c>
      <c r="E14638" s="2"/>
    </row>
    <row r="14639" spans="1:5" ht="13">
      <c r="A14639" s="8" t="str">
        <f ca="1">IFERROR(__xludf.DUMMYFUNCTION("""COMPUTED_VALUE"""),"Vardell, Charles G. Jr.")</f>
        <v>Vardell, Charles G. Jr.</v>
      </c>
      <c r="B14639" s="2"/>
      <c r="C14639" s="2"/>
      <c r="D14639" s="8" t="str">
        <f ca="1">IFERROR(__xludf.DUMMYFUNCTION("""COMPUTED_VALUE"""),"")</f>
        <v/>
      </c>
      <c r="E14639" s="2"/>
    </row>
    <row r="14640" spans="1:5" ht="13">
      <c r="A14640" s="8" t="str">
        <f ca="1">IFERROR(__xludf.DUMMYFUNCTION("""COMPUTED_VALUE"""),"Varman, Norodom S.")</f>
        <v>Varman, Norodom S.</v>
      </c>
      <c r="B14640" s="2"/>
      <c r="C14640" s="2"/>
      <c r="D14640" s="8" t="str">
        <f ca="1">IFERROR(__xludf.DUMMYFUNCTION("""COMPUTED_VALUE"""),"")</f>
        <v/>
      </c>
      <c r="E14640" s="2"/>
    </row>
    <row r="14641" spans="1:5" ht="13">
      <c r="A14641" s="8" t="str">
        <f ca="1">IFERROR(__xludf.DUMMYFUNCTION("""COMPUTED_VALUE"""),"Vasquez, Jose")</f>
        <v>Vasquez, Jose</v>
      </c>
      <c r="B14641" s="2"/>
      <c r="C14641" s="2"/>
      <c r="D14641" s="8" t="str">
        <f ca="1">IFERROR(__xludf.DUMMYFUNCTION("""COMPUTED_VALUE"""),"")</f>
        <v/>
      </c>
      <c r="E14641" s="2"/>
    </row>
    <row r="14642" spans="1:5" ht="13">
      <c r="A14642" s="8" t="str">
        <f ca="1">IFERROR(__xludf.DUMMYFUNCTION("""COMPUTED_VALUE"""),"Vassilenko, Sergey N.")</f>
        <v>Vassilenko, Sergey N.</v>
      </c>
      <c r="B14642" s="2"/>
      <c r="C14642" s="2"/>
      <c r="D14642" s="8" t="str">
        <f ca="1">IFERROR(__xludf.DUMMYFUNCTION("""COMPUTED_VALUE"""),"")</f>
        <v/>
      </c>
      <c r="E14642" s="2"/>
    </row>
    <row r="14643" spans="1:5" ht="13">
      <c r="A14643" s="8" t="str">
        <f ca="1">IFERROR(__xludf.DUMMYFUNCTION("""COMPUTED_VALUE"""),"Vauclain, Constant")</f>
        <v>Vauclain, Constant</v>
      </c>
      <c r="B14643" s="2"/>
      <c r="C14643" s="2"/>
      <c r="D14643" s="8" t="str">
        <f ca="1">IFERROR(__xludf.DUMMYFUNCTION("""COMPUTED_VALUE"""),"")</f>
        <v/>
      </c>
      <c r="E14643" s="2"/>
    </row>
    <row r="14644" spans="1:5" ht="13">
      <c r="A14644" s="8" t="str">
        <f ca="1">IFERROR(__xludf.DUMMYFUNCTION("""COMPUTED_VALUE"""),"Veit, Wenzel")</f>
        <v>Veit, Wenzel</v>
      </c>
      <c r="B14644" s="2"/>
      <c r="C14644" s="2"/>
      <c r="D14644" s="8" t="str">
        <f ca="1">IFERROR(__xludf.DUMMYFUNCTION("""COMPUTED_VALUE"""),"")</f>
        <v/>
      </c>
      <c r="E14644" s="2"/>
    </row>
    <row r="14645" spans="1:5" ht="13">
      <c r="A14645" s="8" t="str">
        <f ca="1">IFERROR(__xludf.DUMMYFUNCTION("""COMPUTED_VALUE"""),"Venth, Carl")</f>
        <v>Venth, Carl</v>
      </c>
      <c r="B14645" s="2"/>
      <c r="C14645" s="2"/>
      <c r="D14645" s="8" t="str">
        <f ca="1">IFERROR(__xludf.DUMMYFUNCTION("""COMPUTED_VALUE"""),"")</f>
        <v/>
      </c>
      <c r="E14645" s="2"/>
    </row>
    <row r="14646" spans="1:5" ht="13">
      <c r="A14646" s="8" t="str">
        <f ca="1">IFERROR(__xludf.DUMMYFUNCTION("""COMPUTED_VALUE"""),"Veress, Sandor")</f>
        <v>Veress, Sandor</v>
      </c>
      <c r="B14646" s="2"/>
      <c r="C14646" s="2"/>
      <c r="D14646" s="8" t="str">
        <f ca="1">IFERROR(__xludf.DUMMYFUNCTION("""COMPUTED_VALUE"""),"")</f>
        <v/>
      </c>
      <c r="E14646" s="2"/>
    </row>
    <row r="14647" spans="1:5" ht="13">
      <c r="A14647" s="8" t="str">
        <f ca="1">IFERROR(__xludf.DUMMYFUNCTION("""COMPUTED_VALUE"""),"Veretti, Antonio")</f>
        <v>Veretti, Antonio</v>
      </c>
      <c r="B14647" s="2"/>
      <c r="C14647" s="2"/>
      <c r="D14647" s="8" t="str">
        <f ca="1">IFERROR(__xludf.DUMMYFUNCTION("""COMPUTED_VALUE"""),"")</f>
        <v/>
      </c>
      <c r="E14647" s="2"/>
    </row>
    <row r="14648" spans="1:5" ht="13">
      <c r="A14648" s="8" t="str">
        <f ca="1">IFERROR(__xludf.DUMMYFUNCTION("""COMPUTED_VALUE"""),"Verhey, Theodore")</f>
        <v>Verhey, Theodore</v>
      </c>
      <c r="B14648" s="2"/>
      <c r="C14648" s="2"/>
      <c r="D14648" s="8" t="str">
        <f ca="1">IFERROR(__xludf.DUMMYFUNCTION("""COMPUTED_VALUE"""),"")</f>
        <v/>
      </c>
      <c r="E14648" s="2"/>
    </row>
    <row r="14649" spans="1:5" ht="13">
      <c r="A14649" s="8" t="str">
        <f ca="1">IFERROR(__xludf.DUMMYFUNCTION("""COMPUTED_VALUE"""),"Verley")</f>
        <v>Verley</v>
      </c>
      <c r="B14649" s="2"/>
      <c r="C14649" s="2"/>
      <c r="D14649" s="8" t="str">
        <f ca="1">IFERROR(__xludf.DUMMYFUNCTION("""COMPUTED_VALUE"""),"")</f>
        <v/>
      </c>
      <c r="E14649" s="2"/>
    </row>
    <row r="14650" spans="1:5" ht="13">
      <c r="A14650" s="8" t="str">
        <f ca="1">IFERROR(__xludf.DUMMYFUNCTION("""COMPUTED_VALUE"""),"Victoria, Tomas")</f>
        <v>Victoria, Tomas</v>
      </c>
      <c r="B14650" s="2"/>
      <c r="C14650" s="2"/>
      <c r="D14650" s="8" t="str">
        <f ca="1">IFERROR(__xludf.DUMMYFUNCTION("""COMPUTED_VALUE"""),"")</f>
        <v/>
      </c>
      <c r="E14650" s="2"/>
    </row>
    <row r="14651" spans="1:5" ht="13">
      <c r="A14651" s="8" t="str">
        <f ca="1">IFERROR(__xludf.DUMMYFUNCTION("""COMPUTED_VALUE"""),"Vidal, Paul")</f>
        <v>Vidal, Paul</v>
      </c>
      <c r="B14651" s="2"/>
      <c r="C14651" s="2"/>
      <c r="D14651" s="8" t="str">
        <f ca="1">IFERROR(__xludf.DUMMYFUNCTION("""COMPUTED_VALUE"""),"")</f>
        <v/>
      </c>
      <c r="E14651" s="2"/>
    </row>
    <row r="14652" spans="1:5" ht="13">
      <c r="A14652" s="8" t="str">
        <f ca="1">IFERROR(__xludf.DUMMYFUNCTION("""COMPUTED_VALUE"""),"Vierne, Louis")</f>
        <v>Vierne, Louis</v>
      </c>
      <c r="B14652" s="2"/>
      <c r="C14652" s="2"/>
      <c r="D14652" s="8" t="str">
        <f ca="1">IFERROR(__xludf.DUMMYFUNCTION("""COMPUTED_VALUE"""),"")</f>
        <v/>
      </c>
      <c r="E14652" s="2"/>
    </row>
    <row r="14653" spans="1:5" ht="13">
      <c r="A14653" s="8" t="str">
        <f ca="1">IFERROR(__xludf.DUMMYFUNCTION("""COMPUTED_VALUE"""),"Vigo")</f>
        <v>Vigo</v>
      </c>
      <c r="B14653" s="2"/>
      <c r="C14653" s="2"/>
      <c r="D14653" s="8" t="str">
        <f ca="1">IFERROR(__xludf.DUMMYFUNCTION("""COMPUTED_VALUE"""),"")</f>
        <v/>
      </c>
      <c r="E14653" s="2"/>
    </row>
    <row r="14654" spans="1:5" ht="13">
      <c r="A14654" s="8" t="str">
        <f ca="1">IFERROR(__xludf.DUMMYFUNCTION("""COMPUTED_VALUE"""),"Viola, Anselmo")</f>
        <v>Viola, Anselmo</v>
      </c>
      <c r="B14654" s="2"/>
      <c r="C14654" s="2"/>
      <c r="D14654" s="8" t="str">
        <f ca="1">IFERROR(__xludf.DUMMYFUNCTION("""COMPUTED_VALUE"""),"")</f>
        <v/>
      </c>
      <c r="E14654" s="2"/>
    </row>
    <row r="14655" spans="1:5" ht="13">
      <c r="A14655" s="8" t="str">
        <f ca="1">IFERROR(__xludf.DUMMYFUNCTION("""COMPUTED_VALUE"""),"Viski, Janos")</f>
        <v>Viski, Janos</v>
      </c>
      <c r="B14655" s="2"/>
      <c r="C14655" s="2"/>
      <c r="D14655" s="8" t="str">
        <f ca="1">IFERROR(__xludf.DUMMYFUNCTION("""COMPUTED_VALUE"""),"")</f>
        <v/>
      </c>
      <c r="E14655" s="2"/>
    </row>
    <row r="14656" spans="1:5" ht="13">
      <c r="A14656" s="8" t="str">
        <f ca="1">IFERROR(__xludf.DUMMYFUNCTION("""COMPUTED_VALUE"""),"Vis馥, Robert de")</f>
        <v>Vis馥, Robert de</v>
      </c>
      <c r="B14656" s="2"/>
      <c r="C14656" s="2"/>
      <c r="D14656" s="8" t="str">
        <f ca="1">IFERROR(__xludf.DUMMYFUNCTION("""COMPUTED_VALUE"""),"")</f>
        <v/>
      </c>
      <c r="E14656" s="2"/>
    </row>
    <row r="14657" spans="1:5" ht="13">
      <c r="A14657" s="8" t="str">
        <f ca="1">IFERROR(__xludf.DUMMYFUNCTION("""COMPUTED_VALUE"""),"Vitali, Tommaso")</f>
        <v>Vitali, Tommaso</v>
      </c>
      <c r="B14657" s="2"/>
      <c r="C14657" s="2"/>
      <c r="D14657" s="8" t="str">
        <f ca="1">IFERROR(__xludf.DUMMYFUNCTION("""COMPUTED_VALUE"""),"")</f>
        <v/>
      </c>
      <c r="E14657" s="2"/>
    </row>
    <row r="14658" spans="1:5" ht="13">
      <c r="A14658" s="8" t="str">
        <f ca="1">IFERROR(__xludf.DUMMYFUNCTION("""COMPUTED_VALUE"""),"Vives, Amadeo")</f>
        <v>Vives, Amadeo</v>
      </c>
      <c r="B14658" s="2"/>
      <c r="C14658" s="2"/>
      <c r="D14658" s="8" t="str">
        <f ca="1">IFERROR(__xludf.DUMMYFUNCTION("""COMPUTED_VALUE"""),"")</f>
        <v/>
      </c>
      <c r="E14658" s="2"/>
    </row>
    <row r="14659" spans="1:5" ht="13">
      <c r="A14659" s="8" t="str">
        <f ca="1">IFERROR(__xludf.DUMMYFUNCTION("""COMPUTED_VALUE"""),"Vladigeroff, Pantcho")</f>
        <v>Vladigeroff, Pantcho</v>
      </c>
      <c r="B14659" s="2"/>
      <c r="C14659" s="2"/>
      <c r="D14659" s="8" t="str">
        <f ca="1">IFERROR(__xludf.DUMMYFUNCTION("""COMPUTED_VALUE"""),"")</f>
        <v/>
      </c>
      <c r="E14659" s="2"/>
    </row>
    <row r="14660" spans="1:5" ht="13">
      <c r="A14660" s="8" t="str">
        <f ca="1">IFERROR(__xludf.DUMMYFUNCTION("""COMPUTED_VALUE"""),"Vlijmen, Jan")</f>
        <v>Vlijmen, Jan</v>
      </c>
      <c r="B14660" s="2"/>
      <c r="C14660" s="2"/>
      <c r="D14660" s="8" t="str">
        <f ca="1">IFERROR(__xludf.DUMMYFUNCTION("""COMPUTED_VALUE"""),"")</f>
        <v/>
      </c>
      <c r="E14660" s="2"/>
    </row>
    <row r="14661" spans="1:5" ht="13">
      <c r="A14661" s="8" t="str">
        <f ca="1">IFERROR(__xludf.DUMMYFUNCTION("""COMPUTED_VALUE"""),"Vogel, Vladimir")</f>
        <v>Vogel, Vladimir</v>
      </c>
      <c r="B14661" s="2"/>
      <c r="C14661" s="2"/>
      <c r="D14661" s="8" t="str">
        <f ca="1">IFERROR(__xludf.DUMMYFUNCTION("""COMPUTED_VALUE"""),"")</f>
        <v/>
      </c>
      <c r="E14661" s="2"/>
    </row>
    <row r="14662" spans="1:5" ht="13">
      <c r="A14662" s="8" t="str">
        <f ca="1">IFERROR(__xludf.DUMMYFUNCTION("""COMPUTED_VALUE"""),"Vogrich, Max")</f>
        <v>Vogrich, Max</v>
      </c>
      <c r="B14662" s="2"/>
      <c r="C14662" s="2"/>
      <c r="D14662" s="8" t="str">
        <f ca="1">IFERROR(__xludf.DUMMYFUNCTION("""COMPUTED_VALUE"""),"")</f>
        <v/>
      </c>
      <c r="E14662" s="2"/>
    </row>
    <row r="14663" spans="1:5" ht="13">
      <c r="A14663" s="8" t="str">
        <f ca="1">IFERROR(__xludf.DUMMYFUNCTION("""COMPUTED_VALUE"""),"Volbach, Fritz")</f>
        <v>Volbach, Fritz</v>
      </c>
      <c r="B14663" s="2"/>
      <c r="C14663" s="2"/>
      <c r="D14663" s="8" t="str">
        <f ca="1">IFERROR(__xludf.DUMMYFUNCTION("""COMPUTED_VALUE"""),"")</f>
        <v/>
      </c>
      <c r="E14663" s="2"/>
    </row>
    <row r="14664" spans="1:5" ht="13">
      <c r="A14664" s="8" t="str">
        <f ca="1">IFERROR(__xludf.DUMMYFUNCTION("""COMPUTED_VALUE"""),"Von Koch, Erland")</f>
        <v>Von Koch, Erland</v>
      </c>
      <c r="B14664" s="2"/>
      <c r="C14664" s="2"/>
      <c r="D14664" s="8" t="str">
        <f ca="1">IFERROR(__xludf.DUMMYFUNCTION("""COMPUTED_VALUE"""),"")</f>
        <v/>
      </c>
      <c r="E14664" s="2"/>
    </row>
    <row r="14665" spans="1:5" ht="13">
      <c r="A14665" s="8" t="str">
        <f ca="1">IFERROR(__xludf.DUMMYFUNCTION("""COMPUTED_VALUE"""),"Vor﨎ek, Jan Hugo")</f>
        <v>Vor﨎ek, Jan Hugo</v>
      </c>
      <c r="B14665" s="2"/>
      <c r="C14665" s="2"/>
      <c r="D14665" s="8" t="str">
        <f ca="1">IFERROR(__xludf.DUMMYFUNCTION("""COMPUTED_VALUE"""),"")</f>
        <v/>
      </c>
      <c r="E14665" s="2"/>
    </row>
    <row r="14666" spans="1:5" ht="13">
      <c r="A14666" s="8" t="str">
        <f ca="1">IFERROR(__xludf.DUMMYFUNCTION("""COMPUTED_VALUE"""),"Vreuls, Victor")</f>
        <v>Vreuls, Victor</v>
      </c>
      <c r="B14666" s="2"/>
      <c r="C14666" s="2"/>
      <c r="D14666" s="8" t="str">
        <f ca="1">IFERROR(__xludf.DUMMYFUNCTION("""COMPUTED_VALUE"""),"")</f>
        <v/>
      </c>
      <c r="E14666" s="2"/>
    </row>
    <row r="14667" spans="1:5" ht="13">
      <c r="A14667" s="8" t="str">
        <f ca="1">IFERROR(__xludf.DUMMYFUNCTION("""COMPUTED_VALUE"""),"Vrionides, Christos")</f>
        <v>Vrionides, Christos</v>
      </c>
      <c r="B14667" s="2"/>
      <c r="C14667" s="2"/>
      <c r="D14667" s="8" t="str">
        <f ca="1">IFERROR(__xludf.DUMMYFUNCTION("""COMPUTED_VALUE"""),"")</f>
        <v/>
      </c>
      <c r="E14667" s="2"/>
    </row>
    <row r="14668" spans="1:5" ht="13">
      <c r="A14668" s="8" t="str">
        <f ca="1">IFERROR(__xludf.DUMMYFUNCTION("""COMPUTED_VALUE"""),"Vuillemin, Jean B.")</f>
        <v>Vuillemin, Jean B.</v>
      </c>
      <c r="B14668" s="2"/>
      <c r="C14668" s="2"/>
      <c r="D14668" s="8" t="str">
        <f ca="1">IFERROR(__xludf.DUMMYFUNCTION("""COMPUTED_VALUE"""),"")</f>
        <v/>
      </c>
      <c r="E14668" s="2"/>
    </row>
    <row r="14669" spans="1:5" ht="13">
      <c r="A14669" s="8" t="str">
        <f ca="1">IFERROR(__xludf.DUMMYFUNCTION("""COMPUTED_VALUE"""),"Wagenaar, Bernard")</f>
        <v>Wagenaar, Bernard</v>
      </c>
      <c r="B14669" s="2"/>
      <c r="C14669" s="2"/>
      <c r="D14669" s="8" t="str">
        <f ca="1">IFERROR(__xludf.DUMMYFUNCTION("""COMPUTED_VALUE"""),"")</f>
        <v/>
      </c>
      <c r="E14669" s="2"/>
    </row>
    <row r="14670" spans="1:5" ht="13">
      <c r="A14670" s="8" t="str">
        <f ca="1">IFERROR(__xludf.DUMMYFUNCTION("""COMPUTED_VALUE"""),"Wald, Max")</f>
        <v>Wald, Max</v>
      </c>
      <c r="B14670" s="2"/>
      <c r="C14670" s="2"/>
      <c r="D14670" s="8" t="str">
        <f ca="1">IFERROR(__xludf.DUMMYFUNCTION("""COMPUTED_VALUE"""),"")</f>
        <v/>
      </c>
      <c r="E14670" s="2"/>
    </row>
    <row r="14671" spans="1:5" ht="13">
      <c r="A14671" s="8" t="str">
        <f ca="1">IFERROR(__xludf.DUMMYFUNCTION("""COMPUTED_VALUE"""),"Waldrop, Gid")</f>
        <v>Waldrop, Gid</v>
      </c>
      <c r="B14671" s="2"/>
      <c r="C14671" s="2"/>
      <c r="D14671" s="8" t="str">
        <f ca="1">IFERROR(__xludf.DUMMYFUNCTION("""COMPUTED_VALUE"""),"")</f>
        <v/>
      </c>
      <c r="E14671" s="2"/>
    </row>
    <row r="14672" spans="1:5" ht="13">
      <c r="A14672" s="8" t="str">
        <f ca="1">IFERROR(__xludf.DUMMYFUNCTION("""COMPUTED_VALUE"""),"Walker")</f>
        <v>Walker</v>
      </c>
      <c r="B14672" s="2"/>
      <c r="C14672" s="2"/>
      <c r="D14672" s="8" t="str">
        <f ca="1">IFERROR(__xludf.DUMMYFUNCTION("""COMPUTED_VALUE"""),"")</f>
        <v/>
      </c>
      <c r="E14672" s="2"/>
    </row>
    <row r="14673" spans="1:5" ht="13">
      <c r="A14673" s="8" t="str">
        <f ca="1">IFERROR(__xludf.DUMMYFUNCTION("""COMPUTED_VALUE"""),"Wallace, W. V.")</f>
        <v>Wallace, W. V.</v>
      </c>
      <c r="B14673" s="2"/>
      <c r="C14673" s="2"/>
      <c r="D14673" s="8" t="str">
        <f ca="1">IFERROR(__xludf.DUMMYFUNCTION("""COMPUTED_VALUE"""),"")</f>
        <v/>
      </c>
      <c r="E14673" s="2"/>
    </row>
    <row r="14674" spans="1:5" ht="13">
      <c r="A14674" s="8" t="str">
        <f ca="1">IFERROR(__xludf.DUMMYFUNCTION("""COMPUTED_VALUE"""),"Wallace, William")</f>
        <v>Wallace, William</v>
      </c>
      <c r="B14674" s="2"/>
      <c r="C14674" s="2"/>
      <c r="D14674" s="8" t="str">
        <f ca="1">IFERROR(__xludf.DUMMYFUNCTION("""COMPUTED_VALUE"""),"")</f>
        <v/>
      </c>
      <c r="E14674" s="2"/>
    </row>
    <row r="14675" spans="1:5" ht="13">
      <c r="A14675" s="8" t="str">
        <f ca="1">IFERROR(__xludf.DUMMYFUNCTION("""COMPUTED_VALUE"""),"Warfield, Gerald")</f>
        <v>Warfield, Gerald</v>
      </c>
      <c r="B14675" s="2"/>
      <c r="C14675" s="2"/>
      <c r="D14675" s="8" t="str">
        <f ca="1">IFERROR(__xludf.DUMMYFUNCTION("""COMPUTED_VALUE"""),"")</f>
        <v/>
      </c>
      <c r="E14675" s="2"/>
    </row>
    <row r="14676" spans="1:5" ht="13">
      <c r="A14676" s="8" t="str">
        <f ca="1">IFERROR(__xludf.DUMMYFUNCTION("""COMPUTED_VALUE"""),"Wargo, George")</f>
        <v>Wargo, George</v>
      </c>
      <c r="B14676" s="2"/>
      <c r="C14676" s="2"/>
      <c r="D14676" s="8" t="str">
        <f ca="1">IFERROR(__xludf.DUMMYFUNCTION("""COMPUTED_VALUE"""),"")</f>
        <v/>
      </c>
      <c r="E14676" s="2"/>
    </row>
    <row r="14677" spans="1:5" ht="13">
      <c r="A14677" s="8" t="str">
        <f ca="1">IFERROR(__xludf.DUMMYFUNCTION("""COMPUTED_VALUE"""),"Warner, H. Waldo")</f>
        <v>Warner, H. Waldo</v>
      </c>
      <c r="B14677" s="2"/>
      <c r="C14677" s="2"/>
      <c r="D14677" s="8" t="str">
        <f ca="1">IFERROR(__xludf.DUMMYFUNCTION("""COMPUTED_VALUE"""),"")</f>
        <v/>
      </c>
      <c r="E14677" s="2"/>
    </row>
    <row r="14678" spans="1:5" ht="13">
      <c r="A14678" s="8" t="str">
        <f ca="1">IFERROR(__xludf.DUMMYFUNCTION("""COMPUTED_VALUE"""),"Warner, Philip")</f>
        <v>Warner, Philip</v>
      </c>
      <c r="B14678" s="2"/>
      <c r="C14678" s="2"/>
      <c r="D14678" s="8" t="str">
        <f ca="1">IFERROR(__xludf.DUMMYFUNCTION("""COMPUTED_VALUE"""),"")</f>
        <v/>
      </c>
      <c r="E14678" s="2"/>
    </row>
    <row r="14679" spans="1:5" ht="13">
      <c r="A14679" s="8" t="str">
        <f ca="1">IFERROR(__xludf.DUMMYFUNCTION("""COMPUTED_VALUE"""),"Warnke, F.M.")</f>
        <v>Warnke, F.M.</v>
      </c>
      <c r="B14679" s="2"/>
      <c r="C14679" s="2"/>
      <c r="D14679" s="8" t="str">
        <f ca="1">IFERROR(__xludf.DUMMYFUNCTION("""COMPUTED_VALUE"""),"")</f>
        <v/>
      </c>
      <c r="E14679" s="2"/>
    </row>
    <row r="14680" spans="1:5" ht="13">
      <c r="A14680" s="8" t="str">
        <f ca="1">IFERROR(__xludf.DUMMYFUNCTION("""COMPUTED_VALUE"""),"Wasilenko, Serge")</f>
        <v>Wasilenko, Serge</v>
      </c>
      <c r="B14680" s="2"/>
      <c r="C14680" s="2"/>
      <c r="D14680" s="8" t="str">
        <f ca="1">IFERROR(__xludf.DUMMYFUNCTION("""COMPUTED_VALUE"""),"")</f>
        <v/>
      </c>
      <c r="E14680" s="2"/>
    </row>
    <row r="14681" spans="1:5" ht="13">
      <c r="A14681" s="8" t="str">
        <f ca="1">IFERROR(__xludf.DUMMYFUNCTION("""COMPUTED_VALUE"""),"Wayne King, Egbert Van Alstyne Victor Young")</f>
        <v>Wayne King, Egbert Van Alstyne Victor Young</v>
      </c>
      <c r="B14681" s="2"/>
      <c r="C14681" s="2"/>
      <c r="D14681" s="8" t="str">
        <f ca="1">IFERROR(__xludf.DUMMYFUNCTION("""COMPUTED_VALUE"""),"")</f>
        <v/>
      </c>
      <c r="E14681" s="2"/>
    </row>
    <row r="14682" spans="1:5" ht="13">
      <c r="A14682" s="8" t="str">
        <f ca="1">IFERROR(__xludf.DUMMYFUNCTION("""COMPUTED_VALUE"""),"Weaver, Powell")</f>
        <v>Weaver, Powell</v>
      </c>
      <c r="B14682" s="2"/>
      <c r="C14682" s="2"/>
      <c r="D14682" s="8" t="str">
        <f ca="1">IFERROR(__xludf.DUMMYFUNCTION("""COMPUTED_VALUE"""),"")</f>
        <v/>
      </c>
      <c r="E14682" s="2"/>
    </row>
    <row r="14683" spans="1:5" ht="13">
      <c r="A14683" s="8" t="str">
        <f ca="1">IFERROR(__xludf.DUMMYFUNCTION("""COMPUTED_VALUE"""),"Webber, Amherst")</f>
        <v>Webber, Amherst</v>
      </c>
      <c r="B14683" s="2"/>
      <c r="C14683" s="2"/>
      <c r="D14683" s="8" t="str">
        <f ca="1">IFERROR(__xludf.DUMMYFUNCTION("""COMPUTED_VALUE"""),"")</f>
        <v/>
      </c>
      <c r="E14683" s="2"/>
    </row>
    <row r="14684" spans="1:5" ht="13">
      <c r="A14684" s="8" t="str">
        <f ca="1">IFERROR(__xludf.DUMMYFUNCTION("""COMPUTED_VALUE"""),"Weber, Ben")</f>
        <v>Weber, Ben</v>
      </c>
      <c r="B14684" s="2"/>
      <c r="C14684" s="2"/>
      <c r="D14684" s="8" t="str">
        <f ca="1">IFERROR(__xludf.DUMMYFUNCTION("""COMPUTED_VALUE"""),"")</f>
        <v/>
      </c>
      <c r="E14684" s="2"/>
    </row>
    <row r="14685" spans="1:5" ht="13">
      <c r="A14685" s="8" t="str">
        <f ca="1">IFERROR(__xludf.DUMMYFUNCTION("""COMPUTED_VALUE"""),"Weed, Maurice")</f>
        <v>Weed, Maurice</v>
      </c>
      <c r="B14685" s="2"/>
      <c r="C14685" s="2"/>
      <c r="D14685" s="8" t="str">
        <f ca="1">IFERROR(__xludf.DUMMYFUNCTION("""COMPUTED_VALUE"""),"")</f>
        <v/>
      </c>
      <c r="E14685" s="2"/>
    </row>
    <row r="14686" spans="1:5" ht="13">
      <c r="A14686" s="8" t="str">
        <f ca="1">IFERROR(__xludf.DUMMYFUNCTION("""COMPUTED_VALUE"""),"Wehli, James M.")</f>
        <v>Wehli, James M.</v>
      </c>
      <c r="B14686" s="2"/>
      <c r="C14686" s="2"/>
      <c r="D14686" s="8" t="str">
        <f ca="1">IFERROR(__xludf.DUMMYFUNCTION("""COMPUTED_VALUE"""),"")</f>
        <v/>
      </c>
      <c r="E14686" s="2"/>
    </row>
    <row r="14687" spans="1:5" ht="13">
      <c r="A14687" s="8" t="str">
        <f ca="1">IFERROR(__xludf.DUMMYFUNCTION("""COMPUTED_VALUE"""),"Weidig, Adolf")</f>
        <v>Weidig, Adolf</v>
      </c>
      <c r="B14687" s="2"/>
      <c r="C14687" s="2"/>
      <c r="D14687" s="8" t="str">
        <f ca="1">IFERROR(__xludf.DUMMYFUNCTION("""COMPUTED_VALUE"""),"")</f>
        <v/>
      </c>
      <c r="E14687" s="2"/>
    </row>
    <row r="14688" spans="1:5" ht="13">
      <c r="A14688" s="8" t="str">
        <f ca="1">IFERROR(__xludf.DUMMYFUNCTION("""COMPUTED_VALUE"""),"Weiner, Stanley")</f>
        <v>Weiner, Stanley</v>
      </c>
      <c r="B14688" s="2"/>
      <c r="C14688" s="2"/>
      <c r="D14688" s="8" t="str">
        <f ca="1">IFERROR(__xludf.DUMMYFUNCTION("""COMPUTED_VALUE"""),"")</f>
        <v/>
      </c>
      <c r="E14688" s="2"/>
    </row>
    <row r="14689" spans="1:5" ht="13">
      <c r="A14689" s="8" t="str">
        <f ca="1">IFERROR(__xludf.DUMMYFUNCTION("""COMPUTED_VALUE"""),"Weisgall, Hugo")</f>
        <v>Weisgall, Hugo</v>
      </c>
      <c r="B14689" s="2"/>
      <c r="C14689" s="2"/>
      <c r="D14689" s="8" t="str">
        <f ca="1">IFERROR(__xludf.DUMMYFUNCTION("""COMPUTED_VALUE"""),"")</f>
        <v/>
      </c>
      <c r="E14689" s="2"/>
    </row>
    <row r="14690" spans="1:5" ht="13">
      <c r="A14690" s="8" t="str">
        <f ca="1">IFERROR(__xludf.DUMMYFUNCTION("""COMPUTED_VALUE"""),"Weiss, Adolph")</f>
        <v>Weiss, Adolph</v>
      </c>
      <c r="B14690" s="2"/>
      <c r="C14690" s="2"/>
      <c r="D14690" s="8" t="str">
        <f ca="1">IFERROR(__xludf.DUMMYFUNCTION("""COMPUTED_VALUE"""),"")</f>
        <v/>
      </c>
      <c r="E14690" s="2"/>
    </row>
    <row r="14691" spans="1:5" ht="13">
      <c r="A14691" s="8" t="str">
        <f ca="1">IFERROR(__xludf.DUMMYFUNCTION("""COMPUTED_VALUE"""),"Weissenborn, Julius")</f>
        <v>Weissenborn, Julius</v>
      </c>
      <c r="B14691" s="2"/>
      <c r="C14691" s="2"/>
      <c r="D14691" s="8" t="str">
        <f ca="1">IFERROR(__xludf.DUMMYFUNCTION("""COMPUTED_VALUE"""),"")</f>
        <v/>
      </c>
      <c r="E14691" s="2"/>
    </row>
    <row r="14692" spans="1:5" ht="13">
      <c r="A14692" s="8" t="str">
        <f ca="1">IFERROR(__xludf.DUMMYFUNCTION("""COMPUTED_VALUE"""),"Weld, Arthur Cyril")</f>
        <v>Weld, Arthur Cyril</v>
      </c>
      <c r="B14692" s="2"/>
      <c r="C14692" s="2"/>
      <c r="D14692" s="8" t="str">
        <f ca="1">IFERROR(__xludf.DUMMYFUNCTION("""COMPUTED_VALUE"""),"")</f>
        <v/>
      </c>
      <c r="E14692" s="2"/>
    </row>
    <row r="14693" spans="1:5" ht="13">
      <c r="A14693" s="8" t="str">
        <f ca="1">IFERROR(__xludf.DUMMYFUNCTION("""COMPUTED_VALUE"""),"Weprick, Alex")</f>
        <v>Weprick, Alex</v>
      </c>
      <c r="B14693" s="2"/>
      <c r="C14693" s="2"/>
      <c r="D14693" s="8" t="str">
        <f ca="1">IFERROR(__xludf.DUMMYFUNCTION("""COMPUTED_VALUE"""),"")</f>
        <v/>
      </c>
      <c r="E14693" s="2"/>
    </row>
    <row r="14694" spans="1:5" ht="13">
      <c r="A14694" s="8" t="str">
        <f ca="1">IFERROR(__xludf.DUMMYFUNCTION("""COMPUTED_VALUE"""),"Werner, Eric")</f>
        <v>Werner, Eric</v>
      </c>
      <c r="B14694" s="2"/>
      <c r="C14694" s="2"/>
      <c r="D14694" s="8" t="str">
        <f ca="1">IFERROR(__xludf.DUMMYFUNCTION("""COMPUTED_VALUE"""),"")</f>
        <v/>
      </c>
      <c r="E14694" s="2"/>
    </row>
    <row r="14695" spans="1:5" ht="13">
      <c r="A14695" s="8" t="str">
        <f ca="1">IFERROR(__xludf.DUMMYFUNCTION("""COMPUTED_VALUE"""),"Wessel, Mark")</f>
        <v>Wessel, Mark</v>
      </c>
      <c r="B14695" s="2"/>
      <c r="C14695" s="2"/>
      <c r="D14695" s="8" t="str">
        <f ca="1">IFERROR(__xludf.DUMMYFUNCTION("""COMPUTED_VALUE"""),"")</f>
        <v/>
      </c>
      <c r="E14695" s="2"/>
    </row>
    <row r="14696" spans="1:5" ht="13">
      <c r="A14696" s="8" t="str">
        <f ca="1">IFERROR(__xludf.DUMMYFUNCTION("""COMPUTED_VALUE"""),"Wetzler, Hermann")</f>
        <v>Wetzler, Hermann</v>
      </c>
      <c r="B14696" s="2"/>
      <c r="C14696" s="2"/>
      <c r="D14696" s="8" t="str">
        <f ca="1">IFERROR(__xludf.DUMMYFUNCTION("""COMPUTED_VALUE"""),"")</f>
        <v/>
      </c>
      <c r="E14696" s="2"/>
    </row>
    <row r="14697" spans="1:5" ht="13">
      <c r="A14697" s="8" t="str">
        <f ca="1">IFERROR(__xludf.DUMMYFUNCTION("""COMPUTED_VALUE"""),"Weyse, Christoph")</f>
        <v>Weyse, Christoph</v>
      </c>
      <c r="B14697" s="2"/>
      <c r="C14697" s="2"/>
      <c r="D14697" s="8" t="str">
        <f ca="1">IFERROR(__xludf.DUMMYFUNCTION("""COMPUTED_VALUE"""),"")</f>
        <v/>
      </c>
      <c r="E14697" s="2"/>
    </row>
    <row r="14698" spans="1:5" ht="13">
      <c r="A14698" s="8" t="str">
        <f ca="1">IFERROR(__xludf.DUMMYFUNCTION("""COMPUTED_VALUE"""),"Whitcomb, Robert")</f>
        <v>Whitcomb, Robert</v>
      </c>
      <c r="B14698" s="2"/>
      <c r="C14698" s="2"/>
      <c r="D14698" s="8" t="str">
        <f ca="1">IFERROR(__xludf.DUMMYFUNCTION("""COMPUTED_VALUE"""),"")</f>
        <v/>
      </c>
      <c r="E14698" s="2"/>
    </row>
    <row r="14699" spans="1:5" ht="13">
      <c r="A14699" s="8" t="str">
        <f ca="1">IFERROR(__xludf.DUMMYFUNCTION("""COMPUTED_VALUE"""),"White, Clarence")</f>
        <v>White, Clarence</v>
      </c>
      <c r="B14699" s="2"/>
      <c r="C14699" s="2"/>
      <c r="D14699" s="8" t="str">
        <f ca="1">IFERROR(__xludf.DUMMYFUNCTION("""COMPUTED_VALUE"""),"")</f>
        <v/>
      </c>
      <c r="E14699" s="2"/>
    </row>
    <row r="14700" spans="1:5" ht="13">
      <c r="A14700" s="8" t="str">
        <f ca="1">IFERROR(__xludf.DUMMYFUNCTION("""COMPUTED_VALUE"""),"Whithorne, Emerson")</f>
        <v>Whithorne, Emerson</v>
      </c>
      <c r="B14700" s="2"/>
      <c r="C14700" s="2"/>
      <c r="D14700" s="8" t="str">
        <f ca="1">IFERROR(__xludf.DUMMYFUNCTION("""COMPUTED_VALUE"""),"")</f>
        <v/>
      </c>
      <c r="E14700" s="2"/>
    </row>
    <row r="14701" spans="1:5" ht="13">
      <c r="A14701" s="8" t="str">
        <f ca="1">IFERROR(__xludf.DUMMYFUNCTION("""COMPUTED_VALUE"""),"Whiting, Arthur B.")</f>
        <v>Whiting, Arthur B.</v>
      </c>
      <c r="B14701" s="2"/>
      <c r="C14701" s="2"/>
      <c r="D14701" s="8" t="str">
        <f ca="1">IFERROR(__xludf.DUMMYFUNCTION("""COMPUTED_VALUE"""),"")</f>
        <v/>
      </c>
      <c r="E14701" s="2"/>
    </row>
    <row r="14702" spans="1:5" ht="13">
      <c r="A14702" s="8" t="str">
        <f ca="1">IFERROR(__xludf.DUMMYFUNCTION("""COMPUTED_VALUE"""),"Whitmer, T. Carl")</f>
        <v>Whitmer, T. Carl</v>
      </c>
      <c r="B14702" s="2"/>
      <c r="C14702" s="2"/>
      <c r="D14702" s="8" t="str">
        <f ca="1">IFERROR(__xludf.DUMMYFUNCTION("""COMPUTED_VALUE"""),"")</f>
        <v/>
      </c>
      <c r="E14702" s="2"/>
    </row>
    <row r="14703" spans="1:5" ht="13">
      <c r="A14703" s="8" t="str">
        <f ca="1">IFERROR(__xludf.DUMMYFUNCTION("""COMPUTED_VALUE"""),"Whitney, Robert")</f>
        <v>Whitney, Robert</v>
      </c>
      <c r="B14703" s="2"/>
      <c r="C14703" s="2"/>
      <c r="D14703" s="8" t="str">
        <f ca="1">IFERROR(__xludf.DUMMYFUNCTION("""COMPUTED_VALUE"""),"")</f>
        <v/>
      </c>
      <c r="E14703" s="2"/>
    </row>
    <row r="14704" spans="1:5" ht="13">
      <c r="A14704" s="8" t="str">
        <f ca="1">IFERROR(__xludf.DUMMYFUNCTION("""COMPUTED_VALUE"""),"Whittaker, Howard")</f>
        <v>Whittaker, Howard</v>
      </c>
      <c r="B14704" s="2"/>
      <c r="C14704" s="2"/>
      <c r="D14704" s="8" t="str">
        <f ca="1">IFERROR(__xludf.DUMMYFUNCTION("""COMPUTED_VALUE"""),"")</f>
        <v/>
      </c>
      <c r="E14704" s="2"/>
    </row>
    <row r="14705" spans="1:5" ht="13">
      <c r="A14705" s="8" t="str">
        <f ca="1">IFERROR(__xludf.DUMMYFUNCTION("""COMPUTED_VALUE"""),"Wiechowicz, Steven")</f>
        <v>Wiechowicz, Steven</v>
      </c>
      <c r="B14705" s="2"/>
      <c r="C14705" s="2"/>
      <c r="D14705" s="8" t="str">
        <f ca="1">IFERROR(__xludf.DUMMYFUNCTION("""COMPUTED_VALUE"""),"")</f>
        <v/>
      </c>
      <c r="E14705" s="2"/>
    </row>
    <row r="14706" spans="1:5" ht="13">
      <c r="A14706" s="8" t="str">
        <f ca="1">IFERROR(__xludf.DUMMYFUNCTION("""COMPUTED_VALUE"""),"Wiener, Jean")</f>
        <v>Wiener, Jean</v>
      </c>
      <c r="B14706" s="2"/>
      <c r="C14706" s="2"/>
      <c r="D14706" s="8" t="str">
        <f ca="1">IFERROR(__xludf.DUMMYFUNCTION("""COMPUTED_VALUE"""),"")</f>
        <v/>
      </c>
      <c r="E14706" s="2"/>
    </row>
    <row r="14707" spans="1:5" ht="13">
      <c r="A14707" s="8" t="str">
        <f ca="1">IFERROR(__xludf.DUMMYFUNCTION("""COMPUTED_VALUE"""),"Wilckens, Friedrich")</f>
        <v>Wilckens, Friedrich</v>
      </c>
      <c r="B14707" s="2"/>
      <c r="C14707" s="2"/>
      <c r="D14707" s="8" t="str">
        <f ca="1">IFERROR(__xludf.DUMMYFUNCTION("""COMPUTED_VALUE"""),"")</f>
        <v/>
      </c>
      <c r="E14707" s="2"/>
    </row>
    <row r="14708" spans="1:5" ht="13">
      <c r="A14708" s="8" t="str">
        <f ca="1">IFERROR(__xludf.DUMMYFUNCTION("""COMPUTED_VALUE"""),"Wilhelmi, August")</f>
        <v>Wilhelmi, August</v>
      </c>
      <c r="B14708" s="2"/>
      <c r="C14708" s="2"/>
      <c r="D14708" s="8" t="str">
        <f ca="1">IFERROR(__xludf.DUMMYFUNCTION("""COMPUTED_VALUE"""),"")</f>
        <v/>
      </c>
      <c r="E14708" s="2"/>
    </row>
    <row r="14709" spans="1:5" ht="13">
      <c r="A14709" s="8" t="str">
        <f ca="1">IFERROR(__xludf.DUMMYFUNCTION("""COMPUTED_VALUE"""),"Wilkes, Robert")</f>
        <v>Wilkes, Robert</v>
      </c>
      <c r="B14709" s="2"/>
      <c r="C14709" s="2"/>
      <c r="D14709" s="8" t="str">
        <f ca="1">IFERROR(__xludf.DUMMYFUNCTION("""COMPUTED_VALUE"""),"")</f>
        <v/>
      </c>
      <c r="E14709" s="2"/>
    </row>
    <row r="14710" spans="1:5" ht="13">
      <c r="A14710" s="8" t="str">
        <f ca="1">IFERROR(__xludf.DUMMYFUNCTION("""COMPUTED_VALUE"""),"Willebye, Charles")</f>
        <v>Willebye, Charles</v>
      </c>
      <c r="B14710" s="2"/>
      <c r="C14710" s="2"/>
      <c r="D14710" s="8" t="str">
        <f ca="1">IFERROR(__xludf.DUMMYFUNCTION("""COMPUTED_VALUE"""),"")</f>
        <v/>
      </c>
      <c r="E14710" s="2"/>
    </row>
    <row r="14711" spans="1:5" ht="13">
      <c r="A14711" s="8" t="str">
        <f ca="1">IFERROR(__xludf.DUMMYFUNCTION("""COMPUTED_VALUE"""),"Williams, John Gerrard")</f>
        <v>Williams, John Gerrard</v>
      </c>
      <c r="B14711" s="2"/>
      <c r="C14711" s="2"/>
      <c r="D14711" s="8" t="str">
        <f ca="1">IFERROR(__xludf.DUMMYFUNCTION("""COMPUTED_VALUE"""),"")</f>
        <v/>
      </c>
      <c r="E14711" s="2"/>
    </row>
    <row r="14712" spans="1:5" ht="13">
      <c r="A14712" s="8" t="str">
        <f ca="1">IFERROR(__xludf.DUMMYFUNCTION("""COMPUTED_VALUE"""),"Williams, John T.")</f>
        <v>Williams, John T.</v>
      </c>
      <c r="B14712" s="2"/>
      <c r="C14712" s="2"/>
      <c r="D14712" s="8" t="str">
        <f ca="1">IFERROR(__xludf.DUMMYFUNCTION("""COMPUTED_VALUE"""),"")</f>
        <v/>
      </c>
      <c r="E14712" s="2"/>
    </row>
    <row r="14713" spans="1:5" ht="13">
      <c r="A14713" s="8" t="str">
        <f ca="1">IFERROR(__xludf.DUMMYFUNCTION("""COMPUTED_VALUE"""),"Willis, Richard")</f>
        <v>Willis, Richard</v>
      </c>
      <c r="B14713" s="2"/>
      <c r="C14713" s="2"/>
      <c r="D14713" s="8" t="str">
        <f ca="1">IFERROR(__xludf.DUMMYFUNCTION("""COMPUTED_VALUE"""),"")</f>
        <v/>
      </c>
      <c r="E14713" s="2"/>
    </row>
    <row r="14714" spans="1:5" ht="13">
      <c r="A14714" s="8" t="str">
        <f ca="1">IFERROR(__xludf.DUMMYFUNCTION("""COMPUTED_VALUE"""),"Wilm, Nikolai")</f>
        <v>Wilm, Nikolai</v>
      </c>
      <c r="B14714" s="2"/>
      <c r="C14714" s="2"/>
      <c r="D14714" s="8" t="str">
        <f ca="1">IFERROR(__xludf.DUMMYFUNCTION("""COMPUTED_VALUE"""),"")</f>
        <v/>
      </c>
      <c r="E14714" s="2"/>
    </row>
    <row r="14715" spans="1:5" ht="13">
      <c r="A14715" s="8" t="str">
        <f ca="1">IFERROR(__xludf.DUMMYFUNCTION("""COMPUTED_VALUE"""),"Wilson, Mortimer")</f>
        <v>Wilson, Mortimer</v>
      </c>
      <c r="B14715" s="2"/>
      <c r="C14715" s="2"/>
      <c r="D14715" s="8" t="str">
        <f ca="1">IFERROR(__xludf.DUMMYFUNCTION("""COMPUTED_VALUE"""),"")</f>
        <v/>
      </c>
      <c r="E14715" s="2"/>
    </row>
    <row r="14716" spans="1:5" ht="13">
      <c r="A14716" s="8" t="str">
        <f ca="1">IFERROR(__xludf.DUMMYFUNCTION("""COMPUTED_VALUE"""),"Winkler, Alexander")</f>
        <v>Winkler, Alexander</v>
      </c>
      <c r="B14716" s="2"/>
      <c r="C14716" s="2"/>
      <c r="D14716" s="8" t="str">
        <f ca="1">IFERROR(__xludf.DUMMYFUNCTION("""COMPUTED_VALUE"""),"")</f>
        <v/>
      </c>
      <c r="E14716" s="2"/>
    </row>
    <row r="14717" spans="1:5" ht="13">
      <c r="A14717" s="8" t="str">
        <f ca="1">IFERROR(__xludf.DUMMYFUNCTION("""COMPUTED_VALUE"""),"Winkler, Karl")</f>
        <v>Winkler, Karl</v>
      </c>
      <c r="B14717" s="2"/>
      <c r="C14717" s="2"/>
      <c r="D14717" s="8" t="str">
        <f ca="1">IFERROR(__xludf.DUMMYFUNCTION("""COMPUTED_VALUE"""),"")</f>
        <v/>
      </c>
      <c r="E14717" s="2"/>
    </row>
    <row r="14718" spans="1:5" ht="13">
      <c r="A14718" s="8" t="str">
        <f ca="1">IFERROR(__xludf.DUMMYFUNCTION("""COMPUTED_VALUE"""),"Wiren, Dag Ivan")</f>
        <v>Wiren, Dag Ivan</v>
      </c>
      <c r="B14718" s="2"/>
      <c r="C14718" s="2"/>
      <c r="D14718" s="8" t="str">
        <f ca="1">IFERROR(__xludf.DUMMYFUNCTION("""COMPUTED_VALUE"""),"")</f>
        <v/>
      </c>
      <c r="E14718" s="2"/>
    </row>
    <row r="14719" spans="1:5" ht="13">
      <c r="A14719" s="8" t="str">
        <f ca="1">IFERROR(__xludf.DUMMYFUNCTION("""COMPUTED_VALUE"""),"Wirtel, Thomas")</f>
        <v>Wirtel, Thomas</v>
      </c>
      <c r="B14719" s="2"/>
      <c r="C14719" s="2"/>
      <c r="D14719" s="8" t="str">
        <f ca="1">IFERROR(__xludf.DUMMYFUNCTION("""COMPUTED_VALUE"""),"")</f>
        <v/>
      </c>
      <c r="E14719" s="2"/>
    </row>
    <row r="14720" spans="1:5" ht="13">
      <c r="A14720" s="8" t="str">
        <f ca="1">IFERROR(__xludf.DUMMYFUNCTION("""COMPUTED_VALUE"""),"Witkowski, G. M.")</f>
        <v>Witkowski, G. M.</v>
      </c>
      <c r="B14720" s="2"/>
      <c r="C14720" s="2"/>
      <c r="D14720" s="8" t="str">
        <f ca="1">IFERROR(__xludf.DUMMYFUNCTION("""COMPUTED_VALUE"""),"")</f>
        <v/>
      </c>
      <c r="E14720" s="2"/>
    </row>
    <row r="14721" spans="1:5" ht="13">
      <c r="A14721" s="8" t="str">
        <f ca="1">IFERROR(__xludf.DUMMYFUNCTION("""COMPUTED_VALUE"""),"Woldridge, John D.")</f>
        <v>Woldridge, John D.</v>
      </c>
      <c r="B14721" s="2"/>
      <c r="C14721" s="2"/>
      <c r="D14721" s="8" t="str">
        <f ca="1">IFERROR(__xludf.DUMMYFUNCTION("""COMPUTED_VALUE"""),"")</f>
        <v/>
      </c>
      <c r="E14721" s="2"/>
    </row>
    <row r="14722" spans="1:5" ht="13">
      <c r="A14722" s="8" t="str">
        <f ca="1">IFERROR(__xludf.DUMMYFUNCTION("""COMPUTED_VALUE"""),"Wolf, Kenneth")</f>
        <v>Wolf, Kenneth</v>
      </c>
      <c r="B14722" s="2"/>
      <c r="C14722" s="2"/>
      <c r="D14722" s="8" t="str">
        <f ca="1">IFERROR(__xludf.DUMMYFUNCTION("""COMPUTED_VALUE"""),"")</f>
        <v/>
      </c>
      <c r="E14722" s="2"/>
    </row>
    <row r="14723" spans="1:5" ht="13">
      <c r="A14723" s="8" t="str">
        <f ca="1">IFERROR(__xludf.DUMMYFUNCTION("""COMPUTED_VALUE"""),"Wolfe, Stanley")</f>
        <v>Wolfe, Stanley</v>
      </c>
      <c r="B14723" s="2"/>
      <c r="C14723" s="2"/>
      <c r="D14723" s="8" t="str">
        <f ca="1">IFERROR(__xludf.DUMMYFUNCTION("""COMPUTED_VALUE"""),"")</f>
        <v/>
      </c>
      <c r="E14723" s="2"/>
    </row>
    <row r="14724" spans="1:5" ht="13">
      <c r="A14724" s="8" t="str">
        <f ca="1">IFERROR(__xludf.DUMMYFUNCTION("""COMPUTED_VALUE"""),"Woltmann, Frederick")</f>
        <v>Woltmann, Frederick</v>
      </c>
      <c r="B14724" s="2"/>
      <c r="C14724" s="2"/>
      <c r="D14724" s="8" t="str">
        <f ca="1">IFERROR(__xludf.DUMMYFUNCTION("""COMPUTED_VALUE"""),"")</f>
        <v/>
      </c>
      <c r="E14724" s="2"/>
    </row>
    <row r="14725" spans="1:5" ht="13">
      <c r="A14725" s="8" t="str">
        <f ca="1">IFERROR(__xludf.DUMMYFUNCTION("""COMPUTED_VALUE"""),"Wood, Carl Paige")</f>
        <v>Wood, Carl Paige</v>
      </c>
      <c r="B14725" s="2"/>
      <c r="C14725" s="2"/>
      <c r="D14725" s="8" t="str">
        <f ca="1">IFERROR(__xludf.DUMMYFUNCTION("""COMPUTED_VALUE"""),"")</f>
        <v/>
      </c>
      <c r="E14725" s="2"/>
    </row>
    <row r="14726" spans="1:5" ht="13">
      <c r="A14726" s="8" t="str">
        <f ca="1">IFERROR(__xludf.DUMMYFUNCTION("""COMPUTED_VALUE"""),"Woollen, Russell")</f>
        <v>Woollen, Russell</v>
      </c>
      <c r="B14726" s="2"/>
      <c r="C14726" s="2"/>
      <c r="D14726" s="8" t="str">
        <f ca="1">IFERROR(__xludf.DUMMYFUNCTION("""COMPUTED_VALUE"""),"")</f>
        <v/>
      </c>
      <c r="E14726" s="2"/>
    </row>
    <row r="14727" spans="1:5" ht="13">
      <c r="A14727" s="8" t="str">
        <f ca="1">IFERROR(__xludf.DUMMYFUNCTION("""COMPUTED_VALUE"""),"Wykes, Robert")</f>
        <v>Wykes, Robert</v>
      </c>
      <c r="B14727" s="2"/>
      <c r="C14727" s="2"/>
      <c r="D14727" s="8" t="str">
        <f ca="1">IFERROR(__xludf.DUMMYFUNCTION("""COMPUTED_VALUE"""),"")</f>
        <v/>
      </c>
      <c r="E14727" s="2"/>
    </row>
    <row r="14728" spans="1:5" ht="13">
      <c r="A14728" s="8" t="str">
        <f ca="1">IFERROR(__xludf.DUMMYFUNCTION("""COMPUTED_VALUE"""),"Ysaye, Theophile")</f>
        <v>Ysaye, Theophile</v>
      </c>
      <c r="B14728" s="2"/>
      <c r="C14728" s="2"/>
      <c r="D14728" s="8" t="str">
        <f ca="1">IFERROR(__xludf.DUMMYFUNCTION("""COMPUTED_VALUE"""),"")</f>
        <v/>
      </c>
      <c r="E14728" s="2"/>
    </row>
    <row r="14729" spans="1:5" ht="13">
      <c r="A14729" s="8" t="str">
        <f ca="1">IFERROR(__xludf.DUMMYFUNCTION("""COMPUTED_VALUE"""),"Zabel, Albert")</f>
        <v>Zabel, Albert</v>
      </c>
      <c r="B14729" s="2"/>
      <c r="C14729" s="2"/>
      <c r="D14729" s="8" t="str">
        <f ca="1">IFERROR(__xludf.DUMMYFUNCTION("""COMPUTED_VALUE"""),"")</f>
        <v/>
      </c>
      <c r="E14729" s="2"/>
    </row>
    <row r="14730" spans="1:5" ht="13">
      <c r="A14730" s="8" t="str">
        <f ca="1">IFERROR(__xludf.DUMMYFUNCTION("""COMPUTED_VALUE"""),"Zador, Eugen(Jeno)")</f>
        <v>Zador, Eugen(Jeno)</v>
      </c>
      <c r="B14730" s="2"/>
      <c r="C14730" s="2"/>
      <c r="D14730" s="8" t="str">
        <f ca="1">IFERROR(__xludf.DUMMYFUNCTION("""COMPUTED_VALUE"""),"")</f>
        <v/>
      </c>
      <c r="E14730" s="2"/>
    </row>
    <row r="14731" spans="1:5" ht="13">
      <c r="A14731" s="8" t="str">
        <f ca="1">IFERROR(__xludf.DUMMYFUNCTION("""COMPUTED_VALUE"""),"Zafred, Mario")</f>
        <v>Zafred, Mario</v>
      </c>
      <c r="B14731" s="2"/>
      <c r="C14731" s="2"/>
      <c r="D14731" s="8" t="str">
        <f ca="1">IFERROR(__xludf.DUMMYFUNCTION("""COMPUTED_VALUE"""),"")</f>
        <v/>
      </c>
      <c r="E14731" s="2"/>
    </row>
    <row r="14732" spans="1:5" ht="13">
      <c r="A14732" s="8" t="str">
        <f ca="1">IFERROR(__xludf.DUMMYFUNCTION("""COMPUTED_VALUE"""),"Zech, Frederick")</f>
        <v>Zech, Frederick</v>
      </c>
      <c r="B14732" s="2"/>
      <c r="C14732" s="2"/>
      <c r="D14732" s="8" t="str">
        <f ca="1">IFERROR(__xludf.DUMMYFUNCTION("""COMPUTED_VALUE"""),"")</f>
        <v/>
      </c>
      <c r="E14732" s="2"/>
    </row>
    <row r="14733" spans="1:5" ht="13">
      <c r="A14733" s="8" t="str">
        <f ca="1">IFERROR(__xludf.DUMMYFUNCTION("""COMPUTED_VALUE"""),"Zeckwer, Richard C.")</f>
        <v>Zeckwer, Richard C.</v>
      </c>
      <c r="B14733" s="2"/>
      <c r="C14733" s="2"/>
      <c r="D14733" s="8" t="str">
        <f ca="1">IFERROR(__xludf.DUMMYFUNCTION("""COMPUTED_VALUE"""),"")</f>
        <v/>
      </c>
      <c r="E14733" s="2"/>
    </row>
    <row r="14734" spans="1:5" ht="13">
      <c r="A14734" s="8" t="str">
        <f ca="1">IFERROR(__xludf.DUMMYFUNCTION("""COMPUTED_VALUE"""),"Zeisl, Eric")</f>
        <v>Zeisl, Eric</v>
      </c>
      <c r="B14734" s="2"/>
      <c r="C14734" s="2"/>
      <c r="D14734" s="8" t="str">
        <f ca="1">IFERROR(__xludf.DUMMYFUNCTION("""COMPUTED_VALUE"""),"")</f>
        <v/>
      </c>
      <c r="E14734" s="2"/>
    </row>
    <row r="14735" spans="1:5" ht="13">
      <c r="A14735" s="8" t="str">
        <f ca="1">IFERROR(__xludf.DUMMYFUNCTION("""COMPUTED_VALUE"""),"Zemachson, Arnold")</f>
        <v>Zemachson, Arnold</v>
      </c>
      <c r="B14735" s="2"/>
      <c r="C14735" s="2"/>
      <c r="D14735" s="8" t="str">
        <f ca="1">IFERROR(__xludf.DUMMYFUNCTION("""COMPUTED_VALUE"""),"")</f>
        <v/>
      </c>
      <c r="E14735" s="2"/>
    </row>
    <row r="14736" spans="1:5" ht="13">
      <c r="A14736" s="8" t="str">
        <f ca="1">IFERROR(__xludf.DUMMYFUNCTION("""COMPUTED_VALUE"""),"Ziehrer, C.M.")</f>
        <v>Ziehrer, C.M.</v>
      </c>
      <c r="B14736" s="2"/>
      <c r="C14736" s="2"/>
      <c r="D14736" s="8" t="str">
        <f ca="1">IFERROR(__xludf.DUMMYFUNCTION("""COMPUTED_VALUE"""),"")</f>
        <v/>
      </c>
      <c r="E14736" s="2"/>
    </row>
    <row r="14737" spans="1:5" ht="13">
      <c r="A14737" s="8" t="str">
        <f ca="1">IFERROR(__xludf.DUMMYFUNCTION("""COMPUTED_VALUE"""),"Zilcher, Hermann")</f>
        <v>Zilcher, Hermann</v>
      </c>
      <c r="B14737" s="2"/>
      <c r="C14737" s="2"/>
      <c r="D14737" s="8" t="str">
        <f ca="1">IFERROR(__xludf.DUMMYFUNCTION("""COMPUTED_VALUE"""),"")</f>
        <v/>
      </c>
      <c r="E14737" s="2"/>
    </row>
    <row r="14738" spans="1:5" ht="13">
      <c r="A14738" s="8" t="str">
        <f ca="1">IFERROR(__xludf.DUMMYFUNCTION("""COMPUTED_VALUE"""),"Zimbalist, Efrem")</f>
        <v>Zimbalist, Efrem</v>
      </c>
      <c r="B14738" s="2"/>
      <c r="C14738" s="2"/>
      <c r="D14738" s="8" t="str">
        <f ca="1">IFERROR(__xludf.DUMMYFUNCTION("""COMPUTED_VALUE"""),"")</f>
        <v/>
      </c>
      <c r="E14738" s="2"/>
    </row>
    <row r="14739" spans="1:5" ht="13">
      <c r="A14739" s="8" t="str">
        <f ca="1">IFERROR(__xludf.DUMMYFUNCTION("""COMPUTED_VALUE"""),"Zimmerman, Bernd-Alois")</f>
        <v>Zimmerman, Bernd-Alois</v>
      </c>
      <c r="B14739" s="2"/>
      <c r="C14739" s="2"/>
      <c r="D14739" s="8" t="str">
        <f ca="1">IFERROR(__xludf.DUMMYFUNCTION("""COMPUTED_VALUE"""),"")</f>
        <v/>
      </c>
      <c r="E14739" s="2"/>
    </row>
    <row r="14740" spans="1:5" ht="13">
      <c r="A14740" s="8" t="str">
        <f ca="1">IFERROR(__xludf.DUMMYFUNCTION("""COMPUTED_VALUE"""),"Zimmermann")</f>
        <v>Zimmermann</v>
      </c>
      <c r="B14740" s="2"/>
      <c r="C14740" s="2"/>
      <c r="D14740" s="8" t="str">
        <f ca="1">IFERROR(__xludf.DUMMYFUNCTION("""COMPUTED_VALUE"""),"")</f>
        <v/>
      </c>
      <c r="E147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1925"/>
  <sheetViews>
    <sheetView tabSelected="1" workbookViewId="0">
      <selection activeCell="C5" sqref="C5"/>
    </sheetView>
  </sheetViews>
  <sheetFormatPr baseColWidth="10" defaultColWidth="12.6640625" defaultRowHeight="15.75" customHeight="1"/>
  <cols>
    <col min="8" max="8" width="16.33203125" bestFit="1" customWidth="1"/>
  </cols>
  <sheetData>
    <row r="1" spans="1:16" ht="15.75" customHeight="1">
      <c r="A1" s="1" t="s">
        <v>9</v>
      </c>
      <c r="B1" s="1" t="s">
        <v>5157</v>
      </c>
      <c r="C1" s="1" t="s">
        <v>10</v>
      </c>
      <c r="D1" s="1" t="s">
        <v>11</v>
      </c>
      <c r="E1" s="1" t="s">
        <v>12</v>
      </c>
      <c r="F1" s="1" t="s">
        <v>5156</v>
      </c>
      <c r="G1" s="1" t="s">
        <v>5154</v>
      </c>
      <c r="H1" s="1" t="s">
        <v>5155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5152</v>
      </c>
      <c r="N1" s="1" t="s">
        <v>5153</v>
      </c>
      <c r="O1" s="1" t="s">
        <v>17</v>
      </c>
      <c r="P1" s="1" t="s">
        <v>18</v>
      </c>
    </row>
    <row r="2" spans="1:16" ht="15.75" customHeight="1">
      <c r="A2" s="2" t="s">
        <v>1</v>
      </c>
      <c r="B2" s="2" t="str">
        <f>RIGHT(TEXT(IF(LEFT(A2,4)="Fall",VALUE(RIGHT(A2,4)),VALUE(RIGHT(A2,4))-1),"00"),2)
 &amp; "-" &amp;
 RIGHT(TEXT(IF(LEFT(A2,4)="Fall",VALUE(RIGHT(A2,4))+1,VALUE(RIGHT(A2,4))),"00"),2)
 &amp; " Academic Year"</f>
        <v>22-23 Academic Year</v>
      </c>
      <c r="C2" s="2">
        <v>1</v>
      </c>
      <c r="D2" s="2" t="s">
        <v>19</v>
      </c>
      <c r="E2" s="10">
        <v>44814</v>
      </c>
      <c r="F2" s="2" t="s">
        <v>20</v>
      </c>
      <c r="G2" s="2" t="s">
        <v>21</v>
      </c>
      <c r="H2" s="2" t="s">
        <v>6</v>
      </c>
      <c r="J2" s="2" t="s">
        <v>4665</v>
      </c>
      <c r="K2" s="2" t="s">
        <v>22</v>
      </c>
      <c r="L2" s="2" t="s">
        <v>4330</v>
      </c>
      <c r="M2" s="3">
        <v>2</v>
      </c>
      <c r="N2" s="3">
        <v>2</v>
      </c>
      <c r="P2" s="2" t="s">
        <v>23</v>
      </c>
    </row>
    <row r="3" spans="1:16" ht="15.75" customHeight="1">
      <c r="A3" s="2" t="s">
        <v>1</v>
      </c>
      <c r="B3" s="2" t="str">
        <f t="shared" ref="B3:B66" si="0">RIGHT(TEXT(IF(LEFT(A3,4)="Fall",VALUE(RIGHT(A3,4)),VALUE(RIGHT(A3,4))-1),"00"),2)
 &amp; "-" &amp;
 RIGHT(TEXT(IF(LEFT(A3,4)="Fall",VALUE(RIGHT(A3,4))+1,VALUE(RIGHT(A3,4))),"00"),2)
 &amp; " Academic Year"</f>
        <v>22-23 Academic Year</v>
      </c>
      <c r="C3" s="2">
        <v>1</v>
      </c>
      <c r="D3" s="2" t="s">
        <v>19</v>
      </c>
      <c r="E3" s="10">
        <v>44814</v>
      </c>
      <c r="F3" s="2" t="s">
        <v>20</v>
      </c>
      <c r="G3" s="2" t="s">
        <v>21</v>
      </c>
      <c r="H3" s="2" t="s">
        <v>6</v>
      </c>
      <c r="J3" s="2" t="s">
        <v>4666</v>
      </c>
      <c r="K3" s="2" t="s">
        <v>24</v>
      </c>
      <c r="L3" s="2" t="s">
        <v>4667</v>
      </c>
      <c r="M3" s="3">
        <v>2</v>
      </c>
      <c r="N3" s="3">
        <v>2</v>
      </c>
      <c r="P3" s="2" t="s">
        <v>25</v>
      </c>
    </row>
    <row r="4" spans="1:16" ht="15.75" customHeight="1">
      <c r="A4" s="2" t="s">
        <v>1</v>
      </c>
      <c r="B4" s="2" t="str">
        <f t="shared" si="0"/>
        <v>22-23 Academic Year</v>
      </c>
      <c r="C4" s="2">
        <v>1</v>
      </c>
      <c r="D4" s="2" t="s">
        <v>19</v>
      </c>
      <c r="E4" s="10">
        <v>44814</v>
      </c>
      <c r="F4" s="2" t="s">
        <v>20</v>
      </c>
      <c r="G4" s="2" t="s">
        <v>21</v>
      </c>
      <c r="H4" s="2" t="s">
        <v>6</v>
      </c>
      <c r="J4" s="2" t="s">
        <v>4668</v>
      </c>
      <c r="K4" s="2" t="s">
        <v>26</v>
      </c>
      <c r="L4" s="2" t="s">
        <v>4020</v>
      </c>
      <c r="M4" s="3">
        <v>1</v>
      </c>
      <c r="N4" s="3">
        <v>2</v>
      </c>
      <c r="P4" s="2" t="s">
        <v>27</v>
      </c>
    </row>
    <row r="5" spans="1:16" ht="15.75" customHeight="1">
      <c r="A5" s="2" t="s">
        <v>1</v>
      </c>
      <c r="B5" s="2" t="str">
        <f t="shared" si="0"/>
        <v>22-23 Academic Year</v>
      </c>
      <c r="C5" s="2">
        <v>2</v>
      </c>
      <c r="D5" s="2" t="s">
        <v>28</v>
      </c>
      <c r="E5" s="10">
        <v>44820</v>
      </c>
      <c r="F5" s="2" t="s">
        <v>29</v>
      </c>
      <c r="G5" s="2" t="s">
        <v>30</v>
      </c>
      <c r="H5" s="2" t="s">
        <v>6</v>
      </c>
      <c r="J5" s="2" t="s">
        <v>4669</v>
      </c>
      <c r="K5" s="2" t="s">
        <v>31</v>
      </c>
      <c r="L5" s="2" t="s">
        <v>4670</v>
      </c>
      <c r="M5" s="3">
        <v>3</v>
      </c>
      <c r="N5" s="3">
        <v>1</v>
      </c>
      <c r="P5" s="2" t="s">
        <v>32</v>
      </c>
    </row>
    <row r="6" spans="1:16" ht="15.75" customHeight="1">
      <c r="A6" s="2" t="s">
        <v>1</v>
      </c>
      <c r="B6" s="2" t="str">
        <f t="shared" si="0"/>
        <v>22-23 Academic Year</v>
      </c>
      <c r="C6" s="2">
        <v>2</v>
      </c>
      <c r="D6" s="2" t="s">
        <v>28</v>
      </c>
      <c r="E6" s="10">
        <v>44820</v>
      </c>
      <c r="F6" s="2" t="s">
        <v>29</v>
      </c>
      <c r="G6" s="2" t="s">
        <v>30</v>
      </c>
      <c r="H6" s="2" t="s">
        <v>6</v>
      </c>
      <c r="J6" s="2" t="s">
        <v>4671</v>
      </c>
      <c r="K6" s="2" t="s">
        <v>33</v>
      </c>
      <c r="L6" s="2" t="s">
        <v>4672</v>
      </c>
      <c r="M6" s="3">
        <v>1</v>
      </c>
      <c r="N6" s="3">
        <v>1</v>
      </c>
      <c r="P6" s="2" t="s">
        <v>34</v>
      </c>
    </row>
    <row r="7" spans="1:16" ht="15.75" customHeight="1">
      <c r="A7" s="2" t="s">
        <v>1</v>
      </c>
      <c r="B7" s="2" t="str">
        <f t="shared" si="0"/>
        <v>22-23 Academic Year</v>
      </c>
      <c r="C7" s="2">
        <v>2</v>
      </c>
      <c r="D7" s="2" t="s">
        <v>28</v>
      </c>
      <c r="E7" s="10">
        <v>44820</v>
      </c>
      <c r="F7" s="2" t="s">
        <v>29</v>
      </c>
      <c r="G7" s="2" t="s">
        <v>30</v>
      </c>
      <c r="H7" s="2" t="s">
        <v>6</v>
      </c>
      <c r="J7" s="2" t="s">
        <v>4673</v>
      </c>
      <c r="K7" s="2" t="s">
        <v>35</v>
      </c>
      <c r="L7" s="2" t="s">
        <v>4674</v>
      </c>
      <c r="M7" s="3">
        <v>4</v>
      </c>
      <c r="N7" s="3">
        <v>1</v>
      </c>
      <c r="P7" s="2" t="s">
        <v>36</v>
      </c>
    </row>
    <row r="8" spans="1:16" ht="15.75" customHeight="1">
      <c r="A8" s="2" t="s">
        <v>1</v>
      </c>
      <c r="B8" s="2" t="str">
        <f t="shared" si="0"/>
        <v>22-23 Academic Year</v>
      </c>
      <c r="C8" s="2">
        <v>2</v>
      </c>
      <c r="D8" s="2" t="s">
        <v>28</v>
      </c>
      <c r="E8" s="10">
        <v>44820</v>
      </c>
      <c r="F8" s="2" t="s">
        <v>29</v>
      </c>
      <c r="G8" s="2" t="s">
        <v>30</v>
      </c>
      <c r="H8" s="2" t="s">
        <v>6</v>
      </c>
      <c r="J8" s="2" t="s">
        <v>4675</v>
      </c>
      <c r="K8" s="2" t="s">
        <v>37</v>
      </c>
      <c r="L8" s="2" t="s">
        <v>4676</v>
      </c>
      <c r="M8" s="3">
        <v>1</v>
      </c>
      <c r="N8" s="3">
        <v>1</v>
      </c>
      <c r="P8" s="2" t="s">
        <v>38</v>
      </c>
    </row>
    <row r="9" spans="1:16" ht="15.75" customHeight="1">
      <c r="A9" s="2" t="s">
        <v>1</v>
      </c>
      <c r="B9" s="2" t="str">
        <f t="shared" si="0"/>
        <v>22-23 Academic Year</v>
      </c>
      <c r="C9" s="2">
        <v>2</v>
      </c>
      <c r="D9" s="2" t="s">
        <v>28</v>
      </c>
      <c r="E9" s="10">
        <v>44820</v>
      </c>
      <c r="F9" s="2" t="s">
        <v>29</v>
      </c>
      <c r="G9" s="2" t="s">
        <v>30</v>
      </c>
      <c r="H9" s="2" t="s">
        <v>6</v>
      </c>
      <c r="J9" s="2" t="s">
        <v>4677</v>
      </c>
      <c r="K9" s="2" t="s">
        <v>39</v>
      </c>
      <c r="L9" s="2" t="s">
        <v>4678</v>
      </c>
      <c r="M9" s="3">
        <v>1</v>
      </c>
      <c r="N9" s="3">
        <v>1</v>
      </c>
      <c r="P9" s="2" t="s">
        <v>40</v>
      </c>
    </row>
    <row r="10" spans="1:16" ht="15.75" customHeight="1">
      <c r="A10" s="2" t="s">
        <v>1</v>
      </c>
      <c r="B10" s="2" t="str">
        <f t="shared" si="0"/>
        <v>22-23 Academic Year</v>
      </c>
      <c r="C10" s="2">
        <v>2</v>
      </c>
      <c r="D10" s="2" t="s">
        <v>28</v>
      </c>
      <c r="E10" s="10">
        <v>44820</v>
      </c>
      <c r="F10" s="2" t="s">
        <v>29</v>
      </c>
      <c r="G10" s="2" t="s">
        <v>30</v>
      </c>
      <c r="H10" s="2" t="s">
        <v>6</v>
      </c>
      <c r="J10" s="2" t="s">
        <v>4679</v>
      </c>
      <c r="K10" s="2" t="s">
        <v>41</v>
      </c>
      <c r="L10" s="2" t="s">
        <v>4537</v>
      </c>
      <c r="M10" s="3">
        <v>4</v>
      </c>
      <c r="N10" s="3">
        <v>1</v>
      </c>
      <c r="P10" s="2" t="s">
        <v>42</v>
      </c>
    </row>
    <row r="11" spans="1:16" ht="15.75" customHeight="1">
      <c r="A11" s="2" t="s">
        <v>1</v>
      </c>
      <c r="B11" s="2" t="str">
        <f t="shared" si="0"/>
        <v>22-23 Academic Year</v>
      </c>
      <c r="C11" s="2">
        <v>3</v>
      </c>
      <c r="D11" s="2" t="s">
        <v>43</v>
      </c>
      <c r="E11" s="10">
        <v>44821</v>
      </c>
      <c r="F11" s="2" t="s">
        <v>44</v>
      </c>
      <c r="G11" s="2" t="s">
        <v>45</v>
      </c>
      <c r="H11" s="2" t="s">
        <v>8</v>
      </c>
      <c r="J11" s="2" t="s">
        <v>4680</v>
      </c>
      <c r="K11" s="2" t="s">
        <v>46</v>
      </c>
      <c r="L11" s="2" t="s">
        <v>1347</v>
      </c>
      <c r="M11" s="3">
        <v>1</v>
      </c>
      <c r="N11" s="3">
        <v>2</v>
      </c>
      <c r="O11" s="2" t="s">
        <v>47</v>
      </c>
      <c r="P11" s="2" t="s">
        <v>48</v>
      </c>
    </row>
    <row r="12" spans="1:16" ht="15.75" customHeight="1">
      <c r="A12" s="2" t="s">
        <v>1</v>
      </c>
      <c r="B12" s="2" t="str">
        <f t="shared" si="0"/>
        <v>22-23 Academic Year</v>
      </c>
      <c r="C12" s="2">
        <v>3</v>
      </c>
      <c r="D12" s="2" t="s">
        <v>43</v>
      </c>
      <c r="E12" s="10">
        <v>44821</v>
      </c>
      <c r="F12" s="2" t="s">
        <v>44</v>
      </c>
      <c r="G12" s="2" t="s">
        <v>45</v>
      </c>
      <c r="H12" s="2" t="s">
        <v>8</v>
      </c>
      <c r="J12" s="2" t="s">
        <v>4681</v>
      </c>
      <c r="K12" s="2" t="s">
        <v>49</v>
      </c>
      <c r="L12" s="2" t="s">
        <v>4682</v>
      </c>
      <c r="M12" s="3">
        <v>1</v>
      </c>
      <c r="N12" s="3">
        <v>2</v>
      </c>
      <c r="O12" s="2" t="s">
        <v>50</v>
      </c>
      <c r="P12" s="2" t="s">
        <v>51</v>
      </c>
    </row>
    <row r="13" spans="1:16" ht="15.75" customHeight="1">
      <c r="A13" s="2" t="s">
        <v>1</v>
      </c>
      <c r="B13" s="2" t="str">
        <f t="shared" si="0"/>
        <v>22-23 Academic Year</v>
      </c>
      <c r="C13" s="2">
        <v>3</v>
      </c>
      <c r="D13" s="2" t="s">
        <v>43</v>
      </c>
      <c r="E13" s="10">
        <v>44821</v>
      </c>
      <c r="F13" s="2" t="s">
        <v>44</v>
      </c>
      <c r="G13" s="2" t="s">
        <v>45</v>
      </c>
      <c r="H13" s="2" t="s">
        <v>8</v>
      </c>
      <c r="J13" s="2" t="s">
        <v>4683</v>
      </c>
      <c r="K13" s="2" t="s">
        <v>52</v>
      </c>
      <c r="L13" s="2" t="s">
        <v>1781</v>
      </c>
      <c r="M13" s="3">
        <v>3</v>
      </c>
      <c r="N13" s="3">
        <v>1</v>
      </c>
      <c r="P13" s="2" t="s">
        <v>53</v>
      </c>
    </row>
    <row r="14" spans="1:16" ht="15.75" customHeight="1">
      <c r="A14" s="2" t="s">
        <v>1</v>
      </c>
      <c r="B14" s="2" t="str">
        <f t="shared" si="0"/>
        <v>22-23 Academic Year</v>
      </c>
      <c r="C14" s="2">
        <v>3</v>
      </c>
      <c r="D14" s="2" t="s">
        <v>43</v>
      </c>
      <c r="E14" s="10">
        <v>44821</v>
      </c>
      <c r="F14" s="2" t="s">
        <v>44</v>
      </c>
      <c r="G14" s="2" t="s">
        <v>45</v>
      </c>
      <c r="H14" s="2" t="s">
        <v>8</v>
      </c>
      <c r="J14" s="2" t="s">
        <v>4684</v>
      </c>
      <c r="K14" s="2" t="s">
        <v>54</v>
      </c>
      <c r="L14" s="2" t="s">
        <v>4685</v>
      </c>
      <c r="M14" s="3">
        <v>3</v>
      </c>
      <c r="N14" s="3">
        <v>1</v>
      </c>
      <c r="P14" s="2" t="s">
        <v>55</v>
      </c>
    </row>
    <row r="15" spans="1:16" ht="15.75" customHeight="1">
      <c r="A15" s="2" t="s">
        <v>1</v>
      </c>
      <c r="B15" s="2" t="str">
        <f t="shared" si="0"/>
        <v>22-23 Academic Year</v>
      </c>
      <c r="C15" s="2">
        <v>3</v>
      </c>
      <c r="D15" s="2" t="s">
        <v>43</v>
      </c>
      <c r="E15" s="10">
        <v>44821</v>
      </c>
      <c r="F15" s="2" t="s">
        <v>44</v>
      </c>
      <c r="G15" s="2" t="s">
        <v>45</v>
      </c>
      <c r="H15" s="2" t="s">
        <v>8</v>
      </c>
      <c r="J15" s="2" t="s">
        <v>4686</v>
      </c>
      <c r="K15" s="2" t="s">
        <v>56</v>
      </c>
      <c r="L15" s="2" t="s">
        <v>3945</v>
      </c>
      <c r="M15" s="3">
        <v>1</v>
      </c>
      <c r="N15" s="3">
        <v>1</v>
      </c>
      <c r="P15" s="2" t="s">
        <v>57</v>
      </c>
    </row>
    <row r="16" spans="1:16" ht="15.75" customHeight="1">
      <c r="A16" s="2" t="s">
        <v>1</v>
      </c>
      <c r="B16" s="2" t="str">
        <f t="shared" si="0"/>
        <v>22-23 Academic Year</v>
      </c>
      <c r="C16" s="2">
        <v>4</v>
      </c>
      <c r="D16" s="2" t="s">
        <v>58</v>
      </c>
      <c r="E16" s="10">
        <v>44822</v>
      </c>
      <c r="F16" s="2" t="s">
        <v>29</v>
      </c>
      <c r="G16" s="2" t="s">
        <v>8</v>
      </c>
      <c r="H16" s="2" t="s">
        <v>8</v>
      </c>
      <c r="J16" s="2" t="s">
        <v>4687</v>
      </c>
      <c r="K16" s="2" t="s">
        <v>59</v>
      </c>
      <c r="L16" s="2" t="s">
        <v>60</v>
      </c>
      <c r="M16" s="3">
        <v>1</v>
      </c>
      <c r="N16" s="3">
        <v>2</v>
      </c>
      <c r="P16" s="2" t="s">
        <v>61</v>
      </c>
    </row>
    <row r="17" spans="1:16" ht="15.75" customHeight="1">
      <c r="A17" s="2" t="s">
        <v>1</v>
      </c>
      <c r="B17" s="2" t="str">
        <f t="shared" si="0"/>
        <v>22-23 Academic Year</v>
      </c>
      <c r="C17" s="2">
        <v>4</v>
      </c>
      <c r="D17" s="2" t="s">
        <v>58</v>
      </c>
      <c r="E17" s="10">
        <v>44822</v>
      </c>
      <c r="F17" s="2" t="s">
        <v>29</v>
      </c>
      <c r="G17" s="2" t="s">
        <v>8</v>
      </c>
      <c r="H17" s="2" t="s">
        <v>8</v>
      </c>
      <c r="J17" s="2" t="s">
        <v>4688</v>
      </c>
      <c r="K17" s="2" t="s">
        <v>62</v>
      </c>
      <c r="L17" s="2" t="s">
        <v>4689</v>
      </c>
      <c r="M17" s="3">
        <v>1</v>
      </c>
      <c r="N17" s="3">
        <v>2</v>
      </c>
      <c r="P17" s="2" t="s">
        <v>63</v>
      </c>
    </row>
    <row r="18" spans="1:16" ht="15.75" customHeight="1">
      <c r="A18" s="2" t="s">
        <v>1</v>
      </c>
      <c r="B18" s="2" t="str">
        <f t="shared" si="0"/>
        <v>22-23 Academic Year</v>
      </c>
      <c r="C18" s="2">
        <v>4</v>
      </c>
      <c r="D18" s="2" t="s">
        <v>58</v>
      </c>
      <c r="E18" s="10">
        <v>44822</v>
      </c>
      <c r="F18" s="2" t="s">
        <v>29</v>
      </c>
      <c r="G18" s="2" t="s">
        <v>8</v>
      </c>
      <c r="H18" s="2" t="s">
        <v>8</v>
      </c>
      <c r="J18" s="2" t="s">
        <v>4690</v>
      </c>
      <c r="K18" s="2" t="s">
        <v>64</v>
      </c>
      <c r="L18" s="2" t="s">
        <v>4691</v>
      </c>
      <c r="M18" s="3"/>
      <c r="N18" s="3"/>
      <c r="P18" s="2" t="s">
        <v>65</v>
      </c>
    </row>
    <row r="19" spans="1:16" ht="15.75" customHeight="1">
      <c r="A19" s="2" t="s">
        <v>1</v>
      </c>
      <c r="B19" s="2" t="str">
        <f t="shared" si="0"/>
        <v>22-23 Academic Year</v>
      </c>
      <c r="C19" s="2">
        <v>4</v>
      </c>
      <c r="D19" s="2" t="s">
        <v>58</v>
      </c>
      <c r="E19" s="10">
        <v>44822</v>
      </c>
      <c r="F19" s="2" t="s">
        <v>29</v>
      </c>
      <c r="G19" s="2" t="s">
        <v>8</v>
      </c>
      <c r="H19" s="2" t="s">
        <v>8</v>
      </c>
      <c r="J19" s="2" t="s">
        <v>4692</v>
      </c>
      <c r="K19" s="2" t="s">
        <v>66</v>
      </c>
      <c r="L19" s="2" t="s">
        <v>4693</v>
      </c>
      <c r="M19" s="3">
        <v>1</v>
      </c>
      <c r="N19" s="3">
        <v>2</v>
      </c>
      <c r="P19" s="2" t="s">
        <v>67</v>
      </c>
    </row>
    <row r="20" spans="1:16" ht="15.75" customHeight="1">
      <c r="A20" s="2" t="s">
        <v>1</v>
      </c>
      <c r="B20" s="2" t="str">
        <f t="shared" si="0"/>
        <v>22-23 Academic Year</v>
      </c>
      <c r="C20" s="2">
        <v>5</v>
      </c>
      <c r="D20" s="2" t="s">
        <v>68</v>
      </c>
      <c r="E20" s="10">
        <v>44825</v>
      </c>
      <c r="F20" s="2" t="s">
        <v>69</v>
      </c>
      <c r="G20" s="2" t="s">
        <v>7</v>
      </c>
      <c r="H20" s="2" t="s">
        <v>7</v>
      </c>
      <c r="J20" s="2" t="s">
        <v>4669</v>
      </c>
      <c r="K20" s="2" t="s">
        <v>70</v>
      </c>
      <c r="L20" s="2" t="s">
        <v>4694</v>
      </c>
      <c r="M20" s="3">
        <v>3</v>
      </c>
      <c r="N20" s="3">
        <v>2</v>
      </c>
      <c r="P20" s="2" t="s">
        <v>71</v>
      </c>
    </row>
    <row r="21" spans="1:16" ht="15.75" customHeight="1">
      <c r="A21" s="2" t="s">
        <v>1</v>
      </c>
      <c r="B21" s="2" t="str">
        <f t="shared" si="0"/>
        <v>22-23 Academic Year</v>
      </c>
      <c r="C21" s="2">
        <v>5</v>
      </c>
      <c r="D21" s="2" t="s">
        <v>68</v>
      </c>
      <c r="E21" s="10">
        <v>44825</v>
      </c>
      <c r="F21" s="2" t="s">
        <v>69</v>
      </c>
      <c r="G21" s="2" t="s">
        <v>7</v>
      </c>
      <c r="H21" s="2" t="s">
        <v>7</v>
      </c>
      <c r="J21" s="2" t="s">
        <v>4671</v>
      </c>
      <c r="K21" s="2" t="s">
        <v>72</v>
      </c>
      <c r="L21" s="2" t="s">
        <v>4695</v>
      </c>
      <c r="M21" s="3">
        <v>3</v>
      </c>
      <c r="N21" s="3">
        <v>2</v>
      </c>
      <c r="O21" s="2" t="s">
        <v>73</v>
      </c>
      <c r="P21" s="2" t="s">
        <v>74</v>
      </c>
    </row>
    <row r="22" spans="1:16" ht="15.75" customHeight="1">
      <c r="A22" s="2" t="s">
        <v>1</v>
      </c>
      <c r="B22" s="2" t="str">
        <f t="shared" si="0"/>
        <v>22-23 Academic Year</v>
      </c>
      <c r="C22" s="2">
        <v>5</v>
      </c>
      <c r="D22" s="2" t="s">
        <v>68</v>
      </c>
      <c r="E22" s="10">
        <v>44825</v>
      </c>
      <c r="F22" s="2" t="s">
        <v>69</v>
      </c>
      <c r="G22" s="2" t="s">
        <v>7</v>
      </c>
      <c r="H22" s="2" t="s">
        <v>7</v>
      </c>
      <c r="J22" s="2" t="s">
        <v>4673</v>
      </c>
      <c r="K22" s="2" t="s">
        <v>75</v>
      </c>
      <c r="L22" s="2" t="s">
        <v>1275</v>
      </c>
      <c r="M22" s="3">
        <v>3</v>
      </c>
      <c r="N22" s="3">
        <v>1</v>
      </c>
      <c r="O22" s="2" t="s">
        <v>73</v>
      </c>
      <c r="P22" s="2" t="s">
        <v>76</v>
      </c>
    </row>
    <row r="23" spans="1:16" ht="15.75" customHeight="1">
      <c r="A23" s="2" t="s">
        <v>1</v>
      </c>
      <c r="B23" s="2" t="str">
        <f t="shared" si="0"/>
        <v>22-23 Academic Year</v>
      </c>
      <c r="C23" s="2">
        <v>5</v>
      </c>
      <c r="D23" s="2" t="s">
        <v>68</v>
      </c>
      <c r="E23" s="10">
        <v>44825</v>
      </c>
      <c r="F23" s="2" t="s">
        <v>69</v>
      </c>
      <c r="G23" s="2" t="s">
        <v>7</v>
      </c>
      <c r="H23" s="2" t="s">
        <v>7</v>
      </c>
      <c r="J23" s="2" t="s">
        <v>4675</v>
      </c>
      <c r="K23" s="2" t="s">
        <v>77</v>
      </c>
      <c r="L23" s="2" t="s">
        <v>78</v>
      </c>
      <c r="M23" s="3">
        <v>3</v>
      </c>
      <c r="N23" s="3">
        <v>1</v>
      </c>
      <c r="O23" s="2" t="s">
        <v>73</v>
      </c>
      <c r="P23" s="2" t="s">
        <v>79</v>
      </c>
    </row>
    <row r="24" spans="1:16" ht="15.75" customHeight="1">
      <c r="A24" s="2" t="s">
        <v>1</v>
      </c>
      <c r="B24" s="2" t="str">
        <f t="shared" si="0"/>
        <v>22-23 Academic Year</v>
      </c>
      <c r="C24" s="2">
        <v>5</v>
      </c>
      <c r="D24" s="2" t="s">
        <v>68</v>
      </c>
      <c r="E24" s="10">
        <v>44825</v>
      </c>
      <c r="F24" s="2" t="s">
        <v>69</v>
      </c>
      <c r="G24" s="2" t="s">
        <v>7</v>
      </c>
      <c r="H24" s="2" t="s">
        <v>7</v>
      </c>
      <c r="J24" s="2" t="s">
        <v>4677</v>
      </c>
      <c r="K24" s="2" t="s">
        <v>72</v>
      </c>
      <c r="L24" s="2" t="s">
        <v>4695</v>
      </c>
      <c r="M24" s="3">
        <v>3</v>
      </c>
      <c r="N24" s="3">
        <v>2</v>
      </c>
      <c r="O24" s="2" t="s">
        <v>73</v>
      </c>
      <c r="P24" s="2" t="s">
        <v>80</v>
      </c>
    </row>
    <row r="25" spans="1:16" ht="15.75" customHeight="1">
      <c r="A25" s="2" t="s">
        <v>1</v>
      </c>
      <c r="B25" s="2" t="str">
        <f t="shared" si="0"/>
        <v>22-23 Academic Year</v>
      </c>
      <c r="C25" s="2">
        <v>5</v>
      </c>
      <c r="D25" s="2" t="s">
        <v>68</v>
      </c>
      <c r="E25" s="10">
        <v>44825</v>
      </c>
      <c r="F25" s="2" t="s">
        <v>69</v>
      </c>
      <c r="G25" s="2" t="s">
        <v>7</v>
      </c>
      <c r="H25" s="2" t="s">
        <v>7</v>
      </c>
      <c r="J25" s="2" t="s">
        <v>4679</v>
      </c>
      <c r="K25" s="2" t="s">
        <v>81</v>
      </c>
      <c r="L25" s="2" t="s">
        <v>4696</v>
      </c>
      <c r="M25" s="3">
        <v>3</v>
      </c>
      <c r="N25" s="3">
        <v>2</v>
      </c>
      <c r="O25" s="2" t="s">
        <v>73</v>
      </c>
      <c r="P25" s="2" t="s">
        <v>82</v>
      </c>
    </row>
    <row r="26" spans="1:16" ht="15.75" customHeight="1">
      <c r="A26" s="2" t="s">
        <v>1</v>
      </c>
      <c r="B26" s="2" t="str">
        <f t="shared" si="0"/>
        <v>22-23 Academic Year</v>
      </c>
      <c r="C26" s="2">
        <v>6</v>
      </c>
      <c r="D26" s="2" t="s">
        <v>83</v>
      </c>
      <c r="E26" s="10">
        <v>44827</v>
      </c>
      <c r="F26" s="2" t="s">
        <v>20</v>
      </c>
      <c r="G26" s="2" t="s">
        <v>21</v>
      </c>
      <c r="H26" s="2" t="s">
        <v>6</v>
      </c>
      <c r="I26" s="2" t="s">
        <v>84</v>
      </c>
      <c r="J26" s="2" t="s">
        <v>4687</v>
      </c>
      <c r="K26" s="2" t="s">
        <v>85</v>
      </c>
      <c r="L26" s="2" t="s">
        <v>1385</v>
      </c>
      <c r="M26" s="3">
        <v>4</v>
      </c>
      <c r="N26" s="3">
        <v>1</v>
      </c>
      <c r="P26" s="2" t="s">
        <v>86</v>
      </c>
    </row>
    <row r="27" spans="1:16" ht="15.75" customHeight="1">
      <c r="A27" s="2" t="s">
        <v>1</v>
      </c>
      <c r="B27" s="2" t="str">
        <f t="shared" si="0"/>
        <v>22-23 Academic Year</v>
      </c>
      <c r="C27" s="2">
        <v>6</v>
      </c>
      <c r="D27" s="2" t="s">
        <v>83</v>
      </c>
      <c r="E27" s="10">
        <v>44827</v>
      </c>
      <c r="F27" s="2" t="s">
        <v>20</v>
      </c>
      <c r="G27" s="2" t="s">
        <v>21</v>
      </c>
      <c r="H27" s="2" t="s">
        <v>6</v>
      </c>
      <c r="I27" s="2" t="s">
        <v>84</v>
      </c>
      <c r="J27" s="2" t="s">
        <v>4688</v>
      </c>
      <c r="K27" s="2" t="s">
        <v>59</v>
      </c>
      <c r="L27" s="2" t="s">
        <v>60</v>
      </c>
      <c r="M27" s="3">
        <v>1</v>
      </c>
      <c r="N27" s="3">
        <v>2</v>
      </c>
      <c r="P27" s="2" t="s">
        <v>87</v>
      </c>
    </row>
    <row r="28" spans="1:16" ht="15.75" customHeight="1">
      <c r="A28" s="2" t="s">
        <v>1</v>
      </c>
      <c r="B28" s="2" t="str">
        <f t="shared" si="0"/>
        <v>22-23 Academic Year</v>
      </c>
      <c r="C28" s="2">
        <v>6</v>
      </c>
      <c r="D28" s="2" t="s">
        <v>83</v>
      </c>
      <c r="E28" s="10">
        <v>44827</v>
      </c>
      <c r="F28" s="2" t="s">
        <v>20</v>
      </c>
      <c r="G28" s="2" t="s">
        <v>21</v>
      </c>
      <c r="H28" s="2" t="s">
        <v>6</v>
      </c>
      <c r="I28" s="2" t="s">
        <v>84</v>
      </c>
      <c r="J28" s="2" t="s">
        <v>4690</v>
      </c>
      <c r="K28" s="2" t="s">
        <v>88</v>
      </c>
      <c r="L28" s="2" t="s">
        <v>4697</v>
      </c>
      <c r="M28" s="3">
        <v>3</v>
      </c>
      <c r="N28" s="3">
        <v>2</v>
      </c>
      <c r="P28" s="2" t="s">
        <v>89</v>
      </c>
    </row>
    <row r="29" spans="1:16" ht="15.75" customHeight="1">
      <c r="A29" s="2" t="s">
        <v>1</v>
      </c>
      <c r="B29" s="2" t="str">
        <f t="shared" si="0"/>
        <v>22-23 Academic Year</v>
      </c>
      <c r="C29" s="2">
        <v>6</v>
      </c>
      <c r="D29" s="2" t="s">
        <v>83</v>
      </c>
      <c r="E29" s="10">
        <v>44827</v>
      </c>
      <c r="F29" s="2" t="s">
        <v>20</v>
      </c>
      <c r="G29" s="2" t="s">
        <v>21</v>
      </c>
      <c r="H29" s="2" t="s">
        <v>6</v>
      </c>
      <c r="I29" s="2" t="s">
        <v>84</v>
      </c>
      <c r="J29" s="2" t="s">
        <v>4692</v>
      </c>
      <c r="K29" s="2" t="s">
        <v>90</v>
      </c>
      <c r="L29" s="2" t="s">
        <v>4698</v>
      </c>
      <c r="M29" s="3">
        <v>1</v>
      </c>
      <c r="N29" s="3">
        <v>1</v>
      </c>
      <c r="P29" s="2" t="s">
        <v>91</v>
      </c>
    </row>
    <row r="30" spans="1:16" ht="15.75" customHeight="1">
      <c r="A30" s="2" t="s">
        <v>1</v>
      </c>
      <c r="B30" s="2" t="str">
        <f t="shared" si="0"/>
        <v>22-23 Academic Year</v>
      </c>
      <c r="C30" s="2">
        <v>7</v>
      </c>
      <c r="D30" s="2" t="s">
        <v>92</v>
      </c>
      <c r="E30" s="10">
        <v>44827</v>
      </c>
      <c r="F30" s="2" t="s">
        <v>69</v>
      </c>
      <c r="G30" s="2" t="s">
        <v>92</v>
      </c>
      <c r="H30" s="2" t="s">
        <v>6</v>
      </c>
      <c r="J30" s="2" t="s">
        <v>4665</v>
      </c>
      <c r="K30" s="2" t="s">
        <v>93</v>
      </c>
      <c r="L30" s="2" t="s">
        <v>3352</v>
      </c>
      <c r="M30" s="3">
        <v>1</v>
      </c>
      <c r="N30" s="3">
        <v>2</v>
      </c>
      <c r="P30" s="2" t="s">
        <v>94</v>
      </c>
    </row>
    <row r="31" spans="1:16" ht="15.75" customHeight="1">
      <c r="A31" s="2" t="s">
        <v>1</v>
      </c>
      <c r="B31" s="2" t="str">
        <f t="shared" si="0"/>
        <v>22-23 Academic Year</v>
      </c>
      <c r="C31" s="2">
        <v>7</v>
      </c>
      <c r="D31" s="2" t="s">
        <v>92</v>
      </c>
      <c r="E31" s="10">
        <v>44827</v>
      </c>
      <c r="F31" s="2" t="s">
        <v>69</v>
      </c>
      <c r="G31" s="2" t="s">
        <v>92</v>
      </c>
      <c r="H31" s="2" t="s">
        <v>6</v>
      </c>
      <c r="J31" s="2" t="s">
        <v>4666</v>
      </c>
      <c r="K31" s="2" t="s">
        <v>95</v>
      </c>
      <c r="L31" s="2" t="s">
        <v>4699</v>
      </c>
      <c r="M31" s="3">
        <v>1</v>
      </c>
      <c r="N31" s="3">
        <v>2</v>
      </c>
      <c r="O31" s="2" t="s">
        <v>96</v>
      </c>
      <c r="P31" s="2" t="s">
        <v>97</v>
      </c>
    </row>
    <row r="32" spans="1:16" ht="15.75" customHeight="1">
      <c r="A32" s="2" t="s">
        <v>1</v>
      </c>
      <c r="B32" s="2" t="str">
        <f t="shared" si="0"/>
        <v>22-23 Academic Year</v>
      </c>
      <c r="C32" s="2">
        <v>7</v>
      </c>
      <c r="D32" s="2" t="s">
        <v>92</v>
      </c>
      <c r="E32" s="10">
        <v>44827</v>
      </c>
      <c r="F32" s="2" t="s">
        <v>69</v>
      </c>
      <c r="G32" s="2" t="s">
        <v>92</v>
      </c>
      <c r="H32" s="2" t="s">
        <v>6</v>
      </c>
      <c r="J32" s="2" t="s">
        <v>4668</v>
      </c>
      <c r="K32" s="2" t="s">
        <v>98</v>
      </c>
      <c r="L32" s="2" t="s">
        <v>3348</v>
      </c>
      <c r="M32" s="3">
        <v>1</v>
      </c>
      <c r="N32" s="3">
        <v>2</v>
      </c>
      <c r="P32" s="2" t="s">
        <v>99</v>
      </c>
    </row>
    <row r="33" spans="1:16" ht="15.75" customHeight="1">
      <c r="A33" s="2" t="s">
        <v>1</v>
      </c>
      <c r="B33" s="2" t="str">
        <f t="shared" si="0"/>
        <v>22-23 Academic Year</v>
      </c>
      <c r="C33" s="2">
        <v>8</v>
      </c>
      <c r="D33" s="2" t="s">
        <v>100</v>
      </c>
      <c r="E33" s="10">
        <v>44828</v>
      </c>
      <c r="F33" s="2" t="s">
        <v>69</v>
      </c>
      <c r="G33" s="2" t="s">
        <v>7</v>
      </c>
      <c r="H33" s="2" t="s">
        <v>7</v>
      </c>
      <c r="J33" s="2" t="s">
        <v>4665</v>
      </c>
      <c r="K33" s="2" t="s">
        <v>101</v>
      </c>
      <c r="L33" s="2" t="s">
        <v>4700</v>
      </c>
      <c r="M33" s="3"/>
      <c r="N33" s="3"/>
      <c r="P33" s="2" t="s">
        <v>102</v>
      </c>
    </row>
    <row r="34" spans="1:16" ht="15.75" customHeight="1">
      <c r="A34" s="2" t="s">
        <v>1</v>
      </c>
      <c r="B34" s="2" t="str">
        <f t="shared" si="0"/>
        <v>22-23 Academic Year</v>
      </c>
      <c r="C34" s="2">
        <v>8</v>
      </c>
      <c r="D34" s="2" t="s">
        <v>100</v>
      </c>
      <c r="E34" s="10">
        <v>44828</v>
      </c>
      <c r="F34" s="2" t="s">
        <v>69</v>
      </c>
      <c r="G34" s="2" t="s">
        <v>7</v>
      </c>
      <c r="H34" s="2" t="s">
        <v>7</v>
      </c>
      <c r="J34" s="2" t="s">
        <v>4666</v>
      </c>
      <c r="K34" s="2" t="s">
        <v>103</v>
      </c>
      <c r="L34" s="2" t="s">
        <v>4701</v>
      </c>
      <c r="M34" s="3">
        <v>2</v>
      </c>
      <c r="N34" s="3">
        <v>1</v>
      </c>
      <c r="P34" s="2" t="s">
        <v>104</v>
      </c>
    </row>
    <row r="35" spans="1:16" ht="15.75" customHeight="1">
      <c r="A35" s="2" t="s">
        <v>1</v>
      </c>
      <c r="B35" s="2" t="str">
        <f t="shared" si="0"/>
        <v>22-23 Academic Year</v>
      </c>
      <c r="C35" s="2">
        <v>8</v>
      </c>
      <c r="D35" s="2" t="s">
        <v>100</v>
      </c>
      <c r="E35" s="10">
        <v>44828</v>
      </c>
      <c r="F35" s="2" t="s">
        <v>69</v>
      </c>
      <c r="G35" s="2" t="s">
        <v>7</v>
      </c>
      <c r="H35" s="2" t="s">
        <v>7</v>
      </c>
      <c r="J35" s="2" t="s">
        <v>4668</v>
      </c>
      <c r="K35" s="2" t="s">
        <v>105</v>
      </c>
      <c r="L35" s="2" t="s">
        <v>1404</v>
      </c>
      <c r="M35" s="3">
        <v>1</v>
      </c>
      <c r="N35" s="3">
        <v>2</v>
      </c>
      <c r="P35" s="2" t="s">
        <v>106</v>
      </c>
    </row>
    <row r="36" spans="1:16" ht="15.75" customHeight="1">
      <c r="A36" s="2" t="s">
        <v>1</v>
      </c>
      <c r="B36" s="2" t="str">
        <f t="shared" si="0"/>
        <v>22-23 Academic Year</v>
      </c>
      <c r="C36" s="2">
        <v>9</v>
      </c>
      <c r="D36" s="2" t="s">
        <v>107</v>
      </c>
      <c r="E36" s="10">
        <v>44836</v>
      </c>
      <c r="F36" s="2" t="s">
        <v>69</v>
      </c>
      <c r="G36" s="2" t="s">
        <v>7</v>
      </c>
      <c r="H36" s="2" t="s">
        <v>7</v>
      </c>
      <c r="J36" s="2" t="s">
        <v>4702</v>
      </c>
      <c r="K36" s="2" t="s">
        <v>108</v>
      </c>
      <c r="L36" s="2" t="s">
        <v>109</v>
      </c>
      <c r="M36" s="3">
        <v>1</v>
      </c>
      <c r="N36" s="3">
        <v>2</v>
      </c>
      <c r="P36" s="2" t="s">
        <v>110</v>
      </c>
    </row>
    <row r="37" spans="1:16" ht="15.75" customHeight="1">
      <c r="A37" s="2" t="s">
        <v>1</v>
      </c>
      <c r="B37" s="2" t="str">
        <f t="shared" si="0"/>
        <v>22-23 Academic Year</v>
      </c>
      <c r="C37" s="2">
        <v>9</v>
      </c>
      <c r="D37" s="2" t="s">
        <v>107</v>
      </c>
      <c r="E37" s="10">
        <v>44836</v>
      </c>
      <c r="F37" s="2" t="s">
        <v>69</v>
      </c>
      <c r="G37" s="2" t="s">
        <v>7</v>
      </c>
      <c r="H37" s="2" t="s">
        <v>7</v>
      </c>
      <c r="J37" s="2" t="s">
        <v>4703</v>
      </c>
      <c r="K37" s="2" t="s">
        <v>111</v>
      </c>
      <c r="L37" s="2" t="s">
        <v>4704</v>
      </c>
      <c r="M37" s="3">
        <v>1</v>
      </c>
      <c r="N37" s="3">
        <v>2</v>
      </c>
      <c r="O37" s="2" t="s">
        <v>112</v>
      </c>
      <c r="P37" s="2" t="s">
        <v>113</v>
      </c>
    </row>
    <row r="38" spans="1:16" ht="15.75" customHeight="1">
      <c r="A38" s="2" t="s">
        <v>1</v>
      </c>
      <c r="B38" s="2" t="str">
        <f t="shared" si="0"/>
        <v>22-23 Academic Year</v>
      </c>
      <c r="C38" s="2">
        <v>9</v>
      </c>
      <c r="D38" s="2" t="s">
        <v>107</v>
      </c>
      <c r="E38" s="10">
        <v>44836</v>
      </c>
      <c r="F38" s="2" t="s">
        <v>69</v>
      </c>
      <c r="G38" s="2" t="s">
        <v>7</v>
      </c>
      <c r="H38" s="2" t="s">
        <v>7</v>
      </c>
      <c r="J38" s="2" t="s">
        <v>4705</v>
      </c>
      <c r="K38" s="2" t="s">
        <v>114</v>
      </c>
      <c r="L38" s="2" t="s">
        <v>114</v>
      </c>
      <c r="M38" s="3">
        <v>999</v>
      </c>
      <c r="N38" s="3">
        <v>999</v>
      </c>
      <c r="O38" s="2" t="s">
        <v>115</v>
      </c>
      <c r="P38" s="2" t="s">
        <v>116</v>
      </c>
    </row>
    <row r="39" spans="1:16" ht="15.75" customHeight="1">
      <c r="A39" s="2" t="s">
        <v>1</v>
      </c>
      <c r="B39" s="2" t="str">
        <f t="shared" si="0"/>
        <v>22-23 Academic Year</v>
      </c>
      <c r="C39" s="2">
        <v>9</v>
      </c>
      <c r="D39" s="2" t="s">
        <v>107</v>
      </c>
      <c r="E39" s="10">
        <v>44836</v>
      </c>
      <c r="F39" s="2" t="s">
        <v>69</v>
      </c>
      <c r="G39" s="2" t="s">
        <v>7</v>
      </c>
      <c r="H39" s="2" t="s">
        <v>7</v>
      </c>
      <c r="J39" s="2" t="s">
        <v>4706</v>
      </c>
      <c r="K39" s="2" t="s">
        <v>117</v>
      </c>
      <c r="L39" s="2" t="s">
        <v>4707</v>
      </c>
      <c r="M39" s="3">
        <v>1</v>
      </c>
      <c r="N39" s="3">
        <v>1</v>
      </c>
      <c r="P39" s="2" t="s">
        <v>118</v>
      </c>
    </row>
    <row r="40" spans="1:16" ht="15.75" customHeight="1">
      <c r="A40" s="2" t="s">
        <v>1</v>
      </c>
      <c r="B40" s="2" t="str">
        <f t="shared" si="0"/>
        <v>22-23 Academic Year</v>
      </c>
      <c r="C40" s="2">
        <v>9</v>
      </c>
      <c r="D40" s="2" t="s">
        <v>107</v>
      </c>
      <c r="E40" s="10">
        <v>44836</v>
      </c>
      <c r="F40" s="2" t="s">
        <v>69</v>
      </c>
      <c r="G40" s="2" t="s">
        <v>7</v>
      </c>
      <c r="H40" s="2" t="s">
        <v>7</v>
      </c>
      <c r="J40" s="2" t="s">
        <v>4708</v>
      </c>
      <c r="K40" s="2" t="s">
        <v>119</v>
      </c>
      <c r="L40" s="2" t="s">
        <v>120</v>
      </c>
      <c r="M40" s="3">
        <v>1</v>
      </c>
      <c r="N40" s="3">
        <v>2</v>
      </c>
      <c r="P40" s="2" t="s">
        <v>121</v>
      </c>
    </row>
    <row r="41" spans="1:16" ht="15.75" customHeight="1">
      <c r="A41" s="2" t="s">
        <v>1</v>
      </c>
      <c r="B41" s="2" t="str">
        <f t="shared" si="0"/>
        <v>22-23 Academic Year</v>
      </c>
      <c r="C41" s="2">
        <v>9</v>
      </c>
      <c r="D41" s="2" t="s">
        <v>107</v>
      </c>
      <c r="E41" s="10">
        <v>44836</v>
      </c>
      <c r="F41" s="2" t="s">
        <v>69</v>
      </c>
      <c r="G41" s="2" t="s">
        <v>7</v>
      </c>
      <c r="H41" s="2" t="s">
        <v>7</v>
      </c>
      <c r="J41" s="2" t="s">
        <v>4709</v>
      </c>
      <c r="K41" s="2" t="s">
        <v>122</v>
      </c>
      <c r="L41" s="2" t="s">
        <v>123</v>
      </c>
      <c r="M41" s="3">
        <v>1</v>
      </c>
      <c r="N41" s="3">
        <v>2</v>
      </c>
      <c r="O41" s="2" t="s">
        <v>124</v>
      </c>
      <c r="P41" s="2" t="s">
        <v>125</v>
      </c>
    </row>
    <row r="42" spans="1:16" ht="15.75" customHeight="1">
      <c r="A42" s="2" t="s">
        <v>1</v>
      </c>
      <c r="B42" s="2" t="str">
        <f t="shared" si="0"/>
        <v>22-23 Academic Year</v>
      </c>
      <c r="C42" s="2">
        <v>9</v>
      </c>
      <c r="D42" s="2" t="s">
        <v>107</v>
      </c>
      <c r="E42" s="10">
        <v>44836</v>
      </c>
      <c r="F42" s="2" t="s">
        <v>69</v>
      </c>
      <c r="G42" s="2" t="s">
        <v>7</v>
      </c>
      <c r="H42" s="2" t="s">
        <v>7</v>
      </c>
      <c r="J42" s="2" t="s">
        <v>4710</v>
      </c>
      <c r="K42" s="2" t="s">
        <v>126</v>
      </c>
      <c r="L42" s="2" t="s">
        <v>127</v>
      </c>
      <c r="M42" s="3"/>
      <c r="N42" s="3"/>
      <c r="O42" s="2" t="s">
        <v>128</v>
      </c>
      <c r="P42" s="2" t="s">
        <v>129</v>
      </c>
    </row>
    <row r="43" spans="1:16" ht="15.75" customHeight="1">
      <c r="A43" s="2" t="s">
        <v>1</v>
      </c>
      <c r="B43" s="2" t="str">
        <f t="shared" si="0"/>
        <v>22-23 Academic Year</v>
      </c>
      <c r="C43" s="2">
        <v>10</v>
      </c>
      <c r="D43" s="2" t="s">
        <v>130</v>
      </c>
      <c r="E43" s="10">
        <v>44837</v>
      </c>
      <c r="F43" s="2" t="s">
        <v>69</v>
      </c>
      <c r="G43" s="2" t="s">
        <v>131</v>
      </c>
      <c r="H43" s="2" t="s">
        <v>6</v>
      </c>
      <c r="I43" s="2" t="s">
        <v>132</v>
      </c>
      <c r="J43" s="2" t="s">
        <v>4711</v>
      </c>
      <c r="K43" s="2" t="s">
        <v>133</v>
      </c>
      <c r="L43" s="2" t="s">
        <v>3357</v>
      </c>
      <c r="M43" s="3">
        <v>1</v>
      </c>
      <c r="N43" s="3">
        <v>2</v>
      </c>
      <c r="O43" s="2" t="s">
        <v>134</v>
      </c>
      <c r="P43" s="2" t="s">
        <v>135</v>
      </c>
    </row>
    <row r="44" spans="1:16" ht="15.75" customHeight="1">
      <c r="A44" s="2" t="s">
        <v>1</v>
      </c>
      <c r="B44" s="2" t="str">
        <f t="shared" si="0"/>
        <v>22-23 Academic Year</v>
      </c>
      <c r="C44" s="2">
        <v>10</v>
      </c>
      <c r="D44" s="2" t="s">
        <v>130</v>
      </c>
      <c r="E44" s="10">
        <v>44837</v>
      </c>
      <c r="F44" s="2" t="s">
        <v>69</v>
      </c>
      <c r="G44" s="2" t="s">
        <v>131</v>
      </c>
      <c r="H44" s="2" t="s">
        <v>6</v>
      </c>
      <c r="I44" s="2" t="s">
        <v>132</v>
      </c>
      <c r="J44" s="2" t="s">
        <v>4712</v>
      </c>
      <c r="K44" s="2" t="s">
        <v>136</v>
      </c>
      <c r="L44" s="2" t="s">
        <v>1508</v>
      </c>
      <c r="M44" s="3">
        <v>1</v>
      </c>
      <c r="N44" s="3">
        <v>2</v>
      </c>
      <c r="P44" s="2" t="s">
        <v>137</v>
      </c>
    </row>
    <row r="45" spans="1:16" ht="15.75" customHeight="1">
      <c r="A45" s="2" t="s">
        <v>1</v>
      </c>
      <c r="B45" s="2" t="str">
        <f t="shared" si="0"/>
        <v>22-23 Academic Year</v>
      </c>
      <c r="C45" s="2">
        <v>11</v>
      </c>
      <c r="E45" s="10">
        <v>44849</v>
      </c>
      <c r="F45" s="2" t="s">
        <v>69</v>
      </c>
      <c r="G45" s="2" t="s">
        <v>153</v>
      </c>
      <c r="H45" s="2" t="s">
        <v>6</v>
      </c>
      <c r="J45" s="2" t="s">
        <v>154</v>
      </c>
      <c r="K45" s="2" t="s">
        <v>155</v>
      </c>
      <c r="L45" s="2" t="s">
        <v>4713</v>
      </c>
      <c r="M45" s="3">
        <v>1</v>
      </c>
      <c r="N45" s="3">
        <v>1</v>
      </c>
      <c r="P45" s="2" t="s">
        <v>156</v>
      </c>
    </row>
    <row r="46" spans="1:16" ht="15.75" customHeight="1">
      <c r="A46" s="2" t="s">
        <v>1</v>
      </c>
      <c r="B46" s="2" t="str">
        <f t="shared" si="0"/>
        <v>22-23 Academic Year</v>
      </c>
      <c r="C46" s="2">
        <v>11</v>
      </c>
      <c r="E46" s="10">
        <v>44849</v>
      </c>
      <c r="F46" s="2" t="s">
        <v>69</v>
      </c>
      <c r="G46" s="2" t="s">
        <v>153</v>
      </c>
      <c r="H46" s="2" t="s">
        <v>6</v>
      </c>
      <c r="J46" s="2" t="s">
        <v>157</v>
      </c>
      <c r="K46" s="2" t="s">
        <v>158</v>
      </c>
      <c r="L46" s="2" t="s">
        <v>4714</v>
      </c>
      <c r="M46" s="3"/>
      <c r="N46" s="3"/>
      <c r="P46" s="2" t="s">
        <v>159</v>
      </c>
    </row>
    <row r="47" spans="1:16" ht="15.75" customHeight="1">
      <c r="A47" s="2" t="s">
        <v>1</v>
      </c>
      <c r="B47" s="2" t="str">
        <f t="shared" si="0"/>
        <v>22-23 Academic Year</v>
      </c>
      <c r="C47" s="2">
        <v>11</v>
      </c>
      <c r="E47" s="10">
        <v>44849</v>
      </c>
      <c r="F47" s="2" t="s">
        <v>69</v>
      </c>
      <c r="G47" s="2" t="s">
        <v>153</v>
      </c>
      <c r="H47" s="2" t="s">
        <v>6</v>
      </c>
      <c r="J47" s="2" t="s">
        <v>160</v>
      </c>
      <c r="K47" s="2" t="s">
        <v>139</v>
      </c>
      <c r="L47" s="2" t="s">
        <v>4715</v>
      </c>
      <c r="M47" s="3">
        <v>2</v>
      </c>
      <c r="N47" s="3">
        <v>1</v>
      </c>
      <c r="P47" s="2" t="s">
        <v>161</v>
      </c>
    </row>
    <row r="48" spans="1:16" ht="15.75" customHeight="1">
      <c r="A48" s="2" t="s">
        <v>1</v>
      </c>
      <c r="B48" s="2" t="str">
        <f t="shared" si="0"/>
        <v>22-23 Academic Year</v>
      </c>
      <c r="C48" s="2">
        <v>11</v>
      </c>
      <c r="E48" s="10">
        <v>44849</v>
      </c>
      <c r="F48" s="2" t="s">
        <v>69</v>
      </c>
      <c r="G48" s="2" t="s">
        <v>153</v>
      </c>
      <c r="H48" s="2" t="s">
        <v>6</v>
      </c>
      <c r="J48" s="2" t="s">
        <v>162</v>
      </c>
      <c r="K48" s="2" t="s">
        <v>85</v>
      </c>
      <c r="L48" s="2" t="s">
        <v>1385</v>
      </c>
      <c r="M48" s="3">
        <v>4</v>
      </c>
      <c r="N48" s="3">
        <v>1</v>
      </c>
      <c r="P48" s="2" t="s">
        <v>163</v>
      </c>
    </row>
    <row r="49" spans="1:16" ht="15.75" customHeight="1">
      <c r="A49" s="2" t="s">
        <v>1</v>
      </c>
      <c r="B49" s="2" t="str">
        <f t="shared" si="0"/>
        <v>22-23 Academic Year</v>
      </c>
      <c r="C49" s="2">
        <v>11</v>
      </c>
      <c r="E49" s="10">
        <v>44849</v>
      </c>
      <c r="F49" s="2" t="s">
        <v>69</v>
      </c>
      <c r="G49" s="2" t="s">
        <v>153</v>
      </c>
      <c r="H49" s="2" t="s">
        <v>6</v>
      </c>
      <c r="J49" s="2" t="s">
        <v>164</v>
      </c>
      <c r="K49" s="2" t="s">
        <v>165</v>
      </c>
      <c r="L49" s="2" t="s">
        <v>166</v>
      </c>
      <c r="M49" s="3"/>
      <c r="N49" s="3"/>
      <c r="P49" s="2" t="s">
        <v>167</v>
      </c>
    </row>
    <row r="50" spans="1:16" ht="15.75" customHeight="1">
      <c r="A50" s="2" t="s">
        <v>1</v>
      </c>
      <c r="B50" s="2" t="str">
        <f t="shared" si="0"/>
        <v>22-23 Academic Year</v>
      </c>
      <c r="C50" s="2">
        <v>11</v>
      </c>
      <c r="E50" s="10">
        <v>44849</v>
      </c>
      <c r="F50" s="2" t="s">
        <v>69</v>
      </c>
      <c r="G50" s="2" t="s">
        <v>153</v>
      </c>
      <c r="H50" s="2" t="s">
        <v>6</v>
      </c>
      <c r="J50" s="2" t="s">
        <v>168</v>
      </c>
      <c r="K50" s="2" t="s">
        <v>169</v>
      </c>
      <c r="L50" s="2" t="s">
        <v>2850</v>
      </c>
      <c r="M50" s="3">
        <v>1</v>
      </c>
      <c r="N50" s="3">
        <v>1</v>
      </c>
      <c r="P50" s="2" t="s">
        <v>170</v>
      </c>
    </row>
    <row r="51" spans="1:16" ht="15.75" customHeight="1">
      <c r="A51" s="2" t="s">
        <v>1</v>
      </c>
      <c r="B51" s="2" t="str">
        <f t="shared" si="0"/>
        <v>22-23 Academic Year</v>
      </c>
      <c r="C51" s="2">
        <v>11</v>
      </c>
      <c r="E51" s="10">
        <v>44849</v>
      </c>
      <c r="F51" s="2" t="s">
        <v>69</v>
      </c>
      <c r="G51" s="2" t="s">
        <v>153</v>
      </c>
      <c r="H51" s="2" t="s">
        <v>6</v>
      </c>
      <c r="J51" s="2" t="s">
        <v>171</v>
      </c>
      <c r="K51" s="2" t="s">
        <v>117</v>
      </c>
      <c r="L51" s="2" t="s">
        <v>4707</v>
      </c>
      <c r="M51" s="3">
        <v>1</v>
      </c>
      <c r="N51" s="3">
        <v>1</v>
      </c>
      <c r="P51" s="2" t="s">
        <v>172</v>
      </c>
    </row>
    <row r="52" spans="1:16" ht="15.75" customHeight="1">
      <c r="A52" s="2" t="s">
        <v>1</v>
      </c>
      <c r="B52" s="2" t="str">
        <f t="shared" si="0"/>
        <v>22-23 Academic Year</v>
      </c>
      <c r="C52" s="2">
        <v>11</v>
      </c>
      <c r="E52" s="10">
        <v>44849</v>
      </c>
      <c r="F52" s="2" t="s">
        <v>69</v>
      </c>
      <c r="G52" s="2" t="s">
        <v>153</v>
      </c>
      <c r="H52" s="2" t="s">
        <v>6</v>
      </c>
      <c r="J52" s="2" t="s">
        <v>173</v>
      </c>
      <c r="K52" s="2" t="s">
        <v>174</v>
      </c>
      <c r="L52" s="2" t="s">
        <v>4716</v>
      </c>
      <c r="M52" s="3">
        <v>3</v>
      </c>
      <c r="N52" s="3">
        <v>2</v>
      </c>
      <c r="P52" s="2" t="s">
        <v>175</v>
      </c>
    </row>
    <row r="53" spans="1:16" ht="15.75" customHeight="1">
      <c r="A53" s="2" t="s">
        <v>1</v>
      </c>
      <c r="B53" s="2" t="str">
        <f t="shared" si="0"/>
        <v>22-23 Academic Year</v>
      </c>
      <c r="C53" s="2">
        <v>11</v>
      </c>
      <c r="E53" s="10">
        <v>44849</v>
      </c>
      <c r="F53" s="2" t="s">
        <v>69</v>
      </c>
      <c r="G53" s="2" t="s">
        <v>153</v>
      </c>
      <c r="H53" s="2" t="s">
        <v>6</v>
      </c>
      <c r="J53" s="2" t="s">
        <v>176</v>
      </c>
      <c r="K53" s="2" t="s">
        <v>177</v>
      </c>
      <c r="L53" s="2" t="s">
        <v>178</v>
      </c>
      <c r="M53" s="3">
        <v>1</v>
      </c>
      <c r="N53" s="3">
        <v>2</v>
      </c>
      <c r="P53" s="2" t="s">
        <v>179</v>
      </c>
    </row>
    <row r="54" spans="1:16" ht="15.75" customHeight="1">
      <c r="A54" s="2" t="s">
        <v>1</v>
      </c>
      <c r="B54" s="2" t="str">
        <f t="shared" si="0"/>
        <v>22-23 Academic Year</v>
      </c>
      <c r="C54" s="2">
        <v>11</v>
      </c>
      <c r="E54" s="10">
        <v>44849</v>
      </c>
      <c r="F54" s="2" t="s">
        <v>69</v>
      </c>
      <c r="G54" s="2" t="s">
        <v>153</v>
      </c>
      <c r="H54" s="2" t="s">
        <v>6</v>
      </c>
      <c r="J54" s="2" t="s">
        <v>180</v>
      </c>
      <c r="K54" s="2" t="s">
        <v>181</v>
      </c>
      <c r="L54" s="2" t="s">
        <v>4717</v>
      </c>
      <c r="M54" s="3">
        <v>3</v>
      </c>
      <c r="N54" s="3">
        <v>1</v>
      </c>
      <c r="P54" s="2" t="s">
        <v>182</v>
      </c>
    </row>
    <row r="55" spans="1:16" ht="15.75" customHeight="1">
      <c r="A55" s="2" t="s">
        <v>1</v>
      </c>
      <c r="B55" s="2" t="str">
        <f t="shared" si="0"/>
        <v>22-23 Academic Year</v>
      </c>
      <c r="C55" s="2">
        <v>11</v>
      </c>
      <c r="E55" s="10">
        <v>44849</v>
      </c>
      <c r="F55" s="2" t="s">
        <v>69</v>
      </c>
      <c r="G55" s="2" t="s">
        <v>153</v>
      </c>
      <c r="H55" s="2" t="s">
        <v>6</v>
      </c>
      <c r="J55" s="2" t="s">
        <v>183</v>
      </c>
      <c r="K55" s="2" t="s">
        <v>52</v>
      </c>
      <c r="L55" s="2" t="s">
        <v>1781</v>
      </c>
      <c r="M55" s="3">
        <v>3</v>
      </c>
      <c r="N55" s="3">
        <v>1</v>
      </c>
      <c r="P55" s="2" t="s">
        <v>184</v>
      </c>
    </row>
    <row r="56" spans="1:16" ht="15.75" customHeight="1">
      <c r="A56" s="2" t="s">
        <v>1</v>
      </c>
      <c r="B56" s="2" t="str">
        <f t="shared" si="0"/>
        <v>22-23 Academic Year</v>
      </c>
      <c r="C56" s="2">
        <v>11</v>
      </c>
      <c r="E56" s="10">
        <v>44849</v>
      </c>
      <c r="F56" s="2" t="s">
        <v>69</v>
      </c>
      <c r="G56" s="2" t="s">
        <v>153</v>
      </c>
      <c r="H56" s="2" t="s">
        <v>6</v>
      </c>
      <c r="J56" s="2" t="s">
        <v>185</v>
      </c>
      <c r="K56" s="2" t="s">
        <v>186</v>
      </c>
      <c r="L56" s="2" t="s">
        <v>4718</v>
      </c>
      <c r="M56" s="3">
        <v>3</v>
      </c>
      <c r="N56" s="3">
        <v>1</v>
      </c>
      <c r="P56" s="2" t="s">
        <v>187</v>
      </c>
    </row>
    <row r="57" spans="1:16" ht="15.75" customHeight="1">
      <c r="A57" s="2" t="s">
        <v>1</v>
      </c>
      <c r="B57" s="2" t="str">
        <f t="shared" si="0"/>
        <v>22-23 Academic Year</v>
      </c>
      <c r="C57" s="2">
        <v>11</v>
      </c>
      <c r="E57" s="10">
        <v>44849</v>
      </c>
      <c r="F57" s="2" t="s">
        <v>69</v>
      </c>
      <c r="G57" s="2" t="s">
        <v>153</v>
      </c>
      <c r="H57" s="2" t="s">
        <v>6</v>
      </c>
      <c r="J57" s="2" t="s">
        <v>188</v>
      </c>
      <c r="K57" s="2" t="s">
        <v>189</v>
      </c>
      <c r="L57" s="2" t="s">
        <v>4719</v>
      </c>
      <c r="M57" s="3">
        <v>3</v>
      </c>
      <c r="N57" s="3">
        <v>1</v>
      </c>
      <c r="P57" s="2" t="s">
        <v>190</v>
      </c>
    </row>
    <row r="58" spans="1:16" ht="15.75" customHeight="1">
      <c r="A58" s="2" t="s">
        <v>1</v>
      </c>
      <c r="B58" s="2" t="str">
        <f t="shared" si="0"/>
        <v>22-23 Academic Year</v>
      </c>
      <c r="C58" s="2">
        <v>11</v>
      </c>
      <c r="D58" s="2" t="s">
        <v>138</v>
      </c>
      <c r="E58" s="10">
        <v>44839</v>
      </c>
      <c r="F58" s="2" t="s">
        <v>69</v>
      </c>
      <c r="G58" s="2" t="s">
        <v>7</v>
      </c>
      <c r="H58" s="2" t="s">
        <v>7</v>
      </c>
      <c r="J58" s="2" t="s">
        <v>4702</v>
      </c>
      <c r="K58" s="2" t="s">
        <v>139</v>
      </c>
      <c r="L58" s="2" t="s">
        <v>4715</v>
      </c>
      <c r="M58" s="3">
        <v>2</v>
      </c>
      <c r="N58" s="3">
        <v>1</v>
      </c>
      <c r="P58" s="2" t="s">
        <v>140</v>
      </c>
    </row>
    <row r="59" spans="1:16" ht="15.75" customHeight="1">
      <c r="A59" s="2" t="s">
        <v>1</v>
      </c>
      <c r="B59" s="2" t="str">
        <f t="shared" si="0"/>
        <v>22-23 Academic Year</v>
      </c>
      <c r="C59" s="2">
        <v>11</v>
      </c>
      <c r="D59" s="2" t="s">
        <v>138</v>
      </c>
      <c r="E59" s="10">
        <v>44839</v>
      </c>
      <c r="F59" s="2" t="s">
        <v>69</v>
      </c>
      <c r="G59" s="2" t="s">
        <v>7</v>
      </c>
      <c r="H59" s="2" t="s">
        <v>7</v>
      </c>
      <c r="J59" s="2" t="s">
        <v>4703</v>
      </c>
      <c r="K59" s="2" t="s">
        <v>141</v>
      </c>
      <c r="L59" s="2" t="s">
        <v>142</v>
      </c>
      <c r="M59" s="3">
        <v>1</v>
      </c>
      <c r="N59" s="3">
        <v>1</v>
      </c>
      <c r="P59" s="2" t="s">
        <v>143</v>
      </c>
    </row>
    <row r="60" spans="1:16" ht="15.75" customHeight="1">
      <c r="A60" s="2" t="s">
        <v>1</v>
      </c>
      <c r="B60" s="2" t="str">
        <f t="shared" si="0"/>
        <v>22-23 Academic Year</v>
      </c>
      <c r="C60" s="2">
        <v>11</v>
      </c>
      <c r="D60" s="2" t="s">
        <v>138</v>
      </c>
      <c r="E60" s="10">
        <v>44839</v>
      </c>
      <c r="F60" s="2" t="s">
        <v>69</v>
      </c>
      <c r="G60" s="2" t="s">
        <v>7</v>
      </c>
      <c r="H60" s="2" t="s">
        <v>7</v>
      </c>
      <c r="J60" s="2" t="s">
        <v>4705</v>
      </c>
      <c r="K60" s="2" t="s">
        <v>144</v>
      </c>
      <c r="L60" s="2" t="s">
        <v>4475</v>
      </c>
      <c r="M60" s="3">
        <v>3</v>
      </c>
      <c r="N60" s="3">
        <v>1</v>
      </c>
      <c r="P60" s="2" t="s">
        <v>145</v>
      </c>
    </row>
    <row r="61" spans="1:16" ht="15.75" customHeight="1">
      <c r="A61" s="2" t="s">
        <v>1</v>
      </c>
      <c r="B61" s="2" t="str">
        <f t="shared" si="0"/>
        <v>22-23 Academic Year</v>
      </c>
      <c r="C61" s="2">
        <v>11</v>
      </c>
      <c r="D61" s="2" t="s">
        <v>138</v>
      </c>
      <c r="E61" s="10">
        <v>44839</v>
      </c>
      <c r="F61" s="2" t="s">
        <v>69</v>
      </c>
      <c r="G61" s="2" t="s">
        <v>7</v>
      </c>
      <c r="H61" s="2" t="s">
        <v>7</v>
      </c>
      <c r="J61" s="2" t="s">
        <v>4706</v>
      </c>
      <c r="K61" s="2" t="s">
        <v>146</v>
      </c>
      <c r="L61" s="2" t="s">
        <v>4720</v>
      </c>
      <c r="M61" s="3">
        <v>1</v>
      </c>
      <c r="N61" s="3">
        <v>2</v>
      </c>
      <c r="P61" s="2" t="s">
        <v>147</v>
      </c>
    </row>
    <row r="62" spans="1:16" ht="15.75" customHeight="1">
      <c r="A62" s="2" t="s">
        <v>1</v>
      </c>
      <c r="B62" s="2" t="str">
        <f t="shared" si="0"/>
        <v>22-23 Academic Year</v>
      </c>
      <c r="C62" s="2">
        <v>11</v>
      </c>
      <c r="D62" s="2" t="s">
        <v>138</v>
      </c>
      <c r="E62" s="10">
        <v>44839</v>
      </c>
      <c r="F62" s="2" t="s">
        <v>69</v>
      </c>
      <c r="G62" s="2" t="s">
        <v>7</v>
      </c>
      <c r="H62" s="2" t="s">
        <v>7</v>
      </c>
      <c r="J62" s="2" t="s">
        <v>4708</v>
      </c>
      <c r="K62" s="2" t="s">
        <v>148</v>
      </c>
      <c r="L62" s="2" t="s">
        <v>4721</v>
      </c>
      <c r="M62" s="3">
        <v>1</v>
      </c>
      <c r="N62" s="3">
        <v>1</v>
      </c>
      <c r="P62" s="2" t="s">
        <v>149</v>
      </c>
    </row>
    <row r="63" spans="1:16" ht="15.75" customHeight="1">
      <c r="A63" s="2" t="s">
        <v>1</v>
      </c>
      <c r="B63" s="2" t="str">
        <f t="shared" si="0"/>
        <v>22-23 Academic Year</v>
      </c>
      <c r="C63" s="2">
        <v>11</v>
      </c>
      <c r="D63" s="2" t="s">
        <v>138</v>
      </c>
      <c r="E63" s="10">
        <v>44839</v>
      </c>
      <c r="F63" s="2" t="s">
        <v>69</v>
      </c>
      <c r="G63" s="2" t="s">
        <v>7</v>
      </c>
      <c r="H63" s="2" t="s">
        <v>7</v>
      </c>
      <c r="J63" s="2" t="s">
        <v>4709</v>
      </c>
      <c r="K63" s="2" t="s">
        <v>150</v>
      </c>
      <c r="L63" s="2" t="s">
        <v>4722</v>
      </c>
      <c r="M63" s="3"/>
      <c r="N63" s="3"/>
      <c r="P63" s="2" t="s">
        <v>151</v>
      </c>
    </row>
    <row r="64" spans="1:16" ht="13">
      <c r="A64" s="2" t="s">
        <v>1</v>
      </c>
      <c r="B64" s="2" t="str">
        <f t="shared" si="0"/>
        <v>22-23 Academic Year</v>
      </c>
      <c r="C64" s="2">
        <v>11</v>
      </c>
      <c r="D64" s="2" t="s">
        <v>138</v>
      </c>
      <c r="E64" s="10">
        <v>44839</v>
      </c>
      <c r="F64" s="2" t="s">
        <v>69</v>
      </c>
      <c r="G64" s="2" t="s">
        <v>7</v>
      </c>
      <c r="H64" s="2" t="s">
        <v>7</v>
      </c>
      <c r="J64" s="2" t="s">
        <v>4710</v>
      </c>
      <c r="K64" s="2" t="s">
        <v>144</v>
      </c>
      <c r="L64" s="2" t="s">
        <v>4475</v>
      </c>
      <c r="M64" s="3">
        <v>3</v>
      </c>
      <c r="N64" s="3">
        <v>1</v>
      </c>
      <c r="P64" s="2" t="s">
        <v>152</v>
      </c>
    </row>
    <row r="65" spans="1:16" ht="13">
      <c r="A65" s="2" t="s">
        <v>1</v>
      </c>
      <c r="B65" s="2" t="str">
        <f t="shared" si="0"/>
        <v>22-23 Academic Year</v>
      </c>
      <c r="C65" s="2">
        <v>12</v>
      </c>
      <c r="D65" s="2" t="s">
        <v>191</v>
      </c>
      <c r="E65" s="10">
        <v>44853</v>
      </c>
      <c r="F65" s="2" t="s">
        <v>20</v>
      </c>
      <c r="G65" s="2" t="s">
        <v>21</v>
      </c>
      <c r="H65" s="2" t="s">
        <v>6</v>
      </c>
      <c r="I65" s="2" t="s">
        <v>192</v>
      </c>
      <c r="J65" s="2" t="s">
        <v>4702</v>
      </c>
      <c r="K65" s="2" t="s">
        <v>193</v>
      </c>
      <c r="L65" s="2" t="s">
        <v>4479</v>
      </c>
      <c r="M65" s="3">
        <v>3</v>
      </c>
      <c r="N65" s="3">
        <v>1</v>
      </c>
      <c r="P65" s="2" t="s">
        <v>194</v>
      </c>
    </row>
    <row r="66" spans="1:16" ht="13">
      <c r="A66" s="2" t="s">
        <v>1</v>
      </c>
      <c r="B66" s="2" t="str">
        <f t="shared" si="0"/>
        <v>22-23 Academic Year</v>
      </c>
      <c r="C66" s="2">
        <v>12</v>
      </c>
      <c r="D66" s="2" t="s">
        <v>191</v>
      </c>
      <c r="E66" s="10">
        <v>44853</v>
      </c>
      <c r="F66" s="2" t="s">
        <v>20</v>
      </c>
      <c r="G66" s="2" t="s">
        <v>21</v>
      </c>
      <c r="H66" s="2" t="s">
        <v>6</v>
      </c>
      <c r="I66" s="2" t="s">
        <v>192</v>
      </c>
      <c r="J66" s="2" t="s">
        <v>4703</v>
      </c>
      <c r="K66" s="2" t="s">
        <v>195</v>
      </c>
      <c r="L66" s="2" t="s">
        <v>1752</v>
      </c>
      <c r="M66" s="3">
        <v>2</v>
      </c>
      <c r="N66" s="3">
        <v>2</v>
      </c>
      <c r="P66" s="2" t="s">
        <v>196</v>
      </c>
    </row>
    <row r="67" spans="1:16" ht="13">
      <c r="A67" s="2" t="s">
        <v>1</v>
      </c>
      <c r="B67" s="2" t="str">
        <f t="shared" ref="B67:B130" si="1">RIGHT(TEXT(IF(LEFT(A67,4)="Fall",VALUE(RIGHT(A67,4)),VALUE(RIGHT(A67,4))-1),"00"),2)
 &amp; "-" &amp;
 RIGHT(TEXT(IF(LEFT(A67,4)="Fall",VALUE(RIGHT(A67,4))+1,VALUE(RIGHT(A67,4))),"00"),2)
 &amp; " Academic Year"</f>
        <v>22-23 Academic Year</v>
      </c>
      <c r="C67" s="2">
        <v>12</v>
      </c>
      <c r="D67" s="2" t="s">
        <v>191</v>
      </c>
      <c r="E67" s="10">
        <v>44853</v>
      </c>
      <c r="F67" s="2" t="s">
        <v>20</v>
      </c>
      <c r="G67" s="2" t="s">
        <v>21</v>
      </c>
      <c r="H67" s="2" t="s">
        <v>6</v>
      </c>
      <c r="I67" s="2" t="s">
        <v>192</v>
      </c>
      <c r="J67" s="2" t="s">
        <v>4705</v>
      </c>
      <c r="K67" s="2" t="s">
        <v>197</v>
      </c>
      <c r="L67" s="2" t="s">
        <v>4723</v>
      </c>
      <c r="M67" s="3">
        <v>3</v>
      </c>
      <c r="N67" s="3">
        <v>2</v>
      </c>
      <c r="P67" s="2" t="s">
        <v>198</v>
      </c>
    </row>
    <row r="68" spans="1:16" ht="13">
      <c r="A68" s="2" t="s">
        <v>1</v>
      </c>
      <c r="B68" s="2" t="str">
        <f t="shared" si="1"/>
        <v>22-23 Academic Year</v>
      </c>
      <c r="C68" s="2">
        <v>12</v>
      </c>
      <c r="D68" s="2" t="s">
        <v>191</v>
      </c>
      <c r="E68" s="10">
        <v>44853</v>
      </c>
      <c r="F68" s="2" t="s">
        <v>20</v>
      </c>
      <c r="G68" s="2" t="s">
        <v>21</v>
      </c>
      <c r="H68" s="2" t="s">
        <v>6</v>
      </c>
      <c r="I68" s="2" t="s">
        <v>192</v>
      </c>
      <c r="J68" s="2" t="s">
        <v>4706</v>
      </c>
      <c r="K68" s="2" t="s">
        <v>199</v>
      </c>
      <c r="L68" s="2" t="s">
        <v>4724</v>
      </c>
      <c r="M68" s="3"/>
      <c r="N68" s="3"/>
      <c r="P68" s="2" t="s">
        <v>200</v>
      </c>
    </row>
    <row r="69" spans="1:16" ht="13">
      <c r="A69" s="2" t="s">
        <v>1</v>
      </c>
      <c r="B69" s="2" t="str">
        <f t="shared" si="1"/>
        <v>22-23 Academic Year</v>
      </c>
      <c r="C69" s="2">
        <v>12</v>
      </c>
      <c r="D69" s="2" t="s">
        <v>191</v>
      </c>
      <c r="E69" s="10">
        <v>44853</v>
      </c>
      <c r="F69" s="2" t="s">
        <v>20</v>
      </c>
      <c r="G69" s="2" t="s">
        <v>21</v>
      </c>
      <c r="H69" s="2" t="s">
        <v>6</v>
      </c>
      <c r="I69" s="2" t="s">
        <v>192</v>
      </c>
      <c r="J69" s="2" t="s">
        <v>4708</v>
      </c>
      <c r="K69" s="2" t="s">
        <v>201</v>
      </c>
      <c r="L69" s="2" t="s">
        <v>4725</v>
      </c>
      <c r="M69" s="3">
        <v>3</v>
      </c>
      <c r="N69" s="3">
        <v>1</v>
      </c>
      <c r="P69" s="2" t="s">
        <v>202</v>
      </c>
    </row>
    <row r="70" spans="1:16" ht="13">
      <c r="A70" s="2" t="s">
        <v>1</v>
      </c>
      <c r="B70" s="2" t="str">
        <f t="shared" si="1"/>
        <v>22-23 Academic Year</v>
      </c>
      <c r="C70" s="2">
        <v>12</v>
      </c>
      <c r="D70" s="2" t="s">
        <v>191</v>
      </c>
      <c r="E70" s="10">
        <v>44853</v>
      </c>
      <c r="F70" s="2" t="s">
        <v>20</v>
      </c>
      <c r="G70" s="2" t="s">
        <v>21</v>
      </c>
      <c r="H70" s="2" t="s">
        <v>6</v>
      </c>
      <c r="I70" s="2" t="s">
        <v>192</v>
      </c>
      <c r="J70" s="2" t="s">
        <v>4709</v>
      </c>
      <c r="K70" s="2" t="s">
        <v>203</v>
      </c>
      <c r="L70" s="2" t="s">
        <v>4726</v>
      </c>
      <c r="M70" s="3">
        <v>2</v>
      </c>
      <c r="N70" s="3">
        <v>1</v>
      </c>
      <c r="P70" s="2" t="s">
        <v>204</v>
      </c>
    </row>
    <row r="71" spans="1:16" ht="13">
      <c r="A71" s="2" t="s">
        <v>1</v>
      </c>
      <c r="B71" s="2" t="str">
        <f t="shared" si="1"/>
        <v>22-23 Academic Year</v>
      </c>
      <c r="C71" s="2">
        <v>12</v>
      </c>
      <c r="D71" s="2" t="s">
        <v>191</v>
      </c>
      <c r="E71" s="10">
        <v>44853</v>
      </c>
      <c r="F71" s="2" t="s">
        <v>20</v>
      </c>
      <c r="G71" s="2" t="s">
        <v>21</v>
      </c>
      <c r="H71" s="2" t="s">
        <v>6</v>
      </c>
      <c r="I71" s="2" t="s">
        <v>192</v>
      </c>
      <c r="J71" s="2" t="s">
        <v>4710</v>
      </c>
      <c r="K71" s="2" t="s">
        <v>193</v>
      </c>
      <c r="L71" s="2" t="s">
        <v>4479</v>
      </c>
      <c r="M71" s="3">
        <v>3</v>
      </c>
      <c r="N71" s="3">
        <v>1</v>
      </c>
      <c r="P71" s="2" t="s">
        <v>205</v>
      </c>
    </row>
    <row r="72" spans="1:16" ht="13">
      <c r="A72" s="2" t="s">
        <v>1</v>
      </c>
      <c r="B72" s="2" t="str">
        <f t="shared" si="1"/>
        <v>22-23 Academic Year</v>
      </c>
      <c r="C72" s="2">
        <v>13</v>
      </c>
      <c r="D72" s="2" t="s">
        <v>92</v>
      </c>
      <c r="E72" s="10">
        <v>44855</v>
      </c>
      <c r="F72" s="2" t="s">
        <v>69</v>
      </c>
      <c r="G72" s="2" t="s">
        <v>92</v>
      </c>
      <c r="H72" s="2" t="s">
        <v>6</v>
      </c>
      <c r="J72" s="2" t="s">
        <v>4711</v>
      </c>
      <c r="K72" s="2" t="s">
        <v>206</v>
      </c>
      <c r="L72" s="2" t="s">
        <v>207</v>
      </c>
      <c r="M72" s="3">
        <v>1</v>
      </c>
      <c r="N72" s="3">
        <v>2</v>
      </c>
      <c r="P72" s="2" t="s">
        <v>208</v>
      </c>
    </row>
    <row r="73" spans="1:16" ht="13">
      <c r="A73" s="2" t="s">
        <v>1</v>
      </c>
      <c r="B73" s="2" t="str">
        <f t="shared" si="1"/>
        <v>22-23 Academic Year</v>
      </c>
      <c r="C73" s="2">
        <v>13</v>
      </c>
      <c r="D73" s="2" t="s">
        <v>92</v>
      </c>
      <c r="E73" s="10">
        <v>44855</v>
      </c>
      <c r="F73" s="2" t="s">
        <v>69</v>
      </c>
      <c r="G73" s="2" t="s">
        <v>92</v>
      </c>
      <c r="H73" s="2" t="s">
        <v>6</v>
      </c>
      <c r="J73" s="2" t="s">
        <v>4712</v>
      </c>
      <c r="K73" s="2" t="s">
        <v>209</v>
      </c>
      <c r="L73" s="2" t="s">
        <v>1634</v>
      </c>
      <c r="M73" s="3">
        <v>1</v>
      </c>
      <c r="N73" s="3">
        <v>2</v>
      </c>
      <c r="P73" s="2" t="s">
        <v>210</v>
      </c>
    </row>
    <row r="74" spans="1:16" ht="13">
      <c r="A74" s="2" t="s">
        <v>1</v>
      </c>
      <c r="B74" s="2" t="str">
        <f t="shared" si="1"/>
        <v>22-23 Academic Year</v>
      </c>
      <c r="C74" s="2">
        <v>14</v>
      </c>
      <c r="D74" s="2" t="s">
        <v>225</v>
      </c>
      <c r="E74" s="10">
        <v>44862</v>
      </c>
      <c r="F74" s="2" t="s">
        <v>69</v>
      </c>
      <c r="G74" s="2" t="s">
        <v>7</v>
      </c>
      <c r="H74" s="2" t="s">
        <v>7</v>
      </c>
      <c r="J74" s="2" t="s">
        <v>226</v>
      </c>
      <c r="K74" s="2" t="s">
        <v>227</v>
      </c>
      <c r="L74" s="2" t="s">
        <v>4727</v>
      </c>
      <c r="M74" s="3">
        <v>1</v>
      </c>
      <c r="N74" s="3">
        <v>2</v>
      </c>
      <c r="P74" s="2" t="s">
        <v>228</v>
      </c>
    </row>
    <row r="75" spans="1:16" ht="13">
      <c r="A75" s="2" t="s">
        <v>1</v>
      </c>
      <c r="B75" s="2" t="str">
        <f t="shared" si="1"/>
        <v>22-23 Academic Year</v>
      </c>
      <c r="C75" s="2">
        <v>14</v>
      </c>
      <c r="D75" s="2" t="s">
        <v>225</v>
      </c>
      <c r="E75" s="10">
        <v>44862</v>
      </c>
      <c r="F75" s="2" t="s">
        <v>69</v>
      </c>
      <c r="G75" s="2" t="s">
        <v>7</v>
      </c>
      <c r="H75" s="2" t="s">
        <v>7</v>
      </c>
      <c r="J75" s="2" t="s">
        <v>229</v>
      </c>
      <c r="K75" s="2" t="s">
        <v>230</v>
      </c>
      <c r="L75" s="2" t="s">
        <v>1427</v>
      </c>
      <c r="M75" s="3">
        <v>1</v>
      </c>
      <c r="N75" s="3">
        <v>2</v>
      </c>
      <c r="P75" s="2" t="s">
        <v>231</v>
      </c>
    </row>
    <row r="76" spans="1:16" ht="13">
      <c r="A76" s="2" t="s">
        <v>1</v>
      </c>
      <c r="B76" s="2" t="str">
        <f t="shared" si="1"/>
        <v>22-23 Academic Year</v>
      </c>
      <c r="C76" s="2">
        <v>14</v>
      </c>
      <c r="D76" s="2" t="s">
        <v>225</v>
      </c>
      <c r="E76" s="10">
        <v>44862</v>
      </c>
      <c r="F76" s="2" t="s">
        <v>69</v>
      </c>
      <c r="G76" s="2" t="s">
        <v>7</v>
      </c>
      <c r="H76" s="2" t="s">
        <v>7</v>
      </c>
      <c r="J76" s="2" t="s">
        <v>232</v>
      </c>
      <c r="K76" s="2" t="s">
        <v>233</v>
      </c>
      <c r="L76" s="2" t="s">
        <v>234</v>
      </c>
      <c r="M76" s="3">
        <v>999</v>
      </c>
      <c r="N76" s="3">
        <v>999</v>
      </c>
      <c r="P76" s="2" t="s">
        <v>235</v>
      </c>
    </row>
    <row r="77" spans="1:16" ht="13">
      <c r="A77" s="2" t="s">
        <v>1</v>
      </c>
      <c r="B77" s="2" t="str">
        <f t="shared" si="1"/>
        <v>22-23 Academic Year</v>
      </c>
      <c r="C77" s="2">
        <v>14</v>
      </c>
      <c r="D77" s="2" t="s">
        <v>225</v>
      </c>
      <c r="E77" s="10">
        <v>44862</v>
      </c>
      <c r="F77" s="2" t="s">
        <v>69</v>
      </c>
      <c r="G77" s="2" t="s">
        <v>7</v>
      </c>
      <c r="H77" s="2" t="s">
        <v>7</v>
      </c>
      <c r="J77" s="2" t="s">
        <v>236</v>
      </c>
      <c r="K77" s="2" t="s">
        <v>237</v>
      </c>
      <c r="L77" s="2" t="s">
        <v>1421</v>
      </c>
      <c r="M77" s="3">
        <v>1</v>
      </c>
      <c r="N77" s="3">
        <v>1</v>
      </c>
      <c r="P77" s="2" t="s">
        <v>238</v>
      </c>
    </row>
    <row r="78" spans="1:16" ht="13">
      <c r="A78" s="2" t="s">
        <v>1</v>
      </c>
      <c r="B78" s="2" t="str">
        <f t="shared" si="1"/>
        <v>22-23 Academic Year</v>
      </c>
      <c r="C78" s="2">
        <v>14</v>
      </c>
      <c r="D78" s="2" t="s">
        <v>225</v>
      </c>
      <c r="E78" s="10">
        <v>44862</v>
      </c>
      <c r="F78" s="2" t="s">
        <v>69</v>
      </c>
      <c r="G78" s="2" t="s">
        <v>7</v>
      </c>
      <c r="H78" s="2" t="s">
        <v>7</v>
      </c>
      <c r="J78" s="2" t="s">
        <v>239</v>
      </c>
      <c r="K78" s="2" t="s">
        <v>237</v>
      </c>
      <c r="L78" s="2" t="s">
        <v>1421</v>
      </c>
      <c r="M78" s="3">
        <v>1</v>
      </c>
      <c r="N78" s="3">
        <v>1</v>
      </c>
      <c r="P78" s="2" t="s">
        <v>240</v>
      </c>
    </row>
    <row r="79" spans="1:16" ht="13">
      <c r="A79" s="2" t="s">
        <v>1</v>
      </c>
      <c r="B79" s="2" t="str">
        <f t="shared" si="1"/>
        <v>22-23 Academic Year</v>
      </c>
      <c r="C79" s="2">
        <v>14</v>
      </c>
      <c r="D79" s="2" t="s">
        <v>225</v>
      </c>
      <c r="E79" s="10">
        <v>44862</v>
      </c>
      <c r="F79" s="2" t="s">
        <v>69</v>
      </c>
      <c r="G79" s="2" t="s">
        <v>7</v>
      </c>
      <c r="H79" s="2" t="s">
        <v>7</v>
      </c>
      <c r="J79" s="2" t="s">
        <v>241</v>
      </c>
      <c r="K79" s="2" t="s">
        <v>242</v>
      </c>
      <c r="L79" s="2" t="s">
        <v>3360</v>
      </c>
      <c r="M79" s="3">
        <v>1</v>
      </c>
      <c r="N79" s="3">
        <v>2</v>
      </c>
      <c r="P79" s="2" t="s">
        <v>243</v>
      </c>
    </row>
    <row r="80" spans="1:16" ht="13">
      <c r="A80" s="2" t="s">
        <v>1</v>
      </c>
      <c r="B80" s="2" t="str">
        <f t="shared" si="1"/>
        <v>22-23 Academic Year</v>
      </c>
      <c r="C80" s="2">
        <v>14</v>
      </c>
      <c r="D80" s="2" t="s">
        <v>225</v>
      </c>
      <c r="E80" s="10">
        <v>44862</v>
      </c>
      <c r="F80" s="2" t="s">
        <v>69</v>
      </c>
      <c r="G80" s="2" t="s">
        <v>7</v>
      </c>
      <c r="H80" s="2" t="s">
        <v>7</v>
      </c>
      <c r="J80" s="2" t="s">
        <v>244</v>
      </c>
      <c r="K80" s="2" t="s">
        <v>245</v>
      </c>
      <c r="L80" s="2" t="s">
        <v>4060</v>
      </c>
      <c r="M80" s="3">
        <v>1</v>
      </c>
      <c r="N80" s="3">
        <v>2</v>
      </c>
      <c r="P80" s="2" t="s">
        <v>246</v>
      </c>
    </row>
    <row r="81" spans="1:16" ht="13">
      <c r="A81" s="2" t="s">
        <v>1</v>
      </c>
      <c r="B81" s="2" t="str">
        <f t="shared" si="1"/>
        <v>22-23 Academic Year</v>
      </c>
      <c r="C81" s="2">
        <v>14</v>
      </c>
      <c r="D81" s="2" t="s">
        <v>225</v>
      </c>
      <c r="E81" s="10">
        <v>44862</v>
      </c>
      <c r="F81" s="2" t="s">
        <v>69</v>
      </c>
      <c r="G81" s="2" t="s">
        <v>7</v>
      </c>
      <c r="H81" s="2" t="s">
        <v>7</v>
      </c>
      <c r="J81" s="2" t="s">
        <v>247</v>
      </c>
      <c r="K81" s="2" t="s">
        <v>248</v>
      </c>
      <c r="L81" s="2" t="s">
        <v>1425</v>
      </c>
      <c r="M81" s="3">
        <v>1</v>
      </c>
      <c r="N81" s="3">
        <v>2</v>
      </c>
      <c r="P81" s="2" t="s">
        <v>249</v>
      </c>
    </row>
    <row r="82" spans="1:16" ht="13">
      <c r="A82" s="2" t="s">
        <v>1</v>
      </c>
      <c r="B82" s="2" t="str">
        <f t="shared" si="1"/>
        <v>22-23 Academic Year</v>
      </c>
      <c r="C82" s="2">
        <v>14</v>
      </c>
      <c r="D82" s="2" t="s">
        <v>225</v>
      </c>
      <c r="E82" s="10">
        <v>44862</v>
      </c>
      <c r="F82" s="2" t="s">
        <v>69</v>
      </c>
      <c r="G82" s="2" t="s">
        <v>7</v>
      </c>
      <c r="H82" s="2" t="s">
        <v>7</v>
      </c>
      <c r="J82" s="2" t="s">
        <v>250</v>
      </c>
      <c r="K82" s="2" t="s">
        <v>251</v>
      </c>
      <c r="L82" s="2" t="s">
        <v>252</v>
      </c>
      <c r="M82" s="3">
        <v>1</v>
      </c>
      <c r="N82" s="3">
        <v>2</v>
      </c>
      <c r="P82" s="2" t="s">
        <v>253</v>
      </c>
    </row>
    <row r="83" spans="1:16" ht="13">
      <c r="A83" s="2" t="s">
        <v>1</v>
      </c>
      <c r="B83" s="2" t="str">
        <f t="shared" si="1"/>
        <v>22-23 Academic Year</v>
      </c>
      <c r="C83" s="2">
        <v>14</v>
      </c>
      <c r="D83" s="2" t="s">
        <v>225</v>
      </c>
      <c r="E83" s="10">
        <v>44862</v>
      </c>
      <c r="F83" s="2" t="s">
        <v>69</v>
      </c>
      <c r="G83" s="2" t="s">
        <v>7</v>
      </c>
      <c r="H83" s="2" t="s">
        <v>7</v>
      </c>
      <c r="J83" s="2" t="s">
        <v>254</v>
      </c>
      <c r="K83" s="2" t="s">
        <v>255</v>
      </c>
      <c r="L83" s="2" t="s">
        <v>1968</v>
      </c>
      <c r="M83" s="3">
        <v>1</v>
      </c>
      <c r="N83" s="3">
        <v>1</v>
      </c>
      <c r="P83" s="2" t="s">
        <v>256</v>
      </c>
    </row>
    <row r="84" spans="1:16" ht="13">
      <c r="A84" s="2" t="s">
        <v>1</v>
      </c>
      <c r="B84" s="2" t="str">
        <f t="shared" si="1"/>
        <v>22-23 Academic Year</v>
      </c>
      <c r="C84" s="2">
        <v>14</v>
      </c>
      <c r="D84" s="2" t="s">
        <v>225</v>
      </c>
      <c r="E84" s="10">
        <v>44862</v>
      </c>
      <c r="F84" s="2" t="s">
        <v>69</v>
      </c>
      <c r="G84" s="2" t="s">
        <v>7</v>
      </c>
      <c r="H84" s="2" t="s">
        <v>7</v>
      </c>
      <c r="J84" s="2" t="s">
        <v>257</v>
      </c>
      <c r="K84" s="2" t="s">
        <v>230</v>
      </c>
      <c r="L84" s="2" t="s">
        <v>1427</v>
      </c>
      <c r="M84" s="3">
        <v>1</v>
      </c>
      <c r="N84" s="3">
        <v>2</v>
      </c>
      <c r="P84" s="2" t="s">
        <v>258</v>
      </c>
    </row>
    <row r="85" spans="1:16" ht="13">
      <c r="A85" s="2" t="s">
        <v>1</v>
      </c>
      <c r="B85" s="2" t="str">
        <f t="shared" si="1"/>
        <v>22-23 Academic Year</v>
      </c>
      <c r="C85" s="2">
        <v>14</v>
      </c>
      <c r="D85" s="2" t="s">
        <v>225</v>
      </c>
      <c r="E85" s="10">
        <v>44862</v>
      </c>
      <c r="F85" s="2" t="s">
        <v>69</v>
      </c>
      <c r="G85" s="2" t="s">
        <v>7</v>
      </c>
      <c r="H85" s="2" t="s">
        <v>7</v>
      </c>
      <c r="J85" s="2" t="s">
        <v>259</v>
      </c>
      <c r="K85" s="2" t="s">
        <v>237</v>
      </c>
      <c r="L85" s="2" t="s">
        <v>1421</v>
      </c>
      <c r="M85" s="3">
        <v>1</v>
      </c>
      <c r="N85" s="3">
        <v>1</v>
      </c>
      <c r="P85" s="2" t="s">
        <v>260</v>
      </c>
    </row>
    <row r="86" spans="1:16" ht="13">
      <c r="A86" s="2" t="s">
        <v>1</v>
      </c>
      <c r="B86" s="2" t="str">
        <f t="shared" si="1"/>
        <v>22-23 Academic Year</v>
      </c>
      <c r="C86" s="2">
        <v>14</v>
      </c>
      <c r="D86" s="2" t="s">
        <v>225</v>
      </c>
      <c r="E86" s="10">
        <v>44862</v>
      </c>
      <c r="F86" s="2" t="s">
        <v>69</v>
      </c>
      <c r="G86" s="2" t="s">
        <v>7</v>
      </c>
      <c r="H86" s="2" t="s">
        <v>7</v>
      </c>
      <c r="J86" s="2" t="s">
        <v>261</v>
      </c>
      <c r="K86" s="2" t="s">
        <v>262</v>
      </c>
      <c r="L86" s="2" t="s">
        <v>4728</v>
      </c>
      <c r="M86" s="3">
        <v>1</v>
      </c>
      <c r="N86" s="3">
        <v>2</v>
      </c>
      <c r="P86" s="2" t="s">
        <v>263</v>
      </c>
    </row>
    <row r="87" spans="1:16" ht="13">
      <c r="A87" s="2" t="s">
        <v>1</v>
      </c>
      <c r="B87" s="2" t="str">
        <f t="shared" si="1"/>
        <v>22-23 Academic Year</v>
      </c>
      <c r="C87" s="2">
        <v>14</v>
      </c>
      <c r="D87" s="2" t="s">
        <v>225</v>
      </c>
      <c r="E87" s="10">
        <v>44862</v>
      </c>
      <c r="F87" s="2" t="s">
        <v>69</v>
      </c>
      <c r="G87" s="2" t="s">
        <v>7</v>
      </c>
      <c r="H87" s="2" t="s">
        <v>7</v>
      </c>
      <c r="J87" s="2" t="s">
        <v>264</v>
      </c>
      <c r="K87" s="2" t="s">
        <v>265</v>
      </c>
      <c r="L87" s="2" t="s">
        <v>1423</v>
      </c>
      <c r="M87" s="3">
        <v>1</v>
      </c>
      <c r="N87" s="3">
        <v>2</v>
      </c>
      <c r="P87" s="2" t="s">
        <v>266</v>
      </c>
    </row>
    <row r="88" spans="1:16" ht="13">
      <c r="A88" s="2" t="s">
        <v>1</v>
      </c>
      <c r="B88" s="2" t="str">
        <f t="shared" si="1"/>
        <v>22-23 Academic Year</v>
      </c>
      <c r="C88" s="2">
        <v>14</v>
      </c>
      <c r="D88" s="2" t="s">
        <v>225</v>
      </c>
      <c r="E88" s="10">
        <v>44862</v>
      </c>
      <c r="F88" s="2" t="s">
        <v>69</v>
      </c>
      <c r="G88" s="2" t="s">
        <v>7</v>
      </c>
      <c r="H88" s="2" t="s">
        <v>7</v>
      </c>
      <c r="J88" s="2" t="s">
        <v>267</v>
      </c>
      <c r="K88" s="2" t="s">
        <v>237</v>
      </c>
      <c r="L88" s="2" t="s">
        <v>1421</v>
      </c>
      <c r="M88" s="3">
        <v>1</v>
      </c>
      <c r="N88" s="3">
        <v>1</v>
      </c>
      <c r="P88" s="2" t="s">
        <v>268</v>
      </c>
    </row>
    <row r="89" spans="1:16" ht="13">
      <c r="A89" s="2" t="s">
        <v>1</v>
      </c>
      <c r="B89" s="2" t="str">
        <f t="shared" si="1"/>
        <v>22-23 Academic Year</v>
      </c>
      <c r="C89" s="2">
        <v>14</v>
      </c>
      <c r="D89" s="2" t="s">
        <v>225</v>
      </c>
      <c r="E89" s="10">
        <v>44862</v>
      </c>
      <c r="F89" s="2" t="s">
        <v>69</v>
      </c>
      <c r="G89" s="2" t="s">
        <v>7</v>
      </c>
      <c r="H89" s="2" t="s">
        <v>7</v>
      </c>
      <c r="J89" s="2" t="s">
        <v>269</v>
      </c>
      <c r="K89" s="2" t="s">
        <v>270</v>
      </c>
      <c r="L89" s="2" t="s">
        <v>271</v>
      </c>
      <c r="M89" s="3">
        <v>1</v>
      </c>
      <c r="N89" s="3">
        <v>2</v>
      </c>
      <c r="P89" s="2" t="s">
        <v>272</v>
      </c>
    </row>
    <row r="90" spans="1:16" ht="13">
      <c r="A90" s="2" t="s">
        <v>1</v>
      </c>
      <c r="B90" s="2" t="str">
        <f t="shared" si="1"/>
        <v>22-23 Academic Year</v>
      </c>
      <c r="C90" s="2">
        <v>14</v>
      </c>
      <c r="D90" s="2" t="s">
        <v>225</v>
      </c>
      <c r="E90" s="10">
        <v>44862</v>
      </c>
      <c r="F90" s="2" t="s">
        <v>69</v>
      </c>
      <c r="G90" s="2" t="s">
        <v>7</v>
      </c>
      <c r="H90" s="2" t="s">
        <v>7</v>
      </c>
      <c r="J90" s="2" t="s">
        <v>273</v>
      </c>
      <c r="K90" s="2" t="s">
        <v>248</v>
      </c>
      <c r="L90" s="2" t="s">
        <v>1425</v>
      </c>
      <c r="M90" s="3">
        <v>1</v>
      </c>
      <c r="N90" s="3">
        <v>2</v>
      </c>
      <c r="P90" s="2" t="s">
        <v>274</v>
      </c>
    </row>
    <row r="91" spans="1:16" ht="13">
      <c r="A91" s="2" t="s">
        <v>1</v>
      </c>
      <c r="B91" s="2" t="str">
        <f t="shared" si="1"/>
        <v>22-23 Academic Year</v>
      </c>
      <c r="C91" s="2">
        <v>14</v>
      </c>
      <c r="D91" s="2" t="s">
        <v>225</v>
      </c>
      <c r="E91" s="10">
        <v>44862</v>
      </c>
      <c r="F91" s="2" t="s">
        <v>69</v>
      </c>
      <c r="G91" s="2" t="s">
        <v>7</v>
      </c>
      <c r="H91" s="2" t="s">
        <v>7</v>
      </c>
      <c r="J91" s="2" t="s">
        <v>275</v>
      </c>
      <c r="K91" s="2" t="s">
        <v>276</v>
      </c>
      <c r="L91" s="2" t="s">
        <v>1044</v>
      </c>
      <c r="M91" s="3">
        <v>3</v>
      </c>
      <c r="N91" s="3">
        <v>2</v>
      </c>
      <c r="P91" s="2" t="s">
        <v>277</v>
      </c>
    </row>
    <row r="92" spans="1:16" ht="13">
      <c r="A92" s="2" t="s">
        <v>1</v>
      </c>
      <c r="B92" s="2" t="str">
        <f t="shared" si="1"/>
        <v>22-23 Academic Year</v>
      </c>
      <c r="C92" s="2">
        <v>14</v>
      </c>
      <c r="D92" s="2" t="s">
        <v>225</v>
      </c>
      <c r="E92" s="10">
        <v>44862</v>
      </c>
      <c r="F92" s="2" t="s">
        <v>69</v>
      </c>
      <c r="G92" s="2" t="s">
        <v>7</v>
      </c>
      <c r="H92" s="2" t="s">
        <v>7</v>
      </c>
      <c r="J92" s="2" t="s">
        <v>278</v>
      </c>
      <c r="K92" s="2" t="s">
        <v>237</v>
      </c>
      <c r="L92" s="2" t="s">
        <v>1421</v>
      </c>
      <c r="M92" s="3">
        <v>1</v>
      </c>
      <c r="N92" s="3">
        <v>1</v>
      </c>
      <c r="P92" s="2" t="s">
        <v>279</v>
      </c>
    </row>
    <row r="93" spans="1:16" ht="13">
      <c r="A93" s="2" t="s">
        <v>1</v>
      </c>
      <c r="B93" s="2" t="str">
        <f t="shared" si="1"/>
        <v>22-23 Academic Year</v>
      </c>
      <c r="C93" s="2">
        <v>14</v>
      </c>
      <c r="D93" s="2" t="s">
        <v>225</v>
      </c>
      <c r="E93" s="10">
        <v>44862</v>
      </c>
      <c r="F93" s="2" t="s">
        <v>69</v>
      </c>
      <c r="G93" s="2" t="s">
        <v>7</v>
      </c>
      <c r="H93" s="2" t="s">
        <v>7</v>
      </c>
      <c r="J93" s="2" t="s">
        <v>280</v>
      </c>
      <c r="K93" s="2" t="s">
        <v>237</v>
      </c>
      <c r="L93" s="2" t="s">
        <v>1421</v>
      </c>
      <c r="M93" s="3">
        <v>1</v>
      </c>
      <c r="N93" s="3">
        <v>1</v>
      </c>
      <c r="P93" s="2" t="s">
        <v>281</v>
      </c>
    </row>
    <row r="94" spans="1:16" ht="13">
      <c r="A94" s="2" t="s">
        <v>1</v>
      </c>
      <c r="B94" s="2" t="str">
        <f t="shared" si="1"/>
        <v>22-23 Academic Year</v>
      </c>
      <c r="C94" s="2">
        <v>14</v>
      </c>
      <c r="D94" s="2" t="s">
        <v>225</v>
      </c>
      <c r="E94" s="10">
        <v>44862</v>
      </c>
      <c r="F94" s="2" t="s">
        <v>69</v>
      </c>
      <c r="G94" s="2" t="s">
        <v>7</v>
      </c>
      <c r="H94" s="2" t="s">
        <v>7</v>
      </c>
      <c r="J94" s="2" t="s">
        <v>282</v>
      </c>
      <c r="K94" s="2" t="s">
        <v>283</v>
      </c>
      <c r="L94" s="2" t="s">
        <v>4729</v>
      </c>
      <c r="M94" s="3">
        <v>3</v>
      </c>
      <c r="N94" s="3">
        <v>2</v>
      </c>
      <c r="P94" s="2" t="s">
        <v>284</v>
      </c>
    </row>
    <row r="95" spans="1:16" ht="13">
      <c r="A95" s="2" t="s">
        <v>1</v>
      </c>
      <c r="B95" s="2" t="str">
        <f t="shared" si="1"/>
        <v>22-23 Academic Year</v>
      </c>
      <c r="C95" s="2">
        <v>14</v>
      </c>
      <c r="D95" s="2" t="s">
        <v>225</v>
      </c>
      <c r="E95" s="10">
        <v>44862</v>
      </c>
      <c r="F95" s="2" t="s">
        <v>69</v>
      </c>
      <c r="G95" s="2" t="s">
        <v>7</v>
      </c>
      <c r="H95" s="2" t="s">
        <v>7</v>
      </c>
      <c r="J95" s="2" t="s">
        <v>285</v>
      </c>
      <c r="K95" s="2" t="s">
        <v>286</v>
      </c>
      <c r="L95" s="2" t="s">
        <v>4730</v>
      </c>
      <c r="M95" s="3"/>
      <c r="N95" s="3"/>
      <c r="P95" s="2" t="s">
        <v>287</v>
      </c>
    </row>
    <row r="96" spans="1:16" ht="13">
      <c r="A96" s="2" t="s">
        <v>1</v>
      </c>
      <c r="B96" s="2" t="str">
        <f t="shared" si="1"/>
        <v>22-23 Academic Year</v>
      </c>
      <c r="C96" s="2">
        <v>14</v>
      </c>
      <c r="D96" s="2" t="s">
        <v>225</v>
      </c>
      <c r="E96" s="10">
        <v>44862</v>
      </c>
      <c r="F96" s="2" t="s">
        <v>69</v>
      </c>
      <c r="G96" s="2" t="s">
        <v>7</v>
      </c>
      <c r="H96" s="2" t="s">
        <v>7</v>
      </c>
      <c r="J96" s="2" t="s">
        <v>288</v>
      </c>
      <c r="K96" s="2" t="s">
        <v>242</v>
      </c>
      <c r="L96" s="2" t="s">
        <v>3360</v>
      </c>
      <c r="M96" s="3">
        <v>1</v>
      </c>
      <c r="N96" s="3">
        <v>2</v>
      </c>
      <c r="P96" s="2" t="s">
        <v>289</v>
      </c>
    </row>
    <row r="97" spans="1:16" ht="13">
      <c r="A97" s="2" t="s">
        <v>1</v>
      </c>
      <c r="B97" s="2" t="str">
        <f t="shared" si="1"/>
        <v>22-23 Academic Year</v>
      </c>
      <c r="C97" s="2">
        <v>14</v>
      </c>
      <c r="D97" s="2" t="s">
        <v>225</v>
      </c>
      <c r="E97" s="10">
        <v>44862</v>
      </c>
      <c r="F97" s="2" t="s">
        <v>69</v>
      </c>
      <c r="G97" s="2" t="s">
        <v>7</v>
      </c>
      <c r="H97" s="2" t="s">
        <v>7</v>
      </c>
      <c r="J97" s="2" t="s">
        <v>290</v>
      </c>
      <c r="K97" s="2" t="s">
        <v>242</v>
      </c>
      <c r="L97" s="2" t="s">
        <v>3360</v>
      </c>
      <c r="M97" s="3">
        <v>1</v>
      </c>
      <c r="N97" s="3">
        <v>2</v>
      </c>
      <c r="P97" s="2" t="s">
        <v>291</v>
      </c>
    </row>
    <row r="98" spans="1:16" ht="13">
      <c r="A98" s="2" t="s">
        <v>1</v>
      </c>
      <c r="B98" s="2" t="str">
        <f t="shared" si="1"/>
        <v>22-23 Academic Year</v>
      </c>
      <c r="C98" s="2">
        <v>14</v>
      </c>
      <c r="D98" s="2" t="s">
        <v>225</v>
      </c>
      <c r="E98" s="10">
        <v>44862</v>
      </c>
      <c r="F98" s="2" t="s">
        <v>69</v>
      </c>
      <c r="G98" s="2" t="s">
        <v>7</v>
      </c>
      <c r="H98" s="2" t="s">
        <v>7</v>
      </c>
      <c r="J98" s="2" t="s">
        <v>292</v>
      </c>
      <c r="K98" s="2" t="s">
        <v>242</v>
      </c>
      <c r="L98" s="2" t="s">
        <v>3360</v>
      </c>
      <c r="M98" s="3">
        <v>1</v>
      </c>
      <c r="N98" s="3">
        <v>2</v>
      </c>
      <c r="P98" s="2" t="s">
        <v>293</v>
      </c>
    </row>
    <row r="99" spans="1:16" ht="13">
      <c r="A99" s="2" t="s">
        <v>1</v>
      </c>
      <c r="B99" s="2" t="str">
        <f t="shared" si="1"/>
        <v>22-23 Academic Year</v>
      </c>
      <c r="C99" s="2">
        <v>14</v>
      </c>
      <c r="D99" s="2" t="s">
        <v>225</v>
      </c>
      <c r="E99" s="10">
        <v>44862</v>
      </c>
      <c r="F99" s="2" t="s">
        <v>69</v>
      </c>
      <c r="G99" s="2" t="s">
        <v>7</v>
      </c>
      <c r="H99" s="2" t="s">
        <v>7</v>
      </c>
      <c r="J99" s="2" t="s">
        <v>294</v>
      </c>
      <c r="K99" s="2" t="s">
        <v>295</v>
      </c>
      <c r="L99" s="2" t="s">
        <v>4731</v>
      </c>
      <c r="M99" s="3">
        <v>1</v>
      </c>
      <c r="N99" s="3">
        <v>1</v>
      </c>
      <c r="P99" s="2" t="s">
        <v>296</v>
      </c>
    </row>
    <row r="100" spans="1:16" ht="13">
      <c r="A100" s="2" t="s">
        <v>1</v>
      </c>
      <c r="B100" s="2" t="str">
        <f t="shared" si="1"/>
        <v>22-23 Academic Year</v>
      </c>
      <c r="C100" s="2">
        <v>14</v>
      </c>
      <c r="D100" s="2" t="s">
        <v>225</v>
      </c>
      <c r="E100" s="10">
        <v>44862</v>
      </c>
      <c r="F100" s="2" t="s">
        <v>69</v>
      </c>
      <c r="G100" s="2" t="s">
        <v>7</v>
      </c>
      <c r="H100" s="2" t="s">
        <v>7</v>
      </c>
      <c r="J100" s="2" t="s">
        <v>297</v>
      </c>
      <c r="K100" s="2" t="s">
        <v>242</v>
      </c>
      <c r="L100" s="2" t="s">
        <v>3360</v>
      </c>
      <c r="M100" s="3">
        <v>1</v>
      </c>
      <c r="N100" s="3">
        <v>2</v>
      </c>
      <c r="P100" s="2" t="s">
        <v>296</v>
      </c>
    </row>
    <row r="101" spans="1:16" ht="13">
      <c r="A101" s="2" t="s">
        <v>1</v>
      </c>
      <c r="B101" s="2" t="str">
        <f t="shared" si="1"/>
        <v>22-23 Academic Year</v>
      </c>
      <c r="C101" s="2">
        <v>14</v>
      </c>
      <c r="D101" s="2" t="s">
        <v>225</v>
      </c>
      <c r="E101" s="10">
        <v>44862</v>
      </c>
      <c r="F101" s="2" t="s">
        <v>69</v>
      </c>
      <c r="G101" s="2" t="s">
        <v>7</v>
      </c>
      <c r="H101" s="2" t="s">
        <v>7</v>
      </c>
      <c r="J101" s="2" t="s">
        <v>298</v>
      </c>
      <c r="K101" s="2" t="s">
        <v>299</v>
      </c>
      <c r="L101" s="2" t="s">
        <v>4732</v>
      </c>
      <c r="M101" s="3">
        <v>4</v>
      </c>
      <c r="N101" s="3">
        <v>1</v>
      </c>
      <c r="P101" s="2" t="s">
        <v>300</v>
      </c>
    </row>
    <row r="102" spans="1:16" ht="13">
      <c r="A102" s="2" t="s">
        <v>1</v>
      </c>
      <c r="B102" s="2" t="str">
        <f t="shared" si="1"/>
        <v>22-23 Academic Year</v>
      </c>
      <c r="C102" s="2">
        <v>14</v>
      </c>
      <c r="D102" s="2" t="s">
        <v>225</v>
      </c>
      <c r="E102" s="10">
        <v>44862</v>
      </c>
      <c r="F102" s="2" t="s">
        <v>69</v>
      </c>
      <c r="G102" s="2" t="s">
        <v>7</v>
      </c>
      <c r="H102" s="2" t="s">
        <v>7</v>
      </c>
      <c r="J102" s="2" t="s">
        <v>301</v>
      </c>
      <c r="K102" s="2" t="s">
        <v>302</v>
      </c>
      <c r="L102" s="2" t="s">
        <v>4733</v>
      </c>
      <c r="M102" s="3">
        <v>4</v>
      </c>
      <c r="N102" s="3">
        <v>1</v>
      </c>
      <c r="P102" s="2" t="s">
        <v>303</v>
      </c>
    </row>
    <row r="103" spans="1:16" ht="13">
      <c r="A103" s="2" t="s">
        <v>1</v>
      </c>
      <c r="B103" s="2" t="str">
        <f t="shared" si="1"/>
        <v>22-23 Academic Year</v>
      </c>
      <c r="C103" s="2">
        <v>14</v>
      </c>
      <c r="D103" s="2" t="s">
        <v>211</v>
      </c>
      <c r="E103" s="10">
        <v>44857</v>
      </c>
      <c r="F103" s="2" t="s">
        <v>29</v>
      </c>
      <c r="G103" s="2" t="s">
        <v>8</v>
      </c>
      <c r="H103" s="2" t="s">
        <v>8</v>
      </c>
      <c r="J103" s="2" t="s">
        <v>4669</v>
      </c>
      <c r="K103" s="2" t="s">
        <v>212</v>
      </c>
      <c r="L103" s="2" t="s">
        <v>3366</v>
      </c>
      <c r="M103" s="3">
        <v>3</v>
      </c>
      <c r="N103" s="3">
        <v>2</v>
      </c>
      <c r="P103" s="2" t="s">
        <v>213</v>
      </c>
    </row>
    <row r="104" spans="1:16" ht="13">
      <c r="A104" s="2" t="s">
        <v>1</v>
      </c>
      <c r="B104" s="2" t="str">
        <f t="shared" si="1"/>
        <v>22-23 Academic Year</v>
      </c>
      <c r="C104" s="2">
        <v>14</v>
      </c>
      <c r="D104" s="2" t="s">
        <v>211</v>
      </c>
      <c r="E104" s="10">
        <v>44857</v>
      </c>
      <c r="F104" s="2" t="s">
        <v>29</v>
      </c>
      <c r="G104" s="2" t="s">
        <v>8</v>
      </c>
      <c r="H104" s="2" t="s">
        <v>8</v>
      </c>
      <c r="J104" s="2" t="s">
        <v>4671</v>
      </c>
      <c r="K104" s="2" t="s">
        <v>214</v>
      </c>
      <c r="L104" s="2" t="s">
        <v>217</v>
      </c>
      <c r="M104" s="3">
        <v>3</v>
      </c>
      <c r="N104" s="3">
        <v>2</v>
      </c>
      <c r="P104" s="2" t="s">
        <v>215</v>
      </c>
    </row>
    <row r="105" spans="1:16" ht="13">
      <c r="A105" s="2" t="s">
        <v>1</v>
      </c>
      <c r="B105" s="2" t="str">
        <f t="shared" si="1"/>
        <v>22-23 Academic Year</v>
      </c>
      <c r="C105" s="2">
        <v>14</v>
      </c>
      <c r="D105" s="2" t="s">
        <v>211</v>
      </c>
      <c r="E105" s="10">
        <v>44857</v>
      </c>
      <c r="F105" s="2" t="s">
        <v>29</v>
      </c>
      <c r="G105" s="2" t="s">
        <v>8</v>
      </c>
      <c r="H105" s="2" t="s">
        <v>8</v>
      </c>
      <c r="J105" s="2" t="s">
        <v>4673</v>
      </c>
      <c r="K105" s="2" t="s">
        <v>216</v>
      </c>
      <c r="L105" s="2" t="s">
        <v>217</v>
      </c>
      <c r="M105" s="3">
        <v>3</v>
      </c>
      <c r="N105" s="3">
        <v>2</v>
      </c>
      <c r="P105" s="2" t="s">
        <v>218</v>
      </c>
    </row>
    <row r="106" spans="1:16" ht="13">
      <c r="A106" s="2" t="s">
        <v>1</v>
      </c>
      <c r="B106" s="2" t="str">
        <f t="shared" si="1"/>
        <v>22-23 Academic Year</v>
      </c>
      <c r="C106" s="2">
        <v>14</v>
      </c>
      <c r="D106" s="2" t="s">
        <v>211</v>
      </c>
      <c r="E106" s="10">
        <v>44857</v>
      </c>
      <c r="F106" s="2" t="s">
        <v>29</v>
      </c>
      <c r="G106" s="2" t="s">
        <v>8</v>
      </c>
      <c r="H106" s="2" t="s">
        <v>8</v>
      </c>
      <c r="J106" s="2" t="s">
        <v>4675</v>
      </c>
      <c r="K106" s="2" t="s">
        <v>219</v>
      </c>
      <c r="L106" s="2" t="s">
        <v>4734</v>
      </c>
      <c r="M106" s="3">
        <v>4</v>
      </c>
      <c r="N106" s="3">
        <v>1</v>
      </c>
      <c r="P106" s="2" t="s">
        <v>220</v>
      </c>
    </row>
    <row r="107" spans="1:16" ht="13">
      <c r="A107" s="2" t="s">
        <v>1</v>
      </c>
      <c r="B107" s="2" t="str">
        <f t="shared" si="1"/>
        <v>22-23 Academic Year</v>
      </c>
      <c r="C107" s="2">
        <v>14</v>
      </c>
      <c r="D107" s="2" t="s">
        <v>211</v>
      </c>
      <c r="E107" s="10">
        <v>44857</v>
      </c>
      <c r="F107" s="2" t="s">
        <v>29</v>
      </c>
      <c r="G107" s="2" t="s">
        <v>8</v>
      </c>
      <c r="H107" s="2" t="s">
        <v>8</v>
      </c>
      <c r="J107" s="2" t="s">
        <v>4677</v>
      </c>
      <c r="K107" s="2" t="s">
        <v>221</v>
      </c>
      <c r="L107" s="2" t="s">
        <v>4735</v>
      </c>
      <c r="M107" s="3">
        <v>3</v>
      </c>
      <c r="N107" s="3">
        <v>2</v>
      </c>
      <c r="P107" s="2" t="s">
        <v>222</v>
      </c>
    </row>
    <row r="108" spans="1:16" ht="13">
      <c r="A108" s="2" t="s">
        <v>1</v>
      </c>
      <c r="B108" s="2" t="str">
        <f t="shared" si="1"/>
        <v>22-23 Academic Year</v>
      </c>
      <c r="C108" s="2">
        <v>14</v>
      </c>
      <c r="D108" s="2" t="s">
        <v>211</v>
      </c>
      <c r="E108" s="10">
        <v>44857</v>
      </c>
      <c r="F108" s="2" t="s">
        <v>29</v>
      </c>
      <c r="G108" s="2" t="s">
        <v>8</v>
      </c>
      <c r="H108" s="2" t="s">
        <v>8</v>
      </c>
      <c r="J108" s="2" t="s">
        <v>4679</v>
      </c>
      <c r="K108" s="2" t="s">
        <v>223</v>
      </c>
      <c r="L108" s="2" t="s">
        <v>4415</v>
      </c>
      <c r="M108" s="3">
        <v>3</v>
      </c>
      <c r="N108" s="3">
        <v>2</v>
      </c>
      <c r="P108" s="2" t="s">
        <v>224</v>
      </c>
    </row>
    <row r="109" spans="1:16" ht="13">
      <c r="A109" s="2" t="s">
        <v>1</v>
      </c>
      <c r="B109" s="2" t="str">
        <f t="shared" si="1"/>
        <v>22-23 Academic Year</v>
      </c>
      <c r="C109" s="2">
        <v>14</v>
      </c>
      <c r="D109" s="2" t="s">
        <v>225</v>
      </c>
      <c r="E109" s="10">
        <v>44862</v>
      </c>
      <c r="F109" s="2" t="s">
        <v>69</v>
      </c>
      <c r="G109" s="2" t="s">
        <v>7</v>
      </c>
      <c r="H109" s="2" t="s">
        <v>7</v>
      </c>
      <c r="K109" s="2" t="s">
        <v>304</v>
      </c>
      <c r="L109" s="2" t="s">
        <v>4736</v>
      </c>
      <c r="M109" s="3">
        <v>1</v>
      </c>
      <c r="N109" s="3">
        <v>2</v>
      </c>
    </row>
    <row r="110" spans="1:16" ht="13">
      <c r="A110" s="2" t="s">
        <v>1</v>
      </c>
      <c r="B110" s="2" t="str">
        <f t="shared" si="1"/>
        <v>22-23 Academic Year</v>
      </c>
      <c r="C110" s="2">
        <v>14</v>
      </c>
      <c r="D110" s="2" t="s">
        <v>225</v>
      </c>
      <c r="E110" s="10">
        <v>44862</v>
      </c>
      <c r="F110" s="2" t="s">
        <v>69</v>
      </c>
      <c r="G110" s="2" t="s">
        <v>7</v>
      </c>
      <c r="H110" s="2" t="s">
        <v>7</v>
      </c>
      <c r="K110" s="2" t="s">
        <v>305</v>
      </c>
      <c r="L110" s="2" t="s">
        <v>306</v>
      </c>
      <c r="M110" s="3">
        <v>1</v>
      </c>
      <c r="N110" s="3">
        <v>2</v>
      </c>
    </row>
    <row r="111" spans="1:16" ht="13">
      <c r="A111" s="2" t="s">
        <v>1</v>
      </c>
      <c r="B111" s="2" t="str">
        <f t="shared" si="1"/>
        <v>22-23 Academic Year</v>
      </c>
      <c r="C111" s="2">
        <v>14</v>
      </c>
      <c r="D111" s="2" t="s">
        <v>225</v>
      </c>
      <c r="E111" s="10">
        <v>44862</v>
      </c>
      <c r="F111" s="2" t="s">
        <v>69</v>
      </c>
      <c r="G111" s="2" t="s">
        <v>7</v>
      </c>
      <c r="H111" s="2" t="s">
        <v>7</v>
      </c>
      <c r="K111" s="2" t="s">
        <v>307</v>
      </c>
      <c r="L111" s="2" t="s">
        <v>4737</v>
      </c>
      <c r="M111" s="3">
        <v>1</v>
      </c>
      <c r="N111" s="3">
        <v>1</v>
      </c>
    </row>
    <row r="112" spans="1:16" ht="13">
      <c r="A112" s="2" t="s">
        <v>1</v>
      </c>
      <c r="B112" s="2" t="str">
        <f t="shared" si="1"/>
        <v>22-23 Academic Year</v>
      </c>
      <c r="C112" s="2">
        <v>14</v>
      </c>
      <c r="D112" s="2" t="s">
        <v>225</v>
      </c>
      <c r="E112" s="10">
        <v>44862</v>
      </c>
      <c r="F112" s="2" t="s">
        <v>69</v>
      </c>
      <c r="G112" s="2" t="s">
        <v>7</v>
      </c>
      <c r="H112" s="2" t="s">
        <v>7</v>
      </c>
      <c r="K112" s="2" t="s">
        <v>308</v>
      </c>
      <c r="L112" s="2" t="s">
        <v>4738</v>
      </c>
      <c r="M112" s="3">
        <v>1</v>
      </c>
      <c r="N112" s="3">
        <v>2</v>
      </c>
    </row>
    <row r="113" spans="1:16" ht="13">
      <c r="A113" s="2" t="s">
        <v>1</v>
      </c>
      <c r="B113" s="2" t="str">
        <f t="shared" si="1"/>
        <v>22-23 Academic Year</v>
      </c>
      <c r="C113" s="2">
        <v>14</v>
      </c>
      <c r="D113" s="2" t="s">
        <v>225</v>
      </c>
      <c r="E113" s="10">
        <v>44862</v>
      </c>
      <c r="F113" s="2" t="s">
        <v>69</v>
      </c>
      <c r="G113" s="2" t="s">
        <v>7</v>
      </c>
      <c r="H113" s="2" t="s">
        <v>7</v>
      </c>
      <c r="K113" s="2" t="s">
        <v>309</v>
      </c>
      <c r="L113" s="2" t="s">
        <v>4739</v>
      </c>
      <c r="M113" s="3">
        <v>1</v>
      </c>
      <c r="N113" s="3">
        <v>2</v>
      </c>
    </row>
    <row r="114" spans="1:16" ht="13">
      <c r="A114" s="2" t="s">
        <v>1</v>
      </c>
      <c r="B114" s="2" t="str">
        <f t="shared" si="1"/>
        <v>22-23 Academic Year</v>
      </c>
      <c r="C114" s="2">
        <v>14</v>
      </c>
      <c r="D114" s="2" t="s">
        <v>225</v>
      </c>
      <c r="E114" s="10">
        <v>44862</v>
      </c>
      <c r="F114" s="2" t="s">
        <v>69</v>
      </c>
      <c r="G114" s="2" t="s">
        <v>7</v>
      </c>
      <c r="H114" s="2" t="s">
        <v>7</v>
      </c>
      <c r="K114" s="2" t="s">
        <v>310</v>
      </c>
      <c r="L114" s="2" t="s">
        <v>311</v>
      </c>
      <c r="M114" s="3">
        <v>1</v>
      </c>
      <c r="N114" s="3">
        <v>2</v>
      </c>
    </row>
    <row r="115" spans="1:16" ht="13">
      <c r="A115" s="2" t="s">
        <v>1</v>
      </c>
      <c r="B115" s="2" t="str">
        <f t="shared" si="1"/>
        <v>22-23 Academic Year</v>
      </c>
      <c r="C115" s="2">
        <v>15</v>
      </c>
      <c r="D115" s="2" t="s">
        <v>92</v>
      </c>
      <c r="E115" s="10">
        <v>44862</v>
      </c>
      <c r="F115" s="2" t="s">
        <v>69</v>
      </c>
      <c r="G115" s="2" t="s">
        <v>92</v>
      </c>
      <c r="H115" s="2" t="s">
        <v>6</v>
      </c>
      <c r="J115" s="2" t="s">
        <v>4680</v>
      </c>
      <c r="K115" s="2" t="s">
        <v>312</v>
      </c>
      <c r="L115" s="2" t="s">
        <v>4016</v>
      </c>
      <c r="M115" s="3">
        <v>1</v>
      </c>
      <c r="N115" s="3">
        <v>2</v>
      </c>
      <c r="P115" s="2" t="s">
        <v>313</v>
      </c>
    </row>
    <row r="116" spans="1:16" ht="13">
      <c r="A116" s="2" t="s">
        <v>1</v>
      </c>
      <c r="B116" s="2" t="str">
        <f t="shared" si="1"/>
        <v>22-23 Academic Year</v>
      </c>
      <c r="C116" s="2">
        <v>15</v>
      </c>
      <c r="D116" s="2" t="s">
        <v>92</v>
      </c>
      <c r="E116" s="10">
        <v>44862</v>
      </c>
      <c r="F116" s="2" t="s">
        <v>69</v>
      </c>
      <c r="G116" s="2" t="s">
        <v>92</v>
      </c>
      <c r="H116" s="2" t="s">
        <v>6</v>
      </c>
      <c r="J116" s="2" t="s">
        <v>4681</v>
      </c>
      <c r="K116" s="2" t="s">
        <v>314</v>
      </c>
      <c r="L116" s="2" t="s">
        <v>4255</v>
      </c>
      <c r="M116" s="3">
        <v>1</v>
      </c>
      <c r="N116" s="3">
        <v>1</v>
      </c>
      <c r="P116" s="2" t="s">
        <v>315</v>
      </c>
    </row>
    <row r="117" spans="1:16" ht="13">
      <c r="A117" s="2" t="s">
        <v>1</v>
      </c>
      <c r="B117" s="2" t="str">
        <f t="shared" si="1"/>
        <v>22-23 Academic Year</v>
      </c>
      <c r="C117" s="2">
        <v>15</v>
      </c>
      <c r="D117" s="2" t="s">
        <v>92</v>
      </c>
      <c r="E117" s="10">
        <v>44862</v>
      </c>
      <c r="F117" s="2" t="s">
        <v>69</v>
      </c>
      <c r="G117" s="2" t="s">
        <v>92</v>
      </c>
      <c r="H117" s="2" t="s">
        <v>6</v>
      </c>
      <c r="J117" s="2" t="s">
        <v>4683</v>
      </c>
      <c r="K117" s="2" t="s">
        <v>316</v>
      </c>
      <c r="L117" s="2" t="s">
        <v>4740</v>
      </c>
      <c r="M117" s="3">
        <v>3</v>
      </c>
      <c r="N117" s="3">
        <v>2</v>
      </c>
      <c r="P117" s="2" t="s">
        <v>317</v>
      </c>
    </row>
    <row r="118" spans="1:16" ht="13">
      <c r="A118" s="2" t="s">
        <v>1</v>
      </c>
      <c r="B118" s="2" t="str">
        <f t="shared" si="1"/>
        <v>22-23 Academic Year</v>
      </c>
      <c r="C118" s="2">
        <v>15</v>
      </c>
      <c r="D118" s="2" t="s">
        <v>92</v>
      </c>
      <c r="E118" s="10">
        <v>44862</v>
      </c>
      <c r="F118" s="2" t="s">
        <v>69</v>
      </c>
      <c r="G118" s="2" t="s">
        <v>92</v>
      </c>
      <c r="H118" s="2" t="s">
        <v>6</v>
      </c>
      <c r="J118" s="2" t="s">
        <v>4684</v>
      </c>
      <c r="K118" s="2" t="s">
        <v>318</v>
      </c>
      <c r="L118" s="2" t="s">
        <v>4741</v>
      </c>
      <c r="M118" s="3">
        <v>1</v>
      </c>
      <c r="N118" s="3">
        <v>2</v>
      </c>
      <c r="P118" s="2" t="s">
        <v>319</v>
      </c>
    </row>
    <row r="119" spans="1:16" ht="13">
      <c r="A119" s="2" t="s">
        <v>1</v>
      </c>
      <c r="B119" s="2" t="str">
        <f t="shared" si="1"/>
        <v>22-23 Academic Year</v>
      </c>
      <c r="C119" s="2">
        <v>15</v>
      </c>
      <c r="D119" s="2" t="s">
        <v>92</v>
      </c>
      <c r="E119" s="10">
        <v>44862</v>
      </c>
      <c r="F119" s="2" t="s">
        <v>69</v>
      </c>
      <c r="G119" s="2" t="s">
        <v>92</v>
      </c>
      <c r="H119" s="2" t="s">
        <v>6</v>
      </c>
      <c r="J119" s="2" t="s">
        <v>4686</v>
      </c>
      <c r="K119" s="2" t="s">
        <v>320</v>
      </c>
      <c r="L119" s="2" t="s">
        <v>1879</v>
      </c>
      <c r="M119" s="3">
        <v>1</v>
      </c>
      <c r="N119" s="3">
        <v>2</v>
      </c>
      <c r="P119" s="2" t="s">
        <v>321</v>
      </c>
    </row>
    <row r="120" spans="1:16" ht="13">
      <c r="A120" s="2" t="s">
        <v>1</v>
      </c>
      <c r="B120" s="2" t="str">
        <f t="shared" si="1"/>
        <v>22-23 Academic Year</v>
      </c>
      <c r="C120" s="2">
        <v>17</v>
      </c>
      <c r="D120" s="2" t="s">
        <v>322</v>
      </c>
      <c r="E120" s="10">
        <v>44867</v>
      </c>
      <c r="F120" s="2" t="s">
        <v>20</v>
      </c>
      <c r="G120" s="2" t="s">
        <v>21</v>
      </c>
      <c r="H120" s="2" t="s">
        <v>6</v>
      </c>
      <c r="I120" s="2" t="s">
        <v>323</v>
      </c>
      <c r="J120" s="2" t="s">
        <v>4680</v>
      </c>
      <c r="K120" s="2" t="s">
        <v>324</v>
      </c>
      <c r="L120" s="2" t="s">
        <v>4742</v>
      </c>
      <c r="M120" s="3">
        <v>1</v>
      </c>
      <c r="N120" s="3">
        <v>1</v>
      </c>
      <c r="P120" s="2" t="s">
        <v>325</v>
      </c>
    </row>
    <row r="121" spans="1:16" ht="13">
      <c r="A121" s="2" t="s">
        <v>1</v>
      </c>
      <c r="B121" s="2" t="str">
        <f t="shared" si="1"/>
        <v>22-23 Academic Year</v>
      </c>
      <c r="C121" s="2">
        <v>17</v>
      </c>
      <c r="D121" s="2" t="s">
        <v>322</v>
      </c>
      <c r="E121" s="10">
        <v>44867</v>
      </c>
      <c r="F121" s="2" t="s">
        <v>20</v>
      </c>
      <c r="G121" s="2" t="s">
        <v>21</v>
      </c>
      <c r="H121" s="2" t="s">
        <v>6</v>
      </c>
      <c r="I121" s="2" t="s">
        <v>323</v>
      </c>
      <c r="J121" s="2" t="s">
        <v>4681</v>
      </c>
      <c r="K121" s="2" t="s">
        <v>326</v>
      </c>
      <c r="L121" s="2" t="s">
        <v>4743</v>
      </c>
      <c r="M121" s="3">
        <v>1</v>
      </c>
      <c r="N121" s="3">
        <v>1</v>
      </c>
      <c r="P121" s="2" t="s">
        <v>327</v>
      </c>
    </row>
    <row r="122" spans="1:16" ht="13">
      <c r="A122" s="2" t="s">
        <v>1</v>
      </c>
      <c r="B122" s="2" t="str">
        <f t="shared" si="1"/>
        <v>22-23 Academic Year</v>
      </c>
      <c r="C122" s="2">
        <v>17</v>
      </c>
      <c r="D122" s="2" t="s">
        <v>322</v>
      </c>
      <c r="E122" s="10">
        <v>44867</v>
      </c>
      <c r="F122" s="2" t="s">
        <v>20</v>
      </c>
      <c r="G122" s="2" t="s">
        <v>21</v>
      </c>
      <c r="H122" s="2" t="s">
        <v>6</v>
      </c>
      <c r="I122" s="2" t="s">
        <v>323</v>
      </c>
      <c r="J122" s="2" t="s">
        <v>4683</v>
      </c>
      <c r="K122" s="2" t="s">
        <v>328</v>
      </c>
      <c r="L122" s="2" t="s">
        <v>4744</v>
      </c>
      <c r="M122" s="3">
        <v>4</v>
      </c>
      <c r="N122" s="3">
        <v>1</v>
      </c>
      <c r="P122" s="2" t="s">
        <v>329</v>
      </c>
    </row>
    <row r="123" spans="1:16" ht="13">
      <c r="A123" s="2" t="s">
        <v>1</v>
      </c>
      <c r="B123" s="2" t="str">
        <f t="shared" si="1"/>
        <v>22-23 Academic Year</v>
      </c>
      <c r="C123" s="2">
        <v>17</v>
      </c>
      <c r="D123" s="2" t="s">
        <v>322</v>
      </c>
      <c r="E123" s="10">
        <v>44867</v>
      </c>
      <c r="F123" s="2" t="s">
        <v>20</v>
      </c>
      <c r="G123" s="2" t="s">
        <v>21</v>
      </c>
      <c r="H123" s="2" t="s">
        <v>6</v>
      </c>
      <c r="I123" s="2" t="s">
        <v>323</v>
      </c>
      <c r="J123" s="2" t="s">
        <v>4684</v>
      </c>
      <c r="K123" s="2" t="s">
        <v>330</v>
      </c>
      <c r="L123" s="2" t="s">
        <v>1997</v>
      </c>
      <c r="M123" s="3">
        <v>4</v>
      </c>
      <c r="N123" s="3">
        <v>1</v>
      </c>
      <c r="P123" s="2" t="s">
        <v>331</v>
      </c>
    </row>
    <row r="124" spans="1:16" ht="13">
      <c r="A124" s="2" t="s">
        <v>1</v>
      </c>
      <c r="B124" s="2" t="str">
        <f t="shared" si="1"/>
        <v>22-23 Academic Year</v>
      </c>
      <c r="C124" s="2">
        <v>17</v>
      </c>
      <c r="D124" s="2" t="s">
        <v>322</v>
      </c>
      <c r="E124" s="10">
        <v>44867</v>
      </c>
      <c r="F124" s="2" t="s">
        <v>20</v>
      </c>
      <c r="G124" s="2" t="s">
        <v>21</v>
      </c>
      <c r="H124" s="2" t="s">
        <v>6</v>
      </c>
      <c r="I124" s="2" t="s">
        <v>323</v>
      </c>
      <c r="J124" s="2" t="s">
        <v>4686</v>
      </c>
      <c r="K124" s="2" t="s">
        <v>332</v>
      </c>
      <c r="L124" s="2" t="s">
        <v>333</v>
      </c>
      <c r="M124" s="3"/>
      <c r="N124" s="3"/>
      <c r="P124" s="2" t="s">
        <v>334</v>
      </c>
    </row>
    <row r="125" spans="1:16" ht="13">
      <c r="A125" s="2" t="s">
        <v>1</v>
      </c>
      <c r="B125" s="2" t="str">
        <f t="shared" si="1"/>
        <v>22-23 Academic Year</v>
      </c>
      <c r="C125" s="2">
        <v>18</v>
      </c>
      <c r="D125" s="2" t="s">
        <v>335</v>
      </c>
      <c r="E125" s="10">
        <v>44870</v>
      </c>
      <c r="F125" s="2" t="s">
        <v>69</v>
      </c>
      <c r="G125" s="2" t="s">
        <v>7</v>
      </c>
      <c r="H125" s="2" t="s">
        <v>7</v>
      </c>
      <c r="J125" s="2" t="s">
        <v>4669</v>
      </c>
      <c r="K125" s="2" t="s">
        <v>336</v>
      </c>
      <c r="L125" s="2" t="s">
        <v>1234</v>
      </c>
      <c r="M125" s="3">
        <v>1</v>
      </c>
      <c r="N125" s="3">
        <v>1</v>
      </c>
      <c r="O125" s="2" t="s">
        <v>337</v>
      </c>
      <c r="P125" s="2" t="s">
        <v>338</v>
      </c>
    </row>
    <row r="126" spans="1:16" ht="13">
      <c r="A126" s="2" t="s">
        <v>1</v>
      </c>
      <c r="B126" s="2" t="str">
        <f t="shared" si="1"/>
        <v>22-23 Academic Year</v>
      </c>
      <c r="C126" s="2">
        <v>18</v>
      </c>
      <c r="D126" s="2" t="s">
        <v>335</v>
      </c>
      <c r="E126" s="10">
        <v>44870</v>
      </c>
      <c r="F126" s="2" t="s">
        <v>69</v>
      </c>
      <c r="G126" s="2" t="s">
        <v>7</v>
      </c>
      <c r="H126" s="2" t="s">
        <v>7</v>
      </c>
      <c r="J126" s="2" t="s">
        <v>4671</v>
      </c>
      <c r="K126" s="2" t="s">
        <v>339</v>
      </c>
      <c r="L126" s="2" t="s">
        <v>4398</v>
      </c>
      <c r="M126" s="3">
        <v>3</v>
      </c>
      <c r="N126" s="3">
        <v>1</v>
      </c>
      <c r="P126" s="2" t="s">
        <v>340</v>
      </c>
    </row>
    <row r="127" spans="1:16" ht="13">
      <c r="A127" s="2" t="s">
        <v>1</v>
      </c>
      <c r="B127" s="2" t="str">
        <f t="shared" si="1"/>
        <v>22-23 Academic Year</v>
      </c>
      <c r="C127" s="2">
        <v>18</v>
      </c>
      <c r="D127" s="2" t="s">
        <v>335</v>
      </c>
      <c r="E127" s="10">
        <v>44870</v>
      </c>
      <c r="F127" s="2" t="s">
        <v>69</v>
      </c>
      <c r="G127" s="2" t="s">
        <v>7</v>
      </c>
      <c r="H127" s="2" t="s">
        <v>7</v>
      </c>
      <c r="J127" s="2" t="s">
        <v>4673</v>
      </c>
      <c r="K127" s="2" t="s">
        <v>122</v>
      </c>
      <c r="L127" s="2" t="s">
        <v>123</v>
      </c>
      <c r="M127" s="3">
        <v>1</v>
      </c>
      <c r="N127" s="3">
        <v>2</v>
      </c>
      <c r="P127" s="2" t="s">
        <v>341</v>
      </c>
    </row>
    <row r="128" spans="1:16" ht="13">
      <c r="A128" s="2" t="s">
        <v>1</v>
      </c>
      <c r="B128" s="2" t="str">
        <f t="shared" si="1"/>
        <v>22-23 Academic Year</v>
      </c>
      <c r="C128" s="2">
        <v>18</v>
      </c>
      <c r="D128" s="2" t="s">
        <v>335</v>
      </c>
      <c r="E128" s="10">
        <v>44870</v>
      </c>
      <c r="F128" s="2" t="s">
        <v>69</v>
      </c>
      <c r="G128" s="2" t="s">
        <v>7</v>
      </c>
      <c r="H128" s="2" t="s">
        <v>7</v>
      </c>
      <c r="J128" s="2" t="s">
        <v>4675</v>
      </c>
      <c r="K128" s="2" t="s">
        <v>342</v>
      </c>
      <c r="L128" s="2" t="s">
        <v>4512</v>
      </c>
      <c r="M128" s="3">
        <v>4</v>
      </c>
      <c r="N128" s="3">
        <v>1</v>
      </c>
      <c r="P128" s="2" t="s">
        <v>343</v>
      </c>
    </row>
    <row r="129" spans="1:16" ht="13">
      <c r="A129" s="2" t="s">
        <v>1</v>
      </c>
      <c r="B129" s="2" t="str">
        <f t="shared" si="1"/>
        <v>22-23 Academic Year</v>
      </c>
      <c r="C129" s="2">
        <v>18</v>
      </c>
      <c r="D129" s="2" t="s">
        <v>335</v>
      </c>
      <c r="E129" s="10">
        <v>44870</v>
      </c>
      <c r="F129" s="2" t="s">
        <v>69</v>
      </c>
      <c r="G129" s="2" t="s">
        <v>7</v>
      </c>
      <c r="H129" s="2" t="s">
        <v>7</v>
      </c>
      <c r="J129" s="2" t="s">
        <v>4677</v>
      </c>
      <c r="K129" s="2" t="s">
        <v>344</v>
      </c>
      <c r="L129" s="2" t="s">
        <v>4745</v>
      </c>
      <c r="M129" s="3">
        <v>2</v>
      </c>
      <c r="N129" s="3">
        <v>1</v>
      </c>
      <c r="P129" s="2" t="s">
        <v>345</v>
      </c>
    </row>
    <row r="130" spans="1:16" ht="13">
      <c r="A130" s="2" t="s">
        <v>1</v>
      </c>
      <c r="B130" s="2" t="str">
        <f t="shared" si="1"/>
        <v>22-23 Academic Year</v>
      </c>
      <c r="C130" s="2">
        <v>18</v>
      </c>
      <c r="D130" s="2" t="s">
        <v>335</v>
      </c>
      <c r="E130" s="10">
        <v>44870</v>
      </c>
      <c r="F130" s="2" t="s">
        <v>69</v>
      </c>
      <c r="G130" s="2" t="s">
        <v>7</v>
      </c>
      <c r="H130" s="2" t="s">
        <v>7</v>
      </c>
      <c r="J130" s="2" t="s">
        <v>4679</v>
      </c>
      <c r="K130" s="2" t="s">
        <v>346</v>
      </c>
      <c r="L130" s="2" t="s">
        <v>4746</v>
      </c>
      <c r="M130" s="3">
        <v>1</v>
      </c>
      <c r="N130" s="3">
        <v>1</v>
      </c>
      <c r="P130" s="2" t="s">
        <v>347</v>
      </c>
    </row>
    <row r="131" spans="1:16" ht="13">
      <c r="A131" s="2" t="s">
        <v>1</v>
      </c>
      <c r="B131" s="2" t="str">
        <f t="shared" ref="B131:B194" si="2">RIGHT(TEXT(IF(LEFT(A131,4)="Fall",VALUE(RIGHT(A131,4)),VALUE(RIGHT(A131,4))-1),"00"),2)
 &amp; "-" &amp;
 RIGHT(TEXT(IF(LEFT(A131,4)="Fall",VALUE(RIGHT(A131,4))+1,VALUE(RIGHT(A131,4))),"00"),2)
 &amp; " Academic Year"</f>
        <v>22-23 Academic Year</v>
      </c>
      <c r="C131" s="2">
        <v>19</v>
      </c>
      <c r="D131" s="2" t="s">
        <v>348</v>
      </c>
      <c r="E131" s="10">
        <v>44874</v>
      </c>
      <c r="F131" s="2" t="s">
        <v>69</v>
      </c>
      <c r="G131" s="2" t="s">
        <v>7</v>
      </c>
      <c r="H131" s="2" t="s">
        <v>7</v>
      </c>
      <c r="I131" s="2" t="s">
        <v>349</v>
      </c>
      <c r="J131" s="2" t="s">
        <v>4747</v>
      </c>
      <c r="K131" s="2" t="s">
        <v>350</v>
      </c>
      <c r="L131" s="2" t="s">
        <v>4748</v>
      </c>
      <c r="M131" s="3">
        <v>3</v>
      </c>
      <c r="N131" s="3">
        <v>1</v>
      </c>
      <c r="O131" s="2" t="s">
        <v>351</v>
      </c>
      <c r="P131" s="2" t="s">
        <v>352</v>
      </c>
    </row>
    <row r="132" spans="1:16" ht="13">
      <c r="A132" s="2" t="s">
        <v>1</v>
      </c>
      <c r="B132" s="2" t="str">
        <f t="shared" si="2"/>
        <v>22-23 Academic Year</v>
      </c>
      <c r="C132" s="2">
        <v>19</v>
      </c>
      <c r="D132" s="2" t="s">
        <v>348</v>
      </c>
      <c r="E132" s="10">
        <v>44874</v>
      </c>
      <c r="F132" s="2" t="s">
        <v>69</v>
      </c>
      <c r="G132" s="2" t="s">
        <v>7</v>
      </c>
      <c r="H132" s="2" t="s">
        <v>7</v>
      </c>
      <c r="I132" s="2" t="s">
        <v>349</v>
      </c>
      <c r="J132" s="2" t="s">
        <v>4749</v>
      </c>
      <c r="K132" s="2" t="s">
        <v>353</v>
      </c>
      <c r="L132" s="2" t="s">
        <v>1474</v>
      </c>
      <c r="M132" s="3">
        <v>1</v>
      </c>
      <c r="N132" s="3">
        <v>2</v>
      </c>
      <c r="P132" s="2" t="s">
        <v>354</v>
      </c>
    </row>
    <row r="133" spans="1:16" ht="13">
      <c r="A133" s="2" t="s">
        <v>1</v>
      </c>
      <c r="B133" s="2" t="str">
        <f t="shared" si="2"/>
        <v>22-23 Academic Year</v>
      </c>
      <c r="C133" s="2">
        <v>19</v>
      </c>
      <c r="D133" s="2" t="s">
        <v>348</v>
      </c>
      <c r="E133" s="10">
        <v>44874</v>
      </c>
      <c r="F133" s="2" t="s">
        <v>69</v>
      </c>
      <c r="G133" s="2" t="s">
        <v>7</v>
      </c>
      <c r="H133" s="2" t="s">
        <v>7</v>
      </c>
      <c r="I133" s="2" t="s">
        <v>349</v>
      </c>
      <c r="J133" s="2" t="s">
        <v>4750</v>
      </c>
      <c r="K133" s="2" t="s">
        <v>355</v>
      </c>
      <c r="L133" s="2" t="s">
        <v>1661</v>
      </c>
      <c r="M133" s="3">
        <v>3</v>
      </c>
      <c r="N133" s="3">
        <v>2</v>
      </c>
      <c r="O133" s="2" t="s">
        <v>356</v>
      </c>
      <c r="P133" s="2" t="s">
        <v>357</v>
      </c>
    </row>
    <row r="134" spans="1:16" ht="13">
      <c r="A134" s="2" t="s">
        <v>1</v>
      </c>
      <c r="B134" s="2" t="str">
        <f t="shared" si="2"/>
        <v>22-23 Academic Year</v>
      </c>
      <c r="C134" s="2">
        <v>19</v>
      </c>
      <c r="D134" s="2" t="s">
        <v>348</v>
      </c>
      <c r="E134" s="10">
        <v>44874</v>
      </c>
      <c r="F134" s="2" t="s">
        <v>69</v>
      </c>
      <c r="G134" s="2" t="s">
        <v>7</v>
      </c>
      <c r="H134" s="2" t="s">
        <v>7</v>
      </c>
      <c r="I134" s="2" t="s">
        <v>349</v>
      </c>
      <c r="J134" s="2" t="s">
        <v>4751</v>
      </c>
      <c r="K134" s="2" t="s">
        <v>350</v>
      </c>
      <c r="L134" s="2" t="s">
        <v>4748</v>
      </c>
      <c r="M134" s="3">
        <v>3</v>
      </c>
      <c r="N134" s="3">
        <v>1</v>
      </c>
      <c r="P134" s="2" t="s">
        <v>358</v>
      </c>
    </row>
    <row r="135" spans="1:16" ht="13">
      <c r="A135" s="2" t="s">
        <v>1</v>
      </c>
      <c r="B135" s="2" t="str">
        <f t="shared" si="2"/>
        <v>22-23 Academic Year</v>
      </c>
      <c r="C135" s="2">
        <v>19</v>
      </c>
      <c r="D135" s="2" t="s">
        <v>348</v>
      </c>
      <c r="E135" s="10">
        <v>44874</v>
      </c>
      <c r="F135" s="2" t="s">
        <v>69</v>
      </c>
      <c r="G135" s="2" t="s">
        <v>7</v>
      </c>
      <c r="H135" s="2" t="s">
        <v>7</v>
      </c>
      <c r="I135" s="2" t="s">
        <v>349</v>
      </c>
      <c r="J135" s="2" t="s">
        <v>4752</v>
      </c>
      <c r="K135" s="2" t="s">
        <v>359</v>
      </c>
      <c r="L135" s="2" t="s">
        <v>4753</v>
      </c>
      <c r="M135" s="3">
        <v>3</v>
      </c>
      <c r="N135" s="3">
        <v>1</v>
      </c>
      <c r="O135" s="2" t="s">
        <v>360</v>
      </c>
      <c r="P135" s="2" t="s">
        <v>361</v>
      </c>
    </row>
    <row r="136" spans="1:16" ht="13">
      <c r="A136" s="2" t="s">
        <v>1</v>
      </c>
      <c r="B136" s="2" t="str">
        <f t="shared" si="2"/>
        <v>22-23 Academic Year</v>
      </c>
      <c r="C136" s="2">
        <v>19</v>
      </c>
      <c r="D136" s="2" t="s">
        <v>348</v>
      </c>
      <c r="E136" s="10">
        <v>44874</v>
      </c>
      <c r="F136" s="2" t="s">
        <v>69</v>
      </c>
      <c r="G136" s="2" t="s">
        <v>7</v>
      </c>
      <c r="H136" s="2" t="s">
        <v>7</v>
      </c>
      <c r="I136" s="2" t="s">
        <v>349</v>
      </c>
      <c r="J136" s="2" t="s">
        <v>4754</v>
      </c>
      <c r="K136" s="2" t="s">
        <v>362</v>
      </c>
      <c r="L136" s="2" t="s">
        <v>2154</v>
      </c>
      <c r="M136" s="3">
        <v>3</v>
      </c>
      <c r="N136" s="3">
        <v>2</v>
      </c>
      <c r="P136" s="2" t="s">
        <v>363</v>
      </c>
    </row>
    <row r="137" spans="1:16" ht="13">
      <c r="A137" s="2" t="s">
        <v>1</v>
      </c>
      <c r="B137" s="2" t="str">
        <f t="shared" si="2"/>
        <v>22-23 Academic Year</v>
      </c>
      <c r="C137" s="2">
        <v>19</v>
      </c>
      <c r="D137" s="2" t="s">
        <v>348</v>
      </c>
      <c r="E137" s="10">
        <v>44874</v>
      </c>
      <c r="F137" s="2" t="s">
        <v>69</v>
      </c>
      <c r="G137" s="2" t="s">
        <v>7</v>
      </c>
      <c r="H137" s="2" t="s">
        <v>7</v>
      </c>
      <c r="I137" s="2" t="s">
        <v>349</v>
      </c>
      <c r="J137" s="2" t="s">
        <v>4755</v>
      </c>
      <c r="K137" s="2" t="s">
        <v>364</v>
      </c>
      <c r="L137" s="2" t="s">
        <v>2609</v>
      </c>
      <c r="M137" s="3">
        <v>3</v>
      </c>
      <c r="N137" s="3">
        <v>2</v>
      </c>
      <c r="O137" s="2" t="s">
        <v>365</v>
      </c>
      <c r="P137" s="2" t="s">
        <v>366</v>
      </c>
    </row>
    <row r="138" spans="1:16" ht="13">
      <c r="A138" s="2" t="s">
        <v>1</v>
      </c>
      <c r="B138" s="2" t="str">
        <f t="shared" si="2"/>
        <v>22-23 Academic Year</v>
      </c>
      <c r="C138" s="2">
        <v>19</v>
      </c>
      <c r="D138" s="2" t="s">
        <v>348</v>
      </c>
      <c r="E138" s="10">
        <v>44874</v>
      </c>
      <c r="F138" s="2" t="s">
        <v>69</v>
      </c>
      <c r="G138" s="2" t="s">
        <v>7</v>
      </c>
      <c r="H138" s="2" t="s">
        <v>7</v>
      </c>
      <c r="I138" s="2" t="s">
        <v>349</v>
      </c>
      <c r="J138" s="2" t="s">
        <v>4756</v>
      </c>
      <c r="K138" s="2" t="s">
        <v>350</v>
      </c>
      <c r="L138" s="2" t="s">
        <v>4748</v>
      </c>
      <c r="M138" s="3">
        <v>3</v>
      </c>
      <c r="N138" s="3">
        <v>1</v>
      </c>
      <c r="O138" s="2" t="s">
        <v>367</v>
      </c>
      <c r="P138" s="2" t="s">
        <v>368</v>
      </c>
    </row>
    <row r="139" spans="1:16" ht="13">
      <c r="A139" s="2" t="s">
        <v>1</v>
      </c>
      <c r="B139" s="2" t="str">
        <f t="shared" si="2"/>
        <v>22-23 Academic Year</v>
      </c>
      <c r="C139" s="2">
        <v>20</v>
      </c>
      <c r="D139" s="2" t="s">
        <v>369</v>
      </c>
      <c r="E139" s="10">
        <v>44878</v>
      </c>
      <c r="F139" s="2" t="s">
        <v>69</v>
      </c>
      <c r="G139" s="2" t="s">
        <v>131</v>
      </c>
      <c r="H139" s="2" t="s">
        <v>6</v>
      </c>
      <c r="I139" s="2" t="s">
        <v>370</v>
      </c>
      <c r="J139" s="2" t="s">
        <v>4665</v>
      </c>
      <c r="K139" s="2" t="s">
        <v>371</v>
      </c>
      <c r="L139" s="2" t="s">
        <v>372</v>
      </c>
      <c r="M139" s="3">
        <v>1</v>
      </c>
      <c r="N139" s="3">
        <v>2</v>
      </c>
      <c r="P139" s="2" t="s">
        <v>373</v>
      </c>
    </row>
    <row r="140" spans="1:16" ht="13">
      <c r="A140" s="2" t="s">
        <v>1</v>
      </c>
      <c r="B140" s="2" t="str">
        <f t="shared" si="2"/>
        <v>22-23 Academic Year</v>
      </c>
      <c r="C140" s="2">
        <v>20</v>
      </c>
      <c r="D140" s="2" t="s">
        <v>369</v>
      </c>
      <c r="E140" s="10">
        <v>44878</v>
      </c>
      <c r="F140" s="2" t="s">
        <v>69</v>
      </c>
      <c r="G140" s="2" t="s">
        <v>131</v>
      </c>
      <c r="H140" s="2" t="s">
        <v>6</v>
      </c>
      <c r="I140" s="2" t="s">
        <v>370</v>
      </c>
      <c r="J140" s="2" t="s">
        <v>4666</v>
      </c>
      <c r="K140" s="2" t="s">
        <v>374</v>
      </c>
      <c r="L140" s="2" t="s">
        <v>1680</v>
      </c>
      <c r="M140" s="3">
        <v>1</v>
      </c>
      <c r="N140" s="3">
        <v>2</v>
      </c>
      <c r="P140" s="2" t="s">
        <v>375</v>
      </c>
    </row>
    <row r="141" spans="1:16" ht="13">
      <c r="A141" s="2" t="s">
        <v>1</v>
      </c>
      <c r="B141" s="2" t="str">
        <f t="shared" si="2"/>
        <v>22-23 Academic Year</v>
      </c>
      <c r="C141" s="2">
        <v>20</v>
      </c>
      <c r="D141" s="2" t="s">
        <v>369</v>
      </c>
      <c r="E141" s="10">
        <v>44878</v>
      </c>
      <c r="F141" s="2" t="s">
        <v>69</v>
      </c>
      <c r="G141" s="2" t="s">
        <v>131</v>
      </c>
      <c r="H141" s="2" t="s">
        <v>6</v>
      </c>
      <c r="I141" s="2" t="s">
        <v>370</v>
      </c>
      <c r="J141" s="2" t="s">
        <v>4668</v>
      </c>
      <c r="K141" s="2" t="s">
        <v>376</v>
      </c>
      <c r="L141" s="2" t="s">
        <v>4757</v>
      </c>
      <c r="M141" s="3">
        <v>1</v>
      </c>
      <c r="N141" s="3">
        <v>1</v>
      </c>
      <c r="P141" s="2" t="s">
        <v>377</v>
      </c>
    </row>
    <row r="142" spans="1:16" ht="13">
      <c r="A142" s="2" t="s">
        <v>1</v>
      </c>
      <c r="B142" s="2" t="str">
        <f t="shared" si="2"/>
        <v>22-23 Academic Year</v>
      </c>
      <c r="C142" s="2">
        <v>21</v>
      </c>
      <c r="D142" s="2" t="s">
        <v>378</v>
      </c>
      <c r="E142" s="10">
        <v>44878</v>
      </c>
      <c r="F142" s="2" t="s">
        <v>29</v>
      </c>
      <c r="G142" s="2" t="s">
        <v>379</v>
      </c>
      <c r="H142" s="2" t="s">
        <v>8</v>
      </c>
      <c r="J142" s="2" t="s">
        <v>4711</v>
      </c>
      <c r="K142" s="2" t="s">
        <v>380</v>
      </c>
      <c r="L142" s="2" t="s">
        <v>4758</v>
      </c>
      <c r="M142" s="3">
        <v>1</v>
      </c>
      <c r="N142" s="3">
        <v>2</v>
      </c>
      <c r="P142" s="2" t="s">
        <v>381</v>
      </c>
    </row>
    <row r="143" spans="1:16" ht="13">
      <c r="A143" s="2" t="s">
        <v>1</v>
      </c>
      <c r="B143" s="2" t="str">
        <f t="shared" si="2"/>
        <v>22-23 Academic Year</v>
      </c>
      <c r="C143" s="2">
        <v>21</v>
      </c>
      <c r="D143" s="2" t="s">
        <v>378</v>
      </c>
      <c r="E143" s="10">
        <v>44878</v>
      </c>
      <c r="F143" s="2" t="s">
        <v>29</v>
      </c>
      <c r="G143" s="2" t="s">
        <v>379</v>
      </c>
      <c r="H143" s="2" t="s">
        <v>8</v>
      </c>
      <c r="J143" s="2" t="s">
        <v>4712</v>
      </c>
      <c r="K143" s="2" t="s">
        <v>59</v>
      </c>
      <c r="L143" s="2" t="s">
        <v>60</v>
      </c>
      <c r="M143" s="3">
        <v>1</v>
      </c>
      <c r="N143" s="3">
        <v>2</v>
      </c>
      <c r="P143" s="2" t="s">
        <v>382</v>
      </c>
    </row>
    <row r="144" spans="1:16" ht="13">
      <c r="A144" s="2" t="s">
        <v>1</v>
      </c>
      <c r="B144" s="2" t="str">
        <f t="shared" si="2"/>
        <v>22-23 Academic Year</v>
      </c>
      <c r="C144" s="2">
        <v>22</v>
      </c>
      <c r="D144" s="2" t="s">
        <v>383</v>
      </c>
      <c r="E144" s="10">
        <v>44879</v>
      </c>
      <c r="F144" s="2" t="s">
        <v>69</v>
      </c>
      <c r="G144" s="2" t="s">
        <v>7</v>
      </c>
      <c r="H144" s="2" t="s">
        <v>7</v>
      </c>
      <c r="J144" s="2" t="s">
        <v>4680</v>
      </c>
      <c r="K144" s="2" t="s">
        <v>384</v>
      </c>
      <c r="L144" s="2" t="s">
        <v>4759</v>
      </c>
      <c r="M144" s="3">
        <v>4</v>
      </c>
      <c r="N144" s="3">
        <v>1</v>
      </c>
      <c r="O144" s="2" t="s">
        <v>385</v>
      </c>
      <c r="P144" s="2" t="s">
        <v>386</v>
      </c>
    </row>
    <row r="145" spans="1:16" ht="13">
      <c r="A145" s="2" t="s">
        <v>1</v>
      </c>
      <c r="B145" s="2" t="str">
        <f t="shared" si="2"/>
        <v>22-23 Academic Year</v>
      </c>
      <c r="C145" s="2">
        <v>22</v>
      </c>
      <c r="D145" s="2" t="s">
        <v>383</v>
      </c>
      <c r="E145" s="10">
        <v>44879</v>
      </c>
      <c r="F145" s="2" t="s">
        <v>69</v>
      </c>
      <c r="G145" s="2" t="s">
        <v>7</v>
      </c>
      <c r="H145" s="2" t="s">
        <v>7</v>
      </c>
      <c r="J145" s="2" t="s">
        <v>4681</v>
      </c>
      <c r="K145" s="2" t="s">
        <v>387</v>
      </c>
      <c r="L145" s="2" t="s">
        <v>4760</v>
      </c>
      <c r="M145" s="3">
        <v>4</v>
      </c>
      <c r="N145" s="3">
        <v>1</v>
      </c>
      <c r="P145" s="2" t="s">
        <v>388</v>
      </c>
    </row>
    <row r="146" spans="1:16" ht="13">
      <c r="A146" s="2" t="s">
        <v>1</v>
      </c>
      <c r="B146" s="2" t="str">
        <f t="shared" si="2"/>
        <v>22-23 Academic Year</v>
      </c>
      <c r="C146" s="2">
        <v>22</v>
      </c>
      <c r="D146" s="2" t="s">
        <v>383</v>
      </c>
      <c r="E146" s="10">
        <v>44879</v>
      </c>
      <c r="F146" s="2" t="s">
        <v>69</v>
      </c>
      <c r="G146" s="2" t="s">
        <v>7</v>
      </c>
      <c r="H146" s="2" t="s">
        <v>7</v>
      </c>
      <c r="J146" s="2" t="s">
        <v>4683</v>
      </c>
      <c r="K146" s="2" t="s">
        <v>389</v>
      </c>
      <c r="L146" s="2" t="s">
        <v>4761</v>
      </c>
      <c r="M146" s="3">
        <v>3</v>
      </c>
      <c r="N146" s="3">
        <v>1</v>
      </c>
      <c r="P146" s="2" t="s">
        <v>390</v>
      </c>
    </row>
    <row r="147" spans="1:16" ht="13">
      <c r="A147" s="2" t="s">
        <v>1</v>
      </c>
      <c r="B147" s="2" t="str">
        <f t="shared" si="2"/>
        <v>22-23 Academic Year</v>
      </c>
      <c r="C147" s="2">
        <v>22</v>
      </c>
      <c r="D147" s="2" t="s">
        <v>383</v>
      </c>
      <c r="E147" s="10">
        <v>44879</v>
      </c>
      <c r="F147" s="2" t="s">
        <v>69</v>
      </c>
      <c r="G147" s="2" t="s">
        <v>7</v>
      </c>
      <c r="H147" s="2" t="s">
        <v>7</v>
      </c>
      <c r="J147" s="2" t="s">
        <v>4684</v>
      </c>
      <c r="K147" s="2" t="s">
        <v>391</v>
      </c>
      <c r="L147" s="2" t="s">
        <v>4762</v>
      </c>
      <c r="M147" s="3"/>
      <c r="N147" s="3"/>
      <c r="P147" s="2" t="s">
        <v>392</v>
      </c>
    </row>
    <row r="148" spans="1:16" ht="13">
      <c r="A148" s="2" t="s">
        <v>1</v>
      </c>
      <c r="B148" s="2" t="str">
        <f t="shared" si="2"/>
        <v>22-23 Academic Year</v>
      </c>
      <c r="C148" s="2">
        <v>22</v>
      </c>
      <c r="D148" s="2" t="s">
        <v>383</v>
      </c>
      <c r="E148" s="10">
        <v>44879</v>
      </c>
      <c r="F148" s="2" t="s">
        <v>69</v>
      </c>
      <c r="G148" s="2" t="s">
        <v>7</v>
      </c>
      <c r="H148" s="2" t="s">
        <v>7</v>
      </c>
      <c r="J148" s="2" t="s">
        <v>4686</v>
      </c>
      <c r="K148" s="2" t="s">
        <v>393</v>
      </c>
      <c r="L148" s="2" t="s">
        <v>4763</v>
      </c>
      <c r="M148" s="3">
        <v>5</v>
      </c>
      <c r="N148" s="3">
        <v>1</v>
      </c>
      <c r="P148" s="2" t="s">
        <v>394</v>
      </c>
    </row>
    <row r="149" spans="1:16" ht="13">
      <c r="A149" s="2" t="s">
        <v>1</v>
      </c>
      <c r="B149" s="2" t="str">
        <f t="shared" si="2"/>
        <v>22-23 Academic Year</v>
      </c>
      <c r="C149" s="2">
        <v>23</v>
      </c>
      <c r="D149" s="2" t="s">
        <v>395</v>
      </c>
      <c r="E149" s="10">
        <v>44880</v>
      </c>
      <c r="F149" s="2" t="s">
        <v>20</v>
      </c>
      <c r="G149" s="2" t="s">
        <v>8</v>
      </c>
      <c r="H149" s="2" t="s">
        <v>8</v>
      </c>
      <c r="I149" s="2" t="s">
        <v>396</v>
      </c>
      <c r="J149" s="2" t="s">
        <v>4764</v>
      </c>
      <c r="K149" s="2" t="s">
        <v>397</v>
      </c>
      <c r="L149" s="2" t="s">
        <v>398</v>
      </c>
      <c r="M149" s="3">
        <v>1</v>
      </c>
      <c r="N149" s="3">
        <v>2</v>
      </c>
      <c r="P149" s="2" t="s">
        <v>399</v>
      </c>
    </row>
    <row r="150" spans="1:16" ht="13">
      <c r="A150" s="2" t="s">
        <v>1</v>
      </c>
      <c r="B150" s="2" t="str">
        <f t="shared" si="2"/>
        <v>22-23 Academic Year</v>
      </c>
      <c r="C150" s="2">
        <v>23</v>
      </c>
      <c r="D150" s="2" t="s">
        <v>395</v>
      </c>
      <c r="E150" s="10">
        <v>44880</v>
      </c>
      <c r="F150" s="2" t="s">
        <v>20</v>
      </c>
      <c r="G150" s="2" t="s">
        <v>8</v>
      </c>
      <c r="H150" s="2" t="s">
        <v>8</v>
      </c>
      <c r="I150" s="2" t="s">
        <v>396</v>
      </c>
      <c r="J150" s="2" t="s">
        <v>4765</v>
      </c>
      <c r="K150" s="2" t="s">
        <v>420</v>
      </c>
      <c r="L150" s="2" t="s">
        <v>1700</v>
      </c>
      <c r="M150" s="3">
        <v>1</v>
      </c>
      <c r="N150" s="3">
        <v>1</v>
      </c>
      <c r="P150" s="2" t="s">
        <v>421</v>
      </c>
    </row>
    <row r="151" spans="1:16" ht="13">
      <c r="A151" s="2" t="s">
        <v>1</v>
      </c>
      <c r="B151" s="2" t="str">
        <f t="shared" si="2"/>
        <v>22-23 Academic Year</v>
      </c>
      <c r="C151" s="2">
        <v>23</v>
      </c>
      <c r="D151" s="2" t="s">
        <v>395</v>
      </c>
      <c r="E151" s="10">
        <v>44880</v>
      </c>
      <c r="F151" s="2" t="s">
        <v>20</v>
      </c>
      <c r="G151" s="2" t="s">
        <v>8</v>
      </c>
      <c r="H151" s="2" t="s">
        <v>8</v>
      </c>
      <c r="I151" s="2" t="s">
        <v>396</v>
      </c>
      <c r="J151" s="2" t="s">
        <v>4766</v>
      </c>
      <c r="K151" s="2" t="s">
        <v>400</v>
      </c>
      <c r="L151" s="2" t="s">
        <v>4767</v>
      </c>
      <c r="M151" s="3">
        <v>1</v>
      </c>
      <c r="N151" s="3">
        <v>1</v>
      </c>
      <c r="P151" s="2" t="s">
        <v>401</v>
      </c>
    </row>
    <row r="152" spans="1:16" ht="13">
      <c r="A152" s="2" t="s">
        <v>1</v>
      </c>
      <c r="B152" s="2" t="str">
        <f t="shared" si="2"/>
        <v>22-23 Academic Year</v>
      </c>
      <c r="C152" s="2">
        <v>23</v>
      </c>
      <c r="D152" s="2" t="s">
        <v>395</v>
      </c>
      <c r="E152" s="10">
        <v>44880</v>
      </c>
      <c r="F152" s="2" t="s">
        <v>20</v>
      </c>
      <c r="G152" s="2" t="s">
        <v>8</v>
      </c>
      <c r="H152" s="2" t="s">
        <v>8</v>
      </c>
      <c r="I152" s="2" t="s">
        <v>396</v>
      </c>
      <c r="J152" s="2" t="s">
        <v>4768</v>
      </c>
      <c r="K152" s="2" t="s">
        <v>402</v>
      </c>
      <c r="L152" s="2" t="s">
        <v>403</v>
      </c>
      <c r="M152" s="3">
        <v>1</v>
      </c>
      <c r="N152" s="3">
        <v>2</v>
      </c>
      <c r="P152" s="2" t="s">
        <v>404</v>
      </c>
    </row>
    <row r="153" spans="1:16" ht="13">
      <c r="A153" s="2" t="s">
        <v>1</v>
      </c>
      <c r="B153" s="2" t="str">
        <f t="shared" si="2"/>
        <v>22-23 Academic Year</v>
      </c>
      <c r="C153" s="2">
        <v>23</v>
      </c>
      <c r="D153" s="2" t="s">
        <v>395</v>
      </c>
      <c r="E153" s="10">
        <v>44880</v>
      </c>
      <c r="F153" s="2" t="s">
        <v>20</v>
      </c>
      <c r="G153" s="2" t="s">
        <v>8</v>
      </c>
      <c r="H153" s="2" t="s">
        <v>8</v>
      </c>
      <c r="I153" s="2" t="s">
        <v>396</v>
      </c>
      <c r="J153" s="2" t="s">
        <v>4769</v>
      </c>
      <c r="K153" s="2" t="s">
        <v>405</v>
      </c>
      <c r="L153" s="2" t="s">
        <v>4770</v>
      </c>
      <c r="M153" s="3">
        <v>1</v>
      </c>
      <c r="N153" s="3">
        <v>1</v>
      </c>
      <c r="P153" s="2" t="s">
        <v>406</v>
      </c>
    </row>
    <row r="154" spans="1:16" ht="13">
      <c r="A154" s="2" t="s">
        <v>1</v>
      </c>
      <c r="B154" s="2" t="str">
        <f t="shared" si="2"/>
        <v>22-23 Academic Year</v>
      </c>
      <c r="C154" s="2">
        <v>23</v>
      </c>
      <c r="D154" s="2" t="s">
        <v>395</v>
      </c>
      <c r="E154" s="10">
        <v>44880</v>
      </c>
      <c r="F154" s="2" t="s">
        <v>20</v>
      </c>
      <c r="G154" s="2" t="s">
        <v>8</v>
      </c>
      <c r="H154" s="2" t="s">
        <v>8</v>
      </c>
      <c r="I154" s="2" t="s">
        <v>396</v>
      </c>
      <c r="J154" s="2" t="s">
        <v>4771</v>
      </c>
      <c r="K154" s="2" t="s">
        <v>407</v>
      </c>
      <c r="L154" s="2" t="s">
        <v>4772</v>
      </c>
      <c r="M154" s="3">
        <v>3</v>
      </c>
      <c r="N154" s="3">
        <v>2</v>
      </c>
      <c r="O154" s="2" t="s">
        <v>408</v>
      </c>
      <c r="P154" s="2" t="s">
        <v>409</v>
      </c>
    </row>
    <row r="155" spans="1:16" ht="13">
      <c r="A155" s="2" t="s">
        <v>1</v>
      </c>
      <c r="B155" s="2" t="str">
        <f t="shared" si="2"/>
        <v>22-23 Academic Year</v>
      </c>
      <c r="C155" s="2">
        <v>23</v>
      </c>
      <c r="D155" s="2" t="s">
        <v>395</v>
      </c>
      <c r="E155" s="10">
        <v>44880</v>
      </c>
      <c r="F155" s="2" t="s">
        <v>20</v>
      </c>
      <c r="G155" s="2" t="s">
        <v>8</v>
      </c>
      <c r="H155" s="2" t="s">
        <v>8</v>
      </c>
      <c r="I155" s="2" t="s">
        <v>396</v>
      </c>
      <c r="J155" s="2" t="s">
        <v>4773</v>
      </c>
      <c r="K155" s="2" t="s">
        <v>410</v>
      </c>
      <c r="L155" s="2" t="s">
        <v>4774</v>
      </c>
      <c r="M155" s="3">
        <v>1</v>
      </c>
      <c r="N155" s="3">
        <v>2</v>
      </c>
      <c r="O155" s="2" t="s">
        <v>411</v>
      </c>
      <c r="P155" s="2" t="s">
        <v>412</v>
      </c>
    </row>
    <row r="156" spans="1:16" ht="13">
      <c r="A156" s="2" t="s">
        <v>1</v>
      </c>
      <c r="B156" s="2" t="str">
        <f t="shared" si="2"/>
        <v>22-23 Academic Year</v>
      </c>
      <c r="C156" s="2">
        <v>23</v>
      </c>
      <c r="D156" s="2" t="s">
        <v>395</v>
      </c>
      <c r="E156" s="10">
        <v>44880</v>
      </c>
      <c r="F156" s="2" t="s">
        <v>20</v>
      </c>
      <c r="G156" s="2" t="s">
        <v>8</v>
      </c>
      <c r="H156" s="2" t="s">
        <v>8</v>
      </c>
      <c r="I156" s="2" t="s">
        <v>396</v>
      </c>
      <c r="J156" s="2" t="s">
        <v>4775</v>
      </c>
      <c r="K156" s="2" t="s">
        <v>262</v>
      </c>
      <c r="L156" s="2" t="s">
        <v>4728</v>
      </c>
      <c r="M156" s="3">
        <v>1</v>
      </c>
      <c r="N156" s="3">
        <v>2</v>
      </c>
      <c r="O156" s="2" t="s">
        <v>413</v>
      </c>
      <c r="P156" s="2" t="s">
        <v>414</v>
      </c>
    </row>
    <row r="157" spans="1:16" ht="13">
      <c r="A157" s="2" t="s">
        <v>1</v>
      </c>
      <c r="B157" s="2" t="str">
        <f t="shared" si="2"/>
        <v>22-23 Academic Year</v>
      </c>
      <c r="C157" s="2">
        <v>23</v>
      </c>
      <c r="D157" s="2" t="s">
        <v>395</v>
      </c>
      <c r="E157" s="10">
        <v>44880</v>
      </c>
      <c r="F157" s="2" t="s">
        <v>20</v>
      </c>
      <c r="G157" s="2" t="s">
        <v>8</v>
      </c>
      <c r="H157" s="2" t="s">
        <v>8</v>
      </c>
      <c r="I157" s="2" t="s">
        <v>396</v>
      </c>
      <c r="J157" s="2" t="s">
        <v>4776</v>
      </c>
      <c r="K157" s="2" t="s">
        <v>415</v>
      </c>
      <c r="L157" s="2" t="s">
        <v>4777</v>
      </c>
      <c r="M157" s="3">
        <v>1</v>
      </c>
      <c r="N157" s="3">
        <v>1</v>
      </c>
      <c r="O157" s="2" t="s">
        <v>416</v>
      </c>
      <c r="P157" s="2" t="s">
        <v>417</v>
      </c>
    </row>
    <row r="158" spans="1:16" ht="13">
      <c r="A158" s="2" t="s">
        <v>1</v>
      </c>
      <c r="B158" s="2" t="str">
        <f t="shared" si="2"/>
        <v>22-23 Academic Year</v>
      </c>
      <c r="C158" s="2">
        <v>23</v>
      </c>
      <c r="D158" s="2" t="s">
        <v>395</v>
      </c>
      <c r="E158" s="10">
        <v>44880</v>
      </c>
      <c r="F158" s="2" t="s">
        <v>20</v>
      </c>
      <c r="G158" s="2" t="s">
        <v>8</v>
      </c>
      <c r="H158" s="2" t="s">
        <v>8</v>
      </c>
      <c r="I158" s="2" t="s">
        <v>396</v>
      </c>
      <c r="J158" s="2" t="s">
        <v>4778</v>
      </c>
      <c r="K158" s="2" t="s">
        <v>418</v>
      </c>
      <c r="L158" s="2" t="s">
        <v>4779</v>
      </c>
      <c r="M158" s="3">
        <v>1</v>
      </c>
      <c r="N158" s="3">
        <v>1</v>
      </c>
      <c r="P158" s="2" t="s">
        <v>419</v>
      </c>
    </row>
    <row r="159" spans="1:16" ht="13">
      <c r="A159" s="2" t="s">
        <v>1</v>
      </c>
      <c r="B159" s="2" t="str">
        <f t="shared" si="2"/>
        <v>22-23 Academic Year</v>
      </c>
      <c r="C159" s="2">
        <v>24</v>
      </c>
      <c r="D159" s="2" t="s">
        <v>422</v>
      </c>
      <c r="E159" s="10">
        <v>44881</v>
      </c>
      <c r="F159" s="2" t="s">
        <v>20</v>
      </c>
      <c r="G159" s="2" t="s">
        <v>21</v>
      </c>
      <c r="H159" s="2" t="s">
        <v>6</v>
      </c>
      <c r="I159" s="2" t="s">
        <v>423</v>
      </c>
      <c r="J159" s="2" t="s">
        <v>4680</v>
      </c>
      <c r="K159" s="2" t="s">
        <v>424</v>
      </c>
      <c r="L159" s="2" t="s">
        <v>4780</v>
      </c>
      <c r="M159" s="3">
        <v>1</v>
      </c>
      <c r="N159" s="3">
        <v>2</v>
      </c>
      <c r="P159" s="2" t="s">
        <v>425</v>
      </c>
    </row>
    <row r="160" spans="1:16" ht="13">
      <c r="A160" s="2" t="s">
        <v>1</v>
      </c>
      <c r="B160" s="2" t="str">
        <f t="shared" si="2"/>
        <v>22-23 Academic Year</v>
      </c>
      <c r="C160" s="2">
        <v>24</v>
      </c>
      <c r="D160" s="2" t="s">
        <v>422</v>
      </c>
      <c r="E160" s="10">
        <v>44881</v>
      </c>
      <c r="F160" s="2" t="s">
        <v>20</v>
      </c>
      <c r="G160" s="2" t="s">
        <v>21</v>
      </c>
      <c r="H160" s="2" t="s">
        <v>6</v>
      </c>
      <c r="I160" s="2" t="s">
        <v>423</v>
      </c>
      <c r="J160" s="2" t="s">
        <v>4681</v>
      </c>
      <c r="K160" s="2" t="s">
        <v>426</v>
      </c>
      <c r="L160" s="2" t="s">
        <v>4781</v>
      </c>
      <c r="M160" s="3">
        <v>1</v>
      </c>
      <c r="N160" s="3">
        <v>1</v>
      </c>
      <c r="P160" s="2" t="s">
        <v>427</v>
      </c>
    </row>
    <row r="161" spans="1:16" ht="13">
      <c r="A161" s="2" t="s">
        <v>1</v>
      </c>
      <c r="B161" s="2" t="str">
        <f t="shared" si="2"/>
        <v>22-23 Academic Year</v>
      </c>
      <c r="C161" s="2">
        <v>24</v>
      </c>
      <c r="D161" s="2" t="s">
        <v>422</v>
      </c>
      <c r="E161" s="10">
        <v>44881</v>
      </c>
      <c r="F161" s="2" t="s">
        <v>20</v>
      </c>
      <c r="G161" s="2" t="s">
        <v>21</v>
      </c>
      <c r="H161" s="2" t="s">
        <v>6</v>
      </c>
      <c r="I161" s="2" t="s">
        <v>423</v>
      </c>
      <c r="J161" s="2" t="s">
        <v>4683</v>
      </c>
      <c r="K161" s="2" t="s">
        <v>181</v>
      </c>
      <c r="L161" s="2" t="s">
        <v>4717</v>
      </c>
      <c r="M161" s="3">
        <v>3</v>
      </c>
      <c r="N161" s="3">
        <v>1</v>
      </c>
      <c r="P161" s="2" t="s">
        <v>428</v>
      </c>
    </row>
    <row r="162" spans="1:16" ht="13">
      <c r="A162" s="2" t="s">
        <v>1</v>
      </c>
      <c r="B162" s="2" t="str">
        <f t="shared" si="2"/>
        <v>22-23 Academic Year</v>
      </c>
      <c r="C162" s="2">
        <v>24</v>
      </c>
      <c r="D162" s="2" t="s">
        <v>422</v>
      </c>
      <c r="E162" s="10">
        <v>44881</v>
      </c>
      <c r="F162" s="2" t="s">
        <v>20</v>
      </c>
      <c r="G162" s="2" t="s">
        <v>21</v>
      </c>
      <c r="H162" s="2" t="s">
        <v>6</v>
      </c>
      <c r="I162" s="2" t="s">
        <v>423</v>
      </c>
      <c r="J162" s="2" t="s">
        <v>4684</v>
      </c>
      <c r="K162" s="2" t="s">
        <v>429</v>
      </c>
      <c r="L162" s="2" t="s">
        <v>1732</v>
      </c>
      <c r="M162" s="3">
        <v>3</v>
      </c>
      <c r="N162" s="3">
        <v>1</v>
      </c>
      <c r="P162" s="2" t="s">
        <v>430</v>
      </c>
    </row>
    <row r="163" spans="1:16" ht="13">
      <c r="A163" s="2" t="s">
        <v>1</v>
      </c>
      <c r="B163" s="2" t="str">
        <f t="shared" si="2"/>
        <v>22-23 Academic Year</v>
      </c>
      <c r="C163" s="2">
        <v>24</v>
      </c>
      <c r="D163" s="2" t="s">
        <v>422</v>
      </c>
      <c r="E163" s="10">
        <v>44881</v>
      </c>
      <c r="F163" s="2" t="s">
        <v>20</v>
      </c>
      <c r="G163" s="2" t="s">
        <v>21</v>
      </c>
      <c r="H163" s="2" t="s">
        <v>6</v>
      </c>
      <c r="I163" s="2" t="s">
        <v>423</v>
      </c>
      <c r="J163" s="2" t="s">
        <v>4686</v>
      </c>
      <c r="K163" s="2" t="s">
        <v>431</v>
      </c>
      <c r="L163" s="2" t="s">
        <v>1360</v>
      </c>
      <c r="M163" s="3">
        <v>1</v>
      </c>
      <c r="N163" s="3">
        <v>2</v>
      </c>
      <c r="P163" s="2" t="s">
        <v>432</v>
      </c>
    </row>
    <row r="164" spans="1:16" ht="13">
      <c r="A164" s="2" t="s">
        <v>1</v>
      </c>
      <c r="B164" s="2" t="str">
        <f t="shared" si="2"/>
        <v>22-23 Academic Year</v>
      </c>
      <c r="C164" s="2">
        <v>25</v>
      </c>
      <c r="D164" s="2" t="s">
        <v>433</v>
      </c>
      <c r="E164" s="10">
        <v>44882</v>
      </c>
      <c r="F164" s="2" t="s">
        <v>69</v>
      </c>
      <c r="G164" s="2" t="s">
        <v>131</v>
      </c>
      <c r="H164" s="2" t="s">
        <v>6</v>
      </c>
      <c r="I164" s="2" t="s">
        <v>434</v>
      </c>
      <c r="J164" s="2" t="s">
        <v>4680</v>
      </c>
      <c r="K164" s="2" t="s">
        <v>435</v>
      </c>
      <c r="L164" s="2" t="s">
        <v>436</v>
      </c>
      <c r="M164" s="3">
        <v>2</v>
      </c>
      <c r="N164" s="3">
        <v>2</v>
      </c>
      <c r="P164" s="2" t="s">
        <v>437</v>
      </c>
    </row>
    <row r="165" spans="1:16" ht="13">
      <c r="A165" s="2" t="s">
        <v>1</v>
      </c>
      <c r="B165" s="2" t="str">
        <f t="shared" si="2"/>
        <v>22-23 Academic Year</v>
      </c>
      <c r="C165" s="2">
        <v>25</v>
      </c>
      <c r="D165" s="2" t="s">
        <v>433</v>
      </c>
      <c r="E165" s="10">
        <v>44882</v>
      </c>
      <c r="F165" s="2" t="s">
        <v>69</v>
      </c>
      <c r="G165" s="2" t="s">
        <v>131</v>
      </c>
      <c r="H165" s="2" t="s">
        <v>6</v>
      </c>
      <c r="I165" s="2" t="s">
        <v>434</v>
      </c>
      <c r="J165" s="2" t="s">
        <v>4681</v>
      </c>
      <c r="K165" s="2" t="s">
        <v>64</v>
      </c>
      <c r="L165" s="2" t="s">
        <v>4691</v>
      </c>
      <c r="M165" s="3"/>
      <c r="N165" s="3"/>
      <c r="P165" s="2" t="s">
        <v>438</v>
      </c>
    </row>
    <row r="166" spans="1:16" ht="13">
      <c r="A166" s="2" t="s">
        <v>1</v>
      </c>
      <c r="B166" s="2" t="str">
        <f t="shared" si="2"/>
        <v>22-23 Academic Year</v>
      </c>
      <c r="C166" s="2">
        <v>25</v>
      </c>
      <c r="D166" s="2" t="s">
        <v>433</v>
      </c>
      <c r="E166" s="10">
        <v>44882</v>
      </c>
      <c r="F166" s="2" t="s">
        <v>69</v>
      </c>
      <c r="G166" s="2" t="s">
        <v>131</v>
      </c>
      <c r="H166" s="2" t="s">
        <v>6</v>
      </c>
      <c r="I166" s="2" t="s">
        <v>434</v>
      </c>
      <c r="J166" s="2" t="s">
        <v>4683</v>
      </c>
      <c r="K166" s="2" t="s">
        <v>439</v>
      </c>
      <c r="L166" s="2" t="s">
        <v>2667</v>
      </c>
      <c r="M166" s="3">
        <v>1</v>
      </c>
      <c r="N166" s="3">
        <v>2</v>
      </c>
      <c r="P166" s="2" t="s">
        <v>440</v>
      </c>
    </row>
    <row r="167" spans="1:16" ht="13">
      <c r="A167" s="2" t="s">
        <v>1</v>
      </c>
      <c r="B167" s="2" t="str">
        <f t="shared" si="2"/>
        <v>22-23 Academic Year</v>
      </c>
      <c r="C167" s="2">
        <v>25</v>
      </c>
      <c r="D167" s="2" t="s">
        <v>433</v>
      </c>
      <c r="E167" s="10">
        <v>44882</v>
      </c>
      <c r="F167" s="2" t="s">
        <v>69</v>
      </c>
      <c r="G167" s="2" t="s">
        <v>131</v>
      </c>
      <c r="H167" s="2" t="s">
        <v>6</v>
      </c>
      <c r="I167" s="2" t="s">
        <v>434</v>
      </c>
      <c r="J167" s="2" t="s">
        <v>4684</v>
      </c>
      <c r="K167" s="2" t="s">
        <v>371</v>
      </c>
      <c r="L167" s="2" t="s">
        <v>372</v>
      </c>
      <c r="M167" s="3">
        <v>1</v>
      </c>
      <c r="N167" s="3">
        <v>2</v>
      </c>
      <c r="P167" s="2" t="s">
        <v>441</v>
      </c>
    </row>
    <row r="168" spans="1:16" ht="13">
      <c r="A168" s="2" t="s">
        <v>1</v>
      </c>
      <c r="B168" s="2" t="str">
        <f t="shared" si="2"/>
        <v>22-23 Academic Year</v>
      </c>
      <c r="C168" s="2">
        <v>25</v>
      </c>
      <c r="D168" s="2" t="s">
        <v>433</v>
      </c>
      <c r="E168" s="10">
        <v>44882</v>
      </c>
      <c r="F168" s="2" t="s">
        <v>69</v>
      </c>
      <c r="G168" s="2" t="s">
        <v>131</v>
      </c>
      <c r="H168" s="2" t="s">
        <v>6</v>
      </c>
      <c r="I168" s="2" t="s">
        <v>434</v>
      </c>
      <c r="J168" s="2" t="s">
        <v>4686</v>
      </c>
      <c r="K168" s="2" t="s">
        <v>374</v>
      </c>
      <c r="L168" s="2" t="s">
        <v>1680</v>
      </c>
      <c r="M168" s="3">
        <v>1</v>
      </c>
      <c r="N168" s="3">
        <v>2</v>
      </c>
      <c r="P168" s="2" t="s">
        <v>442</v>
      </c>
    </row>
    <row r="169" spans="1:16" ht="13">
      <c r="A169" s="2" t="s">
        <v>1</v>
      </c>
      <c r="B169" s="2" t="str">
        <f t="shared" si="2"/>
        <v>22-23 Academic Year</v>
      </c>
      <c r="C169" s="2">
        <v>26</v>
      </c>
      <c r="E169" s="10">
        <v>44885</v>
      </c>
      <c r="F169" s="2" t="s">
        <v>69</v>
      </c>
      <c r="G169" s="2" t="s">
        <v>7</v>
      </c>
      <c r="H169" s="2" t="s">
        <v>7</v>
      </c>
      <c r="J169" s="2" t="s">
        <v>4665</v>
      </c>
      <c r="K169" s="2" t="s">
        <v>443</v>
      </c>
      <c r="L169" s="2" t="s">
        <v>1616</v>
      </c>
      <c r="M169" s="3">
        <v>1</v>
      </c>
      <c r="N169" s="3">
        <v>2</v>
      </c>
      <c r="P169" s="2" t="s">
        <v>444</v>
      </c>
    </row>
    <row r="170" spans="1:16" ht="13">
      <c r="A170" s="2" t="s">
        <v>1</v>
      </c>
      <c r="B170" s="2" t="str">
        <f t="shared" si="2"/>
        <v>22-23 Academic Year</v>
      </c>
      <c r="C170" s="2">
        <v>26</v>
      </c>
      <c r="E170" s="10">
        <v>44885</v>
      </c>
      <c r="F170" s="2" t="s">
        <v>69</v>
      </c>
      <c r="G170" s="2" t="s">
        <v>7</v>
      </c>
      <c r="H170" s="2" t="s">
        <v>7</v>
      </c>
      <c r="J170" s="2" t="s">
        <v>4666</v>
      </c>
      <c r="K170" s="2" t="s">
        <v>445</v>
      </c>
      <c r="L170" s="2" t="s">
        <v>4782</v>
      </c>
      <c r="M170" s="3">
        <v>2</v>
      </c>
      <c r="N170" s="3">
        <v>2</v>
      </c>
      <c r="O170" s="2" t="s">
        <v>446</v>
      </c>
      <c r="P170" s="2" t="s">
        <v>447</v>
      </c>
    </row>
    <row r="171" spans="1:16" ht="13">
      <c r="A171" s="2" t="s">
        <v>1</v>
      </c>
      <c r="B171" s="2" t="str">
        <f t="shared" si="2"/>
        <v>22-23 Academic Year</v>
      </c>
      <c r="C171" s="2">
        <v>26</v>
      </c>
      <c r="E171" s="10">
        <v>44885</v>
      </c>
      <c r="F171" s="2" t="s">
        <v>69</v>
      </c>
      <c r="G171" s="2" t="s">
        <v>7</v>
      </c>
      <c r="H171" s="2" t="s">
        <v>7</v>
      </c>
      <c r="J171" s="2" t="s">
        <v>4668</v>
      </c>
      <c r="K171" s="2" t="s">
        <v>443</v>
      </c>
      <c r="L171" s="2" t="s">
        <v>1616</v>
      </c>
      <c r="M171" s="3">
        <v>1</v>
      </c>
      <c r="N171" s="3">
        <v>2</v>
      </c>
      <c r="P171" s="2" t="s">
        <v>448</v>
      </c>
    </row>
    <row r="172" spans="1:16" ht="13">
      <c r="A172" s="2" t="s">
        <v>1</v>
      </c>
      <c r="B172" s="2" t="str">
        <f t="shared" si="2"/>
        <v>22-23 Academic Year</v>
      </c>
      <c r="C172" s="2">
        <v>27</v>
      </c>
      <c r="D172" s="2" t="s">
        <v>449</v>
      </c>
      <c r="E172" s="10">
        <v>44886</v>
      </c>
      <c r="F172" s="2" t="s">
        <v>69</v>
      </c>
      <c r="G172" s="2" t="s">
        <v>8</v>
      </c>
      <c r="H172" s="2" t="s">
        <v>8</v>
      </c>
      <c r="J172" s="2" t="s">
        <v>4687</v>
      </c>
      <c r="K172" s="2" t="s">
        <v>450</v>
      </c>
      <c r="L172" s="2" t="s">
        <v>4783</v>
      </c>
      <c r="M172" s="3">
        <v>1</v>
      </c>
      <c r="N172" s="3">
        <v>1</v>
      </c>
      <c r="P172" s="2" t="s">
        <v>451</v>
      </c>
    </row>
    <row r="173" spans="1:16" ht="13">
      <c r="A173" s="2" t="s">
        <v>1</v>
      </c>
      <c r="B173" s="2" t="str">
        <f t="shared" si="2"/>
        <v>22-23 Academic Year</v>
      </c>
      <c r="C173" s="2">
        <v>27</v>
      </c>
      <c r="D173" s="2" t="s">
        <v>449</v>
      </c>
      <c r="E173" s="10">
        <v>44886</v>
      </c>
      <c r="F173" s="2" t="s">
        <v>69</v>
      </c>
      <c r="G173" s="2" t="s">
        <v>8</v>
      </c>
      <c r="H173" s="2" t="s">
        <v>8</v>
      </c>
      <c r="J173" s="2" t="s">
        <v>4688</v>
      </c>
      <c r="K173" s="2" t="s">
        <v>452</v>
      </c>
      <c r="L173" s="2" t="s">
        <v>453</v>
      </c>
      <c r="M173" s="3">
        <v>1</v>
      </c>
      <c r="N173" s="3">
        <v>2</v>
      </c>
      <c r="P173" s="2" t="s">
        <v>454</v>
      </c>
    </row>
    <row r="174" spans="1:16" ht="13">
      <c r="A174" s="2" t="s">
        <v>1</v>
      </c>
      <c r="B174" s="2" t="str">
        <f t="shared" si="2"/>
        <v>22-23 Academic Year</v>
      </c>
      <c r="C174" s="2">
        <v>27</v>
      </c>
      <c r="D174" s="2" t="s">
        <v>449</v>
      </c>
      <c r="E174" s="10">
        <v>44886</v>
      </c>
      <c r="F174" s="2" t="s">
        <v>69</v>
      </c>
      <c r="G174" s="2" t="s">
        <v>8</v>
      </c>
      <c r="H174" s="2" t="s">
        <v>8</v>
      </c>
      <c r="J174" s="2" t="s">
        <v>4690</v>
      </c>
      <c r="K174" s="2" t="s">
        <v>455</v>
      </c>
      <c r="L174" s="2" t="s">
        <v>456</v>
      </c>
      <c r="M174" s="3">
        <v>2</v>
      </c>
      <c r="N174" s="3">
        <v>1</v>
      </c>
      <c r="P174" s="2" t="s">
        <v>457</v>
      </c>
    </row>
    <row r="175" spans="1:16" ht="13">
      <c r="A175" s="2" t="s">
        <v>1</v>
      </c>
      <c r="B175" s="2" t="str">
        <f t="shared" si="2"/>
        <v>22-23 Academic Year</v>
      </c>
      <c r="C175" s="2">
        <v>27</v>
      </c>
      <c r="D175" s="2" t="s">
        <v>449</v>
      </c>
      <c r="E175" s="10">
        <v>44886</v>
      </c>
      <c r="F175" s="2" t="s">
        <v>69</v>
      </c>
      <c r="G175" s="2" t="s">
        <v>8</v>
      </c>
      <c r="H175" s="2" t="s">
        <v>8</v>
      </c>
      <c r="J175" s="2" t="s">
        <v>4692</v>
      </c>
      <c r="K175" s="2" t="s">
        <v>458</v>
      </c>
      <c r="L175" s="2" t="s">
        <v>4784</v>
      </c>
      <c r="M175" s="3">
        <v>1</v>
      </c>
      <c r="N175" s="3">
        <v>2</v>
      </c>
      <c r="P175" s="2" t="s">
        <v>459</v>
      </c>
    </row>
    <row r="176" spans="1:16" ht="13">
      <c r="A176" s="2" t="s">
        <v>1</v>
      </c>
      <c r="B176" s="2" t="str">
        <f t="shared" si="2"/>
        <v>22-23 Academic Year</v>
      </c>
      <c r="C176" s="2">
        <v>27</v>
      </c>
      <c r="D176" s="2" t="s">
        <v>460</v>
      </c>
      <c r="E176" s="10">
        <v>44885</v>
      </c>
      <c r="F176" s="2" t="s">
        <v>69</v>
      </c>
      <c r="G176" s="2" t="s">
        <v>131</v>
      </c>
      <c r="H176" s="2" t="s">
        <v>6</v>
      </c>
      <c r="I176" s="2" t="s">
        <v>434</v>
      </c>
      <c r="J176" s="2" t="s">
        <v>4680</v>
      </c>
      <c r="K176" s="2" t="s">
        <v>461</v>
      </c>
      <c r="L176" s="2" t="s">
        <v>461</v>
      </c>
      <c r="M176" s="3">
        <v>3</v>
      </c>
      <c r="N176" s="3">
        <v>1</v>
      </c>
      <c r="P176" s="2" t="s">
        <v>462</v>
      </c>
    </row>
    <row r="177" spans="1:16" ht="13">
      <c r="A177" s="2" t="s">
        <v>1</v>
      </c>
      <c r="B177" s="2" t="str">
        <f t="shared" si="2"/>
        <v>22-23 Academic Year</v>
      </c>
      <c r="C177" s="2">
        <v>27</v>
      </c>
      <c r="D177" s="2" t="s">
        <v>460</v>
      </c>
      <c r="E177" s="10">
        <v>44885</v>
      </c>
      <c r="F177" s="2" t="s">
        <v>69</v>
      </c>
      <c r="G177" s="2" t="s">
        <v>131</v>
      </c>
      <c r="H177" s="2" t="s">
        <v>6</v>
      </c>
      <c r="I177" s="2" t="s">
        <v>434</v>
      </c>
      <c r="J177" s="2" t="s">
        <v>4681</v>
      </c>
      <c r="K177" s="2" t="s">
        <v>463</v>
      </c>
      <c r="L177" s="2" t="s">
        <v>464</v>
      </c>
      <c r="M177" s="3">
        <v>3</v>
      </c>
      <c r="N177" s="3">
        <v>1</v>
      </c>
      <c r="P177" s="2" t="s">
        <v>465</v>
      </c>
    </row>
    <row r="178" spans="1:16" ht="13">
      <c r="A178" s="2" t="s">
        <v>1</v>
      </c>
      <c r="B178" s="2" t="str">
        <f t="shared" si="2"/>
        <v>22-23 Academic Year</v>
      </c>
      <c r="C178" s="2">
        <v>27</v>
      </c>
      <c r="D178" s="2" t="s">
        <v>460</v>
      </c>
      <c r="E178" s="10">
        <v>44885</v>
      </c>
      <c r="F178" s="2" t="s">
        <v>69</v>
      </c>
      <c r="G178" s="2" t="s">
        <v>131</v>
      </c>
      <c r="H178" s="2" t="s">
        <v>6</v>
      </c>
      <c r="I178" s="2" t="s">
        <v>434</v>
      </c>
      <c r="J178" s="2" t="s">
        <v>4683</v>
      </c>
      <c r="K178" s="2" t="s">
        <v>466</v>
      </c>
      <c r="L178" s="2" t="s">
        <v>466</v>
      </c>
      <c r="M178" s="3">
        <v>3</v>
      </c>
      <c r="N178" s="3">
        <v>1</v>
      </c>
      <c r="P178" s="2" t="s">
        <v>467</v>
      </c>
    </row>
    <row r="179" spans="1:16" ht="13">
      <c r="A179" s="2" t="s">
        <v>1</v>
      </c>
      <c r="B179" s="2" t="str">
        <f t="shared" si="2"/>
        <v>22-23 Academic Year</v>
      </c>
      <c r="C179" s="2">
        <v>27</v>
      </c>
      <c r="D179" s="2" t="s">
        <v>460</v>
      </c>
      <c r="E179" s="10">
        <v>44885</v>
      </c>
      <c r="F179" s="2" t="s">
        <v>69</v>
      </c>
      <c r="G179" s="2" t="s">
        <v>131</v>
      </c>
      <c r="H179" s="2" t="s">
        <v>6</v>
      </c>
      <c r="I179" s="2" t="s">
        <v>434</v>
      </c>
      <c r="J179" s="2" t="s">
        <v>4684</v>
      </c>
      <c r="K179" s="2" t="s">
        <v>466</v>
      </c>
      <c r="L179" s="2" t="s">
        <v>466</v>
      </c>
      <c r="M179" s="3">
        <v>3</v>
      </c>
      <c r="N179" s="3">
        <v>1</v>
      </c>
      <c r="P179" s="2" t="s">
        <v>468</v>
      </c>
    </row>
    <row r="180" spans="1:16" ht="13">
      <c r="A180" s="2" t="s">
        <v>1</v>
      </c>
      <c r="B180" s="2" t="str">
        <f t="shared" si="2"/>
        <v>22-23 Academic Year</v>
      </c>
      <c r="C180" s="2">
        <v>27</v>
      </c>
      <c r="D180" s="2" t="s">
        <v>460</v>
      </c>
      <c r="E180" s="10">
        <v>44885</v>
      </c>
      <c r="F180" s="2" t="s">
        <v>69</v>
      </c>
      <c r="G180" s="2" t="s">
        <v>131</v>
      </c>
      <c r="H180" s="2" t="s">
        <v>6</v>
      </c>
      <c r="I180" s="2" t="s">
        <v>434</v>
      </c>
      <c r="J180" s="2" t="s">
        <v>4686</v>
      </c>
      <c r="K180" s="2" t="s">
        <v>461</v>
      </c>
      <c r="L180" s="2" t="s">
        <v>461</v>
      </c>
      <c r="M180" s="3">
        <v>3</v>
      </c>
      <c r="N180" s="3">
        <v>1</v>
      </c>
      <c r="P180" s="2" t="s">
        <v>469</v>
      </c>
    </row>
    <row r="181" spans="1:16" ht="13">
      <c r="A181" s="2" t="s">
        <v>1</v>
      </c>
      <c r="B181" s="2" t="str">
        <f t="shared" si="2"/>
        <v>22-23 Academic Year</v>
      </c>
      <c r="C181" s="2">
        <v>28</v>
      </c>
      <c r="D181" s="2" t="s">
        <v>449</v>
      </c>
      <c r="E181" s="10">
        <v>44893</v>
      </c>
      <c r="F181" s="2" t="s">
        <v>69</v>
      </c>
      <c r="G181" s="2" t="s">
        <v>8</v>
      </c>
      <c r="H181" s="2" t="s">
        <v>8</v>
      </c>
      <c r="J181" s="2" t="s">
        <v>4687</v>
      </c>
      <c r="K181" s="2" t="s">
        <v>470</v>
      </c>
      <c r="L181" s="2" t="s">
        <v>4785</v>
      </c>
      <c r="M181" s="3">
        <v>1</v>
      </c>
      <c r="N181" s="3">
        <v>2</v>
      </c>
      <c r="P181" s="2" t="s">
        <v>471</v>
      </c>
    </row>
    <row r="182" spans="1:16" ht="13">
      <c r="A182" s="2" t="s">
        <v>1</v>
      </c>
      <c r="B182" s="2" t="str">
        <f t="shared" si="2"/>
        <v>22-23 Academic Year</v>
      </c>
      <c r="C182" s="2">
        <v>28</v>
      </c>
      <c r="D182" s="2" t="s">
        <v>449</v>
      </c>
      <c r="E182" s="10">
        <v>44893</v>
      </c>
      <c r="F182" s="2" t="s">
        <v>69</v>
      </c>
      <c r="G182" s="2" t="s">
        <v>8</v>
      </c>
      <c r="H182" s="2" t="s">
        <v>8</v>
      </c>
      <c r="J182" s="2" t="s">
        <v>4688</v>
      </c>
      <c r="K182" s="2" t="s">
        <v>472</v>
      </c>
      <c r="L182" s="2" t="s">
        <v>1352</v>
      </c>
      <c r="M182" s="3">
        <v>1</v>
      </c>
      <c r="N182" s="3">
        <v>2</v>
      </c>
      <c r="P182" s="2" t="s">
        <v>473</v>
      </c>
    </row>
    <row r="183" spans="1:16" ht="13">
      <c r="A183" s="2" t="s">
        <v>1</v>
      </c>
      <c r="B183" s="2" t="str">
        <f t="shared" si="2"/>
        <v>22-23 Academic Year</v>
      </c>
      <c r="C183" s="2">
        <v>28</v>
      </c>
      <c r="D183" s="2" t="s">
        <v>449</v>
      </c>
      <c r="E183" s="10">
        <v>44893</v>
      </c>
      <c r="F183" s="2" t="s">
        <v>69</v>
      </c>
      <c r="G183" s="2" t="s">
        <v>8</v>
      </c>
      <c r="H183" s="2" t="s">
        <v>8</v>
      </c>
      <c r="J183" s="2" t="s">
        <v>4690</v>
      </c>
      <c r="K183" s="2" t="s">
        <v>209</v>
      </c>
      <c r="L183" s="2" t="s">
        <v>1634</v>
      </c>
      <c r="M183" s="3">
        <v>1</v>
      </c>
      <c r="N183" s="3">
        <v>2</v>
      </c>
      <c r="P183" s="2" t="s">
        <v>474</v>
      </c>
    </row>
    <row r="184" spans="1:16" ht="13">
      <c r="A184" s="2" t="s">
        <v>1</v>
      </c>
      <c r="B184" s="2" t="str">
        <f t="shared" si="2"/>
        <v>22-23 Academic Year</v>
      </c>
      <c r="C184" s="2">
        <v>28</v>
      </c>
      <c r="D184" s="2" t="s">
        <v>449</v>
      </c>
      <c r="E184" s="10">
        <v>44893</v>
      </c>
      <c r="F184" s="2" t="s">
        <v>69</v>
      </c>
      <c r="G184" s="2" t="s">
        <v>8</v>
      </c>
      <c r="H184" s="2" t="s">
        <v>8</v>
      </c>
      <c r="J184" s="2" t="s">
        <v>4692</v>
      </c>
      <c r="K184" s="2" t="s">
        <v>320</v>
      </c>
      <c r="L184" s="2" t="s">
        <v>1879</v>
      </c>
      <c r="M184" s="3">
        <v>1</v>
      </c>
      <c r="N184" s="3">
        <v>2</v>
      </c>
      <c r="P184" s="2" t="s">
        <v>321</v>
      </c>
    </row>
    <row r="185" spans="1:16" ht="13">
      <c r="A185" s="2" t="s">
        <v>1</v>
      </c>
      <c r="B185" s="2" t="str">
        <f t="shared" si="2"/>
        <v>22-23 Academic Year</v>
      </c>
      <c r="C185" s="2">
        <v>29</v>
      </c>
      <c r="D185" s="2" t="s">
        <v>475</v>
      </c>
      <c r="E185" s="10">
        <v>44895</v>
      </c>
      <c r="F185" s="2" t="s">
        <v>69</v>
      </c>
      <c r="G185" s="2" t="s">
        <v>7</v>
      </c>
      <c r="H185" s="2" t="s">
        <v>7</v>
      </c>
      <c r="J185" s="2" t="s">
        <v>4702</v>
      </c>
      <c r="K185" s="2" t="s">
        <v>169</v>
      </c>
      <c r="L185" s="2" t="s">
        <v>2850</v>
      </c>
      <c r="M185" s="3">
        <v>1</v>
      </c>
      <c r="N185" s="3">
        <v>1</v>
      </c>
      <c r="P185" s="2" t="s">
        <v>170</v>
      </c>
    </row>
    <row r="186" spans="1:16" ht="13">
      <c r="A186" s="2" t="s">
        <v>1</v>
      </c>
      <c r="B186" s="2" t="str">
        <f t="shared" si="2"/>
        <v>22-23 Academic Year</v>
      </c>
      <c r="C186" s="2">
        <v>29</v>
      </c>
      <c r="D186" s="2" t="s">
        <v>475</v>
      </c>
      <c r="E186" s="10">
        <v>44895</v>
      </c>
      <c r="F186" s="2" t="s">
        <v>69</v>
      </c>
      <c r="G186" s="2" t="s">
        <v>7</v>
      </c>
      <c r="H186" s="2" t="s">
        <v>7</v>
      </c>
      <c r="J186" s="2" t="s">
        <v>4703</v>
      </c>
      <c r="K186" s="2" t="s">
        <v>144</v>
      </c>
      <c r="L186" s="2" t="s">
        <v>4475</v>
      </c>
      <c r="M186" s="3">
        <v>3</v>
      </c>
      <c r="N186" s="3">
        <v>1</v>
      </c>
      <c r="P186" s="2" t="s">
        <v>476</v>
      </c>
    </row>
    <row r="187" spans="1:16" ht="13">
      <c r="A187" s="2" t="s">
        <v>1</v>
      </c>
      <c r="B187" s="2" t="str">
        <f t="shared" si="2"/>
        <v>22-23 Academic Year</v>
      </c>
      <c r="C187" s="2">
        <v>29</v>
      </c>
      <c r="D187" s="2" t="s">
        <v>475</v>
      </c>
      <c r="E187" s="10">
        <v>44895</v>
      </c>
      <c r="F187" s="2" t="s">
        <v>69</v>
      </c>
      <c r="G187" s="2" t="s">
        <v>7</v>
      </c>
      <c r="H187" s="2" t="s">
        <v>7</v>
      </c>
      <c r="J187" s="2" t="s">
        <v>4705</v>
      </c>
      <c r="K187" s="2" t="s">
        <v>477</v>
      </c>
      <c r="L187" s="2" t="s">
        <v>4786</v>
      </c>
      <c r="M187" s="3">
        <v>3</v>
      </c>
      <c r="N187" s="3">
        <v>1</v>
      </c>
      <c r="P187" s="2" t="s">
        <v>478</v>
      </c>
    </row>
    <row r="188" spans="1:16" ht="13">
      <c r="A188" s="2" t="s">
        <v>1</v>
      </c>
      <c r="B188" s="2" t="str">
        <f t="shared" si="2"/>
        <v>22-23 Academic Year</v>
      </c>
      <c r="C188" s="2">
        <v>29</v>
      </c>
      <c r="D188" s="2" t="s">
        <v>475</v>
      </c>
      <c r="E188" s="10">
        <v>44895</v>
      </c>
      <c r="F188" s="2" t="s">
        <v>69</v>
      </c>
      <c r="G188" s="2" t="s">
        <v>7</v>
      </c>
      <c r="H188" s="2" t="s">
        <v>7</v>
      </c>
      <c r="J188" s="2" t="s">
        <v>4706</v>
      </c>
      <c r="K188" s="2" t="s">
        <v>144</v>
      </c>
      <c r="L188" s="2" t="s">
        <v>4475</v>
      </c>
      <c r="M188" s="3">
        <v>3</v>
      </c>
      <c r="N188" s="3">
        <v>1</v>
      </c>
      <c r="P188" s="2" t="s">
        <v>479</v>
      </c>
    </row>
    <row r="189" spans="1:16" ht="13">
      <c r="A189" s="2" t="s">
        <v>1</v>
      </c>
      <c r="B189" s="2" t="str">
        <f t="shared" si="2"/>
        <v>22-23 Academic Year</v>
      </c>
      <c r="C189" s="2">
        <v>29</v>
      </c>
      <c r="D189" s="2" t="s">
        <v>475</v>
      </c>
      <c r="E189" s="10">
        <v>44895</v>
      </c>
      <c r="F189" s="2" t="s">
        <v>69</v>
      </c>
      <c r="G189" s="2" t="s">
        <v>7</v>
      </c>
      <c r="H189" s="2" t="s">
        <v>7</v>
      </c>
      <c r="J189" s="2" t="s">
        <v>4708</v>
      </c>
      <c r="K189" s="2" t="s">
        <v>480</v>
      </c>
      <c r="L189" s="2" t="s">
        <v>4787</v>
      </c>
      <c r="M189" s="3">
        <v>2</v>
      </c>
      <c r="N189" s="3">
        <v>1</v>
      </c>
      <c r="P189" s="2" t="s">
        <v>481</v>
      </c>
    </row>
    <row r="190" spans="1:16" ht="13">
      <c r="A190" s="2" t="s">
        <v>1</v>
      </c>
      <c r="B190" s="2" t="str">
        <f t="shared" si="2"/>
        <v>22-23 Academic Year</v>
      </c>
      <c r="C190" s="2">
        <v>29</v>
      </c>
      <c r="D190" s="2" t="s">
        <v>475</v>
      </c>
      <c r="E190" s="10">
        <v>44895</v>
      </c>
      <c r="F190" s="2" t="s">
        <v>69</v>
      </c>
      <c r="G190" s="2" t="s">
        <v>7</v>
      </c>
      <c r="H190" s="2" t="s">
        <v>7</v>
      </c>
      <c r="J190" s="2" t="s">
        <v>4709</v>
      </c>
      <c r="K190" s="2" t="s">
        <v>482</v>
      </c>
      <c r="L190" s="2" t="s">
        <v>4788</v>
      </c>
      <c r="M190" s="3">
        <v>1</v>
      </c>
      <c r="N190" s="3">
        <v>1</v>
      </c>
      <c r="P190" s="2" t="s">
        <v>483</v>
      </c>
    </row>
    <row r="191" spans="1:16" ht="13">
      <c r="A191" s="2" t="s">
        <v>1</v>
      </c>
      <c r="B191" s="2" t="str">
        <f t="shared" si="2"/>
        <v>22-23 Academic Year</v>
      </c>
      <c r="C191" s="2">
        <v>29</v>
      </c>
      <c r="D191" s="2" t="s">
        <v>475</v>
      </c>
      <c r="E191" s="10">
        <v>44895</v>
      </c>
      <c r="F191" s="2" t="s">
        <v>69</v>
      </c>
      <c r="G191" s="2" t="s">
        <v>7</v>
      </c>
      <c r="H191" s="2" t="s">
        <v>7</v>
      </c>
      <c r="J191" s="2" t="s">
        <v>4710</v>
      </c>
      <c r="K191" s="2" t="s">
        <v>484</v>
      </c>
      <c r="L191" s="2" t="s">
        <v>4789</v>
      </c>
      <c r="M191" s="3">
        <v>3</v>
      </c>
      <c r="N191" s="3">
        <v>1</v>
      </c>
      <c r="P191" s="2" t="s">
        <v>485</v>
      </c>
    </row>
    <row r="192" spans="1:16" ht="13">
      <c r="A192" s="2" t="s">
        <v>1</v>
      </c>
      <c r="B192" s="2" t="str">
        <f t="shared" si="2"/>
        <v>22-23 Academic Year</v>
      </c>
      <c r="C192" s="2">
        <v>30</v>
      </c>
      <c r="D192" s="2" t="s">
        <v>92</v>
      </c>
      <c r="E192" s="10">
        <v>44897</v>
      </c>
      <c r="F192" s="2" t="s">
        <v>69</v>
      </c>
      <c r="G192" s="2" t="s">
        <v>92</v>
      </c>
      <c r="H192" s="2" t="s">
        <v>6</v>
      </c>
      <c r="J192" s="2" t="s">
        <v>4687</v>
      </c>
      <c r="K192" s="2" t="s">
        <v>486</v>
      </c>
      <c r="L192" s="2" t="s">
        <v>487</v>
      </c>
      <c r="M192" s="3">
        <v>1</v>
      </c>
      <c r="N192" s="3">
        <v>2</v>
      </c>
      <c r="P192" s="2" t="s">
        <v>488</v>
      </c>
    </row>
    <row r="193" spans="1:16" ht="13">
      <c r="A193" s="2" t="s">
        <v>1</v>
      </c>
      <c r="B193" s="2" t="str">
        <f t="shared" si="2"/>
        <v>22-23 Academic Year</v>
      </c>
      <c r="C193" s="2">
        <v>30</v>
      </c>
      <c r="D193" s="2" t="s">
        <v>92</v>
      </c>
      <c r="E193" s="10">
        <v>44897</v>
      </c>
      <c r="F193" s="2" t="s">
        <v>69</v>
      </c>
      <c r="G193" s="2" t="s">
        <v>92</v>
      </c>
      <c r="H193" s="2" t="s">
        <v>6</v>
      </c>
      <c r="J193" s="2" t="s">
        <v>4688</v>
      </c>
      <c r="K193" s="2" t="s">
        <v>489</v>
      </c>
      <c r="L193" s="2" t="s">
        <v>4790</v>
      </c>
      <c r="M193" s="3">
        <v>1</v>
      </c>
      <c r="N193" s="3">
        <v>2</v>
      </c>
      <c r="P193" s="2" t="s">
        <v>490</v>
      </c>
    </row>
    <row r="194" spans="1:16" ht="13">
      <c r="A194" s="2" t="s">
        <v>1</v>
      </c>
      <c r="B194" s="2" t="str">
        <f t="shared" si="2"/>
        <v>22-23 Academic Year</v>
      </c>
      <c r="C194" s="2">
        <v>30</v>
      </c>
      <c r="D194" s="2" t="s">
        <v>92</v>
      </c>
      <c r="E194" s="10">
        <v>44897</v>
      </c>
      <c r="F194" s="2" t="s">
        <v>69</v>
      </c>
      <c r="G194" s="2" t="s">
        <v>92</v>
      </c>
      <c r="H194" s="2" t="s">
        <v>6</v>
      </c>
      <c r="J194" s="2" t="s">
        <v>4690</v>
      </c>
      <c r="K194" s="2" t="s">
        <v>455</v>
      </c>
      <c r="L194" s="2" t="s">
        <v>456</v>
      </c>
      <c r="M194" s="3">
        <v>2</v>
      </c>
      <c r="N194" s="3">
        <v>1</v>
      </c>
      <c r="P194" s="2" t="s">
        <v>491</v>
      </c>
    </row>
    <row r="195" spans="1:16" ht="13">
      <c r="A195" s="2" t="s">
        <v>1</v>
      </c>
      <c r="B195" s="2" t="str">
        <f t="shared" ref="B195:B258" si="3">RIGHT(TEXT(IF(LEFT(A195,4)="Fall",VALUE(RIGHT(A195,4)),VALUE(RIGHT(A195,4))-1),"00"),2)
 &amp; "-" &amp;
 RIGHT(TEXT(IF(LEFT(A195,4)="Fall",VALUE(RIGHT(A195,4))+1,VALUE(RIGHT(A195,4))),"00"),2)
 &amp; " Academic Year"</f>
        <v>22-23 Academic Year</v>
      </c>
      <c r="C195" s="2">
        <v>30</v>
      </c>
      <c r="D195" s="2" t="s">
        <v>92</v>
      </c>
      <c r="E195" s="10">
        <v>44897</v>
      </c>
      <c r="F195" s="2" t="s">
        <v>69</v>
      </c>
      <c r="G195" s="2" t="s">
        <v>92</v>
      </c>
      <c r="H195" s="2" t="s">
        <v>6</v>
      </c>
      <c r="J195" s="2" t="s">
        <v>4692</v>
      </c>
      <c r="K195" s="2" t="s">
        <v>402</v>
      </c>
      <c r="L195" s="2" t="s">
        <v>403</v>
      </c>
      <c r="M195" s="3">
        <v>1</v>
      </c>
      <c r="N195" s="3">
        <v>2</v>
      </c>
      <c r="P195" s="2" t="s">
        <v>492</v>
      </c>
    </row>
    <row r="196" spans="1:16" ht="13">
      <c r="A196" s="2" t="s">
        <v>1</v>
      </c>
      <c r="B196" s="2" t="str">
        <f t="shared" si="3"/>
        <v>22-23 Academic Year</v>
      </c>
      <c r="C196" s="2">
        <v>31</v>
      </c>
      <c r="D196" s="2" t="s">
        <v>107</v>
      </c>
      <c r="E196" s="10">
        <v>44897</v>
      </c>
      <c r="F196" s="2" t="s">
        <v>69</v>
      </c>
      <c r="G196" s="2" t="s">
        <v>7</v>
      </c>
      <c r="H196" s="2" t="s">
        <v>7</v>
      </c>
      <c r="J196" s="2" t="s">
        <v>493</v>
      </c>
      <c r="K196" s="2" t="s">
        <v>494</v>
      </c>
      <c r="L196" s="2" t="s">
        <v>495</v>
      </c>
      <c r="M196" s="3">
        <v>999</v>
      </c>
      <c r="N196" s="3">
        <v>999</v>
      </c>
      <c r="O196" s="2" t="s">
        <v>496</v>
      </c>
      <c r="P196" s="2" t="s">
        <v>497</v>
      </c>
    </row>
    <row r="197" spans="1:16" ht="13">
      <c r="A197" s="2" t="s">
        <v>1</v>
      </c>
      <c r="B197" s="2" t="str">
        <f t="shared" si="3"/>
        <v>22-23 Academic Year</v>
      </c>
      <c r="C197" s="2">
        <v>31</v>
      </c>
      <c r="D197" s="2" t="s">
        <v>107</v>
      </c>
      <c r="E197" s="10">
        <v>44897</v>
      </c>
      <c r="F197" s="2" t="s">
        <v>69</v>
      </c>
      <c r="G197" s="2" t="s">
        <v>7</v>
      </c>
      <c r="H197" s="2" t="s">
        <v>7</v>
      </c>
      <c r="J197" s="2" t="s">
        <v>498</v>
      </c>
      <c r="K197" s="2" t="s">
        <v>499</v>
      </c>
      <c r="L197" s="2" t="s">
        <v>4791</v>
      </c>
      <c r="M197" s="3">
        <v>1</v>
      </c>
      <c r="N197" s="3">
        <v>2</v>
      </c>
      <c r="O197" s="2" t="s">
        <v>500</v>
      </c>
      <c r="P197" s="2" t="s">
        <v>501</v>
      </c>
    </row>
    <row r="198" spans="1:16" ht="13">
      <c r="A198" s="2" t="s">
        <v>1</v>
      </c>
      <c r="B198" s="2" t="str">
        <f t="shared" si="3"/>
        <v>22-23 Academic Year</v>
      </c>
      <c r="C198" s="2">
        <v>31</v>
      </c>
      <c r="D198" s="2" t="s">
        <v>107</v>
      </c>
      <c r="E198" s="10">
        <v>44897</v>
      </c>
      <c r="F198" s="2" t="s">
        <v>69</v>
      </c>
      <c r="G198" s="2" t="s">
        <v>7</v>
      </c>
      <c r="H198" s="2" t="s">
        <v>7</v>
      </c>
      <c r="J198" s="2" t="s">
        <v>502</v>
      </c>
      <c r="K198" s="2" t="s">
        <v>503</v>
      </c>
      <c r="L198" s="2" t="s">
        <v>504</v>
      </c>
      <c r="M198" s="3"/>
      <c r="N198" s="3"/>
      <c r="O198" s="2" t="s">
        <v>505</v>
      </c>
      <c r="P198" s="2" t="s">
        <v>506</v>
      </c>
    </row>
    <row r="199" spans="1:16" ht="13">
      <c r="A199" s="2" t="s">
        <v>1</v>
      </c>
      <c r="B199" s="2" t="str">
        <f t="shared" si="3"/>
        <v>22-23 Academic Year</v>
      </c>
      <c r="C199" s="2">
        <v>31</v>
      </c>
      <c r="D199" s="2" t="s">
        <v>107</v>
      </c>
      <c r="E199" s="10">
        <v>44897</v>
      </c>
      <c r="F199" s="2" t="s">
        <v>69</v>
      </c>
      <c r="G199" s="2" t="s">
        <v>7</v>
      </c>
      <c r="H199" s="2" t="s">
        <v>7</v>
      </c>
      <c r="J199" s="2" t="s">
        <v>507</v>
      </c>
      <c r="K199" s="2" t="s">
        <v>508</v>
      </c>
      <c r="L199" s="2" t="s">
        <v>509</v>
      </c>
      <c r="M199" s="3">
        <v>999</v>
      </c>
      <c r="N199" s="3">
        <v>999</v>
      </c>
      <c r="O199" s="2" t="s">
        <v>510</v>
      </c>
      <c r="P199" s="2" t="s">
        <v>511</v>
      </c>
    </row>
    <row r="200" spans="1:16" ht="13">
      <c r="A200" s="2" t="s">
        <v>1</v>
      </c>
      <c r="B200" s="2" t="str">
        <f t="shared" si="3"/>
        <v>22-23 Academic Year</v>
      </c>
      <c r="C200" s="2">
        <v>31</v>
      </c>
      <c r="D200" s="2" t="s">
        <v>107</v>
      </c>
      <c r="E200" s="10">
        <v>44897</v>
      </c>
      <c r="F200" s="2" t="s">
        <v>69</v>
      </c>
      <c r="G200" s="2" t="s">
        <v>7</v>
      </c>
      <c r="H200" s="2" t="s">
        <v>7</v>
      </c>
      <c r="J200" s="2" t="s">
        <v>512</v>
      </c>
      <c r="K200" s="2" t="s">
        <v>513</v>
      </c>
      <c r="L200" s="2" t="s">
        <v>3364</v>
      </c>
      <c r="M200" s="3">
        <v>1</v>
      </c>
      <c r="N200" s="3">
        <v>2</v>
      </c>
      <c r="P200" s="2" t="s">
        <v>514</v>
      </c>
    </row>
    <row r="201" spans="1:16" ht="13">
      <c r="A201" s="2" t="s">
        <v>1</v>
      </c>
      <c r="B201" s="2" t="str">
        <f t="shared" si="3"/>
        <v>22-23 Academic Year</v>
      </c>
      <c r="C201" s="2">
        <v>31</v>
      </c>
      <c r="D201" s="2" t="s">
        <v>107</v>
      </c>
      <c r="E201" s="10">
        <v>44897</v>
      </c>
      <c r="F201" s="2" t="s">
        <v>69</v>
      </c>
      <c r="G201" s="2" t="s">
        <v>7</v>
      </c>
      <c r="H201" s="2" t="s">
        <v>7</v>
      </c>
      <c r="J201" s="2" t="s">
        <v>515</v>
      </c>
      <c r="K201" s="2" t="s">
        <v>516</v>
      </c>
      <c r="L201" s="2" t="s">
        <v>516</v>
      </c>
      <c r="M201" s="3">
        <v>999</v>
      </c>
      <c r="N201" s="3">
        <v>999</v>
      </c>
      <c r="O201" s="2" t="s">
        <v>517</v>
      </c>
      <c r="P201" s="2" t="s">
        <v>518</v>
      </c>
    </row>
    <row r="202" spans="1:16" ht="13">
      <c r="A202" s="2" t="s">
        <v>1</v>
      </c>
      <c r="B202" s="2" t="str">
        <f t="shared" si="3"/>
        <v>22-23 Academic Year</v>
      </c>
      <c r="C202" s="2">
        <v>31</v>
      </c>
      <c r="D202" s="2" t="s">
        <v>107</v>
      </c>
      <c r="E202" s="10">
        <v>44897</v>
      </c>
      <c r="F202" s="2" t="s">
        <v>69</v>
      </c>
      <c r="G202" s="2" t="s">
        <v>7</v>
      </c>
      <c r="H202" s="2" t="s">
        <v>7</v>
      </c>
      <c r="J202" s="2" t="s">
        <v>519</v>
      </c>
      <c r="K202" s="2" t="s">
        <v>520</v>
      </c>
      <c r="L202" s="2" t="s">
        <v>4792</v>
      </c>
      <c r="M202" s="3">
        <v>1</v>
      </c>
      <c r="N202" s="3">
        <v>2</v>
      </c>
      <c r="O202" s="2" t="s">
        <v>521</v>
      </c>
      <c r="P202" s="2" t="s">
        <v>522</v>
      </c>
    </row>
    <row r="203" spans="1:16" ht="13">
      <c r="A203" s="2" t="s">
        <v>1</v>
      </c>
      <c r="B203" s="2" t="str">
        <f t="shared" si="3"/>
        <v>22-23 Academic Year</v>
      </c>
      <c r="C203" s="2">
        <v>31</v>
      </c>
      <c r="D203" s="2" t="s">
        <v>107</v>
      </c>
      <c r="E203" s="10">
        <v>44897</v>
      </c>
      <c r="F203" s="2" t="s">
        <v>69</v>
      </c>
      <c r="G203" s="2" t="s">
        <v>7</v>
      </c>
      <c r="H203" s="2" t="s">
        <v>7</v>
      </c>
      <c r="J203" s="2" t="s">
        <v>523</v>
      </c>
      <c r="K203" s="2" t="s">
        <v>516</v>
      </c>
      <c r="L203" s="2" t="s">
        <v>516</v>
      </c>
      <c r="M203" s="3">
        <v>999</v>
      </c>
      <c r="N203" s="3">
        <v>999</v>
      </c>
      <c r="O203" s="2" t="s">
        <v>524</v>
      </c>
      <c r="P203" s="2" t="s">
        <v>525</v>
      </c>
    </row>
    <row r="204" spans="1:16" ht="13">
      <c r="A204" s="2" t="s">
        <v>1</v>
      </c>
      <c r="B204" s="2" t="str">
        <f t="shared" si="3"/>
        <v>22-23 Academic Year</v>
      </c>
      <c r="C204" s="2">
        <v>31</v>
      </c>
      <c r="D204" s="2" t="s">
        <v>107</v>
      </c>
      <c r="E204" s="10">
        <v>44897</v>
      </c>
      <c r="F204" s="2" t="s">
        <v>69</v>
      </c>
      <c r="G204" s="2" t="s">
        <v>7</v>
      </c>
      <c r="H204" s="2" t="s">
        <v>7</v>
      </c>
      <c r="J204" s="2" t="s">
        <v>526</v>
      </c>
      <c r="K204" s="2" t="s">
        <v>527</v>
      </c>
      <c r="L204" s="2" t="s">
        <v>4793</v>
      </c>
      <c r="M204" s="3">
        <v>1</v>
      </c>
      <c r="N204" s="3">
        <v>2</v>
      </c>
      <c r="O204" s="2" t="s">
        <v>528</v>
      </c>
      <c r="P204" s="2" t="s">
        <v>529</v>
      </c>
    </row>
    <row r="205" spans="1:16" ht="13">
      <c r="A205" s="2" t="s">
        <v>1</v>
      </c>
      <c r="B205" s="2" t="str">
        <f t="shared" si="3"/>
        <v>22-23 Academic Year</v>
      </c>
      <c r="C205" s="2">
        <v>31</v>
      </c>
      <c r="D205" s="2" t="s">
        <v>107</v>
      </c>
      <c r="E205" s="10">
        <v>44897</v>
      </c>
      <c r="F205" s="2" t="s">
        <v>69</v>
      </c>
      <c r="G205" s="2" t="s">
        <v>7</v>
      </c>
      <c r="H205" s="2" t="s">
        <v>7</v>
      </c>
      <c r="J205" s="2" t="s">
        <v>530</v>
      </c>
      <c r="K205" s="2" t="s">
        <v>531</v>
      </c>
      <c r="L205" s="2" t="s">
        <v>4794</v>
      </c>
      <c r="M205" s="3">
        <v>1</v>
      </c>
      <c r="N205" s="3">
        <v>2</v>
      </c>
      <c r="P205" s="2" t="s">
        <v>532</v>
      </c>
    </row>
    <row r="206" spans="1:16" ht="13">
      <c r="A206" s="2" t="s">
        <v>1</v>
      </c>
      <c r="B206" s="2" t="str">
        <f t="shared" si="3"/>
        <v>22-23 Academic Year</v>
      </c>
      <c r="C206" s="2">
        <v>31</v>
      </c>
      <c r="D206" s="2" t="s">
        <v>107</v>
      </c>
      <c r="E206" s="10">
        <v>44897</v>
      </c>
      <c r="F206" s="2" t="s">
        <v>69</v>
      </c>
      <c r="G206" s="2" t="s">
        <v>7</v>
      </c>
      <c r="H206" s="2" t="s">
        <v>7</v>
      </c>
      <c r="J206" s="2" t="s">
        <v>533</v>
      </c>
      <c r="K206" s="2" t="s">
        <v>122</v>
      </c>
      <c r="L206" s="2" t="s">
        <v>123</v>
      </c>
      <c r="M206" s="3">
        <v>1</v>
      </c>
      <c r="N206" s="3">
        <v>2</v>
      </c>
      <c r="P206" s="2" t="s">
        <v>534</v>
      </c>
    </row>
    <row r="207" spans="1:16" ht="13">
      <c r="A207" s="2" t="s">
        <v>1</v>
      </c>
      <c r="B207" s="2" t="str">
        <f t="shared" si="3"/>
        <v>22-23 Academic Year</v>
      </c>
      <c r="C207" s="2">
        <v>31</v>
      </c>
      <c r="D207" s="2" t="s">
        <v>107</v>
      </c>
      <c r="E207" s="10">
        <v>44897</v>
      </c>
      <c r="F207" s="2" t="s">
        <v>69</v>
      </c>
      <c r="G207" s="2" t="s">
        <v>7</v>
      </c>
      <c r="H207" s="2" t="s">
        <v>7</v>
      </c>
      <c r="J207" s="2" t="s">
        <v>535</v>
      </c>
      <c r="K207" s="2" t="s">
        <v>536</v>
      </c>
      <c r="L207" s="2" t="s">
        <v>537</v>
      </c>
      <c r="M207" s="3">
        <v>999</v>
      </c>
      <c r="N207" s="3">
        <v>999</v>
      </c>
      <c r="O207" s="2" t="s">
        <v>538</v>
      </c>
      <c r="P207" s="2" t="s">
        <v>539</v>
      </c>
    </row>
    <row r="208" spans="1:16" ht="13">
      <c r="A208" s="2" t="s">
        <v>1</v>
      </c>
      <c r="B208" s="2" t="str">
        <f t="shared" si="3"/>
        <v>22-23 Academic Year</v>
      </c>
      <c r="C208" s="2">
        <v>31</v>
      </c>
      <c r="D208" s="2" t="s">
        <v>107</v>
      </c>
      <c r="E208" s="10">
        <v>44897</v>
      </c>
      <c r="F208" s="2" t="s">
        <v>69</v>
      </c>
      <c r="G208" s="2" t="s">
        <v>7</v>
      </c>
      <c r="H208" s="2" t="s">
        <v>7</v>
      </c>
      <c r="J208" s="2" t="s">
        <v>540</v>
      </c>
      <c r="K208" s="2" t="s">
        <v>541</v>
      </c>
      <c r="L208" s="2" t="s">
        <v>542</v>
      </c>
      <c r="M208" s="3">
        <v>999</v>
      </c>
      <c r="N208" s="3">
        <v>999</v>
      </c>
      <c r="O208" s="2" t="s">
        <v>543</v>
      </c>
      <c r="P208" s="2" t="s">
        <v>544</v>
      </c>
    </row>
    <row r="209" spans="1:16" ht="13">
      <c r="A209" s="2" t="s">
        <v>1</v>
      </c>
      <c r="B209" s="2" t="str">
        <f t="shared" si="3"/>
        <v>22-23 Academic Year</v>
      </c>
      <c r="C209" s="2">
        <v>31</v>
      </c>
      <c r="D209" s="2" t="s">
        <v>107</v>
      </c>
      <c r="E209" s="10">
        <v>44897</v>
      </c>
      <c r="F209" s="2" t="s">
        <v>69</v>
      </c>
      <c r="G209" s="2" t="s">
        <v>7</v>
      </c>
      <c r="H209" s="2" t="s">
        <v>7</v>
      </c>
      <c r="J209" s="2" t="s">
        <v>545</v>
      </c>
      <c r="K209" s="2" t="s">
        <v>546</v>
      </c>
      <c r="L209" s="2" t="s">
        <v>547</v>
      </c>
      <c r="M209" s="3">
        <v>999</v>
      </c>
      <c r="N209" s="3">
        <v>999</v>
      </c>
      <c r="O209" s="2" t="s">
        <v>548</v>
      </c>
      <c r="P209" s="2" t="s">
        <v>549</v>
      </c>
    </row>
    <row r="210" spans="1:16" ht="13">
      <c r="A210" s="2" t="s">
        <v>1</v>
      </c>
      <c r="B210" s="2" t="str">
        <f t="shared" si="3"/>
        <v>22-23 Academic Year</v>
      </c>
      <c r="C210" s="2">
        <v>31</v>
      </c>
      <c r="D210" s="2" t="s">
        <v>107</v>
      </c>
      <c r="E210" s="10">
        <v>44897</v>
      </c>
      <c r="F210" s="2" t="s">
        <v>69</v>
      </c>
      <c r="G210" s="2" t="s">
        <v>7</v>
      </c>
      <c r="H210" s="2" t="s">
        <v>7</v>
      </c>
      <c r="J210" s="2" t="s">
        <v>550</v>
      </c>
      <c r="K210" s="2" t="s">
        <v>551</v>
      </c>
      <c r="L210" s="2" t="s">
        <v>4795</v>
      </c>
      <c r="M210" s="3">
        <v>2</v>
      </c>
      <c r="N210" s="3">
        <v>2</v>
      </c>
      <c r="P210" s="2" t="s">
        <v>552</v>
      </c>
    </row>
    <row r="211" spans="1:16" ht="13">
      <c r="A211" s="2" t="s">
        <v>1</v>
      </c>
      <c r="B211" s="2" t="str">
        <f t="shared" si="3"/>
        <v>22-23 Academic Year</v>
      </c>
      <c r="C211" s="2">
        <v>31</v>
      </c>
      <c r="D211" s="2" t="s">
        <v>107</v>
      </c>
      <c r="E211" s="10">
        <v>44897</v>
      </c>
      <c r="F211" s="2" t="s">
        <v>69</v>
      </c>
      <c r="G211" s="2" t="s">
        <v>7</v>
      </c>
      <c r="H211" s="2" t="s">
        <v>7</v>
      </c>
      <c r="J211" s="2" t="s">
        <v>553</v>
      </c>
      <c r="K211" s="2" t="s">
        <v>554</v>
      </c>
      <c r="L211" s="2" t="s">
        <v>555</v>
      </c>
      <c r="M211" s="3">
        <v>1</v>
      </c>
      <c r="N211" s="3">
        <v>1</v>
      </c>
      <c r="P211" s="2" t="s">
        <v>556</v>
      </c>
    </row>
    <row r="212" spans="1:16" ht="13">
      <c r="A212" s="2" t="s">
        <v>1</v>
      </c>
      <c r="B212" s="2" t="str">
        <f t="shared" si="3"/>
        <v>22-23 Academic Year</v>
      </c>
      <c r="C212" s="2">
        <v>31</v>
      </c>
      <c r="D212" s="2" t="s">
        <v>107</v>
      </c>
      <c r="E212" s="10">
        <v>44897</v>
      </c>
      <c r="F212" s="2" t="s">
        <v>69</v>
      </c>
      <c r="G212" s="2" t="s">
        <v>7</v>
      </c>
      <c r="H212" s="2" t="s">
        <v>7</v>
      </c>
      <c r="J212" s="2" t="s">
        <v>557</v>
      </c>
      <c r="K212" s="2" t="s">
        <v>546</v>
      </c>
      <c r="L212" s="2" t="s">
        <v>547</v>
      </c>
      <c r="M212" s="3">
        <v>999</v>
      </c>
      <c r="N212" s="3">
        <v>999</v>
      </c>
      <c r="O212" s="2" t="s">
        <v>558</v>
      </c>
      <c r="P212" s="2" t="s">
        <v>559</v>
      </c>
    </row>
    <row r="213" spans="1:16" ht="13">
      <c r="A213" s="2" t="s">
        <v>1</v>
      </c>
      <c r="B213" s="2" t="str">
        <f t="shared" si="3"/>
        <v>22-23 Academic Year</v>
      </c>
      <c r="C213" s="2">
        <v>32</v>
      </c>
      <c r="D213" s="2" t="s">
        <v>560</v>
      </c>
      <c r="E213" s="10">
        <v>44900</v>
      </c>
      <c r="F213" s="2" t="s">
        <v>69</v>
      </c>
      <c r="G213" s="2" t="s">
        <v>8</v>
      </c>
      <c r="H213" s="2" t="s">
        <v>8</v>
      </c>
      <c r="J213" s="2" t="s">
        <v>4687</v>
      </c>
      <c r="K213" s="2" t="s">
        <v>561</v>
      </c>
      <c r="L213" s="2" t="s">
        <v>4796</v>
      </c>
      <c r="M213" s="3">
        <v>2</v>
      </c>
      <c r="N213" s="3">
        <v>1</v>
      </c>
      <c r="P213" s="2" t="s">
        <v>562</v>
      </c>
    </row>
    <row r="214" spans="1:16" ht="13">
      <c r="A214" s="2" t="s">
        <v>1</v>
      </c>
      <c r="B214" s="2" t="str">
        <f t="shared" si="3"/>
        <v>22-23 Academic Year</v>
      </c>
      <c r="C214" s="2">
        <v>32</v>
      </c>
      <c r="D214" s="2" t="s">
        <v>560</v>
      </c>
      <c r="E214" s="10">
        <v>44900</v>
      </c>
      <c r="F214" s="2" t="s">
        <v>69</v>
      </c>
      <c r="G214" s="2" t="s">
        <v>8</v>
      </c>
      <c r="H214" s="2" t="s">
        <v>8</v>
      </c>
      <c r="J214" s="2" t="s">
        <v>4688</v>
      </c>
      <c r="K214" s="2" t="s">
        <v>563</v>
      </c>
      <c r="L214" s="2" t="s">
        <v>3359</v>
      </c>
      <c r="M214" s="3">
        <v>2</v>
      </c>
      <c r="N214" s="3">
        <v>2</v>
      </c>
      <c r="O214" s="2" t="s">
        <v>564</v>
      </c>
      <c r="P214" s="2" t="s">
        <v>565</v>
      </c>
    </row>
    <row r="215" spans="1:16" ht="13">
      <c r="A215" s="2" t="s">
        <v>1</v>
      </c>
      <c r="B215" s="2" t="str">
        <f t="shared" si="3"/>
        <v>22-23 Academic Year</v>
      </c>
      <c r="C215" s="2">
        <v>32</v>
      </c>
      <c r="D215" s="2" t="s">
        <v>560</v>
      </c>
      <c r="E215" s="10">
        <v>44900</v>
      </c>
      <c r="F215" s="2" t="s">
        <v>69</v>
      </c>
      <c r="G215" s="2" t="s">
        <v>8</v>
      </c>
      <c r="H215" s="2" t="s">
        <v>8</v>
      </c>
      <c r="J215" s="2" t="s">
        <v>4690</v>
      </c>
      <c r="K215" s="2" t="s">
        <v>193</v>
      </c>
      <c r="L215" s="2" t="s">
        <v>4479</v>
      </c>
      <c r="M215" s="3">
        <v>3</v>
      </c>
      <c r="N215" s="3">
        <v>1</v>
      </c>
      <c r="P215" s="2" t="s">
        <v>566</v>
      </c>
    </row>
    <row r="216" spans="1:16" ht="13">
      <c r="A216" s="2" t="s">
        <v>1</v>
      </c>
      <c r="B216" s="2" t="str">
        <f t="shared" si="3"/>
        <v>22-23 Academic Year</v>
      </c>
      <c r="C216" s="2">
        <v>32</v>
      </c>
      <c r="D216" s="2" t="s">
        <v>560</v>
      </c>
      <c r="E216" s="10">
        <v>44900</v>
      </c>
      <c r="F216" s="2" t="s">
        <v>69</v>
      </c>
      <c r="G216" s="2" t="s">
        <v>8</v>
      </c>
      <c r="H216" s="2" t="s">
        <v>8</v>
      </c>
      <c r="J216" s="2" t="s">
        <v>4692</v>
      </c>
      <c r="K216" s="2" t="s">
        <v>567</v>
      </c>
      <c r="L216" s="2" t="s">
        <v>2026</v>
      </c>
      <c r="M216" s="3">
        <v>2</v>
      </c>
      <c r="N216" s="3">
        <v>1</v>
      </c>
      <c r="P216" s="2" t="s">
        <v>568</v>
      </c>
    </row>
    <row r="217" spans="1:16" ht="13">
      <c r="A217" s="2" t="s">
        <v>1</v>
      </c>
      <c r="B217" s="2" t="str">
        <f t="shared" si="3"/>
        <v>22-23 Academic Year</v>
      </c>
      <c r="C217" s="2">
        <v>33</v>
      </c>
      <c r="D217" s="2" t="s">
        <v>569</v>
      </c>
      <c r="E217" s="10">
        <v>44903</v>
      </c>
      <c r="F217" s="2" t="s">
        <v>69</v>
      </c>
      <c r="G217" s="2" t="s">
        <v>131</v>
      </c>
      <c r="H217" s="2" t="s">
        <v>6</v>
      </c>
      <c r="I217" s="2" t="s">
        <v>570</v>
      </c>
      <c r="J217" s="2" t="s">
        <v>4747</v>
      </c>
      <c r="K217" s="2" t="s">
        <v>571</v>
      </c>
      <c r="L217" s="2" t="s">
        <v>2104</v>
      </c>
      <c r="M217" s="3">
        <v>1</v>
      </c>
      <c r="N217" s="3">
        <v>2</v>
      </c>
      <c r="P217" s="2" t="s">
        <v>572</v>
      </c>
    </row>
    <row r="218" spans="1:16" ht="13">
      <c r="A218" s="2" t="s">
        <v>1</v>
      </c>
      <c r="B218" s="2" t="str">
        <f t="shared" si="3"/>
        <v>22-23 Academic Year</v>
      </c>
      <c r="C218" s="2">
        <v>33</v>
      </c>
      <c r="D218" s="2" t="s">
        <v>569</v>
      </c>
      <c r="E218" s="10">
        <v>44903</v>
      </c>
      <c r="F218" s="2" t="s">
        <v>69</v>
      </c>
      <c r="G218" s="2" t="s">
        <v>131</v>
      </c>
      <c r="H218" s="2" t="s">
        <v>6</v>
      </c>
      <c r="I218" s="2" t="s">
        <v>570</v>
      </c>
      <c r="J218" s="2" t="s">
        <v>4749</v>
      </c>
      <c r="K218" s="2" t="s">
        <v>573</v>
      </c>
      <c r="L218" s="2" t="s">
        <v>1691</v>
      </c>
      <c r="M218" s="3">
        <v>1</v>
      </c>
      <c r="N218" s="3">
        <v>2</v>
      </c>
      <c r="P218" s="2" t="s">
        <v>574</v>
      </c>
    </row>
    <row r="219" spans="1:16" ht="13">
      <c r="A219" s="2" t="s">
        <v>1</v>
      </c>
      <c r="B219" s="2" t="str">
        <f t="shared" si="3"/>
        <v>22-23 Academic Year</v>
      </c>
      <c r="C219" s="2">
        <v>33</v>
      </c>
      <c r="D219" s="2" t="s">
        <v>569</v>
      </c>
      <c r="E219" s="10">
        <v>44903</v>
      </c>
      <c r="F219" s="2" t="s">
        <v>69</v>
      </c>
      <c r="G219" s="2" t="s">
        <v>131</v>
      </c>
      <c r="H219" s="2" t="s">
        <v>6</v>
      </c>
      <c r="I219" s="2" t="s">
        <v>570</v>
      </c>
      <c r="J219" s="2" t="s">
        <v>4750</v>
      </c>
      <c r="K219" s="2" t="s">
        <v>575</v>
      </c>
      <c r="L219" s="2" t="s">
        <v>576</v>
      </c>
      <c r="M219" s="3">
        <v>1</v>
      </c>
      <c r="N219" s="3">
        <v>2</v>
      </c>
      <c r="P219" s="2" t="s">
        <v>577</v>
      </c>
    </row>
    <row r="220" spans="1:16" ht="13">
      <c r="A220" s="2" t="s">
        <v>1</v>
      </c>
      <c r="B220" s="2" t="str">
        <f t="shared" si="3"/>
        <v>22-23 Academic Year</v>
      </c>
      <c r="C220" s="2">
        <v>33</v>
      </c>
      <c r="D220" s="2" t="s">
        <v>569</v>
      </c>
      <c r="E220" s="10">
        <v>44903</v>
      </c>
      <c r="F220" s="2" t="s">
        <v>69</v>
      </c>
      <c r="G220" s="2" t="s">
        <v>131</v>
      </c>
      <c r="H220" s="2" t="s">
        <v>6</v>
      </c>
      <c r="I220" s="2" t="s">
        <v>570</v>
      </c>
      <c r="J220" s="2" t="s">
        <v>4751</v>
      </c>
      <c r="K220" s="2" t="s">
        <v>578</v>
      </c>
      <c r="L220" s="2" t="s">
        <v>4797</v>
      </c>
      <c r="M220" s="3">
        <v>1</v>
      </c>
      <c r="N220" s="3">
        <v>2</v>
      </c>
      <c r="P220" s="2" t="s">
        <v>579</v>
      </c>
    </row>
    <row r="221" spans="1:16" ht="13">
      <c r="A221" s="2" t="s">
        <v>1</v>
      </c>
      <c r="B221" s="2" t="str">
        <f t="shared" si="3"/>
        <v>22-23 Academic Year</v>
      </c>
      <c r="C221" s="2">
        <v>33</v>
      </c>
      <c r="D221" s="2" t="s">
        <v>569</v>
      </c>
      <c r="E221" s="10">
        <v>44903</v>
      </c>
      <c r="F221" s="2" t="s">
        <v>69</v>
      </c>
      <c r="G221" s="2" t="s">
        <v>131</v>
      </c>
      <c r="H221" s="2" t="s">
        <v>6</v>
      </c>
      <c r="I221" s="2" t="s">
        <v>570</v>
      </c>
      <c r="J221" s="2" t="s">
        <v>4752</v>
      </c>
      <c r="K221" s="2" t="s">
        <v>580</v>
      </c>
      <c r="L221" s="2" t="s">
        <v>4034</v>
      </c>
      <c r="M221" s="3">
        <v>1</v>
      </c>
      <c r="N221" s="3">
        <v>2</v>
      </c>
      <c r="P221" s="2" t="s">
        <v>581</v>
      </c>
    </row>
    <row r="222" spans="1:16" ht="13">
      <c r="A222" s="2" t="s">
        <v>1</v>
      </c>
      <c r="B222" s="2" t="str">
        <f t="shared" si="3"/>
        <v>22-23 Academic Year</v>
      </c>
      <c r="C222" s="2">
        <v>33</v>
      </c>
      <c r="D222" s="2" t="s">
        <v>569</v>
      </c>
      <c r="E222" s="10">
        <v>44903</v>
      </c>
      <c r="F222" s="2" t="s">
        <v>69</v>
      </c>
      <c r="G222" s="2" t="s">
        <v>131</v>
      </c>
      <c r="H222" s="2" t="s">
        <v>6</v>
      </c>
      <c r="I222" s="2" t="s">
        <v>570</v>
      </c>
      <c r="J222" s="2" t="s">
        <v>4754</v>
      </c>
      <c r="K222" s="2" t="s">
        <v>371</v>
      </c>
      <c r="L222" s="2" t="s">
        <v>372</v>
      </c>
      <c r="M222" s="3">
        <v>1</v>
      </c>
      <c r="N222" s="3">
        <v>2</v>
      </c>
      <c r="P222" s="2" t="s">
        <v>582</v>
      </c>
    </row>
    <row r="223" spans="1:16" ht="13">
      <c r="A223" s="2" t="s">
        <v>1</v>
      </c>
      <c r="B223" s="2" t="str">
        <f t="shared" si="3"/>
        <v>22-23 Academic Year</v>
      </c>
      <c r="C223" s="2">
        <v>33</v>
      </c>
      <c r="D223" s="2" t="s">
        <v>569</v>
      </c>
      <c r="E223" s="10">
        <v>44903</v>
      </c>
      <c r="F223" s="2" t="s">
        <v>69</v>
      </c>
      <c r="G223" s="2" t="s">
        <v>131</v>
      </c>
      <c r="H223" s="2" t="s">
        <v>6</v>
      </c>
      <c r="I223" s="2" t="s">
        <v>570</v>
      </c>
      <c r="J223" s="2" t="s">
        <v>4755</v>
      </c>
      <c r="K223" s="2" t="s">
        <v>402</v>
      </c>
      <c r="L223" s="2" t="s">
        <v>403</v>
      </c>
      <c r="M223" s="3">
        <v>1</v>
      </c>
      <c r="N223" s="3">
        <v>2</v>
      </c>
      <c r="P223" s="2" t="s">
        <v>583</v>
      </c>
    </row>
    <row r="224" spans="1:16" ht="13">
      <c r="A224" s="2" t="s">
        <v>1</v>
      </c>
      <c r="B224" s="2" t="str">
        <f t="shared" si="3"/>
        <v>22-23 Academic Year</v>
      </c>
      <c r="C224" s="2">
        <v>33</v>
      </c>
      <c r="D224" s="2" t="s">
        <v>569</v>
      </c>
      <c r="E224" s="10">
        <v>44903</v>
      </c>
      <c r="F224" s="2" t="s">
        <v>69</v>
      </c>
      <c r="G224" s="2" t="s">
        <v>131</v>
      </c>
      <c r="H224" s="2" t="s">
        <v>6</v>
      </c>
      <c r="I224" s="2" t="s">
        <v>570</v>
      </c>
      <c r="J224" s="2" t="s">
        <v>4756</v>
      </c>
      <c r="K224" s="2" t="s">
        <v>584</v>
      </c>
      <c r="L224" s="2" t="s">
        <v>1258</v>
      </c>
      <c r="M224" s="3">
        <v>1</v>
      </c>
      <c r="N224" s="3">
        <v>2</v>
      </c>
      <c r="P224" s="2" t="s">
        <v>585</v>
      </c>
    </row>
    <row r="225" spans="1:16" ht="13">
      <c r="A225" s="2" t="s">
        <v>1</v>
      </c>
      <c r="B225" s="2" t="str">
        <f t="shared" si="3"/>
        <v>22-23 Academic Year</v>
      </c>
      <c r="C225" s="2">
        <v>34</v>
      </c>
      <c r="D225" s="2" t="s">
        <v>92</v>
      </c>
      <c r="E225" s="10">
        <v>44904</v>
      </c>
      <c r="F225" s="2" t="s">
        <v>69</v>
      </c>
      <c r="G225" s="2" t="s">
        <v>92</v>
      </c>
      <c r="H225" s="2" t="s">
        <v>6</v>
      </c>
      <c r="J225" s="2" t="s">
        <v>4665</v>
      </c>
      <c r="K225" s="2" t="s">
        <v>586</v>
      </c>
      <c r="L225" s="2" t="s">
        <v>4798</v>
      </c>
      <c r="M225" s="3">
        <v>1</v>
      </c>
      <c r="N225" s="3">
        <v>2</v>
      </c>
      <c r="P225" s="2" t="s">
        <v>587</v>
      </c>
    </row>
    <row r="226" spans="1:16" ht="13">
      <c r="A226" s="2" t="s">
        <v>1</v>
      </c>
      <c r="B226" s="2" t="str">
        <f t="shared" si="3"/>
        <v>22-23 Academic Year</v>
      </c>
      <c r="C226" s="2">
        <v>34</v>
      </c>
      <c r="D226" s="2" t="s">
        <v>92</v>
      </c>
      <c r="E226" s="10">
        <v>44904</v>
      </c>
      <c r="F226" s="2" t="s">
        <v>69</v>
      </c>
      <c r="G226" s="2" t="s">
        <v>92</v>
      </c>
      <c r="H226" s="2" t="s">
        <v>6</v>
      </c>
      <c r="J226" s="2" t="s">
        <v>4666</v>
      </c>
      <c r="K226" s="2" t="s">
        <v>371</v>
      </c>
      <c r="L226" s="2" t="s">
        <v>372</v>
      </c>
      <c r="M226" s="3">
        <v>1</v>
      </c>
      <c r="N226" s="3">
        <v>2</v>
      </c>
      <c r="P226" s="2" t="s">
        <v>588</v>
      </c>
    </row>
    <row r="227" spans="1:16" ht="13">
      <c r="A227" s="2" t="s">
        <v>1</v>
      </c>
      <c r="B227" s="2" t="str">
        <f t="shared" si="3"/>
        <v>22-23 Academic Year</v>
      </c>
      <c r="C227" s="2">
        <v>34</v>
      </c>
      <c r="D227" s="2" t="s">
        <v>92</v>
      </c>
      <c r="E227" s="10">
        <v>44904</v>
      </c>
      <c r="F227" s="2" t="s">
        <v>69</v>
      </c>
      <c r="G227" s="2" t="s">
        <v>92</v>
      </c>
      <c r="H227" s="2" t="s">
        <v>6</v>
      </c>
      <c r="J227" s="2" t="s">
        <v>4668</v>
      </c>
      <c r="K227" s="2" t="s">
        <v>589</v>
      </c>
      <c r="L227" s="2" t="s">
        <v>4799</v>
      </c>
      <c r="M227" s="3">
        <v>1</v>
      </c>
      <c r="N227" s="3">
        <v>2</v>
      </c>
      <c r="P227" s="2" t="s">
        <v>590</v>
      </c>
    </row>
    <row r="228" spans="1:16" ht="13">
      <c r="A228" s="2" t="s">
        <v>3</v>
      </c>
      <c r="B228" s="2" t="str">
        <f t="shared" si="3"/>
        <v>23-24 Academic Year</v>
      </c>
      <c r="C228" s="2">
        <v>1</v>
      </c>
      <c r="D228" s="2" t="s">
        <v>1226</v>
      </c>
      <c r="E228" s="10">
        <v>45166</v>
      </c>
      <c r="F228" s="2" t="s">
        <v>20</v>
      </c>
      <c r="G228" s="2" t="s">
        <v>21</v>
      </c>
      <c r="H228" s="2" t="s">
        <v>6</v>
      </c>
      <c r="I228" s="2" t="s">
        <v>654</v>
      </c>
      <c r="J228" s="2" t="s">
        <v>4800</v>
      </c>
      <c r="K228" s="2" t="s">
        <v>1227</v>
      </c>
      <c r="L228" s="2" t="s">
        <v>1228</v>
      </c>
      <c r="M228" s="3">
        <v>1</v>
      </c>
      <c r="N228" s="3">
        <v>1</v>
      </c>
      <c r="P228" s="2" t="s">
        <v>1229</v>
      </c>
    </row>
    <row r="229" spans="1:16" ht="13">
      <c r="A229" s="2" t="s">
        <v>3</v>
      </c>
      <c r="B229" s="2" t="str">
        <f t="shared" si="3"/>
        <v>23-24 Academic Year</v>
      </c>
      <c r="C229" s="2">
        <v>1</v>
      </c>
      <c r="D229" s="2" t="s">
        <v>1226</v>
      </c>
      <c r="E229" s="10">
        <v>45166</v>
      </c>
      <c r="F229" s="2" t="s">
        <v>20</v>
      </c>
      <c r="G229" s="2" t="s">
        <v>21</v>
      </c>
      <c r="H229" s="2" t="s">
        <v>6</v>
      </c>
      <c r="I229" s="2" t="s">
        <v>654</v>
      </c>
      <c r="J229" s="2" t="s">
        <v>4801</v>
      </c>
      <c r="K229" s="2" t="s">
        <v>1230</v>
      </c>
      <c r="L229" s="2" t="s">
        <v>1231</v>
      </c>
      <c r="M229" s="3">
        <v>1</v>
      </c>
      <c r="N229" s="3">
        <v>1</v>
      </c>
      <c r="P229" s="2" t="s">
        <v>1232</v>
      </c>
    </row>
    <row r="230" spans="1:16" ht="13">
      <c r="A230" s="2" t="s">
        <v>3</v>
      </c>
      <c r="B230" s="2" t="str">
        <f t="shared" si="3"/>
        <v>23-24 Academic Year</v>
      </c>
      <c r="C230" s="2">
        <v>1</v>
      </c>
      <c r="D230" s="2" t="s">
        <v>1226</v>
      </c>
      <c r="E230" s="10">
        <v>45166</v>
      </c>
      <c r="F230" s="2" t="s">
        <v>20</v>
      </c>
      <c r="G230" s="2" t="s">
        <v>21</v>
      </c>
      <c r="H230" s="2" t="s">
        <v>6</v>
      </c>
      <c r="I230" s="2" t="s">
        <v>654</v>
      </c>
      <c r="J230" s="2" t="s">
        <v>4802</v>
      </c>
      <c r="K230" s="2" t="s">
        <v>1233</v>
      </c>
      <c r="L230" s="2" t="s">
        <v>1234</v>
      </c>
      <c r="M230" s="3">
        <v>1</v>
      </c>
      <c r="N230" s="3">
        <v>1</v>
      </c>
      <c r="P230" s="2" t="s">
        <v>1235</v>
      </c>
    </row>
    <row r="231" spans="1:16" ht="13">
      <c r="A231" s="2" t="s">
        <v>3</v>
      </c>
      <c r="B231" s="2" t="str">
        <f t="shared" si="3"/>
        <v>23-24 Academic Year</v>
      </c>
      <c r="C231" s="2">
        <v>1</v>
      </c>
      <c r="D231" s="2" t="s">
        <v>1226</v>
      </c>
      <c r="E231" s="10">
        <v>45166</v>
      </c>
      <c r="F231" s="2" t="s">
        <v>20</v>
      </c>
      <c r="G231" s="2" t="s">
        <v>21</v>
      </c>
      <c r="H231" s="2" t="s">
        <v>6</v>
      </c>
      <c r="I231" s="2" t="s">
        <v>654</v>
      </c>
      <c r="J231" s="2" t="s">
        <v>4803</v>
      </c>
      <c r="K231" s="2" t="s">
        <v>1227</v>
      </c>
      <c r="L231" s="2" t="s">
        <v>1228</v>
      </c>
      <c r="M231" s="3">
        <v>1</v>
      </c>
      <c r="N231" s="3">
        <v>1</v>
      </c>
      <c r="P231" s="2" t="s">
        <v>1236</v>
      </c>
    </row>
    <row r="232" spans="1:16" ht="13">
      <c r="A232" s="2" t="s">
        <v>3</v>
      </c>
      <c r="B232" s="2" t="str">
        <f t="shared" si="3"/>
        <v>23-24 Academic Year</v>
      </c>
      <c r="C232" s="2">
        <v>2</v>
      </c>
      <c r="D232" s="2" t="s">
        <v>1226</v>
      </c>
      <c r="E232" s="10">
        <v>45178</v>
      </c>
      <c r="F232" s="2" t="s">
        <v>1237</v>
      </c>
      <c r="G232" s="2" t="s">
        <v>1238</v>
      </c>
      <c r="H232" s="2" t="s">
        <v>6</v>
      </c>
      <c r="I232" s="2" t="s">
        <v>654</v>
      </c>
      <c r="J232" s="2" t="s">
        <v>4711</v>
      </c>
      <c r="K232" s="2" t="s">
        <v>1239</v>
      </c>
      <c r="L232" s="2" t="s">
        <v>1240</v>
      </c>
      <c r="M232" s="3">
        <v>1</v>
      </c>
      <c r="N232" s="3">
        <v>2</v>
      </c>
      <c r="P232" s="2" t="s">
        <v>1241</v>
      </c>
    </row>
    <row r="233" spans="1:16" ht="13">
      <c r="A233" s="2" t="s">
        <v>3</v>
      </c>
      <c r="B233" s="2" t="str">
        <f t="shared" si="3"/>
        <v>23-24 Academic Year</v>
      </c>
      <c r="C233" s="2">
        <v>2</v>
      </c>
      <c r="D233" s="2" t="s">
        <v>1226</v>
      </c>
      <c r="E233" s="10">
        <v>45178</v>
      </c>
      <c r="F233" s="2" t="s">
        <v>1237</v>
      </c>
      <c r="G233" s="2" t="s">
        <v>1238</v>
      </c>
      <c r="H233" s="2" t="s">
        <v>6</v>
      </c>
      <c r="I233" s="2" t="s">
        <v>654</v>
      </c>
      <c r="J233" s="2" t="s">
        <v>4712</v>
      </c>
      <c r="K233" s="2" t="s">
        <v>1242</v>
      </c>
      <c r="L233" s="2" t="s">
        <v>1243</v>
      </c>
      <c r="M233" s="3">
        <v>2</v>
      </c>
      <c r="N233" s="3">
        <v>2</v>
      </c>
      <c r="P233" s="2" t="s">
        <v>1244</v>
      </c>
    </row>
    <row r="234" spans="1:16" ht="13">
      <c r="A234" s="2" t="s">
        <v>3</v>
      </c>
      <c r="B234" s="2" t="str">
        <f t="shared" si="3"/>
        <v>23-24 Academic Year</v>
      </c>
      <c r="C234" s="2">
        <v>2</v>
      </c>
      <c r="D234" s="2" t="s">
        <v>1226</v>
      </c>
      <c r="E234" s="10">
        <v>45178</v>
      </c>
      <c r="F234" s="2" t="s">
        <v>1237</v>
      </c>
      <c r="G234" s="2" t="s">
        <v>1238</v>
      </c>
      <c r="H234" s="2" t="s">
        <v>6</v>
      </c>
      <c r="I234" s="2" t="s">
        <v>654</v>
      </c>
      <c r="J234" s="2" t="s">
        <v>4804</v>
      </c>
      <c r="K234" s="2" t="s">
        <v>1245</v>
      </c>
      <c r="L234" s="2" t="s">
        <v>464</v>
      </c>
      <c r="M234" s="3">
        <v>3</v>
      </c>
      <c r="N234" s="3">
        <v>1</v>
      </c>
      <c r="O234" s="2" t="s">
        <v>1246</v>
      </c>
      <c r="P234" s="2" t="s">
        <v>1247</v>
      </c>
    </row>
    <row r="235" spans="1:16" ht="13">
      <c r="A235" s="2" t="s">
        <v>3</v>
      </c>
      <c r="B235" s="2" t="str">
        <f t="shared" si="3"/>
        <v>23-24 Academic Year</v>
      </c>
      <c r="C235" s="2">
        <v>2</v>
      </c>
      <c r="D235" s="2" t="s">
        <v>1226</v>
      </c>
      <c r="E235" s="10">
        <v>45178</v>
      </c>
      <c r="F235" s="2" t="s">
        <v>1237</v>
      </c>
      <c r="G235" s="2" t="s">
        <v>1238</v>
      </c>
      <c r="H235" s="2" t="s">
        <v>6</v>
      </c>
      <c r="I235" s="2" t="s">
        <v>654</v>
      </c>
      <c r="J235" s="2" t="s">
        <v>4805</v>
      </c>
      <c r="K235" s="2" t="s">
        <v>1248</v>
      </c>
      <c r="L235" s="2" t="s">
        <v>1249</v>
      </c>
      <c r="M235" s="3">
        <v>3</v>
      </c>
      <c r="N235" s="3">
        <v>1</v>
      </c>
      <c r="P235" s="2" t="s">
        <v>1250</v>
      </c>
    </row>
    <row r="236" spans="1:16" ht="13">
      <c r="A236" s="2" t="s">
        <v>3</v>
      </c>
      <c r="B236" s="2" t="str">
        <f t="shared" si="3"/>
        <v>23-24 Academic Year</v>
      </c>
      <c r="C236" s="2">
        <v>2</v>
      </c>
      <c r="D236" s="2" t="s">
        <v>1226</v>
      </c>
      <c r="E236" s="10">
        <v>45178</v>
      </c>
      <c r="F236" s="2" t="s">
        <v>1237</v>
      </c>
      <c r="G236" s="2" t="s">
        <v>1238</v>
      </c>
      <c r="H236" s="2" t="s">
        <v>6</v>
      </c>
      <c r="I236" s="2" t="s">
        <v>654</v>
      </c>
      <c r="J236" s="2" t="s">
        <v>4806</v>
      </c>
      <c r="K236" s="2" t="s">
        <v>1251</v>
      </c>
      <c r="L236" s="2" t="s">
        <v>1252</v>
      </c>
      <c r="M236" s="3">
        <v>1</v>
      </c>
      <c r="N236" s="3">
        <v>1</v>
      </c>
      <c r="P236" s="2" t="s">
        <v>1253</v>
      </c>
    </row>
    <row r="237" spans="1:16" ht="13">
      <c r="A237" s="2" t="s">
        <v>3</v>
      </c>
      <c r="B237" s="2" t="str">
        <f t="shared" si="3"/>
        <v>23-24 Academic Year</v>
      </c>
      <c r="C237" s="2">
        <v>3</v>
      </c>
      <c r="D237" s="2" t="s">
        <v>1254</v>
      </c>
      <c r="E237" s="10">
        <v>45182</v>
      </c>
      <c r="F237" s="2" t="s">
        <v>20</v>
      </c>
      <c r="G237" s="2" t="s">
        <v>1255</v>
      </c>
      <c r="H237" s="2" t="s">
        <v>7</v>
      </c>
      <c r="I237" s="2" t="s">
        <v>1256</v>
      </c>
      <c r="J237" s="2" t="s">
        <v>4665</v>
      </c>
      <c r="K237" s="2" t="s">
        <v>1257</v>
      </c>
      <c r="L237" s="2" t="s">
        <v>1258</v>
      </c>
      <c r="M237" s="3">
        <v>1</v>
      </c>
      <c r="N237" s="3">
        <v>2</v>
      </c>
      <c r="P237" s="2" t="s">
        <v>1259</v>
      </c>
    </row>
    <row r="238" spans="1:16" ht="13">
      <c r="A238" s="2" t="s">
        <v>3</v>
      </c>
      <c r="B238" s="2" t="str">
        <f t="shared" si="3"/>
        <v>23-24 Academic Year</v>
      </c>
      <c r="C238" s="2">
        <v>3</v>
      </c>
      <c r="D238" s="2" t="s">
        <v>1254</v>
      </c>
      <c r="E238" s="10">
        <v>45182</v>
      </c>
      <c r="F238" s="2" t="s">
        <v>20</v>
      </c>
      <c r="G238" s="2" t="s">
        <v>1255</v>
      </c>
      <c r="H238" s="2" t="s">
        <v>7</v>
      </c>
      <c r="I238" s="2" t="s">
        <v>1256</v>
      </c>
      <c r="J238" s="2" t="s">
        <v>4666</v>
      </c>
      <c r="K238" s="2" t="s">
        <v>731</v>
      </c>
      <c r="L238" s="2" t="s">
        <v>1260</v>
      </c>
      <c r="M238" s="3">
        <v>3</v>
      </c>
      <c r="N238" s="3">
        <v>1</v>
      </c>
      <c r="O238" s="2" t="s">
        <v>1261</v>
      </c>
      <c r="P238" s="2" t="s">
        <v>1262</v>
      </c>
    </row>
    <row r="239" spans="1:16" ht="13">
      <c r="A239" s="2" t="s">
        <v>3</v>
      </c>
      <c r="B239" s="2" t="str">
        <f t="shared" si="3"/>
        <v>23-24 Academic Year</v>
      </c>
      <c r="C239" s="2">
        <v>3</v>
      </c>
      <c r="D239" s="2" t="s">
        <v>1254</v>
      </c>
      <c r="E239" s="10">
        <v>45182</v>
      </c>
      <c r="F239" s="2" t="s">
        <v>20</v>
      </c>
      <c r="G239" s="2" t="s">
        <v>1255</v>
      </c>
      <c r="H239" s="2" t="s">
        <v>7</v>
      </c>
      <c r="I239" s="2" t="s">
        <v>1256</v>
      </c>
      <c r="J239" s="2" t="s">
        <v>4668</v>
      </c>
      <c r="K239" s="2" t="s">
        <v>1263</v>
      </c>
      <c r="L239" s="2" t="s">
        <v>1264</v>
      </c>
      <c r="M239" s="3">
        <v>1</v>
      </c>
      <c r="N239" s="3">
        <v>1</v>
      </c>
      <c r="P239" s="2" t="s">
        <v>1265</v>
      </c>
    </row>
    <row r="240" spans="1:16" ht="13">
      <c r="A240" s="2" t="s">
        <v>3</v>
      </c>
      <c r="B240" s="2" t="str">
        <f t="shared" si="3"/>
        <v>23-24 Academic Year</v>
      </c>
      <c r="C240" s="2">
        <v>3</v>
      </c>
      <c r="D240" s="2" t="s">
        <v>1254</v>
      </c>
      <c r="E240" s="10">
        <v>45182</v>
      </c>
      <c r="F240" s="2" t="s">
        <v>20</v>
      </c>
      <c r="G240" s="2" t="s">
        <v>1255</v>
      </c>
      <c r="H240" s="2" t="s">
        <v>7</v>
      </c>
      <c r="I240" s="2" t="s">
        <v>1256</v>
      </c>
      <c r="J240" s="2" t="s">
        <v>4807</v>
      </c>
      <c r="K240" s="2" t="s">
        <v>722</v>
      </c>
      <c r="L240" s="2" t="s">
        <v>1266</v>
      </c>
      <c r="M240" s="3">
        <v>4</v>
      </c>
      <c r="N240" s="3">
        <v>1</v>
      </c>
      <c r="P240" s="2" t="s">
        <v>1267</v>
      </c>
    </row>
    <row r="241" spans="1:16" ht="13">
      <c r="A241" s="2" t="s">
        <v>3</v>
      </c>
      <c r="B241" s="2" t="str">
        <f t="shared" si="3"/>
        <v>23-24 Academic Year</v>
      </c>
      <c r="C241" s="2">
        <v>3</v>
      </c>
      <c r="D241" s="2" t="s">
        <v>1254</v>
      </c>
      <c r="E241" s="10">
        <v>45182</v>
      </c>
      <c r="F241" s="2" t="s">
        <v>20</v>
      </c>
      <c r="G241" s="2" t="s">
        <v>1255</v>
      </c>
      <c r="H241" s="2" t="s">
        <v>7</v>
      </c>
      <c r="I241" s="2" t="s">
        <v>1256</v>
      </c>
      <c r="J241" s="2" t="s">
        <v>4808</v>
      </c>
      <c r="K241" s="2" t="s">
        <v>1268</v>
      </c>
      <c r="L241" s="2" t="s">
        <v>1269</v>
      </c>
      <c r="M241" s="3">
        <v>1</v>
      </c>
      <c r="N241" s="3">
        <v>2</v>
      </c>
      <c r="O241" s="2" t="s">
        <v>1270</v>
      </c>
      <c r="P241" s="2" t="s">
        <v>1271</v>
      </c>
    </row>
    <row r="242" spans="1:16" ht="13">
      <c r="A242" s="2" t="s">
        <v>3</v>
      </c>
      <c r="B242" s="2" t="str">
        <f t="shared" si="3"/>
        <v>23-24 Academic Year</v>
      </c>
      <c r="C242" s="2">
        <v>4</v>
      </c>
      <c r="D242" s="2" t="s">
        <v>1272</v>
      </c>
      <c r="E242" s="10">
        <v>45191</v>
      </c>
      <c r="F242" s="2" t="s">
        <v>1237</v>
      </c>
      <c r="G242" s="2" t="s">
        <v>1273</v>
      </c>
      <c r="H242" s="2" t="s">
        <v>6</v>
      </c>
      <c r="I242" s="2" t="s">
        <v>1274</v>
      </c>
      <c r="J242" s="2" t="s">
        <v>4687</v>
      </c>
      <c r="K242" s="2" t="s">
        <v>75</v>
      </c>
      <c r="L242" s="2" t="s">
        <v>1275</v>
      </c>
      <c r="M242" s="3">
        <v>3</v>
      </c>
      <c r="N242" s="3">
        <v>1</v>
      </c>
      <c r="P242" s="2" t="s">
        <v>1276</v>
      </c>
    </row>
    <row r="243" spans="1:16" ht="13">
      <c r="A243" s="2" t="s">
        <v>3</v>
      </c>
      <c r="B243" s="2" t="str">
        <f t="shared" si="3"/>
        <v>23-24 Academic Year</v>
      </c>
      <c r="C243" s="2">
        <v>4</v>
      </c>
      <c r="D243" s="2" t="s">
        <v>1272</v>
      </c>
      <c r="E243" s="10">
        <v>45191</v>
      </c>
      <c r="F243" s="2" t="s">
        <v>1237</v>
      </c>
      <c r="G243" s="2" t="s">
        <v>1273</v>
      </c>
      <c r="H243" s="2" t="s">
        <v>6</v>
      </c>
      <c r="I243" s="2" t="s">
        <v>1274</v>
      </c>
      <c r="J243" s="2" t="s">
        <v>4809</v>
      </c>
      <c r="K243" s="2" t="s">
        <v>1295</v>
      </c>
      <c r="L243" s="2" t="s">
        <v>1296</v>
      </c>
      <c r="M243" s="3">
        <v>1</v>
      </c>
      <c r="N243" s="3">
        <v>2</v>
      </c>
      <c r="P243" s="2" t="s">
        <v>1298</v>
      </c>
    </row>
    <row r="244" spans="1:16" ht="13">
      <c r="A244" s="2" t="s">
        <v>3</v>
      </c>
      <c r="B244" s="2" t="str">
        <f t="shared" si="3"/>
        <v>23-24 Academic Year</v>
      </c>
      <c r="C244" s="2">
        <v>4</v>
      </c>
      <c r="D244" s="2" t="s">
        <v>1272</v>
      </c>
      <c r="E244" s="10">
        <v>45191</v>
      </c>
      <c r="F244" s="2" t="s">
        <v>1237</v>
      </c>
      <c r="G244" s="2" t="s">
        <v>1273</v>
      </c>
      <c r="H244" s="2" t="s">
        <v>6</v>
      </c>
      <c r="I244" s="2" t="s">
        <v>1274</v>
      </c>
      <c r="J244" s="2" t="s">
        <v>4810</v>
      </c>
      <c r="K244" s="2" t="s">
        <v>1277</v>
      </c>
      <c r="L244" s="2" t="s">
        <v>1278</v>
      </c>
      <c r="M244" s="3">
        <v>3</v>
      </c>
      <c r="N244" s="3">
        <v>1</v>
      </c>
      <c r="P244" s="2" t="s">
        <v>1299</v>
      </c>
    </row>
    <row r="245" spans="1:16" ht="13">
      <c r="A245" s="2" t="s">
        <v>3</v>
      </c>
      <c r="B245" s="2" t="str">
        <f t="shared" si="3"/>
        <v>23-24 Academic Year</v>
      </c>
      <c r="C245" s="2">
        <v>4</v>
      </c>
      <c r="D245" s="2" t="s">
        <v>1272</v>
      </c>
      <c r="E245" s="10">
        <v>45191</v>
      </c>
      <c r="F245" s="2" t="s">
        <v>1237</v>
      </c>
      <c r="G245" s="2" t="s">
        <v>1273</v>
      </c>
      <c r="H245" s="2" t="s">
        <v>6</v>
      </c>
      <c r="I245" s="2" t="s">
        <v>1274</v>
      </c>
      <c r="J245" s="2" t="s">
        <v>4811</v>
      </c>
      <c r="K245" s="2" t="s">
        <v>1300</v>
      </c>
      <c r="L245" s="2" t="s">
        <v>1301</v>
      </c>
      <c r="M245" s="3">
        <v>3</v>
      </c>
      <c r="N245" s="3">
        <v>2</v>
      </c>
      <c r="P245" s="2" t="s">
        <v>1302</v>
      </c>
    </row>
    <row r="246" spans="1:16" ht="13">
      <c r="A246" s="2" t="s">
        <v>3</v>
      </c>
      <c r="B246" s="2" t="str">
        <f t="shared" si="3"/>
        <v>23-24 Academic Year</v>
      </c>
      <c r="C246" s="2">
        <v>4</v>
      </c>
      <c r="D246" s="2" t="s">
        <v>1272</v>
      </c>
      <c r="E246" s="10">
        <v>45191</v>
      </c>
      <c r="F246" s="2" t="s">
        <v>1237</v>
      </c>
      <c r="G246" s="2" t="s">
        <v>1273</v>
      </c>
      <c r="H246" s="2" t="s">
        <v>6</v>
      </c>
      <c r="I246" s="2" t="s">
        <v>1274</v>
      </c>
      <c r="J246" s="2" t="s">
        <v>4812</v>
      </c>
      <c r="K246" s="2" t="s">
        <v>1303</v>
      </c>
      <c r="L246" s="2" t="s">
        <v>1304</v>
      </c>
      <c r="M246" s="3">
        <v>4</v>
      </c>
      <c r="N246" s="3">
        <v>2</v>
      </c>
      <c r="P246" s="2" t="s">
        <v>1305</v>
      </c>
    </row>
    <row r="247" spans="1:16" ht="13">
      <c r="A247" s="2" t="s">
        <v>3</v>
      </c>
      <c r="B247" s="2" t="str">
        <f t="shared" si="3"/>
        <v>23-24 Academic Year</v>
      </c>
      <c r="C247" s="2">
        <v>4</v>
      </c>
      <c r="D247" s="2" t="s">
        <v>1272</v>
      </c>
      <c r="E247" s="10">
        <v>45191</v>
      </c>
      <c r="F247" s="2" t="s">
        <v>1237</v>
      </c>
      <c r="G247" s="2" t="s">
        <v>1273</v>
      </c>
      <c r="H247" s="2" t="s">
        <v>6</v>
      </c>
      <c r="I247" s="2" t="s">
        <v>1274</v>
      </c>
      <c r="J247" s="2" t="s">
        <v>4813</v>
      </c>
      <c r="K247" s="2" t="s">
        <v>1306</v>
      </c>
      <c r="L247" s="2" t="s">
        <v>1307</v>
      </c>
      <c r="M247" s="3">
        <v>4</v>
      </c>
      <c r="N247" s="3">
        <v>2</v>
      </c>
      <c r="P247" s="2" t="s">
        <v>1308</v>
      </c>
    </row>
    <row r="248" spans="1:16" ht="13">
      <c r="A248" s="2" t="s">
        <v>3</v>
      </c>
      <c r="B248" s="2" t="str">
        <f t="shared" si="3"/>
        <v>23-24 Academic Year</v>
      </c>
      <c r="C248" s="2">
        <v>4</v>
      </c>
      <c r="D248" s="2" t="s">
        <v>1272</v>
      </c>
      <c r="E248" s="10">
        <v>45191</v>
      </c>
      <c r="F248" s="2" t="s">
        <v>1237</v>
      </c>
      <c r="G248" s="2" t="s">
        <v>1273</v>
      </c>
      <c r="H248" s="2" t="s">
        <v>6</v>
      </c>
      <c r="I248" s="2" t="s">
        <v>1274</v>
      </c>
      <c r="J248" s="2" t="s">
        <v>4814</v>
      </c>
      <c r="K248" s="2" t="s">
        <v>1309</v>
      </c>
      <c r="L248" s="2" t="s">
        <v>1310</v>
      </c>
      <c r="M248" s="3">
        <v>1</v>
      </c>
      <c r="N248" s="3">
        <v>2</v>
      </c>
      <c r="P248" s="2" t="s">
        <v>1311</v>
      </c>
    </row>
    <row r="249" spans="1:16" ht="13">
      <c r="A249" s="2" t="s">
        <v>3</v>
      </c>
      <c r="B249" s="2" t="str">
        <f t="shared" si="3"/>
        <v>23-24 Academic Year</v>
      </c>
      <c r="C249" s="2">
        <v>4</v>
      </c>
      <c r="D249" s="2" t="s">
        <v>1272</v>
      </c>
      <c r="E249" s="10">
        <v>45191</v>
      </c>
      <c r="F249" s="2" t="s">
        <v>1237</v>
      </c>
      <c r="G249" s="2" t="s">
        <v>1273</v>
      </c>
      <c r="H249" s="2" t="s">
        <v>6</v>
      </c>
      <c r="I249" s="2" t="s">
        <v>1274</v>
      </c>
      <c r="J249" s="2" t="s">
        <v>4815</v>
      </c>
      <c r="K249" s="2" t="s">
        <v>1277</v>
      </c>
      <c r="L249" s="2" t="s">
        <v>1278</v>
      </c>
      <c r="M249" s="3">
        <v>3</v>
      </c>
      <c r="N249" s="3">
        <v>1</v>
      </c>
      <c r="P249" s="2" t="s">
        <v>1312</v>
      </c>
    </row>
    <row r="250" spans="1:16" ht="13">
      <c r="A250" s="2" t="s">
        <v>3</v>
      </c>
      <c r="B250" s="2" t="str">
        <f t="shared" si="3"/>
        <v>23-24 Academic Year</v>
      </c>
      <c r="C250" s="2">
        <v>4</v>
      </c>
      <c r="D250" s="2" t="s">
        <v>1272</v>
      </c>
      <c r="E250" s="10">
        <v>45191</v>
      </c>
      <c r="F250" s="2" t="s">
        <v>1237</v>
      </c>
      <c r="G250" s="2" t="s">
        <v>1273</v>
      </c>
      <c r="H250" s="2" t="s">
        <v>6</v>
      </c>
      <c r="I250" s="2" t="s">
        <v>1274</v>
      </c>
      <c r="J250" s="2" t="s">
        <v>4688</v>
      </c>
      <c r="K250" s="2" t="s">
        <v>1277</v>
      </c>
      <c r="L250" s="2" t="s">
        <v>1278</v>
      </c>
      <c r="M250" s="3">
        <v>3</v>
      </c>
      <c r="N250" s="3">
        <v>1</v>
      </c>
      <c r="P250" s="2" t="s">
        <v>1279</v>
      </c>
    </row>
    <row r="251" spans="1:16" ht="13">
      <c r="A251" s="2" t="s">
        <v>3</v>
      </c>
      <c r="B251" s="2" t="str">
        <f t="shared" si="3"/>
        <v>23-24 Academic Year</v>
      </c>
      <c r="C251" s="2">
        <v>4</v>
      </c>
      <c r="D251" s="2" t="s">
        <v>1272</v>
      </c>
      <c r="E251" s="10">
        <v>45191</v>
      </c>
      <c r="F251" s="2" t="s">
        <v>1237</v>
      </c>
      <c r="G251" s="2" t="s">
        <v>1273</v>
      </c>
      <c r="H251" s="2" t="s">
        <v>6</v>
      </c>
      <c r="I251" s="2" t="s">
        <v>1274</v>
      </c>
      <c r="J251" s="2" t="s">
        <v>4690</v>
      </c>
      <c r="K251" s="2" t="s">
        <v>1280</v>
      </c>
      <c r="L251" s="2" t="s">
        <v>1281</v>
      </c>
      <c r="M251" s="3">
        <v>1</v>
      </c>
      <c r="N251" s="3">
        <v>2</v>
      </c>
      <c r="P251" s="2" t="s">
        <v>1282</v>
      </c>
    </row>
    <row r="252" spans="1:16" ht="13">
      <c r="A252" s="2" t="s">
        <v>3</v>
      </c>
      <c r="B252" s="2" t="str">
        <f t="shared" si="3"/>
        <v>23-24 Academic Year</v>
      </c>
      <c r="C252" s="2">
        <v>4</v>
      </c>
      <c r="D252" s="2" t="s">
        <v>1272</v>
      </c>
      <c r="E252" s="10">
        <v>45191</v>
      </c>
      <c r="F252" s="2" t="s">
        <v>1237</v>
      </c>
      <c r="G252" s="2" t="s">
        <v>1273</v>
      </c>
      <c r="H252" s="2" t="s">
        <v>6</v>
      </c>
      <c r="I252" s="2" t="s">
        <v>1274</v>
      </c>
      <c r="J252" s="2" t="s">
        <v>4692</v>
      </c>
      <c r="K252" s="2" t="s">
        <v>700</v>
      </c>
      <c r="L252" s="2" t="s">
        <v>1283</v>
      </c>
      <c r="M252" s="3">
        <v>3</v>
      </c>
      <c r="N252" s="3">
        <v>2</v>
      </c>
      <c r="P252" s="2" t="s">
        <v>1284</v>
      </c>
    </row>
    <row r="253" spans="1:16" ht="13">
      <c r="A253" s="2" t="s">
        <v>3</v>
      </c>
      <c r="B253" s="2" t="str">
        <f t="shared" si="3"/>
        <v>23-24 Academic Year</v>
      </c>
      <c r="C253" s="2">
        <v>4</v>
      </c>
      <c r="D253" s="2" t="s">
        <v>1272</v>
      </c>
      <c r="E253" s="10">
        <v>45191</v>
      </c>
      <c r="F253" s="2" t="s">
        <v>1237</v>
      </c>
      <c r="G253" s="2" t="s">
        <v>1273</v>
      </c>
      <c r="H253" s="2" t="s">
        <v>6</v>
      </c>
      <c r="I253" s="2" t="s">
        <v>1274</v>
      </c>
      <c r="J253" s="2" t="s">
        <v>4816</v>
      </c>
      <c r="K253" s="2" t="s">
        <v>1171</v>
      </c>
      <c r="L253" s="2" t="s">
        <v>1285</v>
      </c>
      <c r="M253" s="3">
        <v>3</v>
      </c>
      <c r="N253" s="3">
        <v>2</v>
      </c>
      <c r="P253" s="2" t="s">
        <v>1286</v>
      </c>
    </row>
    <row r="254" spans="1:16" ht="13">
      <c r="A254" s="2" t="s">
        <v>3</v>
      </c>
      <c r="B254" s="2" t="str">
        <f t="shared" si="3"/>
        <v>23-24 Academic Year</v>
      </c>
      <c r="C254" s="2">
        <v>4</v>
      </c>
      <c r="D254" s="2" t="s">
        <v>1272</v>
      </c>
      <c r="E254" s="10">
        <v>45191</v>
      </c>
      <c r="F254" s="2" t="s">
        <v>1237</v>
      </c>
      <c r="G254" s="2" t="s">
        <v>1273</v>
      </c>
      <c r="H254" s="2" t="s">
        <v>6</v>
      </c>
      <c r="I254" s="2" t="s">
        <v>1274</v>
      </c>
      <c r="J254" s="2" t="s">
        <v>4817</v>
      </c>
      <c r="K254" s="2" t="s">
        <v>1287</v>
      </c>
      <c r="L254" s="2" t="s">
        <v>1288</v>
      </c>
      <c r="M254" s="3">
        <v>3</v>
      </c>
      <c r="N254" s="3">
        <v>1</v>
      </c>
      <c r="P254" s="2" t="s">
        <v>1289</v>
      </c>
    </row>
    <row r="255" spans="1:16" ht="13">
      <c r="A255" s="2" t="s">
        <v>3</v>
      </c>
      <c r="B255" s="2" t="str">
        <f t="shared" si="3"/>
        <v>23-24 Academic Year</v>
      </c>
      <c r="C255" s="2">
        <v>4</v>
      </c>
      <c r="D255" s="2" t="s">
        <v>1272</v>
      </c>
      <c r="E255" s="10">
        <v>45191</v>
      </c>
      <c r="F255" s="2" t="s">
        <v>1237</v>
      </c>
      <c r="G255" s="2" t="s">
        <v>1273</v>
      </c>
      <c r="H255" s="2" t="s">
        <v>6</v>
      </c>
      <c r="I255" s="2" t="s">
        <v>1274</v>
      </c>
      <c r="J255" s="2" t="s">
        <v>4818</v>
      </c>
      <c r="K255" s="2" t="s">
        <v>1290</v>
      </c>
      <c r="L255" s="2" t="s">
        <v>1291</v>
      </c>
      <c r="M255" s="3">
        <v>3</v>
      </c>
      <c r="N255" s="3">
        <v>2</v>
      </c>
      <c r="P255" s="2" t="s">
        <v>1292</v>
      </c>
    </row>
    <row r="256" spans="1:16" ht="13">
      <c r="A256" s="2" t="s">
        <v>3</v>
      </c>
      <c r="B256" s="2" t="str">
        <f t="shared" si="3"/>
        <v>23-24 Academic Year</v>
      </c>
      <c r="C256" s="2">
        <v>4</v>
      </c>
      <c r="D256" s="2" t="s">
        <v>1272</v>
      </c>
      <c r="E256" s="10">
        <v>45191</v>
      </c>
      <c r="F256" s="2" t="s">
        <v>1237</v>
      </c>
      <c r="G256" s="2" t="s">
        <v>1273</v>
      </c>
      <c r="H256" s="2" t="s">
        <v>6</v>
      </c>
      <c r="I256" s="2" t="s">
        <v>1274</v>
      </c>
      <c r="J256" s="2" t="s">
        <v>4819</v>
      </c>
      <c r="K256" s="2" t="s">
        <v>1293</v>
      </c>
      <c r="L256" s="2" t="s">
        <v>372</v>
      </c>
      <c r="M256" s="3">
        <v>1</v>
      </c>
      <c r="N256" s="3">
        <v>2</v>
      </c>
      <c r="P256" s="2" t="s">
        <v>1294</v>
      </c>
    </row>
    <row r="257" spans="1:16" ht="13">
      <c r="A257" s="2" t="s">
        <v>3</v>
      </c>
      <c r="B257" s="2" t="str">
        <f t="shared" si="3"/>
        <v>23-24 Academic Year</v>
      </c>
      <c r="C257" s="2">
        <v>4</v>
      </c>
      <c r="D257" s="2" t="s">
        <v>1272</v>
      </c>
      <c r="E257" s="10">
        <v>45191</v>
      </c>
      <c r="F257" s="2" t="s">
        <v>1237</v>
      </c>
      <c r="G257" s="2" t="s">
        <v>1273</v>
      </c>
      <c r="H257" s="2" t="s">
        <v>6</v>
      </c>
      <c r="I257" s="2" t="s">
        <v>1274</v>
      </c>
      <c r="J257" s="2" t="s">
        <v>4820</v>
      </c>
      <c r="K257" s="2" t="s">
        <v>1295</v>
      </c>
      <c r="L257" s="2" t="s">
        <v>1296</v>
      </c>
      <c r="M257" s="3">
        <v>1</v>
      </c>
      <c r="N257" s="3">
        <v>2</v>
      </c>
      <c r="P257" s="2" t="s">
        <v>1297</v>
      </c>
    </row>
    <row r="258" spans="1:16" ht="13">
      <c r="A258" s="2" t="s">
        <v>3</v>
      </c>
      <c r="B258" s="2" t="str">
        <f t="shared" si="3"/>
        <v>23-24 Academic Year</v>
      </c>
      <c r="C258" s="2">
        <v>5</v>
      </c>
      <c r="D258" s="2" t="s">
        <v>1313</v>
      </c>
      <c r="E258" s="10">
        <v>45193</v>
      </c>
      <c r="F258" s="2" t="s">
        <v>20</v>
      </c>
      <c r="G258" s="2" t="s">
        <v>1314</v>
      </c>
      <c r="H258" s="2" t="s">
        <v>7</v>
      </c>
      <c r="I258" s="2" t="s">
        <v>669</v>
      </c>
      <c r="J258" s="2" t="s">
        <v>4680</v>
      </c>
      <c r="K258" s="2" t="s">
        <v>1315</v>
      </c>
      <c r="L258" s="2" t="s">
        <v>1316</v>
      </c>
      <c r="M258" s="3">
        <v>2</v>
      </c>
      <c r="N258" s="3">
        <v>1</v>
      </c>
      <c r="P258" s="2" t="s">
        <v>1317</v>
      </c>
    </row>
    <row r="259" spans="1:16" ht="13">
      <c r="A259" s="2" t="s">
        <v>3</v>
      </c>
      <c r="B259" s="2" t="str">
        <f t="shared" ref="B259:B322" si="4">RIGHT(TEXT(IF(LEFT(A259,4)="Fall",VALUE(RIGHT(A259,4)),VALUE(RIGHT(A259,4))-1),"00"),2)
 &amp; "-" &amp;
 RIGHT(TEXT(IF(LEFT(A259,4)="Fall",VALUE(RIGHT(A259,4))+1,VALUE(RIGHT(A259,4))),"00"),2)
 &amp; " Academic Year"</f>
        <v>23-24 Academic Year</v>
      </c>
      <c r="C259" s="2">
        <v>5</v>
      </c>
      <c r="D259" s="2" t="s">
        <v>1313</v>
      </c>
      <c r="E259" s="10">
        <v>45193</v>
      </c>
      <c r="F259" s="2" t="s">
        <v>20</v>
      </c>
      <c r="G259" s="2" t="s">
        <v>1314</v>
      </c>
      <c r="H259" s="2" t="s">
        <v>7</v>
      </c>
      <c r="I259" s="2" t="s">
        <v>669</v>
      </c>
      <c r="J259" s="2" t="s">
        <v>4821</v>
      </c>
      <c r="K259" s="2" t="s">
        <v>1340</v>
      </c>
      <c r="L259" s="2" t="s">
        <v>1341</v>
      </c>
      <c r="M259" s="3">
        <v>999</v>
      </c>
      <c r="N259" s="3">
        <v>999</v>
      </c>
      <c r="P259" s="2" t="s">
        <v>1342</v>
      </c>
    </row>
    <row r="260" spans="1:16" ht="13">
      <c r="A260" s="2" t="s">
        <v>3</v>
      </c>
      <c r="B260" s="2" t="str">
        <f t="shared" si="4"/>
        <v>23-24 Academic Year</v>
      </c>
      <c r="C260" s="2">
        <v>5</v>
      </c>
      <c r="D260" s="2" t="s">
        <v>1313</v>
      </c>
      <c r="E260" s="10">
        <v>45193</v>
      </c>
      <c r="F260" s="2" t="s">
        <v>20</v>
      </c>
      <c r="G260" s="2" t="s">
        <v>1314</v>
      </c>
      <c r="H260" s="2" t="s">
        <v>7</v>
      </c>
      <c r="I260" s="2" t="s">
        <v>669</v>
      </c>
      <c r="J260" s="2" t="s">
        <v>4822</v>
      </c>
      <c r="K260" s="2" t="s">
        <v>1343</v>
      </c>
      <c r="L260" s="2" t="s">
        <v>1344</v>
      </c>
      <c r="M260" s="3">
        <v>1</v>
      </c>
      <c r="N260" s="3">
        <v>2</v>
      </c>
      <c r="P260" s="2" t="s">
        <v>1345</v>
      </c>
    </row>
    <row r="261" spans="1:16" ht="13">
      <c r="A261" s="2" t="s">
        <v>3</v>
      </c>
      <c r="B261" s="2" t="str">
        <f t="shared" si="4"/>
        <v>23-24 Academic Year</v>
      </c>
      <c r="C261" s="2">
        <v>5</v>
      </c>
      <c r="D261" s="2" t="s">
        <v>1313</v>
      </c>
      <c r="E261" s="10">
        <v>45193</v>
      </c>
      <c r="F261" s="2" t="s">
        <v>20</v>
      </c>
      <c r="G261" s="2" t="s">
        <v>1314</v>
      </c>
      <c r="H261" s="2" t="s">
        <v>7</v>
      </c>
      <c r="I261" s="2" t="s">
        <v>669</v>
      </c>
      <c r="J261" s="2" t="s">
        <v>4681</v>
      </c>
      <c r="K261" s="2" t="s">
        <v>1318</v>
      </c>
      <c r="L261" s="2" t="s">
        <v>1319</v>
      </c>
      <c r="M261" s="3"/>
      <c r="N261" s="3"/>
      <c r="P261" s="2" t="s">
        <v>1320</v>
      </c>
    </row>
    <row r="262" spans="1:16" ht="13">
      <c r="A262" s="2" t="s">
        <v>3</v>
      </c>
      <c r="B262" s="2" t="str">
        <f t="shared" si="4"/>
        <v>23-24 Academic Year</v>
      </c>
      <c r="C262" s="2">
        <v>5</v>
      </c>
      <c r="D262" s="2" t="s">
        <v>1313</v>
      </c>
      <c r="E262" s="10">
        <v>45193</v>
      </c>
      <c r="F262" s="2" t="s">
        <v>20</v>
      </c>
      <c r="G262" s="2" t="s">
        <v>1314</v>
      </c>
      <c r="H262" s="2" t="s">
        <v>7</v>
      </c>
      <c r="I262" s="2" t="s">
        <v>669</v>
      </c>
      <c r="J262" s="2" t="s">
        <v>4683</v>
      </c>
      <c r="K262" s="2" t="s">
        <v>371</v>
      </c>
      <c r="L262" s="2" t="s">
        <v>372</v>
      </c>
      <c r="M262" s="3">
        <v>1</v>
      </c>
      <c r="N262" s="3">
        <v>2</v>
      </c>
      <c r="P262" s="2" t="s">
        <v>1321</v>
      </c>
    </row>
    <row r="263" spans="1:16" ht="13">
      <c r="A263" s="2" t="s">
        <v>3</v>
      </c>
      <c r="B263" s="2" t="str">
        <f t="shared" si="4"/>
        <v>23-24 Academic Year</v>
      </c>
      <c r="C263" s="2">
        <v>5</v>
      </c>
      <c r="D263" s="2" t="s">
        <v>1313</v>
      </c>
      <c r="E263" s="10">
        <v>45193</v>
      </c>
      <c r="F263" s="2" t="s">
        <v>20</v>
      </c>
      <c r="G263" s="2" t="s">
        <v>1314</v>
      </c>
      <c r="H263" s="2" t="s">
        <v>7</v>
      </c>
      <c r="I263" s="2" t="s">
        <v>669</v>
      </c>
      <c r="J263" s="2" t="s">
        <v>4684</v>
      </c>
      <c r="K263" s="2" t="s">
        <v>1322</v>
      </c>
      <c r="L263" s="2" t="s">
        <v>1323</v>
      </c>
      <c r="M263" s="3">
        <v>2</v>
      </c>
      <c r="N263" s="3">
        <v>1</v>
      </c>
      <c r="P263" s="2" t="s">
        <v>1324</v>
      </c>
    </row>
    <row r="264" spans="1:16" ht="13">
      <c r="A264" s="2" t="s">
        <v>3</v>
      </c>
      <c r="B264" s="2" t="str">
        <f t="shared" si="4"/>
        <v>23-24 Academic Year</v>
      </c>
      <c r="C264" s="2">
        <v>5</v>
      </c>
      <c r="D264" s="2" t="s">
        <v>1313</v>
      </c>
      <c r="E264" s="10">
        <v>45193</v>
      </c>
      <c r="F264" s="2" t="s">
        <v>20</v>
      </c>
      <c r="G264" s="2" t="s">
        <v>1314</v>
      </c>
      <c r="H264" s="2" t="s">
        <v>7</v>
      </c>
      <c r="I264" s="2" t="s">
        <v>669</v>
      </c>
      <c r="J264" s="2" t="s">
        <v>4686</v>
      </c>
      <c r="K264" s="2" t="s">
        <v>1325</v>
      </c>
      <c r="L264" s="2" t="s">
        <v>1326</v>
      </c>
      <c r="M264" s="3">
        <v>1</v>
      </c>
      <c r="N264" s="3">
        <v>1</v>
      </c>
      <c r="P264" s="2" t="s">
        <v>1327</v>
      </c>
    </row>
    <row r="265" spans="1:16" ht="13">
      <c r="A265" s="2" t="s">
        <v>3</v>
      </c>
      <c r="B265" s="2" t="str">
        <f t="shared" si="4"/>
        <v>23-24 Academic Year</v>
      </c>
      <c r="C265" s="2">
        <v>5</v>
      </c>
      <c r="D265" s="2" t="s">
        <v>1313</v>
      </c>
      <c r="E265" s="10">
        <v>45193</v>
      </c>
      <c r="F265" s="2" t="s">
        <v>20</v>
      </c>
      <c r="G265" s="2" t="s">
        <v>1314</v>
      </c>
      <c r="H265" s="2" t="s">
        <v>7</v>
      </c>
      <c r="I265" s="2" t="s">
        <v>669</v>
      </c>
      <c r="J265" s="2" t="s">
        <v>4823</v>
      </c>
      <c r="K265" s="2" t="s">
        <v>1328</v>
      </c>
      <c r="L265" s="2" t="s">
        <v>1329</v>
      </c>
      <c r="M265" s="3">
        <v>1</v>
      </c>
      <c r="N265" s="3">
        <v>1</v>
      </c>
      <c r="P265" s="2" t="s">
        <v>1330</v>
      </c>
    </row>
    <row r="266" spans="1:16" ht="13">
      <c r="A266" s="2" t="s">
        <v>3</v>
      </c>
      <c r="B266" s="2" t="str">
        <f t="shared" si="4"/>
        <v>23-24 Academic Year</v>
      </c>
      <c r="C266" s="2">
        <v>5</v>
      </c>
      <c r="D266" s="2" t="s">
        <v>1313</v>
      </c>
      <c r="E266" s="10">
        <v>45193</v>
      </c>
      <c r="F266" s="2" t="s">
        <v>20</v>
      </c>
      <c r="G266" s="2" t="s">
        <v>1314</v>
      </c>
      <c r="H266" s="2" t="s">
        <v>7</v>
      </c>
      <c r="I266" s="2" t="s">
        <v>669</v>
      </c>
      <c r="J266" s="2" t="s">
        <v>4824</v>
      </c>
      <c r="K266" s="2" t="s">
        <v>1331</v>
      </c>
      <c r="L266" s="2" t="s">
        <v>1332</v>
      </c>
      <c r="M266" s="3">
        <v>1</v>
      </c>
      <c r="N266" s="3">
        <v>1</v>
      </c>
      <c r="P266" s="2" t="s">
        <v>1333</v>
      </c>
    </row>
    <row r="267" spans="1:16" ht="13">
      <c r="A267" s="2" t="s">
        <v>3</v>
      </c>
      <c r="B267" s="2" t="str">
        <f t="shared" si="4"/>
        <v>23-24 Academic Year</v>
      </c>
      <c r="C267" s="2">
        <v>5</v>
      </c>
      <c r="D267" s="2" t="s">
        <v>1313</v>
      </c>
      <c r="E267" s="10">
        <v>45193</v>
      </c>
      <c r="F267" s="2" t="s">
        <v>20</v>
      </c>
      <c r="G267" s="2" t="s">
        <v>1314</v>
      </c>
      <c r="H267" s="2" t="s">
        <v>7</v>
      </c>
      <c r="I267" s="2" t="s">
        <v>669</v>
      </c>
      <c r="J267" s="2" t="s">
        <v>4825</v>
      </c>
      <c r="K267" s="2" t="s">
        <v>1334</v>
      </c>
      <c r="L267" s="2" t="s">
        <v>1335</v>
      </c>
      <c r="M267" s="3">
        <v>1</v>
      </c>
      <c r="N267" s="3">
        <v>1</v>
      </c>
      <c r="P267" s="2" t="s">
        <v>1336</v>
      </c>
    </row>
    <row r="268" spans="1:16" ht="13">
      <c r="A268" s="2" t="s">
        <v>3</v>
      </c>
      <c r="B268" s="2" t="str">
        <f t="shared" si="4"/>
        <v>23-24 Academic Year</v>
      </c>
      <c r="C268" s="2">
        <v>5</v>
      </c>
      <c r="D268" s="2" t="s">
        <v>1313</v>
      </c>
      <c r="E268" s="10">
        <v>45193</v>
      </c>
      <c r="F268" s="2" t="s">
        <v>20</v>
      </c>
      <c r="G268" s="2" t="s">
        <v>1314</v>
      </c>
      <c r="H268" s="2" t="s">
        <v>7</v>
      </c>
      <c r="I268" s="2" t="s">
        <v>669</v>
      </c>
      <c r="J268" s="2" t="s">
        <v>4826</v>
      </c>
      <c r="K268" s="2" t="s">
        <v>1337</v>
      </c>
      <c r="L268" s="2" t="s">
        <v>1338</v>
      </c>
      <c r="M268" s="3">
        <v>2</v>
      </c>
      <c r="N268" s="3">
        <v>1</v>
      </c>
      <c r="P268" s="2" t="s">
        <v>1339</v>
      </c>
    </row>
    <row r="269" spans="1:16" ht="13">
      <c r="A269" s="2" t="s">
        <v>3</v>
      </c>
      <c r="B269" s="2" t="str">
        <f t="shared" si="4"/>
        <v>23-24 Academic Year</v>
      </c>
      <c r="C269" s="2">
        <v>6</v>
      </c>
      <c r="D269" s="2" t="s">
        <v>633</v>
      </c>
      <c r="E269" s="10">
        <v>45198</v>
      </c>
      <c r="F269" s="2" t="s">
        <v>20</v>
      </c>
      <c r="G269" s="2" t="s">
        <v>1346</v>
      </c>
      <c r="H269" s="2" t="s">
        <v>6</v>
      </c>
      <c r="I269" s="2" t="s">
        <v>84</v>
      </c>
      <c r="J269" s="2" t="s">
        <v>4669</v>
      </c>
      <c r="K269" s="2" t="s">
        <v>46</v>
      </c>
      <c r="L269" s="2" t="s">
        <v>1347</v>
      </c>
      <c r="M269" s="3">
        <v>1</v>
      </c>
      <c r="N269" s="3">
        <v>2</v>
      </c>
      <c r="P269" s="2" t="s">
        <v>1348</v>
      </c>
    </row>
    <row r="270" spans="1:16" ht="13">
      <c r="A270" s="2" t="s">
        <v>3</v>
      </c>
      <c r="B270" s="2" t="str">
        <f t="shared" si="4"/>
        <v>23-24 Academic Year</v>
      </c>
      <c r="C270" s="2">
        <v>6</v>
      </c>
      <c r="D270" s="2" t="s">
        <v>633</v>
      </c>
      <c r="E270" s="10">
        <v>45198</v>
      </c>
      <c r="F270" s="2" t="s">
        <v>20</v>
      </c>
      <c r="G270" s="2" t="s">
        <v>1346</v>
      </c>
      <c r="H270" s="2" t="s">
        <v>6</v>
      </c>
      <c r="I270" s="2" t="s">
        <v>84</v>
      </c>
      <c r="J270" s="2" t="s">
        <v>4671</v>
      </c>
      <c r="K270" s="2" t="s">
        <v>1349</v>
      </c>
      <c r="L270" s="2" t="s">
        <v>1350</v>
      </c>
      <c r="M270" s="3">
        <v>1</v>
      </c>
      <c r="N270" s="3">
        <v>2</v>
      </c>
      <c r="P270" s="2" t="s">
        <v>1351</v>
      </c>
    </row>
    <row r="271" spans="1:16" ht="13">
      <c r="A271" s="2" t="s">
        <v>3</v>
      </c>
      <c r="B271" s="2" t="str">
        <f t="shared" si="4"/>
        <v>23-24 Academic Year</v>
      </c>
      <c r="C271" s="2">
        <v>6</v>
      </c>
      <c r="D271" s="2" t="s">
        <v>633</v>
      </c>
      <c r="E271" s="10">
        <v>45198</v>
      </c>
      <c r="F271" s="2" t="s">
        <v>20</v>
      </c>
      <c r="G271" s="2" t="s">
        <v>1346</v>
      </c>
      <c r="H271" s="2" t="s">
        <v>6</v>
      </c>
      <c r="I271" s="2" t="s">
        <v>84</v>
      </c>
      <c r="J271" s="2" t="s">
        <v>4673</v>
      </c>
      <c r="K271" s="2" t="s">
        <v>472</v>
      </c>
      <c r="L271" s="2" t="s">
        <v>1352</v>
      </c>
      <c r="M271" s="3">
        <v>1</v>
      </c>
      <c r="N271" s="3">
        <v>2</v>
      </c>
      <c r="P271" s="2" t="s">
        <v>1353</v>
      </c>
    </row>
    <row r="272" spans="1:16" ht="13">
      <c r="A272" s="2" t="s">
        <v>3</v>
      </c>
      <c r="B272" s="2" t="str">
        <f t="shared" si="4"/>
        <v>23-24 Academic Year</v>
      </c>
      <c r="C272" s="2">
        <v>6</v>
      </c>
      <c r="D272" s="2" t="s">
        <v>633</v>
      </c>
      <c r="E272" s="10">
        <v>45198</v>
      </c>
      <c r="F272" s="2" t="s">
        <v>20</v>
      </c>
      <c r="G272" s="2" t="s">
        <v>1346</v>
      </c>
      <c r="H272" s="2" t="s">
        <v>6</v>
      </c>
      <c r="I272" s="2" t="s">
        <v>84</v>
      </c>
      <c r="J272" s="2" t="s">
        <v>4675</v>
      </c>
      <c r="K272" s="2" t="s">
        <v>772</v>
      </c>
      <c r="L272" s="2" t="s">
        <v>1354</v>
      </c>
      <c r="M272" s="3">
        <v>2</v>
      </c>
      <c r="N272" s="3">
        <v>1</v>
      </c>
      <c r="P272" s="2" t="s">
        <v>1355</v>
      </c>
    </row>
    <row r="273" spans="1:16" ht="13">
      <c r="A273" s="2" t="s">
        <v>3</v>
      </c>
      <c r="B273" s="2" t="str">
        <f t="shared" si="4"/>
        <v>23-24 Academic Year</v>
      </c>
      <c r="C273" s="2">
        <v>6</v>
      </c>
      <c r="D273" s="2" t="s">
        <v>633</v>
      </c>
      <c r="E273" s="10">
        <v>45198</v>
      </c>
      <c r="F273" s="2" t="s">
        <v>20</v>
      </c>
      <c r="G273" s="2" t="s">
        <v>1346</v>
      </c>
      <c r="H273" s="2" t="s">
        <v>6</v>
      </c>
      <c r="I273" s="2" t="s">
        <v>84</v>
      </c>
      <c r="J273" s="2" t="s">
        <v>4677</v>
      </c>
      <c r="K273" s="2" t="s">
        <v>1290</v>
      </c>
      <c r="L273" s="2" t="s">
        <v>1291</v>
      </c>
      <c r="M273" s="3">
        <v>3</v>
      </c>
      <c r="N273" s="3">
        <v>2</v>
      </c>
      <c r="P273" s="2" t="s">
        <v>1292</v>
      </c>
    </row>
    <row r="274" spans="1:16" ht="13">
      <c r="A274" s="2" t="s">
        <v>3</v>
      </c>
      <c r="B274" s="2" t="str">
        <f t="shared" si="4"/>
        <v>23-24 Academic Year</v>
      </c>
      <c r="C274" s="2">
        <v>7</v>
      </c>
      <c r="D274" s="2" t="s">
        <v>1356</v>
      </c>
      <c r="E274" s="10">
        <v>45199</v>
      </c>
      <c r="F274" s="2" t="s">
        <v>20</v>
      </c>
      <c r="G274" s="2" t="s">
        <v>1357</v>
      </c>
      <c r="H274" s="2" t="s">
        <v>7</v>
      </c>
      <c r="I274" s="2" t="s">
        <v>1358</v>
      </c>
      <c r="J274" s="2" t="s">
        <v>4702</v>
      </c>
      <c r="K274" s="2" t="s">
        <v>1359</v>
      </c>
      <c r="L274" s="2" t="s">
        <v>1360</v>
      </c>
      <c r="M274" s="3">
        <v>1</v>
      </c>
      <c r="N274" s="3">
        <v>2</v>
      </c>
      <c r="P274" s="2" t="s">
        <v>1361</v>
      </c>
    </row>
    <row r="275" spans="1:16" ht="13">
      <c r="A275" s="2" t="s">
        <v>3</v>
      </c>
      <c r="B275" s="2" t="str">
        <f t="shared" si="4"/>
        <v>23-24 Academic Year</v>
      </c>
      <c r="C275" s="2">
        <v>7</v>
      </c>
      <c r="D275" s="2" t="s">
        <v>1356</v>
      </c>
      <c r="E275" s="10">
        <v>45199</v>
      </c>
      <c r="F275" s="2" t="s">
        <v>20</v>
      </c>
      <c r="G275" s="2" t="s">
        <v>1357</v>
      </c>
      <c r="H275" s="2" t="s">
        <v>7</v>
      </c>
      <c r="I275" s="2" t="s">
        <v>1358</v>
      </c>
      <c r="J275" s="2" t="s">
        <v>4703</v>
      </c>
      <c r="K275" s="2" t="s">
        <v>351</v>
      </c>
      <c r="L275" s="2" t="s">
        <v>1362</v>
      </c>
      <c r="M275" s="3">
        <v>1</v>
      </c>
      <c r="N275" s="3">
        <v>1</v>
      </c>
      <c r="P275" s="2" t="s">
        <v>1363</v>
      </c>
    </row>
    <row r="276" spans="1:16" ht="13">
      <c r="A276" s="2" t="s">
        <v>3</v>
      </c>
      <c r="B276" s="2" t="str">
        <f t="shared" si="4"/>
        <v>23-24 Academic Year</v>
      </c>
      <c r="C276" s="2">
        <v>7</v>
      </c>
      <c r="D276" s="2" t="s">
        <v>1356</v>
      </c>
      <c r="E276" s="10">
        <v>45199</v>
      </c>
      <c r="F276" s="2" t="s">
        <v>20</v>
      </c>
      <c r="G276" s="2" t="s">
        <v>1357</v>
      </c>
      <c r="H276" s="2" t="s">
        <v>7</v>
      </c>
      <c r="I276" s="2" t="s">
        <v>1358</v>
      </c>
      <c r="J276" s="2" t="s">
        <v>4705</v>
      </c>
      <c r="K276" s="2" t="s">
        <v>1364</v>
      </c>
      <c r="L276" s="2" t="s">
        <v>1365</v>
      </c>
      <c r="M276" s="3">
        <v>3</v>
      </c>
      <c r="N276" s="3">
        <v>2</v>
      </c>
      <c r="P276" s="2" t="s">
        <v>1366</v>
      </c>
    </row>
    <row r="277" spans="1:16" ht="13">
      <c r="A277" s="2" t="s">
        <v>3</v>
      </c>
      <c r="B277" s="2" t="str">
        <f t="shared" si="4"/>
        <v>23-24 Academic Year</v>
      </c>
      <c r="C277" s="2">
        <v>8</v>
      </c>
      <c r="D277" s="2" t="s">
        <v>1367</v>
      </c>
      <c r="E277" s="10">
        <v>45198</v>
      </c>
      <c r="F277" s="2" t="s">
        <v>69</v>
      </c>
      <c r="G277" s="2" t="s">
        <v>1368</v>
      </c>
      <c r="H277" s="2" t="s">
        <v>6</v>
      </c>
      <c r="I277" s="2" t="s">
        <v>699</v>
      </c>
      <c r="J277" s="2" t="s">
        <v>4747</v>
      </c>
      <c r="K277" s="2" t="s">
        <v>971</v>
      </c>
      <c r="L277" s="2" t="s">
        <v>1369</v>
      </c>
      <c r="M277" s="3">
        <v>1</v>
      </c>
      <c r="N277" s="3">
        <v>2</v>
      </c>
      <c r="P277" s="2" t="s">
        <v>1370</v>
      </c>
    </row>
    <row r="278" spans="1:16" ht="13">
      <c r="A278" s="2" t="s">
        <v>3</v>
      </c>
      <c r="B278" s="2" t="str">
        <f t="shared" si="4"/>
        <v>23-24 Academic Year</v>
      </c>
      <c r="C278" s="2">
        <v>8</v>
      </c>
      <c r="D278" s="2" t="s">
        <v>883</v>
      </c>
      <c r="E278" s="10">
        <v>45198</v>
      </c>
      <c r="F278" s="2" t="s">
        <v>69</v>
      </c>
      <c r="G278" s="2" t="s">
        <v>1368</v>
      </c>
      <c r="H278" s="2" t="s">
        <v>6</v>
      </c>
      <c r="I278" s="2" t="s">
        <v>699</v>
      </c>
      <c r="J278" s="2" t="s">
        <v>4749</v>
      </c>
      <c r="K278" s="2" t="s">
        <v>1371</v>
      </c>
      <c r="L278" s="2" t="s">
        <v>1372</v>
      </c>
      <c r="M278" s="3">
        <v>1</v>
      </c>
      <c r="N278" s="3">
        <v>2</v>
      </c>
      <c r="P278" s="2" t="s">
        <v>1373</v>
      </c>
    </row>
    <row r="279" spans="1:16" ht="13">
      <c r="A279" s="2" t="s">
        <v>3</v>
      </c>
      <c r="B279" s="2" t="str">
        <f t="shared" si="4"/>
        <v>23-24 Academic Year</v>
      </c>
      <c r="C279" s="2">
        <v>8</v>
      </c>
      <c r="D279" s="2" t="s">
        <v>1374</v>
      </c>
      <c r="E279" s="10">
        <v>45198</v>
      </c>
      <c r="F279" s="2" t="s">
        <v>69</v>
      </c>
      <c r="G279" s="2" t="s">
        <v>1368</v>
      </c>
      <c r="H279" s="2" t="s">
        <v>6</v>
      </c>
      <c r="I279" s="2" t="s">
        <v>434</v>
      </c>
      <c r="J279" s="2" t="s">
        <v>4750</v>
      </c>
      <c r="K279" s="2" t="s">
        <v>1375</v>
      </c>
      <c r="L279" s="2" t="s">
        <v>1372</v>
      </c>
      <c r="M279" s="3">
        <v>1</v>
      </c>
      <c r="N279" s="3">
        <v>2</v>
      </c>
      <c r="P279" s="2" t="s">
        <v>1376</v>
      </c>
    </row>
    <row r="280" spans="1:16" ht="13">
      <c r="A280" s="2" t="s">
        <v>3</v>
      </c>
      <c r="B280" s="2" t="str">
        <f t="shared" si="4"/>
        <v>23-24 Academic Year</v>
      </c>
      <c r="C280" s="2">
        <v>9</v>
      </c>
      <c r="D280" s="2" t="s">
        <v>191</v>
      </c>
      <c r="E280" s="10">
        <v>45202</v>
      </c>
      <c r="F280" s="2" t="s">
        <v>20</v>
      </c>
      <c r="G280" s="2" t="s">
        <v>1377</v>
      </c>
      <c r="H280" s="2" t="s">
        <v>6</v>
      </c>
      <c r="I280" s="2" t="s">
        <v>1378</v>
      </c>
      <c r="J280" s="2" t="s">
        <v>4827</v>
      </c>
      <c r="K280" s="2" t="s">
        <v>1379</v>
      </c>
      <c r="L280" s="2" t="s">
        <v>1380</v>
      </c>
      <c r="M280" s="3">
        <v>4</v>
      </c>
      <c r="N280" s="3">
        <v>1</v>
      </c>
      <c r="P280" s="2" t="s">
        <v>1381</v>
      </c>
    </row>
    <row r="281" spans="1:16" ht="13">
      <c r="A281" s="2" t="s">
        <v>3</v>
      </c>
      <c r="B281" s="2" t="str">
        <f t="shared" si="4"/>
        <v>23-24 Academic Year</v>
      </c>
      <c r="C281" s="2">
        <v>9</v>
      </c>
      <c r="D281" s="2" t="s">
        <v>191</v>
      </c>
      <c r="E281" s="10">
        <v>45202</v>
      </c>
      <c r="F281" s="2" t="s">
        <v>20</v>
      </c>
      <c r="G281" s="2" t="s">
        <v>1377</v>
      </c>
      <c r="H281" s="2" t="s">
        <v>6</v>
      </c>
      <c r="I281" s="2" t="s">
        <v>1378</v>
      </c>
      <c r="J281" s="2" t="s">
        <v>4828</v>
      </c>
      <c r="K281" s="2" t="s">
        <v>1382</v>
      </c>
      <c r="L281" s="2" t="s">
        <v>995</v>
      </c>
      <c r="M281" s="3">
        <v>3</v>
      </c>
      <c r="N281" s="3">
        <v>2</v>
      </c>
      <c r="O281" s="2" t="s">
        <v>1383</v>
      </c>
      <c r="P281" s="2" t="s">
        <v>1384</v>
      </c>
    </row>
    <row r="282" spans="1:16" ht="13">
      <c r="A282" s="2" t="s">
        <v>3</v>
      </c>
      <c r="B282" s="2" t="str">
        <f t="shared" si="4"/>
        <v>23-24 Academic Year</v>
      </c>
      <c r="C282" s="2">
        <v>9</v>
      </c>
      <c r="D282" s="2" t="s">
        <v>191</v>
      </c>
      <c r="E282" s="10">
        <v>45202</v>
      </c>
      <c r="F282" s="2" t="s">
        <v>20</v>
      </c>
      <c r="G282" s="2" t="s">
        <v>1377</v>
      </c>
      <c r="H282" s="2" t="s">
        <v>6</v>
      </c>
      <c r="I282" s="2" t="s">
        <v>1378</v>
      </c>
      <c r="J282" s="2" t="s">
        <v>4829</v>
      </c>
      <c r="K282" s="2" t="s">
        <v>85</v>
      </c>
      <c r="L282" s="2" t="s">
        <v>1385</v>
      </c>
      <c r="M282" s="3">
        <v>4</v>
      </c>
      <c r="N282" s="3">
        <v>1</v>
      </c>
      <c r="P282" s="2" t="s">
        <v>1386</v>
      </c>
    </row>
    <row r="283" spans="1:16" ht="13">
      <c r="A283" s="2" t="s">
        <v>3</v>
      </c>
      <c r="B283" s="2" t="str">
        <f t="shared" si="4"/>
        <v>23-24 Academic Year</v>
      </c>
      <c r="C283" s="2">
        <v>9</v>
      </c>
      <c r="D283" s="2" t="s">
        <v>191</v>
      </c>
      <c r="E283" s="10">
        <v>45202</v>
      </c>
      <c r="F283" s="2" t="s">
        <v>20</v>
      </c>
      <c r="G283" s="2" t="s">
        <v>1377</v>
      </c>
      <c r="H283" s="2" t="s">
        <v>6</v>
      </c>
      <c r="I283" s="2" t="s">
        <v>1378</v>
      </c>
      <c r="J283" s="2" t="s">
        <v>4830</v>
      </c>
      <c r="K283" s="2" t="s">
        <v>1387</v>
      </c>
      <c r="L283" s="2" t="s">
        <v>1388</v>
      </c>
      <c r="M283" s="3">
        <v>2</v>
      </c>
      <c r="N283" s="3">
        <v>1</v>
      </c>
      <c r="P283" s="2" t="s">
        <v>1389</v>
      </c>
    </row>
    <row r="284" spans="1:16" ht="13">
      <c r="A284" s="2" t="s">
        <v>3</v>
      </c>
      <c r="B284" s="2" t="str">
        <f t="shared" si="4"/>
        <v>23-24 Academic Year</v>
      </c>
      <c r="C284" s="2">
        <v>9</v>
      </c>
      <c r="D284" s="2" t="s">
        <v>191</v>
      </c>
      <c r="E284" s="10">
        <v>45202</v>
      </c>
      <c r="F284" s="2" t="s">
        <v>20</v>
      </c>
      <c r="G284" s="2" t="s">
        <v>1377</v>
      </c>
      <c r="H284" s="2" t="s">
        <v>6</v>
      </c>
      <c r="I284" s="2" t="s">
        <v>1378</v>
      </c>
      <c r="J284" s="2" t="s">
        <v>4831</v>
      </c>
      <c r="K284" s="2" t="s">
        <v>1390</v>
      </c>
      <c r="L284" s="2" t="s">
        <v>1391</v>
      </c>
      <c r="M284" s="3">
        <v>1</v>
      </c>
      <c r="N284" s="3">
        <v>1</v>
      </c>
      <c r="P284" s="2" t="s">
        <v>1392</v>
      </c>
    </row>
    <row r="285" spans="1:16" ht="13">
      <c r="A285" s="2" t="s">
        <v>3</v>
      </c>
      <c r="B285" s="2" t="str">
        <f t="shared" si="4"/>
        <v>23-24 Academic Year</v>
      </c>
      <c r="C285" s="2">
        <v>9</v>
      </c>
      <c r="D285" s="2" t="s">
        <v>191</v>
      </c>
      <c r="E285" s="10">
        <v>45202</v>
      </c>
      <c r="F285" s="2" t="s">
        <v>20</v>
      </c>
      <c r="G285" s="2" t="s">
        <v>1377</v>
      </c>
      <c r="H285" s="2" t="s">
        <v>6</v>
      </c>
      <c r="I285" s="2" t="s">
        <v>1378</v>
      </c>
      <c r="J285" s="2" t="s">
        <v>4832</v>
      </c>
      <c r="K285" s="2" t="s">
        <v>1393</v>
      </c>
      <c r="L285" s="2" t="s">
        <v>1394</v>
      </c>
      <c r="M285" s="3">
        <v>1</v>
      </c>
      <c r="N285" s="3">
        <v>1</v>
      </c>
      <c r="P285" s="2" t="s">
        <v>1395</v>
      </c>
    </row>
    <row r="286" spans="1:16" ht="13">
      <c r="A286" s="2" t="s">
        <v>3</v>
      </c>
      <c r="B286" s="2" t="str">
        <f t="shared" si="4"/>
        <v>23-24 Academic Year</v>
      </c>
      <c r="C286" s="2">
        <v>9</v>
      </c>
      <c r="D286" s="2" t="s">
        <v>191</v>
      </c>
      <c r="E286" s="10">
        <v>45202</v>
      </c>
      <c r="F286" s="2" t="s">
        <v>20</v>
      </c>
      <c r="G286" s="2" t="s">
        <v>1377</v>
      </c>
      <c r="H286" s="2" t="s">
        <v>6</v>
      </c>
      <c r="I286" s="2" t="s">
        <v>1378</v>
      </c>
      <c r="J286" s="2" t="s">
        <v>4833</v>
      </c>
      <c r="K286" s="2" t="s">
        <v>1015</v>
      </c>
      <c r="L286" s="2" t="s">
        <v>1396</v>
      </c>
      <c r="M286" s="3">
        <v>3</v>
      </c>
      <c r="N286" s="3">
        <v>1</v>
      </c>
      <c r="P286" s="2" t="s">
        <v>1397</v>
      </c>
    </row>
    <row r="287" spans="1:16" ht="13">
      <c r="A287" s="2" t="s">
        <v>3</v>
      </c>
      <c r="B287" s="2" t="str">
        <f t="shared" si="4"/>
        <v>23-24 Academic Year</v>
      </c>
      <c r="C287" s="2">
        <v>10</v>
      </c>
      <c r="D287" s="2" t="s">
        <v>1398</v>
      </c>
      <c r="E287" s="10">
        <v>45210</v>
      </c>
      <c r="F287" s="2" t="s">
        <v>1237</v>
      </c>
      <c r="G287" s="2" t="s">
        <v>1399</v>
      </c>
      <c r="H287" s="2" t="s">
        <v>6</v>
      </c>
      <c r="I287" s="2" t="s">
        <v>1400</v>
      </c>
      <c r="J287" s="2" t="s">
        <v>4764</v>
      </c>
      <c r="K287" s="2" t="s">
        <v>1401</v>
      </c>
      <c r="L287" s="2" t="s">
        <v>60</v>
      </c>
      <c r="M287" s="3">
        <v>1</v>
      </c>
      <c r="N287" s="3">
        <v>2</v>
      </c>
      <c r="P287" s="2" t="s">
        <v>1402</v>
      </c>
    </row>
    <row r="288" spans="1:16" ht="13">
      <c r="A288" s="2" t="s">
        <v>3</v>
      </c>
      <c r="B288" s="2" t="str">
        <f t="shared" si="4"/>
        <v>23-24 Academic Year</v>
      </c>
      <c r="C288" s="2">
        <v>10</v>
      </c>
      <c r="D288" s="2" t="s">
        <v>1398</v>
      </c>
      <c r="E288" s="10">
        <v>45210</v>
      </c>
      <c r="F288" s="2" t="s">
        <v>1237</v>
      </c>
      <c r="G288" s="2" t="s">
        <v>1399</v>
      </c>
      <c r="H288" s="2" t="s">
        <v>6</v>
      </c>
      <c r="I288" s="2" t="s">
        <v>1400</v>
      </c>
      <c r="J288" s="2" t="s">
        <v>4766</v>
      </c>
      <c r="K288" s="2" t="s">
        <v>1403</v>
      </c>
      <c r="L288" s="2" t="s">
        <v>1404</v>
      </c>
      <c r="M288" s="3">
        <v>1</v>
      </c>
      <c r="N288" s="3">
        <v>2</v>
      </c>
      <c r="P288" s="2" t="s">
        <v>1405</v>
      </c>
    </row>
    <row r="289" spans="1:16" ht="13">
      <c r="A289" s="2" t="s">
        <v>3</v>
      </c>
      <c r="B289" s="2" t="str">
        <f t="shared" si="4"/>
        <v>23-24 Academic Year</v>
      </c>
      <c r="C289" s="2">
        <v>10</v>
      </c>
      <c r="D289" s="2" t="s">
        <v>1398</v>
      </c>
      <c r="E289" s="10">
        <v>45210</v>
      </c>
      <c r="F289" s="2" t="s">
        <v>1237</v>
      </c>
      <c r="G289" s="2" t="s">
        <v>1399</v>
      </c>
      <c r="H289" s="2" t="s">
        <v>6</v>
      </c>
      <c r="I289" s="2" t="s">
        <v>1400</v>
      </c>
      <c r="J289" s="2" t="s">
        <v>4768</v>
      </c>
      <c r="K289" s="2" t="s">
        <v>1406</v>
      </c>
      <c r="L289" s="2" t="s">
        <v>1407</v>
      </c>
      <c r="M289" s="3">
        <v>1</v>
      </c>
      <c r="N289" s="3">
        <v>2</v>
      </c>
      <c r="P289" s="2" t="s">
        <v>1408</v>
      </c>
    </row>
    <row r="290" spans="1:16" ht="13">
      <c r="A290" s="2" t="s">
        <v>3</v>
      </c>
      <c r="B290" s="2" t="str">
        <f t="shared" si="4"/>
        <v>23-24 Academic Year</v>
      </c>
      <c r="C290" s="2">
        <v>11</v>
      </c>
      <c r="D290" s="2" t="s">
        <v>1409</v>
      </c>
      <c r="E290" s="10">
        <v>45219</v>
      </c>
      <c r="F290" s="2" t="s">
        <v>69</v>
      </c>
      <c r="G290" s="2" t="s">
        <v>1368</v>
      </c>
      <c r="H290" s="2" t="s">
        <v>6</v>
      </c>
      <c r="I290" s="2" t="s">
        <v>699</v>
      </c>
      <c r="J290" s="2" t="s">
        <v>4834</v>
      </c>
      <c r="K290" s="2" t="s">
        <v>1410</v>
      </c>
      <c r="L290" s="2" t="s">
        <v>1411</v>
      </c>
      <c r="M290" s="3">
        <v>1</v>
      </c>
      <c r="N290" s="3">
        <v>2</v>
      </c>
      <c r="P290" s="2" t="s">
        <v>1412</v>
      </c>
    </row>
    <row r="291" spans="1:16" ht="13">
      <c r="A291" s="2" t="s">
        <v>3</v>
      </c>
      <c r="B291" s="2" t="str">
        <f t="shared" si="4"/>
        <v>23-24 Academic Year</v>
      </c>
      <c r="C291" s="2">
        <v>11</v>
      </c>
      <c r="D291" s="2" t="s">
        <v>1413</v>
      </c>
      <c r="E291" s="10">
        <v>45219</v>
      </c>
      <c r="F291" s="2" t="s">
        <v>69</v>
      </c>
      <c r="G291" s="2" t="s">
        <v>1368</v>
      </c>
      <c r="H291" s="2" t="s">
        <v>6</v>
      </c>
      <c r="I291" s="2" t="s">
        <v>619</v>
      </c>
      <c r="J291" s="2" t="s">
        <v>4835</v>
      </c>
      <c r="K291" s="2" t="s">
        <v>1414</v>
      </c>
      <c r="L291" s="2" t="s">
        <v>1415</v>
      </c>
      <c r="M291" s="3">
        <v>1</v>
      </c>
      <c r="N291" s="3">
        <v>2</v>
      </c>
      <c r="P291" s="2" t="s">
        <v>1416</v>
      </c>
    </row>
    <row r="292" spans="1:16" ht="13">
      <c r="A292" s="2" t="s">
        <v>3</v>
      </c>
      <c r="B292" s="2" t="str">
        <f t="shared" si="4"/>
        <v>23-24 Academic Year</v>
      </c>
      <c r="C292" s="2">
        <v>11</v>
      </c>
      <c r="D292" s="2" t="s">
        <v>883</v>
      </c>
      <c r="E292" s="10">
        <v>45219</v>
      </c>
      <c r="F292" s="2" t="s">
        <v>69</v>
      </c>
      <c r="G292" s="2" t="s">
        <v>1368</v>
      </c>
      <c r="H292" s="2" t="s">
        <v>6</v>
      </c>
      <c r="I292" s="2" t="s">
        <v>699</v>
      </c>
      <c r="J292" s="2" t="s">
        <v>4836</v>
      </c>
      <c r="K292" s="2" t="s">
        <v>1103</v>
      </c>
      <c r="L292" s="2" t="s">
        <v>1104</v>
      </c>
      <c r="M292" s="3">
        <v>1</v>
      </c>
      <c r="N292" s="3">
        <v>2</v>
      </c>
      <c r="P292" s="2" t="s">
        <v>1417</v>
      </c>
    </row>
    <row r="293" spans="1:16" ht="13">
      <c r="A293" s="2" t="s">
        <v>3</v>
      </c>
      <c r="B293" s="2" t="str">
        <f t="shared" si="4"/>
        <v>23-24 Academic Year</v>
      </c>
      <c r="C293" s="2">
        <v>12</v>
      </c>
      <c r="D293" s="2" t="s">
        <v>1418</v>
      </c>
      <c r="E293" s="10">
        <v>45219</v>
      </c>
      <c r="F293" s="2" t="s">
        <v>20</v>
      </c>
      <c r="G293" s="2" t="s">
        <v>1419</v>
      </c>
      <c r="H293" s="2" t="s">
        <v>1420</v>
      </c>
      <c r="I293" s="2" t="s">
        <v>1420</v>
      </c>
      <c r="J293" s="2" t="s">
        <v>4837</v>
      </c>
      <c r="K293" s="2" t="s">
        <v>237</v>
      </c>
      <c r="L293" s="2" t="s">
        <v>1421</v>
      </c>
      <c r="M293" s="3">
        <v>1</v>
      </c>
      <c r="N293" s="3">
        <v>1</v>
      </c>
      <c r="P293" s="2" t="s">
        <v>1422</v>
      </c>
    </row>
    <row r="294" spans="1:16" ht="13">
      <c r="A294" s="2" t="s">
        <v>3</v>
      </c>
      <c r="B294" s="2" t="str">
        <f t="shared" si="4"/>
        <v>23-24 Academic Year</v>
      </c>
      <c r="C294" s="2">
        <v>12</v>
      </c>
      <c r="D294" s="2" t="s">
        <v>1418</v>
      </c>
      <c r="E294" s="10">
        <v>45219</v>
      </c>
      <c r="F294" s="2" t="s">
        <v>20</v>
      </c>
      <c r="G294" s="2" t="s">
        <v>1419</v>
      </c>
      <c r="H294" s="2" t="s">
        <v>1420</v>
      </c>
      <c r="I294" s="2" t="s">
        <v>1420</v>
      </c>
      <c r="J294" s="2" t="s">
        <v>4838</v>
      </c>
      <c r="K294" s="2" t="s">
        <v>265</v>
      </c>
      <c r="L294" s="2" t="s">
        <v>1423</v>
      </c>
      <c r="M294" s="3">
        <v>1</v>
      </c>
      <c r="N294" s="3">
        <v>2</v>
      </c>
      <c r="P294" s="2" t="s">
        <v>1424</v>
      </c>
    </row>
    <row r="295" spans="1:16" ht="13">
      <c r="A295" s="2" t="s">
        <v>3</v>
      </c>
      <c r="B295" s="2" t="str">
        <f t="shared" si="4"/>
        <v>23-24 Academic Year</v>
      </c>
      <c r="C295" s="2">
        <v>12</v>
      </c>
      <c r="D295" s="2" t="s">
        <v>1418</v>
      </c>
      <c r="E295" s="10">
        <v>45219</v>
      </c>
      <c r="F295" s="2" t="s">
        <v>20</v>
      </c>
      <c r="G295" s="2" t="s">
        <v>1419</v>
      </c>
      <c r="H295" s="2" t="s">
        <v>1420</v>
      </c>
      <c r="I295" s="2" t="s">
        <v>1420</v>
      </c>
      <c r="J295" s="2" t="s">
        <v>4839</v>
      </c>
      <c r="K295" s="2" t="s">
        <v>248</v>
      </c>
      <c r="L295" s="2" t="s">
        <v>1425</v>
      </c>
      <c r="M295" s="3">
        <v>1</v>
      </c>
      <c r="N295" s="3">
        <v>2</v>
      </c>
      <c r="P295" s="2" t="s">
        <v>1426</v>
      </c>
    </row>
    <row r="296" spans="1:16" ht="13">
      <c r="A296" s="2" t="s">
        <v>3</v>
      </c>
      <c r="B296" s="2" t="str">
        <f t="shared" si="4"/>
        <v>23-24 Academic Year</v>
      </c>
      <c r="C296" s="2">
        <v>12</v>
      </c>
      <c r="D296" s="2" t="s">
        <v>1418</v>
      </c>
      <c r="E296" s="10">
        <v>45219</v>
      </c>
      <c r="F296" s="2" t="s">
        <v>20</v>
      </c>
      <c r="G296" s="2" t="s">
        <v>1419</v>
      </c>
      <c r="H296" s="2" t="s">
        <v>1420</v>
      </c>
      <c r="I296" s="2" t="s">
        <v>1420</v>
      </c>
      <c r="J296" s="2" t="s">
        <v>4840</v>
      </c>
      <c r="K296" s="2" t="s">
        <v>230</v>
      </c>
      <c r="L296" s="2" t="s">
        <v>1427</v>
      </c>
      <c r="M296" s="3">
        <v>1</v>
      </c>
      <c r="N296" s="3">
        <v>2</v>
      </c>
      <c r="P296" s="2" t="s">
        <v>1428</v>
      </c>
    </row>
    <row r="297" spans="1:16" ht="13">
      <c r="A297" s="2" t="s">
        <v>3</v>
      </c>
      <c r="B297" s="2" t="str">
        <f t="shared" si="4"/>
        <v>23-24 Academic Year</v>
      </c>
      <c r="C297" s="2">
        <v>12</v>
      </c>
      <c r="D297" s="2" t="s">
        <v>1418</v>
      </c>
      <c r="E297" s="10">
        <v>45219</v>
      </c>
      <c r="F297" s="2" t="s">
        <v>20</v>
      </c>
      <c r="G297" s="2" t="s">
        <v>1419</v>
      </c>
      <c r="H297" s="2" t="s">
        <v>1420</v>
      </c>
      <c r="I297" s="2" t="s">
        <v>1420</v>
      </c>
      <c r="J297" s="2" t="s">
        <v>4841</v>
      </c>
      <c r="K297" s="2" t="s">
        <v>230</v>
      </c>
      <c r="L297" s="2" t="s">
        <v>1427</v>
      </c>
      <c r="M297" s="3">
        <v>1</v>
      </c>
      <c r="N297" s="3">
        <v>2</v>
      </c>
      <c r="P297" s="2" t="s">
        <v>1429</v>
      </c>
    </row>
    <row r="298" spans="1:16" ht="13">
      <c r="A298" s="2" t="s">
        <v>3</v>
      </c>
      <c r="B298" s="2" t="str">
        <f t="shared" si="4"/>
        <v>23-24 Academic Year</v>
      </c>
      <c r="C298" s="2">
        <v>12</v>
      </c>
      <c r="D298" s="2" t="s">
        <v>1418</v>
      </c>
      <c r="E298" s="10">
        <v>45219</v>
      </c>
      <c r="F298" s="2" t="s">
        <v>20</v>
      </c>
      <c r="G298" s="2" t="s">
        <v>1419</v>
      </c>
      <c r="H298" s="2" t="s">
        <v>1420</v>
      </c>
      <c r="I298" s="2" t="s">
        <v>1420</v>
      </c>
      <c r="J298" s="2" t="s">
        <v>4842</v>
      </c>
      <c r="K298" s="2" t="s">
        <v>237</v>
      </c>
      <c r="L298" s="2" t="s">
        <v>1421</v>
      </c>
      <c r="M298" s="3">
        <v>1</v>
      </c>
      <c r="N298" s="3">
        <v>1</v>
      </c>
      <c r="P298" s="2" t="s">
        <v>1430</v>
      </c>
    </row>
    <row r="299" spans="1:16" ht="13">
      <c r="A299" s="2" t="s">
        <v>3</v>
      </c>
      <c r="B299" s="2" t="str">
        <f t="shared" si="4"/>
        <v>23-24 Academic Year</v>
      </c>
      <c r="C299" s="2">
        <v>12</v>
      </c>
      <c r="D299" s="2" t="s">
        <v>1418</v>
      </c>
      <c r="E299" s="10">
        <v>45219</v>
      </c>
      <c r="F299" s="2" t="s">
        <v>20</v>
      </c>
      <c r="G299" s="2" t="s">
        <v>1419</v>
      </c>
      <c r="H299" s="2" t="s">
        <v>1420</v>
      </c>
      <c r="I299" s="2" t="s">
        <v>1420</v>
      </c>
      <c r="J299" s="2" t="s">
        <v>4843</v>
      </c>
      <c r="K299" s="2" t="s">
        <v>1431</v>
      </c>
      <c r="L299" s="2" t="s">
        <v>1432</v>
      </c>
      <c r="M299" s="3">
        <v>1</v>
      </c>
      <c r="N299" s="3">
        <v>2</v>
      </c>
      <c r="P299" s="2" t="s">
        <v>1433</v>
      </c>
    </row>
    <row r="300" spans="1:16" ht="13">
      <c r="A300" s="2" t="s">
        <v>3</v>
      </c>
      <c r="B300" s="2" t="str">
        <f t="shared" si="4"/>
        <v>23-24 Academic Year</v>
      </c>
      <c r="C300" s="2">
        <v>12</v>
      </c>
      <c r="D300" s="2" t="s">
        <v>1418</v>
      </c>
      <c r="E300" s="10">
        <v>45219</v>
      </c>
      <c r="F300" s="2" t="s">
        <v>20</v>
      </c>
      <c r="G300" s="2" t="s">
        <v>1419</v>
      </c>
      <c r="H300" s="2" t="s">
        <v>1420</v>
      </c>
      <c r="I300" s="2" t="s">
        <v>1420</v>
      </c>
      <c r="J300" s="2" t="s">
        <v>4844</v>
      </c>
      <c r="K300" s="2" t="s">
        <v>230</v>
      </c>
      <c r="L300" s="2" t="s">
        <v>1427</v>
      </c>
      <c r="M300" s="3">
        <v>1</v>
      </c>
      <c r="N300" s="3">
        <v>2</v>
      </c>
      <c r="P300" s="2" t="s">
        <v>1434</v>
      </c>
    </row>
    <row r="301" spans="1:16" ht="13">
      <c r="A301" s="2" t="s">
        <v>3</v>
      </c>
      <c r="B301" s="2" t="str">
        <f t="shared" si="4"/>
        <v>23-24 Academic Year</v>
      </c>
      <c r="C301" s="2">
        <v>13</v>
      </c>
      <c r="D301" s="2" t="s">
        <v>1418</v>
      </c>
      <c r="E301" s="10">
        <v>45220</v>
      </c>
      <c r="F301" s="2" t="s">
        <v>20</v>
      </c>
      <c r="G301" s="2" t="s">
        <v>1419</v>
      </c>
      <c r="H301" s="2" t="s">
        <v>1420</v>
      </c>
      <c r="I301" s="2" t="s">
        <v>1420</v>
      </c>
      <c r="J301" s="2" t="s">
        <v>157</v>
      </c>
      <c r="K301" s="2" t="s">
        <v>1431</v>
      </c>
      <c r="L301" s="2" t="s">
        <v>1432</v>
      </c>
      <c r="M301" s="3">
        <v>1</v>
      </c>
      <c r="N301" s="3">
        <v>2</v>
      </c>
      <c r="P301" s="2" t="s">
        <v>1435</v>
      </c>
    </row>
    <row r="302" spans="1:16" ht="13">
      <c r="A302" s="2" t="s">
        <v>3</v>
      </c>
      <c r="B302" s="2" t="str">
        <f t="shared" si="4"/>
        <v>23-24 Academic Year</v>
      </c>
      <c r="C302" s="2">
        <v>13</v>
      </c>
      <c r="D302" s="2" t="s">
        <v>1418</v>
      </c>
      <c r="E302" s="10">
        <v>45220</v>
      </c>
      <c r="F302" s="2" t="s">
        <v>20</v>
      </c>
      <c r="G302" s="2" t="s">
        <v>1419</v>
      </c>
      <c r="H302" s="2" t="s">
        <v>1420</v>
      </c>
      <c r="I302" s="2" t="s">
        <v>1420</v>
      </c>
      <c r="J302" s="2" t="s">
        <v>160</v>
      </c>
      <c r="K302" s="2" t="s">
        <v>265</v>
      </c>
      <c r="L302" s="2" t="s">
        <v>1423</v>
      </c>
      <c r="M302" s="3">
        <v>1</v>
      </c>
      <c r="N302" s="3">
        <v>2</v>
      </c>
      <c r="P302" s="2" t="s">
        <v>1436</v>
      </c>
    </row>
    <row r="303" spans="1:16" ht="13">
      <c r="A303" s="2" t="s">
        <v>3</v>
      </c>
      <c r="B303" s="2" t="str">
        <f t="shared" si="4"/>
        <v>23-24 Academic Year</v>
      </c>
      <c r="C303" s="2">
        <v>13</v>
      </c>
      <c r="D303" s="2" t="s">
        <v>1418</v>
      </c>
      <c r="E303" s="10">
        <v>45220</v>
      </c>
      <c r="F303" s="2" t="s">
        <v>20</v>
      </c>
      <c r="G303" s="2" t="s">
        <v>1419</v>
      </c>
      <c r="H303" s="2" t="s">
        <v>1420</v>
      </c>
      <c r="I303" s="2" t="s">
        <v>1420</v>
      </c>
      <c r="J303" s="2" t="s">
        <v>162</v>
      </c>
      <c r="K303" s="2" t="s">
        <v>237</v>
      </c>
      <c r="L303" s="2" t="s">
        <v>1421</v>
      </c>
      <c r="M303" s="3">
        <v>1</v>
      </c>
      <c r="N303" s="3">
        <v>1</v>
      </c>
      <c r="P303" s="2" t="s">
        <v>1437</v>
      </c>
    </row>
    <row r="304" spans="1:16" ht="13">
      <c r="A304" s="2" t="s">
        <v>3</v>
      </c>
      <c r="B304" s="2" t="str">
        <f t="shared" si="4"/>
        <v>23-24 Academic Year</v>
      </c>
      <c r="C304" s="2">
        <v>13</v>
      </c>
      <c r="D304" s="2" t="s">
        <v>1418</v>
      </c>
      <c r="E304" s="10">
        <v>45220</v>
      </c>
      <c r="F304" s="2" t="s">
        <v>20</v>
      </c>
      <c r="G304" s="2" t="s">
        <v>1419</v>
      </c>
      <c r="H304" s="2" t="s">
        <v>1420</v>
      </c>
      <c r="I304" s="2" t="s">
        <v>1420</v>
      </c>
      <c r="J304" s="2" t="s">
        <v>164</v>
      </c>
      <c r="K304" s="2" t="s">
        <v>1438</v>
      </c>
      <c r="L304" s="2" t="s">
        <v>1439</v>
      </c>
      <c r="M304" s="3">
        <v>1</v>
      </c>
      <c r="N304" s="3">
        <v>2</v>
      </c>
      <c r="P304" s="2" t="s">
        <v>1440</v>
      </c>
    </row>
    <row r="305" spans="1:16" ht="13">
      <c r="A305" s="2" t="s">
        <v>3</v>
      </c>
      <c r="B305" s="2" t="str">
        <f t="shared" si="4"/>
        <v>23-24 Academic Year</v>
      </c>
      <c r="C305" s="2">
        <v>13</v>
      </c>
      <c r="D305" s="2" t="s">
        <v>1418</v>
      </c>
      <c r="E305" s="10">
        <v>45220</v>
      </c>
      <c r="F305" s="2" t="s">
        <v>20</v>
      </c>
      <c r="G305" s="2" t="s">
        <v>1419</v>
      </c>
      <c r="H305" s="2" t="s">
        <v>1420</v>
      </c>
      <c r="I305" s="2" t="s">
        <v>1420</v>
      </c>
      <c r="J305" s="2" t="s">
        <v>1441</v>
      </c>
      <c r="K305" s="2" t="s">
        <v>1442</v>
      </c>
      <c r="L305" s="2" t="s">
        <v>1443</v>
      </c>
      <c r="M305" s="3">
        <v>1</v>
      </c>
      <c r="N305" s="3">
        <v>1</v>
      </c>
      <c r="P305" s="2" t="s">
        <v>1444</v>
      </c>
    </row>
    <row r="306" spans="1:16" ht="13">
      <c r="A306" s="2" t="s">
        <v>3</v>
      </c>
      <c r="B306" s="2" t="str">
        <f t="shared" si="4"/>
        <v>23-24 Academic Year</v>
      </c>
      <c r="C306" s="2">
        <v>13</v>
      </c>
      <c r="D306" s="2" t="s">
        <v>1418</v>
      </c>
      <c r="E306" s="10">
        <v>45220</v>
      </c>
      <c r="F306" s="2" t="s">
        <v>20</v>
      </c>
      <c r="G306" s="2" t="s">
        <v>1419</v>
      </c>
      <c r="H306" s="2" t="s">
        <v>1420</v>
      </c>
      <c r="I306" s="2" t="s">
        <v>1420</v>
      </c>
      <c r="J306" s="2" t="s">
        <v>1445</v>
      </c>
      <c r="K306" s="2" t="s">
        <v>1446</v>
      </c>
      <c r="L306" s="2" t="s">
        <v>1447</v>
      </c>
      <c r="M306" s="3">
        <v>1</v>
      </c>
      <c r="N306" s="3">
        <v>2</v>
      </c>
      <c r="P306" s="2" t="s">
        <v>1448</v>
      </c>
    </row>
    <row r="307" spans="1:16" ht="13">
      <c r="A307" s="2" t="s">
        <v>3</v>
      </c>
      <c r="B307" s="2" t="str">
        <f t="shared" si="4"/>
        <v>23-24 Academic Year</v>
      </c>
      <c r="C307" s="2">
        <v>13</v>
      </c>
      <c r="D307" s="2" t="s">
        <v>1418</v>
      </c>
      <c r="E307" s="10">
        <v>45220</v>
      </c>
      <c r="F307" s="2" t="s">
        <v>20</v>
      </c>
      <c r="G307" s="2" t="s">
        <v>1419</v>
      </c>
      <c r="H307" s="2" t="s">
        <v>1420</v>
      </c>
      <c r="I307" s="2" t="s">
        <v>1420</v>
      </c>
      <c r="J307" s="2" t="s">
        <v>1449</v>
      </c>
      <c r="K307" s="2" t="s">
        <v>237</v>
      </c>
      <c r="L307" s="2" t="s">
        <v>1421</v>
      </c>
      <c r="M307" s="3">
        <v>1</v>
      </c>
      <c r="N307" s="3">
        <v>1</v>
      </c>
      <c r="P307" s="2" t="s">
        <v>1450</v>
      </c>
    </row>
    <row r="308" spans="1:16" ht="13">
      <c r="A308" s="2" t="s">
        <v>3</v>
      </c>
      <c r="B308" s="2" t="str">
        <f t="shared" si="4"/>
        <v>23-24 Academic Year</v>
      </c>
      <c r="C308" s="2">
        <v>13</v>
      </c>
      <c r="D308" s="2" t="s">
        <v>1418</v>
      </c>
      <c r="E308" s="10">
        <v>45220</v>
      </c>
      <c r="F308" s="2" t="s">
        <v>20</v>
      </c>
      <c r="G308" s="2" t="s">
        <v>1419</v>
      </c>
      <c r="H308" s="2" t="s">
        <v>1420</v>
      </c>
      <c r="I308" s="2" t="s">
        <v>1420</v>
      </c>
      <c r="J308" s="2" t="s">
        <v>188</v>
      </c>
      <c r="K308" s="2" t="s">
        <v>1451</v>
      </c>
      <c r="L308" s="2" t="s">
        <v>1452</v>
      </c>
      <c r="M308" s="3">
        <v>1</v>
      </c>
      <c r="N308" s="3">
        <v>2</v>
      </c>
      <c r="P308" s="2" t="s">
        <v>1453</v>
      </c>
    </row>
    <row r="309" spans="1:16" ht="13">
      <c r="A309" s="2" t="s">
        <v>3</v>
      </c>
      <c r="B309" s="2" t="str">
        <f t="shared" si="4"/>
        <v>23-24 Academic Year</v>
      </c>
      <c r="C309" s="2">
        <v>14</v>
      </c>
      <c r="D309" s="2" t="s">
        <v>1418</v>
      </c>
      <c r="E309" s="10">
        <v>45220</v>
      </c>
      <c r="F309" s="2" t="s">
        <v>20</v>
      </c>
      <c r="G309" s="2" t="s">
        <v>1419</v>
      </c>
      <c r="H309" s="2" t="s">
        <v>1420</v>
      </c>
      <c r="I309" s="2" t="s">
        <v>1420</v>
      </c>
      <c r="J309" s="2" t="s">
        <v>1454</v>
      </c>
      <c r="K309" s="2" t="s">
        <v>1455</v>
      </c>
      <c r="L309" s="2" t="s">
        <v>1456</v>
      </c>
      <c r="M309" s="3">
        <v>1</v>
      </c>
      <c r="N309" s="3">
        <v>2</v>
      </c>
      <c r="P309" s="2" t="s">
        <v>1457</v>
      </c>
    </row>
    <row r="310" spans="1:16" ht="13">
      <c r="A310" s="2" t="s">
        <v>3</v>
      </c>
      <c r="B310" s="2" t="str">
        <f t="shared" si="4"/>
        <v>23-24 Academic Year</v>
      </c>
      <c r="C310" s="2">
        <v>14</v>
      </c>
      <c r="D310" s="2" t="s">
        <v>1418</v>
      </c>
      <c r="E310" s="10">
        <v>45220</v>
      </c>
      <c r="F310" s="2" t="s">
        <v>20</v>
      </c>
      <c r="G310" s="2" t="s">
        <v>1419</v>
      </c>
      <c r="H310" s="2" t="s">
        <v>1420</v>
      </c>
      <c r="I310" s="2" t="s">
        <v>1420</v>
      </c>
      <c r="J310" s="2" t="s">
        <v>1458</v>
      </c>
      <c r="K310" s="2" t="s">
        <v>1451</v>
      </c>
      <c r="L310" s="2" t="s">
        <v>1452</v>
      </c>
      <c r="M310" s="3">
        <v>1</v>
      </c>
      <c r="N310" s="3">
        <v>2</v>
      </c>
      <c r="P310" s="2" t="s">
        <v>1459</v>
      </c>
    </row>
    <row r="311" spans="1:16" ht="13">
      <c r="A311" s="2" t="s">
        <v>3</v>
      </c>
      <c r="B311" s="2" t="str">
        <f t="shared" si="4"/>
        <v>23-24 Academic Year</v>
      </c>
      <c r="C311" s="2">
        <v>14</v>
      </c>
      <c r="D311" s="2" t="s">
        <v>1418</v>
      </c>
      <c r="E311" s="10">
        <v>45220</v>
      </c>
      <c r="F311" s="2" t="s">
        <v>20</v>
      </c>
      <c r="G311" s="2" t="s">
        <v>1419</v>
      </c>
      <c r="H311" s="2" t="s">
        <v>1420</v>
      </c>
      <c r="I311" s="2" t="s">
        <v>1420</v>
      </c>
      <c r="J311" s="2" t="s">
        <v>1460</v>
      </c>
      <c r="K311" s="2" t="s">
        <v>1280</v>
      </c>
      <c r="L311" s="2" t="s">
        <v>1281</v>
      </c>
      <c r="M311" s="3">
        <v>1</v>
      </c>
      <c r="N311" s="3">
        <v>2</v>
      </c>
      <c r="P311" s="2" t="s">
        <v>1461</v>
      </c>
    </row>
    <row r="312" spans="1:16" ht="13">
      <c r="A312" s="2" t="s">
        <v>3</v>
      </c>
      <c r="B312" s="2" t="str">
        <f t="shared" si="4"/>
        <v>23-24 Academic Year</v>
      </c>
      <c r="C312" s="2">
        <v>14</v>
      </c>
      <c r="D312" s="2" t="s">
        <v>1418</v>
      </c>
      <c r="E312" s="10">
        <v>45220</v>
      </c>
      <c r="F312" s="2" t="s">
        <v>20</v>
      </c>
      <c r="G312" s="2" t="s">
        <v>1419</v>
      </c>
      <c r="H312" s="2" t="s">
        <v>1420</v>
      </c>
      <c r="I312" s="2" t="s">
        <v>1420</v>
      </c>
      <c r="J312" s="2" t="s">
        <v>1462</v>
      </c>
      <c r="K312" s="2" t="s">
        <v>1463</v>
      </c>
      <c r="L312" s="2" t="s">
        <v>1464</v>
      </c>
      <c r="M312" s="3">
        <v>1</v>
      </c>
      <c r="N312" s="3">
        <v>2</v>
      </c>
      <c r="P312" s="2" t="s">
        <v>1465</v>
      </c>
    </row>
    <row r="313" spans="1:16" ht="13">
      <c r="A313" s="2" t="s">
        <v>3</v>
      </c>
      <c r="B313" s="2" t="str">
        <f t="shared" si="4"/>
        <v>23-24 Academic Year</v>
      </c>
      <c r="C313" s="2">
        <v>14</v>
      </c>
      <c r="D313" s="2" t="s">
        <v>1418</v>
      </c>
      <c r="E313" s="10">
        <v>45220</v>
      </c>
      <c r="F313" s="2" t="s">
        <v>20</v>
      </c>
      <c r="G313" s="2" t="s">
        <v>1419</v>
      </c>
      <c r="H313" s="2" t="s">
        <v>1420</v>
      </c>
      <c r="I313" s="2" t="s">
        <v>1420</v>
      </c>
      <c r="J313" s="2" t="s">
        <v>1466</v>
      </c>
      <c r="K313" s="2" t="s">
        <v>1467</v>
      </c>
      <c r="L313" s="2" t="s">
        <v>1468</v>
      </c>
      <c r="M313" s="3">
        <v>1</v>
      </c>
      <c r="N313" s="3">
        <v>2</v>
      </c>
      <c r="P313" s="2" t="s">
        <v>1469</v>
      </c>
    </row>
    <row r="314" spans="1:16" ht="13">
      <c r="A314" s="2" t="s">
        <v>3</v>
      </c>
      <c r="B314" s="2" t="str">
        <f t="shared" si="4"/>
        <v>23-24 Academic Year</v>
      </c>
      <c r="C314" s="2">
        <v>14</v>
      </c>
      <c r="D314" s="2" t="s">
        <v>1418</v>
      </c>
      <c r="E314" s="10">
        <v>45220</v>
      </c>
      <c r="F314" s="2" t="s">
        <v>20</v>
      </c>
      <c r="G314" s="2" t="s">
        <v>1419</v>
      </c>
      <c r="H314" s="2" t="s">
        <v>1420</v>
      </c>
      <c r="I314" s="2" t="s">
        <v>1420</v>
      </c>
      <c r="J314" s="2" t="s">
        <v>1470</v>
      </c>
      <c r="K314" s="2" t="s">
        <v>1451</v>
      </c>
      <c r="L314" s="2" t="s">
        <v>1452</v>
      </c>
      <c r="M314" s="3">
        <v>1</v>
      </c>
      <c r="N314" s="3">
        <v>2</v>
      </c>
      <c r="P314" s="2" t="s">
        <v>1471</v>
      </c>
    </row>
    <row r="315" spans="1:16" ht="13">
      <c r="A315" s="2" t="s">
        <v>3</v>
      </c>
      <c r="B315" s="2" t="str">
        <f t="shared" si="4"/>
        <v>23-24 Academic Year</v>
      </c>
      <c r="C315" s="2">
        <v>14</v>
      </c>
      <c r="D315" s="2" t="s">
        <v>1418</v>
      </c>
      <c r="E315" s="10">
        <v>45220</v>
      </c>
      <c r="F315" s="2" t="s">
        <v>20</v>
      </c>
      <c r="G315" s="2" t="s">
        <v>1419</v>
      </c>
      <c r="H315" s="2" t="s">
        <v>1420</v>
      </c>
      <c r="I315" s="2" t="s">
        <v>1420</v>
      </c>
      <c r="J315" s="2" t="s">
        <v>1472</v>
      </c>
      <c r="K315" s="2" t="s">
        <v>1473</v>
      </c>
      <c r="L315" s="2" t="s">
        <v>1474</v>
      </c>
      <c r="M315" s="3">
        <v>1</v>
      </c>
      <c r="N315" s="3">
        <v>2</v>
      </c>
      <c r="P315" s="2" t="s">
        <v>1475</v>
      </c>
    </row>
    <row r="316" spans="1:16" ht="13">
      <c r="A316" s="2" t="s">
        <v>3</v>
      </c>
      <c r="B316" s="2" t="str">
        <f t="shared" si="4"/>
        <v>23-24 Academic Year</v>
      </c>
      <c r="C316" s="2">
        <v>14</v>
      </c>
      <c r="D316" s="2" t="s">
        <v>1418</v>
      </c>
      <c r="E316" s="10">
        <v>45220</v>
      </c>
      <c r="F316" s="2" t="s">
        <v>20</v>
      </c>
      <c r="G316" s="2" t="s">
        <v>1419</v>
      </c>
      <c r="H316" s="2" t="s">
        <v>1420</v>
      </c>
      <c r="I316" s="2" t="s">
        <v>1420</v>
      </c>
      <c r="J316" s="2" t="s">
        <v>1476</v>
      </c>
      <c r="K316" s="2" t="s">
        <v>1477</v>
      </c>
      <c r="L316" s="2" t="s">
        <v>1478</v>
      </c>
      <c r="M316" s="3">
        <v>3</v>
      </c>
      <c r="N316" s="3">
        <v>2</v>
      </c>
      <c r="P316" s="2" t="s">
        <v>1479</v>
      </c>
    </row>
    <row r="317" spans="1:16" ht="13">
      <c r="A317" s="2" t="s">
        <v>3</v>
      </c>
      <c r="B317" s="2" t="str">
        <f t="shared" si="4"/>
        <v>23-24 Academic Year</v>
      </c>
      <c r="C317" s="2">
        <v>14</v>
      </c>
      <c r="D317" s="2" t="s">
        <v>1418</v>
      </c>
      <c r="E317" s="10">
        <v>45220</v>
      </c>
      <c r="F317" s="2" t="s">
        <v>20</v>
      </c>
      <c r="G317" s="2" t="s">
        <v>1419</v>
      </c>
      <c r="H317" s="2" t="s">
        <v>1420</v>
      </c>
      <c r="I317" s="2" t="s">
        <v>1420</v>
      </c>
      <c r="J317" s="2" t="s">
        <v>1480</v>
      </c>
      <c r="K317" s="2" t="s">
        <v>237</v>
      </c>
      <c r="L317" s="2" t="s">
        <v>1421</v>
      </c>
      <c r="M317" s="3">
        <v>1</v>
      </c>
      <c r="N317" s="3">
        <v>1</v>
      </c>
      <c r="P317" s="2" t="s">
        <v>1481</v>
      </c>
    </row>
    <row r="318" spans="1:16" ht="13">
      <c r="A318" s="2" t="s">
        <v>3</v>
      </c>
      <c r="B318" s="2" t="str">
        <f t="shared" si="4"/>
        <v>23-24 Academic Year</v>
      </c>
      <c r="C318" s="2">
        <v>15</v>
      </c>
      <c r="D318" s="2" t="s">
        <v>1418</v>
      </c>
      <c r="E318" s="10">
        <v>45221</v>
      </c>
      <c r="F318" s="2" t="s">
        <v>20</v>
      </c>
      <c r="G318" s="2" t="s">
        <v>1419</v>
      </c>
      <c r="H318" s="2" t="s">
        <v>1420</v>
      </c>
      <c r="I318" s="2" t="s">
        <v>1420</v>
      </c>
      <c r="J318" s="2" t="s">
        <v>1482</v>
      </c>
      <c r="K318" s="2" t="s">
        <v>1077</v>
      </c>
      <c r="L318" s="2" t="s">
        <v>398</v>
      </c>
      <c r="M318" s="3">
        <v>1</v>
      </c>
      <c r="N318" s="3">
        <v>2</v>
      </c>
      <c r="P318" s="2" t="s">
        <v>1483</v>
      </c>
    </row>
    <row r="319" spans="1:16" ht="13">
      <c r="A319" s="2" t="s">
        <v>3</v>
      </c>
      <c r="B319" s="2" t="str">
        <f t="shared" si="4"/>
        <v>23-24 Academic Year</v>
      </c>
      <c r="C319" s="2">
        <v>15</v>
      </c>
      <c r="D319" s="2" t="s">
        <v>1418</v>
      </c>
      <c r="E319" s="10">
        <v>45221</v>
      </c>
      <c r="F319" s="2" t="s">
        <v>20</v>
      </c>
      <c r="G319" s="2" t="s">
        <v>1419</v>
      </c>
      <c r="H319" s="2" t="s">
        <v>1420</v>
      </c>
      <c r="I319" s="2" t="s">
        <v>1420</v>
      </c>
      <c r="J319" s="2" t="s">
        <v>1484</v>
      </c>
      <c r="K319" s="2" t="s">
        <v>1485</v>
      </c>
      <c r="L319" s="2" t="s">
        <v>1486</v>
      </c>
      <c r="M319" s="3">
        <v>1</v>
      </c>
      <c r="N319" s="3">
        <v>2</v>
      </c>
      <c r="P319" s="2" t="s">
        <v>1487</v>
      </c>
    </row>
    <row r="320" spans="1:16" ht="13">
      <c r="A320" s="2" t="s">
        <v>3</v>
      </c>
      <c r="B320" s="2" t="str">
        <f t="shared" si="4"/>
        <v>23-24 Academic Year</v>
      </c>
      <c r="C320" s="2">
        <v>15</v>
      </c>
      <c r="D320" s="2" t="s">
        <v>1418</v>
      </c>
      <c r="E320" s="10">
        <v>45221</v>
      </c>
      <c r="F320" s="2" t="s">
        <v>20</v>
      </c>
      <c r="G320" s="2" t="s">
        <v>1419</v>
      </c>
      <c r="H320" s="2" t="s">
        <v>1420</v>
      </c>
      <c r="I320" s="2" t="s">
        <v>1420</v>
      </c>
      <c r="J320" s="2" t="s">
        <v>1488</v>
      </c>
      <c r="K320" s="2" t="s">
        <v>248</v>
      </c>
      <c r="L320" s="2" t="s">
        <v>1425</v>
      </c>
      <c r="M320" s="3">
        <v>1</v>
      </c>
      <c r="N320" s="3">
        <v>2</v>
      </c>
      <c r="P320" s="2" t="s">
        <v>1489</v>
      </c>
    </row>
    <row r="321" spans="1:16" ht="13">
      <c r="A321" s="2" t="s">
        <v>3</v>
      </c>
      <c r="B321" s="2" t="str">
        <f t="shared" si="4"/>
        <v>23-24 Academic Year</v>
      </c>
      <c r="C321" s="2">
        <v>15</v>
      </c>
      <c r="D321" s="2" t="s">
        <v>1418</v>
      </c>
      <c r="E321" s="10">
        <v>45221</v>
      </c>
      <c r="F321" s="2" t="s">
        <v>20</v>
      </c>
      <c r="G321" s="2" t="s">
        <v>1419</v>
      </c>
      <c r="H321" s="2" t="s">
        <v>1420</v>
      </c>
      <c r="I321" s="2" t="s">
        <v>1420</v>
      </c>
      <c r="J321" s="2" t="s">
        <v>1490</v>
      </c>
      <c r="K321" s="2" t="s">
        <v>353</v>
      </c>
      <c r="L321" s="2" t="s">
        <v>1474</v>
      </c>
      <c r="M321" s="3">
        <v>1</v>
      </c>
      <c r="N321" s="3">
        <v>2</v>
      </c>
      <c r="P321" s="2" t="s">
        <v>1491</v>
      </c>
    </row>
    <row r="322" spans="1:16" ht="13">
      <c r="A322" s="2" t="s">
        <v>3</v>
      </c>
      <c r="B322" s="2" t="str">
        <f t="shared" si="4"/>
        <v>23-24 Academic Year</v>
      </c>
      <c r="C322" s="2">
        <v>15</v>
      </c>
      <c r="D322" s="2" t="s">
        <v>1418</v>
      </c>
      <c r="E322" s="10">
        <v>45221</v>
      </c>
      <c r="F322" s="2" t="s">
        <v>20</v>
      </c>
      <c r="G322" s="2" t="s">
        <v>1419</v>
      </c>
      <c r="H322" s="2" t="s">
        <v>1420</v>
      </c>
      <c r="I322" s="2" t="s">
        <v>1420</v>
      </c>
      <c r="J322" s="2" t="s">
        <v>1492</v>
      </c>
      <c r="K322" s="2" t="s">
        <v>353</v>
      </c>
      <c r="L322" s="2" t="s">
        <v>1474</v>
      </c>
      <c r="M322" s="3">
        <v>1</v>
      </c>
      <c r="N322" s="3">
        <v>2</v>
      </c>
      <c r="P322" s="2" t="s">
        <v>1493</v>
      </c>
    </row>
    <row r="323" spans="1:16" ht="13">
      <c r="A323" s="2" t="s">
        <v>3</v>
      </c>
      <c r="B323" s="2" t="str">
        <f t="shared" ref="B323:B386" si="5">RIGHT(TEXT(IF(LEFT(A323,4)="Fall",VALUE(RIGHT(A323,4)),VALUE(RIGHT(A323,4))-1),"00"),2)
 &amp; "-" &amp;
 RIGHT(TEXT(IF(LEFT(A323,4)="Fall",VALUE(RIGHT(A323,4))+1,VALUE(RIGHT(A323,4))),"00"),2)
 &amp; " Academic Year"</f>
        <v>23-24 Academic Year</v>
      </c>
      <c r="C323" s="2">
        <v>15</v>
      </c>
      <c r="D323" s="2" t="s">
        <v>1418</v>
      </c>
      <c r="E323" s="10">
        <v>45221</v>
      </c>
      <c r="F323" s="2" t="s">
        <v>20</v>
      </c>
      <c r="G323" s="2" t="s">
        <v>1419</v>
      </c>
      <c r="H323" s="2" t="s">
        <v>1420</v>
      </c>
      <c r="I323" s="2" t="s">
        <v>1420</v>
      </c>
      <c r="J323" s="2" t="s">
        <v>1494</v>
      </c>
      <c r="K323" s="2" t="s">
        <v>1495</v>
      </c>
      <c r="L323" s="2" t="s">
        <v>1496</v>
      </c>
      <c r="M323" s="3">
        <v>1</v>
      </c>
      <c r="N323" s="3">
        <v>2</v>
      </c>
      <c r="P323" s="2" t="s">
        <v>1497</v>
      </c>
    </row>
    <row r="324" spans="1:16" ht="13">
      <c r="A324" s="2" t="s">
        <v>3</v>
      </c>
      <c r="B324" s="2" t="str">
        <f t="shared" si="5"/>
        <v>23-24 Academic Year</v>
      </c>
      <c r="C324" s="2">
        <v>15</v>
      </c>
      <c r="D324" s="2" t="s">
        <v>1418</v>
      </c>
      <c r="E324" s="10">
        <v>45221</v>
      </c>
      <c r="F324" s="2" t="s">
        <v>20</v>
      </c>
      <c r="G324" s="2" t="s">
        <v>1419</v>
      </c>
      <c r="H324" s="2" t="s">
        <v>1420</v>
      </c>
      <c r="I324" s="2" t="s">
        <v>1420</v>
      </c>
      <c r="J324" s="2" t="s">
        <v>1498</v>
      </c>
      <c r="K324" s="2" t="s">
        <v>1499</v>
      </c>
      <c r="L324" s="2" t="s">
        <v>1500</v>
      </c>
      <c r="M324" s="3">
        <v>1</v>
      </c>
      <c r="N324" s="3">
        <v>2</v>
      </c>
      <c r="P324" s="2" t="s">
        <v>1501</v>
      </c>
    </row>
    <row r="325" spans="1:16" ht="13">
      <c r="A325" s="2" t="s">
        <v>3</v>
      </c>
      <c r="B325" s="2" t="str">
        <f t="shared" si="5"/>
        <v>23-24 Academic Year</v>
      </c>
      <c r="C325" s="2">
        <v>15</v>
      </c>
      <c r="D325" s="2" t="s">
        <v>1418</v>
      </c>
      <c r="E325" s="10">
        <v>45221</v>
      </c>
      <c r="F325" s="2" t="s">
        <v>20</v>
      </c>
      <c r="G325" s="2" t="s">
        <v>1419</v>
      </c>
      <c r="H325" s="2" t="s">
        <v>1420</v>
      </c>
      <c r="I325" s="2" t="s">
        <v>1420</v>
      </c>
      <c r="J325" s="2" t="s">
        <v>1502</v>
      </c>
      <c r="K325" s="2" t="s">
        <v>1455</v>
      </c>
      <c r="L325" s="2" t="s">
        <v>1456</v>
      </c>
      <c r="M325" s="3">
        <v>1</v>
      </c>
      <c r="N325" s="3">
        <v>2</v>
      </c>
      <c r="P325" s="2" t="s">
        <v>1503</v>
      </c>
    </row>
    <row r="326" spans="1:16" ht="13">
      <c r="A326" s="2" t="s">
        <v>3</v>
      </c>
      <c r="B326" s="2" t="str">
        <f t="shared" si="5"/>
        <v>23-24 Academic Year</v>
      </c>
      <c r="C326" s="2">
        <v>15</v>
      </c>
      <c r="D326" s="2" t="s">
        <v>1418</v>
      </c>
      <c r="E326" s="10">
        <v>45221</v>
      </c>
      <c r="F326" s="2" t="s">
        <v>20</v>
      </c>
      <c r="G326" s="2" t="s">
        <v>1419</v>
      </c>
      <c r="H326" s="2" t="s">
        <v>1420</v>
      </c>
      <c r="I326" s="2" t="s">
        <v>1420</v>
      </c>
      <c r="J326" s="2" t="s">
        <v>1504</v>
      </c>
      <c r="K326" s="2" t="s">
        <v>1455</v>
      </c>
      <c r="L326" s="2" t="s">
        <v>1456</v>
      </c>
      <c r="M326" s="3">
        <v>1</v>
      </c>
      <c r="N326" s="3">
        <v>2</v>
      </c>
      <c r="P326" s="2" t="s">
        <v>1505</v>
      </c>
    </row>
    <row r="327" spans="1:16" ht="13">
      <c r="A327" s="2" t="s">
        <v>3</v>
      </c>
      <c r="B327" s="2" t="str">
        <f t="shared" si="5"/>
        <v>23-24 Academic Year</v>
      </c>
      <c r="C327" s="2">
        <v>16</v>
      </c>
      <c r="E327" s="10">
        <v>45222</v>
      </c>
      <c r="F327" s="2" t="s">
        <v>69</v>
      </c>
      <c r="G327" s="2" t="s">
        <v>131</v>
      </c>
      <c r="H327" s="2" t="s">
        <v>6</v>
      </c>
      <c r="I327" s="2" t="s">
        <v>593</v>
      </c>
      <c r="J327" s="2" t="s">
        <v>1506</v>
      </c>
      <c r="K327" s="2" t="s">
        <v>1507</v>
      </c>
      <c r="L327" s="2" t="s">
        <v>1508</v>
      </c>
      <c r="M327" s="3">
        <v>1</v>
      </c>
      <c r="N327" s="3">
        <v>2</v>
      </c>
      <c r="P327" s="2" t="s">
        <v>1509</v>
      </c>
    </row>
    <row r="328" spans="1:16" ht="13">
      <c r="A328" s="2" t="s">
        <v>3</v>
      </c>
      <c r="B328" s="2" t="str">
        <f t="shared" si="5"/>
        <v>23-24 Academic Year</v>
      </c>
      <c r="C328" s="2">
        <v>16</v>
      </c>
      <c r="E328" s="10">
        <v>45222</v>
      </c>
      <c r="F328" s="2" t="s">
        <v>69</v>
      </c>
      <c r="G328" s="2" t="s">
        <v>131</v>
      </c>
      <c r="H328" s="2" t="s">
        <v>6</v>
      </c>
      <c r="I328" s="2" t="s">
        <v>593</v>
      </c>
      <c r="J328" s="2" t="s">
        <v>1510</v>
      </c>
      <c r="K328" s="2" t="s">
        <v>1511</v>
      </c>
      <c r="L328" s="2" t="s">
        <v>109</v>
      </c>
      <c r="M328" s="3">
        <v>1</v>
      </c>
      <c r="N328" s="3">
        <v>2</v>
      </c>
      <c r="O328" s="2" t="s">
        <v>1512</v>
      </c>
      <c r="P328" s="2" t="s">
        <v>1513</v>
      </c>
    </row>
    <row r="329" spans="1:16" ht="13">
      <c r="A329" s="2" t="s">
        <v>3</v>
      </c>
      <c r="B329" s="2" t="str">
        <f t="shared" si="5"/>
        <v>23-24 Academic Year</v>
      </c>
      <c r="C329" s="2">
        <v>16</v>
      </c>
      <c r="E329" s="10">
        <v>45222</v>
      </c>
      <c r="F329" s="2" t="s">
        <v>69</v>
      </c>
      <c r="G329" s="2" t="s">
        <v>131</v>
      </c>
      <c r="H329" s="2" t="s">
        <v>6</v>
      </c>
      <c r="I329" s="2" t="s">
        <v>593</v>
      </c>
      <c r="J329" s="2" t="s">
        <v>1514</v>
      </c>
      <c r="K329" s="2" t="s">
        <v>1515</v>
      </c>
      <c r="L329" s="2" t="s">
        <v>1516</v>
      </c>
      <c r="M329" s="3">
        <v>1</v>
      </c>
      <c r="N329" s="3">
        <v>1</v>
      </c>
      <c r="P329" s="2" t="s">
        <v>1517</v>
      </c>
    </row>
    <row r="330" spans="1:16" ht="13">
      <c r="A330" s="2" t="s">
        <v>3</v>
      </c>
      <c r="B330" s="2" t="str">
        <f t="shared" si="5"/>
        <v>23-24 Academic Year</v>
      </c>
      <c r="C330" s="2">
        <v>17</v>
      </c>
      <c r="D330" s="2" t="s">
        <v>191</v>
      </c>
      <c r="E330" s="10">
        <v>45224</v>
      </c>
      <c r="F330" s="2" t="s">
        <v>1237</v>
      </c>
      <c r="G330" s="2" t="s">
        <v>1518</v>
      </c>
      <c r="H330" s="2" t="s">
        <v>8</v>
      </c>
      <c r="I330" s="2" t="s">
        <v>8</v>
      </c>
      <c r="J330" s="2" t="s">
        <v>493</v>
      </c>
      <c r="K330" s="2" t="s">
        <v>1015</v>
      </c>
      <c r="L330" s="2" t="s">
        <v>1396</v>
      </c>
      <c r="M330" s="3">
        <v>3</v>
      </c>
      <c r="N330" s="3">
        <v>1</v>
      </c>
      <c r="P330" s="2" t="s">
        <v>1397</v>
      </c>
    </row>
    <row r="331" spans="1:16" ht="13">
      <c r="A331" s="2" t="s">
        <v>3</v>
      </c>
      <c r="B331" s="2" t="str">
        <f t="shared" si="5"/>
        <v>23-24 Academic Year</v>
      </c>
      <c r="C331" s="2">
        <v>17</v>
      </c>
      <c r="D331" s="2" t="s">
        <v>191</v>
      </c>
      <c r="E331" s="10">
        <v>45224</v>
      </c>
      <c r="F331" s="2" t="s">
        <v>1237</v>
      </c>
      <c r="G331" s="2" t="s">
        <v>1518</v>
      </c>
      <c r="H331" s="2" t="s">
        <v>8</v>
      </c>
      <c r="I331" s="2" t="s">
        <v>8</v>
      </c>
      <c r="J331" s="2" t="s">
        <v>530</v>
      </c>
      <c r="K331" s="2" t="s">
        <v>1015</v>
      </c>
      <c r="L331" s="2" t="s">
        <v>1396</v>
      </c>
      <c r="M331" s="3">
        <v>3</v>
      </c>
      <c r="N331" s="3">
        <v>1</v>
      </c>
      <c r="P331" s="2" t="s">
        <v>1519</v>
      </c>
    </row>
    <row r="332" spans="1:16" ht="13">
      <c r="A332" s="2" t="s">
        <v>3</v>
      </c>
      <c r="B332" s="2" t="str">
        <f t="shared" si="5"/>
        <v>23-24 Academic Year</v>
      </c>
      <c r="C332" s="2">
        <v>17</v>
      </c>
      <c r="D332" s="2" t="s">
        <v>191</v>
      </c>
      <c r="E332" s="10">
        <v>45224</v>
      </c>
      <c r="F332" s="2" t="s">
        <v>1237</v>
      </c>
      <c r="G332" s="2" t="s">
        <v>1518</v>
      </c>
      <c r="H332" s="2" t="s">
        <v>8</v>
      </c>
      <c r="I332" s="2" t="s">
        <v>8</v>
      </c>
      <c r="J332" s="2" t="s">
        <v>533</v>
      </c>
      <c r="K332" s="2" t="s">
        <v>1015</v>
      </c>
      <c r="L332" s="2" t="s">
        <v>1396</v>
      </c>
      <c r="M332" s="3">
        <v>3</v>
      </c>
      <c r="N332" s="3">
        <v>1</v>
      </c>
      <c r="P332" s="2" t="s">
        <v>1520</v>
      </c>
    </row>
    <row r="333" spans="1:16" ht="13">
      <c r="A333" s="2" t="s">
        <v>3</v>
      </c>
      <c r="B333" s="2" t="str">
        <f t="shared" si="5"/>
        <v>23-24 Academic Year</v>
      </c>
      <c r="C333" s="2">
        <v>17</v>
      </c>
      <c r="D333" s="2" t="s">
        <v>191</v>
      </c>
      <c r="E333" s="10">
        <v>45224</v>
      </c>
      <c r="F333" s="2" t="s">
        <v>1237</v>
      </c>
      <c r="G333" s="2" t="s">
        <v>1518</v>
      </c>
      <c r="H333" s="2" t="s">
        <v>8</v>
      </c>
      <c r="I333" s="2" t="s">
        <v>8</v>
      </c>
      <c r="J333" s="2" t="s">
        <v>535</v>
      </c>
      <c r="K333" s="2" t="s">
        <v>1015</v>
      </c>
      <c r="L333" s="2" t="s">
        <v>1396</v>
      </c>
      <c r="M333" s="3">
        <v>3</v>
      </c>
      <c r="N333" s="3">
        <v>1</v>
      </c>
      <c r="P333" s="2" t="s">
        <v>1521</v>
      </c>
    </row>
    <row r="334" spans="1:16" ht="13">
      <c r="A334" s="2" t="s">
        <v>3</v>
      </c>
      <c r="B334" s="2" t="str">
        <f t="shared" si="5"/>
        <v>23-24 Academic Year</v>
      </c>
      <c r="C334" s="2">
        <v>17</v>
      </c>
      <c r="D334" s="2" t="s">
        <v>191</v>
      </c>
      <c r="E334" s="10">
        <v>45224</v>
      </c>
      <c r="F334" s="2" t="s">
        <v>1237</v>
      </c>
      <c r="G334" s="2" t="s">
        <v>1518</v>
      </c>
      <c r="H334" s="2" t="s">
        <v>8</v>
      </c>
      <c r="I334" s="2" t="s">
        <v>8</v>
      </c>
      <c r="J334" s="2" t="s">
        <v>540</v>
      </c>
      <c r="K334" s="2" t="s">
        <v>1015</v>
      </c>
      <c r="L334" s="2" t="s">
        <v>1396</v>
      </c>
      <c r="M334" s="3">
        <v>3</v>
      </c>
      <c r="N334" s="3">
        <v>1</v>
      </c>
      <c r="P334" s="2" t="s">
        <v>1522</v>
      </c>
    </row>
    <row r="335" spans="1:16" ht="13">
      <c r="A335" s="2" t="s">
        <v>3</v>
      </c>
      <c r="B335" s="2" t="str">
        <f t="shared" si="5"/>
        <v>23-24 Academic Year</v>
      </c>
      <c r="C335" s="2">
        <v>17</v>
      </c>
      <c r="D335" s="2" t="s">
        <v>191</v>
      </c>
      <c r="E335" s="10">
        <v>45224</v>
      </c>
      <c r="F335" s="2" t="s">
        <v>1237</v>
      </c>
      <c r="G335" s="2" t="s">
        <v>1518</v>
      </c>
      <c r="H335" s="2" t="s">
        <v>8</v>
      </c>
      <c r="I335" s="2" t="s">
        <v>8</v>
      </c>
      <c r="J335" s="2" t="s">
        <v>545</v>
      </c>
      <c r="K335" s="2" t="s">
        <v>1015</v>
      </c>
      <c r="L335" s="2" t="s">
        <v>1396</v>
      </c>
      <c r="M335" s="3">
        <v>3</v>
      </c>
      <c r="N335" s="3">
        <v>1</v>
      </c>
      <c r="P335" s="2" t="s">
        <v>1523</v>
      </c>
    </row>
    <row r="336" spans="1:16" ht="13">
      <c r="A336" s="2" t="s">
        <v>3</v>
      </c>
      <c r="B336" s="2" t="str">
        <f t="shared" si="5"/>
        <v>23-24 Academic Year</v>
      </c>
      <c r="C336" s="2">
        <v>17</v>
      </c>
      <c r="D336" s="2" t="s">
        <v>191</v>
      </c>
      <c r="E336" s="10">
        <v>45224</v>
      </c>
      <c r="F336" s="2" t="s">
        <v>1237</v>
      </c>
      <c r="G336" s="2" t="s">
        <v>1518</v>
      </c>
      <c r="H336" s="2" t="s">
        <v>8</v>
      </c>
      <c r="I336" s="2" t="s">
        <v>8</v>
      </c>
      <c r="J336" s="2" t="s">
        <v>550</v>
      </c>
      <c r="K336" s="2" t="s">
        <v>1015</v>
      </c>
      <c r="L336" s="2" t="s">
        <v>1396</v>
      </c>
      <c r="M336" s="3">
        <v>3</v>
      </c>
      <c r="N336" s="3">
        <v>1</v>
      </c>
      <c r="P336" s="2" t="s">
        <v>1524</v>
      </c>
    </row>
    <row r="337" spans="1:16" ht="13">
      <c r="A337" s="2" t="s">
        <v>3</v>
      </c>
      <c r="B337" s="2" t="str">
        <f t="shared" si="5"/>
        <v>23-24 Academic Year</v>
      </c>
      <c r="C337" s="2">
        <v>18</v>
      </c>
      <c r="D337" s="2" t="s">
        <v>1254</v>
      </c>
      <c r="E337" s="10">
        <v>45227</v>
      </c>
      <c r="F337" s="2" t="s">
        <v>1237</v>
      </c>
      <c r="G337" s="2" t="s">
        <v>1518</v>
      </c>
      <c r="H337" s="2" t="s">
        <v>7</v>
      </c>
      <c r="I337" s="2" t="s">
        <v>1256</v>
      </c>
      <c r="J337" s="2" t="s">
        <v>1525</v>
      </c>
      <c r="K337" s="2" t="s">
        <v>1526</v>
      </c>
      <c r="L337" s="2" t="s">
        <v>679</v>
      </c>
      <c r="M337" s="3">
        <v>999</v>
      </c>
      <c r="N337" s="3">
        <v>999</v>
      </c>
      <c r="O337" s="2" t="s">
        <v>1527</v>
      </c>
      <c r="P337" s="2" t="s">
        <v>1528</v>
      </c>
    </row>
    <row r="338" spans="1:16" ht="13">
      <c r="A338" s="2" t="s">
        <v>3</v>
      </c>
      <c r="B338" s="2" t="str">
        <f t="shared" si="5"/>
        <v>23-24 Academic Year</v>
      </c>
      <c r="C338" s="2">
        <v>18</v>
      </c>
      <c r="D338" s="2" t="s">
        <v>1254</v>
      </c>
      <c r="E338" s="10">
        <v>45227</v>
      </c>
      <c r="F338" s="2" t="s">
        <v>1237</v>
      </c>
      <c r="G338" s="2" t="s">
        <v>1518</v>
      </c>
      <c r="H338" s="2" t="s">
        <v>7</v>
      </c>
      <c r="I338" s="2" t="s">
        <v>1256</v>
      </c>
      <c r="J338" s="2" t="s">
        <v>1529</v>
      </c>
      <c r="K338" s="2" t="s">
        <v>1015</v>
      </c>
      <c r="L338" s="2" t="s">
        <v>1396</v>
      </c>
      <c r="M338" s="3">
        <v>3</v>
      </c>
      <c r="N338" s="3">
        <v>1</v>
      </c>
      <c r="P338" s="2" t="s">
        <v>1530</v>
      </c>
    </row>
    <row r="339" spans="1:16" ht="13">
      <c r="A339" s="2" t="s">
        <v>3</v>
      </c>
      <c r="B339" s="2" t="str">
        <f t="shared" si="5"/>
        <v>23-24 Academic Year</v>
      </c>
      <c r="C339" s="2">
        <v>18</v>
      </c>
      <c r="D339" s="2" t="s">
        <v>1254</v>
      </c>
      <c r="E339" s="10">
        <v>45227</v>
      </c>
      <c r="F339" s="2" t="s">
        <v>1237</v>
      </c>
      <c r="G339" s="2" t="s">
        <v>1518</v>
      </c>
      <c r="H339" s="2" t="s">
        <v>7</v>
      </c>
      <c r="I339" s="2" t="s">
        <v>1256</v>
      </c>
      <c r="J339" s="2" t="s">
        <v>1531</v>
      </c>
      <c r="K339" s="2" t="s">
        <v>1532</v>
      </c>
      <c r="L339" s="2" t="s">
        <v>1533</v>
      </c>
      <c r="M339" s="3">
        <v>1</v>
      </c>
      <c r="N339" s="3">
        <v>1</v>
      </c>
      <c r="P339" s="2" t="s">
        <v>1534</v>
      </c>
    </row>
    <row r="340" spans="1:16" ht="13">
      <c r="A340" s="2" t="s">
        <v>3</v>
      </c>
      <c r="B340" s="2" t="str">
        <f t="shared" si="5"/>
        <v>23-24 Academic Year</v>
      </c>
      <c r="C340" s="2">
        <v>18</v>
      </c>
      <c r="D340" s="2" t="s">
        <v>1254</v>
      </c>
      <c r="E340" s="10">
        <v>45227</v>
      </c>
      <c r="F340" s="2" t="s">
        <v>1237</v>
      </c>
      <c r="G340" s="2" t="s">
        <v>1518</v>
      </c>
      <c r="H340" s="2" t="s">
        <v>7</v>
      </c>
      <c r="I340" s="2" t="s">
        <v>1256</v>
      </c>
      <c r="J340" s="2" t="s">
        <v>1535</v>
      </c>
      <c r="K340" s="2" t="s">
        <v>1536</v>
      </c>
      <c r="L340" s="2" t="s">
        <v>1537</v>
      </c>
      <c r="M340" s="3">
        <v>4</v>
      </c>
      <c r="N340" s="3">
        <v>1</v>
      </c>
      <c r="P340" s="2" t="s">
        <v>1538</v>
      </c>
    </row>
    <row r="341" spans="1:16" ht="13">
      <c r="A341" s="2" t="s">
        <v>3</v>
      </c>
      <c r="B341" s="2" t="str">
        <f t="shared" si="5"/>
        <v>23-24 Academic Year</v>
      </c>
      <c r="C341" s="2">
        <v>18</v>
      </c>
      <c r="D341" s="2" t="s">
        <v>1254</v>
      </c>
      <c r="E341" s="10">
        <v>45227</v>
      </c>
      <c r="F341" s="2" t="s">
        <v>1237</v>
      </c>
      <c r="G341" s="2" t="s">
        <v>1518</v>
      </c>
      <c r="H341" s="2" t="s">
        <v>7</v>
      </c>
      <c r="I341" s="2" t="s">
        <v>1256</v>
      </c>
      <c r="J341" s="2" t="s">
        <v>1539</v>
      </c>
      <c r="K341" s="2" t="s">
        <v>1015</v>
      </c>
      <c r="L341" s="2" t="s">
        <v>1396</v>
      </c>
      <c r="M341" s="3">
        <v>3</v>
      </c>
      <c r="N341" s="3">
        <v>1</v>
      </c>
      <c r="P341" s="2" t="s">
        <v>1540</v>
      </c>
    </row>
    <row r="342" spans="1:16" ht="13">
      <c r="A342" s="2" t="s">
        <v>3</v>
      </c>
      <c r="B342" s="2" t="str">
        <f t="shared" si="5"/>
        <v>23-24 Academic Year</v>
      </c>
      <c r="C342" s="2">
        <v>18</v>
      </c>
      <c r="D342" s="2" t="s">
        <v>1254</v>
      </c>
      <c r="E342" s="10">
        <v>45227</v>
      </c>
      <c r="F342" s="2" t="s">
        <v>1237</v>
      </c>
      <c r="G342" s="2" t="s">
        <v>1518</v>
      </c>
      <c r="H342" s="2" t="s">
        <v>7</v>
      </c>
      <c r="I342" s="2" t="s">
        <v>1256</v>
      </c>
      <c r="J342" s="2" t="s">
        <v>1541</v>
      </c>
      <c r="K342" s="2" t="s">
        <v>1542</v>
      </c>
      <c r="L342" s="2" t="s">
        <v>1543</v>
      </c>
      <c r="M342" s="3">
        <v>1</v>
      </c>
      <c r="N342" s="3">
        <v>2</v>
      </c>
      <c r="P342" s="2" t="s">
        <v>1544</v>
      </c>
    </row>
    <row r="343" spans="1:16" ht="13">
      <c r="A343" s="2" t="s">
        <v>3</v>
      </c>
      <c r="B343" s="2" t="str">
        <f t="shared" si="5"/>
        <v>23-24 Academic Year</v>
      </c>
      <c r="C343" s="2">
        <v>19</v>
      </c>
      <c r="D343" s="2" t="s">
        <v>633</v>
      </c>
      <c r="E343" s="10">
        <v>45233</v>
      </c>
      <c r="F343" s="2" t="s">
        <v>69</v>
      </c>
      <c r="G343" s="2" t="s">
        <v>1368</v>
      </c>
      <c r="H343" s="2" t="s">
        <v>6</v>
      </c>
      <c r="I343" s="2" t="s">
        <v>1545</v>
      </c>
      <c r="J343" s="2" t="s">
        <v>1546</v>
      </c>
      <c r="K343" s="2" t="s">
        <v>973</v>
      </c>
      <c r="L343" s="2" t="s">
        <v>1547</v>
      </c>
      <c r="M343" s="3">
        <v>2</v>
      </c>
      <c r="N343" s="3">
        <v>1</v>
      </c>
      <c r="P343" s="2" t="s">
        <v>1548</v>
      </c>
    </row>
    <row r="344" spans="1:16" ht="13">
      <c r="A344" s="2" t="s">
        <v>3</v>
      </c>
      <c r="B344" s="2" t="str">
        <f t="shared" si="5"/>
        <v>23-24 Academic Year</v>
      </c>
      <c r="C344" s="2">
        <v>19</v>
      </c>
      <c r="D344" s="2" t="s">
        <v>633</v>
      </c>
      <c r="E344" s="10">
        <v>45233</v>
      </c>
      <c r="F344" s="2" t="s">
        <v>69</v>
      </c>
      <c r="G344" s="2" t="s">
        <v>1368</v>
      </c>
      <c r="H344" s="2" t="s">
        <v>6</v>
      </c>
      <c r="I344" s="2" t="s">
        <v>634</v>
      </c>
      <c r="J344" s="2" t="s">
        <v>1549</v>
      </c>
      <c r="K344" s="2" t="s">
        <v>1550</v>
      </c>
      <c r="L344" s="2" t="s">
        <v>1551</v>
      </c>
      <c r="M344" s="3">
        <v>4</v>
      </c>
      <c r="N344" s="3">
        <v>1</v>
      </c>
      <c r="P344" s="2" t="s">
        <v>1552</v>
      </c>
    </row>
    <row r="345" spans="1:16" ht="13">
      <c r="A345" s="2" t="s">
        <v>3</v>
      </c>
      <c r="B345" s="2" t="str">
        <f t="shared" si="5"/>
        <v>23-24 Academic Year</v>
      </c>
      <c r="C345" s="2">
        <v>19</v>
      </c>
      <c r="D345" s="2" t="s">
        <v>1553</v>
      </c>
      <c r="E345" s="10">
        <v>45233</v>
      </c>
      <c r="F345" s="2" t="s">
        <v>69</v>
      </c>
      <c r="G345" s="2" t="s">
        <v>1368</v>
      </c>
      <c r="H345" s="2" t="s">
        <v>6</v>
      </c>
      <c r="I345" s="2" t="s">
        <v>434</v>
      </c>
      <c r="J345" s="2" t="s">
        <v>1554</v>
      </c>
      <c r="K345" s="2" t="s">
        <v>616</v>
      </c>
      <c r="L345" s="2" t="s">
        <v>436</v>
      </c>
      <c r="M345" s="3">
        <v>2</v>
      </c>
      <c r="N345" s="3">
        <v>2</v>
      </c>
      <c r="P345" s="2" t="s">
        <v>1555</v>
      </c>
    </row>
    <row r="346" spans="1:16" ht="13">
      <c r="A346" s="2" t="s">
        <v>3</v>
      </c>
      <c r="B346" s="2" t="str">
        <f t="shared" si="5"/>
        <v>23-24 Academic Year</v>
      </c>
      <c r="C346" s="2">
        <v>19</v>
      </c>
      <c r="D346" s="2" t="s">
        <v>1556</v>
      </c>
      <c r="E346" s="10">
        <v>45233</v>
      </c>
      <c r="F346" s="2" t="s">
        <v>69</v>
      </c>
      <c r="G346" s="2" t="s">
        <v>1368</v>
      </c>
      <c r="H346" s="2" t="s">
        <v>6</v>
      </c>
      <c r="I346" s="2" t="s">
        <v>1115</v>
      </c>
      <c r="J346" s="2" t="s">
        <v>1557</v>
      </c>
      <c r="K346" s="2" t="s">
        <v>670</v>
      </c>
      <c r="L346" s="2" t="s">
        <v>403</v>
      </c>
      <c r="M346" s="3">
        <v>1</v>
      </c>
      <c r="N346" s="3">
        <v>2</v>
      </c>
      <c r="P346" s="2" t="s">
        <v>1558</v>
      </c>
    </row>
    <row r="347" spans="1:16" ht="13">
      <c r="A347" s="2" t="s">
        <v>3</v>
      </c>
      <c r="B347" s="2" t="str">
        <f t="shared" si="5"/>
        <v>23-24 Academic Year</v>
      </c>
      <c r="C347" s="2">
        <v>20</v>
      </c>
      <c r="D347" s="2" t="s">
        <v>1559</v>
      </c>
      <c r="E347" s="10">
        <v>45243</v>
      </c>
      <c r="F347" s="2" t="s">
        <v>1237</v>
      </c>
      <c r="G347" s="2" t="s">
        <v>1560</v>
      </c>
      <c r="H347" s="2" t="s">
        <v>6</v>
      </c>
      <c r="I347" s="2" t="s">
        <v>728</v>
      </c>
      <c r="J347" s="2" t="s">
        <v>1561</v>
      </c>
      <c r="K347" s="2" t="s">
        <v>1562</v>
      </c>
      <c r="L347" s="2" t="s">
        <v>737</v>
      </c>
      <c r="M347" s="3">
        <v>1</v>
      </c>
      <c r="N347" s="3">
        <v>2</v>
      </c>
      <c r="P347" s="2" t="s">
        <v>1563</v>
      </c>
    </row>
    <row r="348" spans="1:16" ht="13">
      <c r="A348" s="2" t="s">
        <v>3</v>
      </c>
      <c r="B348" s="2" t="str">
        <f t="shared" si="5"/>
        <v>23-24 Academic Year</v>
      </c>
      <c r="C348" s="2">
        <v>20</v>
      </c>
      <c r="D348" s="2" t="s">
        <v>1559</v>
      </c>
      <c r="E348" s="10">
        <v>45243</v>
      </c>
      <c r="F348" s="2" t="s">
        <v>1237</v>
      </c>
      <c r="G348" s="2" t="s">
        <v>1560</v>
      </c>
      <c r="H348" s="2" t="s">
        <v>6</v>
      </c>
      <c r="I348" s="2" t="s">
        <v>728</v>
      </c>
      <c r="J348" s="2" t="s">
        <v>1564</v>
      </c>
      <c r="K348" s="2" t="s">
        <v>1565</v>
      </c>
      <c r="L348" s="2" t="s">
        <v>1566</v>
      </c>
      <c r="M348" s="3">
        <v>3</v>
      </c>
      <c r="N348" s="3">
        <v>1</v>
      </c>
      <c r="P348" s="2" t="s">
        <v>1567</v>
      </c>
    </row>
    <row r="349" spans="1:16" ht="13">
      <c r="A349" s="2" t="s">
        <v>3</v>
      </c>
      <c r="B349" s="2" t="str">
        <f t="shared" si="5"/>
        <v>23-24 Academic Year</v>
      </c>
      <c r="C349" s="2">
        <v>20</v>
      </c>
      <c r="D349" s="2" t="s">
        <v>1559</v>
      </c>
      <c r="E349" s="10">
        <v>45243</v>
      </c>
      <c r="F349" s="2" t="s">
        <v>1237</v>
      </c>
      <c r="G349" s="2" t="s">
        <v>1560</v>
      </c>
      <c r="H349" s="2" t="s">
        <v>6</v>
      </c>
      <c r="I349" s="2" t="s">
        <v>728</v>
      </c>
      <c r="J349" s="2" t="s">
        <v>1568</v>
      </c>
      <c r="K349" s="2" t="s">
        <v>1569</v>
      </c>
      <c r="L349" s="2" t="s">
        <v>1570</v>
      </c>
      <c r="M349" s="3">
        <v>2</v>
      </c>
      <c r="N349" s="3">
        <v>1</v>
      </c>
      <c r="P349" s="2" t="s">
        <v>1571</v>
      </c>
    </row>
    <row r="350" spans="1:16" ht="13">
      <c r="A350" s="2" t="s">
        <v>3</v>
      </c>
      <c r="B350" s="2" t="str">
        <f t="shared" si="5"/>
        <v>23-24 Academic Year</v>
      </c>
      <c r="C350" s="2">
        <v>20</v>
      </c>
      <c r="D350" s="2" t="s">
        <v>1559</v>
      </c>
      <c r="E350" s="10">
        <v>45243</v>
      </c>
      <c r="F350" s="2" t="s">
        <v>1237</v>
      </c>
      <c r="G350" s="2" t="s">
        <v>1560</v>
      </c>
      <c r="H350" s="2" t="s">
        <v>6</v>
      </c>
      <c r="I350" s="2" t="s">
        <v>728</v>
      </c>
      <c r="J350" s="2" t="s">
        <v>1572</v>
      </c>
      <c r="K350" s="2" t="s">
        <v>722</v>
      </c>
      <c r="L350" s="2" t="s">
        <v>1266</v>
      </c>
      <c r="M350" s="3">
        <v>4</v>
      </c>
      <c r="N350" s="3">
        <v>1</v>
      </c>
      <c r="P350" s="2" t="s">
        <v>1573</v>
      </c>
    </row>
    <row r="351" spans="1:16" ht="13">
      <c r="A351" s="2" t="s">
        <v>3</v>
      </c>
      <c r="B351" s="2" t="str">
        <f t="shared" si="5"/>
        <v>23-24 Academic Year</v>
      </c>
      <c r="C351" s="2">
        <v>20</v>
      </c>
      <c r="D351" s="2" t="s">
        <v>1559</v>
      </c>
      <c r="E351" s="10">
        <v>45243</v>
      </c>
      <c r="F351" s="2" t="s">
        <v>1237</v>
      </c>
      <c r="G351" s="2" t="s">
        <v>1560</v>
      </c>
      <c r="H351" s="2" t="s">
        <v>6</v>
      </c>
      <c r="I351" s="2" t="s">
        <v>728</v>
      </c>
      <c r="J351" s="2" t="s">
        <v>1574</v>
      </c>
      <c r="K351" s="2" t="s">
        <v>1562</v>
      </c>
      <c r="L351" s="2" t="s">
        <v>737</v>
      </c>
      <c r="M351" s="3">
        <v>1</v>
      </c>
      <c r="N351" s="3">
        <v>2</v>
      </c>
      <c r="P351" s="2" t="s">
        <v>1575</v>
      </c>
    </row>
    <row r="352" spans="1:16" ht="13">
      <c r="A352" s="2" t="s">
        <v>3</v>
      </c>
      <c r="B352" s="2" t="str">
        <f t="shared" si="5"/>
        <v>23-24 Academic Year</v>
      </c>
      <c r="C352" s="2">
        <v>20</v>
      </c>
      <c r="D352" s="2" t="s">
        <v>1559</v>
      </c>
      <c r="E352" s="10">
        <v>45243</v>
      </c>
      <c r="F352" s="2" t="s">
        <v>1237</v>
      </c>
      <c r="G352" s="2" t="s">
        <v>1560</v>
      </c>
      <c r="H352" s="2" t="s">
        <v>6</v>
      </c>
      <c r="I352" s="2" t="s">
        <v>728</v>
      </c>
      <c r="J352" s="2" t="s">
        <v>1576</v>
      </c>
      <c r="K352" s="2" t="s">
        <v>1577</v>
      </c>
      <c r="L352" s="2" t="s">
        <v>734</v>
      </c>
      <c r="M352" s="3">
        <v>4</v>
      </c>
      <c r="N352" s="3">
        <v>1</v>
      </c>
      <c r="P352" s="2" t="s">
        <v>1578</v>
      </c>
    </row>
    <row r="353" spans="1:16" ht="13">
      <c r="A353" s="2" t="s">
        <v>3</v>
      </c>
      <c r="B353" s="2" t="str">
        <f t="shared" si="5"/>
        <v>23-24 Academic Year</v>
      </c>
      <c r="C353" s="2">
        <v>20</v>
      </c>
      <c r="D353" s="2" t="s">
        <v>1559</v>
      </c>
      <c r="E353" s="10">
        <v>45243</v>
      </c>
      <c r="F353" s="2" t="s">
        <v>1237</v>
      </c>
      <c r="G353" s="2" t="s">
        <v>1560</v>
      </c>
      <c r="H353" s="2" t="s">
        <v>6</v>
      </c>
      <c r="I353" s="2" t="s">
        <v>728</v>
      </c>
      <c r="J353" s="2" t="s">
        <v>1579</v>
      </c>
      <c r="K353" s="2" t="s">
        <v>700</v>
      </c>
      <c r="L353" s="2" t="s">
        <v>1283</v>
      </c>
      <c r="M353" s="3">
        <v>3</v>
      </c>
      <c r="N353" s="3">
        <v>2</v>
      </c>
      <c r="P353" s="2" t="s">
        <v>1580</v>
      </c>
    </row>
    <row r="354" spans="1:16" ht="13">
      <c r="A354" s="2" t="s">
        <v>3</v>
      </c>
      <c r="B354" s="2" t="str">
        <f t="shared" si="5"/>
        <v>23-24 Academic Year</v>
      </c>
      <c r="C354" s="2">
        <v>21</v>
      </c>
      <c r="D354" s="2" t="s">
        <v>1226</v>
      </c>
      <c r="E354" s="10">
        <v>45237</v>
      </c>
      <c r="F354" s="2" t="s">
        <v>1237</v>
      </c>
      <c r="G354" s="2" t="s">
        <v>1581</v>
      </c>
      <c r="H354" s="2" t="s">
        <v>6</v>
      </c>
      <c r="I354" s="2" t="s">
        <v>1582</v>
      </c>
      <c r="J354" s="2" t="s">
        <v>1583</v>
      </c>
      <c r="K354" s="2" t="s">
        <v>1584</v>
      </c>
      <c r="L354" s="2" t="s">
        <v>1585</v>
      </c>
      <c r="M354" s="3">
        <v>1</v>
      </c>
      <c r="N354" s="3">
        <v>1</v>
      </c>
      <c r="P354" s="2" t="s">
        <v>1586</v>
      </c>
    </row>
    <row r="355" spans="1:16" ht="13">
      <c r="A355" s="2" t="s">
        <v>3</v>
      </c>
      <c r="B355" s="2" t="str">
        <f t="shared" si="5"/>
        <v>23-24 Academic Year</v>
      </c>
      <c r="C355" s="2">
        <v>21</v>
      </c>
      <c r="D355" s="2" t="s">
        <v>1226</v>
      </c>
      <c r="E355" s="10">
        <v>45237</v>
      </c>
      <c r="F355" s="2" t="s">
        <v>1237</v>
      </c>
      <c r="G355" s="2" t="s">
        <v>1581</v>
      </c>
      <c r="H355" s="2" t="s">
        <v>6</v>
      </c>
      <c r="J355" s="2" t="s">
        <v>1587</v>
      </c>
      <c r="K355" s="2" t="s">
        <v>1588</v>
      </c>
      <c r="L355" s="2" t="s">
        <v>1589</v>
      </c>
      <c r="M355" s="3">
        <v>1</v>
      </c>
      <c r="N355" s="3">
        <v>2</v>
      </c>
      <c r="P355" s="2" t="s">
        <v>1590</v>
      </c>
    </row>
    <row r="356" spans="1:16" ht="13">
      <c r="A356" s="2" t="s">
        <v>3</v>
      </c>
      <c r="B356" s="2" t="str">
        <f t="shared" si="5"/>
        <v>23-24 Academic Year</v>
      </c>
      <c r="C356" s="2">
        <v>21</v>
      </c>
      <c r="D356" s="2" t="s">
        <v>1226</v>
      </c>
      <c r="E356" s="10">
        <v>45237</v>
      </c>
      <c r="F356" s="2" t="s">
        <v>1237</v>
      </c>
      <c r="G356" s="2" t="s">
        <v>1581</v>
      </c>
      <c r="H356" s="2" t="s">
        <v>6</v>
      </c>
      <c r="J356" s="2" t="s">
        <v>1591</v>
      </c>
      <c r="K356" s="2" t="s">
        <v>1592</v>
      </c>
      <c r="L356" s="2" t="s">
        <v>1593</v>
      </c>
      <c r="M356" s="3">
        <v>1</v>
      </c>
      <c r="N356" s="3">
        <v>1</v>
      </c>
      <c r="P356" s="2" t="s">
        <v>1594</v>
      </c>
    </row>
    <row r="357" spans="1:16" ht="13">
      <c r="A357" s="2" t="s">
        <v>3</v>
      </c>
      <c r="B357" s="2" t="str">
        <f t="shared" si="5"/>
        <v>23-24 Academic Year</v>
      </c>
      <c r="C357" s="2">
        <v>21</v>
      </c>
      <c r="D357" s="2" t="s">
        <v>1226</v>
      </c>
      <c r="E357" s="10">
        <v>45237</v>
      </c>
      <c r="F357" s="2" t="s">
        <v>1237</v>
      </c>
      <c r="G357" s="2" t="s">
        <v>1581</v>
      </c>
      <c r="H357" s="2" t="s">
        <v>6</v>
      </c>
      <c r="J357" s="2" t="s">
        <v>1595</v>
      </c>
      <c r="K357" s="2" t="s">
        <v>1596</v>
      </c>
      <c r="L357" s="2" t="s">
        <v>1597</v>
      </c>
      <c r="M357" s="3">
        <v>1</v>
      </c>
      <c r="N357" s="3">
        <v>1</v>
      </c>
      <c r="P357" s="2" t="s">
        <v>1598</v>
      </c>
    </row>
    <row r="358" spans="1:16" ht="13">
      <c r="A358" s="2" t="s">
        <v>3</v>
      </c>
      <c r="B358" s="2" t="str">
        <f t="shared" si="5"/>
        <v>23-24 Academic Year</v>
      </c>
      <c r="C358" s="2">
        <v>21</v>
      </c>
      <c r="D358" s="2" t="s">
        <v>1226</v>
      </c>
      <c r="E358" s="10">
        <v>45237</v>
      </c>
      <c r="F358" s="2" t="s">
        <v>1237</v>
      </c>
      <c r="G358" s="2" t="s">
        <v>1581</v>
      </c>
      <c r="H358" s="2" t="s">
        <v>6</v>
      </c>
      <c r="J358" s="2" t="s">
        <v>1599</v>
      </c>
      <c r="K358" s="2" t="s">
        <v>1600</v>
      </c>
      <c r="L358" s="2" t="s">
        <v>1601</v>
      </c>
      <c r="M358" s="3">
        <v>1</v>
      </c>
      <c r="N358" s="3">
        <v>1</v>
      </c>
      <c r="P358" s="2" t="s">
        <v>1602</v>
      </c>
    </row>
    <row r="359" spans="1:16" ht="13">
      <c r="A359" s="2" t="s">
        <v>3</v>
      </c>
      <c r="B359" s="2" t="str">
        <f t="shared" si="5"/>
        <v>23-24 Academic Year</v>
      </c>
      <c r="C359" s="2">
        <v>22</v>
      </c>
      <c r="D359" s="2" t="s">
        <v>1603</v>
      </c>
      <c r="E359" s="10">
        <v>45240</v>
      </c>
      <c r="F359" s="2" t="s">
        <v>1237</v>
      </c>
      <c r="G359" s="2" t="s">
        <v>1604</v>
      </c>
      <c r="H359" s="2" t="s">
        <v>8</v>
      </c>
      <c r="I359" s="2" t="s">
        <v>8</v>
      </c>
      <c r="J359" s="2" t="s">
        <v>1605</v>
      </c>
      <c r="K359" s="2" t="s">
        <v>1606</v>
      </c>
      <c r="L359" s="2" t="s">
        <v>1607</v>
      </c>
      <c r="M359" s="3">
        <v>2</v>
      </c>
      <c r="N359" s="3">
        <v>1</v>
      </c>
      <c r="P359" s="2" t="s">
        <v>1608</v>
      </c>
    </row>
    <row r="360" spans="1:16" ht="13">
      <c r="A360" s="2" t="s">
        <v>3</v>
      </c>
      <c r="B360" s="2" t="str">
        <f t="shared" si="5"/>
        <v>23-24 Academic Year</v>
      </c>
      <c r="C360" s="2">
        <v>22</v>
      </c>
      <c r="D360" s="2" t="s">
        <v>1603</v>
      </c>
      <c r="E360" s="10">
        <v>45240</v>
      </c>
      <c r="F360" s="2" t="s">
        <v>1237</v>
      </c>
      <c r="G360" s="2" t="s">
        <v>1604</v>
      </c>
      <c r="H360" s="2" t="s">
        <v>8</v>
      </c>
      <c r="I360" s="2" t="s">
        <v>8</v>
      </c>
      <c r="J360" s="2" t="s">
        <v>1609</v>
      </c>
      <c r="K360" s="2" t="s">
        <v>1606</v>
      </c>
      <c r="L360" s="2" t="s">
        <v>1607</v>
      </c>
      <c r="M360" s="3">
        <v>2</v>
      </c>
      <c r="N360" s="3">
        <v>1</v>
      </c>
      <c r="P360" s="2" t="s">
        <v>1610</v>
      </c>
    </row>
    <row r="361" spans="1:16" ht="13">
      <c r="A361" s="2" t="s">
        <v>3</v>
      </c>
      <c r="B361" s="2" t="str">
        <f t="shared" si="5"/>
        <v>23-24 Academic Year</v>
      </c>
      <c r="C361" s="2">
        <v>22</v>
      </c>
      <c r="D361" s="2" t="s">
        <v>1603</v>
      </c>
      <c r="E361" s="10">
        <v>45240</v>
      </c>
      <c r="F361" s="2" t="s">
        <v>1237</v>
      </c>
      <c r="G361" s="2" t="s">
        <v>1604</v>
      </c>
      <c r="H361" s="2" t="s">
        <v>8</v>
      </c>
      <c r="I361" s="2" t="s">
        <v>8</v>
      </c>
      <c r="J361" s="2" t="s">
        <v>1611</v>
      </c>
      <c r="K361" s="2" t="s">
        <v>1606</v>
      </c>
      <c r="L361" s="2" t="s">
        <v>1607</v>
      </c>
      <c r="M361" s="3">
        <v>2</v>
      </c>
      <c r="N361" s="3">
        <v>1</v>
      </c>
      <c r="P361" s="2" t="s">
        <v>1612</v>
      </c>
    </row>
    <row r="362" spans="1:16" ht="13">
      <c r="A362" s="2" t="s">
        <v>3</v>
      </c>
      <c r="B362" s="2" t="str">
        <f t="shared" si="5"/>
        <v>23-24 Academic Year</v>
      </c>
      <c r="C362" s="2">
        <v>23</v>
      </c>
      <c r="D362" s="2" t="s">
        <v>1356</v>
      </c>
      <c r="E362" s="10">
        <v>45242</v>
      </c>
      <c r="F362" s="2" t="s">
        <v>20</v>
      </c>
      <c r="G362" s="2" t="s">
        <v>1613</v>
      </c>
      <c r="H362" s="2" t="s">
        <v>7</v>
      </c>
      <c r="I362" s="2" t="s">
        <v>1614</v>
      </c>
      <c r="J362" s="2" t="s">
        <v>1615</v>
      </c>
      <c r="K362" s="2" t="s">
        <v>443</v>
      </c>
      <c r="L362" s="2" t="s">
        <v>1616</v>
      </c>
      <c r="M362" s="3">
        <v>1</v>
      </c>
      <c r="N362" s="3">
        <v>2</v>
      </c>
      <c r="P362" s="2" t="s">
        <v>1617</v>
      </c>
    </row>
    <row r="363" spans="1:16" ht="13">
      <c r="A363" s="2" t="s">
        <v>3</v>
      </c>
      <c r="B363" s="2" t="str">
        <f t="shared" si="5"/>
        <v>23-24 Academic Year</v>
      </c>
      <c r="C363" s="2">
        <v>24</v>
      </c>
      <c r="D363" s="2" t="s">
        <v>633</v>
      </c>
      <c r="E363" s="10">
        <v>45244</v>
      </c>
      <c r="F363" s="2" t="s">
        <v>1237</v>
      </c>
      <c r="G363" s="2" t="s">
        <v>1618</v>
      </c>
      <c r="H363" s="2" t="s">
        <v>8</v>
      </c>
      <c r="I363" s="2" t="s">
        <v>8</v>
      </c>
      <c r="J363" s="2" t="s">
        <v>1619</v>
      </c>
      <c r="K363" s="2" t="s">
        <v>1620</v>
      </c>
      <c r="L363" s="2" t="s">
        <v>1621</v>
      </c>
      <c r="M363" s="3">
        <v>2</v>
      </c>
      <c r="N363" s="3">
        <v>1</v>
      </c>
      <c r="P363" s="2" t="s">
        <v>1622</v>
      </c>
    </row>
    <row r="364" spans="1:16" ht="13">
      <c r="A364" s="2" t="s">
        <v>3</v>
      </c>
      <c r="B364" s="2" t="str">
        <f t="shared" si="5"/>
        <v>23-24 Academic Year</v>
      </c>
      <c r="C364" s="2">
        <v>24</v>
      </c>
      <c r="D364" s="2" t="s">
        <v>633</v>
      </c>
      <c r="E364" s="10">
        <v>45244</v>
      </c>
      <c r="F364" s="2" t="s">
        <v>1237</v>
      </c>
      <c r="G364" s="2" t="s">
        <v>1618</v>
      </c>
      <c r="H364" s="2" t="s">
        <v>8</v>
      </c>
      <c r="I364" s="2" t="s">
        <v>8</v>
      </c>
      <c r="J364" s="2" t="s">
        <v>1623</v>
      </c>
      <c r="K364" s="2" t="s">
        <v>670</v>
      </c>
      <c r="L364" s="2" t="s">
        <v>403</v>
      </c>
      <c r="M364" s="3">
        <v>1</v>
      </c>
      <c r="N364" s="3">
        <v>2</v>
      </c>
      <c r="P364" s="2" t="s">
        <v>1624</v>
      </c>
    </row>
    <row r="365" spans="1:16" ht="13">
      <c r="A365" s="2" t="s">
        <v>3</v>
      </c>
      <c r="B365" s="2" t="str">
        <f t="shared" si="5"/>
        <v>23-24 Academic Year</v>
      </c>
      <c r="C365" s="2">
        <v>24</v>
      </c>
      <c r="D365" s="2" t="s">
        <v>633</v>
      </c>
      <c r="E365" s="10">
        <v>45244</v>
      </c>
      <c r="F365" s="2" t="s">
        <v>1237</v>
      </c>
      <c r="G365" s="2" t="s">
        <v>1618</v>
      </c>
      <c r="H365" s="2" t="s">
        <v>8</v>
      </c>
      <c r="I365" s="2" t="s">
        <v>8</v>
      </c>
      <c r="J365" s="2" t="s">
        <v>1625</v>
      </c>
      <c r="K365" s="2" t="s">
        <v>1626</v>
      </c>
      <c r="L365" s="2" t="s">
        <v>1627</v>
      </c>
      <c r="M365" s="3">
        <v>1</v>
      </c>
      <c r="N365" s="3">
        <v>1</v>
      </c>
      <c r="P365" s="2" t="s">
        <v>1628</v>
      </c>
    </row>
    <row r="366" spans="1:16" ht="13">
      <c r="A366" s="2" t="s">
        <v>3</v>
      </c>
      <c r="B366" s="2" t="str">
        <f t="shared" si="5"/>
        <v>23-24 Academic Year</v>
      </c>
      <c r="C366" s="2">
        <v>24</v>
      </c>
      <c r="D366" s="2" t="s">
        <v>633</v>
      </c>
      <c r="E366" s="10">
        <v>45244</v>
      </c>
      <c r="F366" s="2" t="s">
        <v>1237</v>
      </c>
      <c r="G366" s="2" t="s">
        <v>1618</v>
      </c>
      <c r="H366" s="2" t="s">
        <v>8</v>
      </c>
      <c r="I366" s="2" t="s">
        <v>8</v>
      </c>
      <c r="J366" s="2" t="s">
        <v>1629</v>
      </c>
      <c r="K366" s="2" t="s">
        <v>1630</v>
      </c>
      <c r="L366" s="2" t="s">
        <v>1631</v>
      </c>
      <c r="M366" s="3">
        <v>1</v>
      </c>
      <c r="N366" s="3">
        <v>1</v>
      </c>
      <c r="P366" s="2" t="s">
        <v>1632</v>
      </c>
    </row>
    <row r="367" spans="1:16" ht="13">
      <c r="A367" s="2" t="s">
        <v>3</v>
      </c>
      <c r="B367" s="2" t="str">
        <f t="shared" si="5"/>
        <v>23-24 Academic Year</v>
      </c>
      <c r="C367" s="2">
        <v>24</v>
      </c>
      <c r="D367" s="2" t="s">
        <v>633</v>
      </c>
      <c r="E367" s="10">
        <v>45244</v>
      </c>
      <c r="F367" s="2" t="s">
        <v>1237</v>
      </c>
      <c r="G367" s="2" t="s">
        <v>1618</v>
      </c>
      <c r="H367" s="2" t="s">
        <v>8</v>
      </c>
      <c r="I367" s="2" t="s">
        <v>8</v>
      </c>
      <c r="J367" s="2" t="s">
        <v>1633</v>
      </c>
      <c r="K367" s="2" t="s">
        <v>209</v>
      </c>
      <c r="L367" s="2" t="s">
        <v>1634</v>
      </c>
      <c r="M367" s="3">
        <v>1</v>
      </c>
      <c r="N367" s="3">
        <v>2</v>
      </c>
      <c r="P367" s="2" t="s">
        <v>1635</v>
      </c>
    </row>
    <row r="368" spans="1:16" ht="13">
      <c r="A368" s="2" t="s">
        <v>3</v>
      </c>
      <c r="B368" s="2" t="str">
        <f t="shared" si="5"/>
        <v>23-24 Academic Year</v>
      </c>
      <c r="C368" s="2">
        <v>24</v>
      </c>
      <c r="D368" s="2" t="s">
        <v>633</v>
      </c>
      <c r="E368" s="10">
        <v>45244</v>
      </c>
      <c r="F368" s="2" t="s">
        <v>1237</v>
      </c>
      <c r="G368" s="2" t="s">
        <v>1618</v>
      </c>
      <c r="H368" s="2" t="s">
        <v>8</v>
      </c>
      <c r="I368" s="2" t="s">
        <v>8</v>
      </c>
      <c r="J368" s="2" t="s">
        <v>1636</v>
      </c>
      <c r="K368" s="2" t="s">
        <v>605</v>
      </c>
      <c r="L368" s="2" t="s">
        <v>1407</v>
      </c>
      <c r="M368" s="3">
        <v>1</v>
      </c>
      <c r="N368" s="3">
        <v>2</v>
      </c>
      <c r="P368" s="2" t="s">
        <v>1637</v>
      </c>
    </row>
    <row r="369" spans="1:16" ht="13">
      <c r="A369" s="2" t="s">
        <v>3</v>
      </c>
      <c r="B369" s="2" t="str">
        <f t="shared" si="5"/>
        <v>23-24 Academic Year</v>
      </c>
      <c r="C369" s="2">
        <v>24</v>
      </c>
      <c r="D369" s="2" t="s">
        <v>633</v>
      </c>
      <c r="E369" s="10">
        <v>45244</v>
      </c>
      <c r="F369" s="2" t="s">
        <v>1237</v>
      </c>
      <c r="G369" s="2" t="s">
        <v>1618</v>
      </c>
      <c r="H369" s="2" t="s">
        <v>8</v>
      </c>
      <c r="I369" s="2" t="s">
        <v>8</v>
      </c>
      <c r="J369" s="2" t="s">
        <v>1638</v>
      </c>
      <c r="K369" s="2" t="s">
        <v>1639</v>
      </c>
      <c r="L369" s="2" t="s">
        <v>1640</v>
      </c>
      <c r="M369" s="3">
        <v>2</v>
      </c>
      <c r="N369" s="3">
        <v>1</v>
      </c>
      <c r="P369" s="2" t="s">
        <v>1641</v>
      </c>
    </row>
    <row r="370" spans="1:16" ht="13">
      <c r="A370" s="2" t="s">
        <v>3</v>
      </c>
      <c r="B370" s="2" t="str">
        <f t="shared" si="5"/>
        <v>23-24 Academic Year</v>
      </c>
      <c r="C370" s="2">
        <v>25</v>
      </c>
      <c r="D370" s="2" t="s">
        <v>1642</v>
      </c>
      <c r="E370" s="10">
        <v>45245</v>
      </c>
      <c r="F370" s="2" t="s">
        <v>20</v>
      </c>
      <c r="G370" s="2" t="s">
        <v>349</v>
      </c>
      <c r="H370" s="2" t="s">
        <v>7</v>
      </c>
      <c r="I370" s="2" t="s">
        <v>1582</v>
      </c>
      <c r="J370" s="2" t="s">
        <v>1643</v>
      </c>
      <c r="K370" s="2" t="s">
        <v>1644</v>
      </c>
      <c r="L370" s="2" t="s">
        <v>1645</v>
      </c>
      <c r="M370" s="3">
        <v>1</v>
      </c>
      <c r="N370" s="3">
        <v>2</v>
      </c>
      <c r="P370" s="2" t="s">
        <v>1646</v>
      </c>
    </row>
    <row r="371" spans="1:16" ht="13">
      <c r="A371" s="2" t="s">
        <v>3</v>
      </c>
      <c r="B371" s="2" t="str">
        <f t="shared" si="5"/>
        <v>23-24 Academic Year</v>
      </c>
      <c r="C371" s="2">
        <v>25</v>
      </c>
      <c r="D371" s="2" t="s">
        <v>1642</v>
      </c>
      <c r="E371" s="10">
        <v>45245</v>
      </c>
      <c r="F371" s="2" t="s">
        <v>20</v>
      </c>
      <c r="G371" s="2" t="s">
        <v>349</v>
      </c>
      <c r="H371" s="2" t="s">
        <v>7</v>
      </c>
      <c r="I371" s="2" t="s">
        <v>1647</v>
      </c>
      <c r="J371" s="2" t="s">
        <v>1648</v>
      </c>
      <c r="K371" s="2" t="s">
        <v>1649</v>
      </c>
      <c r="L371" s="2" t="s">
        <v>1650</v>
      </c>
      <c r="M371" s="3">
        <v>1</v>
      </c>
      <c r="N371" s="3">
        <v>2</v>
      </c>
      <c r="P371" s="2" t="s">
        <v>1651</v>
      </c>
    </row>
    <row r="372" spans="1:16" ht="13">
      <c r="A372" s="2" t="s">
        <v>3</v>
      </c>
      <c r="B372" s="2" t="str">
        <f t="shared" si="5"/>
        <v>23-24 Academic Year</v>
      </c>
      <c r="C372" s="2">
        <v>25</v>
      </c>
      <c r="D372" s="2" t="s">
        <v>1642</v>
      </c>
      <c r="E372" s="10">
        <v>45245</v>
      </c>
      <c r="F372" s="2" t="s">
        <v>20</v>
      </c>
      <c r="G372" s="2" t="s">
        <v>349</v>
      </c>
      <c r="H372" s="2" t="s">
        <v>7</v>
      </c>
      <c r="I372" s="2" t="s">
        <v>1647</v>
      </c>
      <c r="J372" s="2" t="s">
        <v>1652</v>
      </c>
      <c r="K372" s="2" t="s">
        <v>1653</v>
      </c>
      <c r="L372" s="2" t="s">
        <v>1654</v>
      </c>
      <c r="M372" s="3">
        <v>1</v>
      </c>
      <c r="N372" s="3">
        <v>1</v>
      </c>
      <c r="P372" s="2" t="s">
        <v>1655</v>
      </c>
    </row>
    <row r="373" spans="1:16" ht="13">
      <c r="A373" s="2" t="s">
        <v>3</v>
      </c>
      <c r="B373" s="2" t="str">
        <f t="shared" si="5"/>
        <v>23-24 Academic Year</v>
      </c>
      <c r="C373" s="2">
        <v>25</v>
      </c>
      <c r="D373" s="2" t="s">
        <v>1642</v>
      </c>
      <c r="E373" s="10">
        <v>45245</v>
      </c>
      <c r="F373" s="2" t="s">
        <v>20</v>
      </c>
      <c r="G373" s="2" t="s">
        <v>349</v>
      </c>
      <c r="H373" s="2" t="s">
        <v>7</v>
      </c>
      <c r="I373" s="2" t="s">
        <v>1647</v>
      </c>
      <c r="J373" s="2" t="s">
        <v>1656</v>
      </c>
      <c r="K373" s="2" t="s">
        <v>1657</v>
      </c>
      <c r="L373" s="2" t="s">
        <v>1658</v>
      </c>
      <c r="M373" s="3">
        <v>3</v>
      </c>
      <c r="N373" s="3">
        <v>1</v>
      </c>
      <c r="P373" s="2" t="s">
        <v>1659</v>
      </c>
    </row>
    <row r="374" spans="1:16" ht="13">
      <c r="A374" s="2" t="s">
        <v>3</v>
      </c>
      <c r="B374" s="2" t="str">
        <f t="shared" si="5"/>
        <v>23-24 Academic Year</v>
      </c>
      <c r="C374" s="2">
        <v>25</v>
      </c>
      <c r="D374" s="2" t="s">
        <v>1642</v>
      </c>
      <c r="E374" s="10">
        <v>45245</v>
      </c>
      <c r="F374" s="2" t="s">
        <v>20</v>
      </c>
      <c r="G374" s="2" t="s">
        <v>349</v>
      </c>
      <c r="H374" s="2" t="s">
        <v>7</v>
      </c>
      <c r="I374" s="2" t="s">
        <v>1647</v>
      </c>
      <c r="J374" s="2" t="s">
        <v>1660</v>
      </c>
      <c r="K374" s="2" t="s">
        <v>355</v>
      </c>
      <c r="L374" s="2" t="s">
        <v>1661</v>
      </c>
      <c r="M374" s="3">
        <v>3</v>
      </c>
      <c r="N374" s="3">
        <v>2</v>
      </c>
      <c r="P374" s="2" t="s">
        <v>1662</v>
      </c>
    </row>
    <row r="375" spans="1:16" ht="13">
      <c r="A375" s="2" t="s">
        <v>3</v>
      </c>
      <c r="B375" s="2" t="str">
        <f t="shared" si="5"/>
        <v>23-24 Academic Year</v>
      </c>
      <c r="C375" s="2">
        <v>25</v>
      </c>
      <c r="D375" s="2" t="s">
        <v>1642</v>
      </c>
      <c r="E375" s="10">
        <v>45245</v>
      </c>
      <c r="F375" s="2" t="s">
        <v>20</v>
      </c>
      <c r="G375" s="2" t="s">
        <v>349</v>
      </c>
      <c r="H375" s="2" t="s">
        <v>7</v>
      </c>
      <c r="I375" s="2" t="s">
        <v>1647</v>
      </c>
      <c r="J375" s="2" t="s">
        <v>1663</v>
      </c>
      <c r="K375" s="2" t="s">
        <v>1664</v>
      </c>
      <c r="L375" s="2" t="s">
        <v>1665</v>
      </c>
      <c r="M375" s="3">
        <v>1</v>
      </c>
      <c r="N375" s="3">
        <v>1</v>
      </c>
      <c r="P375" s="2" t="s">
        <v>1666</v>
      </c>
    </row>
    <row r="376" spans="1:16" ht="13">
      <c r="A376" s="2" t="s">
        <v>3</v>
      </c>
      <c r="B376" s="2" t="str">
        <f t="shared" si="5"/>
        <v>23-24 Academic Year</v>
      </c>
      <c r="C376" s="2">
        <v>25</v>
      </c>
      <c r="D376" s="2" t="s">
        <v>1642</v>
      </c>
      <c r="E376" s="10">
        <v>45245</v>
      </c>
      <c r="F376" s="2" t="s">
        <v>20</v>
      </c>
      <c r="G376" s="2" t="s">
        <v>349</v>
      </c>
      <c r="H376" s="2" t="s">
        <v>7</v>
      </c>
      <c r="I376" s="2" t="s">
        <v>1647</v>
      </c>
      <c r="J376" s="2" t="s">
        <v>1667</v>
      </c>
      <c r="K376" s="2" t="s">
        <v>1668</v>
      </c>
      <c r="L376" s="2" t="s">
        <v>1669</v>
      </c>
      <c r="M376" s="3">
        <v>3</v>
      </c>
      <c r="N376" s="3">
        <v>2</v>
      </c>
      <c r="P376" s="2" t="s">
        <v>1670</v>
      </c>
    </row>
    <row r="377" spans="1:16" ht="13">
      <c r="A377" s="2" t="s">
        <v>3</v>
      </c>
      <c r="B377" s="2" t="str">
        <f t="shared" si="5"/>
        <v>23-24 Academic Year</v>
      </c>
      <c r="C377" s="2">
        <v>25</v>
      </c>
      <c r="D377" s="2" t="s">
        <v>1642</v>
      </c>
      <c r="E377" s="10">
        <v>45245</v>
      </c>
      <c r="F377" s="2" t="s">
        <v>20</v>
      </c>
      <c r="G377" s="2" t="s">
        <v>349</v>
      </c>
      <c r="H377" s="2" t="s">
        <v>7</v>
      </c>
      <c r="I377" s="2" t="s">
        <v>1647</v>
      </c>
      <c r="J377" s="2" t="s">
        <v>1671</v>
      </c>
      <c r="K377" s="2" t="s">
        <v>351</v>
      </c>
      <c r="L377" s="2" t="s">
        <v>1362</v>
      </c>
      <c r="M377" s="3">
        <v>1</v>
      </c>
      <c r="N377" s="3">
        <v>1</v>
      </c>
      <c r="P377" s="2" t="s">
        <v>1672</v>
      </c>
    </row>
    <row r="378" spans="1:16" ht="13">
      <c r="A378" s="2" t="s">
        <v>3</v>
      </c>
      <c r="B378" s="2" t="str">
        <f t="shared" si="5"/>
        <v>23-24 Academic Year</v>
      </c>
      <c r="C378" s="2">
        <v>26</v>
      </c>
      <c r="D378" s="2" t="s">
        <v>1673</v>
      </c>
      <c r="E378" s="10">
        <v>45246</v>
      </c>
      <c r="F378" s="2" t="s">
        <v>1237</v>
      </c>
      <c r="G378" s="2" t="s">
        <v>1674</v>
      </c>
      <c r="H378" s="2" t="s">
        <v>6</v>
      </c>
      <c r="I378" s="2" t="s">
        <v>434</v>
      </c>
      <c r="J378" s="2" t="s">
        <v>1675</v>
      </c>
      <c r="K378" s="2" t="s">
        <v>1119</v>
      </c>
      <c r="L378" s="2" t="s">
        <v>1676</v>
      </c>
      <c r="M378" s="3">
        <v>1</v>
      </c>
      <c r="N378" s="3">
        <v>2</v>
      </c>
      <c r="P378" s="2" t="s">
        <v>1677</v>
      </c>
    </row>
    <row r="379" spans="1:16" ht="13">
      <c r="A379" s="2" t="s">
        <v>3</v>
      </c>
      <c r="B379" s="2" t="str">
        <f t="shared" si="5"/>
        <v>23-24 Academic Year</v>
      </c>
      <c r="C379" s="2">
        <v>26</v>
      </c>
      <c r="D379" s="2" t="s">
        <v>1673</v>
      </c>
      <c r="E379" s="10">
        <v>45246</v>
      </c>
      <c r="F379" s="2" t="s">
        <v>1237</v>
      </c>
      <c r="G379" s="2" t="s">
        <v>1674</v>
      </c>
      <c r="H379" s="2" t="s">
        <v>6</v>
      </c>
      <c r="I379" s="2" t="s">
        <v>434</v>
      </c>
      <c r="J379" s="2" t="s">
        <v>1678</v>
      </c>
      <c r="K379" s="2" t="s">
        <v>1679</v>
      </c>
      <c r="L379" s="2" t="s">
        <v>1680</v>
      </c>
      <c r="M379" s="3">
        <v>1</v>
      </c>
      <c r="N379" s="3">
        <v>2</v>
      </c>
      <c r="P379" s="2" t="s">
        <v>1681</v>
      </c>
    </row>
    <row r="380" spans="1:16" ht="13">
      <c r="A380" s="2" t="s">
        <v>3</v>
      </c>
      <c r="B380" s="2" t="str">
        <f t="shared" si="5"/>
        <v>23-24 Academic Year</v>
      </c>
      <c r="C380" s="2">
        <v>26</v>
      </c>
      <c r="D380" s="2" t="s">
        <v>1673</v>
      </c>
      <c r="E380" s="10">
        <v>45246</v>
      </c>
      <c r="F380" s="2" t="s">
        <v>1237</v>
      </c>
      <c r="G380" s="2" t="s">
        <v>1674</v>
      </c>
      <c r="H380" s="2" t="s">
        <v>6</v>
      </c>
      <c r="I380" s="2" t="s">
        <v>434</v>
      </c>
      <c r="J380" s="2" t="s">
        <v>1682</v>
      </c>
      <c r="K380" s="2" t="s">
        <v>1683</v>
      </c>
      <c r="L380" s="2" t="s">
        <v>1684</v>
      </c>
      <c r="M380" s="3">
        <v>1</v>
      </c>
      <c r="N380" s="3">
        <v>2</v>
      </c>
      <c r="P380" s="2" t="s">
        <v>1685</v>
      </c>
    </row>
    <row r="381" spans="1:16" ht="13">
      <c r="A381" s="2" t="s">
        <v>3</v>
      </c>
      <c r="B381" s="2" t="str">
        <f t="shared" si="5"/>
        <v>23-24 Academic Year</v>
      </c>
      <c r="C381" s="2">
        <v>27</v>
      </c>
      <c r="D381" s="2" t="s">
        <v>1673</v>
      </c>
      <c r="E381" s="10">
        <v>45247</v>
      </c>
      <c r="F381" s="2" t="s">
        <v>69</v>
      </c>
      <c r="G381" s="2" t="s">
        <v>1368</v>
      </c>
      <c r="H381" s="2" t="s">
        <v>6</v>
      </c>
      <c r="J381" s="2" t="s">
        <v>1686</v>
      </c>
      <c r="K381" s="2" t="s">
        <v>1687</v>
      </c>
      <c r="L381" s="2" t="s">
        <v>1688</v>
      </c>
      <c r="M381" s="3">
        <v>1</v>
      </c>
      <c r="N381" s="3">
        <v>1</v>
      </c>
      <c r="P381" s="2" t="s">
        <v>1689</v>
      </c>
    </row>
    <row r="382" spans="1:16" ht="13">
      <c r="A382" s="2" t="s">
        <v>3</v>
      </c>
      <c r="B382" s="2" t="str">
        <f t="shared" si="5"/>
        <v>23-24 Academic Year</v>
      </c>
      <c r="C382" s="2">
        <v>27</v>
      </c>
      <c r="D382" s="2" t="s">
        <v>1673</v>
      </c>
      <c r="E382" s="10">
        <v>45247</v>
      </c>
      <c r="F382" s="2" t="s">
        <v>69</v>
      </c>
      <c r="G382" s="2" t="s">
        <v>1368</v>
      </c>
      <c r="H382" s="2" t="s">
        <v>6</v>
      </c>
      <c r="J382" s="2" t="s">
        <v>1690</v>
      </c>
      <c r="K382" s="2" t="s">
        <v>573</v>
      </c>
      <c r="L382" s="2" t="s">
        <v>1691</v>
      </c>
      <c r="M382" s="3">
        <v>1</v>
      </c>
      <c r="N382" s="3">
        <v>2</v>
      </c>
      <c r="P382" s="2" t="s">
        <v>1692</v>
      </c>
    </row>
    <row r="383" spans="1:16" ht="13">
      <c r="A383" s="2" t="s">
        <v>3</v>
      </c>
      <c r="B383" s="2" t="str">
        <f t="shared" si="5"/>
        <v>23-24 Academic Year</v>
      </c>
      <c r="C383" s="2">
        <v>27</v>
      </c>
      <c r="D383" s="2" t="s">
        <v>1673</v>
      </c>
      <c r="E383" s="10">
        <v>45247</v>
      </c>
      <c r="F383" s="2" t="s">
        <v>69</v>
      </c>
      <c r="G383" s="2" t="s">
        <v>1368</v>
      </c>
      <c r="H383" s="2" t="s">
        <v>6</v>
      </c>
      <c r="J383" s="2" t="s">
        <v>1693</v>
      </c>
      <c r="K383" s="2" t="s">
        <v>402</v>
      </c>
      <c r="L383" s="2" t="s">
        <v>403</v>
      </c>
      <c r="M383" s="3">
        <v>1</v>
      </c>
      <c r="N383" s="3">
        <v>2</v>
      </c>
      <c r="P383" s="2" t="s">
        <v>1694</v>
      </c>
    </row>
    <row r="384" spans="1:16" ht="13">
      <c r="A384" s="2" t="s">
        <v>3</v>
      </c>
      <c r="B384" s="2" t="str">
        <f t="shared" si="5"/>
        <v>23-24 Academic Year</v>
      </c>
      <c r="C384" s="2">
        <v>27</v>
      </c>
      <c r="D384" s="2" t="s">
        <v>1673</v>
      </c>
      <c r="E384" s="10">
        <v>45247</v>
      </c>
      <c r="F384" s="2" t="s">
        <v>69</v>
      </c>
      <c r="G384" s="2" t="s">
        <v>1368</v>
      </c>
      <c r="H384" s="2" t="s">
        <v>6</v>
      </c>
      <c r="J384" s="2" t="s">
        <v>1695</v>
      </c>
      <c r="K384" s="2" t="s">
        <v>1696</v>
      </c>
      <c r="L384" s="2" t="s">
        <v>1697</v>
      </c>
      <c r="M384" s="3">
        <v>1</v>
      </c>
      <c r="N384" s="3">
        <v>2</v>
      </c>
      <c r="P384" s="2" t="s">
        <v>1698</v>
      </c>
    </row>
    <row r="385" spans="1:16" ht="13">
      <c r="A385" s="2" t="s">
        <v>3</v>
      </c>
      <c r="B385" s="2" t="str">
        <f t="shared" si="5"/>
        <v>23-24 Academic Year</v>
      </c>
      <c r="C385" s="2">
        <v>27</v>
      </c>
      <c r="D385" s="2" t="s">
        <v>1673</v>
      </c>
      <c r="E385" s="10">
        <v>45247</v>
      </c>
      <c r="F385" s="2" t="s">
        <v>69</v>
      </c>
      <c r="G385" s="2" t="s">
        <v>1368</v>
      </c>
      <c r="H385" s="2" t="s">
        <v>6</v>
      </c>
      <c r="J385" s="2" t="s">
        <v>1699</v>
      </c>
      <c r="K385" s="2" t="s">
        <v>420</v>
      </c>
      <c r="L385" s="2" t="s">
        <v>1700</v>
      </c>
      <c r="M385" s="3">
        <v>1</v>
      </c>
      <c r="N385" s="3">
        <v>1</v>
      </c>
      <c r="P385" s="2" t="s">
        <v>1701</v>
      </c>
    </row>
    <row r="386" spans="1:16" ht="13">
      <c r="A386" s="2" t="s">
        <v>3</v>
      </c>
      <c r="B386" s="2" t="str">
        <f t="shared" si="5"/>
        <v>23-24 Academic Year</v>
      </c>
      <c r="C386" s="2">
        <v>27</v>
      </c>
      <c r="D386" s="2" t="s">
        <v>1673</v>
      </c>
      <c r="E386" s="10">
        <v>45247</v>
      </c>
      <c r="F386" s="2" t="s">
        <v>69</v>
      </c>
      <c r="G386" s="2" t="s">
        <v>1368</v>
      </c>
      <c r="H386" s="2" t="s">
        <v>6</v>
      </c>
      <c r="J386" s="2" t="s">
        <v>1702</v>
      </c>
      <c r="K386" s="2" t="s">
        <v>1703</v>
      </c>
      <c r="L386" s="2" t="s">
        <v>1704</v>
      </c>
      <c r="M386" s="3">
        <v>1</v>
      </c>
      <c r="N386" s="3">
        <v>2</v>
      </c>
      <c r="P386" s="2" t="s">
        <v>1705</v>
      </c>
    </row>
    <row r="387" spans="1:16" ht="13">
      <c r="A387" s="2" t="s">
        <v>3</v>
      </c>
      <c r="B387" s="2" t="str">
        <f t="shared" ref="B387:B450" si="6">RIGHT(TEXT(IF(LEFT(A387,4)="Fall",VALUE(RIGHT(A387,4)),VALUE(RIGHT(A387,4))-1),"00"),2)
 &amp; "-" &amp;
 RIGHT(TEXT(IF(LEFT(A387,4)="Fall",VALUE(RIGHT(A387,4))+1,VALUE(RIGHT(A387,4))),"00"),2)
 &amp; " Academic Year"</f>
        <v>23-24 Academic Year</v>
      </c>
      <c r="C387" s="2">
        <v>27</v>
      </c>
      <c r="D387" s="2" t="s">
        <v>1673</v>
      </c>
      <c r="E387" s="10">
        <v>45247</v>
      </c>
      <c r="F387" s="2" t="s">
        <v>69</v>
      </c>
      <c r="G387" s="2" t="s">
        <v>1368</v>
      </c>
      <c r="H387" s="2" t="s">
        <v>6</v>
      </c>
      <c r="J387" s="2" t="s">
        <v>1706</v>
      </c>
      <c r="K387" s="2" t="s">
        <v>1103</v>
      </c>
      <c r="L387" s="2" t="s">
        <v>1104</v>
      </c>
      <c r="M387" s="3">
        <v>1</v>
      </c>
      <c r="N387" s="3">
        <v>2</v>
      </c>
      <c r="P387" s="2" t="s">
        <v>1707</v>
      </c>
    </row>
    <row r="388" spans="1:16" ht="13">
      <c r="A388" s="2" t="s">
        <v>3</v>
      </c>
      <c r="B388" s="2" t="str">
        <f t="shared" si="6"/>
        <v>23-24 Academic Year</v>
      </c>
      <c r="C388" s="2">
        <v>28</v>
      </c>
      <c r="D388" s="2" t="s">
        <v>633</v>
      </c>
      <c r="E388" s="10">
        <v>45247</v>
      </c>
      <c r="F388" s="2" t="s">
        <v>69</v>
      </c>
      <c r="G388" s="2" t="s">
        <v>1708</v>
      </c>
      <c r="H388" s="2" t="s">
        <v>6</v>
      </c>
      <c r="I388" s="2" t="s">
        <v>634</v>
      </c>
      <c r="J388" s="2" t="s">
        <v>1709</v>
      </c>
      <c r="K388" s="2" t="s">
        <v>1710</v>
      </c>
      <c r="L388" s="2" t="s">
        <v>1711</v>
      </c>
      <c r="M388" s="3">
        <v>2</v>
      </c>
      <c r="N388" s="3">
        <v>1</v>
      </c>
      <c r="P388" s="2" t="s">
        <v>1712</v>
      </c>
    </row>
    <row r="389" spans="1:16" ht="13">
      <c r="A389" s="2" t="s">
        <v>3</v>
      </c>
      <c r="B389" s="2" t="str">
        <f t="shared" si="6"/>
        <v>23-24 Academic Year</v>
      </c>
      <c r="C389" s="2">
        <v>28</v>
      </c>
      <c r="D389" s="2" t="s">
        <v>633</v>
      </c>
      <c r="E389" s="10">
        <v>45247</v>
      </c>
      <c r="F389" s="2" t="s">
        <v>69</v>
      </c>
      <c r="G389" s="2" t="s">
        <v>1708</v>
      </c>
      <c r="H389" s="2" t="s">
        <v>6</v>
      </c>
      <c r="I389" s="2" t="s">
        <v>634</v>
      </c>
      <c r="J389" s="2" t="s">
        <v>1713</v>
      </c>
      <c r="K389" s="2" t="s">
        <v>1714</v>
      </c>
      <c r="L389" s="2" t="s">
        <v>1715</v>
      </c>
      <c r="M389" s="3">
        <v>2</v>
      </c>
      <c r="N389" s="3">
        <v>1</v>
      </c>
      <c r="P389" s="2" t="s">
        <v>1716</v>
      </c>
    </row>
    <row r="390" spans="1:16" ht="13">
      <c r="A390" s="2" t="s">
        <v>3</v>
      </c>
      <c r="B390" s="2" t="str">
        <f t="shared" si="6"/>
        <v>23-24 Academic Year</v>
      </c>
      <c r="C390" s="2">
        <v>28</v>
      </c>
      <c r="D390" s="2" t="s">
        <v>633</v>
      </c>
      <c r="E390" s="10">
        <v>45247</v>
      </c>
      <c r="F390" s="2" t="s">
        <v>69</v>
      </c>
      <c r="G390" s="2" t="s">
        <v>1708</v>
      </c>
      <c r="H390" s="2" t="s">
        <v>6</v>
      </c>
      <c r="I390" s="2" t="s">
        <v>634</v>
      </c>
      <c r="J390" s="2" t="s">
        <v>1717</v>
      </c>
      <c r="K390" s="2" t="s">
        <v>1718</v>
      </c>
      <c r="L390" s="2" t="s">
        <v>1719</v>
      </c>
      <c r="M390" s="3">
        <v>4</v>
      </c>
      <c r="N390" s="3">
        <v>2</v>
      </c>
      <c r="P390" s="2" t="s">
        <v>1720</v>
      </c>
    </row>
    <row r="391" spans="1:16" ht="13">
      <c r="A391" s="2" t="s">
        <v>3</v>
      </c>
      <c r="B391" s="2" t="str">
        <f t="shared" si="6"/>
        <v>23-24 Academic Year</v>
      </c>
      <c r="C391" s="2">
        <v>28</v>
      </c>
      <c r="D391" s="2" t="s">
        <v>633</v>
      </c>
      <c r="E391" s="10">
        <v>45247</v>
      </c>
      <c r="F391" s="2" t="s">
        <v>69</v>
      </c>
      <c r="G391" s="2" t="s">
        <v>1708</v>
      </c>
      <c r="H391" s="2" t="s">
        <v>6</v>
      </c>
      <c r="I391" s="2" t="s">
        <v>634</v>
      </c>
      <c r="J391" s="2" t="s">
        <v>1721</v>
      </c>
      <c r="K391" s="2" t="s">
        <v>1722</v>
      </c>
      <c r="L391" s="2" t="s">
        <v>1723</v>
      </c>
      <c r="M391" s="3">
        <v>4</v>
      </c>
      <c r="N391" s="3">
        <v>1</v>
      </c>
      <c r="P391" s="2" t="s">
        <v>1724</v>
      </c>
    </row>
    <row r="392" spans="1:16" ht="13">
      <c r="A392" s="2" t="s">
        <v>3</v>
      </c>
      <c r="B392" s="2" t="str">
        <f t="shared" si="6"/>
        <v>23-24 Academic Year</v>
      </c>
      <c r="C392" s="2">
        <v>28</v>
      </c>
      <c r="D392" s="2" t="s">
        <v>633</v>
      </c>
      <c r="E392" s="10">
        <v>45247</v>
      </c>
      <c r="F392" s="2" t="s">
        <v>69</v>
      </c>
      <c r="G392" s="2" t="s">
        <v>1708</v>
      </c>
      <c r="H392" s="2" t="s">
        <v>6</v>
      </c>
      <c r="I392" s="2" t="s">
        <v>634</v>
      </c>
      <c r="J392" s="2" t="s">
        <v>1725</v>
      </c>
      <c r="K392" s="2" t="s">
        <v>1550</v>
      </c>
      <c r="L392" s="2" t="s">
        <v>1551</v>
      </c>
      <c r="M392" s="3">
        <v>4</v>
      </c>
      <c r="N392" s="3">
        <v>1</v>
      </c>
      <c r="P392" s="2" t="s">
        <v>1726</v>
      </c>
    </row>
    <row r="393" spans="1:16" ht="13">
      <c r="A393" s="2" t="s">
        <v>3</v>
      </c>
      <c r="B393" s="2" t="str">
        <f t="shared" si="6"/>
        <v>23-24 Academic Year</v>
      </c>
      <c r="C393" s="2">
        <v>29</v>
      </c>
      <c r="D393" s="2" t="s">
        <v>1727</v>
      </c>
      <c r="E393" s="10">
        <v>45248</v>
      </c>
      <c r="F393" s="2" t="s">
        <v>69</v>
      </c>
      <c r="G393" s="2" t="s">
        <v>1728</v>
      </c>
      <c r="H393" s="2" t="s">
        <v>6</v>
      </c>
      <c r="I393" s="2" t="s">
        <v>827</v>
      </c>
      <c r="J393" s="2" t="s">
        <v>229</v>
      </c>
      <c r="K393" s="2" t="s">
        <v>688</v>
      </c>
      <c r="L393" s="2" t="s">
        <v>1729</v>
      </c>
      <c r="M393" s="3">
        <v>1</v>
      </c>
      <c r="N393" s="3">
        <v>2</v>
      </c>
      <c r="P393" s="2" t="s">
        <v>1730</v>
      </c>
    </row>
    <row r="394" spans="1:16" ht="13">
      <c r="A394" s="2" t="s">
        <v>3</v>
      </c>
      <c r="B394" s="2" t="str">
        <f t="shared" si="6"/>
        <v>23-24 Academic Year</v>
      </c>
      <c r="C394" s="2">
        <v>29</v>
      </c>
      <c r="D394" s="2" t="s">
        <v>1727</v>
      </c>
      <c r="E394" s="10">
        <v>45248</v>
      </c>
      <c r="F394" s="2" t="s">
        <v>69</v>
      </c>
      <c r="G394" s="2" t="s">
        <v>1728</v>
      </c>
      <c r="H394" s="2" t="s">
        <v>6</v>
      </c>
      <c r="I394" s="2" t="s">
        <v>827</v>
      </c>
      <c r="J394" s="2" t="s">
        <v>259</v>
      </c>
      <c r="K394" s="2" t="s">
        <v>371</v>
      </c>
      <c r="L394" s="2" t="s">
        <v>372</v>
      </c>
      <c r="M394" s="3">
        <v>1</v>
      </c>
      <c r="N394" s="3">
        <v>2</v>
      </c>
      <c r="P394" s="2" t="s">
        <v>1731</v>
      </c>
    </row>
    <row r="395" spans="1:16" ht="13">
      <c r="A395" s="2" t="s">
        <v>3</v>
      </c>
      <c r="B395" s="2" t="str">
        <f t="shared" si="6"/>
        <v>23-24 Academic Year</v>
      </c>
      <c r="C395" s="2">
        <v>29</v>
      </c>
      <c r="D395" s="2" t="s">
        <v>1727</v>
      </c>
      <c r="E395" s="10">
        <v>45248</v>
      </c>
      <c r="F395" s="2" t="s">
        <v>69</v>
      </c>
      <c r="G395" s="2" t="s">
        <v>1728</v>
      </c>
      <c r="H395" s="2" t="s">
        <v>6</v>
      </c>
      <c r="I395" s="2" t="s">
        <v>827</v>
      </c>
      <c r="J395" s="2" t="s">
        <v>288</v>
      </c>
      <c r="K395" s="2" t="s">
        <v>429</v>
      </c>
      <c r="L395" s="2" t="s">
        <v>1732</v>
      </c>
      <c r="M395" s="3">
        <v>3</v>
      </c>
      <c r="N395" s="3">
        <v>1</v>
      </c>
      <c r="P395" s="2" t="s">
        <v>1733</v>
      </c>
    </row>
    <row r="396" spans="1:16" ht="13">
      <c r="A396" s="2" t="s">
        <v>3</v>
      </c>
      <c r="B396" s="2" t="str">
        <f t="shared" si="6"/>
        <v>23-24 Academic Year</v>
      </c>
      <c r="C396" s="2">
        <v>30</v>
      </c>
      <c r="D396" s="2" t="s">
        <v>1734</v>
      </c>
      <c r="E396" s="10">
        <v>45248</v>
      </c>
      <c r="F396" s="2" t="s">
        <v>69</v>
      </c>
      <c r="G396" s="2" t="s">
        <v>1735</v>
      </c>
      <c r="H396" s="2" t="s">
        <v>6</v>
      </c>
      <c r="I396" s="2" t="s">
        <v>434</v>
      </c>
      <c r="J396" s="2" t="s">
        <v>1736</v>
      </c>
      <c r="K396" s="2" t="s">
        <v>1737</v>
      </c>
      <c r="L396" s="2" t="s">
        <v>1738</v>
      </c>
      <c r="M396" s="3">
        <v>1</v>
      </c>
      <c r="N396" s="3">
        <v>2</v>
      </c>
      <c r="P396" s="2" t="s">
        <v>1739</v>
      </c>
    </row>
    <row r="397" spans="1:16" ht="13">
      <c r="A397" s="2" t="s">
        <v>3</v>
      </c>
      <c r="B397" s="2" t="str">
        <f t="shared" si="6"/>
        <v>23-24 Academic Year</v>
      </c>
      <c r="C397" s="2">
        <v>30</v>
      </c>
      <c r="D397" s="2" t="s">
        <v>1734</v>
      </c>
      <c r="E397" s="10">
        <v>45248</v>
      </c>
      <c r="F397" s="2" t="s">
        <v>69</v>
      </c>
      <c r="G397" s="2" t="s">
        <v>1735</v>
      </c>
      <c r="H397" s="2" t="s">
        <v>6</v>
      </c>
      <c r="I397" s="2" t="s">
        <v>434</v>
      </c>
      <c r="J397" s="2" t="s">
        <v>1740</v>
      </c>
      <c r="K397" s="2" t="s">
        <v>371</v>
      </c>
      <c r="L397" s="2" t="s">
        <v>372</v>
      </c>
      <c r="M397" s="3">
        <v>1</v>
      </c>
      <c r="N397" s="3">
        <v>2</v>
      </c>
      <c r="P397" s="2" t="s">
        <v>1741</v>
      </c>
    </row>
    <row r="398" spans="1:16" ht="13">
      <c r="A398" s="2" t="s">
        <v>3</v>
      </c>
      <c r="B398" s="2" t="str">
        <f t="shared" si="6"/>
        <v>23-24 Academic Year</v>
      </c>
      <c r="C398" s="2">
        <v>30</v>
      </c>
      <c r="D398" s="2" t="s">
        <v>1734</v>
      </c>
      <c r="E398" s="10">
        <v>45248</v>
      </c>
      <c r="F398" s="2" t="s">
        <v>69</v>
      </c>
      <c r="G398" s="2" t="s">
        <v>1735</v>
      </c>
      <c r="H398" s="2" t="s">
        <v>6</v>
      </c>
      <c r="I398" s="2" t="s">
        <v>434</v>
      </c>
      <c r="J398" s="2" t="s">
        <v>1742</v>
      </c>
      <c r="K398" s="2" t="s">
        <v>1639</v>
      </c>
      <c r="L398" s="2" t="s">
        <v>1640</v>
      </c>
      <c r="M398" s="3">
        <v>2</v>
      </c>
      <c r="N398" s="3">
        <v>1</v>
      </c>
      <c r="P398" s="2" t="s">
        <v>1743</v>
      </c>
    </row>
    <row r="399" spans="1:16" ht="13">
      <c r="A399" s="2" t="s">
        <v>3</v>
      </c>
      <c r="B399" s="2" t="str">
        <f t="shared" si="6"/>
        <v>23-24 Academic Year</v>
      </c>
      <c r="C399" s="2">
        <v>30</v>
      </c>
      <c r="D399" s="2" t="s">
        <v>1734</v>
      </c>
      <c r="E399" s="10">
        <v>45248</v>
      </c>
      <c r="F399" s="2" t="s">
        <v>69</v>
      </c>
      <c r="G399" s="2" t="s">
        <v>1735</v>
      </c>
      <c r="H399" s="2" t="s">
        <v>6</v>
      </c>
      <c r="I399" s="2" t="s">
        <v>434</v>
      </c>
      <c r="J399" s="2" t="s">
        <v>1744</v>
      </c>
      <c r="K399" s="2" t="s">
        <v>847</v>
      </c>
      <c r="L399" s="2" t="s">
        <v>1745</v>
      </c>
      <c r="M399" s="3">
        <v>1</v>
      </c>
      <c r="N399" s="3">
        <v>2</v>
      </c>
      <c r="P399" s="2" t="s">
        <v>1746</v>
      </c>
    </row>
    <row r="400" spans="1:16" ht="13">
      <c r="A400" s="2" t="s">
        <v>3</v>
      </c>
      <c r="B400" s="2" t="str">
        <f t="shared" si="6"/>
        <v>23-24 Academic Year</v>
      </c>
      <c r="C400" s="2">
        <v>30</v>
      </c>
      <c r="D400" s="2" t="s">
        <v>1734</v>
      </c>
      <c r="E400" s="10">
        <v>45248</v>
      </c>
      <c r="F400" s="2" t="s">
        <v>69</v>
      </c>
      <c r="G400" s="2" t="s">
        <v>1735</v>
      </c>
      <c r="H400" s="2" t="s">
        <v>6</v>
      </c>
      <c r="I400" s="2" t="s">
        <v>434</v>
      </c>
      <c r="J400" s="2" t="s">
        <v>1747</v>
      </c>
      <c r="K400" s="2" t="s">
        <v>402</v>
      </c>
      <c r="L400" s="2" t="s">
        <v>403</v>
      </c>
      <c r="M400" s="3">
        <v>1</v>
      </c>
      <c r="N400" s="3">
        <v>2</v>
      </c>
      <c r="P400" s="2" t="s">
        <v>1748</v>
      </c>
    </row>
    <row r="401" spans="1:16" ht="13">
      <c r="A401" s="2" t="s">
        <v>3</v>
      </c>
      <c r="B401" s="2" t="str">
        <f t="shared" si="6"/>
        <v>23-24 Academic Year</v>
      </c>
      <c r="C401" s="2">
        <v>31</v>
      </c>
      <c r="D401" s="2" t="s">
        <v>1749</v>
      </c>
      <c r="E401" s="10">
        <v>45248</v>
      </c>
      <c r="F401" s="2" t="s">
        <v>69</v>
      </c>
      <c r="G401" s="2" t="s">
        <v>1750</v>
      </c>
      <c r="H401" s="2" t="s">
        <v>6</v>
      </c>
      <c r="I401" s="2" t="s">
        <v>634</v>
      </c>
      <c r="J401" s="2" t="s">
        <v>1751</v>
      </c>
      <c r="K401" s="2" t="s">
        <v>195</v>
      </c>
      <c r="L401" s="2" t="s">
        <v>1752</v>
      </c>
      <c r="M401" s="3">
        <v>2</v>
      </c>
      <c r="N401" s="3">
        <v>2</v>
      </c>
      <c r="P401" s="2" t="s">
        <v>1753</v>
      </c>
    </row>
    <row r="402" spans="1:16" ht="13">
      <c r="A402" s="2" t="s">
        <v>3</v>
      </c>
      <c r="B402" s="2" t="str">
        <f t="shared" si="6"/>
        <v>23-24 Academic Year</v>
      </c>
      <c r="C402" s="2">
        <v>31</v>
      </c>
      <c r="D402" s="2" t="s">
        <v>1749</v>
      </c>
      <c r="E402" s="10">
        <v>45248</v>
      </c>
      <c r="F402" s="2" t="s">
        <v>69</v>
      </c>
      <c r="G402" s="2" t="s">
        <v>1750</v>
      </c>
      <c r="H402" s="2" t="s">
        <v>6</v>
      </c>
      <c r="I402" s="2" t="s">
        <v>634</v>
      </c>
      <c r="J402" s="2" t="s">
        <v>1754</v>
      </c>
      <c r="K402" s="2" t="s">
        <v>431</v>
      </c>
      <c r="L402" s="2" t="s">
        <v>1360</v>
      </c>
      <c r="M402" s="3">
        <v>1</v>
      </c>
      <c r="N402" s="3">
        <v>2</v>
      </c>
      <c r="P402" s="2" t="s">
        <v>1755</v>
      </c>
    </row>
    <row r="403" spans="1:16" ht="13">
      <c r="A403" s="2" t="s">
        <v>3</v>
      </c>
      <c r="B403" s="2" t="str">
        <f t="shared" si="6"/>
        <v>23-24 Academic Year</v>
      </c>
      <c r="C403" s="2">
        <v>31</v>
      </c>
      <c r="D403" s="2" t="s">
        <v>1749</v>
      </c>
      <c r="E403" s="10">
        <v>45248</v>
      </c>
      <c r="F403" s="2" t="s">
        <v>69</v>
      </c>
      <c r="G403" s="2" t="s">
        <v>1750</v>
      </c>
      <c r="H403" s="2" t="s">
        <v>6</v>
      </c>
      <c r="I403" s="2" t="s">
        <v>634</v>
      </c>
      <c r="J403" s="2" t="s">
        <v>1756</v>
      </c>
      <c r="K403" s="2" t="s">
        <v>136</v>
      </c>
      <c r="L403" s="2" t="s">
        <v>1508</v>
      </c>
      <c r="M403" s="3">
        <v>1</v>
      </c>
      <c r="N403" s="3">
        <v>2</v>
      </c>
      <c r="P403" s="2" t="s">
        <v>1757</v>
      </c>
    </row>
    <row r="404" spans="1:16" ht="13">
      <c r="A404" s="2" t="s">
        <v>3</v>
      </c>
      <c r="B404" s="2" t="str">
        <f t="shared" si="6"/>
        <v>23-24 Academic Year</v>
      </c>
      <c r="C404" s="2">
        <v>32</v>
      </c>
      <c r="D404" s="2" t="s">
        <v>1758</v>
      </c>
      <c r="E404" s="10">
        <v>45250</v>
      </c>
      <c r="F404" s="2" t="s">
        <v>1237</v>
      </c>
      <c r="G404" s="2" t="s">
        <v>1759</v>
      </c>
      <c r="H404" s="2" t="s">
        <v>6</v>
      </c>
      <c r="I404" s="2" t="s">
        <v>1760</v>
      </c>
      <c r="J404" s="2" t="s">
        <v>1761</v>
      </c>
      <c r="K404" s="2" t="s">
        <v>1762</v>
      </c>
      <c r="L404" s="2" t="s">
        <v>1582</v>
      </c>
      <c r="M404" s="3"/>
      <c r="N404" s="3"/>
      <c r="P404" s="2" t="s">
        <v>1763</v>
      </c>
    </row>
    <row r="405" spans="1:16" ht="13">
      <c r="A405" s="2" t="s">
        <v>3</v>
      </c>
      <c r="B405" s="2" t="str">
        <f t="shared" si="6"/>
        <v>23-24 Academic Year</v>
      </c>
      <c r="C405" s="2">
        <v>33</v>
      </c>
      <c r="D405" s="2" t="s">
        <v>191</v>
      </c>
      <c r="E405" s="10">
        <v>45250</v>
      </c>
      <c r="F405" s="2" t="s">
        <v>69</v>
      </c>
      <c r="G405" s="2" t="s">
        <v>1764</v>
      </c>
      <c r="H405" s="2" t="s">
        <v>8</v>
      </c>
      <c r="I405" s="2" t="s">
        <v>8</v>
      </c>
      <c r="J405" s="2" t="s">
        <v>1765</v>
      </c>
      <c r="K405" s="2" t="s">
        <v>712</v>
      </c>
      <c r="L405" s="2" t="s">
        <v>1766</v>
      </c>
      <c r="M405" s="3">
        <v>1</v>
      </c>
      <c r="N405" s="3">
        <v>1</v>
      </c>
      <c r="P405" s="2" t="s">
        <v>1767</v>
      </c>
    </row>
    <row r="406" spans="1:16" ht="13">
      <c r="A406" s="2" t="s">
        <v>3</v>
      </c>
      <c r="B406" s="2" t="str">
        <f t="shared" si="6"/>
        <v>23-24 Academic Year</v>
      </c>
      <c r="C406" s="2">
        <v>33</v>
      </c>
      <c r="D406" s="2" t="s">
        <v>191</v>
      </c>
      <c r="E406" s="10">
        <v>45250</v>
      </c>
      <c r="F406" s="2" t="s">
        <v>69</v>
      </c>
      <c r="G406" s="2" t="s">
        <v>1764</v>
      </c>
      <c r="H406" s="2" t="s">
        <v>8</v>
      </c>
      <c r="I406" s="2" t="s">
        <v>8</v>
      </c>
      <c r="J406" s="2" t="s">
        <v>1768</v>
      </c>
      <c r="K406" s="2" t="s">
        <v>1371</v>
      </c>
      <c r="L406" s="2" t="s">
        <v>1372</v>
      </c>
      <c r="M406" s="3">
        <v>1</v>
      </c>
      <c r="N406" s="3">
        <v>2</v>
      </c>
      <c r="P406" s="2" t="s">
        <v>1769</v>
      </c>
    </row>
    <row r="407" spans="1:16" ht="13">
      <c r="A407" s="2" t="s">
        <v>3</v>
      </c>
      <c r="B407" s="2" t="str">
        <f t="shared" si="6"/>
        <v>23-24 Academic Year</v>
      </c>
      <c r="C407" s="2">
        <v>33</v>
      </c>
      <c r="D407" s="2" t="s">
        <v>191</v>
      </c>
      <c r="E407" s="10">
        <v>45250</v>
      </c>
      <c r="F407" s="2" t="s">
        <v>69</v>
      </c>
      <c r="G407" s="2" t="s">
        <v>1764</v>
      </c>
      <c r="H407" s="2" t="s">
        <v>8</v>
      </c>
      <c r="I407" s="2" t="s">
        <v>8</v>
      </c>
      <c r="J407" s="2" t="s">
        <v>1770</v>
      </c>
      <c r="K407" s="2" t="s">
        <v>1387</v>
      </c>
      <c r="L407" s="2" t="s">
        <v>1388</v>
      </c>
      <c r="M407" s="3">
        <v>2</v>
      </c>
      <c r="N407" s="3">
        <v>1</v>
      </c>
      <c r="P407" s="2" t="s">
        <v>1389</v>
      </c>
    </row>
    <row r="408" spans="1:16" ht="13">
      <c r="A408" s="2" t="s">
        <v>3</v>
      </c>
      <c r="B408" s="2" t="str">
        <f t="shared" si="6"/>
        <v>23-24 Academic Year</v>
      </c>
      <c r="C408" s="2">
        <v>33</v>
      </c>
      <c r="D408" s="2" t="s">
        <v>191</v>
      </c>
      <c r="E408" s="10">
        <v>45250</v>
      </c>
      <c r="F408" s="2" t="s">
        <v>69</v>
      </c>
      <c r="G408" s="2" t="s">
        <v>1764</v>
      </c>
      <c r="H408" s="2" t="s">
        <v>8</v>
      </c>
      <c r="I408" s="2" t="s">
        <v>8</v>
      </c>
      <c r="J408" s="2" t="s">
        <v>1771</v>
      </c>
      <c r="K408" s="2" t="s">
        <v>1772</v>
      </c>
      <c r="L408" s="2" t="s">
        <v>1773</v>
      </c>
      <c r="M408" s="3">
        <v>1</v>
      </c>
      <c r="N408" s="3">
        <v>2</v>
      </c>
      <c r="P408" s="2" t="s">
        <v>1774</v>
      </c>
    </row>
    <row r="409" spans="1:16" ht="13">
      <c r="A409" s="2" t="s">
        <v>3</v>
      </c>
      <c r="B409" s="2" t="str">
        <f t="shared" si="6"/>
        <v>23-24 Academic Year</v>
      </c>
      <c r="C409" s="2">
        <v>34</v>
      </c>
      <c r="D409" s="2" t="s">
        <v>1775</v>
      </c>
      <c r="E409" s="10">
        <v>45251</v>
      </c>
      <c r="F409" s="2" t="s">
        <v>69</v>
      </c>
      <c r="G409" s="2" t="s">
        <v>1776</v>
      </c>
      <c r="H409" s="2" t="s">
        <v>6</v>
      </c>
      <c r="I409" s="2" t="s">
        <v>1028</v>
      </c>
      <c r="J409" s="2" t="s">
        <v>1777</v>
      </c>
      <c r="K409" s="2" t="s">
        <v>1037</v>
      </c>
      <c r="L409" s="2" t="s">
        <v>1778</v>
      </c>
      <c r="M409" s="3">
        <v>1</v>
      </c>
      <c r="N409" s="3">
        <v>2</v>
      </c>
      <c r="P409" s="2" t="s">
        <v>1779</v>
      </c>
    </row>
    <row r="410" spans="1:16" ht="13">
      <c r="A410" s="2" t="s">
        <v>3</v>
      </c>
      <c r="B410" s="2" t="str">
        <f t="shared" si="6"/>
        <v>23-24 Academic Year</v>
      </c>
      <c r="C410" s="2">
        <v>34</v>
      </c>
      <c r="D410" s="2" t="s">
        <v>1775</v>
      </c>
      <c r="E410" s="10">
        <v>45251</v>
      </c>
      <c r="F410" s="2" t="s">
        <v>69</v>
      </c>
      <c r="G410" s="2" t="s">
        <v>1776</v>
      </c>
      <c r="H410" s="2" t="s">
        <v>6</v>
      </c>
      <c r="I410" s="2" t="s">
        <v>1028</v>
      </c>
      <c r="J410" s="2" t="s">
        <v>1780</v>
      </c>
      <c r="K410" s="2" t="s">
        <v>52</v>
      </c>
      <c r="L410" s="2" t="s">
        <v>1781</v>
      </c>
      <c r="M410" s="3">
        <v>3</v>
      </c>
      <c r="N410" s="3">
        <v>1</v>
      </c>
      <c r="P410" s="2" t="s">
        <v>1782</v>
      </c>
    </row>
    <row r="411" spans="1:16" ht="13">
      <c r="A411" s="2" t="s">
        <v>3</v>
      </c>
      <c r="B411" s="2" t="str">
        <f t="shared" si="6"/>
        <v>23-24 Academic Year</v>
      </c>
      <c r="C411" s="2">
        <v>34</v>
      </c>
      <c r="D411" s="2" t="s">
        <v>1775</v>
      </c>
      <c r="E411" s="10">
        <v>45251</v>
      </c>
      <c r="F411" s="2" t="s">
        <v>69</v>
      </c>
      <c r="G411" s="2" t="s">
        <v>1776</v>
      </c>
      <c r="H411" s="2" t="s">
        <v>6</v>
      </c>
      <c r="I411" s="2" t="s">
        <v>1028</v>
      </c>
      <c r="J411" s="2" t="s">
        <v>1783</v>
      </c>
      <c r="K411" s="2" t="s">
        <v>1784</v>
      </c>
      <c r="L411" s="2" t="s">
        <v>1785</v>
      </c>
      <c r="M411" s="3">
        <v>1</v>
      </c>
      <c r="N411" s="3">
        <v>1</v>
      </c>
      <c r="P411" s="2" t="s">
        <v>1786</v>
      </c>
    </row>
    <row r="412" spans="1:16" ht="13">
      <c r="A412" s="2" t="s">
        <v>3</v>
      </c>
      <c r="B412" s="2" t="str">
        <f t="shared" si="6"/>
        <v>23-24 Academic Year</v>
      </c>
      <c r="C412" s="2">
        <v>34</v>
      </c>
      <c r="D412" s="2" t="s">
        <v>1775</v>
      </c>
      <c r="E412" s="10">
        <v>45251</v>
      </c>
      <c r="F412" s="2" t="s">
        <v>69</v>
      </c>
      <c r="G412" s="2" t="s">
        <v>1776</v>
      </c>
      <c r="H412" s="2" t="s">
        <v>6</v>
      </c>
      <c r="I412" s="2" t="s">
        <v>1028</v>
      </c>
      <c r="J412" s="2" t="s">
        <v>1787</v>
      </c>
      <c r="K412" s="2" t="s">
        <v>1167</v>
      </c>
      <c r="L412" s="2" t="s">
        <v>1788</v>
      </c>
      <c r="M412" s="3">
        <v>1</v>
      </c>
      <c r="N412" s="3">
        <v>2</v>
      </c>
      <c r="P412" s="2" t="s">
        <v>1789</v>
      </c>
    </row>
    <row r="413" spans="1:16" ht="13">
      <c r="A413" s="2" t="s">
        <v>3</v>
      </c>
      <c r="B413" s="2" t="str">
        <f t="shared" si="6"/>
        <v>23-24 Academic Year</v>
      </c>
      <c r="C413" s="2">
        <v>34</v>
      </c>
      <c r="D413" s="2" t="s">
        <v>1775</v>
      </c>
      <c r="E413" s="10">
        <v>45251</v>
      </c>
      <c r="F413" s="2" t="s">
        <v>69</v>
      </c>
      <c r="G413" s="2" t="s">
        <v>1776</v>
      </c>
      <c r="H413" s="2" t="s">
        <v>6</v>
      </c>
      <c r="I413" s="2" t="s">
        <v>1028</v>
      </c>
      <c r="J413" s="2" t="s">
        <v>1790</v>
      </c>
      <c r="K413" s="2" t="s">
        <v>85</v>
      </c>
      <c r="L413" s="2" t="s">
        <v>1385</v>
      </c>
      <c r="M413" s="3">
        <v>4</v>
      </c>
      <c r="N413" s="3">
        <v>1</v>
      </c>
      <c r="P413" s="2" t="s">
        <v>1386</v>
      </c>
    </row>
    <row r="414" spans="1:16" ht="13">
      <c r="A414" s="2" t="s">
        <v>3</v>
      </c>
      <c r="B414" s="2" t="str">
        <f t="shared" si="6"/>
        <v>23-24 Academic Year</v>
      </c>
      <c r="C414" s="2">
        <v>35</v>
      </c>
      <c r="D414" s="2" t="s">
        <v>191</v>
      </c>
      <c r="E414" s="10">
        <v>45257</v>
      </c>
      <c r="F414" s="2" t="s">
        <v>69</v>
      </c>
      <c r="G414" s="2" t="s">
        <v>1791</v>
      </c>
      <c r="H414" s="2" t="s">
        <v>8</v>
      </c>
      <c r="I414" s="2" t="s">
        <v>8</v>
      </c>
      <c r="J414" s="2" t="s">
        <v>1792</v>
      </c>
      <c r="K414" s="2" t="s">
        <v>1793</v>
      </c>
      <c r="L414" s="2" t="s">
        <v>1794</v>
      </c>
      <c r="M414" s="3">
        <v>2</v>
      </c>
      <c r="N414" s="3">
        <v>1</v>
      </c>
      <c r="P414" s="2" t="s">
        <v>1795</v>
      </c>
    </row>
    <row r="415" spans="1:16" ht="13">
      <c r="A415" s="2" t="s">
        <v>3</v>
      </c>
      <c r="B415" s="2" t="str">
        <f t="shared" si="6"/>
        <v>23-24 Academic Year</v>
      </c>
      <c r="C415" s="2">
        <v>35</v>
      </c>
      <c r="D415" s="2" t="s">
        <v>191</v>
      </c>
      <c r="E415" s="10">
        <v>45257</v>
      </c>
      <c r="F415" s="2" t="s">
        <v>69</v>
      </c>
      <c r="G415" s="2" t="s">
        <v>1791</v>
      </c>
      <c r="H415" s="2" t="s">
        <v>8</v>
      </c>
      <c r="I415" s="2" t="s">
        <v>8</v>
      </c>
      <c r="J415" s="2" t="s">
        <v>1796</v>
      </c>
      <c r="K415" s="2" t="s">
        <v>1797</v>
      </c>
      <c r="L415" s="2" t="s">
        <v>1798</v>
      </c>
      <c r="M415" s="3">
        <v>1</v>
      </c>
      <c r="N415" s="3">
        <v>1</v>
      </c>
      <c r="P415" s="2" t="s">
        <v>1799</v>
      </c>
    </row>
    <row r="416" spans="1:16" ht="13">
      <c r="A416" s="2" t="s">
        <v>3</v>
      </c>
      <c r="B416" s="2" t="str">
        <f t="shared" si="6"/>
        <v>23-24 Academic Year</v>
      </c>
      <c r="C416" s="2">
        <v>35</v>
      </c>
      <c r="D416" s="2" t="s">
        <v>191</v>
      </c>
      <c r="E416" s="10">
        <v>45257</v>
      </c>
      <c r="F416" s="2" t="s">
        <v>69</v>
      </c>
      <c r="G416" s="2" t="s">
        <v>1791</v>
      </c>
      <c r="H416" s="2" t="s">
        <v>8</v>
      </c>
      <c r="I416" s="2" t="s">
        <v>8</v>
      </c>
      <c r="J416" s="2" t="s">
        <v>1800</v>
      </c>
      <c r="K416" s="2" t="s">
        <v>736</v>
      </c>
      <c r="L416" s="2" t="s">
        <v>737</v>
      </c>
      <c r="M416" s="3">
        <v>1</v>
      </c>
      <c r="N416" s="3">
        <v>2</v>
      </c>
      <c r="P416" s="2" t="s">
        <v>1801</v>
      </c>
    </row>
    <row r="417" spans="1:16" ht="13">
      <c r="A417" s="2" t="s">
        <v>3</v>
      </c>
      <c r="B417" s="2" t="str">
        <f t="shared" si="6"/>
        <v>23-24 Academic Year</v>
      </c>
      <c r="C417" s="2">
        <v>35</v>
      </c>
      <c r="D417" s="2" t="s">
        <v>191</v>
      </c>
      <c r="E417" s="10">
        <v>45257</v>
      </c>
      <c r="F417" s="2" t="s">
        <v>69</v>
      </c>
      <c r="G417" s="2" t="s">
        <v>1791</v>
      </c>
      <c r="H417" s="2" t="s">
        <v>8</v>
      </c>
      <c r="I417" s="2" t="s">
        <v>8</v>
      </c>
      <c r="J417" s="2" t="s">
        <v>1802</v>
      </c>
      <c r="K417" s="2" t="s">
        <v>973</v>
      </c>
      <c r="L417" s="2" t="s">
        <v>1547</v>
      </c>
      <c r="M417" s="3">
        <v>2</v>
      </c>
      <c r="N417" s="3">
        <v>1</v>
      </c>
      <c r="P417" s="2" t="s">
        <v>1803</v>
      </c>
    </row>
    <row r="418" spans="1:16" ht="13">
      <c r="A418" s="2" t="s">
        <v>3</v>
      </c>
      <c r="B418" s="2" t="str">
        <f t="shared" si="6"/>
        <v>23-24 Academic Year</v>
      </c>
      <c r="C418" s="2">
        <v>36</v>
      </c>
      <c r="D418" s="2" t="s">
        <v>1804</v>
      </c>
      <c r="E418" s="10">
        <v>45258</v>
      </c>
      <c r="F418" s="2" t="s">
        <v>69</v>
      </c>
      <c r="G418" s="2" t="s">
        <v>1805</v>
      </c>
      <c r="H418" s="2" t="s">
        <v>7</v>
      </c>
      <c r="I418" s="2" t="s">
        <v>475</v>
      </c>
      <c r="J418" s="2" t="s">
        <v>1806</v>
      </c>
      <c r="K418" s="2" t="s">
        <v>1807</v>
      </c>
      <c r="L418" s="2" t="s">
        <v>1808</v>
      </c>
      <c r="M418" s="3">
        <v>1</v>
      </c>
      <c r="N418" s="3">
        <v>1</v>
      </c>
      <c r="P418" s="2" t="s">
        <v>1809</v>
      </c>
    </row>
    <row r="419" spans="1:16" ht="13">
      <c r="A419" s="2" t="s">
        <v>3</v>
      </c>
      <c r="B419" s="2" t="str">
        <f t="shared" si="6"/>
        <v>23-24 Academic Year</v>
      </c>
      <c r="C419" s="2">
        <v>36</v>
      </c>
      <c r="D419" s="2" t="s">
        <v>1804</v>
      </c>
      <c r="E419" s="10">
        <v>45258</v>
      </c>
      <c r="F419" s="2" t="s">
        <v>69</v>
      </c>
      <c r="G419" s="2" t="s">
        <v>1805</v>
      </c>
      <c r="H419" s="2" t="s">
        <v>7</v>
      </c>
      <c r="I419" s="2" t="s">
        <v>475</v>
      </c>
      <c r="J419" s="2" t="s">
        <v>1810</v>
      </c>
      <c r="K419" s="2" t="s">
        <v>1811</v>
      </c>
      <c r="L419" s="2" t="s">
        <v>1812</v>
      </c>
      <c r="M419" s="3">
        <v>4</v>
      </c>
      <c r="N419" s="3">
        <v>1</v>
      </c>
      <c r="P419" s="2" t="s">
        <v>1813</v>
      </c>
    </row>
    <row r="420" spans="1:16" ht="13">
      <c r="A420" s="2" t="s">
        <v>3</v>
      </c>
      <c r="B420" s="2" t="str">
        <f t="shared" si="6"/>
        <v>23-24 Academic Year</v>
      </c>
      <c r="C420" s="2">
        <v>36</v>
      </c>
      <c r="D420" s="2" t="s">
        <v>1804</v>
      </c>
      <c r="E420" s="10">
        <v>45258</v>
      </c>
      <c r="F420" s="2" t="s">
        <v>69</v>
      </c>
      <c r="G420" s="2" t="s">
        <v>1805</v>
      </c>
      <c r="H420" s="2" t="s">
        <v>7</v>
      </c>
      <c r="I420" s="2" t="s">
        <v>475</v>
      </c>
      <c r="J420" s="2" t="s">
        <v>1814</v>
      </c>
      <c r="K420" s="2" t="s">
        <v>1815</v>
      </c>
      <c r="L420" s="2" t="s">
        <v>1816</v>
      </c>
      <c r="M420" s="3">
        <v>1</v>
      </c>
      <c r="N420" s="3">
        <v>2</v>
      </c>
      <c r="P420" s="2" t="s">
        <v>1817</v>
      </c>
    </row>
    <row r="421" spans="1:16" ht="13">
      <c r="A421" s="2" t="s">
        <v>3</v>
      </c>
      <c r="B421" s="2" t="str">
        <f t="shared" si="6"/>
        <v>23-24 Academic Year</v>
      </c>
      <c r="C421" s="2">
        <v>36</v>
      </c>
      <c r="D421" s="2" t="s">
        <v>1804</v>
      </c>
      <c r="E421" s="10">
        <v>45258</v>
      </c>
      <c r="F421" s="2" t="s">
        <v>69</v>
      </c>
      <c r="G421" s="2" t="s">
        <v>1805</v>
      </c>
      <c r="H421" s="2" t="s">
        <v>7</v>
      </c>
      <c r="I421" s="2" t="s">
        <v>475</v>
      </c>
      <c r="J421" s="2" t="s">
        <v>1818</v>
      </c>
      <c r="K421" s="2" t="s">
        <v>1819</v>
      </c>
      <c r="L421" s="2" t="s">
        <v>1820</v>
      </c>
      <c r="M421" s="3">
        <v>4</v>
      </c>
      <c r="N421" s="3">
        <v>1</v>
      </c>
      <c r="P421" s="2" t="s">
        <v>1821</v>
      </c>
    </row>
    <row r="422" spans="1:16" ht="13">
      <c r="A422" s="2" t="s">
        <v>3</v>
      </c>
      <c r="B422" s="2" t="str">
        <f t="shared" si="6"/>
        <v>23-24 Academic Year</v>
      </c>
      <c r="C422" s="2">
        <v>36</v>
      </c>
      <c r="D422" s="2" t="s">
        <v>1804</v>
      </c>
      <c r="E422" s="10">
        <v>45258</v>
      </c>
      <c r="F422" s="2" t="s">
        <v>69</v>
      </c>
      <c r="G422" s="2" t="s">
        <v>1805</v>
      </c>
      <c r="H422" s="2" t="s">
        <v>7</v>
      </c>
      <c r="I422" s="2" t="s">
        <v>475</v>
      </c>
      <c r="J422" s="2" t="s">
        <v>1822</v>
      </c>
      <c r="K422" s="2" t="s">
        <v>1015</v>
      </c>
      <c r="L422" s="2" t="s">
        <v>1396</v>
      </c>
      <c r="M422" s="3">
        <v>3</v>
      </c>
      <c r="N422" s="3">
        <v>1</v>
      </c>
      <c r="P422" s="2" t="s">
        <v>1519</v>
      </c>
    </row>
    <row r="423" spans="1:16" ht="13">
      <c r="A423" s="2" t="s">
        <v>3</v>
      </c>
      <c r="B423" s="2" t="str">
        <f t="shared" si="6"/>
        <v>23-24 Academic Year</v>
      </c>
      <c r="C423" s="2">
        <v>36</v>
      </c>
      <c r="D423" s="2" t="s">
        <v>1804</v>
      </c>
      <c r="E423" s="10">
        <v>45258</v>
      </c>
      <c r="F423" s="2" t="s">
        <v>69</v>
      </c>
      <c r="G423" s="2" t="s">
        <v>1805</v>
      </c>
      <c r="H423" s="2" t="s">
        <v>7</v>
      </c>
      <c r="I423" s="2" t="s">
        <v>475</v>
      </c>
      <c r="J423" s="2" t="s">
        <v>1823</v>
      </c>
      <c r="K423" s="2" t="s">
        <v>1824</v>
      </c>
      <c r="L423" s="2" t="s">
        <v>1825</v>
      </c>
      <c r="M423" s="3">
        <v>3</v>
      </c>
      <c r="N423" s="3">
        <v>1</v>
      </c>
      <c r="P423" s="2" t="s">
        <v>1826</v>
      </c>
    </row>
    <row r="424" spans="1:16" ht="13">
      <c r="A424" s="2" t="s">
        <v>3</v>
      </c>
      <c r="B424" s="2" t="str">
        <f t="shared" si="6"/>
        <v>23-24 Academic Year</v>
      </c>
      <c r="C424" s="2">
        <v>36</v>
      </c>
      <c r="D424" s="2" t="s">
        <v>1804</v>
      </c>
      <c r="E424" s="10">
        <v>45258</v>
      </c>
      <c r="F424" s="2" t="s">
        <v>69</v>
      </c>
      <c r="G424" s="2" t="s">
        <v>1805</v>
      </c>
      <c r="H424" s="2" t="s">
        <v>7</v>
      </c>
      <c r="I424" s="2" t="s">
        <v>475</v>
      </c>
      <c r="J424" s="2" t="s">
        <v>1827</v>
      </c>
      <c r="K424" s="2" t="s">
        <v>1828</v>
      </c>
      <c r="L424" s="2" t="s">
        <v>1829</v>
      </c>
      <c r="M424" s="3">
        <v>3</v>
      </c>
      <c r="N424" s="3">
        <v>2</v>
      </c>
      <c r="P424" s="2" t="s">
        <v>1830</v>
      </c>
    </row>
    <row r="425" spans="1:16" ht="13">
      <c r="A425" s="2" t="s">
        <v>3</v>
      </c>
      <c r="B425" s="2" t="str">
        <f t="shared" si="6"/>
        <v>23-24 Academic Year</v>
      </c>
      <c r="C425" s="2">
        <v>37</v>
      </c>
      <c r="D425" s="2" t="s">
        <v>1831</v>
      </c>
      <c r="E425" s="10">
        <v>45259</v>
      </c>
      <c r="F425" s="2" t="s">
        <v>20</v>
      </c>
      <c r="G425" s="2" t="s">
        <v>1832</v>
      </c>
      <c r="H425" s="2" t="s">
        <v>6</v>
      </c>
      <c r="I425" s="2" t="s">
        <v>913</v>
      </c>
      <c r="J425" s="2" t="s">
        <v>1833</v>
      </c>
      <c r="K425" s="2" t="s">
        <v>1834</v>
      </c>
      <c r="L425" s="2" t="s">
        <v>1835</v>
      </c>
      <c r="M425" s="3">
        <v>3</v>
      </c>
      <c r="N425" s="3">
        <v>2</v>
      </c>
      <c r="P425" s="2" t="s">
        <v>1836</v>
      </c>
    </row>
    <row r="426" spans="1:16" ht="13">
      <c r="A426" s="2" t="s">
        <v>3</v>
      </c>
      <c r="B426" s="2" t="str">
        <f t="shared" si="6"/>
        <v>23-24 Academic Year</v>
      </c>
      <c r="C426" s="2">
        <v>37</v>
      </c>
      <c r="D426" s="2" t="s">
        <v>1831</v>
      </c>
      <c r="E426" s="10">
        <v>45259</v>
      </c>
      <c r="F426" s="2" t="s">
        <v>69</v>
      </c>
      <c r="G426" s="2" t="s">
        <v>1832</v>
      </c>
      <c r="H426" s="2" t="s">
        <v>6</v>
      </c>
      <c r="I426" s="2" t="s">
        <v>913</v>
      </c>
      <c r="J426" s="2" t="s">
        <v>1837</v>
      </c>
      <c r="K426" s="2" t="s">
        <v>1793</v>
      </c>
      <c r="L426" s="2" t="s">
        <v>1794</v>
      </c>
      <c r="M426" s="3">
        <v>2</v>
      </c>
      <c r="N426" s="3">
        <v>1</v>
      </c>
      <c r="P426" s="2" t="s">
        <v>1795</v>
      </c>
    </row>
    <row r="427" spans="1:16" ht="13">
      <c r="A427" s="2" t="s">
        <v>3</v>
      </c>
      <c r="B427" s="2" t="str">
        <f t="shared" si="6"/>
        <v>23-24 Academic Year</v>
      </c>
      <c r="C427" s="2">
        <v>37</v>
      </c>
      <c r="D427" s="2" t="s">
        <v>1831</v>
      </c>
      <c r="E427" s="10">
        <v>45259</v>
      </c>
      <c r="F427" s="2" t="s">
        <v>69</v>
      </c>
      <c r="G427" s="2" t="s">
        <v>1832</v>
      </c>
      <c r="H427" s="2" t="s">
        <v>6</v>
      </c>
      <c r="I427" s="2" t="s">
        <v>913</v>
      </c>
      <c r="J427" s="2" t="s">
        <v>1838</v>
      </c>
      <c r="K427" s="2" t="s">
        <v>1839</v>
      </c>
      <c r="L427" s="2" t="s">
        <v>1840</v>
      </c>
      <c r="M427" s="3">
        <v>3</v>
      </c>
      <c r="N427" s="3">
        <v>2</v>
      </c>
      <c r="P427" s="2" t="s">
        <v>1841</v>
      </c>
    </row>
    <row r="428" spans="1:16" ht="13">
      <c r="A428" s="2" t="s">
        <v>3</v>
      </c>
      <c r="B428" s="2" t="str">
        <f t="shared" si="6"/>
        <v>23-24 Academic Year</v>
      </c>
      <c r="C428" s="2">
        <v>37</v>
      </c>
      <c r="D428" s="2" t="s">
        <v>1831</v>
      </c>
      <c r="E428" s="10">
        <v>45259</v>
      </c>
      <c r="F428" s="2" t="s">
        <v>69</v>
      </c>
      <c r="G428" s="2" t="s">
        <v>1832</v>
      </c>
      <c r="H428" s="2" t="s">
        <v>6</v>
      </c>
      <c r="I428" s="2" t="s">
        <v>913</v>
      </c>
      <c r="J428" s="2" t="s">
        <v>1842</v>
      </c>
      <c r="K428" s="2" t="s">
        <v>1843</v>
      </c>
      <c r="L428" s="2" t="s">
        <v>1844</v>
      </c>
      <c r="M428" s="3">
        <v>4</v>
      </c>
      <c r="N428" s="3">
        <v>1</v>
      </c>
      <c r="P428" s="2" t="s">
        <v>1845</v>
      </c>
    </row>
    <row r="429" spans="1:16" ht="13">
      <c r="A429" s="2" t="s">
        <v>3</v>
      </c>
      <c r="B429" s="2" t="str">
        <f t="shared" si="6"/>
        <v>23-24 Academic Year</v>
      </c>
      <c r="C429" s="2">
        <v>37</v>
      </c>
      <c r="D429" s="2" t="s">
        <v>1831</v>
      </c>
      <c r="E429" s="10">
        <v>45259</v>
      </c>
      <c r="F429" s="2" t="s">
        <v>69</v>
      </c>
      <c r="G429" s="2" t="s">
        <v>1832</v>
      </c>
      <c r="H429" s="2" t="s">
        <v>6</v>
      </c>
      <c r="I429" s="2" t="s">
        <v>913</v>
      </c>
      <c r="J429" s="2" t="s">
        <v>1846</v>
      </c>
      <c r="K429" s="2" t="s">
        <v>1834</v>
      </c>
      <c r="L429" s="2" t="s">
        <v>1835</v>
      </c>
      <c r="M429" s="3">
        <v>3</v>
      </c>
      <c r="N429" s="3">
        <v>2</v>
      </c>
      <c r="P429" s="2" t="s">
        <v>1847</v>
      </c>
    </row>
    <row r="430" spans="1:16" ht="13">
      <c r="A430" s="2" t="s">
        <v>3</v>
      </c>
      <c r="B430" s="2" t="str">
        <f t="shared" si="6"/>
        <v>23-24 Academic Year</v>
      </c>
      <c r="C430" s="2">
        <v>37</v>
      </c>
      <c r="D430" s="2" t="s">
        <v>1831</v>
      </c>
      <c r="E430" s="10">
        <v>45259</v>
      </c>
      <c r="F430" s="2" t="s">
        <v>69</v>
      </c>
      <c r="G430" s="2" t="s">
        <v>1832</v>
      </c>
      <c r="H430" s="2" t="s">
        <v>6</v>
      </c>
      <c r="I430" s="2" t="s">
        <v>913</v>
      </c>
      <c r="J430" s="2" t="s">
        <v>1848</v>
      </c>
      <c r="K430" s="2" t="s">
        <v>611</v>
      </c>
      <c r="L430" s="2" t="s">
        <v>1849</v>
      </c>
      <c r="M430" s="3">
        <v>4</v>
      </c>
      <c r="N430" s="3">
        <v>2</v>
      </c>
      <c r="P430" s="2" t="s">
        <v>1850</v>
      </c>
    </row>
    <row r="431" spans="1:16" ht="13">
      <c r="A431" s="2" t="s">
        <v>3</v>
      </c>
      <c r="B431" s="2" t="str">
        <f t="shared" si="6"/>
        <v>23-24 Academic Year</v>
      </c>
      <c r="C431" s="2">
        <v>37</v>
      </c>
      <c r="D431" s="2" t="s">
        <v>1831</v>
      </c>
      <c r="E431" s="10">
        <v>45259</v>
      </c>
      <c r="F431" s="2" t="s">
        <v>69</v>
      </c>
      <c r="G431" s="2" t="s">
        <v>1832</v>
      </c>
      <c r="H431" s="2" t="s">
        <v>6</v>
      </c>
      <c r="I431" s="2" t="s">
        <v>913</v>
      </c>
      <c r="J431" s="2" t="s">
        <v>1851</v>
      </c>
      <c r="K431" s="2" t="s">
        <v>1852</v>
      </c>
      <c r="L431" s="2" t="s">
        <v>1853</v>
      </c>
      <c r="M431" s="3">
        <v>3</v>
      </c>
      <c r="N431" s="3">
        <v>2</v>
      </c>
      <c r="P431" s="2" t="s">
        <v>1854</v>
      </c>
    </row>
    <row r="432" spans="1:16" ht="13">
      <c r="A432" s="2" t="s">
        <v>3</v>
      </c>
      <c r="B432" s="2" t="str">
        <f t="shared" si="6"/>
        <v>23-24 Academic Year</v>
      </c>
      <c r="C432" s="2">
        <v>37</v>
      </c>
      <c r="D432" s="2" t="s">
        <v>1831</v>
      </c>
      <c r="E432" s="10">
        <v>45259</v>
      </c>
      <c r="F432" s="2" t="s">
        <v>69</v>
      </c>
      <c r="G432" s="2" t="s">
        <v>1832</v>
      </c>
      <c r="H432" s="2" t="s">
        <v>6</v>
      </c>
      <c r="I432" s="2" t="s">
        <v>913</v>
      </c>
      <c r="J432" s="2" t="s">
        <v>1855</v>
      </c>
      <c r="K432" s="2" t="s">
        <v>1856</v>
      </c>
      <c r="L432" s="2" t="s">
        <v>1857</v>
      </c>
      <c r="M432" s="3">
        <v>3</v>
      </c>
      <c r="N432" s="3">
        <v>1</v>
      </c>
      <c r="P432" s="2" t="s">
        <v>1858</v>
      </c>
    </row>
    <row r="433" spans="1:16" ht="13">
      <c r="A433" s="2" t="s">
        <v>3</v>
      </c>
      <c r="B433" s="2" t="str">
        <f t="shared" si="6"/>
        <v>23-24 Academic Year</v>
      </c>
      <c r="C433" s="2">
        <v>37</v>
      </c>
      <c r="D433" s="2" t="s">
        <v>1831</v>
      </c>
      <c r="E433" s="10">
        <v>45259</v>
      </c>
      <c r="F433" s="2" t="s">
        <v>69</v>
      </c>
      <c r="G433" s="2" t="s">
        <v>1832</v>
      </c>
      <c r="H433" s="2" t="s">
        <v>6</v>
      </c>
      <c r="I433" s="2" t="s">
        <v>913</v>
      </c>
      <c r="J433" s="2" t="s">
        <v>1859</v>
      </c>
      <c r="K433" s="2" t="s">
        <v>1860</v>
      </c>
      <c r="L433" s="2" t="s">
        <v>1341</v>
      </c>
      <c r="M433" s="3">
        <v>999</v>
      </c>
      <c r="N433" s="3">
        <v>999</v>
      </c>
      <c r="P433" s="2" t="s">
        <v>1861</v>
      </c>
    </row>
    <row r="434" spans="1:16" ht="13">
      <c r="A434" s="2" t="s">
        <v>3</v>
      </c>
      <c r="B434" s="2" t="str">
        <f t="shared" si="6"/>
        <v>23-24 Academic Year</v>
      </c>
      <c r="C434" s="2">
        <v>37</v>
      </c>
      <c r="D434" s="2" t="s">
        <v>1831</v>
      </c>
      <c r="E434" s="10">
        <v>45259</v>
      </c>
      <c r="F434" s="2" t="s">
        <v>69</v>
      </c>
      <c r="G434" s="2" t="s">
        <v>1832</v>
      </c>
      <c r="H434" s="2" t="s">
        <v>6</v>
      </c>
      <c r="I434" s="2" t="s">
        <v>913</v>
      </c>
      <c r="J434" s="2" t="s">
        <v>1862</v>
      </c>
      <c r="K434" s="2" t="s">
        <v>1863</v>
      </c>
      <c r="L434" s="2" t="s">
        <v>1864</v>
      </c>
      <c r="M434" s="3">
        <v>3</v>
      </c>
      <c r="N434" s="3">
        <v>1</v>
      </c>
      <c r="P434" s="2" t="s">
        <v>1865</v>
      </c>
    </row>
    <row r="435" spans="1:16" ht="13">
      <c r="A435" s="2" t="s">
        <v>3</v>
      </c>
      <c r="B435" s="2" t="str">
        <f t="shared" si="6"/>
        <v>23-24 Academic Year</v>
      </c>
      <c r="C435" s="2">
        <v>37</v>
      </c>
      <c r="D435" s="2" t="s">
        <v>1831</v>
      </c>
      <c r="E435" s="10">
        <v>45259</v>
      </c>
      <c r="F435" s="2" t="s">
        <v>69</v>
      </c>
      <c r="G435" s="2" t="s">
        <v>1832</v>
      </c>
      <c r="H435" s="2" t="s">
        <v>6</v>
      </c>
      <c r="I435" s="2" t="s">
        <v>913</v>
      </c>
      <c r="J435" s="2" t="s">
        <v>1866</v>
      </c>
      <c r="K435" s="2" t="s">
        <v>1003</v>
      </c>
      <c r="L435" s="2" t="s">
        <v>1867</v>
      </c>
      <c r="M435" s="3">
        <v>3</v>
      </c>
      <c r="N435" s="3">
        <v>1</v>
      </c>
      <c r="P435" s="2" t="s">
        <v>1868</v>
      </c>
    </row>
    <row r="436" spans="1:16" ht="13">
      <c r="A436" s="2" t="s">
        <v>3</v>
      </c>
      <c r="B436" s="2" t="str">
        <f t="shared" si="6"/>
        <v>23-24 Academic Year</v>
      </c>
      <c r="C436" s="2">
        <v>38</v>
      </c>
      <c r="D436" s="2" t="s">
        <v>1869</v>
      </c>
      <c r="E436" s="10">
        <v>45260</v>
      </c>
      <c r="F436" s="2" t="s">
        <v>20</v>
      </c>
      <c r="G436" s="2" t="s">
        <v>1870</v>
      </c>
      <c r="H436" s="2" t="s">
        <v>8</v>
      </c>
      <c r="I436" s="2" t="s">
        <v>8</v>
      </c>
      <c r="J436" s="2" t="s">
        <v>1871</v>
      </c>
      <c r="K436" s="2" t="s">
        <v>884</v>
      </c>
      <c r="L436" s="2" t="s">
        <v>1872</v>
      </c>
      <c r="M436" s="3">
        <v>2</v>
      </c>
      <c r="N436" s="3">
        <v>1</v>
      </c>
      <c r="P436" s="2" t="s">
        <v>1873</v>
      </c>
    </row>
    <row r="437" spans="1:16" ht="13">
      <c r="A437" s="2" t="s">
        <v>3</v>
      </c>
      <c r="B437" s="2" t="str">
        <f t="shared" si="6"/>
        <v>23-24 Academic Year</v>
      </c>
      <c r="C437" s="2">
        <v>38</v>
      </c>
      <c r="D437" s="2" t="s">
        <v>1869</v>
      </c>
      <c r="E437" s="10">
        <v>45260</v>
      </c>
      <c r="F437" s="2" t="s">
        <v>20</v>
      </c>
      <c r="G437" s="2" t="s">
        <v>1870</v>
      </c>
      <c r="H437" s="2" t="s">
        <v>8</v>
      </c>
      <c r="I437" s="2" t="s">
        <v>8</v>
      </c>
      <c r="J437" s="2" t="s">
        <v>1874</v>
      </c>
      <c r="K437" s="2" t="s">
        <v>1875</v>
      </c>
      <c r="L437" s="2" t="s">
        <v>1876</v>
      </c>
      <c r="M437" s="3">
        <v>1</v>
      </c>
      <c r="N437" s="3">
        <v>1</v>
      </c>
      <c r="P437" s="2" t="s">
        <v>1877</v>
      </c>
    </row>
    <row r="438" spans="1:16" ht="13">
      <c r="A438" s="2" t="s">
        <v>3</v>
      </c>
      <c r="B438" s="2" t="str">
        <f t="shared" si="6"/>
        <v>23-24 Academic Year</v>
      </c>
      <c r="C438" s="2">
        <v>38</v>
      </c>
      <c r="D438" s="2" t="s">
        <v>1869</v>
      </c>
      <c r="E438" s="10">
        <v>45260</v>
      </c>
      <c r="F438" s="2" t="s">
        <v>20</v>
      </c>
      <c r="G438" s="2" t="s">
        <v>1870</v>
      </c>
      <c r="H438" s="2" t="s">
        <v>8</v>
      </c>
      <c r="I438" s="2" t="s">
        <v>8</v>
      </c>
      <c r="J438" s="2" t="s">
        <v>1878</v>
      </c>
      <c r="K438" s="2" t="s">
        <v>320</v>
      </c>
      <c r="L438" s="2" t="s">
        <v>1879</v>
      </c>
      <c r="M438" s="3">
        <v>1</v>
      </c>
      <c r="N438" s="3">
        <v>2</v>
      </c>
      <c r="P438" s="2" t="s">
        <v>1880</v>
      </c>
    </row>
    <row r="439" spans="1:16" ht="13">
      <c r="A439" s="2" t="s">
        <v>3</v>
      </c>
      <c r="B439" s="2" t="str">
        <f t="shared" si="6"/>
        <v>23-24 Academic Year</v>
      </c>
      <c r="C439" s="2">
        <v>39</v>
      </c>
      <c r="D439" s="2" t="s">
        <v>1881</v>
      </c>
      <c r="E439" s="10">
        <v>45261</v>
      </c>
      <c r="F439" s="2" t="s">
        <v>69</v>
      </c>
      <c r="G439" s="2" t="s">
        <v>1882</v>
      </c>
      <c r="H439" s="2" t="s">
        <v>6</v>
      </c>
      <c r="I439" s="2" t="s">
        <v>699</v>
      </c>
      <c r="J439" s="2" t="s">
        <v>1883</v>
      </c>
      <c r="K439" s="2" t="s">
        <v>736</v>
      </c>
      <c r="L439" s="2" t="s">
        <v>737</v>
      </c>
      <c r="M439" s="3">
        <v>1</v>
      </c>
      <c r="N439" s="3">
        <v>2</v>
      </c>
      <c r="P439" s="2" t="s">
        <v>1884</v>
      </c>
    </row>
    <row r="440" spans="1:16" ht="13">
      <c r="A440" s="2" t="s">
        <v>3</v>
      </c>
      <c r="B440" s="2" t="str">
        <f t="shared" si="6"/>
        <v>23-24 Academic Year</v>
      </c>
      <c r="C440" s="2">
        <v>39</v>
      </c>
      <c r="D440" s="2" t="s">
        <v>1885</v>
      </c>
      <c r="E440" s="10">
        <v>45261</v>
      </c>
      <c r="F440" s="2" t="s">
        <v>69</v>
      </c>
      <c r="G440" s="2" t="s">
        <v>1882</v>
      </c>
      <c r="H440" s="2" t="s">
        <v>6</v>
      </c>
      <c r="I440" s="2" t="s">
        <v>913</v>
      </c>
      <c r="J440" s="2" t="s">
        <v>1886</v>
      </c>
      <c r="K440" s="2" t="s">
        <v>1887</v>
      </c>
      <c r="L440" s="2" t="s">
        <v>1887</v>
      </c>
      <c r="M440" s="3">
        <v>999</v>
      </c>
      <c r="N440" s="3">
        <v>999</v>
      </c>
      <c r="P440" s="2" t="s">
        <v>1888</v>
      </c>
    </row>
    <row r="441" spans="1:16" ht="13">
      <c r="A441" s="2" t="s">
        <v>3</v>
      </c>
      <c r="B441" s="2" t="str">
        <f t="shared" si="6"/>
        <v>23-24 Academic Year</v>
      </c>
      <c r="C441" s="2">
        <v>39</v>
      </c>
      <c r="D441" s="2" t="s">
        <v>1367</v>
      </c>
      <c r="E441" s="10">
        <v>45261</v>
      </c>
      <c r="F441" s="2" t="s">
        <v>69</v>
      </c>
      <c r="G441" s="2" t="s">
        <v>1882</v>
      </c>
      <c r="H441" s="2" t="s">
        <v>6</v>
      </c>
      <c r="I441" s="2" t="s">
        <v>699</v>
      </c>
      <c r="J441" s="2" t="s">
        <v>1889</v>
      </c>
      <c r="K441" s="2" t="s">
        <v>1890</v>
      </c>
      <c r="L441" s="2" t="s">
        <v>1891</v>
      </c>
      <c r="M441" s="3">
        <v>2</v>
      </c>
      <c r="N441" s="3">
        <v>1</v>
      </c>
      <c r="P441" s="2" t="s">
        <v>1892</v>
      </c>
    </row>
    <row r="442" spans="1:16" ht="13">
      <c r="A442" s="2" t="s">
        <v>3</v>
      </c>
      <c r="B442" s="2" t="str">
        <f t="shared" si="6"/>
        <v>23-24 Academic Year</v>
      </c>
      <c r="C442" s="2">
        <v>39</v>
      </c>
      <c r="D442" s="2" t="s">
        <v>1893</v>
      </c>
      <c r="E442" s="10">
        <v>45261</v>
      </c>
      <c r="F442" s="2" t="s">
        <v>69</v>
      </c>
      <c r="G442" s="2" t="s">
        <v>1882</v>
      </c>
      <c r="H442" s="2" t="s">
        <v>6</v>
      </c>
      <c r="I442" s="2" t="s">
        <v>1894</v>
      </c>
      <c r="J442" s="2" t="s">
        <v>1895</v>
      </c>
      <c r="K442" s="2" t="s">
        <v>670</v>
      </c>
      <c r="L442" s="2" t="s">
        <v>403</v>
      </c>
      <c r="M442" s="3">
        <v>1</v>
      </c>
      <c r="N442" s="3">
        <v>2</v>
      </c>
      <c r="P442" s="2" t="s">
        <v>1896</v>
      </c>
    </row>
    <row r="443" spans="1:16" ht="13">
      <c r="A443" s="2" t="s">
        <v>3</v>
      </c>
      <c r="B443" s="2" t="str">
        <f t="shared" si="6"/>
        <v>23-24 Academic Year</v>
      </c>
      <c r="C443" s="2">
        <v>39</v>
      </c>
      <c r="D443" s="2" t="s">
        <v>1897</v>
      </c>
      <c r="E443" s="10">
        <v>45261</v>
      </c>
      <c r="F443" s="2" t="s">
        <v>69</v>
      </c>
      <c r="G443" s="2" t="s">
        <v>1882</v>
      </c>
      <c r="H443" s="2" t="s">
        <v>6</v>
      </c>
      <c r="I443" s="2" t="s">
        <v>913</v>
      </c>
      <c r="J443" s="2" t="s">
        <v>1898</v>
      </c>
      <c r="K443" s="2" t="s">
        <v>774</v>
      </c>
      <c r="L443" s="2" t="s">
        <v>1117</v>
      </c>
      <c r="M443" s="3">
        <v>1</v>
      </c>
      <c r="N443" s="3">
        <v>2</v>
      </c>
      <c r="P443" s="2" t="s">
        <v>1899</v>
      </c>
    </row>
    <row r="444" spans="1:16" ht="13">
      <c r="A444" s="2" t="s">
        <v>3</v>
      </c>
      <c r="B444" s="2" t="str">
        <f t="shared" si="6"/>
        <v>23-24 Academic Year</v>
      </c>
      <c r="C444" s="2">
        <v>40</v>
      </c>
      <c r="D444" s="2" t="s">
        <v>1313</v>
      </c>
      <c r="E444" s="10">
        <v>45261</v>
      </c>
      <c r="F444" s="2" t="s">
        <v>69</v>
      </c>
      <c r="G444" s="2" t="s">
        <v>1900</v>
      </c>
      <c r="H444" s="2" t="s">
        <v>7</v>
      </c>
      <c r="I444" s="2" t="s">
        <v>669</v>
      </c>
      <c r="J444" s="2" t="s">
        <v>1901</v>
      </c>
      <c r="K444" s="2" t="s">
        <v>1902</v>
      </c>
      <c r="L444" s="2" t="s">
        <v>1903</v>
      </c>
      <c r="M444" s="3">
        <v>1</v>
      </c>
      <c r="N444" s="3">
        <v>1</v>
      </c>
      <c r="P444" s="2" t="s">
        <v>1904</v>
      </c>
    </row>
    <row r="445" spans="1:16" ht="13">
      <c r="A445" s="2" t="s">
        <v>3</v>
      </c>
      <c r="B445" s="2" t="str">
        <f t="shared" si="6"/>
        <v>23-24 Academic Year</v>
      </c>
      <c r="C445" s="2">
        <v>40</v>
      </c>
      <c r="D445" s="2" t="s">
        <v>1313</v>
      </c>
      <c r="E445" s="10">
        <v>45261</v>
      </c>
      <c r="F445" s="2" t="s">
        <v>69</v>
      </c>
      <c r="G445" s="2" t="s">
        <v>1900</v>
      </c>
      <c r="H445" s="2" t="s">
        <v>7</v>
      </c>
      <c r="I445" s="2" t="s">
        <v>669</v>
      </c>
      <c r="J445" s="2" t="s">
        <v>1905</v>
      </c>
      <c r="K445" s="2" t="s">
        <v>1906</v>
      </c>
      <c r="L445" s="2" t="s">
        <v>1907</v>
      </c>
      <c r="M445" s="3">
        <v>3</v>
      </c>
      <c r="N445" s="3">
        <v>1</v>
      </c>
      <c r="P445" s="2" t="s">
        <v>1908</v>
      </c>
    </row>
    <row r="446" spans="1:16" ht="13">
      <c r="A446" s="2" t="s">
        <v>3</v>
      </c>
      <c r="B446" s="2" t="str">
        <f t="shared" si="6"/>
        <v>23-24 Academic Year</v>
      </c>
      <c r="C446" s="2">
        <v>40</v>
      </c>
      <c r="D446" s="2" t="s">
        <v>1313</v>
      </c>
      <c r="E446" s="10">
        <v>45261</v>
      </c>
      <c r="F446" s="2" t="s">
        <v>69</v>
      </c>
      <c r="G446" s="2" t="s">
        <v>1900</v>
      </c>
      <c r="H446" s="2" t="s">
        <v>7</v>
      </c>
      <c r="I446" s="2" t="s">
        <v>669</v>
      </c>
      <c r="J446" s="2" t="s">
        <v>1909</v>
      </c>
      <c r="K446" s="2" t="s">
        <v>1910</v>
      </c>
      <c r="L446" s="2" t="s">
        <v>1911</v>
      </c>
      <c r="M446" s="3">
        <v>1</v>
      </c>
      <c r="N446" s="3">
        <v>2</v>
      </c>
      <c r="P446" s="2" t="s">
        <v>1912</v>
      </c>
    </row>
    <row r="447" spans="1:16" ht="13">
      <c r="A447" s="2" t="s">
        <v>3</v>
      </c>
      <c r="B447" s="2" t="str">
        <f t="shared" si="6"/>
        <v>23-24 Academic Year</v>
      </c>
      <c r="C447" s="2">
        <v>40</v>
      </c>
      <c r="D447" s="2" t="s">
        <v>1313</v>
      </c>
      <c r="E447" s="10">
        <v>45261</v>
      </c>
      <c r="F447" s="2" t="s">
        <v>69</v>
      </c>
      <c r="G447" s="2" t="s">
        <v>1900</v>
      </c>
      <c r="H447" s="2" t="s">
        <v>7</v>
      </c>
      <c r="I447" s="2" t="s">
        <v>669</v>
      </c>
      <c r="J447" s="2" t="s">
        <v>1913</v>
      </c>
      <c r="K447" s="2" t="s">
        <v>1914</v>
      </c>
      <c r="L447" s="2" t="s">
        <v>1915</v>
      </c>
      <c r="M447" s="3">
        <v>2</v>
      </c>
      <c r="N447" s="3">
        <v>1</v>
      </c>
      <c r="P447" s="2" t="s">
        <v>1916</v>
      </c>
    </row>
    <row r="448" spans="1:16" ht="13">
      <c r="A448" s="2" t="s">
        <v>3</v>
      </c>
      <c r="B448" s="2" t="str">
        <f t="shared" si="6"/>
        <v>23-24 Academic Year</v>
      </c>
      <c r="C448" s="2">
        <v>40</v>
      </c>
      <c r="D448" s="2" t="s">
        <v>1313</v>
      </c>
      <c r="E448" s="10">
        <v>45261</v>
      </c>
      <c r="F448" s="2" t="s">
        <v>69</v>
      </c>
      <c r="G448" s="2" t="s">
        <v>1900</v>
      </c>
      <c r="H448" s="2" t="s">
        <v>7</v>
      </c>
      <c r="I448" s="2" t="s">
        <v>669</v>
      </c>
      <c r="J448" s="2" t="s">
        <v>1917</v>
      </c>
      <c r="K448" s="2" t="s">
        <v>1918</v>
      </c>
      <c r="L448" s="2" t="s">
        <v>1919</v>
      </c>
      <c r="M448" s="3">
        <v>1</v>
      </c>
      <c r="N448" s="3">
        <v>2</v>
      </c>
      <c r="P448" s="2" t="s">
        <v>1920</v>
      </c>
    </row>
    <row r="449" spans="1:16" ht="13">
      <c r="A449" s="2" t="s">
        <v>3</v>
      </c>
      <c r="B449" s="2" t="str">
        <f t="shared" si="6"/>
        <v>23-24 Academic Year</v>
      </c>
      <c r="C449" s="2">
        <v>40</v>
      </c>
      <c r="D449" s="2" t="s">
        <v>1313</v>
      </c>
      <c r="E449" s="10">
        <v>45261</v>
      </c>
      <c r="F449" s="2" t="s">
        <v>69</v>
      </c>
      <c r="G449" s="2" t="s">
        <v>1900</v>
      </c>
      <c r="H449" s="2" t="s">
        <v>7</v>
      </c>
      <c r="I449" s="2" t="s">
        <v>669</v>
      </c>
      <c r="J449" s="2" t="s">
        <v>1921</v>
      </c>
      <c r="K449" s="2" t="s">
        <v>1922</v>
      </c>
      <c r="L449" s="2" t="s">
        <v>1923</v>
      </c>
      <c r="M449" s="3"/>
      <c r="N449" s="3"/>
      <c r="P449" s="2" t="s">
        <v>1924</v>
      </c>
    </row>
    <row r="450" spans="1:16" ht="13">
      <c r="A450" s="2" t="s">
        <v>3</v>
      </c>
      <c r="B450" s="2" t="str">
        <f t="shared" si="6"/>
        <v>23-24 Academic Year</v>
      </c>
      <c r="C450" s="2">
        <v>40</v>
      </c>
      <c r="D450" s="2" t="s">
        <v>1313</v>
      </c>
      <c r="E450" s="10">
        <v>45261</v>
      </c>
      <c r="F450" s="2" t="s">
        <v>69</v>
      </c>
      <c r="G450" s="2" t="s">
        <v>1900</v>
      </c>
      <c r="H450" s="2" t="s">
        <v>7</v>
      </c>
      <c r="I450" s="2" t="s">
        <v>669</v>
      </c>
      <c r="J450" s="2" t="s">
        <v>1925</v>
      </c>
      <c r="K450" s="2" t="s">
        <v>1926</v>
      </c>
      <c r="L450" s="2" t="s">
        <v>1927</v>
      </c>
      <c r="M450" s="3">
        <v>999</v>
      </c>
      <c r="N450" s="3">
        <v>999</v>
      </c>
      <c r="P450" s="2" t="s">
        <v>1928</v>
      </c>
    </row>
    <row r="451" spans="1:16" ht="13">
      <c r="A451" s="2" t="s">
        <v>3</v>
      </c>
      <c r="B451" s="2" t="str">
        <f t="shared" ref="B451:B514" si="7">RIGHT(TEXT(IF(LEFT(A451,4)="Fall",VALUE(RIGHT(A451,4)),VALUE(RIGHT(A451,4))-1),"00"),2)
 &amp; "-" &amp;
 RIGHT(TEXT(IF(LEFT(A451,4)="Fall",VALUE(RIGHT(A451,4))+1,VALUE(RIGHT(A451,4))),"00"),2)
 &amp; " Academic Year"</f>
        <v>23-24 Academic Year</v>
      </c>
      <c r="C451" s="2">
        <v>40</v>
      </c>
      <c r="D451" s="2" t="s">
        <v>1313</v>
      </c>
      <c r="E451" s="10">
        <v>45261</v>
      </c>
      <c r="F451" s="2" t="s">
        <v>69</v>
      </c>
      <c r="G451" s="2" t="s">
        <v>1900</v>
      </c>
      <c r="H451" s="2" t="s">
        <v>7</v>
      </c>
      <c r="I451" s="2" t="s">
        <v>669</v>
      </c>
      <c r="J451" s="2" t="s">
        <v>1929</v>
      </c>
      <c r="K451" s="2" t="s">
        <v>1930</v>
      </c>
      <c r="L451" s="2" t="s">
        <v>1931</v>
      </c>
      <c r="M451" s="3">
        <v>1</v>
      </c>
      <c r="N451" s="3">
        <v>1</v>
      </c>
      <c r="P451" s="2" t="s">
        <v>1932</v>
      </c>
    </row>
    <row r="452" spans="1:16" ht="13">
      <c r="A452" s="2" t="s">
        <v>3</v>
      </c>
      <c r="B452" s="2" t="str">
        <f t="shared" si="7"/>
        <v>23-24 Academic Year</v>
      </c>
      <c r="C452" s="2">
        <v>40</v>
      </c>
      <c r="D452" s="2" t="s">
        <v>1313</v>
      </c>
      <c r="E452" s="10">
        <v>45261</v>
      </c>
      <c r="F452" s="2" t="s">
        <v>69</v>
      </c>
      <c r="G452" s="2" t="s">
        <v>1900</v>
      </c>
      <c r="H452" s="2" t="s">
        <v>7</v>
      </c>
      <c r="I452" s="2" t="s">
        <v>669</v>
      </c>
      <c r="J452" s="2" t="s">
        <v>1933</v>
      </c>
      <c r="K452" s="2" t="s">
        <v>1322</v>
      </c>
      <c r="L452" s="2" t="s">
        <v>1323</v>
      </c>
      <c r="M452" s="3">
        <v>2</v>
      </c>
      <c r="N452" s="3">
        <v>1</v>
      </c>
      <c r="P452" s="2" t="s">
        <v>1934</v>
      </c>
    </row>
    <row r="453" spans="1:16" ht="13">
      <c r="A453" s="2" t="s">
        <v>3</v>
      </c>
      <c r="B453" s="2" t="str">
        <f t="shared" si="7"/>
        <v>23-24 Academic Year</v>
      </c>
      <c r="C453" s="2">
        <v>40</v>
      </c>
      <c r="D453" s="2" t="s">
        <v>1313</v>
      </c>
      <c r="E453" s="10">
        <v>45261</v>
      </c>
      <c r="F453" s="2" t="s">
        <v>69</v>
      </c>
      <c r="G453" s="2" t="s">
        <v>1900</v>
      </c>
      <c r="H453" s="2" t="s">
        <v>7</v>
      </c>
      <c r="I453" s="2" t="s">
        <v>669</v>
      </c>
      <c r="J453" s="2" t="s">
        <v>1935</v>
      </c>
      <c r="K453" s="2" t="s">
        <v>1936</v>
      </c>
      <c r="L453" s="2" t="s">
        <v>252</v>
      </c>
      <c r="M453" s="3">
        <v>1</v>
      </c>
      <c r="N453" s="3">
        <v>2</v>
      </c>
      <c r="P453" s="2" t="s">
        <v>1937</v>
      </c>
    </row>
    <row r="454" spans="1:16" ht="13">
      <c r="A454" s="2" t="s">
        <v>3</v>
      </c>
      <c r="B454" s="2" t="str">
        <f t="shared" si="7"/>
        <v>23-24 Academic Year</v>
      </c>
      <c r="C454" s="2">
        <v>40</v>
      </c>
      <c r="D454" s="2" t="s">
        <v>1313</v>
      </c>
      <c r="E454" s="10">
        <v>45261</v>
      </c>
      <c r="F454" s="2" t="s">
        <v>69</v>
      </c>
      <c r="G454" s="2" t="s">
        <v>1900</v>
      </c>
      <c r="H454" s="2" t="s">
        <v>7</v>
      </c>
      <c r="I454" s="2" t="s">
        <v>669</v>
      </c>
      <c r="J454" s="2" t="s">
        <v>1938</v>
      </c>
      <c r="K454" s="2" t="s">
        <v>1939</v>
      </c>
      <c r="L454" s="2" t="s">
        <v>1940</v>
      </c>
      <c r="M454" s="3">
        <v>3</v>
      </c>
      <c r="N454" s="3">
        <v>1</v>
      </c>
      <c r="O454" s="2" t="s">
        <v>1941</v>
      </c>
      <c r="P454" s="2" t="s">
        <v>1942</v>
      </c>
    </row>
    <row r="455" spans="1:16" ht="13">
      <c r="A455" s="2" t="s">
        <v>3</v>
      </c>
      <c r="B455" s="2" t="str">
        <f t="shared" si="7"/>
        <v>23-24 Academic Year</v>
      </c>
      <c r="C455" s="2">
        <v>40</v>
      </c>
      <c r="D455" s="2" t="s">
        <v>1313</v>
      </c>
      <c r="E455" s="10">
        <v>45261</v>
      </c>
      <c r="F455" s="2" t="s">
        <v>69</v>
      </c>
      <c r="G455" s="2" t="s">
        <v>1900</v>
      </c>
      <c r="H455" s="2" t="s">
        <v>7</v>
      </c>
      <c r="I455" s="2" t="s">
        <v>669</v>
      </c>
      <c r="J455" s="2" t="s">
        <v>1943</v>
      </c>
      <c r="K455" s="2" t="s">
        <v>108</v>
      </c>
      <c r="L455" s="2" t="s">
        <v>109</v>
      </c>
      <c r="M455" s="3">
        <v>1</v>
      </c>
      <c r="N455" s="3">
        <v>2</v>
      </c>
      <c r="P455" s="2" t="s">
        <v>1944</v>
      </c>
    </row>
    <row r="456" spans="1:16" ht="13">
      <c r="A456" s="2" t="s">
        <v>3</v>
      </c>
      <c r="B456" s="2" t="str">
        <f t="shared" si="7"/>
        <v>23-24 Academic Year</v>
      </c>
      <c r="C456" s="2">
        <v>40</v>
      </c>
      <c r="D456" s="2" t="s">
        <v>1313</v>
      </c>
      <c r="E456" s="10">
        <v>45261</v>
      </c>
      <c r="F456" s="2" t="s">
        <v>69</v>
      </c>
      <c r="G456" s="2" t="s">
        <v>1900</v>
      </c>
      <c r="H456" s="2" t="s">
        <v>7</v>
      </c>
      <c r="I456" s="2" t="s">
        <v>669</v>
      </c>
      <c r="J456" s="2" t="s">
        <v>1945</v>
      </c>
      <c r="K456" s="2" t="s">
        <v>1946</v>
      </c>
      <c r="L456" s="2" t="s">
        <v>1947</v>
      </c>
      <c r="M456" s="3">
        <v>1</v>
      </c>
      <c r="N456" s="3">
        <v>1</v>
      </c>
      <c r="P456" s="2" t="s">
        <v>1948</v>
      </c>
    </row>
    <row r="457" spans="1:16" ht="13">
      <c r="A457" s="2" t="s">
        <v>3</v>
      </c>
      <c r="B457" s="2" t="str">
        <f t="shared" si="7"/>
        <v>23-24 Academic Year</v>
      </c>
      <c r="C457" s="2">
        <v>40</v>
      </c>
      <c r="D457" s="2" t="s">
        <v>1313</v>
      </c>
      <c r="E457" s="10">
        <v>45261</v>
      </c>
      <c r="F457" s="2" t="s">
        <v>69</v>
      </c>
      <c r="G457" s="2" t="s">
        <v>1900</v>
      </c>
      <c r="H457" s="2" t="s">
        <v>7</v>
      </c>
      <c r="I457" s="2" t="s">
        <v>669</v>
      </c>
      <c r="J457" s="2" t="s">
        <v>1949</v>
      </c>
      <c r="K457" s="2" t="s">
        <v>1950</v>
      </c>
      <c r="L457" s="2" t="s">
        <v>1951</v>
      </c>
      <c r="M457" s="3">
        <v>1</v>
      </c>
      <c r="N457" s="3">
        <v>2</v>
      </c>
      <c r="P457" s="2" t="s">
        <v>1952</v>
      </c>
    </row>
    <row r="458" spans="1:16" ht="13">
      <c r="A458" s="2" t="s">
        <v>3</v>
      </c>
      <c r="B458" s="2" t="str">
        <f t="shared" si="7"/>
        <v>23-24 Academic Year</v>
      </c>
      <c r="C458" s="2">
        <v>40</v>
      </c>
      <c r="D458" s="2" t="s">
        <v>1313</v>
      </c>
      <c r="E458" s="10">
        <v>45261</v>
      </c>
      <c r="F458" s="2" t="s">
        <v>69</v>
      </c>
      <c r="G458" s="2" t="s">
        <v>1900</v>
      </c>
      <c r="H458" s="2" t="s">
        <v>7</v>
      </c>
      <c r="I458" s="2" t="s">
        <v>669</v>
      </c>
      <c r="J458" s="2" t="s">
        <v>1953</v>
      </c>
      <c r="K458" s="2" t="s">
        <v>108</v>
      </c>
      <c r="L458" s="2" t="s">
        <v>109</v>
      </c>
      <c r="M458" s="3">
        <v>1</v>
      </c>
      <c r="N458" s="3">
        <v>2</v>
      </c>
      <c r="P458" s="2" t="s">
        <v>1954</v>
      </c>
    </row>
    <row r="459" spans="1:16" ht="13">
      <c r="A459" s="2" t="s">
        <v>3</v>
      </c>
      <c r="B459" s="2" t="str">
        <f t="shared" si="7"/>
        <v>23-24 Academic Year</v>
      </c>
      <c r="C459" s="2">
        <v>40</v>
      </c>
      <c r="D459" s="2" t="s">
        <v>1313</v>
      </c>
      <c r="E459" s="10">
        <v>45261</v>
      </c>
      <c r="F459" s="2" t="s">
        <v>69</v>
      </c>
      <c r="G459" s="2" t="s">
        <v>1900</v>
      </c>
      <c r="H459" s="2" t="s">
        <v>7</v>
      </c>
      <c r="I459" s="2" t="s">
        <v>669</v>
      </c>
      <c r="J459" s="2" t="s">
        <v>1955</v>
      </c>
      <c r="K459" s="2" t="s">
        <v>1956</v>
      </c>
      <c r="L459" s="2" t="s">
        <v>1957</v>
      </c>
      <c r="M459" s="3">
        <v>4</v>
      </c>
      <c r="N459" s="3">
        <v>1</v>
      </c>
      <c r="P459" s="2" t="s">
        <v>1958</v>
      </c>
    </row>
    <row r="460" spans="1:16" ht="13">
      <c r="A460" s="2" t="s">
        <v>3</v>
      </c>
      <c r="B460" s="2" t="str">
        <f t="shared" si="7"/>
        <v>23-24 Academic Year</v>
      </c>
      <c r="C460" s="2">
        <v>40</v>
      </c>
      <c r="D460" s="2" t="s">
        <v>1313</v>
      </c>
      <c r="E460" s="10">
        <v>45261</v>
      </c>
      <c r="F460" s="2" t="s">
        <v>69</v>
      </c>
      <c r="G460" s="2" t="s">
        <v>1900</v>
      </c>
      <c r="H460" s="2" t="s">
        <v>7</v>
      </c>
      <c r="I460" s="2" t="s">
        <v>669</v>
      </c>
      <c r="J460" s="2" t="s">
        <v>1959</v>
      </c>
      <c r="K460" s="2" t="s">
        <v>1960</v>
      </c>
      <c r="L460" s="2" t="s">
        <v>1961</v>
      </c>
      <c r="M460" s="3">
        <v>1</v>
      </c>
      <c r="N460" s="3">
        <v>1</v>
      </c>
      <c r="P460" s="2" t="s">
        <v>1962</v>
      </c>
    </row>
    <row r="461" spans="1:16" ht="13">
      <c r="A461" s="2" t="s">
        <v>3</v>
      </c>
      <c r="B461" s="2" t="str">
        <f t="shared" si="7"/>
        <v>23-24 Academic Year</v>
      </c>
      <c r="C461" s="2">
        <v>40</v>
      </c>
      <c r="D461" s="2" t="s">
        <v>1313</v>
      </c>
      <c r="E461" s="10">
        <v>45261</v>
      </c>
      <c r="F461" s="2" t="s">
        <v>69</v>
      </c>
      <c r="G461" s="2" t="s">
        <v>1900</v>
      </c>
      <c r="H461" s="2" t="s">
        <v>7</v>
      </c>
      <c r="I461" s="2" t="s">
        <v>669</v>
      </c>
      <c r="J461" s="2" t="s">
        <v>1963</v>
      </c>
      <c r="K461" s="2" t="s">
        <v>1964</v>
      </c>
      <c r="L461" s="2" t="s">
        <v>1965</v>
      </c>
      <c r="M461" s="3">
        <v>1</v>
      </c>
      <c r="N461" s="3">
        <v>1</v>
      </c>
      <c r="P461" s="2" t="s">
        <v>1966</v>
      </c>
    </row>
    <row r="462" spans="1:16" ht="13">
      <c r="A462" s="2" t="s">
        <v>3</v>
      </c>
      <c r="B462" s="2" t="str">
        <f t="shared" si="7"/>
        <v>23-24 Academic Year</v>
      </c>
      <c r="C462" s="2">
        <v>40</v>
      </c>
      <c r="D462" s="2" t="s">
        <v>1313</v>
      </c>
      <c r="E462" s="10">
        <v>45261</v>
      </c>
      <c r="F462" s="2" t="s">
        <v>69</v>
      </c>
      <c r="G462" s="2" t="s">
        <v>1900</v>
      </c>
      <c r="H462" s="2" t="s">
        <v>7</v>
      </c>
      <c r="I462" s="2" t="s">
        <v>669</v>
      </c>
      <c r="J462" s="2" t="s">
        <v>1967</v>
      </c>
      <c r="K462" s="2" t="s">
        <v>255</v>
      </c>
      <c r="L462" s="2" t="s">
        <v>1968</v>
      </c>
      <c r="M462" s="3">
        <v>1</v>
      </c>
      <c r="N462" s="3">
        <v>1</v>
      </c>
      <c r="P462" s="2" t="s">
        <v>1969</v>
      </c>
    </row>
    <row r="463" spans="1:16" ht="13">
      <c r="A463" s="2" t="s">
        <v>3</v>
      </c>
      <c r="B463" s="2" t="str">
        <f t="shared" si="7"/>
        <v>23-24 Academic Year</v>
      </c>
      <c r="C463" s="2">
        <v>40</v>
      </c>
      <c r="D463" s="2" t="s">
        <v>1313</v>
      </c>
      <c r="E463" s="10">
        <v>45261</v>
      </c>
      <c r="F463" s="2" t="s">
        <v>69</v>
      </c>
      <c r="G463" s="2" t="s">
        <v>1900</v>
      </c>
      <c r="H463" s="2" t="s">
        <v>7</v>
      </c>
      <c r="I463" s="2" t="s">
        <v>669</v>
      </c>
      <c r="J463" s="2" t="s">
        <v>1970</v>
      </c>
      <c r="K463" s="2" t="s">
        <v>1971</v>
      </c>
      <c r="L463" s="2" t="s">
        <v>1972</v>
      </c>
      <c r="M463" s="3">
        <v>2</v>
      </c>
      <c r="N463" s="3">
        <v>1</v>
      </c>
      <c r="P463" s="2" t="s">
        <v>1973</v>
      </c>
    </row>
    <row r="464" spans="1:16" ht="13">
      <c r="A464" s="2" t="s">
        <v>3</v>
      </c>
      <c r="B464" s="2" t="str">
        <f t="shared" si="7"/>
        <v>23-24 Academic Year</v>
      </c>
      <c r="C464" s="2">
        <v>40</v>
      </c>
      <c r="D464" s="2" t="s">
        <v>1313</v>
      </c>
      <c r="E464" s="10">
        <v>45261</v>
      </c>
      <c r="F464" s="2" t="s">
        <v>69</v>
      </c>
      <c r="G464" s="2" t="s">
        <v>1900</v>
      </c>
      <c r="H464" s="2" t="s">
        <v>7</v>
      </c>
      <c r="I464" s="2" t="s">
        <v>669</v>
      </c>
      <c r="J464" s="2" t="s">
        <v>1974</v>
      </c>
      <c r="K464" s="2" t="s">
        <v>1020</v>
      </c>
      <c r="L464" s="2" t="s">
        <v>1975</v>
      </c>
      <c r="M464" s="3">
        <v>1</v>
      </c>
      <c r="N464" s="3">
        <v>2</v>
      </c>
      <c r="P464" s="2" t="s">
        <v>1976</v>
      </c>
    </row>
    <row r="465" spans="1:16" ht="13">
      <c r="A465" s="2" t="s">
        <v>3</v>
      </c>
      <c r="B465" s="2" t="str">
        <f t="shared" si="7"/>
        <v>23-24 Academic Year</v>
      </c>
      <c r="C465" s="2">
        <v>41</v>
      </c>
      <c r="E465" s="10">
        <v>45263</v>
      </c>
      <c r="F465" s="2" t="s">
        <v>69</v>
      </c>
      <c r="G465" s="2" t="s">
        <v>1977</v>
      </c>
      <c r="H465" s="2" t="s">
        <v>6</v>
      </c>
      <c r="I465" s="2" t="s">
        <v>699</v>
      </c>
      <c r="J465" s="2" t="s">
        <v>1978</v>
      </c>
      <c r="K465" s="2" t="s">
        <v>648</v>
      </c>
      <c r="L465" s="2" t="s">
        <v>812</v>
      </c>
      <c r="M465" s="3">
        <v>2</v>
      </c>
      <c r="N465" s="3">
        <v>2</v>
      </c>
      <c r="P465" s="2" t="s">
        <v>1979</v>
      </c>
    </row>
    <row r="466" spans="1:16" ht="13">
      <c r="A466" s="2" t="s">
        <v>3</v>
      </c>
      <c r="B466" s="2" t="str">
        <f t="shared" si="7"/>
        <v>23-24 Academic Year</v>
      </c>
      <c r="C466" s="2">
        <v>41</v>
      </c>
      <c r="E466" s="10">
        <v>45263</v>
      </c>
      <c r="F466" s="2" t="s">
        <v>69</v>
      </c>
      <c r="G466" s="2" t="s">
        <v>1977</v>
      </c>
      <c r="H466" s="2" t="s">
        <v>6</v>
      </c>
      <c r="I466" s="2" t="s">
        <v>699</v>
      </c>
      <c r="J466" s="2" t="s">
        <v>1980</v>
      </c>
      <c r="K466" s="2" t="s">
        <v>1696</v>
      </c>
      <c r="L466" s="2" t="s">
        <v>1697</v>
      </c>
      <c r="M466" s="3">
        <v>1</v>
      </c>
      <c r="N466" s="3">
        <v>2</v>
      </c>
      <c r="P466" s="2" t="s">
        <v>1981</v>
      </c>
    </row>
    <row r="467" spans="1:16" ht="13">
      <c r="A467" s="2" t="s">
        <v>3</v>
      </c>
      <c r="B467" s="2" t="str">
        <f t="shared" si="7"/>
        <v>23-24 Academic Year</v>
      </c>
      <c r="C467" s="2">
        <v>41</v>
      </c>
      <c r="E467" s="10">
        <v>45263</v>
      </c>
      <c r="F467" s="2" t="s">
        <v>69</v>
      </c>
      <c r="G467" s="2" t="s">
        <v>1977</v>
      </c>
      <c r="H467" s="2" t="s">
        <v>6</v>
      </c>
      <c r="I467" s="2" t="s">
        <v>699</v>
      </c>
      <c r="J467" s="2" t="s">
        <v>1982</v>
      </c>
      <c r="K467" s="2" t="s">
        <v>679</v>
      </c>
      <c r="L467" s="2" t="s">
        <v>1983</v>
      </c>
      <c r="M467" s="3">
        <v>3</v>
      </c>
      <c r="N467" s="3">
        <v>1</v>
      </c>
      <c r="O467" s="2" t="s">
        <v>1984</v>
      </c>
      <c r="P467" s="2" t="s">
        <v>1985</v>
      </c>
    </row>
    <row r="468" spans="1:16" ht="13">
      <c r="A468" s="2" t="s">
        <v>3</v>
      </c>
      <c r="B468" s="2" t="str">
        <f t="shared" si="7"/>
        <v>23-24 Academic Year</v>
      </c>
      <c r="C468" s="2">
        <v>41</v>
      </c>
      <c r="E468" s="10">
        <v>45263</v>
      </c>
      <c r="F468" s="2" t="s">
        <v>69</v>
      </c>
      <c r="G468" s="2" t="s">
        <v>1977</v>
      </c>
      <c r="H468" s="2" t="s">
        <v>6</v>
      </c>
      <c r="I468" s="2" t="s">
        <v>699</v>
      </c>
      <c r="J468" s="2" t="s">
        <v>1986</v>
      </c>
      <c r="K468" s="2" t="s">
        <v>1987</v>
      </c>
      <c r="L468" s="2" t="s">
        <v>1988</v>
      </c>
      <c r="M468" s="3">
        <v>3</v>
      </c>
      <c r="N468" s="3">
        <v>2</v>
      </c>
      <c r="P468" s="2" t="s">
        <v>1989</v>
      </c>
    </row>
    <row r="469" spans="1:16" ht="13">
      <c r="A469" s="2" t="s">
        <v>3</v>
      </c>
      <c r="B469" s="2" t="str">
        <f t="shared" si="7"/>
        <v>23-24 Academic Year</v>
      </c>
      <c r="C469" s="2">
        <v>41</v>
      </c>
      <c r="E469" s="10">
        <v>45263</v>
      </c>
      <c r="F469" s="2" t="s">
        <v>69</v>
      </c>
      <c r="G469" s="2" t="s">
        <v>1977</v>
      </c>
      <c r="H469" s="2" t="s">
        <v>6</v>
      </c>
      <c r="I469" s="2" t="s">
        <v>699</v>
      </c>
      <c r="J469" s="2" t="s">
        <v>1990</v>
      </c>
      <c r="K469" s="2" t="s">
        <v>1991</v>
      </c>
      <c r="L469" s="2" t="s">
        <v>1992</v>
      </c>
      <c r="M469" s="3">
        <v>1</v>
      </c>
      <c r="N469" s="3">
        <v>2</v>
      </c>
      <c r="P469" s="2" t="s">
        <v>1993</v>
      </c>
    </row>
    <row r="470" spans="1:16" ht="13">
      <c r="A470" s="2" t="s">
        <v>3</v>
      </c>
      <c r="B470" s="2" t="str">
        <f t="shared" si="7"/>
        <v>23-24 Academic Year</v>
      </c>
      <c r="C470" s="2">
        <v>42</v>
      </c>
      <c r="D470" s="2" t="s">
        <v>1994</v>
      </c>
      <c r="E470" s="10">
        <v>45263</v>
      </c>
      <c r="F470" s="2" t="s">
        <v>69</v>
      </c>
      <c r="G470" s="2" t="s">
        <v>1995</v>
      </c>
      <c r="H470" s="2" t="s">
        <v>6</v>
      </c>
      <c r="I470" s="2" t="s">
        <v>932</v>
      </c>
      <c r="J470" s="2" t="s">
        <v>1996</v>
      </c>
      <c r="K470" s="2" t="s">
        <v>330</v>
      </c>
      <c r="L470" s="2" t="s">
        <v>1997</v>
      </c>
      <c r="M470" s="3">
        <v>4</v>
      </c>
      <c r="N470" s="3">
        <v>1</v>
      </c>
      <c r="P470" s="2" t="s">
        <v>1998</v>
      </c>
    </row>
    <row r="471" spans="1:16" ht="13">
      <c r="A471" s="2" t="s">
        <v>3</v>
      </c>
      <c r="B471" s="2" t="str">
        <f t="shared" si="7"/>
        <v>23-24 Academic Year</v>
      </c>
      <c r="C471" s="2">
        <v>42</v>
      </c>
      <c r="D471" s="2" t="s">
        <v>1994</v>
      </c>
      <c r="E471" s="10">
        <v>45263</v>
      </c>
      <c r="F471" s="2" t="s">
        <v>69</v>
      </c>
      <c r="G471" s="2" t="s">
        <v>1995</v>
      </c>
      <c r="H471" s="2" t="s">
        <v>6</v>
      </c>
      <c r="I471" s="2" t="s">
        <v>932</v>
      </c>
      <c r="J471" s="2" t="s">
        <v>1999</v>
      </c>
      <c r="K471" s="2" t="s">
        <v>2000</v>
      </c>
      <c r="L471" s="2" t="s">
        <v>2001</v>
      </c>
      <c r="M471" s="3">
        <v>1</v>
      </c>
      <c r="N471" s="3">
        <v>1</v>
      </c>
      <c r="P471" s="2" t="s">
        <v>2002</v>
      </c>
    </row>
    <row r="472" spans="1:16" ht="13">
      <c r="A472" s="2" t="s">
        <v>3</v>
      </c>
      <c r="B472" s="2" t="str">
        <f t="shared" si="7"/>
        <v>23-24 Academic Year</v>
      </c>
      <c r="C472" s="2">
        <v>42</v>
      </c>
      <c r="D472" s="2" t="s">
        <v>1994</v>
      </c>
      <c r="E472" s="10">
        <v>45263</v>
      </c>
      <c r="F472" s="2" t="s">
        <v>69</v>
      </c>
      <c r="G472" s="2" t="s">
        <v>1995</v>
      </c>
      <c r="H472" s="2" t="s">
        <v>6</v>
      </c>
      <c r="I472" s="2" t="s">
        <v>932</v>
      </c>
      <c r="J472" s="2" t="s">
        <v>2003</v>
      </c>
      <c r="K472" s="2" t="s">
        <v>1293</v>
      </c>
      <c r="L472" s="2" t="s">
        <v>372</v>
      </c>
      <c r="M472" s="3">
        <v>1</v>
      </c>
      <c r="N472" s="3">
        <v>2</v>
      </c>
      <c r="P472" s="2" t="s">
        <v>2004</v>
      </c>
    </row>
    <row r="473" spans="1:16" ht="13">
      <c r="A473" s="2" t="s">
        <v>3</v>
      </c>
      <c r="B473" s="2" t="str">
        <f t="shared" si="7"/>
        <v>23-24 Academic Year</v>
      </c>
      <c r="C473" s="2">
        <v>42</v>
      </c>
      <c r="D473" s="2" t="s">
        <v>1994</v>
      </c>
      <c r="E473" s="10">
        <v>45263</v>
      </c>
      <c r="F473" s="2" t="s">
        <v>69</v>
      </c>
      <c r="G473" s="2" t="s">
        <v>1995</v>
      </c>
      <c r="H473" s="2" t="s">
        <v>6</v>
      </c>
      <c r="I473" s="2" t="s">
        <v>932</v>
      </c>
      <c r="J473" s="2" t="s">
        <v>2005</v>
      </c>
      <c r="K473" s="2" t="s">
        <v>2006</v>
      </c>
      <c r="L473" s="2" t="s">
        <v>2007</v>
      </c>
      <c r="M473" s="3">
        <v>1</v>
      </c>
      <c r="N473" s="3">
        <v>1</v>
      </c>
      <c r="P473" s="2" t="s">
        <v>2008</v>
      </c>
    </row>
    <row r="474" spans="1:16" ht="13">
      <c r="A474" s="2" t="s">
        <v>3</v>
      </c>
      <c r="B474" s="2" t="str">
        <f t="shared" si="7"/>
        <v>23-24 Academic Year</v>
      </c>
      <c r="C474" s="2">
        <v>42</v>
      </c>
      <c r="D474" s="2" t="s">
        <v>1994</v>
      </c>
      <c r="E474" s="10">
        <v>45263</v>
      </c>
      <c r="F474" s="2" t="s">
        <v>69</v>
      </c>
      <c r="G474" s="2" t="s">
        <v>1995</v>
      </c>
      <c r="H474" s="2" t="s">
        <v>6</v>
      </c>
      <c r="I474" s="2" t="s">
        <v>932</v>
      </c>
      <c r="J474" s="2" t="s">
        <v>2009</v>
      </c>
      <c r="K474" s="2" t="s">
        <v>1819</v>
      </c>
      <c r="L474" s="2" t="s">
        <v>1820</v>
      </c>
      <c r="M474" s="3">
        <v>4</v>
      </c>
      <c r="N474" s="3">
        <v>1</v>
      </c>
      <c r="P474" s="2" t="s">
        <v>1821</v>
      </c>
    </row>
    <row r="475" spans="1:16" ht="13">
      <c r="A475" s="2" t="s">
        <v>3</v>
      </c>
      <c r="B475" s="2" t="str">
        <f t="shared" si="7"/>
        <v>23-24 Academic Year</v>
      </c>
      <c r="C475" s="2">
        <v>42</v>
      </c>
      <c r="D475" s="2" t="s">
        <v>1994</v>
      </c>
      <c r="E475" s="10">
        <v>45263</v>
      </c>
      <c r="F475" s="2" t="s">
        <v>69</v>
      </c>
      <c r="G475" s="2" t="s">
        <v>1995</v>
      </c>
      <c r="H475" s="2" t="s">
        <v>6</v>
      </c>
      <c r="I475" s="2" t="s">
        <v>932</v>
      </c>
      <c r="J475" s="2" t="s">
        <v>2010</v>
      </c>
      <c r="K475" s="2" t="s">
        <v>1811</v>
      </c>
      <c r="L475" s="2" t="s">
        <v>1812</v>
      </c>
      <c r="M475" s="3">
        <v>4</v>
      </c>
      <c r="N475" s="3">
        <v>1</v>
      </c>
      <c r="P475" s="2" t="s">
        <v>2011</v>
      </c>
    </row>
    <row r="476" spans="1:16" ht="13">
      <c r="A476" s="2" t="s">
        <v>3</v>
      </c>
      <c r="B476" s="2" t="str">
        <f t="shared" si="7"/>
        <v>23-24 Academic Year</v>
      </c>
      <c r="C476" s="2">
        <v>43</v>
      </c>
      <c r="E476" s="10">
        <v>45263</v>
      </c>
      <c r="F476" s="2" t="s">
        <v>69</v>
      </c>
      <c r="G476" s="2" t="s">
        <v>2012</v>
      </c>
      <c r="H476" s="2" t="s">
        <v>6</v>
      </c>
      <c r="I476" s="2" t="s">
        <v>913</v>
      </c>
      <c r="J476" s="2" t="s">
        <v>2013</v>
      </c>
      <c r="K476" s="2" t="s">
        <v>402</v>
      </c>
      <c r="L476" s="2" t="s">
        <v>403</v>
      </c>
      <c r="M476" s="3">
        <v>1</v>
      </c>
      <c r="N476" s="3">
        <v>2</v>
      </c>
      <c r="P476" s="2" t="s">
        <v>2014</v>
      </c>
    </row>
    <row r="477" spans="1:16" ht="13">
      <c r="A477" s="2" t="s">
        <v>3</v>
      </c>
      <c r="B477" s="2" t="str">
        <f t="shared" si="7"/>
        <v>23-24 Academic Year</v>
      </c>
      <c r="C477" s="2">
        <v>43</v>
      </c>
      <c r="E477" s="10">
        <v>45263</v>
      </c>
      <c r="F477" s="2" t="s">
        <v>69</v>
      </c>
      <c r="G477" s="2" t="s">
        <v>2012</v>
      </c>
      <c r="H477" s="2" t="s">
        <v>6</v>
      </c>
      <c r="I477" s="2" t="s">
        <v>913</v>
      </c>
      <c r="J477" s="2" t="s">
        <v>2013</v>
      </c>
      <c r="K477" s="2" t="s">
        <v>2015</v>
      </c>
      <c r="L477" s="2" t="s">
        <v>2016</v>
      </c>
      <c r="M477" s="3">
        <v>2</v>
      </c>
      <c r="N477" s="3">
        <v>2</v>
      </c>
      <c r="P477" s="2" t="s">
        <v>2017</v>
      </c>
    </row>
    <row r="478" spans="1:16" ht="13">
      <c r="A478" s="2" t="s">
        <v>3</v>
      </c>
      <c r="B478" s="2" t="str">
        <f t="shared" si="7"/>
        <v>23-24 Academic Year</v>
      </c>
      <c r="C478" s="2">
        <v>43</v>
      </c>
      <c r="E478" s="10">
        <v>45263</v>
      </c>
      <c r="F478" s="2" t="s">
        <v>69</v>
      </c>
      <c r="G478" s="2" t="s">
        <v>2012</v>
      </c>
      <c r="H478" s="2" t="s">
        <v>6</v>
      </c>
      <c r="I478" s="2" t="s">
        <v>913</v>
      </c>
      <c r="J478" s="2" t="s">
        <v>2018</v>
      </c>
      <c r="K478" s="2" t="s">
        <v>1852</v>
      </c>
      <c r="L478" s="2" t="s">
        <v>1853</v>
      </c>
      <c r="M478" s="3">
        <v>3</v>
      </c>
      <c r="N478" s="3">
        <v>2</v>
      </c>
      <c r="P478" s="2" t="s">
        <v>2019</v>
      </c>
    </row>
    <row r="479" spans="1:16" ht="13">
      <c r="A479" s="2" t="s">
        <v>3</v>
      </c>
      <c r="B479" s="2" t="str">
        <f t="shared" si="7"/>
        <v>23-24 Academic Year</v>
      </c>
      <c r="C479" s="2">
        <v>43</v>
      </c>
      <c r="E479" s="10">
        <v>45263</v>
      </c>
      <c r="F479" s="2" t="s">
        <v>69</v>
      </c>
      <c r="G479" s="2" t="s">
        <v>2012</v>
      </c>
      <c r="H479" s="2" t="s">
        <v>6</v>
      </c>
      <c r="I479" s="2" t="s">
        <v>913</v>
      </c>
      <c r="J479" s="2" t="s">
        <v>2018</v>
      </c>
      <c r="K479" s="2" t="s">
        <v>1834</v>
      </c>
      <c r="L479" s="2" t="s">
        <v>1835</v>
      </c>
      <c r="M479" s="3">
        <v>3</v>
      </c>
      <c r="N479" s="3">
        <v>2</v>
      </c>
      <c r="P479" s="2" t="s">
        <v>1836</v>
      </c>
    </row>
    <row r="480" spans="1:16" ht="13">
      <c r="A480" s="2" t="s">
        <v>3</v>
      </c>
      <c r="B480" s="2" t="str">
        <f t="shared" si="7"/>
        <v>23-24 Academic Year</v>
      </c>
      <c r="C480" s="2">
        <v>43</v>
      </c>
      <c r="E480" s="10">
        <v>45263</v>
      </c>
      <c r="F480" s="2" t="s">
        <v>69</v>
      </c>
      <c r="G480" s="2" t="s">
        <v>2012</v>
      </c>
      <c r="H480" s="2" t="s">
        <v>6</v>
      </c>
      <c r="I480" s="2" t="s">
        <v>913</v>
      </c>
      <c r="J480" s="2" t="s">
        <v>2020</v>
      </c>
      <c r="K480" s="2" t="s">
        <v>1793</v>
      </c>
      <c r="L480" s="2" t="s">
        <v>1794</v>
      </c>
      <c r="M480" s="3">
        <v>2</v>
      </c>
      <c r="N480" s="3">
        <v>1</v>
      </c>
      <c r="P480" s="2" t="s">
        <v>1795</v>
      </c>
    </row>
    <row r="481" spans="1:16" ht="13">
      <c r="A481" s="2" t="s">
        <v>3</v>
      </c>
      <c r="B481" s="2" t="str">
        <f t="shared" si="7"/>
        <v>23-24 Academic Year</v>
      </c>
      <c r="C481" s="2">
        <v>43</v>
      </c>
      <c r="E481" s="10">
        <v>45263</v>
      </c>
      <c r="F481" s="2" t="s">
        <v>69</v>
      </c>
      <c r="G481" s="2" t="s">
        <v>2012</v>
      </c>
      <c r="H481" s="2" t="s">
        <v>6</v>
      </c>
      <c r="I481" s="2" t="s">
        <v>913</v>
      </c>
      <c r="J481" s="2" t="s">
        <v>2020</v>
      </c>
      <c r="K481" s="2" t="s">
        <v>2021</v>
      </c>
      <c r="L481" s="2" t="s">
        <v>2022</v>
      </c>
      <c r="M481" s="3">
        <v>2</v>
      </c>
      <c r="N481" s="3">
        <v>1</v>
      </c>
      <c r="P481" s="2" t="s">
        <v>2023</v>
      </c>
    </row>
    <row r="482" spans="1:16" ht="13">
      <c r="A482" s="2" t="s">
        <v>3</v>
      </c>
      <c r="B482" s="2" t="str">
        <f t="shared" si="7"/>
        <v>23-24 Academic Year</v>
      </c>
      <c r="C482" s="2">
        <v>44</v>
      </c>
      <c r="D482" s="2" t="s">
        <v>191</v>
      </c>
      <c r="E482" s="10">
        <v>45264</v>
      </c>
      <c r="F482" s="2" t="s">
        <v>69</v>
      </c>
      <c r="G482" s="2" t="s">
        <v>2024</v>
      </c>
      <c r="H482" s="2" t="s">
        <v>8</v>
      </c>
      <c r="I482" s="2" t="s">
        <v>8</v>
      </c>
      <c r="J482" s="2" t="s">
        <v>2025</v>
      </c>
      <c r="K482" s="2" t="s">
        <v>567</v>
      </c>
      <c r="L482" s="2" t="s">
        <v>2026</v>
      </c>
      <c r="M482" s="3">
        <v>2</v>
      </c>
      <c r="N482" s="3">
        <v>1</v>
      </c>
      <c r="P482" s="2" t="s">
        <v>2027</v>
      </c>
    </row>
    <row r="483" spans="1:16" ht="13">
      <c r="A483" s="2" t="s">
        <v>3</v>
      </c>
      <c r="B483" s="2" t="str">
        <f t="shared" si="7"/>
        <v>23-24 Academic Year</v>
      </c>
      <c r="C483" s="2">
        <v>44</v>
      </c>
      <c r="D483" s="2" t="s">
        <v>191</v>
      </c>
      <c r="E483" s="10">
        <v>45264</v>
      </c>
      <c r="F483" s="2" t="s">
        <v>69</v>
      </c>
      <c r="G483" s="2" t="s">
        <v>2024</v>
      </c>
      <c r="H483" s="2" t="s">
        <v>8</v>
      </c>
      <c r="I483" s="2" t="s">
        <v>8</v>
      </c>
      <c r="J483" s="2" t="s">
        <v>2028</v>
      </c>
      <c r="K483" s="2" t="s">
        <v>1890</v>
      </c>
      <c r="L483" s="2" t="s">
        <v>1891</v>
      </c>
      <c r="M483" s="3">
        <v>2</v>
      </c>
      <c r="N483" s="3">
        <v>1</v>
      </c>
      <c r="P483" s="2" t="s">
        <v>2029</v>
      </c>
    </row>
    <row r="484" spans="1:16" ht="13">
      <c r="A484" s="2" t="s">
        <v>3</v>
      </c>
      <c r="B484" s="2" t="str">
        <f t="shared" si="7"/>
        <v>23-24 Academic Year</v>
      </c>
      <c r="C484" s="2">
        <v>44</v>
      </c>
      <c r="D484" s="2" t="s">
        <v>191</v>
      </c>
      <c r="E484" s="10">
        <v>45264</v>
      </c>
      <c r="F484" s="2" t="s">
        <v>69</v>
      </c>
      <c r="G484" s="2" t="s">
        <v>2024</v>
      </c>
      <c r="H484" s="2" t="s">
        <v>8</v>
      </c>
      <c r="I484" s="2" t="s">
        <v>8</v>
      </c>
      <c r="J484" s="2" t="s">
        <v>2030</v>
      </c>
      <c r="K484" s="2" t="s">
        <v>420</v>
      </c>
      <c r="L484" s="2" t="s">
        <v>1700</v>
      </c>
      <c r="M484" s="3">
        <v>1</v>
      </c>
      <c r="N484" s="3">
        <v>1</v>
      </c>
      <c r="P484" s="2" t="s">
        <v>2031</v>
      </c>
    </row>
    <row r="485" spans="1:16" ht="13">
      <c r="A485" s="2" t="s">
        <v>3</v>
      </c>
      <c r="B485" s="2" t="str">
        <f t="shared" si="7"/>
        <v>23-24 Academic Year</v>
      </c>
      <c r="C485" s="2">
        <v>44</v>
      </c>
      <c r="D485" s="2" t="s">
        <v>191</v>
      </c>
      <c r="E485" s="10">
        <v>45264</v>
      </c>
      <c r="F485" s="2" t="s">
        <v>69</v>
      </c>
      <c r="G485" s="2" t="s">
        <v>2024</v>
      </c>
      <c r="H485" s="2" t="s">
        <v>8</v>
      </c>
      <c r="I485" s="2" t="s">
        <v>8</v>
      </c>
      <c r="J485" s="2" t="s">
        <v>2032</v>
      </c>
      <c r="K485" s="2" t="s">
        <v>2033</v>
      </c>
      <c r="L485" s="2" t="s">
        <v>2034</v>
      </c>
      <c r="M485" s="3"/>
      <c r="N485" s="3"/>
      <c r="P485" s="2" t="s">
        <v>2035</v>
      </c>
    </row>
    <row r="486" spans="1:16" ht="13">
      <c r="A486" s="2" t="s">
        <v>3</v>
      </c>
      <c r="B486" s="2" t="str">
        <f t="shared" si="7"/>
        <v>23-24 Academic Year</v>
      </c>
      <c r="C486" s="2">
        <v>45</v>
      </c>
      <c r="D486" s="2" t="s">
        <v>1603</v>
      </c>
      <c r="E486" s="10">
        <v>45265</v>
      </c>
      <c r="F486" s="2" t="s">
        <v>69</v>
      </c>
      <c r="G486" s="2" t="s">
        <v>2036</v>
      </c>
      <c r="H486" s="2" t="s">
        <v>7</v>
      </c>
      <c r="I486" s="2" t="s">
        <v>2037</v>
      </c>
      <c r="J486" s="2" t="s">
        <v>2038</v>
      </c>
      <c r="K486" s="2" t="s">
        <v>2039</v>
      </c>
      <c r="L486" s="2" t="s">
        <v>2040</v>
      </c>
      <c r="M486" s="3"/>
      <c r="N486" s="3"/>
      <c r="P486" s="2" t="s">
        <v>2041</v>
      </c>
    </row>
    <row r="487" spans="1:16" ht="13">
      <c r="A487" s="2" t="s">
        <v>3</v>
      </c>
      <c r="B487" s="2" t="str">
        <f t="shared" si="7"/>
        <v>23-24 Academic Year</v>
      </c>
      <c r="C487" s="2">
        <v>45</v>
      </c>
      <c r="D487" s="2" t="s">
        <v>1603</v>
      </c>
      <c r="E487" s="10">
        <v>45265</v>
      </c>
      <c r="F487" s="2" t="s">
        <v>69</v>
      </c>
      <c r="G487" s="2" t="s">
        <v>2036</v>
      </c>
      <c r="H487" s="2" t="s">
        <v>7</v>
      </c>
      <c r="I487" s="2" t="s">
        <v>2037</v>
      </c>
      <c r="J487" s="2" t="s">
        <v>2042</v>
      </c>
      <c r="K487" s="2" t="s">
        <v>2043</v>
      </c>
      <c r="L487" s="2" t="s">
        <v>2044</v>
      </c>
      <c r="M487" s="3"/>
      <c r="N487" s="3"/>
      <c r="P487" s="2" t="s">
        <v>2045</v>
      </c>
    </row>
    <row r="488" spans="1:16" ht="13">
      <c r="A488" s="2" t="s">
        <v>3</v>
      </c>
      <c r="B488" s="2" t="str">
        <f t="shared" si="7"/>
        <v>23-24 Academic Year</v>
      </c>
      <c r="C488" s="2">
        <v>45</v>
      </c>
      <c r="D488" s="2" t="s">
        <v>1603</v>
      </c>
      <c r="E488" s="10">
        <v>45265</v>
      </c>
      <c r="F488" s="2" t="s">
        <v>69</v>
      </c>
      <c r="G488" s="2" t="s">
        <v>2036</v>
      </c>
      <c r="H488" s="2" t="s">
        <v>7</v>
      </c>
      <c r="I488" s="2" t="s">
        <v>2037</v>
      </c>
      <c r="J488" s="2" t="s">
        <v>2046</v>
      </c>
      <c r="K488" s="2" t="s">
        <v>2047</v>
      </c>
      <c r="L488" s="2" t="s">
        <v>2048</v>
      </c>
      <c r="M488" s="3"/>
      <c r="N488" s="3"/>
      <c r="P488" s="2" t="s">
        <v>2049</v>
      </c>
    </row>
    <row r="489" spans="1:16" ht="13">
      <c r="A489" s="2" t="s">
        <v>3</v>
      </c>
      <c r="B489" s="2" t="str">
        <f t="shared" si="7"/>
        <v>23-24 Academic Year</v>
      </c>
      <c r="C489" s="2">
        <v>45</v>
      </c>
      <c r="D489" s="2" t="s">
        <v>1603</v>
      </c>
      <c r="E489" s="10">
        <v>45265</v>
      </c>
      <c r="F489" s="2" t="s">
        <v>69</v>
      </c>
      <c r="G489" s="2" t="s">
        <v>2036</v>
      </c>
      <c r="H489" s="2" t="s">
        <v>7</v>
      </c>
      <c r="I489" s="2" t="s">
        <v>2037</v>
      </c>
      <c r="J489" s="2" t="s">
        <v>2050</v>
      </c>
      <c r="K489" s="2" t="s">
        <v>2051</v>
      </c>
      <c r="L489" s="2" t="s">
        <v>2052</v>
      </c>
      <c r="M489" s="3"/>
      <c r="N489" s="3"/>
      <c r="P489" s="2" t="s">
        <v>2053</v>
      </c>
    </row>
    <row r="490" spans="1:16" ht="13">
      <c r="A490" s="2" t="s">
        <v>3</v>
      </c>
      <c r="B490" s="2" t="str">
        <f t="shared" si="7"/>
        <v>23-24 Academic Year</v>
      </c>
      <c r="C490" s="2">
        <v>45</v>
      </c>
      <c r="D490" s="2" t="s">
        <v>1603</v>
      </c>
      <c r="E490" s="10">
        <v>45265</v>
      </c>
      <c r="F490" s="2" t="s">
        <v>69</v>
      </c>
      <c r="G490" s="2" t="s">
        <v>2036</v>
      </c>
      <c r="H490" s="2" t="s">
        <v>7</v>
      </c>
      <c r="I490" s="2" t="s">
        <v>2037</v>
      </c>
      <c r="J490" s="2" t="s">
        <v>2054</v>
      </c>
      <c r="K490" s="2" t="s">
        <v>2055</v>
      </c>
      <c r="L490" s="2" t="s">
        <v>2056</v>
      </c>
      <c r="M490" s="3"/>
      <c r="N490" s="3"/>
      <c r="P490" s="2" t="s">
        <v>2057</v>
      </c>
    </row>
    <row r="491" spans="1:16" ht="13">
      <c r="A491" s="2" t="s">
        <v>3</v>
      </c>
      <c r="B491" s="2" t="str">
        <f t="shared" si="7"/>
        <v>23-24 Academic Year</v>
      </c>
      <c r="C491" s="2">
        <v>45</v>
      </c>
      <c r="D491" s="2" t="s">
        <v>1603</v>
      </c>
      <c r="E491" s="10">
        <v>45265</v>
      </c>
      <c r="F491" s="2" t="s">
        <v>69</v>
      </c>
      <c r="G491" s="2" t="s">
        <v>2036</v>
      </c>
      <c r="H491" s="2" t="s">
        <v>7</v>
      </c>
      <c r="I491" s="2" t="s">
        <v>2037</v>
      </c>
      <c r="J491" s="2" t="s">
        <v>2058</v>
      </c>
      <c r="K491" s="2" t="s">
        <v>2059</v>
      </c>
      <c r="L491" s="2" t="s">
        <v>2060</v>
      </c>
      <c r="M491" s="3"/>
      <c r="N491" s="3"/>
      <c r="P491" s="2" t="s">
        <v>2061</v>
      </c>
    </row>
    <row r="492" spans="1:16" ht="13">
      <c r="A492" s="2" t="s">
        <v>3</v>
      </c>
      <c r="B492" s="2" t="str">
        <f t="shared" si="7"/>
        <v>23-24 Academic Year</v>
      </c>
      <c r="C492" s="2">
        <v>45</v>
      </c>
      <c r="D492" s="2" t="s">
        <v>1603</v>
      </c>
      <c r="E492" s="10">
        <v>45265</v>
      </c>
      <c r="F492" s="2" t="s">
        <v>69</v>
      </c>
      <c r="G492" s="2" t="s">
        <v>2036</v>
      </c>
      <c r="H492" s="2" t="s">
        <v>7</v>
      </c>
      <c r="I492" s="2" t="s">
        <v>2037</v>
      </c>
      <c r="J492" s="2" t="s">
        <v>2062</v>
      </c>
      <c r="K492" s="2" t="s">
        <v>2063</v>
      </c>
      <c r="L492" s="2" t="s">
        <v>1516</v>
      </c>
      <c r="M492" s="3"/>
      <c r="N492" s="3"/>
      <c r="P492" s="2" t="s">
        <v>2064</v>
      </c>
    </row>
    <row r="493" spans="1:16" ht="13">
      <c r="A493" s="2" t="s">
        <v>3</v>
      </c>
      <c r="B493" s="2" t="str">
        <f t="shared" si="7"/>
        <v>23-24 Academic Year</v>
      </c>
      <c r="C493" s="2">
        <v>45</v>
      </c>
      <c r="D493" s="2" t="s">
        <v>1603</v>
      </c>
      <c r="E493" s="10">
        <v>45265</v>
      </c>
      <c r="F493" s="2" t="s">
        <v>69</v>
      </c>
      <c r="G493" s="2" t="s">
        <v>2036</v>
      </c>
      <c r="H493" s="2" t="s">
        <v>7</v>
      </c>
      <c r="I493" s="2" t="s">
        <v>2037</v>
      </c>
      <c r="J493" s="2" t="s">
        <v>2065</v>
      </c>
      <c r="K493" s="2" t="s">
        <v>2066</v>
      </c>
      <c r="L493" s="2" t="s">
        <v>2067</v>
      </c>
      <c r="M493" s="3"/>
      <c r="N493" s="3"/>
      <c r="P493" s="2" t="s">
        <v>2068</v>
      </c>
    </row>
    <row r="494" spans="1:16" ht="13">
      <c r="A494" s="2" t="s">
        <v>3</v>
      </c>
      <c r="B494" s="2" t="str">
        <f t="shared" si="7"/>
        <v>23-24 Academic Year</v>
      </c>
      <c r="C494" s="2">
        <v>45</v>
      </c>
      <c r="D494" s="2" t="s">
        <v>1603</v>
      </c>
      <c r="E494" s="10">
        <v>45265</v>
      </c>
      <c r="F494" s="2" t="s">
        <v>69</v>
      </c>
      <c r="G494" s="2" t="s">
        <v>2036</v>
      </c>
      <c r="H494" s="2" t="s">
        <v>7</v>
      </c>
      <c r="I494" s="2" t="s">
        <v>2037</v>
      </c>
      <c r="J494" s="2" t="s">
        <v>2069</v>
      </c>
      <c r="K494" s="2" t="s">
        <v>2070</v>
      </c>
      <c r="L494" s="2" t="s">
        <v>2071</v>
      </c>
      <c r="M494" s="3"/>
      <c r="N494" s="3"/>
      <c r="P494" s="2" t="s">
        <v>2072</v>
      </c>
    </row>
    <row r="495" spans="1:16" ht="13">
      <c r="A495" s="2" t="s">
        <v>3</v>
      </c>
      <c r="B495" s="2" t="str">
        <f t="shared" si="7"/>
        <v>23-24 Academic Year</v>
      </c>
      <c r="C495" s="2">
        <v>45</v>
      </c>
      <c r="D495" s="2" t="s">
        <v>1603</v>
      </c>
      <c r="E495" s="10">
        <v>45265</v>
      </c>
      <c r="F495" s="2" t="s">
        <v>69</v>
      </c>
      <c r="G495" s="2" t="s">
        <v>2036</v>
      </c>
      <c r="H495" s="2" t="s">
        <v>7</v>
      </c>
      <c r="I495" s="2" t="s">
        <v>2037</v>
      </c>
      <c r="J495" s="2" t="s">
        <v>2073</v>
      </c>
      <c r="K495" s="2" t="s">
        <v>2074</v>
      </c>
      <c r="L495" s="2" t="s">
        <v>2075</v>
      </c>
      <c r="M495" s="3"/>
      <c r="N495" s="3"/>
      <c r="P495" s="2" t="s">
        <v>2076</v>
      </c>
    </row>
    <row r="496" spans="1:16" ht="13">
      <c r="A496" s="2" t="s">
        <v>3</v>
      </c>
      <c r="B496" s="2" t="str">
        <f t="shared" si="7"/>
        <v>23-24 Academic Year</v>
      </c>
      <c r="C496" s="2">
        <v>45</v>
      </c>
      <c r="D496" s="2" t="s">
        <v>1603</v>
      </c>
      <c r="E496" s="10">
        <v>45265</v>
      </c>
      <c r="F496" s="2" t="s">
        <v>69</v>
      </c>
      <c r="G496" s="2" t="s">
        <v>2036</v>
      </c>
      <c r="H496" s="2" t="s">
        <v>7</v>
      </c>
      <c r="I496" s="2" t="s">
        <v>2037</v>
      </c>
      <c r="J496" s="2" t="s">
        <v>2077</v>
      </c>
      <c r="K496" s="2" t="s">
        <v>2055</v>
      </c>
      <c r="L496" s="2" t="s">
        <v>2056</v>
      </c>
      <c r="M496" s="3"/>
      <c r="N496" s="3"/>
      <c r="P496" s="2" t="s">
        <v>2078</v>
      </c>
    </row>
    <row r="497" spans="1:16" ht="13">
      <c r="A497" s="2" t="s">
        <v>3</v>
      </c>
      <c r="B497" s="2" t="str">
        <f t="shared" si="7"/>
        <v>23-24 Academic Year</v>
      </c>
      <c r="C497" s="2">
        <v>45</v>
      </c>
      <c r="D497" s="2" t="s">
        <v>1603</v>
      </c>
      <c r="E497" s="10">
        <v>45265</v>
      </c>
      <c r="F497" s="2" t="s">
        <v>69</v>
      </c>
      <c r="G497" s="2" t="s">
        <v>2036</v>
      </c>
      <c r="H497" s="2" t="s">
        <v>7</v>
      </c>
      <c r="I497" s="2" t="s">
        <v>2037</v>
      </c>
      <c r="J497" s="2" t="s">
        <v>2079</v>
      </c>
      <c r="K497" s="2" t="s">
        <v>2080</v>
      </c>
      <c r="L497" s="2" t="s">
        <v>2081</v>
      </c>
      <c r="M497" s="3"/>
      <c r="N497" s="3"/>
      <c r="P497" s="2" t="s">
        <v>2082</v>
      </c>
    </row>
    <row r="498" spans="1:16" ht="13">
      <c r="A498" s="2" t="s">
        <v>3</v>
      </c>
      <c r="B498" s="2" t="str">
        <f t="shared" si="7"/>
        <v>23-24 Academic Year</v>
      </c>
      <c r="C498" s="2">
        <v>46</v>
      </c>
      <c r="E498" s="10">
        <v>45266</v>
      </c>
      <c r="F498" s="2" t="s">
        <v>69</v>
      </c>
      <c r="G498" s="2" t="s">
        <v>2083</v>
      </c>
      <c r="H498" s="2" t="s">
        <v>6</v>
      </c>
      <c r="I498" s="2" t="s">
        <v>2084</v>
      </c>
      <c r="J498" s="2" t="s">
        <v>2085</v>
      </c>
      <c r="K498" s="2" t="s">
        <v>2086</v>
      </c>
      <c r="L498" s="2" t="s">
        <v>2087</v>
      </c>
      <c r="M498" s="3">
        <v>1</v>
      </c>
      <c r="N498" s="3">
        <v>2</v>
      </c>
      <c r="P498" s="2" t="s">
        <v>2088</v>
      </c>
    </row>
    <row r="499" spans="1:16" ht="13">
      <c r="A499" s="2" t="s">
        <v>3</v>
      </c>
      <c r="B499" s="2" t="str">
        <f t="shared" si="7"/>
        <v>23-24 Academic Year</v>
      </c>
      <c r="C499" s="2">
        <v>46</v>
      </c>
      <c r="E499" s="10">
        <v>45266</v>
      </c>
      <c r="F499" s="2" t="s">
        <v>69</v>
      </c>
      <c r="G499" s="2" t="s">
        <v>2083</v>
      </c>
      <c r="H499" s="2" t="s">
        <v>6</v>
      </c>
      <c r="I499" s="2" t="s">
        <v>2084</v>
      </c>
      <c r="J499" s="2" t="s">
        <v>2089</v>
      </c>
      <c r="K499" s="2" t="s">
        <v>670</v>
      </c>
      <c r="L499" s="2" t="s">
        <v>403</v>
      </c>
      <c r="M499" s="3">
        <v>1</v>
      </c>
      <c r="N499" s="3">
        <v>2</v>
      </c>
      <c r="P499" s="2" t="s">
        <v>2090</v>
      </c>
    </row>
    <row r="500" spans="1:16" ht="13">
      <c r="A500" s="2" t="s">
        <v>3</v>
      </c>
      <c r="B500" s="2" t="str">
        <f t="shared" si="7"/>
        <v>23-24 Academic Year</v>
      </c>
      <c r="C500" s="2">
        <v>46</v>
      </c>
      <c r="E500" s="10">
        <v>45266</v>
      </c>
      <c r="F500" s="2" t="s">
        <v>69</v>
      </c>
      <c r="G500" s="2" t="s">
        <v>2083</v>
      </c>
      <c r="H500" s="2" t="s">
        <v>6</v>
      </c>
      <c r="I500" s="2" t="s">
        <v>2084</v>
      </c>
      <c r="J500" s="2" t="s">
        <v>2091</v>
      </c>
      <c r="K500" s="2" t="s">
        <v>2092</v>
      </c>
      <c r="L500" s="2" t="s">
        <v>2093</v>
      </c>
      <c r="M500" s="3">
        <v>1</v>
      </c>
      <c r="N500" s="3">
        <v>2</v>
      </c>
      <c r="P500" s="2" t="s">
        <v>2094</v>
      </c>
    </row>
    <row r="501" spans="1:16" ht="13">
      <c r="A501" s="2" t="s">
        <v>3</v>
      </c>
      <c r="B501" s="2" t="str">
        <f t="shared" si="7"/>
        <v>23-24 Academic Year</v>
      </c>
      <c r="C501" s="2">
        <v>46</v>
      </c>
      <c r="E501" s="10">
        <v>45266</v>
      </c>
      <c r="F501" s="2" t="s">
        <v>69</v>
      </c>
      <c r="G501" s="2" t="s">
        <v>2083</v>
      </c>
      <c r="H501" s="2" t="s">
        <v>6</v>
      </c>
      <c r="I501" s="2" t="s">
        <v>2084</v>
      </c>
      <c r="J501" s="2" t="s">
        <v>2095</v>
      </c>
      <c r="K501" s="2" t="s">
        <v>435</v>
      </c>
      <c r="L501" s="2" t="s">
        <v>436</v>
      </c>
      <c r="M501" s="3">
        <v>2</v>
      </c>
      <c r="N501" s="3">
        <v>2</v>
      </c>
      <c r="P501" s="2" t="s">
        <v>2096</v>
      </c>
    </row>
    <row r="502" spans="1:16" ht="13">
      <c r="A502" s="2" t="s">
        <v>3</v>
      </c>
      <c r="B502" s="2" t="str">
        <f t="shared" si="7"/>
        <v>23-24 Academic Year</v>
      </c>
      <c r="C502" s="2">
        <v>46</v>
      </c>
      <c r="E502" s="10">
        <v>45266</v>
      </c>
      <c r="F502" s="2" t="s">
        <v>69</v>
      </c>
      <c r="G502" s="2" t="s">
        <v>2083</v>
      </c>
      <c r="H502" s="2" t="s">
        <v>6</v>
      </c>
      <c r="I502" s="2" t="s">
        <v>2084</v>
      </c>
      <c r="J502" s="2" t="s">
        <v>2097</v>
      </c>
      <c r="K502" s="2" t="s">
        <v>611</v>
      </c>
      <c r="L502" s="2" t="s">
        <v>1849</v>
      </c>
      <c r="M502" s="3">
        <v>4</v>
      </c>
      <c r="N502" s="3">
        <v>2</v>
      </c>
      <c r="P502" s="2" t="s">
        <v>2098</v>
      </c>
    </row>
    <row r="503" spans="1:16" ht="13">
      <c r="A503" s="2" t="s">
        <v>3</v>
      </c>
      <c r="B503" s="2" t="str">
        <f t="shared" si="7"/>
        <v>23-24 Academic Year</v>
      </c>
      <c r="C503" s="2">
        <v>46</v>
      </c>
      <c r="E503" s="10">
        <v>45266</v>
      </c>
      <c r="F503" s="2" t="s">
        <v>69</v>
      </c>
      <c r="G503" s="2" t="s">
        <v>2083</v>
      </c>
      <c r="H503" s="2" t="s">
        <v>6</v>
      </c>
      <c r="I503" s="2" t="s">
        <v>2084</v>
      </c>
      <c r="J503" s="2" t="s">
        <v>2099</v>
      </c>
      <c r="K503" s="2" t="s">
        <v>2100</v>
      </c>
      <c r="L503" s="2" t="s">
        <v>2101</v>
      </c>
      <c r="M503" s="3">
        <v>1</v>
      </c>
      <c r="N503" s="3">
        <v>2</v>
      </c>
      <c r="P503" s="2" t="s">
        <v>2102</v>
      </c>
    </row>
    <row r="504" spans="1:16" ht="13">
      <c r="A504" s="2" t="s">
        <v>3</v>
      </c>
      <c r="B504" s="2" t="str">
        <f t="shared" si="7"/>
        <v>23-24 Academic Year</v>
      </c>
      <c r="C504" s="2">
        <v>46</v>
      </c>
      <c r="E504" s="10">
        <v>45266</v>
      </c>
      <c r="F504" s="2" t="s">
        <v>69</v>
      </c>
      <c r="G504" s="2" t="s">
        <v>2083</v>
      </c>
      <c r="H504" s="2" t="s">
        <v>6</v>
      </c>
      <c r="I504" s="2" t="s">
        <v>2084</v>
      </c>
      <c r="J504" s="2" t="s">
        <v>2103</v>
      </c>
      <c r="K504" s="2" t="s">
        <v>571</v>
      </c>
      <c r="L504" s="2" t="s">
        <v>2104</v>
      </c>
      <c r="M504" s="3">
        <v>1</v>
      </c>
      <c r="N504" s="3">
        <v>2</v>
      </c>
      <c r="P504" s="2" t="s">
        <v>2105</v>
      </c>
    </row>
    <row r="505" spans="1:16" ht="13">
      <c r="A505" s="2" t="s">
        <v>3</v>
      </c>
      <c r="B505" s="2" t="str">
        <f t="shared" si="7"/>
        <v>23-24 Academic Year</v>
      </c>
      <c r="C505" s="2">
        <v>46</v>
      </c>
      <c r="E505" s="10">
        <v>45266</v>
      </c>
      <c r="F505" s="2" t="s">
        <v>69</v>
      </c>
      <c r="G505" s="2" t="s">
        <v>2083</v>
      </c>
      <c r="H505" s="2" t="s">
        <v>6</v>
      </c>
      <c r="I505" s="2" t="s">
        <v>2084</v>
      </c>
      <c r="J505" s="2" t="s">
        <v>2106</v>
      </c>
      <c r="K505" s="2" t="s">
        <v>2107</v>
      </c>
      <c r="L505" s="2" t="s">
        <v>2108</v>
      </c>
      <c r="M505" s="3">
        <v>2</v>
      </c>
      <c r="N505" s="3">
        <v>1</v>
      </c>
      <c r="P505" s="2" t="s">
        <v>2109</v>
      </c>
    </row>
    <row r="506" spans="1:16" ht="13">
      <c r="A506" s="2" t="s">
        <v>3</v>
      </c>
      <c r="B506" s="2" t="str">
        <f t="shared" si="7"/>
        <v>23-24 Academic Year</v>
      </c>
      <c r="C506" s="2">
        <v>47</v>
      </c>
      <c r="D506" s="2" t="s">
        <v>1758</v>
      </c>
      <c r="E506" s="10">
        <v>45267</v>
      </c>
      <c r="F506" s="2" t="s">
        <v>20</v>
      </c>
      <c r="G506" s="2" t="s">
        <v>2110</v>
      </c>
      <c r="H506" s="2" t="s">
        <v>8</v>
      </c>
      <c r="I506" s="2" t="s">
        <v>1647</v>
      </c>
      <c r="J506" s="2" t="s">
        <v>2111</v>
      </c>
      <c r="K506" s="2" t="s">
        <v>893</v>
      </c>
      <c r="L506" s="2" t="s">
        <v>2112</v>
      </c>
      <c r="M506" s="3">
        <v>3</v>
      </c>
      <c r="N506" s="3">
        <v>2</v>
      </c>
      <c r="P506" s="2" t="s">
        <v>2113</v>
      </c>
    </row>
    <row r="507" spans="1:16" ht="13">
      <c r="A507" s="2" t="s">
        <v>3</v>
      </c>
      <c r="B507" s="2" t="str">
        <f t="shared" si="7"/>
        <v>23-24 Academic Year</v>
      </c>
      <c r="C507" s="2">
        <v>47</v>
      </c>
      <c r="D507" s="2" t="s">
        <v>1758</v>
      </c>
      <c r="E507" s="10">
        <v>45267</v>
      </c>
      <c r="F507" s="2" t="s">
        <v>20</v>
      </c>
      <c r="G507" s="2" t="s">
        <v>2110</v>
      </c>
      <c r="H507" s="2" t="s">
        <v>8</v>
      </c>
      <c r="I507" s="2" t="s">
        <v>1647</v>
      </c>
      <c r="J507" s="2" t="s">
        <v>2114</v>
      </c>
      <c r="K507" s="2" t="s">
        <v>1668</v>
      </c>
      <c r="L507" s="2" t="s">
        <v>1669</v>
      </c>
      <c r="M507" s="3">
        <v>3</v>
      </c>
      <c r="N507" s="3">
        <v>2</v>
      </c>
      <c r="P507" s="2" t="s">
        <v>2115</v>
      </c>
    </row>
    <row r="508" spans="1:16" ht="13">
      <c r="A508" s="2" t="s">
        <v>3</v>
      </c>
      <c r="B508" s="2" t="str">
        <f t="shared" si="7"/>
        <v>23-24 Academic Year</v>
      </c>
      <c r="C508" s="2">
        <v>47</v>
      </c>
      <c r="D508" s="2" t="s">
        <v>1758</v>
      </c>
      <c r="E508" s="10">
        <v>45267</v>
      </c>
      <c r="F508" s="2" t="s">
        <v>20</v>
      </c>
      <c r="G508" s="2" t="s">
        <v>2110</v>
      </c>
      <c r="H508" s="2" t="s">
        <v>8</v>
      </c>
      <c r="I508" s="2" t="s">
        <v>1647</v>
      </c>
      <c r="J508" s="2" t="s">
        <v>2116</v>
      </c>
      <c r="K508" s="2" t="s">
        <v>2117</v>
      </c>
      <c r="L508" s="2" t="s">
        <v>2118</v>
      </c>
      <c r="M508" s="3">
        <v>3</v>
      </c>
      <c r="N508" s="3">
        <v>2</v>
      </c>
      <c r="P508" s="2" t="s">
        <v>2119</v>
      </c>
    </row>
    <row r="509" spans="1:16" ht="13">
      <c r="A509" s="2" t="s">
        <v>3</v>
      </c>
      <c r="B509" s="2" t="str">
        <f t="shared" si="7"/>
        <v>23-24 Academic Year</v>
      </c>
      <c r="C509" s="2">
        <v>47</v>
      </c>
      <c r="D509" s="2" t="s">
        <v>1758</v>
      </c>
      <c r="E509" s="10">
        <v>45267</v>
      </c>
      <c r="F509" s="2" t="s">
        <v>20</v>
      </c>
      <c r="G509" s="2" t="s">
        <v>2110</v>
      </c>
      <c r="H509" s="2" t="s">
        <v>8</v>
      </c>
      <c r="I509" s="2" t="s">
        <v>1647</v>
      </c>
      <c r="J509" s="2" t="s">
        <v>2120</v>
      </c>
      <c r="K509" s="2" t="s">
        <v>353</v>
      </c>
      <c r="L509" s="2" t="s">
        <v>1474</v>
      </c>
      <c r="M509" s="3">
        <v>1</v>
      </c>
      <c r="N509" s="3">
        <v>2</v>
      </c>
      <c r="P509" s="2" t="s">
        <v>2121</v>
      </c>
    </row>
    <row r="510" spans="1:16" ht="13">
      <c r="A510" s="2" t="s">
        <v>3</v>
      </c>
      <c r="B510" s="2" t="str">
        <f t="shared" si="7"/>
        <v>23-24 Academic Year</v>
      </c>
      <c r="C510" s="2">
        <v>47</v>
      </c>
      <c r="D510" s="2" t="s">
        <v>1758</v>
      </c>
      <c r="E510" s="10">
        <v>45267</v>
      </c>
      <c r="F510" s="2" t="s">
        <v>20</v>
      </c>
      <c r="G510" s="2" t="s">
        <v>2110</v>
      </c>
      <c r="H510" s="2" t="s">
        <v>8</v>
      </c>
      <c r="I510" s="2" t="s">
        <v>1647</v>
      </c>
      <c r="J510" s="2" t="s">
        <v>2122</v>
      </c>
      <c r="K510" s="2" t="s">
        <v>2123</v>
      </c>
      <c r="L510" s="2" t="s">
        <v>1082</v>
      </c>
      <c r="M510" s="3"/>
      <c r="N510" s="3"/>
      <c r="P510" s="2" t="s">
        <v>2124</v>
      </c>
    </row>
    <row r="511" spans="1:16" ht="13">
      <c r="A511" s="2" t="s">
        <v>3</v>
      </c>
      <c r="B511" s="2" t="str">
        <f t="shared" si="7"/>
        <v>23-24 Academic Year</v>
      </c>
      <c r="C511" s="2">
        <v>47</v>
      </c>
      <c r="D511" s="2" t="s">
        <v>1758</v>
      </c>
      <c r="E511" s="10">
        <v>45267</v>
      </c>
      <c r="F511" s="2" t="s">
        <v>20</v>
      </c>
      <c r="G511" s="2" t="s">
        <v>2110</v>
      </c>
      <c r="H511" s="2" t="s">
        <v>8</v>
      </c>
      <c r="I511" s="2" t="s">
        <v>1647</v>
      </c>
      <c r="J511" s="2" t="s">
        <v>2125</v>
      </c>
      <c r="K511" s="2" t="s">
        <v>2126</v>
      </c>
      <c r="L511" s="2" t="s">
        <v>2127</v>
      </c>
      <c r="M511" s="3">
        <v>3</v>
      </c>
      <c r="N511" s="3">
        <v>2</v>
      </c>
      <c r="P511" s="2" t="s">
        <v>2128</v>
      </c>
    </row>
    <row r="512" spans="1:16" ht="13">
      <c r="A512" s="2" t="s">
        <v>3</v>
      </c>
      <c r="B512" s="2" t="str">
        <f t="shared" si="7"/>
        <v>23-24 Academic Year</v>
      </c>
      <c r="C512" s="2">
        <v>47</v>
      </c>
      <c r="D512" s="2" t="s">
        <v>1758</v>
      </c>
      <c r="E512" s="10">
        <v>45267</v>
      </c>
      <c r="F512" s="2" t="s">
        <v>20</v>
      </c>
      <c r="G512" s="2" t="s">
        <v>2110</v>
      </c>
      <c r="H512" s="2" t="s">
        <v>8</v>
      </c>
      <c r="I512" s="2" t="s">
        <v>1647</v>
      </c>
      <c r="J512" s="2" t="s">
        <v>2129</v>
      </c>
      <c r="K512" s="2" t="s">
        <v>2130</v>
      </c>
      <c r="L512" s="2" t="s">
        <v>2131</v>
      </c>
      <c r="M512" s="3">
        <v>3</v>
      </c>
      <c r="N512" s="3">
        <v>2</v>
      </c>
      <c r="P512" s="2" t="s">
        <v>2132</v>
      </c>
    </row>
    <row r="513" spans="1:16" ht="13">
      <c r="A513" s="2" t="s">
        <v>3</v>
      </c>
      <c r="B513" s="2" t="str">
        <f t="shared" si="7"/>
        <v>23-24 Academic Year</v>
      </c>
      <c r="C513" s="2">
        <v>47</v>
      </c>
      <c r="D513" s="2" t="s">
        <v>1758</v>
      </c>
      <c r="E513" s="10">
        <v>45267</v>
      </c>
      <c r="F513" s="2" t="s">
        <v>20</v>
      </c>
      <c r="G513" s="2" t="s">
        <v>2110</v>
      </c>
      <c r="H513" s="2" t="s">
        <v>8</v>
      </c>
      <c r="I513" s="2" t="s">
        <v>1647</v>
      </c>
      <c r="J513" s="2" t="s">
        <v>2133</v>
      </c>
      <c r="K513" s="2" t="s">
        <v>2134</v>
      </c>
      <c r="L513" s="2" t="s">
        <v>2135</v>
      </c>
      <c r="M513" s="3">
        <v>3</v>
      </c>
      <c r="N513" s="3">
        <v>2</v>
      </c>
      <c r="P513" s="2" t="s">
        <v>2136</v>
      </c>
    </row>
    <row r="514" spans="1:16" ht="13">
      <c r="A514" s="2" t="s">
        <v>3</v>
      </c>
      <c r="B514" s="2" t="str">
        <f t="shared" si="7"/>
        <v>23-24 Academic Year</v>
      </c>
      <c r="C514" s="2">
        <v>47</v>
      </c>
      <c r="D514" s="2" t="s">
        <v>1758</v>
      </c>
      <c r="E514" s="10">
        <v>45267</v>
      </c>
      <c r="F514" s="2" t="s">
        <v>20</v>
      </c>
      <c r="G514" s="2" t="s">
        <v>2110</v>
      </c>
      <c r="H514" s="2" t="s">
        <v>8</v>
      </c>
      <c r="I514" s="2" t="s">
        <v>1647</v>
      </c>
      <c r="J514" s="2" t="s">
        <v>2137</v>
      </c>
      <c r="K514" s="2" t="s">
        <v>2138</v>
      </c>
      <c r="L514" s="2" t="s">
        <v>2139</v>
      </c>
      <c r="M514" s="3">
        <v>3</v>
      </c>
      <c r="N514" s="3">
        <v>2</v>
      </c>
      <c r="P514" s="2" t="s">
        <v>2140</v>
      </c>
    </row>
    <row r="515" spans="1:16" ht="13">
      <c r="A515" s="2" t="s">
        <v>3</v>
      </c>
      <c r="B515" s="2" t="str">
        <f t="shared" ref="B515:B578" si="8">RIGHT(TEXT(IF(LEFT(A515,4)="Fall",VALUE(RIGHT(A515,4)),VALUE(RIGHT(A515,4))-1),"00"),2)
 &amp; "-" &amp;
 RIGHT(TEXT(IF(LEFT(A515,4)="Fall",VALUE(RIGHT(A515,4))+1,VALUE(RIGHT(A515,4))),"00"),2)
 &amp; " Academic Year"</f>
        <v>23-24 Academic Year</v>
      </c>
      <c r="C515" s="2">
        <v>47</v>
      </c>
      <c r="D515" s="2" t="s">
        <v>1758</v>
      </c>
      <c r="E515" s="10">
        <v>45267</v>
      </c>
      <c r="F515" s="2" t="s">
        <v>20</v>
      </c>
      <c r="G515" s="2" t="s">
        <v>2110</v>
      </c>
      <c r="H515" s="2" t="s">
        <v>8</v>
      </c>
      <c r="I515" s="2" t="s">
        <v>1647</v>
      </c>
      <c r="J515" s="2" t="s">
        <v>2141</v>
      </c>
      <c r="K515" s="2" t="s">
        <v>2142</v>
      </c>
      <c r="L515" s="2" t="s">
        <v>2143</v>
      </c>
      <c r="M515" s="3">
        <v>3</v>
      </c>
      <c r="N515" s="3">
        <v>2</v>
      </c>
      <c r="P515" s="2" t="s">
        <v>2144</v>
      </c>
    </row>
    <row r="516" spans="1:16" ht="13">
      <c r="A516" s="2" t="s">
        <v>3</v>
      </c>
      <c r="B516" s="2" t="str">
        <f t="shared" si="8"/>
        <v>23-24 Academic Year</v>
      </c>
      <c r="C516" s="2">
        <v>47</v>
      </c>
      <c r="D516" s="2" t="s">
        <v>1758</v>
      </c>
      <c r="E516" s="10">
        <v>45267</v>
      </c>
      <c r="F516" s="2" t="s">
        <v>20</v>
      </c>
      <c r="G516" s="2" t="s">
        <v>2110</v>
      </c>
      <c r="H516" s="2" t="s">
        <v>8</v>
      </c>
      <c r="I516" s="2" t="s">
        <v>1647</v>
      </c>
      <c r="J516" s="2" t="s">
        <v>2145</v>
      </c>
      <c r="K516" s="2" t="s">
        <v>2146</v>
      </c>
      <c r="L516" s="2" t="s">
        <v>2147</v>
      </c>
      <c r="M516" s="3">
        <v>1</v>
      </c>
      <c r="N516" s="3">
        <v>1</v>
      </c>
      <c r="P516" s="2" t="s">
        <v>2148</v>
      </c>
    </row>
    <row r="517" spans="1:16" ht="13">
      <c r="A517" s="2" t="s">
        <v>3</v>
      </c>
      <c r="B517" s="2" t="str">
        <f t="shared" si="8"/>
        <v>23-24 Academic Year</v>
      </c>
      <c r="C517" s="2">
        <v>47</v>
      </c>
      <c r="D517" s="2" t="s">
        <v>1758</v>
      </c>
      <c r="E517" s="10">
        <v>45267</v>
      </c>
      <c r="F517" s="2" t="s">
        <v>20</v>
      </c>
      <c r="G517" s="2" t="s">
        <v>2110</v>
      </c>
      <c r="H517" s="2" t="s">
        <v>8</v>
      </c>
      <c r="I517" s="2" t="s">
        <v>1647</v>
      </c>
      <c r="J517" s="2" t="s">
        <v>2149</v>
      </c>
      <c r="K517" s="2" t="s">
        <v>2150</v>
      </c>
      <c r="L517" s="2" t="s">
        <v>1923</v>
      </c>
      <c r="M517" s="3"/>
      <c r="N517" s="3"/>
      <c r="P517" s="2" t="s">
        <v>1924</v>
      </c>
    </row>
    <row r="518" spans="1:16" ht="13">
      <c r="A518" s="2" t="s">
        <v>3</v>
      </c>
      <c r="B518" s="2" t="str">
        <f t="shared" si="8"/>
        <v>23-24 Academic Year</v>
      </c>
      <c r="C518" s="2">
        <v>47</v>
      </c>
      <c r="D518" s="2" t="s">
        <v>1758</v>
      </c>
      <c r="E518" s="10">
        <v>45267</v>
      </c>
      <c r="F518" s="2" t="s">
        <v>20</v>
      </c>
      <c r="G518" s="2" t="s">
        <v>2110</v>
      </c>
      <c r="H518" s="2" t="s">
        <v>8</v>
      </c>
      <c r="I518" s="2" t="s">
        <v>1647</v>
      </c>
      <c r="J518" s="2" t="s">
        <v>2151</v>
      </c>
      <c r="K518" s="2" t="s">
        <v>355</v>
      </c>
      <c r="L518" s="2" t="s">
        <v>1661</v>
      </c>
      <c r="M518" s="3">
        <v>3</v>
      </c>
      <c r="N518" s="3">
        <v>2</v>
      </c>
      <c r="P518" s="2" t="s">
        <v>2152</v>
      </c>
    </row>
    <row r="519" spans="1:16" ht="13">
      <c r="A519" s="2" t="s">
        <v>3</v>
      </c>
      <c r="B519" s="2" t="str">
        <f t="shared" si="8"/>
        <v>23-24 Academic Year</v>
      </c>
      <c r="C519" s="2">
        <v>47</v>
      </c>
      <c r="D519" s="2" t="s">
        <v>1758</v>
      </c>
      <c r="E519" s="10">
        <v>45267</v>
      </c>
      <c r="F519" s="2" t="s">
        <v>20</v>
      </c>
      <c r="G519" s="2" t="s">
        <v>2110</v>
      </c>
      <c r="H519" s="2" t="s">
        <v>8</v>
      </c>
      <c r="I519" s="2" t="s">
        <v>1647</v>
      </c>
      <c r="J519" s="2" t="s">
        <v>2153</v>
      </c>
      <c r="K519" s="2" t="s">
        <v>362</v>
      </c>
      <c r="L519" s="2" t="s">
        <v>2154</v>
      </c>
      <c r="M519" s="3">
        <v>3</v>
      </c>
      <c r="N519" s="3">
        <v>2</v>
      </c>
      <c r="P519" s="2" t="s">
        <v>2155</v>
      </c>
    </row>
    <row r="520" spans="1:16" ht="13">
      <c r="A520" s="2" t="s">
        <v>3</v>
      </c>
      <c r="B520" s="2" t="str">
        <f t="shared" si="8"/>
        <v>23-24 Academic Year</v>
      </c>
      <c r="C520" s="2">
        <v>48</v>
      </c>
      <c r="D520" s="2" t="s">
        <v>2156</v>
      </c>
      <c r="E520" s="10">
        <v>45268</v>
      </c>
      <c r="F520" s="2" t="s">
        <v>69</v>
      </c>
      <c r="G520" s="2" t="s">
        <v>1368</v>
      </c>
      <c r="H520" s="2" t="s">
        <v>6</v>
      </c>
      <c r="I520" s="2" t="s">
        <v>434</v>
      </c>
      <c r="J520" s="2" t="s">
        <v>2157</v>
      </c>
      <c r="K520" s="2" t="s">
        <v>2158</v>
      </c>
      <c r="L520" s="2" t="s">
        <v>2159</v>
      </c>
      <c r="M520" s="3">
        <v>3</v>
      </c>
      <c r="N520" s="3">
        <v>2</v>
      </c>
      <c r="P520" s="2" t="s">
        <v>2160</v>
      </c>
    </row>
    <row r="521" spans="1:16" ht="13">
      <c r="A521" s="2" t="s">
        <v>3</v>
      </c>
      <c r="B521" s="2" t="str">
        <f t="shared" si="8"/>
        <v>23-24 Academic Year</v>
      </c>
      <c r="C521" s="2">
        <v>48</v>
      </c>
      <c r="D521" s="2" t="s">
        <v>2156</v>
      </c>
      <c r="E521" s="10">
        <v>45268</v>
      </c>
      <c r="F521" s="2" t="s">
        <v>69</v>
      </c>
      <c r="G521" s="2" t="s">
        <v>1368</v>
      </c>
      <c r="H521" s="2" t="s">
        <v>6</v>
      </c>
      <c r="I521" s="2" t="s">
        <v>1028</v>
      </c>
      <c r="J521" s="2" t="s">
        <v>2161</v>
      </c>
      <c r="K521" s="2" t="s">
        <v>2162</v>
      </c>
      <c r="L521" s="2" t="s">
        <v>2163</v>
      </c>
      <c r="M521" s="3">
        <v>1</v>
      </c>
      <c r="N521" s="3">
        <v>1</v>
      </c>
      <c r="P521" s="2" t="s">
        <v>2164</v>
      </c>
    </row>
    <row r="522" spans="1:16" ht="13">
      <c r="A522" s="2" t="s">
        <v>3</v>
      </c>
      <c r="B522" s="2" t="str">
        <f t="shared" si="8"/>
        <v>23-24 Academic Year</v>
      </c>
      <c r="C522" s="2">
        <v>48</v>
      </c>
      <c r="D522" s="2" t="s">
        <v>2156</v>
      </c>
      <c r="E522" s="10">
        <v>45268</v>
      </c>
      <c r="F522" s="2" t="s">
        <v>69</v>
      </c>
      <c r="G522" s="2" t="s">
        <v>1368</v>
      </c>
      <c r="H522" s="2" t="s">
        <v>6</v>
      </c>
      <c r="I522" s="2" t="s">
        <v>619</v>
      </c>
      <c r="J522" s="2" t="s">
        <v>2165</v>
      </c>
      <c r="K522" s="2" t="s">
        <v>2166</v>
      </c>
      <c r="L522" s="2" t="s">
        <v>2167</v>
      </c>
      <c r="M522" s="3">
        <v>1</v>
      </c>
      <c r="N522" s="3">
        <v>2</v>
      </c>
      <c r="P522" s="2" t="s">
        <v>2168</v>
      </c>
    </row>
    <row r="523" spans="1:16" ht="13">
      <c r="A523" s="2" t="s">
        <v>5</v>
      </c>
      <c r="B523" s="2" t="str">
        <f t="shared" si="8"/>
        <v>24-25 Academic Year</v>
      </c>
      <c r="C523" s="2">
        <v>1</v>
      </c>
      <c r="D523" s="2" t="s">
        <v>3367</v>
      </c>
      <c r="E523" s="10">
        <v>45546</v>
      </c>
      <c r="F523" s="2" t="s">
        <v>1393</v>
      </c>
      <c r="G523" s="2" t="s">
        <v>30</v>
      </c>
      <c r="H523" s="2" t="s">
        <v>6</v>
      </c>
      <c r="I523" s="2" t="s">
        <v>3368</v>
      </c>
      <c r="J523" s="2" t="s">
        <v>2171</v>
      </c>
      <c r="K523" s="2" t="s">
        <v>3369</v>
      </c>
      <c r="L523" s="2" t="s">
        <v>3370</v>
      </c>
      <c r="M523" s="3">
        <v>999</v>
      </c>
      <c r="N523" s="3">
        <v>999</v>
      </c>
      <c r="P523" s="2" t="s">
        <v>3372</v>
      </c>
    </row>
    <row r="524" spans="1:16" ht="13">
      <c r="A524" s="2" t="s">
        <v>5</v>
      </c>
      <c r="B524" s="2" t="str">
        <f t="shared" si="8"/>
        <v>24-25 Academic Year</v>
      </c>
      <c r="C524" s="2">
        <v>2</v>
      </c>
      <c r="D524" s="2" t="s">
        <v>3373</v>
      </c>
      <c r="E524" s="10">
        <v>45549</v>
      </c>
      <c r="F524" s="2" t="s">
        <v>3374</v>
      </c>
      <c r="G524" s="2" t="s">
        <v>8</v>
      </c>
      <c r="H524" s="2" t="s">
        <v>8</v>
      </c>
      <c r="J524" s="2" t="s">
        <v>2185</v>
      </c>
      <c r="K524" s="2" t="s">
        <v>1119</v>
      </c>
      <c r="L524" s="2" t="s">
        <v>1676</v>
      </c>
      <c r="M524" s="3">
        <v>1</v>
      </c>
      <c r="N524" s="3">
        <v>2</v>
      </c>
      <c r="P524" s="2" t="s">
        <v>2999</v>
      </c>
    </row>
    <row r="525" spans="1:16" ht="13">
      <c r="A525" s="2" t="s">
        <v>5</v>
      </c>
      <c r="B525" s="2" t="str">
        <f t="shared" si="8"/>
        <v>24-25 Academic Year</v>
      </c>
      <c r="C525" s="2">
        <v>2</v>
      </c>
      <c r="D525" s="2" t="s">
        <v>3373</v>
      </c>
      <c r="E525" s="10">
        <v>45549</v>
      </c>
      <c r="F525" s="2" t="s">
        <v>3374</v>
      </c>
      <c r="G525" s="2" t="s">
        <v>8</v>
      </c>
      <c r="H525" s="2" t="s">
        <v>8</v>
      </c>
      <c r="J525" s="2" t="s">
        <v>2187</v>
      </c>
      <c r="K525" s="2" t="s">
        <v>712</v>
      </c>
      <c r="L525" s="2" t="s">
        <v>1766</v>
      </c>
      <c r="M525" s="3">
        <v>1</v>
      </c>
      <c r="N525" s="3">
        <v>1</v>
      </c>
      <c r="P525" s="2" t="s">
        <v>3375</v>
      </c>
    </row>
    <row r="526" spans="1:16" ht="13">
      <c r="A526" s="2" t="s">
        <v>5</v>
      </c>
      <c r="B526" s="2" t="str">
        <f t="shared" si="8"/>
        <v>24-25 Academic Year</v>
      </c>
      <c r="C526" s="2">
        <v>2</v>
      </c>
      <c r="D526" s="2" t="s">
        <v>3373</v>
      </c>
      <c r="E526" s="10">
        <v>45549</v>
      </c>
      <c r="F526" s="2" t="s">
        <v>3374</v>
      </c>
      <c r="G526" s="2" t="s">
        <v>8</v>
      </c>
      <c r="H526" s="2" t="s">
        <v>8</v>
      </c>
      <c r="J526" s="2" t="s">
        <v>2190</v>
      </c>
      <c r="K526" s="2" t="s">
        <v>3376</v>
      </c>
      <c r="L526" s="2" t="s">
        <v>4845</v>
      </c>
      <c r="M526" s="3">
        <v>1</v>
      </c>
      <c r="N526" s="3">
        <v>2</v>
      </c>
      <c r="P526" s="2" t="s">
        <v>3377</v>
      </c>
    </row>
    <row r="527" spans="1:16" ht="13">
      <c r="A527" s="2" t="s">
        <v>5</v>
      </c>
      <c r="B527" s="2" t="str">
        <f t="shared" si="8"/>
        <v>24-25 Academic Year</v>
      </c>
      <c r="C527" s="2">
        <v>2</v>
      </c>
      <c r="D527" s="2" t="s">
        <v>3373</v>
      </c>
      <c r="E527" s="10">
        <v>45549</v>
      </c>
      <c r="F527" s="2" t="s">
        <v>3374</v>
      </c>
      <c r="G527" s="2" t="s">
        <v>8</v>
      </c>
      <c r="H527" s="2" t="s">
        <v>8</v>
      </c>
      <c r="J527" s="2" t="s">
        <v>3378</v>
      </c>
      <c r="K527" s="2" t="s">
        <v>431</v>
      </c>
      <c r="L527" s="2" t="s">
        <v>1360</v>
      </c>
      <c r="M527" s="3">
        <v>1</v>
      </c>
      <c r="N527" s="3">
        <v>2</v>
      </c>
      <c r="P527" s="2" t="s">
        <v>3379</v>
      </c>
    </row>
    <row r="528" spans="1:16" ht="13">
      <c r="A528" s="2" t="s">
        <v>5</v>
      </c>
      <c r="B528" s="2" t="str">
        <f t="shared" si="8"/>
        <v>24-25 Academic Year</v>
      </c>
      <c r="C528" s="2">
        <v>3</v>
      </c>
      <c r="D528" s="2" t="s">
        <v>638</v>
      </c>
      <c r="E528" s="10">
        <v>45549</v>
      </c>
      <c r="F528" s="2" t="s">
        <v>2567</v>
      </c>
      <c r="G528" s="2" t="s">
        <v>7</v>
      </c>
      <c r="H528" s="2" t="s">
        <v>7</v>
      </c>
      <c r="J528" s="2" t="s">
        <v>2181</v>
      </c>
      <c r="K528" s="2" t="s">
        <v>3380</v>
      </c>
      <c r="L528" s="2" t="s">
        <v>3381</v>
      </c>
      <c r="M528" s="3">
        <v>2</v>
      </c>
      <c r="N528" s="3">
        <v>2</v>
      </c>
      <c r="P528" s="2" t="s">
        <v>3382</v>
      </c>
    </row>
    <row r="529" spans="1:16" ht="13">
      <c r="A529" s="2" t="s">
        <v>5</v>
      </c>
      <c r="B529" s="2" t="str">
        <f t="shared" si="8"/>
        <v>24-25 Academic Year</v>
      </c>
      <c r="C529" s="2">
        <v>3</v>
      </c>
      <c r="D529" s="2" t="s">
        <v>638</v>
      </c>
      <c r="E529" s="10">
        <v>45549</v>
      </c>
      <c r="F529" s="2" t="s">
        <v>2567</v>
      </c>
      <c r="G529" s="2" t="s">
        <v>7</v>
      </c>
      <c r="H529" s="2" t="s">
        <v>7</v>
      </c>
      <c r="J529" s="2" t="s">
        <v>3383</v>
      </c>
      <c r="K529" s="2" t="s">
        <v>3384</v>
      </c>
      <c r="L529" s="2" t="s">
        <v>4846</v>
      </c>
      <c r="M529" s="3">
        <v>4</v>
      </c>
      <c r="N529" s="3">
        <v>1</v>
      </c>
      <c r="P529" s="2" t="s">
        <v>3385</v>
      </c>
    </row>
    <row r="530" spans="1:16" ht="13">
      <c r="A530" s="2" t="s">
        <v>5</v>
      </c>
      <c r="B530" s="2" t="str">
        <f t="shared" si="8"/>
        <v>24-25 Academic Year</v>
      </c>
      <c r="C530" s="2">
        <v>3</v>
      </c>
      <c r="D530" s="2" t="s">
        <v>638</v>
      </c>
      <c r="E530" s="10">
        <v>45549</v>
      </c>
      <c r="F530" s="2" t="s">
        <v>2567</v>
      </c>
      <c r="G530" s="2" t="s">
        <v>7</v>
      </c>
      <c r="H530" s="2" t="s">
        <v>7</v>
      </c>
      <c r="J530" s="2" t="s">
        <v>3386</v>
      </c>
      <c r="K530" s="2" t="s">
        <v>3387</v>
      </c>
      <c r="L530" s="2" t="s">
        <v>4847</v>
      </c>
      <c r="M530" s="3">
        <v>4</v>
      </c>
      <c r="N530" s="3">
        <v>1</v>
      </c>
      <c r="P530" s="2" t="s">
        <v>3388</v>
      </c>
    </row>
    <row r="531" spans="1:16" ht="13">
      <c r="A531" s="2" t="s">
        <v>5</v>
      </c>
      <c r="B531" s="2" t="str">
        <f t="shared" si="8"/>
        <v>24-25 Academic Year</v>
      </c>
      <c r="C531" s="2">
        <v>4</v>
      </c>
      <c r="D531" s="2" t="s">
        <v>3389</v>
      </c>
      <c r="E531" s="10">
        <v>45561</v>
      </c>
      <c r="F531" s="2" t="s">
        <v>1393</v>
      </c>
      <c r="G531" s="2" t="s">
        <v>8</v>
      </c>
      <c r="H531" s="2" t="s">
        <v>8</v>
      </c>
      <c r="J531" s="2" t="s">
        <v>3390</v>
      </c>
      <c r="K531" s="2" t="s">
        <v>3391</v>
      </c>
      <c r="L531" s="2" t="s">
        <v>4289</v>
      </c>
      <c r="M531" s="3">
        <v>2</v>
      </c>
      <c r="N531" s="3">
        <v>1</v>
      </c>
      <c r="P531" s="2" t="s">
        <v>3392</v>
      </c>
    </row>
    <row r="532" spans="1:16" ht="13">
      <c r="A532" s="2" t="s">
        <v>5</v>
      </c>
      <c r="B532" s="2" t="str">
        <f t="shared" si="8"/>
        <v>24-25 Academic Year</v>
      </c>
      <c r="C532" s="2">
        <v>4</v>
      </c>
      <c r="D532" s="2" t="s">
        <v>3389</v>
      </c>
      <c r="E532" s="10">
        <v>45561</v>
      </c>
      <c r="F532" s="2" t="s">
        <v>1393</v>
      </c>
      <c r="G532" s="2" t="s">
        <v>8</v>
      </c>
      <c r="H532" s="2" t="s">
        <v>8</v>
      </c>
      <c r="J532" s="2" t="s">
        <v>2193</v>
      </c>
      <c r="K532" s="2" t="s">
        <v>3391</v>
      </c>
      <c r="L532" s="2" t="s">
        <v>4289</v>
      </c>
      <c r="M532" s="3">
        <v>2</v>
      </c>
      <c r="N532" s="3">
        <v>1</v>
      </c>
      <c r="P532" s="2" t="s">
        <v>3393</v>
      </c>
    </row>
    <row r="533" spans="1:16" ht="13">
      <c r="A533" s="2" t="s">
        <v>5</v>
      </c>
      <c r="B533" s="2" t="str">
        <f t="shared" si="8"/>
        <v>24-25 Academic Year</v>
      </c>
      <c r="C533" s="2">
        <v>4</v>
      </c>
      <c r="D533" s="2" t="s">
        <v>3389</v>
      </c>
      <c r="E533" s="10">
        <v>45561</v>
      </c>
      <c r="F533" s="2" t="s">
        <v>1393</v>
      </c>
      <c r="G533" s="2" t="s">
        <v>8</v>
      </c>
      <c r="H533" s="2" t="s">
        <v>8</v>
      </c>
      <c r="J533" s="2" t="s">
        <v>2195</v>
      </c>
      <c r="K533" s="2" t="s">
        <v>3391</v>
      </c>
      <c r="L533" s="2" t="s">
        <v>4289</v>
      </c>
      <c r="M533" s="3">
        <v>2</v>
      </c>
      <c r="N533" s="3">
        <v>1</v>
      </c>
      <c r="P533" s="2" t="s">
        <v>3394</v>
      </c>
    </row>
    <row r="534" spans="1:16" ht="13">
      <c r="A534" s="2" t="s">
        <v>5</v>
      </c>
      <c r="B534" s="2" t="str">
        <f t="shared" si="8"/>
        <v>24-25 Academic Year</v>
      </c>
      <c r="C534" s="2">
        <v>4</v>
      </c>
      <c r="D534" s="2" t="s">
        <v>3389</v>
      </c>
      <c r="E534" s="10">
        <v>45561</v>
      </c>
      <c r="F534" s="2" t="s">
        <v>1393</v>
      </c>
      <c r="G534" s="2" t="s">
        <v>8</v>
      </c>
      <c r="H534" s="2" t="s">
        <v>8</v>
      </c>
      <c r="J534" s="2" t="s">
        <v>2197</v>
      </c>
      <c r="K534" s="2" t="s">
        <v>3391</v>
      </c>
      <c r="L534" s="2" t="s">
        <v>4289</v>
      </c>
      <c r="M534" s="3">
        <v>2</v>
      </c>
      <c r="N534" s="3">
        <v>1</v>
      </c>
      <c r="P534" s="2" t="s">
        <v>2999</v>
      </c>
    </row>
    <row r="535" spans="1:16" ht="13">
      <c r="A535" s="2" t="s">
        <v>5</v>
      </c>
      <c r="B535" s="2" t="str">
        <f t="shared" si="8"/>
        <v>24-25 Academic Year</v>
      </c>
      <c r="C535" s="2">
        <v>4</v>
      </c>
      <c r="D535" s="2" t="s">
        <v>3389</v>
      </c>
      <c r="E535" s="10">
        <v>45561</v>
      </c>
      <c r="F535" s="2" t="s">
        <v>1393</v>
      </c>
      <c r="G535" s="2" t="s">
        <v>8</v>
      </c>
      <c r="H535" s="2" t="s">
        <v>8</v>
      </c>
      <c r="J535" s="2" t="s">
        <v>2200</v>
      </c>
      <c r="K535" s="2" t="s">
        <v>3391</v>
      </c>
      <c r="L535" s="2" t="s">
        <v>4289</v>
      </c>
      <c r="M535" s="3">
        <v>2</v>
      </c>
      <c r="N535" s="3">
        <v>1</v>
      </c>
      <c r="P535" s="2" t="s">
        <v>3395</v>
      </c>
    </row>
    <row r="536" spans="1:16" ht="13">
      <c r="A536" s="2" t="s">
        <v>5</v>
      </c>
      <c r="B536" s="2" t="str">
        <f t="shared" si="8"/>
        <v>24-25 Academic Year</v>
      </c>
      <c r="C536" s="2">
        <v>4</v>
      </c>
      <c r="D536" s="2" t="s">
        <v>3389</v>
      </c>
      <c r="E536" s="10">
        <v>45561</v>
      </c>
      <c r="F536" s="2" t="s">
        <v>1393</v>
      </c>
      <c r="G536" s="2" t="s">
        <v>8</v>
      </c>
      <c r="H536" s="2" t="s">
        <v>8</v>
      </c>
      <c r="J536" s="2" t="s">
        <v>2202</v>
      </c>
      <c r="K536" s="2" t="s">
        <v>3391</v>
      </c>
      <c r="L536" s="2" t="s">
        <v>4289</v>
      </c>
      <c r="M536" s="3">
        <v>2</v>
      </c>
      <c r="N536" s="3">
        <v>1</v>
      </c>
      <c r="P536" s="2" t="s">
        <v>3396</v>
      </c>
    </row>
    <row r="537" spans="1:16" ht="13">
      <c r="A537" s="2" t="s">
        <v>5</v>
      </c>
      <c r="B537" s="2" t="str">
        <f t="shared" si="8"/>
        <v>24-25 Academic Year</v>
      </c>
      <c r="C537" s="2">
        <v>4</v>
      </c>
      <c r="D537" s="2" t="s">
        <v>3389</v>
      </c>
      <c r="E537" s="10">
        <v>45561</v>
      </c>
      <c r="F537" s="2" t="s">
        <v>1393</v>
      </c>
      <c r="G537" s="2" t="s">
        <v>8</v>
      </c>
      <c r="H537" s="2" t="s">
        <v>8</v>
      </c>
      <c r="J537" s="2" t="s">
        <v>3397</v>
      </c>
      <c r="K537" s="2" t="s">
        <v>3391</v>
      </c>
      <c r="L537" s="2" t="s">
        <v>4289</v>
      </c>
      <c r="M537" s="3">
        <v>2</v>
      </c>
      <c r="N537" s="3">
        <v>1</v>
      </c>
      <c r="P537" s="2" t="s">
        <v>3398</v>
      </c>
    </row>
    <row r="538" spans="1:16" ht="13">
      <c r="A538" s="2" t="s">
        <v>5</v>
      </c>
      <c r="B538" s="2" t="str">
        <f t="shared" si="8"/>
        <v>24-25 Academic Year</v>
      </c>
      <c r="C538" s="2">
        <v>5</v>
      </c>
      <c r="D538" s="2" t="s">
        <v>3399</v>
      </c>
      <c r="E538" s="10">
        <v>45563</v>
      </c>
      <c r="F538" s="2" t="s">
        <v>3400</v>
      </c>
      <c r="G538" s="2" t="s">
        <v>7</v>
      </c>
      <c r="H538" s="2" t="s">
        <v>7</v>
      </c>
      <c r="J538" s="2" t="s">
        <v>2206</v>
      </c>
      <c r="K538" s="2" t="s">
        <v>3401</v>
      </c>
      <c r="L538" s="2" t="s">
        <v>4848</v>
      </c>
      <c r="M538" s="3">
        <v>1</v>
      </c>
      <c r="N538" s="3">
        <v>1</v>
      </c>
      <c r="P538" s="2" t="s">
        <v>3402</v>
      </c>
    </row>
    <row r="539" spans="1:16" ht="13">
      <c r="A539" s="2" t="s">
        <v>5</v>
      </c>
      <c r="B539" s="2" t="str">
        <f t="shared" si="8"/>
        <v>24-25 Academic Year</v>
      </c>
      <c r="C539" s="2">
        <v>5</v>
      </c>
      <c r="D539" s="2" t="s">
        <v>3399</v>
      </c>
      <c r="E539" s="10">
        <v>45563</v>
      </c>
      <c r="F539" s="2" t="s">
        <v>3400</v>
      </c>
      <c r="G539" s="2" t="s">
        <v>7</v>
      </c>
      <c r="H539" s="2" t="s">
        <v>7</v>
      </c>
      <c r="J539" s="2" t="s">
        <v>3423</v>
      </c>
      <c r="K539" s="2" t="s">
        <v>342</v>
      </c>
      <c r="L539" s="2" t="s">
        <v>4512</v>
      </c>
      <c r="M539" s="3">
        <v>4</v>
      </c>
      <c r="N539" s="3">
        <v>1</v>
      </c>
      <c r="P539" s="2" t="s">
        <v>3424</v>
      </c>
    </row>
    <row r="540" spans="1:16" ht="13">
      <c r="A540" s="2" t="s">
        <v>5</v>
      </c>
      <c r="B540" s="2" t="str">
        <f t="shared" si="8"/>
        <v>24-25 Academic Year</v>
      </c>
      <c r="C540" s="2">
        <v>5</v>
      </c>
      <c r="D540" s="2" t="s">
        <v>3399</v>
      </c>
      <c r="E540" s="10">
        <v>45563</v>
      </c>
      <c r="F540" s="2" t="s">
        <v>3400</v>
      </c>
      <c r="G540" s="2" t="s">
        <v>7</v>
      </c>
      <c r="H540" s="2" t="s">
        <v>7</v>
      </c>
      <c r="J540" s="2" t="s">
        <v>2209</v>
      </c>
      <c r="K540" s="2" t="s">
        <v>3403</v>
      </c>
      <c r="L540" s="2" t="s">
        <v>3404</v>
      </c>
      <c r="M540" s="3">
        <v>1</v>
      </c>
      <c r="N540" s="3">
        <v>1</v>
      </c>
      <c r="P540" s="2" t="s">
        <v>3405</v>
      </c>
    </row>
    <row r="541" spans="1:16" ht="13">
      <c r="A541" s="2" t="s">
        <v>5</v>
      </c>
      <c r="B541" s="2" t="str">
        <f t="shared" si="8"/>
        <v>24-25 Academic Year</v>
      </c>
      <c r="C541" s="2">
        <v>5</v>
      </c>
      <c r="D541" s="2" t="s">
        <v>3399</v>
      </c>
      <c r="E541" s="10">
        <v>45563</v>
      </c>
      <c r="F541" s="2" t="s">
        <v>3400</v>
      </c>
      <c r="G541" s="2" t="s">
        <v>7</v>
      </c>
      <c r="H541" s="2" t="s">
        <v>7</v>
      </c>
      <c r="J541" s="2" t="s">
        <v>2211</v>
      </c>
      <c r="K541" s="2" t="s">
        <v>746</v>
      </c>
      <c r="L541" s="2" t="s">
        <v>2879</v>
      </c>
      <c r="M541" s="3">
        <v>1</v>
      </c>
      <c r="N541" s="3">
        <v>2</v>
      </c>
      <c r="P541" s="2" t="s">
        <v>3406</v>
      </c>
    </row>
    <row r="542" spans="1:16" ht="13">
      <c r="A542" s="2" t="s">
        <v>5</v>
      </c>
      <c r="B542" s="2" t="str">
        <f t="shared" si="8"/>
        <v>24-25 Academic Year</v>
      </c>
      <c r="C542" s="2">
        <v>5</v>
      </c>
      <c r="D542" s="2" t="s">
        <v>3399</v>
      </c>
      <c r="E542" s="10">
        <v>45563</v>
      </c>
      <c r="F542" s="2" t="s">
        <v>3400</v>
      </c>
      <c r="G542" s="2" t="s">
        <v>7</v>
      </c>
      <c r="H542" s="2" t="s">
        <v>7</v>
      </c>
      <c r="J542" s="2" t="s">
        <v>3407</v>
      </c>
      <c r="K542" s="2" t="s">
        <v>3408</v>
      </c>
      <c r="L542" s="2" t="s">
        <v>4849</v>
      </c>
      <c r="M542" s="3">
        <v>1</v>
      </c>
      <c r="N542" s="3">
        <v>1</v>
      </c>
      <c r="P542" s="2" t="s">
        <v>3409</v>
      </c>
    </row>
    <row r="543" spans="1:16" ht="13">
      <c r="A543" s="2" t="s">
        <v>5</v>
      </c>
      <c r="B543" s="2" t="str">
        <f t="shared" si="8"/>
        <v>24-25 Academic Year</v>
      </c>
      <c r="C543" s="2">
        <v>5</v>
      </c>
      <c r="D543" s="2" t="s">
        <v>3399</v>
      </c>
      <c r="E543" s="10">
        <v>45563</v>
      </c>
      <c r="F543" s="2" t="s">
        <v>3400</v>
      </c>
      <c r="G543" s="2" t="s">
        <v>7</v>
      </c>
      <c r="H543" s="2" t="s">
        <v>7</v>
      </c>
      <c r="J543" s="2" t="s">
        <v>3410</v>
      </c>
      <c r="K543" s="2" t="s">
        <v>3411</v>
      </c>
      <c r="L543" s="2" t="s">
        <v>4850</v>
      </c>
      <c r="M543" s="3">
        <v>1</v>
      </c>
      <c r="N543" s="3">
        <v>1</v>
      </c>
      <c r="P543" s="2" t="s">
        <v>3412</v>
      </c>
    </row>
    <row r="544" spans="1:16" ht="13">
      <c r="A544" s="2" t="s">
        <v>5</v>
      </c>
      <c r="B544" s="2" t="str">
        <f t="shared" si="8"/>
        <v>24-25 Academic Year</v>
      </c>
      <c r="C544" s="2">
        <v>5</v>
      </c>
      <c r="D544" s="2" t="s">
        <v>3399</v>
      </c>
      <c r="E544" s="10">
        <v>45563</v>
      </c>
      <c r="F544" s="2" t="s">
        <v>3400</v>
      </c>
      <c r="G544" s="2" t="s">
        <v>7</v>
      </c>
      <c r="H544" s="2" t="s">
        <v>7</v>
      </c>
      <c r="J544" s="2" t="s">
        <v>3413</v>
      </c>
      <c r="K544" s="2" t="s">
        <v>3391</v>
      </c>
      <c r="L544" s="2" t="s">
        <v>4289</v>
      </c>
      <c r="M544" s="3">
        <v>2</v>
      </c>
      <c r="N544" s="3">
        <v>1</v>
      </c>
      <c r="P544" s="2" t="s">
        <v>3414</v>
      </c>
    </row>
    <row r="545" spans="1:16" ht="13">
      <c r="A545" s="2" t="s">
        <v>5</v>
      </c>
      <c r="B545" s="2" t="str">
        <f t="shared" si="8"/>
        <v>24-25 Academic Year</v>
      </c>
      <c r="C545" s="2">
        <v>5</v>
      </c>
      <c r="D545" s="2" t="s">
        <v>3399</v>
      </c>
      <c r="E545" s="10">
        <v>45563</v>
      </c>
      <c r="F545" s="2" t="s">
        <v>3400</v>
      </c>
      <c r="G545" s="2" t="s">
        <v>7</v>
      </c>
      <c r="H545" s="2" t="s">
        <v>7</v>
      </c>
      <c r="J545" s="2" t="s">
        <v>3415</v>
      </c>
      <c r="K545" s="2" t="s">
        <v>3391</v>
      </c>
      <c r="L545" s="2" t="s">
        <v>4289</v>
      </c>
      <c r="M545" s="3">
        <v>2</v>
      </c>
      <c r="N545" s="3">
        <v>1</v>
      </c>
      <c r="P545" s="2" t="s">
        <v>3416</v>
      </c>
    </row>
    <row r="546" spans="1:16" ht="13">
      <c r="A546" s="2" t="s">
        <v>5</v>
      </c>
      <c r="B546" s="2" t="str">
        <f t="shared" si="8"/>
        <v>24-25 Academic Year</v>
      </c>
      <c r="C546" s="2">
        <v>5</v>
      </c>
      <c r="D546" s="2" t="s">
        <v>3399</v>
      </c>
      <c r="E546" s="10">
        <v>45563</v>
      </c>
      <c r="F546" s="2" t="s">
        <v>3400</v>
      </c>
      <c r="G546" s="2" t="s">
        <v>7</v>
      </c>
      <c r="H546" s="2" t="s">
        <v>7</v>
      </c>
      <c r="J546" s="2" t="s">
        <v>3417</v>
      </c>
      <c r="K546" s="2" t="s">
        <v>3418</v>
      </c>
      <c r="L546" s="2" t="s">
        <v>4407</v>
      </c>
      <c r="M546" s="3">
        <v>3</v>
      </c>
      <c r="N546" s="3">
        <v>1</v>
      </c>
      <c r="P546" s="2" t="s">
        <v>3419</v>
      </c>
    </row>
    <row r="547" spans="1:16" ht="13">
      <c r="A547" s="2" t="s">
        <v>5</v>
      </c>
      <c r="B547" s="2" t="str">
        <f t="shared" si="8"/>
        <v>24-25 Academic Year</v>
      </c>
      <c r="C547" s="2">
        <v>5</v>
      </c>
      <c r="D547" s="2" t="s">
        <v>3399</v>
      </c>
      <c r="E547" s="10">
        <v>45563</v>
      </c>
      <c r="F547" s="2" t="s">
        <v>3400</v>
      </c>
      <c r="G547" s="2" t="s">
        <v>7</v>
      </c>
      <c r="H547" s="2" t="s">
        <v>7</v>
      </c>
      <c r="J547" s="2" t="s">
        <v>3420</v>
      </c>
      <c r="K547" s="2" t="s">
        <v>3421</v>
      </c>
      <c r="L547" s="2" t="s">
        <v>4851</v>
      </c>
      <c r="M547" s="3">
        <v>4</v>
      </c>
      <c r="N547" s="3">
        <v>1</v>
      </c>
      <c r="P547" s="2" t="s">
        <v>3422</v>
      </c>
    </row>
    <row r="548" spans="1:16" ht="13">
      <c r="A548" s="2" t="s">
        <v>5</v>
      </c>
      <c r="B548" s="2" t="str">
        <f t="shared" si="8"/>
        <v>24-25 Academic Year</v>
      </c>
      <c r="C548" s="2">
        <v>6</v>
      </c>
      <c r="D548" s="2" t="s">
        <v>3425</v>
      </c>
      <c r="E548" s="10">
        <v>45564</v>
      </c>
      <c r="F548" s="2" t="s">
        <v>3425</v>
      </c>
      <c r="G548" s="2" t="s">
        <v>131</v>
      </c>
      <c r="H548" s="2" t="s">
        <v>6</v>
      </c>
      <c r="J548" s="2" t="s">
        <v>2217</v>
      </c>
      <c r="K548" s="2" t="s">
        <v>3365</v>
      </c>
      <c r="L548" s="2" t="s">
        <v>1252</v>
      </c>
      <c r="M548" s="3">
        <v>1</v>
      </c>
      <c r="N548" s="3">
        <v>1</v>
      </c>
      <c r="P548" s="2" t="s">
        <v>3426</v>
      </c>
    </row>
    <row r="549" spans="1:16" ht="13">
      <c r="A549" s="2" t="s">
        <v>5</v>
      </c>
      <c r="B549" s="2" t="str">
        <f t="shared" si="8"/>
        <v>24-25 Academic Year</v>
      </c>
      <c r="C549" s="2">
        <v>6</v>
      </c>
      <c r="D549" s="2" t="s">
        <v>3425</v>
      </c>
      <c r="E549" s="10">
        <v>45564</v>
      </c>
      <c r="F549" s="2" t="s">
        <v>3425</v>
      </c>
      <c r="G549" s="2" t="s">
        <v>131</v>
      </c>
      <c r="H549" s="2" t="s">
        <v>6</v>
      </c>
      <c r="J549" s="2" t="s">
        <v>2220</v>
      </c>
      <c r="K549" s="2" t="s">
        <v>774</v>
      </c>
      <c r="L549" s="2" t="s">
        <v>1117</v>
      </c>
      <c r="M549" s="3">
        <v>1</v>
      </c>
      <c r="N549" s="3">
        <v>2</v>
      </c>
      <c r="P549" s="2" t="s">
        <v>3427</v>
      </c>
    </row>
    <row r="550" spans="1:16" ht="13">
      <c r="A550" s="2" t="s">
        <v>5</v>
      </c>
      <c r="B550" s="2" t="str">
        <f t="shared" si="8"/>
        <v>24-25 Academic Year</v>
      </c>
      <c r="C550" s="2">
        <v>6</v>
      </c>
      <c r="D550" s="2" t="s">
        <v>3425</v>
      </c>
      <c r="E550" s="10">
        <v>45564</v>
      </c>
      <c r="F550" s="2" t="s">
        <v>3425</v>
      </c>
      <c r="G550" s="2" t="s">
        <v>131</v>
      </c>
      <c r="H550" s="2" t="s">
        <v>6</v>
      </c>
      <c r="J550" s="2" t="s">
        <v>2223</v>
      </c>
      <c r="K550" s="2" t="s">
        <v>3428</v>
      </c>
      <c r="L550" s="2" t="s">
        <v>4852</v>
      </c>
      <c r="M550" s="3">
        <v>1</v>
      </c>
      <c r="N550" s="3">
        <v>2</v>
      </c>
      <c r="P550" s="2" t="s">
        <v>3429</v>
      </c>
    </row>
    <row r="551" spans="1:16" ht="13">
      <c r="A551" s="2" t="s">
        <v>5</v>
      </c>
      <c r="B551" s="2" t="str">
        <f t="shared" si="8"/>
        <v>24-25 Academic Year</v>
      </c>
      <c r="C551" s="2">
        <v>6</v>
      </c>
      <c r="D551" s="2" t="s">
        <v>3425</v>
      </c>
      <c r="E551" s="10">
        <v>45564</v>
      </c>
      <c r="F551" s="2" t="s">
        <v>3425</v>
      </c>
      <c r="G551" s="2" t="s">
        <v>131</v>
      </c>
      <c r="H551" s="2" t="s">
        <v>6</v>
      </c>
      <c r="J551" s="2" t="s">
        <v>3430</v>
      </c>
      <c r="K551" s="2" t="s">
        <v>712</v>
      </c>
      <c r="L551" s="2" t="s">
        <v>1766</v>
      </c>
      <c r="M551" s="3">
        <v>1</v>
      </c>
      <c r="N551" s="3">
        <v>1</v>
      </c>
      <c r="P551" s="2" t="s">
        <v>2906</v>
      </c>
    </row>
    <row r="552" spans="1:16" ht="13">
      <c r="A552" s="2" t="s">
        <v>5</v>
      </c>
      <c r="B552" s="2" t="str">
        <f t="shared" si="8"/>
        <v>24-25 Academic Year</v>
      </c>
      <c r="C552" s="2">
        <v>6</v>
      </c>
      <c r="D552" s="2" t="s">
        <v>3425</v>
      </c>
      <c r="E552" s="10">
        <v>45564</v>
      </c>
      <c r="F552" s="2" t="s">
        <v>3425</v>
      </c>
      <c r="G552" s="2" t="s">
        <v>131</v>
      </c>
      <c r="H552" s="2" t="s">
        <v>6</v>
      </c>
      <c r="J552" s="2" t="s">
        <v>3431</v>
      </c>
      <c r="K552" s="2" t="s">
        <v>3365</v>
      </c>
      <c r="L552" s="2" t="s">
        <v>1252</v>
      </c>
      <c r="M552" s="3">
        <v>1</v>
      </c>
      <c r="N552" s="3">
        <v>1</v>
      </c>
      <c r="P552" s="2" t="s">
        <v>3432</v>
      </c>
    </row>
    <row r="553" spans="1:16" ht="13">
      <c r="A553" s="2" t="s">
        <v>5</v>
      </c>
      <c r="B553" s="2" t="str">
        <f t="shared" si="8"/>
        <v>24-25 Academic Year</v>
      </c>
      <c r="C553" s="2">
        <v>6</v>
      </c>
      <c r="D553" s="2" t="s">
        <v>3425</v>
      </c>
      <c r="E553" s="10">
        <v>45564</v>
      </c>
      <c r="F553" s="2" t="s">
        <v>3425</v>
      </c>
      <c r="G553" s="2" t="s">
        <v>131</v>
      </c>
      <c r="H553" s="2" t="s">
        <v>6</v>
      </c>
      <c r="J553" s="2" t="s">
        <v>3433</v>
      </c>
      <c r="K553" s="2" t="s">
        <v>691</v>
      </c>
      <c r="L553" s="2" t="s">
        <v>4853</v>
      </c>
      <c r="M553" s="3">
        <v>1</v>
      </c>
      <c r="N553" s="3">
        <v>2</v>
      </c>
      <c r="P553" s="2" t="s">
        <v>3434</v>
      </c>
    </row>
    <row r="554" spans="1:16" ht="13">
      <c r="A554" s="2" t="s">
        <v>5</v>
      </c>
      <c r="B554" s="2" t="str">
        <f t="shared" si="8"/>
        <v>24-25 Academic Year</v>
      </c>
      <c r="C554" s="2">
        <v>6</v>
      </c>
      <c r="D554" s="2" t="s">
        <v>3425</v>
      </c>
      <c r="E554" s="10">
        <v>45564</v>
      </c>
      <c r="F554" s="2" t="s">
        <v>3425</v>
      </c>
      <c r="G554" s="2" t="s">
        <v>131</v>
      </c>
      <c r="H554" s="2" t="s">
        <v>6</v>
      </c>
      <c r="J554" s="2" t="s">
        <v>3435</v>
      </c>
      <c r="K554" s="2" t="s">
        <v>3436</v>
      </c>
      <c r="L554" s="2" t="s">
        <v>4854</v>
      </c>
      <c r="M554" s="3">
        <v>2</v>
      </c>
      <c r="N554" s="3">
        <v>1</v>
      </c>
      <c r="P554" s="2" t="s">
        <v>3437</v>
      </c>
    </row>
    <row r="555" spans="1:16" ht="13">
      <c r="A555" s="2" t="s">
        <v>5</v>
      </c>
      <c r="B555" s="2" t="str">
        <f t="shared" si="8"/>
        <v>24-25 Academic Year</v>
      </c>
      <c r="C555" s="2">
        <v>6</v>
      </c>
      <c r="D555" s="2" t="s">
        <v>3425</v>
      </c>
      <c r="E555" s="10">
        <v>45564</v>
      </c>
      <c r="F555" s="2" t="s">
        <v>3425</v>
      </c>
      <c r="G555" s="2" t="s">
        <v>131</v>
      </c>
      <c r="H555" s="2" t="s">
        <v>6</v>
      </c>
      <c r="J555" s="2" t="s">
        <v>3438</v>
      </c>
      <c r="K555" s="2" t="s">
        <v>2822</v>
      </c>
      <c r="L555" s="2" t="s">
        <v>4855</v>
      </c>
      <c r="M555" s="3">
        <v>3</v>
      </c>
      <c r="N555" s="3">
        <v>1</v>
      </c>
      <c r="P555" s="2" t="s">
        <v>3439</v>
      </c>
    </row>
    <row r="556" spans="1:16" ht="13">
      <c r="A556" s="2" t="s">
        <v>5</v>
      </c>
      <c r="B556" s="2" t="str">
        <f t="shared" si="8"/>
        <v>24-25 Academic Year</v>
      </c>
      <c r="C556" s="2">
        <v>6</v>
      </c>
      <c r="D556" s="2" t="s">
        <v>3425</v>
      </c>
      <c r="E556" s="10">
        <v>45564</v>
      </c>
      <c r="F556" s="2" t="s">
        <v>3425</v>
      </c>
      <c r="G556" s="2" t="s">
        <v>131</v>
      </c>
      <c r="H556" s="2" t="s">
        <v>6</v>
      </c>
      <c r="J556" s="2" t="s">
        <v>3440</v>
      </c>
      <c r="K556" s="2" t="s">
        <v>3441</v>
      </c>
      <c r="L556" s="2" t="s">
        <v>4856</v>
      </c>
      <c r="M556" s="3">
        <v>1</v>
      </c>
      <c r="N556" s="3">
        <v>1</v>
      </c>
      <c r="P556" s="2" t="s">
        <v>3442</v>
      </c>
    </row>
    <row r="557" spans="1:16" ht="13">
      <c r="A557" s="2" t="s">
        <v>5</v>
      </c>
      <c r="B557" s="2" t="str">
        <f t="shared" si="8"/>
        <v>24-25 Academic Year</v>
      </c>
      <c r="C557" s="2">
        <v>7</v>
      </c>
      <c r="D557" s="2" t="s">
        <v>3443</v>
      </c>
      <c r="E557" s="10">
        <v>45574</v>
      </c>
      <c r="F557" s="2" t="s">
        <v>3444</v>
      </c>
      <c r="G557" s="2" t="s">
        <v>7</v>
      </c>
      <c r="H557" s="2" t="s">
        <v>7</v>
      </c>
      <c r="J557" s="2" t="s">
        <v>2227</v>
      </c>
      <c r="K557" s="2" t="s">
        <v>3445</v>
      </c>
      <c r="L557" s="2" t="s">
        <v>1684</v>
      </c>
      <c r="M557" s="3">
        <v>1</v>
      </c>
      <c r="N557" s="3">
        <v>2</v>
      </c>
      <c r="P557" s="2" t="s">
        <v>3446</v>
      </c>
    </row>
    <row r="558" spans="1:16" ht="13">
      <c r="A558" s="2" t="s">
        <v>5</v>
      </c>
      <c r="B558" s="2" t="str">
        <f t="shared" si="8"/>
        <v>24-25 Academic Year</v>
      </c>
      <c r="C558" s="2">
        <v>7</v>
      </c>
      <c r="D558" s="2" t="s">
        <v>3443</v>
      </c>
      <c r="E558" s="10">
        <v>45574</v>
      </c>
      <c r="F558" s="2" t="s">
        <v>3444</v>
      </c>
      <c r="G558" s="2" t="s">
        <v>7</v>
      </c>
      <c r="H558" s="2" t="s">
        <v>7</v>
      </c>
      <c r="J558" s="2" t="s">
        <v>2229</v>
      </c>
      <c r="K558" s="2" t="s">
        <v>3171</v>
      </c>
      <c r="L558" s="2" t="s">
        <v>4857</v>
      </c>
      <c r="M558" s="3">
        <v>2</v>
      </c>
      <c r="N558" s="3">
        <v>1</v>
      </c>
      <c r="P558" s="2" t="s">
        <v>3447</v>
      </c>
    </row>
    <row r="559" spans="1:16" ht="13">
      <c r="A559" s="2" t="s">
        <v>5</v>
      </c>
      <c r="B559" s="2" t="str">
        <f t="shared" si="8"/>
        <v>24-25 Academic Year</v>
      </c>
      <c r="C559" s="2">
        <v>7</v>
      </c>
      <c r="D559" s="2" t="s">
        <v>3443</v>
      </c>
      <c r="E559" s="10">
        <v>45574</v>
      </c>
      <c r="F559" s="2" t="s">
        <v>3444</v>
      </c>
      <c r="G559" s="2" t="s">
        <v>7</v>
      </c>
      <c r="H559" s="2" t="s">
        <v>7</v>
      </c>
      <c r="J559" s="2" t="s">
        <v>2233</v>
      </c>
      <c r="K559" s="2" t="s">
        <v>1550</v>
      </c>
      <c r="L559" s="2" t="s">
        <v>1551</v>
      </c>
      <c r="M559" s="3">
        <v>4</v>
      </c>
      <c r="N559" s="3">
        <v>1</v>
      </c>
      <c r="P559" s="2" t="s">
        <v>3448</v>
      </c>
    </row>
    <row r="560" spans="1:16" ht="13">
      <c r="A560" s="2" t="s">
        <v>5</v>
      </c>
      <c r="B560" s="2" t="str">
        <f t="shared" si="8"/>
        <v>24-25 Academic Year</v>
      </c>
      <c r="C560" s="2">
        <v>8</v>
      </c>
      <c r="D560" s="2" t="s">
        <v>3449</v>
      </c>
      <c r="E560" s="10">
        <v>45578</v>
      </c>
      <c r="F560" s="2" t="s">
        <v>3374</v>
      </c>
      <c r="G560" s="2" t="s">
        <v>30</v>
      </c>
      <c r="H560" s="2" t="s">
        <v>6</v>
      </c>
      <c r="J560" s="2" t="s">
        <v>2241</v>
      </c>
      <c r="K560" s="2" t="s">
        <v>374</v>
      </c>
      <c r="L560" s="2" t="s">
        <v>1680</v>
      </c>
      <c r="M560" s="3">
        <v>1</v>
      </c>
      <c r="N560" s="3">
        <v>2</v>
      </c>
      <c r="P560" s="2" t="s">
        <v>3450</v>
      </c>
    </row>
    <row r="561" spans="1:16" ht="13">
      <c r="A561" s="2" t="s">
        <v>5</v>
      </c>
      <c r="B561" s="2" t="str">
        <f t="shared" si="8"/>
        <v>24-25 Academic Year</v>
      </c>
      <c r="C561" s="2">
        <v>8</v>
      </c>
      <c r="D561" s="2" t="s">
        <v>3449</v>
      </c>
      <c r="E561" s="10">
        <v>45578</v>
      </c>
      <c r="F561" s="2" t="s">
        <v>3374</v>
      </c>
      <c r="G561" s="2" t="s">
        <v>30</v>
      </c>
      <c r="H561" s="2" t="s">
        <v>6</v>
      </c>
      <c r="J561" s="2" t="s">
        <v>2245</v>
      </c>
      <c r="K561" s="2" t="s">
        <v>374</v>
      </c>
      <c r="L561" s="2" t="s">
        <v>1680</v>
      </c>
      <c r="M561" s="3">
        <v>1</v>
      </c>
      <c r="N561" s="3">
        <v>2</v>
      </c>
      <c r="P561" s="2" t="s">
        <v>3451</v>
      </c>
    </row>
    <row r="562" spans="1:16" ht="13">
      <c r="A562" s="2" t="s">
        <v>5</v>
      </c>
      <c r="B562" s="2" t="str">
        <f t="shared" si="8"/>
        <v>24-25 Academic Year</v>
      </c>
      <c r="C562" s="2">
        <v>8</v>
      </c>
      <c r="D562" s="2" t="s">
        <v>3449</v>
      </c>
      <c r="E562" s="10">
        <v>45578</v>
      </c>
      <c r="F562" s="2" t="s">
        <v>3374</v>
      </c>
      <c r="G562" s="2" t="s">
        <v>30</v>
      </c>
      <c r="H562" s="2" t="s">
        <v>6</v>
      </c>
      <c r="J562" s="2" t="s">
        <v>2249</v>
      </c>
      <c r="K562" s="2" t="s">
        <v>667</v>
      </c>
      <c r="L562" s="2" t="s">
        <v>4858</v>
      </c>
      <c r="M562" s="3">
        <v>1</v>
      </c>
      <c r="N562" s="3">
        <v>2</v>
      </c>
      <c r="P562" s="2" t="s">
        <v>3452</v>
      </c>
    </row>
    <row r="563" spans="1:16" ht="13">
      <c r="A563" s="2" t="s">
        <v>5</v>
      </c>
      <c r="B563" s="2" t="str">
        <f t="shared" si="8"/>
        <v>24-25 Academic Year</v>
      </c>
      <c r="C563" s="2">
        <v>8</v>
      </c>
      <c r="D563" s="2" t="s">
        <v>3449</v>
      </c>
      <c r="E563" s="10">
        <v>45578</v>
      </c>
      <c r="F563" s="2" t="s">
        <v>3374</v>
      </c>
      <c r="G563" s="2" t="s">
        <v>30</v>
      </c>
      <c r="H563" s="2" t="s">
        <v>6</v>
      </c>
      <c r="J563" s="2" t="s">
        <v>2252</v>
      </c>
      <c r="K563" s="2" t="s">
        <v>3453</v>
      </c>
      <c r="L563" s="2" t="s">
        <v>4158</v>
      </c>
      <c r="M563" s="3">
        <v>1</v>
      </c>
      <c r="N563" s="3">
        <v>2</v>
      </c>
      <c r="P563" s="2" t="s">
        <v>3454</v>
      </c>
    </row>
    <row r="564" spans="1:16" ht="13">
      <c r="A564" s="2" t="s">
        <v>5</v>
      </c>
      <c r="B564" s="2" t="str">
        <f t="shared" si="8"/>
        <v>24-25 Academic Year</v>
      </c>
      <c r="C564" s="2">
        <v>8</v>
      </c>
      <c r="D564" s="2" t="s">
        <v>3449</v>
      </c>
      <c r="E564" s="10">
        <v>45578</v>
      </c>
      <c r="F564" s="2" t="s">
        <v>3374</v>
      </c>
      <c r="G564" s="2" t="s">
        <v>30</v>
      </c>
      <c r="H564" s="2" t="s">
        <v>6</v>
      </c>
      <c r="J564" s="2" t="s">
        <v>2255</v>
      </c>
      <c r="K564" s="2" t="s">
        <v>3455</v>
      </c>
      <c r="L564" s="2" t="s">
        <v>4859</v>
      </c>
      <c r="M564" s="3">
        <v>1</v>
      </c>
      <c r="N564" s="3">
        <v>1</v>
      </c>
      <c r="P564" s="2" t="s">
        <v>3456</v>
      </c>
    </row>
    <row r="565" spans="1:16" ht="13">
      <c r="A565" s="2" t="s">
        <v>5</v>
      </c>
      <c r="B565" s="2" t="str">
        <f t="shared" si="8"/>
        <v>24-25 Academic Year</v>
      </c>
      <c r="C565" s="2">
        <v>8</v>
      </c>
      <c r="D565" s="2" t="s">
        <v>3449</v>
      </c>
      <c r="E565" s="10">
        <v>45578</v>
      </c>
      <c r="F565" s="2" t="s">
        <v>3374</v>
      </c>
      <c r="G565" s="2" t="s">
        <v>30</v>
      </c>
      <c r="H565" s="2" t="s">
        <v>6</v>
      </c>
      <c r="J565" s="2" t="s">
        <v>2258</v>
      </c>
      <c r="K565" s="2" t="s">
        <v>3457</v>
      </c>
      <c r="L565" s="2" t="s">
        <v>4860</v>
      </c>
      <c r="M565" s="3">
        <v>3</v>
      </c>
      <c r="N565" s="3">
        <v>1</v>
      </c>
      <c r="P565" s="2" t="s">
        <v>3458</v>
      </c>
    </row>
    <row r="566" spans="1:16" ht="13">
      <c r="A566" s="2" t="s">
        <v>5</v>
      </c>
      <c r="B566" s="2" t="str">
        <f t="shared" si="8"/>
        <v>24-25 Academic Year</v>
      </c>
      <c r="C566" s="2">
        <v>9</v>
      </c>
      <c r="D566" s="2" t="s">
        <v>3459</v>
      </c>
      <c r="E566" s="10"/>
      <c r="F566" s="2" t="s">
        <v>1393</v>
      </c>
      <c r="G566" s="2" t="s">
        <v>21</v>
      </c>
      <c r="H566" s="2" t="s">
        <v>6</v>
      </c>
      <c r="J566" s="2" t="s">
        <v>2267</v>
      </c>
      <c r="K566" s="2" t="s">
        <v>1393</v>
      </c>
      <c r="L566" s="2" t="s">
        <v>1394</v>
      </c>
      <c r="M566" s="3">
        <v>1</v>
      </c>
      <c r="N566" s="3">
        <v>1</v>
      </c>
      <c r="P566" s="2" t="s">
        <v>3460</v>
      </c>
    </row>
    <row r="567" spans="1:16" ht="13">
      <c r="A567" s="2" t="s">
        <v>5</v>
      </c>
      <c r="B567" s="2" t="str">
        <f t="shared" si="8"/>
        <v>24-25 Academic Year</v>
      </c>
      <c r="C567" s="2">
        <v>9</v>
      </c>
      <c r="D567" s="2" t="s">
        <v>3459</v>
      </c>
      <c r="E567" s="10"/>
      <c r="F567" s="2" t="s">
        <v>1393</v>
      </c>
      <c r="G567" s="2" t="s">
        <v>21</v>
      </c>
      <c r="H567" s="2" t="s">
        <v>6</v>
      </c>
      <c r="J567" s="2" t="s">
        <v>2271</v>
      </c>
      <c r="K567" s="2" t="s">
        <v>203</v>
      </c>
      <c r="L567" s="2" t="s">
        <v>4726</v>
      </c>
      <c r="M567" s="3">
        <v>2</v>
      </c>
      <c r="N567" s="3">
        <v>1</v>
      </c>
      <c r="P567" s="2" t="s">
        <v>3461</v>
      </c>
    </row>
    <row r="568" spans="1:16" ht="13">
      <c r="A568" s="2" t="s">
        <v>5</v>
      </c>
      <c r="B568" s="2" t="str">
        <f t="shared" si="8"/>
        <v>24-25 Academic Year</v>
      </c>
      <c r="C568" s="2">
        <v>9</v>
      </c>
      <c r="D568" s="2" t="s">
        <v>3459</v>
      </c>
      <c r="E568" s="10"/>
      <c r="F568" s="2" t="s">
        <v>1393</v>
      </c>
      <c r="G568" s="2" t="s">
        <v>21</v>
      </c>
      <c r="H568" s="2" t="s">
        <v>6</v>
      </c>
      <c r="J568" s="2" t="s">
        <v>2274</v>
      </c>
      <c r="K568" s="2" t="s">
        <v>3462</v>
      </c>
      <c r="L568" s="2" t="s">
        <v>3462</v>
      </c>
      <c r="M568" s="3">
        <v>4</v>
      </c>
      <c r="N568" s="3">
        <v>1</v>
      </c>
      <c r="P568" s="2" t="s">
        <v>3463</v>
      </c>
    </row>
    <row r="569" spans="1:16" ht="13">
      <c r="A569" s="2" t="s">
        <v>5</v>
      </c>
      <c r="B569" s="2" t="str">
        <f t="shared" si="8"/>
        <v>24-25 Academic Year</v>
      </c>
      <c r="C569" s="2">
        <v>9</v>
      </c>
      <c r="D569" s="2" t="s">
        <v>3459</v>
      </c>
      <c r="E569" s="10"/>
      <c r="F569" s="2" t="s">
        <v>1393</v>
      </c>
      <c r="G569" s="2" t="s">
        <v>21</v>
      </c>
      <c r="H569" s="2" t="s">
        <v>6</v>
      </c>
      <c r="J569" s="2" t="s">
        <v>3464</v>
      </c>
      <c r="K569" s="2" t="s">
        <v>3465</v>
      </c>
      <c r="L569" s="2" t="s">
        <v>4861</v>
      </c>
      <c r="M569" s="3">
        <v>1</v>
      </c>
      <c r="N569" s="3">
        <v>1</v>
      </c>
      <c r="P569" s="2" t="s">
        <v>3466</v>
      </c>
    </row>
    <row r="570" spans="1:16" ht="13">
      <c r="A570" s="2" t="s">
        <v>5</v>
      </c>
      <c r="B570" s="2" t="str">
        <f t="shared" si="8"/>
        <v>24-25 Academic Year</v>
      </c>
      <c r="C570" s="2">
        <v>9</v>
      </c>
      <c r="D570" s="2" t="s">
        <v>3459</v>
      </c>
      <c r="E570" s="10"/>
      <c r="F570" s="2" t="s">
        <v>1393</v>
      </c>
      <c r="G570" s="2" t="s">
        <v>21</v>
      </c>
      <c r="H570" s="2" t="s">
        <v>6</v>
      </c>
      <c r="J570" s="2" t="s">
        <v>3467</v>
      </c>
      <c r="K570" s="2" t="s">
        <v>3468</v>
      </c>
      <c r="L570" s="2" t="s">
        <v>4862</v>
      </c>
      <c r="M570" s="3">
        <v>1</v>
      </c>
      <c r="N570" s="3">
        <v>2</v>
      </c>
      <c r="P570" s="2" t="s">
        <v>3469</v>
      </c>
    </row>
    <row r="571" spans="1:16" ht="13">
      <c r="A571" s="2" t="s">
        <v>5</v>
      </c>
      <c r="B571" s="2" t="str">
        <f t="shared" si="8"/>
        <v>24-25 Academic Year</v>
      </c>
      <c r="C571" s="2">
        <v>9</v>
      </c>
      <c r="D571" s="2" t="s">
        <v>3459</v>
      </c>
      <c r="E571" s="10"/>
      <c r="F571" s="2" t="s">
        <v>1393</v>
      </c>
      <c r="G571" s="2" t="s">
        <v>21</v>
      </c>
      <c r="H571" s="2" t="s">
        <v>6</v>
      </c>
      <c r="J571" s="2" t="s">
        <v>3470</v>
      </c>
      <c r="K571" s="2" t="s">
        <v>3471</v>
      </c>
      <c r="L571" s="2" t="s">
        <v>4863</v>
      </c>
      <c r="M571" s="3">
        <v>2</v>
      </c>
      <c r="N571" s="3">
        <v>1</v>
      </c>
      <c r="P571" s="2" t="s">
        <v>3472</v>
      </c>
    </row>
    <row r="572" spans="1:16" ht="13">
      <c r="A572" s="2" t="s">
        <v>5</v>
      </c>
      <c r="B572" s="2" t="str">
        <f t="shared" si="8"/>
        <v>24-25 Academic Year</v>
      </c>
      <c r="C572" s="2">
        <v>9</v>
      </c>
      <c r="D572" s="2" t="s">
        <v>3459</v>
      </c>
      <c r="E572" s="10"/>
      <c r="F572" s="2" t="s">
        <v>1393</v>
      </c>
      <c r="G572" s="2" t="s">
        <v>21</v>
      </c>
      <c r="H572" s="2" t="s">
        <v>6</v>
      </c>
      <c r="J572" s="2" t="s">
        <v>3473</v>
      </c>
      <c r="K572" s="2" t="s">
        <v>3474</v>
      </c>
      <c r="L572" s="2" t="s">
        <v>4864</v>
      </c>
      <c r="M572" s="3">
        <v>4</v>
      </c>
      <c r="N572" s="3">
        <v>1</v>
      </c>
      <c r="P572" s="2" t="s">
        <v>3475</v>
      </c>
    </row>
    <row r="573" spans="1:16" ht="13">
      <c r="A573" s="2" t="s">
        <v>5</v>
      </c>
      <c r="B573" s="2" t="str">
        <f t="shared" si="8"/>
        <v>24-25 Academic Year</v>
      </c>
      <c r="C573" s="2">
        <v>10</v>
      </c>
      <c r="D573" s="2" t="s">
        <v>349</v>
      </c>
      <c r="E573" s="10">
        <v>45581</v>
      </c>
      <c r="F573" s="2" t="s">
        <v>3476</v>
      </c>
      <c r="G573" s="2" t="s">
        <v>7</v>
      </c>
      <c r="H573" s="2" t="s">
        <v>7</v>
      </c>
      <c r="J573" s="2" t="s">
        <v>2322</v>
      </c>
      <c r="K573" s="2" t="s">
        <v>2533</v>
      </c>
      <c r="L573" s="2" t="s">
        <v>4865</v>
      </c>
      <c r="M573" s="3">
        <v>1</v>
      </c>
      <c r="N573" s="3">
        <v>1</v>
      </c>
      <c r="P573" s="2" t="s">
        <v>3477</v>
      </c>
    </row>
    <row r="574" spans="1:16" ht="13">
      <c r="A574" s="2" t="s">
        <v>5</v>
      </c>
      <c r="B574" s="2" t="str">
        <f t="shared" si="8"/>
        <v>24-25 Academic Year</v>
      </c>
      <c r="C574" s="2">
        <v>10</v>
      </c>
      <c r="D574" s="2" t="s">
        <v>349</v>
      </c>
      <c r="E574" s="10">
        <v>45581</v>
      </c>
      <c r="F574" s="2" t="s">
        <v>3476</v>
      </c>
      <c r="G574" s="2" t="s">
        <v>7</v>
      </c>
      <c r="H574" s="2" t="s">
        <v>7</v>
      </c>
      <c r="J574" s="2" t="s">
        <v>2324</v>
      </c>
      <c r="K574" s="2" t="s">
        <v>362</v>
      </c>
      <c r="L574" s="2" t="s">
        <v>2154</v>
      </c>
      <c r="M574" s="3">
        <v>3</v>
      </c>
      <c r="N574" s="3">
        <v>2</v>
      </c>
      <c r="P574" s="2" t="s">
        <v>3478</v>
      </c>
    </row>
    <row r="575" spans="1:16" ht="13">
      <c r="A575" s="2" t="s">
        <v>5</v>
      </c>
      <c r="B575" s="2" t="str">
        <f t="shared" si="8"/>
        <v>24-25 Academic Year</v>
      </c>
      <c r="C575" s="2">
        <v>10</v>
      </c>
      <c r="D575" s="2" t="s">
        <v>349</v>
      </c>
      <c r="E575" s="10">
        <v>45581</v>
      </c>
      <c r="F575" s="2" t="s">
        <v>3476</v>
      </c>
      <c r="G575" s="2" t="s">
        <v>7</v>
      </c>
      <c r="H575" s="2" t="s">
        <v>7</v>
      </c>
      <c r="J575" s="2" t="s">
        <v>2327</v>
      </c>
      <c r="K575" s="2" t="s">
        <v>70</v>
      </c>
      <c r="L575" s="2" t="s">
        <v>4694</v>
      </c>
      <c r="M575" s="3">
        <v>3</v>
      </c>
      <c r="N575" s="3">
        <v>2</v>
      </c>
      <c r="P575" s="2" t="s">
        <v>3479</v>
      </c>
    </row>
    <row r="576" spans="1:16" ht="13">
      <c r="A576" s="2" t="s">
        <v>5</v>
      </c>
      <c r="B576" s="2" t="str">
        <f t="shared" si="8"/>
        <v>24-25 Academic Year</v>
      </c>
      <c r="C576" s="2">
        <v>10</v>
      </c>
      <c r="D576" s="2" t="s">
        <v>349</v>
      </c>
      <c r="E576" s="10">
        <v>45581</v>
      </c>
      <c r="F576" s="2" t="s">
        <v>3476</v>
      </c>
      <c r="G576" s="2" t="s">
        <v>7</v>
      </c>
      <c r="H576" s="2" t="s">
        <v>7</v>
      </c>
      <c r="J576" s="2" t="s">
        <v>2330</v>
      </c>
      <c r="K576" s="2" t="s">
        <v>897</v>
      </c>
      <c r="L576" s="2" t="s">
        <v>4498</v>
      </c>
      <c r="M576" s="3">
        <v>3</v>
      </c>
      <c r="N576" s="3">
        <v>2</v>
      </c>
      <c r="P576" s="2" t="s">
        <v>3480</v>
      </c>
    </row>
    <row r="577" spans="1:16" ht="13">
      <c r="A577" s="2" t="s">
        <v>5</v>
      </c>
      <c r="B577" s="2" t="str">
        <f t="shared" si="8"/>
        <v>24-25 Academic Year</v>
      </c>
      <c r="C577" s="2">
        <v>10</v>
      </c>
      <c r="D577" s="2" t="s">
        <v>349</v>
      </c>
      <c r="E577" s="10">
        <v>45581</v>
      </c>
      <c r="F577" s="2" t="s">
        <v>3476</v>
      </c>
      <c r="G577" s="2" t="s">
        <v>7</v>
      </c>
      <c r="H577" s="2" t="s">
        <v>7</v>
      </c>
      <c r="J577" s="2" t="s">
        <v>2332</v>
      </c>
      <c r="K577" s="2" t="s">
        <v>3481</v>
      </c>
      <c r="L577" s="2" t="s">
        <v>4495</v>
      </c>
      <c r="M577" s="3">
        <v>3</v>
      </c>
      <c r="N577" s="3">
        <v>2</v>
      </c>
      <c r="P577" s="2" t="s">
        <v>3482</v>
      </c>
    </row>
    <row r="578" spans="1:16" ht="13">
      <c r="A578" s="2" t="s">
        <v>5</v>
      </c>
      <c r="B578" s="2" t="str">
        <f t="shared" si="8"/>
        <v>24-25 Academic Year</v>
      </c>
      <c r="C578" s="2">
        <v>10</v>
      </c>
      <c r="D578" s="2" t="s">
        <v>349</v>
      </c>
      <c r="E578" s="10">
        <v>45581</v>
      </c>
      <c r="F578" s="2" t="s">
        <v>3476</v>
      </c>
      <c r="G578" s="2" t="s">
        <v>7</v>
      </c>
      <c r="H578" s="2" t="s">
        <v>7</v>
      </c>
      <c r="J578" s="2" t="s">
        <v>2335</v>
      </c>
      <c r="K578" s="2" t="s">
        <v>3483</v>
      </c>
      <c r="L578" s="2" t="s">
        <v>4866</v>
      </c>
      <c r="M578" s="3">
        <v>1</v>
      </c>
      <c r="N578" s="3">
        <v>2</v>
      </c>
      <c r="P578" s="2" t="s">
        <v>3484</v>
      </c>
    </row>
    <row r="579" spans="1:16" ht="13">
      <c r="A579" s="2" t="s">
        <v>5</v>
      </c>
      <c r="B579" s="2" t="str">
        <f t="shared" ref="B579:B642" si="9">RIGHT(TEXT(IF(LEFT(A579,4)="Fall",VALUE(RIGHT(A579,4)),VALUE(RIGHT(A579,4))-1),"00"),2)
 &amp; "-" &amp;
 RIGHT(TEXT(IF(LEFT(A579,4)="Fall",VALUE(RIGHT(A579,4))+1,VALUE(RIGHT(A579,4))),"00"),2)
 &amp; " Academic Year"</f>
        <v>24-25 Academic Year</v>
      </c>
      <c r="C579" s="2">
        <v>11</v>
      </c>
      <c r="D579" s="2" t="s">
        <v>1368</v>
      </c>
      <c r="E579" s="10">
        <v>45583</v>
      </c>
      <c r="F579" s="2" t="s">
        <v>3485</v>
      </c>
      <c r="G579" s="2" t="s">
        <v>92</v>
      </c>
      <c r="H579" s="2" t="s">
        <v>6</v>
      </c>
      <c r="J579" s="2" t="s">
        <v>2291</v>
      </c>
      <c r="K579" s="2" t="s">
        <v>2734</v>
      </c>
      <c r="L579" s="2" t="s">
        <v>751</v>
      </c>
      <c r="M579" s="3">
        <v>1</v>
      </c>
      <c r="N579" s="3">
        <v>2</v>
      </c>
      <c r="P579" s="2" t="s">
        <v>3486</v>
      </c>
    </row>
    <row r="580" spans="1:16" ht="13">
      <c r="A580" s="2" t="s">
        <v>5</v>
      </c>
      <c r="B580" s="2" t="str">
        <f t="shared" si="9"/>
        <v>24-25 Academic Year</v>
      </c>
      <c r="C580" s="2">
        <v>11</v>
      </c>
      <c r="D580" s="2" t="s">
        <v>1368</v>
      </c>
      <c r="E580" s="10">
        <v>45583</v>
      </c>
      <c r="F580" s="2" t="s">
        <v>3485</v>
      </c>
      <c r="G580" s="2" t="s">
        <v>92</v>
      </c>
      <c r="H580" s="2" t="s">
        <v>6</v>
      </c>
      <c r="J580" s="2" t="s">
        <v>2296</v>
      </c>
      <c r="K580" s="2" t="s">
        <v>371</v>
      </c>
      <c r="L580" s="2" t="s">
        <v>372</v>
      </c>
      <c r="M580" s="3">
        <v>1</v>
      </c>
      <c r="N580" s="3">
        <v>2</v>
      </c>
      <c r="P580" s="2" t="s">
        <v>3487</v>
      </c>
    </row>
    <row r="581" spans="1:16" ht="13">
      <c r="A581" s="2" t="s">
        <v>5</v>
      </c>
      <c r="B581" s="2" t="str">
        <f t="shared" si="9"/>
        <v>24-25 Academic Year</v>
      </c>
      <c r="C581" s="2">
        <v>11</v>
      </c>
      <c r="D581" s="2" t="s">
        <v>1368</v>
      </c>
      <c r="E581" s="10">
        <v>45583</v>
      </c>
      <c r="F581" s="2" t="s">
        <v>3485</v>
      </c>
      <c r="G581" s="2" t="s">
        <v>92</v>
      </c>
      <c r="H581" s="2" t="s">
        <v>6</v>
      </c>
      <c r="J581" s="2" t="s">
        <v>2300</v>
      </c>
      <c r="K581" s="2" t="s">
        <v>3488</v>
      </c>
      <c r="L581" s="2" t="s">
        <v>4867</v>
      </c>
      <c r="M581" s="3">
        <v>1</v>
      </c>
      <c r="N581" s="3">
        <v>1</v>
      </c>
      <c r="P581" s="2" t="s">
        <v>3489</v>
      </c>
    </row>
    <row r="582" spans="1:16" ht="13">
      <c r="A582" s="2" t="s">
        <v>5</v>
      </c>
      <c r="B582" s="2" t="str">
        <f t="shared" si="9"/>
        <v>24-25 Academic Year</v>
      </c>
      <c r="C582" s="2">
        <v>11</v>
      </c>
      <c r="D582" s="2" t="s">
        <v>1368</v>
      </c>
      <c r="E582" s="10">
        <v>45583</v>
      </c>
      <c r="F582" s="2" t="s">
        <v>3485</v>
      </c>
      <c r="G582" s="2" t="s">
        <v>92</v>
      </c>
      <c r="H582" s="2" t="s">
        <v>6</v>
      </c>
      <c r="J582" s="2" t="s">
        <v>2303</v>
      </c>
      <c r="K582" s="2" t="s">
        <v>3490</v>
      </c>
      <c r="L582" s="2" t="s">
        <v>1911</v>
      </c>
      <c r="M582" s="3">
        <v>1</v>
      </c>
      <c r="N582" s="3">
        <v>2</v>
      </c>
      <c r="P582" s="2" t="s">
        <v>3491</v>
      </c>
    </row>
    <row r="583" spans="1:16" ht="13">
      <c r="A583" s="2" t="s">
        <v>5</v>
      </c>
      <c r="B583" s="2" t="str">
        <f t="shared" si="9"/>
        <v>24-25 Academic Year</v>
      </c>
      <c r="C583" s="2">
        <v>11</v>
      </c>
      <c r="D583" s="2" t="s">
        <v>1368</v>
      </c>
      <c r="E583" s="10">
        <v>45583</v>
      </c>
      <c r="F583" s="2" t="s">
        <v>3485</v>
      </c>
      <c r="G583" s="2" t="s">
        <v>92</v>
      </c>
      <c r="H583" s="2" t="s">
        <v>6</v>
      </c>
      <c r="J583" s="2" t="s">
        <v>2305</v>
      </c>
      <c r="K583" s="2" t="s">
        <v>3492</v>
      </c>
      <c r="L583" s="2" t="s">
        <v>3492</v>
      </c>
      <c r="M583" s="3">
        <v>999</v>
      </c>
      <c r="N583" s="3">
        <v>999</v>
      </c>
      <c r="P583" s="2" t="s">
        <v>3493</v>
      </c>
    </row>
    <row r="584" spans="1:16" ht="13">
      <c r="A584" s="2" t="s">
        <v>5</v>
      </c>
      <c r="B584" s="2" t="str">
        <f t="shared" si="9"/>
        <v>24-25 Academic Year</v>
      </c>
      <c r="C584" s="2">
        <v>12</v>
      </c>
      <c r="D584" s="2" t="s">
        <v>3494</v>
      </c>
      <c r="E584" s="10">
        <v>45583</v>
      </c>
      <c r="F584" s="2" t="s">
        <v>3495</v>
      </c>
      <c r="G584" s="2" t="s">
        <v>21</v>
      </c>
      <c r="H584" s="2" t="s">
        <v>6</v>
      </c>
      <c r="J584" s="2" t="s">
        <v>2277</v>
      </c>
      <c r="K584" s="2" t="s">
        <v>431</v>
      </c>
      <c r="L584" s="2" t="s">
        <v>1360</v>
      </c>
      <c r="M584" s="3">
        <v>1</v>
      </c>
      <c r="N584" s="3">
        <v>2</v>
      </c>
      <c r="P584" s="2" t="s">
        <v>3496</v>
      </c>
    </row>
    <row r="585" spans="1:16" ht="13">
      <c r="A585" s="2" t="s">
        <v>5</v>
      </c>
      <c r="B585" s="2" t="str">
        <f t="shared" si="9"/>
        <v>24-25 Academic Year</v>
      </c>
      <c r="C585" s="2">
        <v>12</v>
      </c>
      <c r="D585" s="2" t="s">
        <v>3494</v>
      </c>
      <c r="E585" s="10">
        <v>45583</v>
      </c>
      <c r="F585" s="2" t="s">
        <v>3495</v>
      </c>
      <c r="G585" s="2" t="s">
        <v>21</v>
      </c>
      <c r="H585" s="2" t="s">
        <v>6</v>
      </c>
      <c r="J585" s="2" t="s">
        <v>2280</v>
      </c>
      <c r="K585" s="2" t="s">
        <v>1119</v>
      </c>
      <c r="L585" s="2" t="s">
        <v>1676</v>
      </c>
      <c r="M585" s="3">
        <v>1</v>
      </c>
      <c r="N585" s="3">
        <v>2</v>
      </c>
      <c r="P585" s="2" t="s">
        <v>3497</v>
      </c>
    </row>
    <row r="586" spans="1:16" ht="13">
      <c r="A586" s="2" t="s">
        <v>5</v>
      </c>
      <c r="B586" s="2" t="str">
        <f t="shared" si="9"/>
        <v>24-25 Academic Year</v>
      </c>
      <c r="C586" s="2">
        <v>12</v>
      </c>
      <c r="D586" s="2" t="s">
        <v>3494</v>
      </c>
      <c r="E586" s="10">
        <v>45583</v>
      </c>
      <c r="F586" s="2" t="s">
        <v>3495</v>
      </c>
      <c r="G586" s="2" t="s">
        <v>21</v>
      </c>
      <c r="H586" s="2" t="s">
        <v>6</v>
      </c>
      <c r="J586" s="2" t="s">
        <v>2283</v>
      </c>
      <c r="K586" s="2" t="s">
        <v>3498</v>
      </c>
      <c r="L586" s="2" t="s">
        <v>4868</v>
      </c>
      <c r="M586" s="3">
        <v>4</v>
      </c>
      <c r="N586" s="3">
        <v>1</v>
      </c>
      <c r="P586" s="2" t="s">
        <v>3499</v>
      </c>
    </row>
    <row r="587" spans="1:16" ht="13">
      <c r="A587" s="2" t="s">
        <v>5</v>
      </c>
      <c r="B587" s="2" t="str">
        <f t="shared" si="9"/>
        <v>24-25 Academic Year</v>
      </c>
      <c r="C587" s="2">
        <v>13</v>
      </c>
      <c r="D587" s="2" t="s">
        <v>3500</v>
      </c>
      <c r="E587" s="10">
        <v>45584</v>
      </c>
      <c r="F587" s="2" t="s">
        <v>3500</v>
      </c>
      <c r="G587" s="2" t="s">
        <v>131</v>
      </c>
      <c r="H587" s="2" t="s">
        <v>6</v>
      </c>
      <c r="J587" s="2" t="s">
        <v>2341</v>
      </c>
      <c r="K587" s="2" t="s">
        <v>2900</v>
      </c>
      <c r="L587" s="2" t="s">
        <v>4869</v>
      </c>
      <c r="M587" s="3">
        <v>1</v>
      </c>
      <c r="N587" s="3">
        <v>2</v>
      </c>
      <c r="P587" s="2" t="s">
        <v>3501</v>
      </c>
    </row>
    <row r="588" spans="1:16" ht="13">
      <c r="A588" s="2" t="s">
        <v>5</v>
      </c>
      <c r="B588" s="2" t="str">
        <f t="shared" si="9"/>
        <v>24-25 Academic Year</v>
      </c>
      <c r="C588" s="2">
        <v>13</v>
      </c>
      <c r="D588" s="2" t="s">
        <v>3500</v>
      </c>
      <c r="E588" s="10">
        <v>45584</v>
      </c>
      <c r="F588" s="2" t="s">
        <v>3500</v>
      </c>
      <c r="G588" s="2" t="s">
        <v>131</v>
      </c>
      <c r="H588" s="2" t="s">
        <v>6</v>
      </c>
      <c r="J588" s="2" t="s">
        <v>2349</v>
      </c>
      <c r="K588" s="2" t="s">
        <v>2905</v>
      </c>
      <c r="L588" s="2" t="s">
        <v>4870</v>
      </c>
      <c r="M588" s="3">
        <v>1</v>
      </c>
      <c r="N588" s="3">
        <v>2</v>
      </c>
      <c r="P588" s="2" t="s">
        <v>3502</v>
      </c>
    </row>
    <row r="589" spans="1:16" ht="13">
      <c r="A589" s="2" t="s">
        <v>5</v>
      </c>
      <c r="B589" s="2" t="str">
        <f t="shared" si="9"/>
        <v>24-25 Academic Year</v>
      </c>
      <c r="C589" s="2">
        <v>13</v>
      </c>
      <c r="D589" s="2" t="s">
        <v>3500</v>
      </c>
      <c r="E589" s="10">
        <v>45584</v>
      </c>
      <c r="F589" s="2" t="s">
        <v>3500</v>
      </c>
      <c r="G589" s="2" t="s">
        <v>131</v>
      </c>
      <c r="H589" s="2" t="s">
        <v>6</v>
      </c>
      <c r="J589" s="2" t="s">
        <v>2351</v>
      </c>
      <c r="K589" s="2" t="s">
        <v>1620</v>
      </c>
      <c r="L589" s="2" t="s">
        <v>1621</v>
      </c>
      <c r="M589" s="3">
        <v>2</v>
      </c>
      <c r="N589" s="3">
        <v>1</v>
      </c>
      <c r="P589" s="2" t="s">
        <v>3503</v>
      </c>
    </row>
    <row r="590" spans="1:16" ht="13">
      <c r="A590" s="2" t="s">
        <v>5</v>
      </c>
      <c r="B590" s="2" t="str">
        <f t="shared" si="9"/>
        <v>24-25 Academic Year</v>
      </c>
      <c r="C590" s="2">
        <v>14</v>
      </c>
      <c r="D590" s="2" t="s">
        <v>3504</v>
      </c>
      <c r="E590" s="10">
        <v>45587</v>
      </c>
      <c r="F590" s="2" t="s">
        <v>3505</v>
      </c>
      <c r="G590" s="2" t="s">
        <v>7</v>
      </c>
      <c r="H590" s="2" t="s">
        <v>7</v>
      </c>
      <c r="J590" s="2" t="s">
        <v>2371</v>
      </c>
      <c r="K590" s="2" t="s">
        <v>584</v>
      </c>
      <c r="L590" s="2" t="s">
        <v>1258</v>
      </c>
      <c r="M590" s="3">
        <v>1</v>
      </c>
      <c r="N590" s="3">
        <v>2</v>
      </c>
      <c r="P590" s="2" t="s">
        <v>3506</v>
      </c>
    </row>
    <row r="591" spans="1:16" ht="13">
      <c r="A591" s="2" t="s">
        <v>5</v>
      </c>
      <c r="B591" s="2" t="str">
        <f t="shared" si="9"/>
        <v>24-25 Academic Year</v>
      </c>
      <c r="C591" s="2">
        <v>14</v>
      </c>
      <c r="D591" s="2" t="s">
        <v>3504</v>
      </c>
      <c r="E591" s="10">
        <v>45587</v>
      </c>
      <c r="F591" s="2" t="s">
        <v>3505</v>
      </c>
      <c r="G591" s="2" t="s">
        <v>7</v>
      </c>
      <c r="H591" s="2" t="s">
        <v>7</v>
      </c>
      <c r="J591" s="2" t="s">
        <v>3525</v>
      </c>
      <c r="K591" s="2" t="s">
        <v>1328</v>
      </c>
      <c r="L591" s="2" t="s">
        <v>1329</v>
      </c>
      <c r="M591" s="3">
        <v>1</v>
      </c>
      <c r="N591" s="3">
        <v>1</v>
      </c>
      <c r="P591" s="2" t="s">
        <v>3526</v>
      </c>
    </row>
    <row r="592" spans="1:16" ht="13">
      <c r="A592" s="2" t="s">
        <v>5</v>
      </c>
      <c r="B592" s="2" t="str">
        <f t="shared" si="9"/>
        <v>24-25 Academic Year</v>
      </c>
      <c r="C592" s="2">
        <v>14</v>
      </c>
      <c r="D592" s="2" t="s">
        <v>3504</v>
      </c>
      <c r="E592" s="10">
        <v>45587</v>
      </c>
      <c r="F592" s="2" t="s">
        <v>3505</v>
      </c>
      <c r="G592" s="2" t="s">
        <v>7</v>
      </c>
      <c r="H592" s="2" t="s">
        <v>7</v>
      </c>
      <c r="J592" s="2" t="s">
        <v>3527</v>
      </c>
      <c r="K592" s="2" t="s">
        <v>3528</v>
      </c>
      <c r="L592" s="2" t="s">
        <v>4287</v>
      </c>
      <c r="M592" s="3">
        <v>2</v>
      </c>
      <c r="N592" s="3">
        <v>1</v>
      </c>
      <c r="P592" s="2" t="s">
        <v>3529</v>
      </c>
    </row>
    <row r="593" spans="1:16" ht="13">
      <c r="A593" s="2" t="s">
        <v>5</v>
      </c>
      <c r="B593" s="2" t="str">
        <f t="shared" si="9"/>
        <v>24-25 Academic Year</v>
      </c>
      <c r="C593" s="2">
        <v>14</v>
      </c>
      <c r="D593" s="2" t="s">
        <v>3504</v>
      </c>
      <c r="E593" s="10">
        <v>45587</v>
      </c>
      <c r="F593" s="2" t="s">
        <v>3505</v>
      </c>
      <c r="G593" s="2" t="s">
        <v>7</v>
      </c>
      <c r="H593" s="2" t="s">
        <v>7</v>
      </c>
      <c r="J593" s="2" t="s">
        <v>3530</v>
      </c>
      <c r="K593" s="2" t="s">
        <v>3531</v>
      </c>
      <c r="L593" s="2" t="s">
        <v>4291</v>
      </c>
      <c r="M593" s="3">
        <v>2</v>
      </c>
      <c r="N593" s="3">
        <v>1</v>
      </c>
      <c r="P593" s="2" t="s">
        <v>2641</v>
      </c>
    </row>
    <row r="594" spans="1:16" ht="13">
      <c r="A594" s="2" t="s">
        <v>5</v>
      </c>
      <c r="B594" s="2" t="str">
        <f t="shared" si="9"/>
        <v>24-25 Academic Year</v>
      </c>
      <c r="C594" s="2">
        <v>14</v>
      </c>
      <c r="D594" s="2" t="s">
        <v>3504</v>
      </c>
      <c r="E594" s="10">
        <v>45587</v>
      </c>
      <c r="F594" s="2" t="s">
        <v>3505</v>
      </c>
      <c r="G594" s="2" t="s">
        <v>7</v>
      </c>
      <c r="H594" s="2" t="s">
        <v>7</v>
      </c>
      <c r="J594" s="2" t="s">
        <v>2373</v>
      </c>
      <c r="K594" s="2" t="s">
        <v>3507</v>
      </c>
      <c r="L594" s="2" t="s">
        <v>4389</v>
      </c>
      <c r="M594" s="3">
        <v>3</v>
      </c>
      <c r="N594" s="3">
        <v>1</v>
      </c>
      <c r="P594" s="2" t="s">
        <v>3508</v>
      </c>
    </row>
    <row r="595" spans="1:16" ht="13">
      <c r="A595" s="2" t="s">
        <v>5</v>
      </c>
      <c r="B595" s="2" t="str">
        <f t="shared" si="9"/>
        <v>24-25 Academic Year</v>
      </c>
      <c r="C595" s="2">
        <v>14</v>
      </c>
      <c r="D595" s="2" t="s">
        <v>3504</v>
      </c>
      <c r="E595" s="10">
        <v>45587</v>
      </c>
      <c r="F595" s="2" t="s">
        <v>3505</v>
      </c>
      <c r="G595" s="2" t="s">
        <v>7</v>
      </c>
      <c r="H595" s="2" t="s">
        <v>7</v>
      </c>
      <c r="J595" s="2" t="s">
        <v>2376</v>
      </c>
      <c r="K595" s="2" t="s">
        <v>3509</v>
      </c>
      <c r="L595" s="2" t="s">
        <v>4871</v>
      </c>
      <c r="M595" s="3">
        <v>1</v>
      </c>
      <c r="N595" s="3">
        <v>2</v>
      </c>
      <c r="P595" s="2" t="s">
        <v>3510</v>
      </c>
    </row>
    <row r="596" spans="1:16" ht="13">
      <c r="A596" s="2" t="s">
        <v>5</v>
      </c>
      <c r="B596" s="2" t="str">
        <f t="shared" si="9"/>
        <v>24-25 Academic Year</v>
      </c>
      <c r="C596" s="2">
        <v>14</v>
      </c>
      <c r="D596" s="2" t="s">
        <v>3504</v>
      </c>
      <c r="E596" s="10">
        <v>45587</v>
      </c>
      <c r="F596" s="2" t="s">
        <v>3505</v>
      </c>
      <c r="G596" s="2" t="s">
        <v>7</v>
      </c>
      <c r="H596" s="2" t="s">
        <v>7</v>
      </c>
      <c r="J596" s="2" t="s">
        <v>2378</v>
      </c>
      <c r="K596" s="2" t="s">
        <v>3511</v>
      </c>
      <c r="L596" s="2" t="s">
        <v>4872</v>
      </c>
      <c r="M596" s="3">
        <v>1</v>
      </c>
      <c r="N596" s="3">
        <v>2</v>
      </c>
      <c r="P596" s="2" t="s">
        <v>3512</v>
      </c>
    </row>
    <row r="597" spans="1:16" ht="13">
      <c r="A597" s="2" t="s">
        <v>5</v>
      </c>
      <c r="B597" s="2" t="str">
        <f t="shared" si="9"/>
        <v>24-25 Academic Year</v>
      </c>
      <c r="C597" s="2">
        <v>14</v>
      </c>
      <c r="D597" s="2" t="s">
        <v>3504</v>
      </c>
      <c r="E597" s="10">
        <v>45587</v>
      </c>
      <c r="F597" s="2" t="s">
        <v>3505</v>
      </c>
      <c r="G597" s="2" t="s">
        <v>7</v>
      </c>
      <c r="H597" s="2" t="s">
        <v>7</v>
      </c>
      <c r="J597" s="2" t="s">
        <v>2381</v>
      </c>
      <c r="K597" s="2" t="s">
        <v>1328</v>
      </c>
      <c r="L597" s="2" t="s">
        <v>1329</v>
      </c>
      <c r="M597" s="3">
        <v>1</v>
      </c>
      <c r="N597" s="3">
        <v>1</v>
      </c>
      <c r="P597" s="2" t="s">
        <v>3513</v>
      </c>
    </row>
    <row r="598" spans="1:16" ht="13">
      <c r="A598" s="2" t="s">
        <v>5</v>
      </c>
      <c r="B598" s="2" t="str">
        <f t="shared" si="9"/>
        <v>24-25 Academic Year</v>
      </c>
      <c r="C598" s="2">
        <v>14</v>
      </c>
      <c r="D598" s="2" t="s">
        <v>3504</v>
      </c>
      <c r="E598" s="10">
        <v>45587</v>
      </c>
      <c r="F598" s="2" t="s">
        <v>3505</v>
      </c>
      <c r="G598" s="2" t="s">
        <v>7</v>
      </c>
      <c r="H598" s="2" t="s">
        <v>7</v>
      </c>
      <c r="J598" s="2" t="s">
        <v>3514</v>
      </c>
      <c r="K598" s="2" t="s">
        <v>3515</v>
      </c>
      <c r="L598" s="2" t="s">
        <v>4873</v>
      </c>
      <c r="M598" s="3">
        <v>1</v>
      </c>
      <c r="N598" s="3">
        <v>1</v>
      </c>
      <c r="P598" s="2" t="s">
        <v>3516</v>
      </c>
    </row>
    <row r="599" spans="1:16" ht="13">
      <c r="A599" s="2" t="s">
        <v>5</v>
      </c>
      <c r="B599" s="2" t="str">
        <f t="shared" si="9"/>
        <v>24-25 Academic Year</v>
      </c>
      <c r="C599" s="2">
        <v>14</v>
      </c>
      <c r="D599" s="2" t="s">
        <v>3504</v>
      </c>
      <c r="E599" s="10">
        <v>45587</v>
      </c>
      <c r="F599" s="2" t="s">
        <v>3505</v>
      </c>
      <c r="G599" s="2" t="s">
        <v>7</v>
      </c>
      <c r="H599" s="2" t="s">
        <v>7</v>
      </c>
      <c r="J599" s="2" t="s">
        <v>3517</v>
      </c>
      <c r="K599" s="2" t="s">
        <v>3518</v>
      </c>
      <c r="L599" s="2" t="s">
        <v>4874</v>
      </c>
      <c r="M599" s="3">
        <v>1</v>
      </c>
      <c r="N599" s="3">
        <v>2</v>
      </c>
      <c r="P599" s="2" t="s">
        <v>3519</v>
      </c>
    </row>
    <row r="600" spans="1:16" ht="13">
      <c r="A600" s="2" t="s">
        <v>5</v>
      </c>
      <c r="B600" s="2" t="str">
        <f t="shared" si="9"/>
        <v>24-25 Academic Year</v>
      </c>
      <c r="C600" s="2">
        <v>14</v>
      </c>
      <c r="D600" s="2" t="s">
        <v>3504</v>
      </c>
      <c r="E600" s="10">
        <v>45587</v>
      </c>
      <c r="F600" s="2" t="s">
        <v>3505</v>
      </c>
      <c r="G600" s="2" t="s">
        <v>7</v>
      </c>
      <c r="H600" s="2" t="s">
        <v>7</v>
      </c>
      <c r="J600" s="2" t="s">
        <v>3520</v>
      </c>
      <c r="K600" s="2" t="s">
        <v>3210</v>
      </c>
      <c r="L600" s="2" t="s">
        <v>3970</v>
      </c>
      <c r="M600" s="3">
        <v>1</v>
      </c>
      <c r="N600" s="3">
        <v>1</v>
      </c>
      <c r="P600" s="2" t="s">
        <v>3521</v>
      </c>
    </row>
    <row r="601" spans="1:16" ht="13">
      <c r="A601" s="2" t="s">
        <v>5</v>
      </c>
      <c r="B601" s="2" t="str">
        <f t="shared" si="9"/>
        <v>24-25 Academic Year</v>
      </c>
      <c r="C601" s="2">
        <v>14</v>
      </c>
      <c r="D601" s="2" t="s">
        <v>3504</v>
      </c>
      <c r="E601" s="10">
        <v>45587</v>
      </c>
      <c r="F601" s="2" t="s">
        <v>3505</v>
      </c>
      <c r="G601" s="2" t="s">
        <v>7</v>
      </c>
      <c r="H601" s="2" t="s">
        <v>7</v>
      </c>
      <c r="J601" s="2" t="s">
        <v>3522</v>
      </c>
      <c r="K601" s="2" t="s">
        <v>3523</v>
      </c>
      <c r="L601" s="2" t="s">
        <v>4875</v>
      </c>
      <c r="M601" s="3">
        <v>1</v>
      </c>
      <c r="N601" s="3">
        <v>1</v>
      </c>
      <c r="P601" s="2" t="s">
        <v>3524</v>
      </c>
    </row>
    <row r="602" spans="1:16" ht="13">
      <c r="A602" s="2" t="s">
        <v>5</v>
      </c>
      <c r="B602" s="2" t="str">
        <f t="shared" si="9"/>
        <v>24-25 Academic Year</v>
      </c>
      <c r="C602" s="2">
        <v>15</v>
      </c>
      <c r="D602" s="2" t="s">
        <v>3532</v>
      </c>
      <c r="E602" s="10">
        <v>45590</v>
      </c>
      <c r="F602" s="2" t="s">
        <v>3533</v>
      </c>
      <c r="G602" s="2" t="s">
        <v>591</v>
      </c>
      <c r="H602" s="2" t="s">
        <v>8</v>
      </c>
      <c r="J602" s="2" t="s">
        <v>2383</v>
      </c>
      <c r="K602" s="2" t="s">
        <v>3534</v>
      </c>
      <c r="L602" s="2" t="s">
        <v>4876</v>
      </c>
      <c r="M602" s="3">
        <v>1</v>
      </c>
      <c r="N602" s="3">
        <v>2</v>
      </c>
      <c r="P602" s="2" t="s">
        <v>3535</v>
      </c>
    </row>
    <row r="603" spans="1:16" ht="13">
      <c r="A603" s="2" t="s">
        <v>5</v>
      </c>
      <c r="B603" s="2" t="str">
        <f t="shared" si="9"/>
        <v>24-25 Academic Year</v>
      </c>
      <c r="C603" s="2">
        <v>15</v>
      </c>
      <c r="D603" s="2" t="s">
        <v>3532</v>
      </c>
      <c r="E603" s="10">
        <v>45590</v>
      </c>
      <c r="F603" s="2" t="s">
        <v>3533</v>
      </c>
      <c r="G603" s="2" t="s">
        <v>591</v>
      </c>
      <c r="H603" s="2" t="s">
        <v>8</v>
      </c>
      <c r="J603" s="2" t="s">
        <v>3552</v>
      </c>
      <c r="K603" s="2" t="s">
        <v>3553</v>
      </c>
      <c r="L603" s="2" t="s">
        <v>4877</v>
      </c>
      <c r="M603" s="3">
        <v>3</v>
      </c>
      <c r="N603" s="3">
        <v>2</v>
      </c>
      <c r="P603" s="2" t="s">
        <v>3554</v>
      </c>
    </row>
    <row r="604" spans="1:16" ht="13">
      <c r="A604" s="2" t="s">
        <v>5</v>
      </c>
      <c r="B604" s="2" t="str">
        <f t="shared" si="9"/>
        <v>24-25 Academic Year</v>
      </c>
      <c r="C604" s="2">
        <v>15</v>
      </c>
      <c r="D604" s="2" t="s">
        <v>3532</v>
      </c>
      <c r="E604" s="10">
        <v>45590</v>
      </c>
      <c r="F604" s="2" t="s">
        <v>3533</v>
      </c>
      <c r="G604" s="2" t="s">
        <v>591</v>
      </c>
      <c r="H604" s="2" t="s">
        <v>8</v>
      </c>
      <c r="J604" s="2" t="s">
        <v>3555</v>
      </c>
      <c r="K604" s="2" t="s">
        <v>3543</v>
      </c>
      <c r="L604" s="2" t="s">
        <v>3544</v>
      </c>
      <c r="M604" s="3">
        <v>1</v>
      </c>
      <c r="N604" s="3"/>
      <c r="P604" s="2" t="s">
        <v>3556</v>
      </c>
    </row>
    <row r="605" spans="1:16" ht="13">
      <c r="A605" s="2" t="s">
        <v>5</v>
      </c>
      <c r="B605" s="2" t="str">
        <f t="shared" si="9"/>
        <v>24-25 Academic Year</v>
      </c>
      <c r="C605" s="2">
        <v>15</v>
      </c>
      <c r="D605" s="2" t="s">
        <v>3532</v>
      </c>
      <c r="E605" s="10">
        <v>45590</v>
      </c>
      <c r="F605" s="2" t="s">
        <v>3533</v>
      </c>
      <c r="G605" s="2" t="s">
        <v>591</v>
      </c>
      <c r="H605" s="2" t="s">
        <v>8</v>
      </c>
      <c r="J605" s="2" t="s">
        <v>3557</v>
      </c>
      <c r="K605" s="2" t="s">
        <v>1485</v>
      </c>
      <c r="L605" s="2" t="s">
        <v>1486</v>
      </c>
      <c r="M605" s="3">
        <v>1</v>
      </c>
      <c r="N605" s="3">
        <v>2</v>
      </c>
      <c r="P605" s="2" t="s">
        <v>3558</v>
      </c>
    </row>
    <row r="606" spans="1:16" ht="13">
      <c r="A606" s="2" t="s">
        <v>5</v>
      </c>
      <c r="B606" s="2" t="str">
        <f t="shared" si="9"/>
        <v>24-25 Academic Year</v>
      </c>
      <c r="C606" s="2">
        <v>15</v>
      </c>
      <c r="D606" s="2" t="s">
        <v>3532</v>
      </c>
      <c r="E606" s="10">
        <v>45590</v>
      </c>
      <c r="F606" s="2" t="s">
        <v>3533</v>
      </c>
      <c r="G606" s="2" t="s">
        <v>591</v>
      </c>
      <c r="H606" s="2" t="s">
        <v>8</v>
      </c>
      <c r="J606" s="2" t="s">
        <v>3559</v>
      </c>
      <c r="K606" s="2" t="s">
        <v>237</v>
      </c>
      <c r="L606" s="2" t="s">
        <v>1421</v>
      </c>
      <c r="M606" s="3">
        <v>1</v>
      </c>
      <c r="N606" s="3">
        <v>1</v>
      </c>
      <c r="P606" s="2" t="s">
        <v>3560</v>
      </c>
    </row>
    <row r="607" spans="1:16" ht="13">
      <c r="A607" s="2" t="s">
        <v>5</v>
      </c>
      <c r="B607" s="2" t="str">
        <f t="shared" si="9"/>
        <v>24-25 Academic Year</v>
      </c>
      <c r="C607" s="2">
        <v>15</v>
      </c>
      <c r="D607" s="2" t="s">
        <v>3532</v>
      </c>
      <c r="E607" s="10">
        <v>45590</v>
      </c>
      <c r="F607" s="2" t="s">
        <v>3533</v>
      </c>
      <c r="G607" s="2" t="s">
        <v>591</v>
      </c>
      <c r="H607" s="2" t="s">
        <v>8</v>
      </c>
      <c r="J607" s="2" t="s">
        <v>3561</v>
      </c>
      <c r="K607" s="2" t="s">
        <v>3562</v>
      </c>
      <c r="L607" s="2" t="s">
        <v>4878</v>
      </c>
      <c r="M607" s="3">
        <v>1</v>
      </c>
      <c r="N607" s="3">
        <v>2</v>
      </c>
      <c r="P607" s="2" t="s">
        <v>3563</v>
      </c>
    </row>
    <row r="608" spans="1:16" ht="13">
      <c r="A608" s="2" t="s">
        <v>5</v>
      </c>
      <c r="B608" s="2" t="str">
        <f t="shared" si="9"/>
        <v>24-25 Academic Year</v>
      </c>
      <c r="C608" s="2">
        <v>15</v>
      </c>
      <c r="D608" s="2" t="s">
        <v>3532</v>
      </c>
      <c r="E608" s="10">
        <v>45590</v>
      </c>
      <c r="F608" s="2" t="s">
        <v>3533</v>
      </c>
      <c r="G608" s="2" t="s">
        <v>591</v>
      </c>
      <c r="H608" s="2" t="s">
        <v>8</v>
      </c>
      <c r="J608" s="2" t="s">
        <v>3564</v>
      </c>
      <c r="K608" s="2" t="s">
        <v>3565</v>
      </c>
      <c r="L608" s="2" t="s">
        <v>4879</v>
      </c>
      <c r="M608" s="3">
        <v>1</v>
      </c>
      <c r="N608" s="3">
        <v>2</v>
      </c>
      <c r="P608" s="2" t="s">
        <v>3566</v>
      </c>
    </row>
    <row r="609" spans="1:16" ht="13">
      <c r="A609" s="2" t="s">
        <v>5</v>
      </c>
      <c r="B609" s="2" t="str">
        <f t="shared" si="9"/>
        <v>24-25 Academic Year</v>
      </c>
      <c r="C609" s="2">
        <v>15</v>
      </c>
      <c r="D609" s="2" t="s">
        <v>3532</v>
      </c>
      <c r="E609" s="10">
        <v>45590</v>
      </c>
      <c r="F609" s="2" t="s">
        <v>3533</v>
      </c>
      <c r="G609" s="2" t="s">
        <v>591</v>
      </c>
      <c r="H609" s="2" t="s">
        <v>8</v>
      </c>
      <c r="J609" s="2" t="s">
        <v>3567</v>
      </c>
      <c r="K609" s="2" t="s">
        <v>3361</v>
      </c>
      <c r="L609" s="2" t="s">
        <v>2718</v>
      </c>
      <c r="M609" s="3">
        <v>1</v>
      </c>
      <c r="N609" s="3">
        <v>1</v>
      </c>
      <c r="P609" s="2" t="s">
        <v>3568</v>
      </c>
    </row>
    <row r="610" spans="1:16" ht="13">
      <c r="A610" s="2" t="s">
        <v>5</v>
      </c>
      <c r="B610" s="2" t="str">
        <f t="shared" si="9"/>
        <v>24-25 Academic Year</v>
      </c>
      <c r="C610" s="2">
        <v>15</v>
      </c>
      <c r="D610" s="2" t="s">
        <v>3532</v>
      </c>
      <c r="E610" s="10">
        <v>45590</v>
      </c>
      <c r="F610" s="2" t="s">
        <v>3533</v>
      </c>
      <c r="G610" s="2" t="s">
        <v>591</v>
      </c>
      <c r="H610" s="2" t="s">
        <v>8</v>
      </c>
      <c r="J610" s="2" t="s">
        <v>3569</v>
      </c>
      <c r="K610" s="2" t="s">
        <v>1215</v>
      </c>
      <c r="L610" s="2" t="s">
        <v>3351</v>
      </c>
      <c r="M610" s="3">
        <v>1</v>
      </c>
      <c r="N610" s="3">
        <v>2</v>
      </c>
      <c r="P610" s="2" t="s">
        <v>3570</v>
      </c>
    </row>
    <row r="611" spans="1:16" ht="13">
      <c r="A611" s="2" t="s">
        <v>5</v>
      </c>
      <c r="B611" s="2" t="str">
        <f t="shared" si="9"/>
        <v>24-25 Academic Year</v>
      </c>
      <c r="C611" s="2">
        <v>15</v>
      </c>
      <c r="D611" s="2" t="s">
        <v>3532</v>
      </c>
      <c r="E611" s="10">
        <v>45590</v>
      </c>
      <c r="F611" s="2" t="s">
        <v>3533</v>
      </c>
      <c r="G611" s="2" t="s">
        <v>591</v>
      </c>
      <c r="H611" s="2" t="s">
        <v>8</v>
      </c>
      <c r="J611" s="2" t="s">
        <v>3571</v>
      </c>
      <c r="K611" s="2" t="s">
        <v>237</v>
      </c>
      <c r="L611" s="2" t="s">
        <v>1421</v>
      </c>
      <c r="M611" s="3">
        <v>1</v>
      </c>
      <c r="N611" s="3">
        <v>1</v>
      </c>
      <c r="P611" s="2" t="s">
        <v>3572</v>
      </c>
    </row>
    <row r="612" spans="1:16" ht="13">
      <c r="A612" s="2" t="s">
        <v>5</v>
      </c>
      <c r="B612" s="2" t="str">
        <f t="shared" si="9"/>
        <v>24-25 Academic Year</v>
      </c>
      <c r="C612" s="2">
        <v>15</v>
      </c>
      <c r="D612" s="2" t="s">
        <v>3532</v>
      </c>
      <c r="E612" s="10">
        <v>45590</v>
      </c>
      <c r="F612" s="2" t="s">
        <v>3533</v>
      </c>
      <c r="G612" s="2" t="s">
        <v>591</v>
      </c>
      <c r="H612" s="2" t="s">
        <v>8</v>
      </c>
      <c r="J612" s="2" t="s">
        <v>3573</v>
      </c>
      <c r="K612" s="2" t="s">
        <v>237</v>
      </c>
      <c r="L612" s="2" t="s">
        <v>1421</v>
      </c>
      <c r="M612" s="3">
        <v>1</v>
      </c>
      <c r="N612" s="3">
        <v>1</v>
      </c>
      <c r="P612" s="2" t="s">
        <v>3574</v>
      </c>
    </row>
    <row r="613" spans="1:16" ht="13">
      <c r="A613" s="2" t="s">
        <v>5</v>
      </c>
      <c r="B613" s="2" t="str">
        <f t="shared" si="9"/>
        <v>24-25 Academic Year</v>
      </c>
      <c r="C613" s="2">
        <v>15</v>
      </c>
      <c r="D613" s="2" t="s">
        <v>3532</v>
      </c>
      <c r="E613" s="10">
        <v>45590</v>
      </c>
      <c r="F613" s="2" t="s">
        <v>3533</v>
      </c>
      <c r="G613" s="2" t="s">
        <v>591</v>
      </c>
      <c r="H613" s="2" t="s">
        <v>8</v>
      </c>
      <c r="J613" s="2" t="s">
        <v>2384</v>
      </c>
      <c r="K613" s="2" t="s">
        <v>1215</v>
      </c>
      <c r="L613" s="2" t="s">
        <v>3351</v>
      </c>
      <c r="M613" s="3">
        <v>1</v>
      </c>
      <c r="N613" s="3">
        <v>2</v>
      </c>
      <c r="P613" s="2" t="s">
        <v>3245</v>
      </c>
    </row>
    <row r="614" spans="1:16" ht="13">
      <c r="A614" s="2" t="s">
        <v>5</v>
      </c>
      <c r="B614" s="2" t="str">
        <f t="shared" si="9"/>
        <v>24-25 Academic Year</v>
      </c>
      <c r="C614" s="2">
        <v>15</v>
      </c>
      <c r="D614" s="2" t="s">
        <v>3532</v>
      </c>
      <c r="E614" s="10">
        <v>45590</v>
      </c>
      <c r="F614" s="2" t="s">
        <v>3533</v>
      </c>
      <c r="G614" s="2" t="s">
        <v>591</v>
      </c>
      <c r="H614" s="2" t="s">
        <v>8</v>
      </c>
      <c r="J614" s="2" t="s">
        <v>2386</v>
      </c>
      <c r="K614" s="2" t="s">
        <v>3536</v>
      </c>
      <c r="L614" s="2" t="s">
        <v>4092</v>
      </c>
      <c r="M614" s="3">
        <v>1</v>
      </c>
      <c r="N614" s="3">
        <v>1</v>
      </c>
      <c r="P614" s="2" t="s">
        <v>3537</v>
      </c>
    </row>
    <row r="615" spans="1:16" ht="13">
      <c r="A615" s="2" t="s">
        <v>5</v>
      </c>
      <c r="B615" s="2" t="str">
        <f t="shared" si="9"/>
        <v>24-25 Academic Year</v>
      </c>
      <c r="C615" s="2">
        <v>15</v>
      </c>
      <c r="D615" s="2" t="s">
        <v>3532</v>
      </c>
      <c r="E615" s="10">
        <v>45590</v>
      </c>
      <c r="F615" s="2" t="s">
        <v>3533</v>
      </c>
      <c r="G615" s="2" t="s">
        <v>591</v>
      </c>
      <c r="H615" s="2" t="s">
        <v>8</v>
      </c>
      <c r="J615" s="2" t="s">
        <v>2389</v>
      </c>
      <c r="K615" s="2" t="s">
        <v>374</v>
      </c>
      <c r="L615" s="2" t="s">
        <v>1680</v>
      </c>
      <c r="M615" s="3">
        <v>1</v>
      </c>
      <c r="N615" s="3">
        <v>2</v>
      </c>
      <c r="P615" s="2" t="s">
        <v>3510</v>
      </c>
    </row>
    <row r="616" spans="1:16" ht="13">
      <c r="A616" s="2" t="s">
        <v>5</v>
      </c>
      <c r="B616" s="2" t="str">
        <f t="shared" si="9"/>
        <v>24-25 Academic Year</v>
      </c>
      <c r="C616" s="2">
        <v>15</v>
      </c>
      <c r="D616" s="2" t="s">
        <v>3532</v>
      </c>
      <c r="E616" s="10">
        <v>45590</v>
      </c>
      <c r="F616" s="2" t="s">
        <v>3533</v>
      </c>
      <c r="G616" s="2" t="s">
        <v>591</v>
      </c>
      <c r="H616" s="2" t="s">
        <v>8</v>
      </c>
      <c r="J616" s="2" t="s">
        <v>3538</v>
      </c>
      <c r="K616" s="2" t="s">
        <v>3539</v>
      </c>
      <c r="L616" s="2" t="s">
        <v>4880</v>
      </c>
      <c r="M616" s="3">
        <v>1</v>
      </c>
      <c r="N616" s="3">
        <v>1</v>
      </c>
      <c r="P616" s="2" t="s">
        <v>3512</v>
      </c>
    </row>
    <row r="617" spans="1:16" ht="13">
      <c r="A617" s="2" t="s">
        <v>5</v>
      </c>
      <c r="B617" s="2" t="str">
        <f t="shared" si="9"/>
        <v>24-25 Academic Year</v>
      </c>
      <c r="C617" s="2">
        <v>15</v>
      </c>
      <c r="D617" s="2" t="s">
        <v>3532</v>
      </c>
      <c r="E617" s="10">
        <v>45590</v>
      </c>
      <c r="F617" s="2" t="s">
        <v>3533</v>
      </c>
      <c r="G617" s="2" t="s">
        <v>591</v>
      </c>
      <c r="H617" s="2" t="s">
        <v>8</v>
      </c>
      <c r="J617" s="2" t="s">
        <v>3540</v>
      </c>
      <c r="K617" s="2" t="s">
        <v>2721</v>
      </c>
      <c r="L617" s="2" t="s">
        <v>4364</v>
      </c>
      <c r="M617" s="3">
        <v>2</v>
      </c>
      <c r="N617" s="3">
        <v>1</v>
      </c>
      <c r="P617" s="2" t="s">
        <v>3541</v>
      </c>
    </row>
    <row r="618" spans="1:16" ht="13">
      <c r="A618" s="2" t="s">
        <v>5</v>
      </c>
      <c r="B618" s="2" t="str">
        <f t="shared" si="9"/>
        <v>24-25 Academic Year</v>
      </c>
      <c r="C618" s="2">
        <v>15</v>
      </c>
      <c r="D618" s="2" t="s">
        <v>3532</v>
      </c>
      <c r="E618" s="10">
        <v>45590</v>
      </c>
      <c r="F618" s="2" t="s">
        <v>3533</v>
      </c>
      <c r="G618" s="2" t="s">
        <v>591</v>
      </c>
      <c r="H618" s="2" t="s">
        <v>8</v>
      </c>
      <c r="J618" s="2" t="s">
        <v>3542</v>
      </c>
      <c r="K618" s="2" t="s">
        <v>3543</v>
      </c>
      <c r="L618" s="2" t="s">
        <v>3544</v>
      </c>
      <c r="M618" s="3">
        <v>1</v>
      </c>
      <c r="N618" s="3"/>
      <c r="P618" s="2" t="s">
        <v>3545</v>
      </c>
    </row>
    <row r="619" spans="1:16" ht="13">
      <c r="A619" s="2" t="s">
        <v>5</v>
      </c>
      <c r="B619" s="2" t="str">
        <f t="shared" si="9"/>
        <v>24-25 Academic Year</v>
      </c>
      <c r="C619" s="2">
        <v>15</v>
      </c>
      <c r="D619" s="2" t="s">
        <v>3532</v>
      </c>
      <c r="E619" s="10">
        <v>45590</v>
      </c>
      <c r="F619" s="2" t="s">
        <v>3533</v>
      </c>
      <c r="G619" s="2" t="s">
        <v>591</v>
      </c>
      <c r="H619" s="2" t="s">
        <v>8</v>
      </c>
      <c r="J619" s="2" t="s">
        <v>3546</v>
      </c>
      <c r="K619" s="2" t="s">
        <v>3543</v>
      </c>
      <c r="L619" s="2" t="s">
        <v>3544</v>
      </c>
      <c r="M619" s="3">
        <v>1</v>
      </c>
      <c r="N619" s="3"/>
      <c r="P619" s="2" t="s">
        <v>3547</v>
      </c>
    </row>
    <row r="620" spans="1:16" ht="13">
      <c r="A620" s="2" t="s">
        <v>5</v>
      </c>
      <c r="B620" s="2" t="str">
        <f t="shared" si="9"/>
        <v>24-25 Academic Year</v>
      </c>
      <c r="C620" s="2">
        <v>15</v>
      </c>
      <c r="D620" s="2" t="s">
        <v>3532</v>
      </c>
      <c r="E620" s="10">
        <v>45590</v>
      </c>
      <c r="F620" s="2" t="s">
        <v>3533</v>
      </c>
      <c r="G620" s="2" t="s">
        <v>591</v>
      </c>
      <c r="H620" s="2" t="s">
        <v>8</v>
      </c>
      <c r="J620" s="2" t="s">
        <v>3548</v>
      </c>
      <c r="K620" s="2" t="s">
        <v>3549</v>
      </c>
      <c r="L620" s="2" t="s">
        <v>3550</v>
      </c>
      <c r="M620" s="3">
        <v>1</v>
      </c>
      <c r="N620" s="3">
        <v>1</v>
      </c>
      <c r="P620" s="2" t="s">
        <v>3551</v>
      </c>
    </row>
    <row r="621" spans="1:16" ht="13">
      <c r="A621" s="2" t="s">
        <v>5</v>
      </c>
      <c r="B621" s="2" t="str">
        <f t="shared" si="9"/>
        <v>24-25 Academic Year</v>
      </c>
      <c r="C621" s="2">
        <v>16</v>
      </c>
      <c r="D621" s="2" t="s">
        <v>2542</v>
      </c>
      <c r="E621" s="10">
        <v>45592</v>
      </c>
      <c r="F621" s="2" t="s">
        <v>2542</v>
      </c>
      <c r="G621" s="2" t="s">
        <v>131</v>
      </c>
      <c r="H621" s="2" t="s">
        <v>6</v>
      </c>
      <c r="J621" s="2" t="s">
        <v>2393</v>
      </c>
      <c r="K621" s="2" t="s">
        <v>2542</v>
      </c>
      <c r="L621" s="2" t="s">
        <v>2056</v>
      </c>
      <c r="M621" s="3">
        <v>999</v>
      </c>
      <c r="N621" s="3">
        <v>999</v>
      </c>
      <c r="P621" s="2" t="s">
        <v>3575</v>
      </c>
    </row>
    <row r="622" spans="1:16" ht="13">
      <c r="A622" s="2" t="s">
        <v>5</v>
      </c>
      <c r="B622" s="2" t="str">
        <f t="shared" si="9"/>
        <v>24-25 Academic Year</v>
      </c>
      <c r="C622" s="2">
        <v>16</v>
      </c>
      <c r="D622" s="2" t="s">
        <v>2542</v>
      </c>
      <c r="E622" s="10">
        <v>45592</v>
      </c>
      <c r="F622" s="2" t="s">
        <v>2542</v>
      </c>
      <c r="G622" s="2" t="s">
        <v>131</v>
      </c>
      <c r="H622" s="2" t="s">
        <v>6</v>
      </c>
      <c r="J622" s="2" t="s">
        <v>2395</v>
      </c>
      <c r="K622" s="2" t="s">
        <v>2542</v>
      </c>
      <c r="L622" s="2" t="s">
        <v>2056</v>
      </c>
      <c r="M622" s="3">
        <v>999</v>
      </c>
      <c r="N622" s="3">
        <v>999</v>
      </c>
      <c r="P622" s="2" t="s">
        <v>3576</v>
      </c>
    </row>
    <row r="623" spans="1:16" ht="13">
      <c r="A623" s="2" t="s">
        <v>5</v>
      </c>
      <c r="B623" s="2" t="str">
        <f t="shared" si="9"/>
        <v>24-25 Academic Year</v>
      </c>
      <c r="C623" s="2">
        <v>16</v>
      </c>
      <c r="D623" s="2" t="s">
        <v>2542</v>
      </c>
      <c r="E623" s="10">
        <v>45592</v>
      </c>
      <c r="F623" s="2" t="s">
        <v>2542</v>
      </c>
      <c r="G623" s="2" t="s">
        <v>131</v>
      </c>
      <c r="H623" s="2" t="s">
        <v>6</v>
      </c>
      <c r="J623" s="2" t="s">
        <v>2397</v>
      </c>
      <c r="K623" s="2" t="s">
        <v>2542</v>
      </c>
      <c r="L623" s="2" t="s">
        <v>2056</v>
      </c>
      <c r="M623" s="3">
        <v>999</v>
      </c>
      <c r="N623" s="3">
        <v>999</v>
      </c>
      <c r="P623" s="2" t="s">
        <v>3577</v>
      </c>
    </row>
    <row r="624" spans="1:16" ht="13">
      <c r="A624" s="2" t="s">
        <v>5</v>
      </c>
      <c r="B624" s="2" t="str">
        <f t="shared" si="9"/>
        <v>24-25 Academic Year</v>
      </c>
      <c r="C624" s="2">
        <v>16</v>
      </c>
      <c r="D624" s="2" t="s">
        <v>2542</v>
      </c>
      <c r="E624" s="10">
        <v>45592</v>
      </c>
      <c r="F624" s="2" t="s">
        <v>2542</v>
      </c>
      <c r="G624" s="2" t="s">
        <v>131</v>
      </c>
      <c r="H624" s="2" t="s">
        <v>6</v>
      </c>
      <c r="J624" s="2" t="s">
        <v>2400</v>
      </c>
      <c r="K624" s="2" t="s">
        <v>2542</v>
      </c>
      <c r="L624" s="2" t="s">
        <v>2056</v>
      </c>
      <c r="M624" s="3">
        <v>999</v>
      </c>
      <c r="N624" s="3">
        <v>999</v>
      </c>
      <c r="P624" s="2" t="s">
        <v>3578</v>
      </c>
    </row>
    <row r="625" spans="1:16" ht="13">
      <c r="A625" s="2" t="s">
        <v>5</v>
      </c>
      <c r="B625" s="2" t="str">
        <f t="shared" si="9"/>
        <v>24-25 Academic Year</v>
      </c>
      <c r="C625" s="2">
        <v>17</v>
      </c>
      <c r="D625" s="2" t="s">
        <v>1368</v>
      </c>
      <c r="E625" s="10">
        <v>45597</v>
      </c>
      <c r="F625" s="2" t="s">
        <v>3485</v>
      </c>
      <c r="G625" s="2" t="s">
        <v>92</v>
      </c>
      <c r="H625" s="2" t="s">
        <v>6</v>
      </c>
      <c r="J625" s="2" t="s">
        <v>2408</v>
      </c>
      <c r="K625" s="2" t="s">
        <v>431</v>
      </c>
      <c r="L625" s="2" t="s">
        <v>1360</v>
      </c>
      <c r="M625" s="3">
        <v>1</v>
      </c>
      <c r="N625" s="3">
        <v>2</v>
      </c>
      <c r="P625" s="2" t="s">
        <v>3579</v>
      </c>
    </row>
    <row r="626" spans="1:16" ht="13">
      <c r="A626" s="2" t="s">
        <v>5</v>
      </c>
      <c r="B626" s="2" t="str">
        <f t="shared" si="9"/>
        <v>24-25 Academic Year</v>
      </c>
      <c r="C626" s="2">
        <v>17</v>
      </c>
      <c r="D626" s="2" t="s">
        <v>1368</v>
      </c>
      <c r="E626" s="10">
        <v>45597</v>
      </c>
      <c r="F626" s="2" t="s">
        <v>3485</v>
      </c>
      <c r="G626" s="2" t="s">
        <v>92</v>
      </c>
      <c r="H626" s="2" t="s">
        <v>6</v>
      </c>
      <c r="J626" s="2" t="s">
        <v>2414</v>
      </c>
      <c r="K626" s="2" t="s">
        <v>3580</v>
      </c>
      <c r="L626" s="2" t="s">
        <v>4881</v>
      </c>
      <c r="M626" s="3">
        <v>1</v>
      </c>
      <c r="N626" s="3">
        <v>1</v>
      </c>
      <c r="P626" s="2" t="s">
        <v>3581</v>
      </c>
    </row>
    <row r="627" spans="1:16" ht="13">
      <c r="A627" s="2" t="s">
        <v>5</v>
      </c>
      <c r="B627" s="2" t="str">
        <f t="shared" si="9"/>
        <v>24-25 Academic Year</v>
      </c>
      <c r="C627" s="2">
        <v>17</v>
      </c>
      <c r="D627" s="2" t="s">
        <v>1368</v>
      </c>
      <c r="E627" s="10">
        <v>45597</v>
      </c>
      <c r="F627" s="2" t="s">
        <v>3485</v>
      </c>
      <c r="G627" s="2" t="s">
        <v>92</v>
      </c>
      <c r="H627" s="2" t="s">
        <v>6</v>
      </c>
      <c r="J627" s="2" t="s">
        <v>2417</v>
      </c>
      <c r="K627" s="2" t="s">
        <v>3582</v>
      </c>
      <c r="L627" s="2" t="s">
        <v>4882</v>
      </c>
      <c r="M627" s="3">
        <v>1</v>
      </c>
      <c r="N627" s="3">
        <v>1</v>
      </c>
      <c r="P627" s="2" t="s">
        <v>3583</v>
      </c>
    </row>
    <row r="628" spans="1:16" ht="13">
      <c r="A628" s="2" t="s">
        <v>5</v>
      </c>
      <c r="B628" s="2" t="str">
        <f t="shared" si="9"/>
        <v>24-25 Academic Year</v>
      </c>
      <c r="C628" s="2">
        <v>17</v>
      </c>
      <c r="D628" s="2" t="s">
        <v>1368</v>
      </c>
      <c r="E628" s="10">
        <v>45597</v>
      </c>
      <c r="F628" s="2" t="s">
        <v>3485</v>
      </c>
      <c r="G628" s="2" t="s">
        <v>92</v>
      </c>
      <c r="H628" s="2" t="s">
        <v>6</v>
      </c>
      <c r="J628" s="2" t="s">
        <v>2420</v>
      </c>
      <c r="K628" s="2" t="s">
        <v>1033</v>
      </c>
      <c r="L628" s="2" t="s">
        <v>3902</v>
      </c>
      <c r="M628" s="3">
        <v>1</v>
      </c>
      <c r="N628" s="3">
        <v>2</v>
      </c>
      <c r="P628" s="2" t="s">
        <v>3584</v>
      </c>
    </row>
    <row r="629" spans="1:16" ht="13">
      <c r="A629" s="2" t="s">
        <v>5</v>
      </c>
      <c r="B629" s="2" t="str">
        <f t="shared" si="9"/>
        <v>24-25 Academic Year</v>
      </c>
      <c r="C629" s="2">
        <v>17</v>
      </c>
      <c r="D629" s="2" t="s">
        <v>1368</v>
      </c>
      <c r="E629" s="10">
        <v>45597</v>
      </c>
      <c r="F629" s="2" t="s">
        <v>3485</v>
      </c>
      <c r="G629" s="2" t="s">
        <v>92</v>
      </c>
      <c r="H629" s="2" t="s">
        <v>6</v>
      </c>
      <c r="J629" s="2" t="s">
        <v>2423</v>
      </c>
      <c r="K629" s="2" t="s">
        <v>934</v>
      </c>
      <c r="L629" s="2" t="s">
        <v>4883</v>
      </c>
      <c r="M629" s="3">
        <v>1</v>
      </c>
      <c r="N629" s="3">
        <v>1</v>
      </c>
      <c r="P629" s="2" t="s">
        <v>3585</v>
      </c>
    </row>
    <row r="630" spans="1:16" ht="13">
      <c r="A630" s="2" t="s">
        <v>5</v>
      </c>
      <c r="B630" s="2" t="str">
        <f t="shared" si="9"/>
        <v>24-25 Academic Year</v>
      </c>
      <c r="C630" s="2">
        <v>17</v>
      </c>
      <c r="D630" s="2" t="s">
        <v>1368</v>
      </c>
      <c r="E630" s="10">
        <v>45597</v>
      </c>
      <c r="F630" s="2" t="s">
        <v>3485</v>
      </c>
      <c r="G630" s="2" t="s">
        <v>92</v>
      </c>
      <c r="H630" s="2" t="s">
        <v>6</v>
      </c>
      <c r="J630" s="2" t="s">
        <v>2425</v>
      </c>
      <c r="K630" s="2" t="s">
        <v>605</v>
      </c>
      <c r="L630" s="2" t="s">
        <v>1407</v>
      </c>
      <c r="M630" s="3">
        <v>1</v>
      </c>
      <c r="N630" s="3">
        <v>2</v>
      </c>
      <c r="P630" s="2" t="s">
        <v>3586</v>
      </c>
    </row>
    <row r="631" spans="1:16" ht="13">
      <c r="A631" s="2" t="s">
        <v>5</v>
      </c>
      <c r="B631" s="2" t="str">
        <f t="shared" si="9"/>
        <v>24-25 Academic Year</v>
      </c>
      <c r="C631" s="2">
        <v>18</v>
      </c>
      <c r="D631" s="2" t="s">
        <v>3587</v>
      </c>
      <c r="E631" s="10">
        <v>45597</v>
      </c>
      <c r="F631" s="2" t="s">
        <v>3588</v>
      </c>
      <c r="G631" s="2" t="s">
        <v>7</v>
      </c>
      <c r="H631" s="2" t="s">
        <v>7</v>
      </c>
      <c r="J631" s="2" t="s">
        <v>2439</v>
      </c>
      <c r="K631" s="2" t="s">
        <v>1091</v>
      </c>
      <c r="L631" s="2" t="s">
        <v>4009</v>
      </c>
      <c r="M631" s="3">
        <v>1</v>
      </c>
      <c r="N631" s="3">
        <v>2</v>
      </c>
      <c r="P631" s="2" t="s">
        <v>3589</v>
      </c>
    </row>
    <row r="632" spans="1:16" ht="13">
      <c r="A632" s="2" t="s">
        <v>5</v>
      </c>
      <c r="B632" s="2" t="str">
        <f t="shared" si="9"/>
        <v>24-25 Academic Year</v>
      </c>
      <c r="C632" s="2">
        <v>18</v>
      </c>
      <c r="D632" s="2" t="s">
        <v>3587</v>
      </c>
      <c r="E632" s="10">
        <v>45597</v>
      </c>
      <c r="F632" s="2" t="s">
        <v>3588</v>
      </c>
      <c r="G632" s="2" t="s">
        <v>7</v>
      </c>
      <c r="H632" s="2" t="s">
        <v>7</v>
      </c>
      <c r="J632" s="2" t="s">
        <v>2442</v>
      </c>
      <c r="K632" s="2" t="s">
        <v>3590</v>
      </c>
      <c r="L632" s="2" t="s">
        <v>3591</v>
      </c>
      <c r="M632" s="3">
        <v>3</v>
      </c>
      <c r="N632" s="3">
        <v>2</v>
      </c>
      <c r="P632" s="2" t="s">
        <v>3592</v>
      </c>
    </row>
    <row r="633" spans="1:16" ht="13">
      <c r="A633" s="2" t="s">
        <v>5</v>
      </c>
      <c r="B633" s="2" t="str">
        <f t="shared" si="9"/>
        <v>24-25 Academic Year</v>
      </c>
      <c r="C633" s="2">
        <v>18</v>
      </c>
      <c r="D633" s="2" t="s">
        <v>3587</v>
      </c>
      <c r="E633" s="10">
        <v>45597</v>
      </c>
      <c r="F633" s="2" t="s">
        <v>3588</v>
      </c>
      <c r="G633" s="2" t="s">
        <v>7</v>
      </c>
      <c r="H633" s="2" t="s">
        <v>7</v>
      </c>
      <c r="J633" s="2" t="s">
        <v>2444</v>
      </c>
      <c r="K633" s="2" t="s">
        <v>3593</v>
      </c>
      <c r="L633" s="2" t="s">
        <v>4884</v>
      </c>
      <c r="M633" s="3">
        <v>1</v>
      </c>
      <c r="N633" s="3">
        <v>1</v>
      </c>
      <c r="P633" s="2" t="s">
        <v>3594</v>
      </c>
    </row>
    <row r="634" spans="1:16" ht="13">
      <c r="A634" s="2" t="s">
        <v>5</v>
      </c>
      <c r="B634" s="2" t="str">
        <f t="shared" si="9"/>
        <v>24-25 Academic Year</v>
      </c>
      <c r="C634" s="2">
        <v>18</v>
      </c>
      <c r="D634" s="2" t="s">
        <v>3587</v>
      </c>
      <c r="E634" s="10">
        <v>45597</v>
      </c>
      <c r="F634" s="2" t="s">
        <v>3588</v>
      </c>
      <c r="G634" s="2" t="s">
        <v>7</v>
      </c>
      <c r="H634" s="2" t="s">
        <v>7</v>
      </c>
      <c r="J634" s="2" t="s">
        <v>2446</v>
      </c>
      <c r="K634" s="2" t="s">
        <v>3595</v>
      </c>
      <c r="L634" s="2" t="s">
        <v>4885</v>
      </c>
      <c r="M634" s="3">
        <v>1</v>
      </c>
      <c r="N634" s="3">
        <v>1</v>
      </c>
      <c r="P634" s="2" t="s">
        <v>3596</v>
      </c>
    </row>
    <row r="635" spans="1:16" ht="13">
      <c r="A635" s="2" t="s">
        <v>5</v>
      </c>
      <c r="B635" s="2" t="str">
        <f t="shared" si="9"/>
        <v>24-25 Academic Year</v>
      </c>
      <c r="C635" s="2">
        <v>18</v>
      </c>
      <c r="D635" s="2" t="s">
        <v>3587</v>
      </c>
      <c r="E635" s="10">
        <v>45597</v>
      </c>
      <c r="F635" s="2" t="s">
        <v>3588</v>
      </c>
      <c r="G635" s="2" t="s">
        <v>7</v>
      </c>
      <c r="H635" s="2" t="s">
        <v>7</v>
      </c>
      <c r="J635" s="2" t="s">
        <v>3597</v>
      </c>
      <c r="K635" s="2" t="s">
        <v>3598</v>
      </c>
      <c r="L635" s="2" t="s">
        <v>4886</v>
      </c>
      <c r="M635" s="3">
        <v>4</v>
      </c>
      <c r="N635" s="3">
        <v>1</v>
      </c>
      <c r="P635" s="2" t="s">
        <v>3599</v>
      </c>
    </row>
    <row r="636" spans="1:16" ht="13">
      <c r="A636" s="2" t="s">
        <v>5</v>
      </c>
      <c r="B636" s="2" t="str">
        <f t="shared" si="9"/>
        <v>24-25 Academic Year</v>
      </c>
      <c r="C636" s="2">
        <v>18</v>
      </c>
      <c r="D636" s="2" t="s">
        <v>3587</v>
      </c>
      <c r="E636" s="10">
        <v>45597</v>
      </c>
      <c r="F636" s="2" t="s">
        <v>3588</v>
      </c>
      <c r="G636" s="2" t="s">
        <v>7</v>
      </c>
      <c r="H636" s="2" t="s">
        <v>7</v>
      </c>
      <c r="J636" s="2" t="s">
        <v>3600</v>
      </c>
      <c r="K636" s="2" t="s">
        <v>3601</v>
      </c>
      <c r="L636" s="2" t="s">
        <v>3602</v>
      </c>
      <c r="M636" s="3">
        <v>1</v>
      </c>
      <c r="N636" s="3">
        <v>2</v>
      </c>
      <c r="P636" s="2" t="s">
        <v>3603</v>
      </c>
    </row>
    <row r="637" spans="1:16" ht="13">
      <c r="A637" s="2" t="s">
        <v>5</v>
      </c>
      <c r="B637" s="2" t="str">
        <f t="shared" si="9"/>
        <v>24-25 Academic Year</v>
      </c>
      <c r="C637" s="2">
        <v>18</v>
      </c>
      <c r="D637" s="2" t="s">
        <v>3587</v>
      </c>
      <c r="E637" s="10">
        <v>45597</v>
      </c>
      <c r="F637" s="2" t="s">
        <v>3588</v>
      </c>
      <c r="G637" s="2" t="s">
        <v>7</v>
      </c>
      <c r="H637" s="2" t="s">
        <v>7</v>
      </c>
      <c r="J637" s="2" t="s">
        <v>3604</v>
      </c>
      <c r="K637" s="2" t="s">
        <v>3605</v>
      </c>
      <c r="L637" s="2" t="s">
        <v>3606</v>
      </c>
      <c r="M637" s="3">
        <v>1</v>
      </c>
      <c r="N637" s="3">
        <v>2</v>
      </c>
      <c r="P637" s="2" t="s">
        <v>3607</v>
      </c>
    </row>
    <row r="638" spans="1:16" ht="13">
      <c r="A638" s="2" t="s">
        <v>5</v>
      </c>
      <c r="B638" s="2" t="str">
        <f t="shared" si="9"/>
        <v>24-25 Academic Year</v>
      </c>
      <c r="C638" s="2">
        <v>18</v>
      </c>
      <c r="D638" s="2" t="s">
        <v>3587</v>
      </c>
      <c r="E638" s="10">
        <v>45597</v>
      </c>
      <c r="F638" s="2" t="s">
        <v>3588</v>
      </c>
      <c r="G638" s="2" t="s">
        <v>7</v>
      </c>
      <c r="H638" s="2" t="s">
        <v>7</v>
      </c>
      <c r="J638" s="2" t="s">
        <v>3608</v>
      </c>
      <c r="K638" s="2" t="s">
        <v>3609</v>
      </c>
      <c r="L638" s="2" t="s">
        <v>3610</v>
      </c>
      <c r="M638" s="3">
        <v>3</v>
      </c>
      <c r="N638" s="3">
        <v>2</v>
      </c>
      <c r="P638" s="2" t="s">
        <v>3611</v>
      </c>
    </row>
    <row r="639" spans="1:16" ht="13">
      <c r="A639" s="2" t="s">
        <v>5</v>
      </c>
      <c r="B639" s="2" t="str">
        <f t="shared" si="9"/>
        <v>24-25 Academic Year</v>
      </c>
      <c r="C639" s="2">
        <v>19</v>
      </c>
      <c r="D639" s="2" t="s">
        <v>3612</v>
      </c>
      <c r="E639" s="10">
        <v>45603</v>
      </c>
      <c r="F639" s="2" t="s">
        <v>3613</v>
      </c>
      <c r="G639" s="2" t="s">
        <v>21</v>
      </c>
      <c r="H639" s="2" t="s">
        <v>6</v>
      </c>
      <c r="J639" s="2" t="s">
        <v>2450</v>
      </c>
      <c r="K639" s="2" t="s">
        <v>3614</v>
      </c>
      <c r="L639" s="2" t="s">
        <v>372</v>
      </c>
      <c r="M639" s="3">
        <v>1</v>
      </c>
      <c r="N639" s="3">
        <v>2</v>
      </c>
      <c r="P639" s="2" t="s">
        <v>3615</v>
      </c>
    </row>
    <row r="640" spans="1:16" ht="13">
      <c r="A640" s="2" t="s">
        <v>5</v>
      </c>
      <c r="B640" s="2" t="str">
        <f t="shared" si="9"/>
        <v>24-25 Academic Year</v>
      </c>
      <c r="C640" s="2">
        <v>19</v>
      </c>
      <c r="D640" s="2" t="s">
        <v>3612</v>
      </c>
      <c r="E640" s="10">
        <v>45603</v>
      </c>
      <c r="F640" s="2" t="s">
        <v>3613</v>
      </c>
      <c r="G640" s="2" t="s">
        <v>21</v>
      </c>
      <c r="H640" s="2" t="s">
        <v>6</v>
      </c>
      <c r="J640" s="2" t="s">
        <v>2452</v>
      </c>
      <c r="K640" s="2" t="s">
        <v>700</v>
      </c>
      <c r="L640" s="2" t="s">
        <v>1283</v>
      </c>
      <c r="M640" s="3">
        <v>3</v>
      </c>
      <c r="N640" s="3">
        <v>2</v>
      </c>
      <c r="P640" s="2" t="s">
        <v>3616</v>
      </c>
    </row>
    <row r="641" spans="1:16" ht="13">
      <c r="A641" s="2" t="s">
        <v>5</v>
      </c>
      <c r="B641" s="2" t="str">
        <f t="shared" si="9"/>
        <v>24-25 Academic Year</v>
      </c>
      <c r="C641" s="2">
        <v>19</v>
      </c>
      <c r="D641" s="2" t="s">
        <v>3612</v>
      </c>
      <c r="E641" s="10">
        <v>45603</v>
      </c>
      <c r="F641" s="2" t="s">
        <v>3613</v>
      </c>
      <c r="G641" s="2" t="s">
        <v>21</v>
      </c>
      <c r="H641" s="2" t="s">
        <v>6</v>
      </c>
      <c r="J641" s="2" t="s">
        <v>2454</v>
      </c>
      <c r="K641" s="2" t="s">
        <v>700</v>
      </c>
      <c r="L641" s="2" t="s">
        <v>1283</v>
      </c>
      <c r="M641" s="3">
        <v>3</v>
      </c>
      <c r="N641" s="3">
        <v>2</v>
      </c>
      <c r="P641" s="2" t="s">
        <v>3617</v>
      </c>
    </row>
    <row r="642" spans="1:16" ht="13">
      <c r="A642" s="2" t="s">
        <v>5</v>
      </c>
      <c r="B642" s="2" t="str">
        <f t="shared" si="9"/>
        <v>24-25 Academic Year</v>
      </c>
      <c r="C642" s="2">
        <v>19</v>
      </c>
      <c r="D642" s="2" t="s">
        <v>3612</v>
      </c>
      <c r="E642" s="10">
        <v>45603</v>
      </c>
      <c r="F642" s="2" t="s">
        <v>3613</v>
      </c>
      <c r="G642" s="2" t="s">
        <v>21</v>
      </c>
      <c r="H642" s="2" t="s">
        <v>6</v>
      </c>
      <c r="J642" s="2" t="s">
        <v>2456</v>
      </c>
      <c r="K642" s="2" t="s">
        <v>3618</v>
      </c>
      <c r="L642" s="2" t="s">
        <v>3618</v>
      </c>
      <c r="M642" s="3">
        <v>999</v>
      </c>
      <c r="N642" s="3">
        <v>999</v>
      </c>
      <c r="P642" s="2" t="s">
        <v>3619</v>
      </c>
    </row>
    <row r="643" spans="1:16" ht="13">
      <c r="A643" s="2" t="s">
        <v>5</v>
      </c>
      <c r="B643" s="2" t="str">
        <f t="shared" ref="B643:B706" si="10">RIGHT(TEXT(IF(LEFT(A643,4)="Fall",VALUE(RIGHT(A643,4)),VALUE(RIGHT(A643,4))-1),"00"),2)
 &amp; "-" &amp;
 RIGHT(TEXT(IF(LEFT(A643,4)="Fall",VALUE(RIGHT(A643,4))+1,VALUE(RIGHT(A643,4))),"00"),2)
 &amp; " Academic Year"</f>
        <v>24-25 Academic Year</v>
      </c>
      <c r="C643" s="2">
        <v>19</v>
      </c>
      <c r="D643" s="2" t="s">
        <v>3612</v>
      </c>
      <c r="E643" s="10">
        <v>45603</v>
      </c>
      <c r="F643" s="2" t="s">
        <v>3613</v>
      </c>
      <c r="G643" s="2" t="s">
        <v>21</v>
      </c>
      <c r="H643" s="2" t="s">
        <v>6</v>
      </c>
      <c r="J643" s="2" t="s">
        <v>2458</v>
      </c>
      <c r="K643" s="2" t="s">
        <v>3620</v>
      </c>
      <c r="L643" s="2" t="s">
        <v>4887</v>
      </c>
      <c r="M643" s="3">
        <v>2</v>
      </c>
      <c r="N643" s="3">
        <v>1</v>
      </c>
      <c r="P643" s="2" t="s">
        <v>3621</v>
      </c>
    </row>
    <row r="644" spans="1:16" ht="13">
      <c r="A644" s="2" t="s">
        <v>5</v>
      </c>
      <c r="B644" s="2" t="str">
        <f t="shared" si="10"/>
        <v>24-25 Academic Year</v>
      </c>
      <c r="C644" s="2">
        <v>19</v>
      </c>
      <c r="D644" s="2" t="s">
        <v>3612</v>
      </c>
      <c r="E644" s="10">
        <v>45603</v>
      </c>
      <c r="F644" s="2" t="s">
        <v>3613</v>
      </c>
      <c r="G644" s="2" t="s">
        <v>21</v>
      </c>
      <c r="H644" s="2" t="s">
        <v>6</v>
      </c>
      <c r="J644" s="2" t="s">
        <v>3622</v>
      </c>
      <c r="K644" s="2" t="s">
        <v>3623</v>
      </c>
      <c r="L644" s="2" t="s">
        <v>4888</v>
      </c>
      <c r="M644" s="3">
        <v>3</v>
      </c>
      <c r="N644" s="3">
        <v>2</v>
      </c>
      <c r="P644" s="2" t="s">
        <v>3624</v>
      </c>
    </row>
    <row r="645" spans="1:16" ht="13">
      <c r="A645" s="2" t="s">
        <v>5</v>
      </c>
      <c r="B645" s="2" t="str">
        <f t="shared" si="10"/>
        <v>24-25 Academic Year</v>
      </c>
      <c r="C645" s="2">
        <v>19</v>
      </c>
      <c r="D645" s="2" t="s">
        <v>3612</v>
      </c>
      <c r="E645" s="10">
        <v>45603</v>
      </c>
      <c r="F645" s="2" t="s">
        <v>3613</v>
      </c>
      <c r="G645" s="2" t="s">
        <v>21</v>
      </c>
      <c r="H645" s="2" t="s">
        <v>6</v>
      </c>
      <c r="J645" s="2" t="s">
        <v>3625</v>
      </c>
      <c r="K645" s="2" t="s">
        <v>3626</v>
      </c>
      <c r="L645" s="2" t="s">
        <v>3627</v>
      </c>
      <c r="M645" s="3">
        <v>4</v>
      </c>
      <c r="N645" s="3">
        <v>2</v>
      </c>
      <c r="P645" s="2" t="s">
        <v>3628</v>
      </c>
    </row>
    <row r="646" spans="1:16" ht="13">
      <c r="A646" s="2" t="s">
        <v>5</v>
      </c>
      <c r="B646" s="2" t="str">
        <f t="shared" si="10"/>
        <v>24-25 Academic Year</v>
      </c>
      <c r="C646" s="2">
        <v>19</v>
      </c>
      <c r="D646" s="2" t="s">
        <v>3612</v>
      </c>
      <c r="E646" s="10">
        <v>45603</v>
      </c>
      <c r="F646" s="2" t="s">
        <v>3613</v>
      </c>
      <c r="G646" s="2" t="s">
        <v>21</v>
      </c>
      <c r="H646" s="2" t="s">
        <v>6</v>
      </c>
      <c r="J646" s="2" t="s">
        <v>3629</v>
      </c>
      <c r="K646" s="2" t="s">
        <v>3630</v>
      </c>
      <c r="L646" s="2" t="s">
        <v>4889</v>
      </c>
      <c r="M646" s="3">
        <v>1</v>
      </c>
      <c r="N646" s="3">
        <v>1</v>
      </c>
      <c r="P646" s="2" t="s">
        <v>3631</v>
      </c>
    </row>
    <row r="647" spans="1:16" ht="13">
      <c r="A647" s="2" t="s">
        <v>5</v>
      </c>
      <c r="B647" s="2" t="str">
        <f t="shared" si="10"/>
        <v>24-25 Academic Year</v>
      </c>
      <c r="C647" s="2">
        <v>19</v>
      </c>
      <c r="D647" s="2" t="s">
        <v>3612</v>
      </c>
      <c r="E647" s="10">
        <v>45603</v>
      </c>
      <c r="F647" s="2" t="s">
        <v>3613</v>
      </c>
      <c r="G647" s="2" t="s">
        <v>21</v>
      </c>
      <c r="H647" s="2" t="s">
        <v>6</v>
      </c>
      <c r="J647" s="2" t="s">
        <v>3632</v>
      </c>
      <c r="K647" s="2" t="s">
        <v>3633</v>
      </c>
      <c r="L647" s="2" t="s">
        <v>4890</v>
      </c>
      <c r="M647" s="3">
        <v>1</v>
      </c>
      <c r="N647" s="3">
        <v>1</v>
      </c>
      <c r="P647" s="2" t="s">
        <v>3634</v>
      </c>
    </row>
    <row r="648" spans="1:16" ht="13">
      <c r="A648" s="2" t="s">
        <v>5</v>
      </c>
      <c r="B648" s="2" t="str">
        <f t="shared" si="10"/>
        <v>24-25 Academic Year</v>
      </c>
      <c r="C648" s="2">
        <v>20</v>
      </c>
      <c r="D648" s="2" t="s">
        <v>3635</v>
      </c>
      <c r="E648" s="10">
        <v>45604</v>
      </c>
      <c r="F648" s="2" t="s">
        <v>2567</v>
      </c>
      <c r="G648" s="2" t="s">
        <v>7</v>
      </c>
      <c r="H648" s="2" t="s">
        <v>7</v>
      </c>
      <c r="J648" s="2" t="s">
        <v>2461</v>
      </c>
      <c r="K648" s="2" t="s">
        <v>670</v>
      </c>
      <c r="L648" s="2" t="s">
        <v>403</v>
      </c>
      <c r="M648" s="3">
        <v>1</v>
      </c>
      <c r="N648" s="3">
        <v>2</v>
      </c>
      <c r="P648" s="2" t="s">
        <v>3592</v>
      </c>
    </row>
    <row r="649" spans="1:16" ht="13">
      <c r="A649" s="2" t="s">
        <v>5</v>
      </c>
      <c r="B649" s="2" t="str">
        <f t="shared" si="10"/>
        <v>24-25 Academic Year</v>
      </c>
      <c r="C649" s="2">
        <v>20</v>
      </c>
      <c r="D649" s="2" t="s">
        <v>3635</v>
      </c>
      <c r="E649" s="10">
        <v>45604</v>
      </c>
      <c r="F649" s="2" t="s">
        <v>2567</v>
      </c>
      <c r="G649" s="2" t="s">
        <v>7</v>
      </c>
      <c r="H649" s="2" t="s">
        <v>7</v>
      </c>
      <c r="J649" s="2" t="s">
        <v>2463</v>
      </c>
      <c r="K649" s="2" t="s">
        <v>3565</v>
      </c>
      <c r="L649" s="2" t="s">
        <v>4879</v>
      </c>
      <c r="M649" s="3">
        <v>1</v>
      </c>
      <c r="N649" s="3">
        <v>2</v>
      </c>
      <c r="P649" s="2" t="s">
        <v>3636</v>
      </c>
    </row>
    <row r="650" spans="1:16" ht="13">
      <c r="A650" s="2" t="s">
        <v>5</v>
      </c>
      <c r="B650" s="2" t="str">
        <f t="shared" si="10"/>
        <v>24-25 Academic Year</v>
      </c>
      <c r="C650" s="2">
        <v>20</v>
      </c>
      <c r="D650" s="2" t="s">
        <v>3635</v>
      </c>
      <c r="E650" s="10">
        <v>45604</v>
      </c>
      <c r="F650" s="2" t="s">
        <v>2567</v>
      </c>
      <c r="G650" s="2" t="s">
        <v>7</v>
      </c>
      <c r="H650" s="2" t="s">
        <v>7</v>
      </c>
      <c r="J650" s="2" t="s">
        <v>2465</v>
      </c>
      <c r="K650" s="2" t="s">
        <v>963</v>
      </c>
      <c r="L650" s="2" t="s">
        <v>4025</v>
      </c>
      <c r="M650" s="3">
        <v>1</v>
      </c>
      <c r="N650" s="3">
        <v>2</v>
      </c>
      <c r="P650" s="2" t="s">
        <v>3599</v>
      </c>
    </row>
    <row r="651" spans="1:16" ht="13">
      <c r="A651" s="2" t="s">
        <v>5</v>
      </c>
      <c r="B651" s="2" t="str">
        <f t="shared" si="10"/>
        <v>24-25 Academic Year</v>
      </c>
      <c r="C651" s="2">
        <v>20</v>
      </c>
      <c r="D651" s="2" t="s">
        <v>3635</v>
      </c>
      <c r="E651" s="10">
        <v>45604</v>
      </c>
      <c r="F651" s="2" t="s">
        <v>2567</v>
      </c>
      <c r="G651" s="2" t="s">
        <v>7</v>
      </c>
      <c r="H651" s="2" t="s">
        <v>7</v>
      </c>
      <c r="J651" s="2" t="s">
        <v>2467</v>
      </c>
      <c r="K651" s="2" t="s">
        <v>670</v>
      </c>
      <c r="L651" s="2" t="s">
        <v>403</v>
      </c>
      <c r="M651" s="3">
        <v>1</v>
      </c>
      <c r="N651" s="3">
        <v>2</v>
      </c>
      <c r="P651" s="2" t="s">
        <v>3637</v>
      </c>
    </row>
    <row r="652" spans="1:16" ht="13">
      <c r="A652" s="2" t="s">
        <v>5</v>
      </c>
      <c r="B652" s="2" t="str">
        <f t="shared" si="10"/>
        <v>24-25 Academic Year</v>
      </c>
      <c r="C652" s="2">
        <v>20</v>
      </c>
      <c r="D652" s="2" t="s">
        <v>3635</v>
      </c>
      <c r="E652" s="10">
        <v>45604</v>
      </c>
      <c r="F652" s="2" t="s">
        <v>2567</v>
      </c>
      <c r="G652" s="2" t="s">
        <v>7</v>
      </c>
      <c r="H652" s="2" t="s">
        <v>7</v>
      </c>
      <c r="J652" s="2" t="s">
        <v>2469</v>
      </c>
      <c r="K652" s="2" t="s">
        <v>1550</v>
      </c>
      <c r="L652" s="2" t="s">
        <v>1551</v>
      </c>
      <c r="M652" s="3">
        <v>4</v>
      </c>
      <c r="N652" s="3">
        <v>1</v>
      </c>
      <c r="P652" s="2" t="s">
        <v>3638</v>
      </c>
    </row>
    <row r="653" spans="1:16" ht="13">
      <c r="A653" s="2" t="s">
        <v>5</v>
      </c>
      <c r="B653" s="2" t="str">
        <f t="shared" si="10"/>
        <v>24-25 Academic Year</v>
      </c>
      <c r="C653" s="2">
        <v>20</v>
      </c>
      <c r="D653" s="2" t="s">
        <v>3635</v>
      </c>
      <c r="E653" s="10">
        <v>45604</v>
      </c>
      <c r="F653" s="2" t="s">
        <v>2567</v>
      </c>
      <c r="G653" s="2" t="s">
        <v>7</v>
      </c>
      <c r="H653" s="2" t="s">
        <v>7</v>
      </c>
      <c r="J653" s="2" t="s">
        <v>2471</v>
      </c>
      <c r="K653" s="2" t="s">
        <v>611</v>
      </c>
      <c r="L653" s="2" t="s">
        <v>1849</v>
      </c>
      <c r="M653" s="3">
        <v>4</v>
      </c>
      <c r="N653" s="3">
        <v>2</v>
      </c>
      <c r="P653" s="2" t="s">
        <v>3639</v>
      </c>
    </row>
    <row r="654" spans="1:16" ht="13">
      <c r="A654" s="2" t="s">
        <v>5</v>
      </c>
      <c r="B654" s="2" t="str">
        <f t="shared" si="10"/>
        <v>24-25 Academic Year</v>
      </c>
      <c r="C654" s="2">
        <v>21</v>
      </c>
      <c r="D654" s="2" t="s">
        <v>1805</v>
      </c>
      <c r="E654" s="10">
        <v>45608</v>
      </c>
      <c r="F654" s="2" t="s">
        <v>2567</v>
      </c>
      <c r="G654" s="2" t="s">
        <v>7</v>
      </c>
      <c r="H654" s="2" t="s">
        <v>7</v>
      </c>
      <c r="J654" s="2" t="s">
        <v>2478</v>
      </c>
      <c r="K654" s="2" t="s">
        <v>3640</v>
      </c>
      <c r="L654" s="2" t="s">
        <v>4891</v>
      </c>
      <c r="M654" s="3">
        <v>1</v>
      </c>
      <c r="N654" s="3">
        <v>1</v>
      </c>
      <c r="P654" s="2" t="s">
        <v>3641</v>
      </c>
    </row>
    <row r="655" spans="1:16" ht="13">
      <c r="A655" s="2" t="s">
        <v>5</v>
      </c>
      <c r="B655" s="2" t="str">
        <f t="shared" si="10"/>
        <v>24-25 Academic Year</v>
      </c>
      <c r="C655" s="2">
        <v>21</v>
      </c>
      <c r="D655" s="2" t="s">
        <v>1805</v>
      </c>
      <c r="E655" s="10">
        <v>45608</v>
      </c>
      <c r="F655" s="2" t="s">
        <v>2567</v>
      </c>
      <c r="G655" s="2" t="s">
        <v>7</v>
      </c>
      <c r="H655" s="2" t="s">
        <v>7</v>
      </c>
      <c r="J655" s="2" t="s">
        <v>2481</v>
      </c>
      <c r="K655" s="2" t="s">
        <v>3642</v>
      </c>
      <c r="L655" s="2" t="s">
        <v>4892</v>
      </c>
      <c r="M655" s="3">
        <v>1</v>
      </c>
      <c r="N655" s="3">
        <v>1</v>
      </c>
      <c r="P655" s="2" t="s">
        <v>3643</v>
      </c>
    </row>
    <row r="656" spans="1:16" ht="13">
      <c r="A656" s="2" t="s">
        <v>5</v>
      </c>
      <c r="B656" s="2" t="str">
        <f t="shared" si="10"/>
        <v>24-25 Academic Year</v>
      </c>
      <c r="C656" s="2">
        <v>21</v>
      </c>
      <c r="D656" s="2" t="s">
        <v>1805</v>
      </c>
      <c r="E656" s="10">
        <v>45608</v>
      </c>
      <c r="F656" s="2" t="s">
        <v>2567</v>
      </c>
      <c r="G656" s="2" t="s">
        <v>7</v>
      </c>
      <c r="H656" s="2" t="s">
        <v>7</v>
      </c>
      <c r="J656" s="2" t="s">
        <v>2484</v>
      </c>
      <c r="K656" s="2" t="s">
        <v>39</v>
      </c>
      <c r="L656" s="2" t="s">
        <v>4678</v>
      </c>
      <c r="M656" s="3">
        <v>1</v>
      </c>
      <c r="N656" s="3">
        <v>1</v>
      </c>
      <c r="P656" s="2" t="s">
        <v>3644</v>
      </c>
    </row>
    <row r="657" spans="1:16" ht="13">
      <c r="A657" s="2" t="s">
        <v>5</v>
      </c>
      <c r="B657" s="2" t="str">
        <f t="shared" si="10"/>
        <v>24-25 Academic Year</v>
      </c>
      <c r="C657" s="2">
        <v>21</v>
      </c>
      <c r="D657" s="2" t="s">
        <v>1805</v>
      </c>
      <c r="E657" s="10">
        <v>45608</v>
      </c>
      <c r="F657" s="2" t="s">
        <v>2567</v>
      </c>
      <c r="G657" s="2" t="s">
        <v>7</v>
      </c>
      <c r="H657" s="2" t="s">
        <v>7</v>
      </c>
      <c r="J657" s="2" t="s">
        <v>2487</v>
      </c>
      <c r="K657" s="2" t="s">
        <v>3391</v>
      </c>
      <c r="L657" s="2" t="s">
        <v>4289</v>
      </c>
      <c r="M657" s="3">
        <v>2</v>
      </c>
      <c r="N657" s="3">
        <v>1</v>
      </c>
      <c r="P657" s="2" t="s">
        <v>3645</v>
      </c>
    </row>
    <row r="658" spans="1:16" ht="13">
      <c r="A658" s="2" t="s">
        <v>5</v>
      </c>
      <c r="B658" s="2" t="str">
        <f t="shared" si="10"/>
        <v>24-25 Academic Year</v>
      </c>
      <c r="C658" s="2">
        <v>21</v>
      </c>
      <c r="D658" s="2" t="s">
        <v>1805</v>
      </c>
      <c r="E658" s="10">
        <v>45608</v>
      </c>
      <c r="F658" s="2" t="s">
        <v>2567</v>
      </c>
      <c r="G658" s="2" t="s">
        <v>7</v>
      </c>
      <c r="H658" s="2" t="s">
        <v>7</v>
      </c>
      <c r="J658" s="2" t="s">
        <v>3646</v>
      </c>
      <c r="K658" s="2" t="s">
        <v>2188</v>
      </c>
      <c r="L658" s="2" t="s">
        <v>4893</v>
      </c>
      <c r="M658" s="3">
        <v>3</v>
      </c>
      <c r="N658" s="3">
        <v>2</v>
      </c>
      <c r="P658" s="2" t="s">
        <v>3631</v>
      </c>
    </row>
    <row r="659" spans="1:16" ht="13">
      <c r="A659" s="2" t="s">
        <v>5</v>
      </c>
      <c r="B659" s="2" t="str">
        <f t="shared" si="10"/>
        <v>24-25 Academic Year</v>
      </c>
      <c r="C659" s="2">
        <v>21</v>
      </c>
      <c r="D659" s="2" t="s">
        <v>1805</v>
      </c>
      <c r="E659" s="10">
        <v>45608</v>
      </c>
      <c r="F659" s="2" t="s">
        <v>2567</v>
      </c>
      <c r="G659" s="2" t="s">
        <v>7</v>
      </c>
      <c r="H659" s="2" t="s">
        <v>7</v>
      </c>
      <c r="J659" s="2" t="s">
        <v>3647</v>
      </c>
      <c r="K659" s="2" t="s">
        <v>3648</v>
      </c>
      <c r="L659" s="2" t="s">
        <v>4894</v>
      </c>
      <c r="M659" s="3">
        <v>4</v>
      </c>
      <c r="N659" s="3">
        <v>1</v>
      </c>
      <c r="P659" s="2" t="s">
        <v>3649</v>
      </c>
    </row>
    <row r="660" spans="1:16" ht="13">
      <c r="A660" s="2" t="s">
        <v>5</v>
      </c>
      <c r="B660" s="2" t="str">
        <f t="shared" si="10"/>
        <v>24-25 Academic Year</v>
      </c>
      <c r="C660" s="2">
        <v>21</v>
      </c>
      <c r="D660" s="2" t="s">
        <v>1805</v>
      </c>
      <c r="E660" s="10">
        <v>45608</v>
      </c>
      <c r="F660" s="2" t="s">
        <v>2567</v>
      </c>
      <c r="G660" s="2" t="s">
        <v>7</v>
      </c>
      <c r="H660" s="2" t="s">
        <v>7</v>
      </c>
      <c r="J660" s="2" t="s">
        <v>3650</v>
      </c>
      <c r="K660" s="2" t="s">
        <v>3651</v>
      </c>
      <c r="L660" s="2" t="s">
        <v>4523</v>
      </c>
      <c r="M660" s="3">
        <v>4</v>
      </c>
      <c r="N660" s="3">
        <v>1</v>
      </c>
      <c r="P660" s="2" t="s">
        <v>3652</v>
      </c>
    </row>
    <row r="661" spans="1:16" ht="13">
      <c r="A661" s="2" t="s">
        <v>5</v>
      </c>
      <c r="B661" s="2" t="str">
        <f t="shared" si="10"/>
        <v>24-25 Academic Year</v>
      </c>
      <c r="C661" s="2">
        <v>22</v>
      </c>
      <c r="D661" s="2" t="s">
        <v>3653</v>
      </c>
      <c r="E661" s="10">
        <v>45610</v>
      </c>
      <c r="F661" s="2" t="s">
        <v>2256</v>
      </c>
      <c r="G661" s="2" t="s">
        <v>21</v>
      </c>
      <c r="H661" s="2" t="s">
        <v>6</v>
      </c>
      <c r="J661" s="2" t="s">
        <v>2491</v>
      </c>
      <c r="K661" s="2" t="s">
        <v>3654</v>
      </c>
      <c r="L661" s="2" t="s">
        <v>4895</v>
      </c>
      <c r="M661" s="3">
        <v>1</v>
      </c>
      <c r="N661" s="3">
        <v>1</v>
      </c>
      <c r="P661" s="2" t="s">
        <v>3655</v>
      </c>
    </row>
    <row r="662" spans="1:16" ht="13">
      <c r="A662" s="2" t="s">
        <v>5</v>
      </c>
      <c r="B662" s="2" t="str">
        <f t="shared" si="10"/>
        <v>24-25 Academic Year</v>
      </c>
      <c r="C662" s="2">
        <v>22</v>
      </c>
      <c r="D662" s="2" t="s">
        <v>3653</v>
      </c>
      <c r="E662" s="10">
        <v>45610</v>
      </c>
      <c r="F662" s="2" t="s">
        <v>2256</v>
      </c>
      <c r="G662" s="2" t="s">
        <v>21</v>
      </c>
      <c r="H662" s="2" t="s">
        <v>6</v>
      </c>
      <c r="J662" s="2" t="s">
        <v>2494</v>
      </c>
      <c r="K662" s="2" t="s">
        <v>2256</v>
      </c>
      <c r="L662" s="2" t="s">
        <v>4896</v>
      </c>
      <c r="M662" s="3">
        <v>2</v>
      </c>
      <c r="N662" s="3">
        <v>1</v>
      </c>
      <c r="P662" s="2" t="s">
        <v>3656</v>
      </c>
    </row>
    <row r="663" spans="1:16" ht="13">
      <c r="A663" s="2" t="s">
        <v>5</v>
      </c>
      <c r="B663" s="2" t="str">
        <f t="shared" si="10"/>
        <v>24-25 Academic Year</v>
      </c>
      <c r="C663" s="2">
        <v>22</v>
      </c>
      <c r="D663" s="2" t="s">
        <v>3653</v>
      </c>
      <c r="E663" s="10">
        <v>45610</v>
      </c>
      <c r="F663" s="2" t="s">
        <v>2256</v>
      </c>
      <c r="G663" s="2" t="s">
        <v>21</v>
      </c>
      <c r="H663" s="2" t="s">
        <v>6</v>
      </c>
      <c r="J663" s="2" t="s">
        <v>2496</v>
      </c>
      <c r="K663" s="2" t="s">
        <v>3657</v>
      </c>
      <c r="L663" s="2" t="s">
        <v>4897</v>
      </c>
      <c r="M663" s="3">
        <v>3</v>
      </c>
      <c r="N663" s="3">
        <v>1</v>
      </c>
      <c r="P663" s="2" t="s">
        <v>3658</v>
      </c>
    </row>
    <row r="664" spans="1:16" ht="13">
      <c r="A664" s="2" t="s">
        <v>5</v>
      </c>
      <c r="B664" s="2" t="str">
        <f t="shared" si="10"/>
        <v>24-25 Academic Year</v>
      </c>
      <c r="C664" s="2">
        <v>22</v>
      </c>
      <c r="D664" s="2" t="s">
        <v>3653</v>
      </c>
      <c r="E664" s="10">
        <v>45610</v>
      </c>
      <c r="F664" s="2" t="s">
        <v>2256</v>
      </c>
      <c r="G664" s="2" t="s">
        <v>21</v>
      </c>
      <c r="H664" s="2" t="s">
        <v>6</v>
      </c>
      <c r="J664" s="2" t="s">
        <v>2499</v>
      </c>
      <c r="K664" s="2" t="s">
        <v>3659</v>
      </c>
      <c r="L664" s="2" t="s">
        <v>4898</v>
      </c>
      <c r="M664" s="3">
        <v>1</v>
      </c>
      <c r="N664" s="3">
        <v>2</v>
      </c>
      <c r="P664" s="2" t="s">
        <v>3660</v>
      </c>
    </row>
    <row r="665" spans="1:16" ht="13">
      <c r="A665" s="2" t="s">
        <v>5</v>
      </c>
      <c r="B665" s="2" t="str">
        <f t="shared" si="10"/>
        <v>24-25 Academic Year</v>
      </c>
      <c r="C665" s="2">
        <v>22</v>
      </c>
      <c r="D665" s="2" t="s">
        <v>3653</v>
      </c>
      <c r="E665" s="10">
        <v>45610</v>
      </c>
      <c r="F665" s="2" t="s">
        <v>2256</v>
      </c>
      <c r="G665" s="2" t="s">
        <v>21</v>
      </c>
      <c r="H665" s="2" t="s">
        <v>6</v>
      </c>
      <c r="J665" s="2" t="s">
        <v>3661</v>
      </c>
      <c r="K665" s="2" t="s">
        <v>3662</v>
      </c>
      <c r="L665" s="2" t="s">
        <v>4899</v>
      </c>
      <c r="M665" s="3">
        <v>1</v>
      </c>
      <c r="N665" s="3">
        <v>2</v>
      </c>
      <c r="P665" s="2" t="s">
        <v>3663</v>
      </c>
    </row>
    <row r="666" spans="1:16" ht="13">
      <c r="A666" s="2" t="s">
        <v>5</v>
      </c>
      <c r="B666" s="2" t="str">
        <f t="shared" si="10"/>
        <v>24-25 Academic Year</v>
      </c>
      <c r="C666" s="2">
        <v>22</v>
      </c>
      <c r="D666" s="2" t="s">
        <v>3653</v>
      </c>
      <c r="E666" s="10">
        <v>45610</v>
      </c>
      <c r="F666" s="2" t="s">
        <v>2256</v>
      </c>
      <c r="G666" s="2" t="s">
        <v>21</v>
      </c>
      <c r="H666" s="2" t="s">
        <v>6</v>
      </c>
      <c r="J666" s="2" t="s">
        <v>3664</v>
      </c>
      <c r="K666" s="2" t="s">
        <v>3465</v>
      </c>
      <c r="L666" s="2" t="s">
        <v>4861</v>
      </c>
      <c r="M666" s="3">
        <v>1</v>
      </c>
      <c r="N666" s="3">
        <v>1</v>
      </c>
      <c r="P666" s="2" t="s">
        <v>3665</v>
      </c>
    </row>
    <row r="667" spans="1:16" ht="13">
      <c r="A667" s="2" t="s">
        <v>5</v>
      </c>
      <c r="B667" s="2" t="str">
        <f t="shared" si="10"/>
        <v>24-25 Academic Year</v>
      </c>
      <c r="C667" s="2">
        <v>23</v>
      </c>
      <c r="D667" s="2" t="s">
        <v>1368</v>
      </c>
      <c r="E667" s="10">
        <v>45611</v>
      </c>
      <c r="F667" s="2" t="s">
        <v>3485</v>
      </c>
      <c r="G667" s="2" t="s">
        <v>92</v>
      </c>
      <c r="H667" s="2" t="s">
        <v>6</v>
      </c>
      <c r="J667" s="2" t="s">
        <v>2503</v>
      </c>
      <c r="K667" s="2" t="s">
        <v>3362</v>
      </c>
      <c r="L667" s="2" t="s">
        <v>4900</v>
      </c>
      <c r="M667" s="3">
        <v>1</v>
      </c>
      <c r="N667" s="3">
        <v>2</v>
      </c>
      <c r="P667" s="2" t="s">
        <v>3666</v>
      </c>
    </row>
    <row r="668" spans="1:16" ht="13">
      <c r="A668" s="2" t="s">
        <v>5</v>
      </c>
      <c r="B668" s="2" t="str">
        <f t="shared" si="10"/>
        <v>24-25 Academic Year</v>
      </c>
      <c r="C668" s="2">
        <v>23</v>
      </c>
      <c r="D668" s="2" t="s">
        <v>1368</v>
      </c>
      <c r="E668" s="10">
        <v>45611</v>
      </c>
      <c r="F668" s="2" t="s">
        <v>3485</v>
      </c>
      <c r="G668" s="2" t="s">
        <v>92</v>
      </c>
      <c r="H668" s="2" t="s">
        <v>6</v>
      </c>
      <c r="J668" s="2" t="s">
        <v>2506</v>
      </c>
      <c r="K668" s="2" t="s">
        <v>3453</v>
      </c>
      <c r="L668" s="2" t="s">
        <v>4158</v>
      </c>
      <c r="M668" s="3">
        <v>1</v>
      </c>
      <c r="N668" s="3">
        <v>2</v>
      </c>
      <c r="P668" s="2" t="s">
        <v>3667</v>
      </c>
    </row>
    <row r="669" spans="1:16" ht="13">
      <c r="A669" s="2" t="s">
        <v>5</v>
      </c>
      <c r="B669" s="2" t="str">
        <f t="shared" si="10"/>
        <v>24-25 Academic Year</v>
      </c>
      <c r="C669" s="2">
        <v>23</v>
      </c>
      <c r="D669" s="2" t="s">
        <v>1368</v>
      </c>
      <c r="E669" s="10">
        <v>45611</v>
      </c>
      <c r="F669" s="2" t="s">
        <v>3485</v>
      </c>
      <c r="G669" s="2" t="s">
        <v>92</v>
      </c>
      <c r="H669" s="2" t="s">
        <v>6</v>
      </c>
      <c r="J669" s="2" t="s">
        <v>2509</v>
      </c>
      <c r="K669" s="2" t="s">
        <v>3287</v>
      </c>
      <c r="L669" s="2" t="s">
        <v>4901</v>
      </c>
      <c r="M669" s="3">
        <v>1</v>
      </c>
      <c r="N669" s="3">
        <v>2</v>
      </c>
      <c r="P669" s="2" t="s">
        <v>3668</v>
      </c>
    </row>
    <row r="670" spans="1:16" ht="13">
      <c r="A670" s="2" t="s">
        <v>5</v>
      </c>
      <c r="B670" s="2" t="str">
        <f t="shared" si="10"/>
        <v>24-25 Academic Year</v>
      </c>
      <c r="C670" s="2">
        <v>23</v>
      </c>
      <c r="D670" s="2" t="s">
        <v>1368</v>
      </c>
      <c r="E670" s="10">
        <v>45611</v>
      </c>
      <c r="F670" s="2" t="s">
        <v>3485</v>
      </c>
      <c r="G670" s="2" t="s">
        <v>92</v>
      </c>
      <c r="H670" s="2" t="s">
        <v>6</v>
      </c>
      <c r="J670" s="2" t="s">
        <v>2513</v>
      </c>
      <c r="K670" s="2" t="s">
        <v>605</v>
      </c>
      <c r="L670" s="2" t="s">
        <v>1407</v>
      </c>
      <c r="M670" s="3">
        <v>1</v>
      </c>
      <c r="N670" s="3">
        <v>2</v>
      </c>
      <c r="P670" s="2" t="s">
        <v>3669</v>
      </c>
    </row>
    <row r="671" spans="1:16" ht="13">
      <c r="A671" s="2" t="s">
        <v>5</v>
      </c>
      <c r="B671" s="2" t="str">
        <f t="shared" si="10"/>
        <v>24-25 Academic Year</v>
      </c>
      <c r="C671" s="2">
        <v>23</v>
      </c>
      <c r="D671" s="2" t="s">
        <v>1368</v>
      </c>
      <c r="E671" s="10">
        <v>45611</v>
      </c>
      <c r="F671" s="2" t="s">
        <v>3485</v>
      </c>
      <c r="G671" s="2" t="s">
        <v>92</v>
      </c>
      <c r="H671" s="2" t="s">
        <v>6</v>
      </c>
      <c r="J671" s="2" t="s">
        <v>2516</v>
      </c>
      <c r="K671" s="2" t="s">
        <v>621</v>
      </c>
      <c r="L671" s="2" t="s">
        <v>622</v>
      </c>
      <c r="M671" s="3">
        <v>1</v>
      </c>
      <c r="N671" s="3">
        <v>2</v>
      </c>
      <c r="P671" s="2" t="s">
        <v>3670</v>
      </c>
    </row>
    <row r="672" spans="1:16" ht="13">
      <c r="A672" s="2" t="s">
        <v>5</v>
      </c>
      <c r="B672" s="2" t="str">
        <f t="shared" si="10"/>
        <v>24-25 Academic Year</v>
      </c>
      <c r="C672" s="2">
        <v>23</v>
      </c>
      <c r="D672" s="2" t="s">
        <v>1368</v>
      </c>
      <c r="E672" s="10">
        <v>45611</v>
      </c>
      <c r="F672" s="2" t="s">
        <v>3485</v>
      </c>
      <c r="G672" s="2" t="s">
        <v>92</v>
      </c>
      <c r="H672" s="2" t="s">
        <v>6</v>
      </c>
      <c r="J672" s="2" t="s">
        <v>2519</v>
      </c>
      <c r="K672" s="2" t="s">
        <v>3671</v>
      </c>
      <c r="L672" s="2" t="s">
        <v>4902</v>
      </c>
      <c r="M672" s="3">
        <v>1</v>
      </c>
      <c r="N672" s="3">
        <v>2</v>
      </c>
      <c r="P672" s="2" t="s">
        <v>3672</v>
      </c>
    </row>
    <row r="673" spans="1:16" ht="13">
      <c r="A673" s="2" t="s">
        <v>5</v>
      </c>
      <c r="B673" s="2" t="str">
        <f t="shared" si="10"/>
        <v>24-25 Academic Year</v>
      </c>
      <c r="C673" s="2">
        <v>24</v>
      </c>
      <c r="D673" s="2" t="s">
        <v>3673</v>
      </c>
      <c r="E673" s="10">
        <v>45614</v>
      </c>
      <c r="F673" s="2" t="s">
        <v>1393</v>
      </c>
      <c r="G673" s="2" t="s">
        <v>8</v>
      </c>
      <c r="H673" s="2" t="s">
        <v>8</v>
      </c>
      <c r="J673" s="2" t="s">
        <v>2522</v>
      </c>
      <c r="K673" s="2" t="s">
        <v>3674</v>
      </c>
      <c r="L673" s="2" t="s">
        <v>4903</v>
      </c>
      <c r="M673" s="3">
        <v>1</v>
      </c>
      <c r="N673" s="3">
        <v>2</v>
      </c>
      <c r="P673" s="2" t="s">
        <v>3675</v>
      </c>
    </row>
    <row r="674" spans="1:16" ht="13">
      <c r="A674" s="2" t="s">
        <v>5</v>
      </c>
      <c r="B674" s="2" t="str">
        <f t="shared" si="10"/>
        <v>24-25 Academic Year</v>
      </c>
      <c r="C674" s="2">
        <v>24</v>
      </c>
      <c r="D674" s="2" t="s">
        <v>3673</v>
      </c>
      <c r="E674" s="10">
        <v>45614</v>
      </c>
      <c r="F674" s="2" t="s">
        <v>1393</v>
      </c>
      <c r="G674" s="2" t="s">
        <v>8</v>
      </c>
      <c r="H674" s="2" t="s">
        <v>8</v>
      </c>
      <c r="J674" s="2" t="s">
        <v>2525</v>
      </c>
      <c r="K674" s="2" t="s">
        <v>105</v>
      </c>
      <c r="L674" s="2" t="s">
        <v>1404</v>
      </c>
      <c r="M674" s="3">
        <v>1</v>
      </c>
      <c r="N674" s="3">
        <v>2</v>
      </c>
      <c r="P674" s="2" t="s">
        <v>3676</v>
      </c>
    </row>
    <row r="675" spans="1:16" ht="13">
      <c r="A675" s="2" t="s">
        <v>5</v>
      </c>
      <c r="B675" s="2" t="str">
        <f t="shared" si="10"/>
        <v>24-25 Academic Year</v>
      </c>
      <c r="C675" s="2">
        <v>24</v>
      </c>
      <c r="D675" s="2" t="s">
        <v>3673</v>
      </c>
      <c r="E675" s="10">
        <v>45614</v>
      </c>
      <c r="F675" s="2" t="s">
        <v>1393</v>
      </c>
      <c r="G675" s="2" t="s">
        <v>8</v>
      </c>
      <c r="H675" s="2" t="s">
        <v>8</v>
      </c>
      <c r="J675" s="2" t="s">
        <v>2527</v>
      </c>
      <c r="K675" s="2" t="s">
        <v>3391</v>
      </c>
      <c r="L675" s="2" t="s">
        <v>4289</v>
      </c>
      <c r="M675" s="3">
        <v>2</v>
      </c>
      <c r="N675" s="3">
        <v>1</v>
      </c>
      <c r="P675" s="2" t="s">
        <v>3677</v>
      </c>
    </row>
    <row r="676" spans="1:16" ht="13">
      <c r="A676" s="2" t="s">
        <v>5</v>
      </c>
      <c r="B676" s="2" t="str">
        <f t="shared" si="10"/>
        <v>24-25 Academic Year</v>
      </c>
      <c r="C676" s="2">
        <v>24</v>
      </c>
      <c r="D676" s="2" t="s">
        <v>3673</v>
      </c>
      <c r="E676" s="10">
        <v>45614</v>
      </c>
      <c r="F676" s="2" t="s">
        <v>1393</v>
      </c>
      <c r="G676" s="2" t="s">
        <v>8</v>
      </c>
      <c r="H676" s="2" t="s">
        <v>8</v>
      </c>
      <c r="J676" s="2" t="s">
        <v>2530</v>
      </c>
      <c r="K676" s="2" t="s">
        <v>41</v>
      </c>
      <c r="L676" s="2" t="s">
        <v>4537</v>
      </c>
      <c r="M676" s="3">
        <v>4</v>
      </c>
      <c r="N676" s="3">
        <v>1</v>
      </c>
      <c r="P676" s="2" t="s">
        <v>3678</v>
      </c>
    </row>
    <row r="677" spans="1:16" ht="13">
      <c r="A677" s="2" t="s">
        <v>5</v>
      </c>
      <c r="B677" s="2" t="str">
        <f t="shared" si="10"/>
        <v>24-25 Academic Year</v>
      </c>
      <c r="C677" s="2">
        <v>24</v>
      </c>
      <c r="D677" s="2" t="s">
        <v>3673</v>
      </c>
      <c r="E677" s="10">
        <v>45614</v>
      </c>
      <c r="F677" s="2" t="s">
        <v>1393</v>
      </c>
      <c r="G677" s="2" t="s">
        <v>8</v>
      </c>
      <c r="H677" s="2" t="s">
        <v>8</v>
      </c>
      <c r="J677" s="2" t="s">
        <v>2532</v>
      </c>
      <c r="K677" s="2" t="s">
        <v>3679</v>
      </c>
      <c r="L677" s="2" t="s">
        <v>3680</v>
      </c>
      <c r="M677" s="3">
        <v>3</v>
      </c>
      <c r="N677" s="3">
        <v>1</v>
      </c>
      <c r="P677" s="2" t="s">
        <v>3681</v>
      </c>
    </row>
    <row r="678" spans="1:16" ht="13">
      <c r="A678" s="2" t="s">
        <v>5</v>
      </c>
      <c r="B678" s="2" t="str">
        <f t="shared" si="10"/>
        <v>24-25 Academic Year</v>
      </c>
      <c r="C678" s="2">
        <v>25</v>
      </c>
      <c r="D678" s="2" t="s">
        <v>3682</v>
      </c>
      <c r="E678" s="10">
        <v>45616</v>
      </c>
      <c r="F678" s="2" t="s">
        <v>3476</v>
      </c>
      <c r="G678" s="2" t="s">
        <v>7</v>
      </c>
      <c r="H678" s="2" t="s">
        <v>7</v>
      </c>
      <c r="J678" s="2" t="s">
        <v>2538</v>
      </c>
      <c r="K678" s="2" t="s">
        <v>351</v>
      </c>
      <c r="L678" s="2" t="s">
        <v>1362</v>
      </c>
      <c r="M678" s="3">
        <v>1</v>
      </c>
      <c r="N678" s="3">
        <v>1</v>
      </c>
      <c r="P678" s="2" t="s">
        <v>3683</v>
      </c>
    </row>
    <row r="679" spans="1:16" ht="13">
      <c r="A679" s="2" t="s">
        <v>5</v>
      </c>
      <c r="B679" s="2" t="str">
        <f t="shared" si="10"/>
        <v>24-25 Academic Year</v>
      </c>
      <c r="C679" s="2">
        <v>25</v>
      </c>
      <c r="D679" s="2" t="s">
        <v>3682</v>
      </c>
      <c r="E679" s="10">
        <v>45616</v>
      </c>
      <c r="F679" s="2" t="s">
        <v>3476</v>
      </c>
      <c r="G679" s="2" t="s">
        <v>7</v>
      </c>
      <c r="H679" s="2" t="s">
        <v>7</v>
      </c>
      <c r="J679" s="2" t="s">
        <v>2541</v>
      </c>
      <c r="K679" s="2" t="s">
        <v>3684</v>
      </c>
      <c r="L679" s="2" t="s">
        <v>3685</v>
      </c>
      <c r="M679" s="3">
        <v>1</v>
      </c>
      <c r="N679" s="3">
        <v>2</v>
      </c>
      <c r="P679" s="2" t="s">
        <v>3686</v>
      </c>
    </row>
    <row r="680" spans="1:16" ht="13">
      <c r="A680" s="2" t="s">
        <v>5</v>
      </c>
      <c r="B680" s="2" t="str">
        <f t="shared" si="10"/>
        <v>24-25 Academic Year</v>
      </c>
      <c r="C680" s="2">
        <v>25</v>
      </c>
      <c r="D680" s="2" t="s">
        <v>3682</v>
      </c>
      <c r="E680" s="10">
        <v>45616</v>
      </c>
      <c r="F680" s="2" t="s">
        <v>3476</v>
      </c>
      <c r="G680" s="2" t="s">
        <v>7</v>
      </c>
      <c r="H680" s="2" t="s">
        <v>7</v>
      </c>
      <c r="J680" s="2" t="s">
        <v>2544</v>
      </c>
      <c r="K680" s="2" t="s">
        <v>3687</v>
      </c>
      <c r="L680" s="2" t="s">
        <v>4904</v>
      </c>
      <c r="M680" s="3">
        <v>1</v>
      </c>
      <c r="N680" s="3">
        <v>1</v>
      </c>
      <c r="P680" s="2" t="s">
        <v>3688</v>
      </c>
    </row>
    <row r="681" spans="1:16" ht="13">
      <c r="A681" s="2" t="s">
        <v>5</v>
      </c>
      <c r="B681" s="2" t="str">
        <f t="shared" si="10"/>
        <v>24-25 Academic Year</v>
      </c>
      <c r="C681" s="2">
        <v>25</v>
      </c>
      <c r="D681" s="2" t="s">
        <v>3682</v>
      </c>
      <c r="E681" s="10">
        <v>45616</v>
      </c>
      <c r="F681" s="2" t="s">
        <v>3476</v>
      </c>
      <c r="G681" s="2" t="s">
        <v>7</v>
      </c>
      <c r="H681" s="2" t="s">
        <v>7</v>
      </c>
      <c r="J681" s="2" t="s">
        <v>2547</v>
      </c>
      <c r="K681" s="2" t="s">
        <v>3371</v>
      </c>
      <c r="L681" s="2" t="s">
        <v>3370</v>
      </c>
      <c r="M681" s="3">
        <v>999</v>
      </c>
      <c r="N681" s="3">
        <v>999</v>
      </c>
      <c r="P681" s="2" t="s">
        <v>3689</v>
      </c>
    </row>
    <row r="682" spans="1:16" ht="13">
      <c r="A682" s="2" t="s">
        <v>5</v>
      </c>
      <c r="B682" s="2" t="str">
        <f t="shared" si="10"/>
        <v>24-25 Academic Year</v>
      </c>
      <c r="C682" s="2">
        <v>25</v>
      </c>
      <c r="D682" s="2" t="s">
        <v>3682</v>
      </c>
      <c r="E682" s="10">
        <v>45616</v>
      </c>
      <c r="F682" s="2" t="s">
        <v>3476</v>
      </c>
      <c r="G682" s="2" t="s">
        <v>7</v>
      </c>
      <c r="H682" s="2" t="s">
        <v>7</v>
      </c>
      <c r="J682" s="2" t="s">
        <v>2550</v>
      </c>
      <c r="K682" s="2" t="s">
        <v>3690</v>
      </c>
      <c r="L682" s="2" t="s">
        <v>4905</v>
      </c>
      <c r="M682" s="3">
        <v>1</v>
      </c>
      <c r="N682" s="3">
        <v>2</v>
      </c>
      <c r="P682" s="2" t="s">
        <v>42</v>
      </c>
    </row>
    <row r="683" spans="1:16" ht="13">
      <c r="A683" s="2" t="s">
        <v>5</v>
      </c>
      <c r="B683" s="2" t="str">
        <f t="shared" si="10"/>
        <v>24-25 Academic Year</v>
      </c>
      <c r="C683" s="2">
        <v>25</v>
      </c>
      <c r="D683" s="2" t="s">
        <v>3682</v>
      </c>
      <c r="E683" s="10">
        <v>45616</v>
      </c>
      <c r="F683" s="2" t="s">
        <v>3476</v>
      </c>
      <c r="G683" s="2" t="s">
        <v>7</v>
      </c>
      <c r="H683" s="2" t="s">
        <v>7</v>
      </c>
      <c r="J683" s="2" t="s">
        <v>2552</v>
      </c>
      <c r="K683" s="2" t="s">
        <v>3691</v>
      </c>
      <c r="L683" s="2" t="s">
        <v>4906</v>
      </c>
      <c r="M683" s="3">
        <v>3</v>
      </c>
      <c r="N683" s="3">
        <v>2</v>
      </c>
      <c r="P683" s="2" t="s">
        <v>3692</v>
      </c>
    </row>
    <row r="684" spans="1:16" ht="13">
      <c r="A684" s="2" t="s">
        <v>5</v>
      </c>
      <c r="B684" s="2" t="str">
        <f t="shared" si="10"/>
        <v>24-25 Academic Year</v>
      </c>
      <c r="C684" s="2">
        <v>26</v>
      </c>
      <c r="D684" s="2" t="s">
        <v>3693</v>
      </c>
      <c r="E684" s="10">
        <v>45620</v>
      </c>
      <c r="F684" s="2" t="s">
        <v>351</v>
      </c>
      <c r="G684" s="2" t="s">
        <v>8</v>
      </c>
      <c r="H684" s="2" t="s">
        <v>8</v>
      </c>
      <c r="J684" s="2" t="s">
        <v>2558</v>
      </c>
      <c r="K684" s="2" t="s">
        <v>3694</v>
      </c>
      <c r="L684" s="2" t="s">
        <v>4907</v>
      </c>
      <c r="M684" s="3">
        <v>1</v>
      </c>
      <c r="N684" s="3">
        <v>2</v>
      </c>
      <c r="P684" s="2" t="s">
        <v>3695</v>
      </c>
    </row>
    <row r="685" spans="1:16" ht="13">
      <c r="A685" s="2" t="s">
        <v>5</v>
      </c>
      <c r="B685" s="2" t="str">
        <f t="shared" si="10"/>
        <v>24-25 Academic Year</v>
      </c>
      <c r="C685" s="2">
        <v>26</v>
      </c>
      <c r="D685" s="2" t="s">
        <v>3693</v>
      </c>
      <c r="E685" s="10">
        <v>45620</v>
      </c>
      <c r="F685" s="2" t="s">
        <v>351</v>
      </c>
      <c r="G685" s="2" t="s">
        <v>8</v>
      </c>
      <c r="H685" s="2" t="s">
        <v>8</v>
      </c>
      <c r="J685" s="2" t="s">
        <v>3709</v>
      </c>
      <c r="K685" s="2" t="s">
        <v>3710</v>
      </c>
      <c r="L685" s="2" t="s">
        <v>4908</v>
      </c>
      <c r="M685" s="3">
        <v>3</v>
      </c>
      <c r="N685" s="3">
        <v>2</v>
      </c>
      <c r="P685" s="2" t="s">
        <v>3711</v>
      </c>
    </row>
    <row r="686" spans="1:16" ht="13">
      <c r="A686" s="2" t="s">
        <v>5</v>
      </c>
      <c r="B686" s="2" t="str">
        <f t="shared" si="10"/>
        <v>24-25 Academic Year</v>
      </c>
      <c r="C686" s="2">
        <v>26</v>
      </c>
      <c r="D686" s="2" t="s">
        <v>3693</v>
      </c>
      <c r="E686" s="10">
        <v>45620</v>
      </c>
      <c r="F686" s="2" t="s">
        <v>351</v>
      </c>
      <c r="G686" s="2" t="s">
        <v>8</v>
      </c>
      <c r="H686" s="2" t="s">
        <v>8</v>
      </c>
      <c r="J686" s="2" t="s">
        <v>3712</v>
      </c>
      <c r="K686" s="2" t="s">
        <v>3713</v>
      </c>
      <c r="L686" s="2" t="s">
        <v>3714</v>
      </c>
      <c r="M686" s="3">
        <v>3</v>
      </c>
      <c r="N686" s="3">
        <v>2</v>
      </c>
    </row>
    <row r="687" spans="1:16" ht="13">
      <c r="A687" s="2" t="s">
        <v>5</v>
      </c>
      <c r="B687" s="2" t="str">
        <f t="shared" si="10"/>
        <v>24-25 Academic Year</v>
      </c>
      <c r="C687" s="2">
        <v>26</v>
      </c>
      <c r="D687" s="2" t="s">
        <v>3693</v>
      </c>
      <c r="E687" s="10">
        <v>45620</v>
      </c>
      <c r="F687" s="2" t="s">
        <v>351</v>
      </c>
      <c r="G687" s="2" t="s">
        <v>8</v>
      </c>
      <c r="H687" s="2" t="s">
        <v>8</v>
      </c>
      <c r="J687" s="2" t="s">
        <v>3715</v>
      </c>
      <c r="K687" s="2" t="s">
        <v>2130</v>
      </c>
      <c r="L687" s="2" t="s">
        <v>4442</v>
      </c>
      <c r="M687" s="3">
        <v>3</v>
      </c>
      <c r="N687" s="3">
        <v>2</v>
      </c>
      <c r="P687" s="2" t="s">
        <v>3716</v>
      </c>
    </row>
    <row r="688" spans="1:16" ht="13">
      <c r="A688" s="2" t="s">
        <v>5</v>
      </c>
      <c r="B688" s="2" t="str">
        <f t="shared" si="10"/>
        <v>24-25 Academic Year</v>
      </c>
      <c r="C688" s="2">
        <v>26</v>
      </c>
      <c r="D688" s="2" t="s">
        <v>3693</v>
      </c>
      <c r="E688" s="10">
        <v>45620</v>
      </c>
      <c r="F688" s="2" t="s">
        <v>351</v>
      </c>
      <c r="G688" s="2" t="s">
        <v>8</v>
      </c>
      <c r="H688" s="2" t="s">
        <v>8</v>
      </c>
      <c r="J688" s="2" t="s">
        <v>2561</v>
      </c>
      <c r="K688" s="2" t="s">
        <v>362</v>
      </c>
      <c r="L688" s="2" t="s">
        <v>2154</v>
      </c>
      <c r="M688" s="3">
        <v>3</v>
      </c>
      <c r="N688" s="3">
        <v>2</v>
      </c>
      <c r="P688" s="2" t="s">
        <v>3696</v>
      </c>
    </row>
    <row r="689" spans="1:16" ht="13">
      <c r="A689" s="2" t="s">
        <v>5</v>
      </c>
      <c r="B689" s="2" t="str">
        <f t="shared" si="10"/>
        <v>24-25 Academic Year</v>
      </c>
      <c r="C689" s="2">
        <v>26</v>
      </c>
      <c r="D689" s="2" t="s">
        <v>3693</v>
      </c>
      <c r="E689" s="10">
        <v>45620</v>
      </c>
      <c r="F689" s="2" t="s">
        <v>351</v>
      </c>
      <c r="G689" s="2" t="s">
        <v>8</v>
      </c>
      <c r="H689" s="2" t="s">
        <v>8</v>
      </c>
      <c r="J689" s="2" t="s">
        <v>2563</v>
      </c>
      <c r="K689" s="2" t="s">
        <v>3697</v>
      </c>
      <c r="L689" s="2" t="s">
        <v>3627</v>
      </c>
      <c r="M689" s="3">
        <v>4</v>
      </c>
      <c r="N689" s="3">
        <v>2</v>
      </c>
      <c r="P689" s="2" t="s">
        <v>3698</v>
      </c>
    </row>
    <row r="690" spans="1:16" ht="13">
      <c r="A690" s="2" t="s">
        <v>5</v>
      </c>
      <c r="B690" s="2" t="str">
        <f t="shared" si="10"/>
        <v>24-25 Academic Year</v>
      </c>
      <c r="C690" s="2">
        <v>26</v>
      </c>
      <c r="D690" s="2" t="s">
        <v>3693</v>
      </c>
      <c r="E690" s="10">
        <v>45620</v>
      </c>
      <c r="F690" s="2" t="s">
        <v>351</v>
      </c>
      <c r="G690" s="2" t="s">
        <v>8</v>
      </c>
      <c r="H690" s="2" t="s">
        <v>8</v>
      </c>
      <c r="J690" s="2" t="s">
        <v>2566</v>
      </c>
      <c r="K690" s="2" t="s">
        <v>3699</v>
      </c>
      <c r="L690" s="2" t="s">
        <v>2075</v>
      </c>
      <c r="M690" s="3">
        <v>999</v>
      </c>
      <c r="N690" s="3">
        <v>999</v>
      </c>
      <c r="P690" s="2" t="s">
        <v>3369</v>
      </c>
    </row>
    <row r="691" spans="1:16" ht="13">
      <c r="A691" s="2" t="s">
        <v>5</v>
      </c>
      <c r="B691" s="2" t="str">
        <f t="shared" si="10"/>
        <v>24-25 Academic Year</v>
      </c>
      <c r="C691" s="2">
        <v>26</v>
      </c>
      <c r="D691" s="2" t="s">
        <v>3693</v>
      </c>
      <c r="E691" s="10">
        <v>45620</v>
      </c>
      <c r="F691" s="2" t="s">
        <v>351</v>
      </c>
      <c r="G691" s="2" t="s">
        <v>8</v>
      </c>
      <c r="H691" s="2" t="s">
        <v>8</v>
      </c>
      <c r="J691" s="2" t="s">
        <v>2569</v>
      </c>
      <c r="K691" s="2" t="s">
        <v>3700</v>
      </c>
      <c r="L691" s="2" t="s">
        <v>4909</v>
      </c>
      <c r="M691" s="3">
        <v>1</v>
      </c>
      <c r="N691" s="3">
        <v>2</v>
      </c>
      <c r="P691" s="2" t="s">
        <v>3701</v>
      </c>
    </row>
    <row r="692" spans="1:16" ht="13">
      <c r="A692" s="2" t="s">
        <v>5</v>
      </c>
      <c r="B692" s="2" t="str">
        <f t="shared" si="10"/>
        <v>24-25 Academic Year</v>
      </c>
      <c r="C692" s="2">
        <v>26</v>
      </c>
      <c r="D692" s="2" t="s">
        <v>3693</v>
      </c>
      <c r="E692" s="10">
        <v>45620</v>
      </c>
      <c r="F692" s="2" t="s">
        <v>351</v>
      </c>
      <c r="G692" s="2" t="s">
        <v>8</v>
      </c>
      <c r="H692" s="2" t="s">
        <v>8</v>
      </c>
      <c r="J692" s="2" t="s">
        <v>2571</v>
      </c>
      <c r="K692" s="2" t="s">
        <v>3702</v>
      </c>
      <c r="L692" s="2" t="s">
        <v>3918</v>
      </c>
      <c r="M692" s="3">
        <v>1</v>
      </c>
      <c r="N692" s="3">
        <v>2</v>
      </c>
      <c r="P692" s="2" t="s">
        <v>3703</v>
      </c>
    </row>
    <row r="693" spans="1:16" ht="13">
      <c r="A693" s="2" t="s">
        <v>5</v>
      </c>
      <c r="B693" s="2" t="str">
        <f t="shared" si="10"/>
        <v>24-25 Academic Year</v>
      </c>
      <c r="C693" s="2">
        <v>26</v>
      </c>
      <c r="D693" s="2" t="s">
        <v>3693</v>
      </c>
      <c r="E693" s="10">
        <v>45620</v>
      </c>
      <c r="F693" s="2" t="s">
        <v>351</v>
      </c>
      <c r="G693" s="2" t="s">
        <v>8</v>
      </c>
      <c r="H693" s="2" t="s">
        <v>8</v>
      </c>
      <c r="J693" s="2" t="s">
        <v>2574</v>
      </c>
      <c r="K693" s="2" t="s">
        <v>1077</v>
      </c>
      <c r="L693" s="2" t="s">
        <v>398</v>
      </c>
      <c r="M693" s="3">
        <v>1</v>
      </c>
      <c r="N693" s="3">
        <v>2</v>
      </c>
      <c r="P693" s="2" t="s">
        <v>3704</v>
      </c>
    </row>
    <row r="694" spans="1:16" ht="13">
      <c r="A694" s="2" t="s">
        <v>5</v>
      </c>
      <c r="B694" s="2" t="str">
        <f t="shared" si="10"/>
        <v>24-25 Academic Year</v>
      </c>
      <c r="C694" s="2">
        <v>26</v>
      </c>
      <c r="D694" s="2" t="s">
        <v>3693</v>
      </c>
      <c r="E694" s="10">
        <v>45620</v>
      </c>
      <c r="F694" s="2" t="s">
        <v>351</v>
      </c>
      <c r="G694" s="2" t="s">
        <v>8</v>
      </c>
      <c r="H694" s="2" t="s">
        <v>8</v>
      </c>
      <c r="J694" s="2" t="s">
        <v>2577</v>
      </c>
      <c r="K694" s="2" t="s">
        <v>803</v>
      </c>
      <c r="L694" s="2" t="s">
        <v>78</v>
      </c>
      <c r="M694" s="3">
        <v>3</v>
      </c>
      <c r="N694" s="3">
        <v>1</v>
      </c>
      <c r="P694" s="2" t="s">
        <v>3705</v>
      </c>
    </row>
    <row r="695" spans="1:16" ht="13">
      <c r="A695" s="2" t="s">
        <v>5</v>
      </c>
      <c r="B695" s="2" t="str">
        <f t="shared" si="10"/>
        <v>24-25 Academic Year</v>
      </c>
      <c r="C695" s="2">
        <v>26</v>
      </c>
      <c r="D695" s="2" t="s">
        <v>3693</v>
      </c>
      <c r="E695" s="10">
        <v>45620</v>
      </c>
      <c r="F695" s="2" t="s">
        <v>351</v>
      </c>
      <c r="G695" s="2" t="s">
        <v>8</v>
      </c>
      <c r="H695" s="2" t="s">
        <v>8</v>
      </c>
      <c r="J695" s="2" t="s">
        <v>3706</v>
      </c>
      <c r="K695" s="2" t="s">
        <v>3707</v>
      </c>
      <c r="L695" s="2" t="s">
        <v>4910</v>
      </c>
      <c r="M695" s="3">
        <v>3</v>
      </c>
      <c r="N695" s="3">
        <v>1</v>
      </c>
      <c r="P695" s="2" t="s">
        <v>3708</v>
      </c>
    </row>
    <row r="696" spans="1:16" ht="13">
      <c r="A696" s="2" t="s">
        <v>5</v>
      </c>
      <c r="B696" s="2" t="str">
        <f t="shared" si="10"/>
        <v>24-25 Academic Year</v>
      </c>
      <c r="C696" s="2">
        <v>27</v>
      </c>
      <c r="D696" s="2" t="s">
        <v>3717</v>
      </c>
      <c r="E696" s="10">
        <v>45620</v>
      </c>
      <c r="F696" s="2" t="s">
        <v>3717</v>
      </c>
      <c r="G696" s="2" t="s">
        <v>131</v>
      </c>
      <c r="H696" s="2" t="s">
        <v>6</v>
      </c>
      <c r="J696" s="2" t="s">
        <v>2580</v>
      </c>
      <c r="K696" s="2" t="s">
        <v>371</v>
      </c>
      <c r="L696" s="2" t="s">
        <v>372</v>
      </c>
      <c r="M696" s="3">
        <v>1</v>
      </c>
      <c r="N696" s="3">
        <v>2</v>
      </c>
      <c r="P696" s="2" t="s">
        <v>3705</v>
      </c>
    </row>
    <row r="697" spans="1:16" ht="13">
      <c r="A697" s="2" t="s">
        <v>5</v>
      </c>
      <c r="B697" s="2" t="str">
        <f t="shared" si="10"/>
        <v>24-25 Academic Year</v>
      </c>
      <c r="C697" s="2">
        <v>27</v>
      </c>
      <c r="D697" s="2" t="s">
        <v>3717</v>
      </c>
      <c r="E697" s="10">
        <v>45620</v>
      </c>
      <c r="F697" s="2" t="s">
        <v>3717</v>
      </c>
      <c r="G697" s="2" t="s">
        <v>131</v>
      </c>
      <c r="H697" s="2" t="s">
        <v>6</v>
      </c>
      <c r="J697" s="2" t="s">
        <v>2582</v>
      </c>
      <c r="K697" s="2" t="s">
        <v>837</v>
      </c>
      <c r="L697" s="2" t="s">
        <v>838</v>
      </c>
      <c r="M697" s="3">
        <v>1</v>
      </c>
      <c r="N697" s="3">
        <v>2</v>
      </c>
      <c r="P697" s="2" t="s">
        <v>3718</v>
      </c>
    </row>
    <row r="698" spans="1:16" ht="13">
      <c r="A698" s="2" t="s">
        <v>5</v>
      </c>
      <c r="B698" s="2" t="str">
        <f t="shared" si="10"/>
        <v>24-25 Academic Year</v>
      </c>
      <c r="C698" s="2">
        <v>27</v>
      </c>
      <c r="D698" s="2" t="s">
        <v>3717</v>
      </c>
      <c r="E698" s="10">
        <v>45620</v>
      </c>
      <c r="F698" s="2" t="s">
        <v>3717</v>
      </c>
      <c r="G698" s="2" t="s">
        <v>131</v>
      </c>
      <c r="H698" s="2" t="s">
        <v>6</v>
      </c>
      <c r="J698" s="2" t="s">
        <v>2586</v>
      </c>
      <c r="K698" s="2" t="s">
        <v>195</v>
      </c>
      <c r="L698" s="2" t="s">
        <v>1752</v>
      </c>
      <c r="M698" s="3">
        <v>2</v>
      </c>
      <c r="N698" s="3">
        <v>2</v>
      </c>
      <c r="P698" s="2" t="s">
        <v>3719</v>
      </c>
    </row>
    <row r="699" spans="1:16" ht="13">
      <c r="A699" s="2" t="s">
        <v>5</v>
      </c>
      <c r="B699" s="2" t="str">
        <f t="shared" si="10"/>
        <v>24-25 Academic Year</v>
      </c>
      <c r="C699" s="2">
        <v>27</v>
      </c>
      <c r="D699" s="2" t="s">
        <v>3717</v>
      </c>
      <c r="E699" s="10">
        <v>45620</v>
      </c>
      <c r="F699" s="2" t="s">
        <v>3717</v>
      </c>
      <c r="G699" s="2" t="s">
        <v>3720</v>
      </c>
      <c r="H699" s="2" t="s">
        <v>6</v>
      </c>
      <c r="J699" s="2" t="s">
        <v>2589</v>
      </c>
      <c r="K699" s="2" t="s">
        <v>362</v>
      </c>
      <c r="L699" s="2" t="s">
        <v>2154</v>
      </c>
      <c r="M699" s="3">
        <v>3</v>
      </c>
      <c r="N699" s="3">
        <v>2</v>
      </c>
      <c r="P699" s="2" t="s">
        <v>3721</v>
      </c>
    </row>
    <row r="700" spans="1:16" ht="13">
      <c r="A700" s="2" t="s">
        <v>5</v>
      </c>
      <c r="B700" s="2" t="str">
        <f t="shared" si="10"/>
        <v>24-25 Academic Year</v>
      </c>
      <c r="C700" s="2">
        <v>28</v>
      </c>
      <c r="D700" s="2" t="s">
        <v>3722</v>
      </c>
      <c r="E700" s="10">
        <v>45621</v>
      </c>
      <c r="F700" s="2" t="s">
        <v>1393</v>
      </c>
      <c r="G700" s="2" t="s">
        <v>8</v>
      </c>
      <c r="H700" s="2" t="s">
        <v>8</v>
      </c>
      <c r="J700" s="2" t="s">
        <v>2604</v>
      </c>
      <c r="K700" s="2" t="s">
        <v>1512</v>
      </c>
      <c r="L700" s="2" t="s">
        <v>4911</v>
      </c>
      <c r="M700" s="3">
        <v>1</v>
      </c>
      <c r="N700" s="3">
        <v>2</v>
      </c>
      <c r="P700" s="2" t="s">
        <v>3723</v>
      </c>
    </row>
    <row r="701" spans="1:16" ht="13">
      <c r="A701" s="2" t="s">
        <v>5</v>
      </c>
      <c r="B701" s="2" t="str">
        <f t="shared" si="10"/>
        <v>24-25 Academic Year</v>
      </c>
      <c r="C701" s="2">
        <v>28</v>
      </c>
      <c r="D701" s="2" t="s">
        <v>3722</v>
      </c>
      <c r="E701" s="10">
        <v>45621</v>
      </c>
      <c r="F701" s="2" t="s">
        <v>1393</v>
      </c>
      <c r="G701" s="2" t="s">
        <v>8</v>
      </c>
      <c r="H701" s="2" t="s">
        <v>8</v>
      </c>
      <c r="J701" s="2" t="s">
        <v>2607</v>
      </c>
      <c r="K701" s="2" t="s">
        <v>621</v>
      </c>
      <c r="L701" s="2" t="s">
        <v>622</v>
      </c>
      <c r="M701" s="3">
        <v>1</v>
      </c>
      <c r="N701" s="3">
        <v>2</v>
      </c>
      <c r="P701" s="2" t="s">
        <v>3724</v>
      </c>
    </row>
    <row r="702" spans="1:16" ht="13">
      <c r="A702" s="2" t="s">
        <v>5</v>
      </c>
      <c r="B702" s="2" t="str">
        <f t="shared" si="10"/>
        <v>24-25 Academic Year</v>
      </c>
      <c r="C702" s="2">
        <v>28</v>
      </c>
      <c r="D702" s="2" t="s">
        <v>3722</v>
      </c>
      <c r="E702" s="10">
        <v>45621</v>
      </c>
      <c r="F702" s="2" t="s">
        <v>1393</v>
      </c>
      <c r="G702" s="2" t="s">
        <v>8</v>
      </c>
      <c r="H702" s="2" t="s">
        <v>8</v>
      </c>
      <c r="J702" s="2" t="s">
        <v>2611</v>
      </c>
      <c r="K702" s="2" t="s">
        <v>3674</v>
      </c>
      <c r="L702" s="2" t="s">
        <v>4903</v>
      </c>
      <c r="M702" s="3">
        <v>1</v>
      </c>
      <c r="N702" s="3">
        <v>2</v>
      </c>
      <c r="P702" s="2" t="s">
        <v>3725</v>
      </c>
    </row>
    <row r="703" spans="1:16" ht="13">
      <c r="A703" s="2" t="s">
        <v>5</v>
      </c>
      <c r="B703" s="2" t="str">
        <f t="shared" si="10"/>
        <v>24-25 Academic Year</v>
      </c>
      <c r="C703" s="2">
        <v>28</v>
      </c>
      <c r="D703" s="2" t="s">
        <v>3722</v>
      </c>
      <c r="E703" s="10">
        <v>45621</v>
      </c>
      <c r="F703" s="2" t="s">
        <v>1393</v>
      </c>
      <c r="G703" s="2" t="s">
        <v>8</v>
      </c>
      <c r="H703" s="2" t="s">
        <v>8</v>
      </c>
      <c r="J703" s="2" t="s">
        <v>2614</v>
      </c>
      <c r="K703" s="2" t="s">
        <v>93</v>
      </c>
      <c r="L703" s="2" t="s">
        <v>3352</v>
      </c>
      <c r="M703" s="3">
        <v>1</v>
      </c>
      <c r="N703" s="3">
        <v>2</v>
      </c>
      <c r="P703" s="2" t="s">
        <v>3726</v>
      </c>
    </row>
    <row r="704" spans="1:16" ht="13">
      <c r="A704" s="2" t="s">
        <v>5</v>
      </c>
      <c r="B704" s="2" t="str">
        <f t="shared" si="10"/>
        <v>24-25 Academic Year</v>
      </c>
      <c r="C704" s="2">
        <v>28</v>
      </c>
      <c r="D704" s="2" t="s">
        <v>3722</v>
      </c>
      <c r="E704" s="10">
        <v>45621</v>
      </c>
      <c r="F704" s="2" t="s">
        <v>1393</v>
      </c>
      <c r="G704" s="2" t="s">
        <v>8</v>
      </c>
      <c r="H704" s="2" t="s">
        <v>8</v>
      </c>
      <c r="J704" s="2" t="s">
        <v>2616</v>
      </c>
      <c r="K704" s="2" t="s">
        <v>3727</v>
      </c>
      <c r="L704" s="2" t="s">
        <v>4912</v>
      </c>
      <c r="M704" s="3">
        <v>1</v>
      </c>
      <c r="N704" s="3">
        <v>2</v>
      </c>
      <c r="P704" s="2" t="s">
        <v>3728</v>
      </c>
    </row>
    <row r="705" spans="1:16" ht="13">
      <c r="A705" s="2" t="s">
        <v>5</v>
      </c>
      <c r="B705" s="2" t="str">
        <f t="shared" si="10"/>
        <v>24-25 Academic Year</v>
      </c>
      <c r="C705" s="2">
        <v>28</v>
      </c>
      <c r="D705" s="2" t="s">
        <v>3722</v>
      </c>
      <c r="E705" s="10">
        <v>45621</v>
      </c>
      <c r="F705" s="2" t="s">
        <v>1393</v>
      </c>
      <c r="G705" s="2" t="s">
        <v>8</v>
      </c>
      <c r="H705" s="2" t="s">
        <v>8</v>
      </c>
      <c r="J705" s="2" t="s">
        <v>2618</v>
      </c>
      <c r="K705" s="2" t="s">
        <v>3729</v>
      </c>
      <c r="L705" s="2" t="s">
        <v>4913</v>
      </c>
      <c r="M705" s="3">
        <v>1</v>
      </c>
      <c r="N705" s="3">
        <v>2</v>
      </c>
      <c r="P705" s="2" t="s">
        <v>3730</v>
      </c>
    </row>
    <row r="706" spans="1:16" ht="13">
      <c r="A706" s="2" t="s">
        <v>5</v>
      </c>
      <c r="B706" s="2" t="str">
        <f t="shared" si="10"/>
        <v>24-25 Academic Year</v>
      </c>
      <c r="C706" s="2">
        <v>29</v>
      </c>
      <c r="D706" s="2" t="s">
        <v>3731</v>
      </c>
      <c r="E706" s="10">
        <v>45627</v>
      </c>
      <c r="F706" s="2" t="s">
        <v>3731</v>
      </c>
      <c r="G706" s="2" t="s">
        <v>3720</v>
      </c>
      <c r="H706" s="2" t="s">
        <v>6</v>
      </c>
      <c r="J706" s="2" t="s">
        <v>2622</v>
      </c>
      <c r="K706" s="2" t="s">
        <v>1020</v>
      </c>
      <c r="L706" s="2" t="s">
        <v>1975</v>
      </c>
      <c r="M706" s="3">
        <v>1</v>
      </c>
      <c r="N706" s="3">
        <v>2</v>
      </c>
      <c r="P706" s="2" t="s">
        <v>3732</v>
      </c>
    </row>
    <row r="707" spans="1:16" ht="13">
      <c r="A707" s="2" t="s">
        <v>5</v>
      </c>
      <c r="B707" s="2" t="str">
        <f t="shared" ref="B707:B770" si="11">RIGHT(TEXT(IF(LEFT(A707,4)="Fall",VALUE(RIGHT(A707,4)),VALUE(RIGHT(A707,4))-1),"00"),2)
 &amp; "-" &amp;
 RIGHT(TEXT(IF(LEFT(A707,4)="Fall",VALUE(RIGHT(A707,4))+1,VALUE(RIGHT(A707,4))),"00"),2)
 &amp; " Academic Year"</f>
        <v>24-25 Academic Year</v>
      </c>
      <c r="C707" s="2">
        <v>29</v>
      </c>
      <c r="D707" s="2" t="s">
        <v>3731</v>
      </c>
      <c r="E707" s="10">
        <v>45627</v>
      </c>
      <c r="F707" s="2" t="s">
        <v>3731</v>
      </c>
      <c r="G707" s="2" t="s">
        <v>3720</v>
      </c>
      <c r="H707" s="2" t="s">
        <v>6</v>
      </c>
      <c r="J707" s="2" t="s">
        <v>3733</v>
      </c>
      <c r="K707" s="2" t="s">
        <v>320</v>
      </c>
      <c r="L707" s="2" t="s">
        <v>1879</v>
      </c>
      <c r="M707" s="3">
        <v>1</v>
      </c>
      <c r="N707" s="3">
        <v>2</v>
      </c>
      <c r="P707" s="2" t="s">
        <v>3734</v>
      </c>
    </row>
    <row r="708" spans="1:16" ht="13">
      <c r="A708" s="2" t="s">
        <v>5</v>
      </c>
      <c r="B708" s="2" t="str">
        <f t="shared" si="11"/>
        <v>24-25 Academic Year</v>
      </c>
      <c r="C708" s="2">
        <v>29</v>
      </c>
      <c r="D708" s="2" t="s">
        <v>3731</v>
      </c>
      <c r="E708" s="10">
        <v>45627</v>
      </c>
      <c r="F708" s="2" t="s">
        <v>3731</v>
      </c>
      <c r="G708" s="2" t="s">
        <v>3720</v>
      </c>
      <c r="H708" s="2" t="s">
        <v>6</v>
      </c>
      <c r="J708" s="2" t="s">
        <v>3735</v>
      </c>
      <c r="K708" s="2" t="s">
        <v>472</v>
      </c>
      <c r="L708" s="2" t="s">
        <v>1352</v>
      </c>
      <c r="M708" s="3">
        <v>1</v>
      </c>
      <c r="N708" s="3">
        <v>2</v>
      </c>
      <c r="P708" s="2" t="s">
        <v>3736</v>
      </c>
    </row>
    <row r="709" spans="1:16" ht="13">
      <c r="A709" s="2" t="s">
        <v>5</v>
      </c>
      <c r="B709" s="2" t="str">
        <f t="shared" si="11"/>
        <v>24-25 Academic Year</v>
      </c>
      <c r="C709" s="2">
        <v>29</v>
      </c>
      <c r="D709" s="2" t="s">
        <v>3731</v>
      </c>
      <c r="E709" s="10">
        <v>45627</v>
      </c>
      <c r="F709" s="2" t="s">
        <v>3731</v>
      </c>
      <c r="G709" s="2" t="s">
        <v>3720</v>
      </c>
      <c r="H709" s="2" t="s">
        <v>6</v>
      </c>
      <c r="J709" s="2" t="s">
        <v>3737</v>
      </c>
      <c r="K709" s="2" t="s">
        <v>2714</v>
      </c>
      <c r="L709" s="2" t="s">
        <v>3358</v>
      </c>
      <c r="M709" s="3">
        <v>1</v>
      </c>
      <c r="N709" s="3">
        <v>1</v>
      </c>
      <c r="P709" s="2" t="s">
        <v>3738</v>
      </c>
    </row>
    <row r="710" spans="1:16" ht="13">
      <c r="A710" s="2" t="s">
        <v>5</v>
      </c>
      <c r="B710" s="2" t="str">
        <f t="shared" si="11"/>
        <v>24-25 Academic Year</v>
      </c>
      <c r="C710" s="2">
        <v>29</v>
      </c>
      <c r="D710" s="2" t="s">
        <v>3731</v>
      </c>
      <c r="E710" s="10">
        <v>45627</v>
      </c>
      <c r="F710" s="2" t="s">
        <v>3731</v>
      </c>
      <c r="G710" s="2" t="s">
        <v>3720</v>
      </c>
      <c r="H710" s="2" t="s">
        <v>6</v>
      </c>
      <c r="J710" s="2" t="s">
        <v>3739</v>
      </c>
      <c r="K710" s="2" t="s">
        <v>3740</v>
      </c>
      <c r="L710" s="2" t="s">
        <v>4914</v>
      </c>
      <c r="M710" s="3">
        <v>1</v>
      </c>
      <c r="N710" s="3">
        <v>2</v>
      </c>
      <c r="P710" s="2" t="s">
        <v>3741</v>
      </c>
    </row>
    <row r="711" spans="1:16" ht="13">
      <c r="A711" s="2" t="s">
        <v>5</v>
      </c>
      <c r="B711" s="2" t="str">
        <f t="shared" si="11"/>
        <v>24-25 Academic Year</v>
      </c>
      <c r="C711" s="2">
        <v>29</v>
      </c>
      <c r="D711" s="2" t="s">
        <v>3731</v>
      </c>
      <c r="E711" s="10">
        <v>45627</v>
      </c>
      <c r="F711" s="2" t="s">
        <v>3731</v>
      </c>
      <c r="G711" s="2" t="s">
        <v>3720</v>
      </c>
      <c r="H711" s="2" t="s">
        <v>6</v>
      </c>
      <c r="J711" s="2" t="s">
        <v>3742</v>
      </c>
      <c r="K711" s="2" t="s">
        <v>3743</v>
      </c>
      <c r="L711" s="2" t="s">
        <v>4915</v>
      </c>
      <c r="M711" s="3">
        <v>3</v>
      </c>
      <c r="N711" s="3">
        <v>1</v>
      </c>
      <c r="P711" s="2" t="s">
        <v>3744</v>
      </c>
    </row>
    <row r="712" spans="1:16" ht="13">
      <c r="A712" s="2" t="s">
        <v>5</v>
      </c>
      <c r="B712" s="2" t="str">
        <f t="shared" si="11"/>
        <v>24-25 Academic Year</v>
      </c>
      <c r="C712" s="2">
        <v>29</v>
      </c>
      <c r="D712" s="2" t="s">
        <v>3731</v>
      </c>
      <c r="E712" s="10">
        <v>45627</v>
      </c>
      <c r="F712" s="2" t="s">
        <v>3731</v>
      </c>
      <c r="G712" s="2" t="s">
        <v>3720</v>
      </c>
      <c r="H712" s="2" t="s">
        <v>6</v>
      </c>
      <c r="J712" s="2" t="s">
        <v>3745</v>
      </c>
      <c r="K712" s="2" t="s">
        <v>3746</v>
      </c>
      <c r="L712" s="2" t="s">
        <v>3746</v>
      </c>
      <c r="M712" s="3">
        <v>2</v>
      </c>
      <c r="N712" s="3">
        <v>1</v>
      </c>
      <c r="P712" s="2" t="s">
        <v>3747</v>
      </c>
    </row>
    <row r="713" spans="1:16" ht="13">
      <c r="A713" s="2" t="s">
        <v>5</v>
      </c>
      <c r="B713" s="2" t="str">
        <f t="shared" si="11"/>
        <v>24-25 Academic Year</v>
      </c>
      <c r="C713" s="2">
        <v>30</v>
      </c>
      <c r="D713" s="2" t="s">
        <v>2024</v>
      </c>
      <c r="E713" s="10">
        <v>45628</v>
      </c>
      <c r="F713" s="2" t="s">
        <v>1393</v>
      </c>
      <c r="G713" s="2" t="s">
        <v>8</v>
      </c>
      <c r="H713" s="2" t="s">
        <v>8</v>
      </c>
      <c r="J713" s="2" t="s">
        <v>2625</v>
      </c>
      <c r="K713" s="2" t="s">
        <v>353</v>
      </c>
      <c r="L713" s="2" t="s">
        <v>1474</v>
      </c>
      <c r="M713" s="3">
        <v>1</v>
      </c>
      <c r="N713" s="3">
        <v>2</v>
      </c>
      <c r="P713" s="2" t="s">
        <v>3748</v>
      </c>
    </row>
    <row r="714" spans="1:16" ht="13">
      <c r="A714" s="2" t="s">
        <v>5</v>
      </c>
      <c r="B714" s="2" t="str">
        <f t="shared" si="11"/>
        <v>24-25 Academic Year</v>
      </c>
      <c r="C714" s="2">
        <v>30</v>
      </c>
      <c r="D714" s="2" t="s">
        <v>2024</v>
      </c>
      <c r="E714" s="10">
        <v>45628</v>
      </c>
      <c r="F714" s="2" t="s">
        <v>1393</v>
      </c>
      <c r="G714" s="2" t="s">
        <v>8</v>
      </c>
      <c r="H714" s="2" t="s">
        <v>8</v>
      </c>
      <c r="J714" s="2" t="s">
        <v>2628</v>
      </c>
      <c r="K714" s="2" t="s">
        <v>3749</v>
      </c>
      <c r="L714" s="2" t="s">
        <v>4916</v>
      </c>
      <c r="M714" s="3">
        <v>1</v>
      </c>
      <c r="N714" s="3">
        <v>2</v>
      </c>
      <c r="P714" s="2" t="s">
        <v>3750</v>
      </c>
    </row>
    <row r="715" spans="1:16" ht="13">
      <c r="A715" s="2" t="s">
        <v>5</v>
      </c>
      <c r="B715" s="2" t="str">
        <f t="shared" si="11"/>
        <v>24-25 Academic Year</v>
      </c>
      <c r="C715" s="2">
        <v>30</v>
      </c>
      <c r="D715" s="2" t="s">
        <v>2024</v>
      </c>
      <c r="E715" s="10">
        <v>45628</v>
      </c>
      <c r="F715" s="2" t="s">
        <v>1393</v>
      </c>
      <c r="G715" s="2" t="s">
        <v>8</v>
      </c>
      <c r="H715" s="2" t="s">
        <v>8</v>
      </c>
      <c r="J715" s="2" t="s">
        <v>2631</v>
      </c>
      <c r="K715" s="2" t="s">
        <v>2542</v>
      </c>
      <c r="L715" s="2" t="s">
        <v>2056</v>
      </c>
      <c r="M715" s="3">
        <v>999</v>
      </c>
      <c r="N715" s="3">
        <v>999</v>
      </c>
      <c r="P715" s="2" t="s">
        <v>3751</v>
      </c>
    </row>
    <row r="716" spans="1:16" ht="13">
      <c r="A716" s="2" t="s">
        <v>5</v>
      </c>
      <c r="B716" s="2" t="str">
        <f t="shared" si="11"/>
        <v>24-25 Academic Year</v>
      </c>
      <c r="C716" s="2">
        <v>30</v>
      </c>
      <c r="D716" s="2" t="s">
        <v>2024</v>
      </c>
      <c r="E716" s="10">
        <v>45628</v>
      </c>
      <c r="F716" s="2" t="s">
        <v>1393</v>
      </c>
      <c r="G716" s="2" t="s">
        <v>8</v>
      </c>
      <c r="H716" s="2" t="s">
        <v>8</v>
      </c>
      <c r="J716" s="2" t="s">
        <v>2635</v>
      </c>
      <c r="K716" s="2" t="s">
        <v>3752</v>
      </c>
      <c r="L716" s="2" t="s">
        <v>4917</v>
      </c>
      <c r="M716" s="3">
        <v>1</v>
      </c>
      <c r="N716" s="3">
        <v>1</v>
      </c>
      <c r="P716" s="2" t="s">
        <v>3753</v>
      </c>
    </row>
    <row r="717" spans="1:16" ht="13">
      <c r="A717" s="2" t="s">
        <v>5</v>
      </c>
      <c r="B717" s="2" t="str">
        <f t="shared" si="11"/>
        <v>24-25 Academic Year</v>
      </c>
      <c r="C717" s="2">
        <v>30</v>
      </c>
      <c r="D717" s="2" t="s">
        <v>2024</v>
      </c>
      <c r="E717" s="10">
        <v>45628</v>
      </c>
      <c r="F717" s="2" t="s">
        <v>1393</v>
      </c>
      <c r="G717" s="2" t="s">
        <v>8</v>
      </c>
      <c r="H717" s="2" t="s">
        <v>8</v>
      </c>
      <c r="J717" s="2" t="s">
        <v>2637</v>
      </c>
      <c r="K717" s="2" t="s">
        <v>3754</v>
      </c>
      <c r="L717" s="2" t="s">
        <v>4918</v>
      </c>
      <c r="M717" s="3">
        <v>2</v>
      </c>
      <c r="N717" s="3">
        <v>1</v>
      </c>
      <c r="P717" s="2" t="s">
        <v>3755</v>
      </c>
    </row>
    <row r="718" spans="1:16" ht="13">
      <c r="A718" s="2" t="s">
        <v>5</v>
      </c>
      <c r="B718" s="2" t="str">
        <f t="shared" si="11"/>
        <v>24-25 Academic Year</v>
      </c>
      <c r="C718" s="2">
        <v>31</v>
      </c>
      <c r="D718" s="2" t="s">
        <v>3756</v>
      </c>
      <c r="E718" s="10">
        <v>45629</v>
      </c>
      <c r="F718" s="2" t="s">
        <v>39</v>
      </c>
      <c r="G718" s="2" t="s">
        <v>131</v>
      </c>
      <c r="H718" s="2" t="s">
        <v>6</v>
      </c>
      <c r="J718" s="2" t="s">
        <v>2650</v>
      </c>
      <c r="K718" s="2" t="s">
        <v>431</v>
      </c>
      <c r="L718" s="2" t="s">
        <v>1360</v>
      </c>
      <c r="M718" s="3">
        <v>1</v>
      </c>
      <c r="N718" s="3">
        <v>2</v>
      </c>
      <c r="P718" s="2" t="s">
        <v>3757</v>
      </c>
    </row>
    <row r="719" spans="1:16" ht="13">
      <c r="A719" s="2" t="s">
        <v>5</v>
      </c>
      <c r="B719" s="2" t="str">
        <f t="shared" si="11"/>
        <v>24-25 Academic Year</v>
      </c>
      <c r="C719" s="2">
        <v>31</v>
      </c>
      <c r="D719" s="2" t="s">
        <v>3756</v>
      </c>
      <c r="E719" s="10">
        <v>45629</v>
      </c>
      <c r="F719" s="2" t="s">
        <v>39</v>
      </c>
      <c r="G719" s="2" t="s">
        <v>131</v>
      </c>
      <c r="H719" s="2" t="s">
        <v>6</v>
      </c>
      <c r="J719" s="2" t="s">
        <v>2652</v>
      </c>
      <c r="K719" s="2" t="s">
        <v>902</v>
      </c>
      <c r="L719" s="2" t="s">
        <v>2048</v>
      </c>
      <c r="M719" s="3">
        <v>999</v>
      </c>
      <c r="N719" s="3">
        <v>999</v>
      </c>
      <c r="P719" s="2" t="s">
        <v>3758</v>
      </c>
    </row>
    <row r="720" spans="1:16" ht="13">
      <c r="A720" s="2" t="s">
        <v>5</v>
      </c>
      <c r="B720" s="2" t="str">
        <f t="shared" si="11"/>
        <v>24-25 Academic Year</v>
      </c>
      <c r="C720" s="2">
        <v>31</v>
      </c>
      <c r="D720" s="2" t="s">
        <v>3756</v>
      </c>
      <c r="E720" s="10">
        <v>45629</v>
      </c>
      <c r="F720" s="2" t="s">
        <v>39</v>
      </c>
      <c r="G720" s="2" t="s">
        <v>131</v>
      </c>
      <c r="H720" s="2" t="s">
        <v>6</v>
      </c>
      <c r="J720" s="2" t="s">
        <v>2654</v>
      </c>
      <c r="K720" s="2" t="s">
        <v>3699</v>
      </c>
      <c r="L720" s="2" t="s">
        <v>2075</v>
      </c>
      <c r="M720" s="3">
        <v>999</v>
      </c>
      <c r="N720" s="3">
        <v>999</v>
      </c>
      <c r="P720" s="2" t="s">
        <v>3759</v>
      </c>
    </row>
    <row r="721" spans="1:16" ht="13">
      <c r="A721" s="2" t="s">
        <v>5</v>
      </c>
      <c r="B721" s="2" t="str">
        <f t="shared" si="11"/>
        <v>24-25 Academic Year</v>
      </c>
      <c r="C721" s="2">
        <v>31</v>
      </c>
      <c r="D721" s="2" t="s">
        <v>3756</v>
      </c>
      <c r="E721" s="10">
        <v>45629</v>
      </c>
      <c r="F721" s="2" t="s">
        <v>39</v>
      </c>
      <c r="G721" s="2" t="s">
        <v>131</v>
      </c>
      <c r="H721" s="2" t="s">
        <v>6</v>
      </c>
      <c r="J721" s="2" t="s">
        <v>2656</v>
      </c>
      <c r="K721" s="2" t="s">
        <v>3314</v>
      </c>
      <c r="L721" s="2" t="s">
        <v>2040</v>
      </c>
      <c r="M721" s="3">
        <v>999</v>
      </c>
      <c r="N721" s="3">
        <v>999</v>
      </c>
      <c r="P721" s="2" t="s">
        <v>3760</v>
      </c>
    </row>
    <row r="722" spans="1:16" ht="13">
      <c r="A722" s="2" t="s">
        <v>5</v>
      </c>
      <c r="B722" s="2" t="str">
        <f t="shared" si="11"/>
        <v>24-25 Academic Year</v>
      </c>
      <c r="C722" s="2">
        <v>31</v>
      </c>
      <c r="D722" s="2" t="s">
        <v>3756</v>
      </c>
      <c r="E722" s="10">
        <v>45629</v>
      </c>
      <c r="F722" s="2" t="s">
        <v>39</v>
      </c>
      <c r="G722" s="2" t="s">
        <v>131</v>
      </c>
      <c r="H722" s="2" t="s">
        <v>6</v>
      </c>
      <c r="J722" s="2" t="s">
        <v>2658</v>
      </c>
      <c r="K722" s="2" t="s">
        <v>2479</v>
      </c>
      <c r="L722" s="2" t="s">
        <v>2044</v>
      </c>
      <c r="M722" s="3">
        <v>999</v>
      </c>
      <c r="N722" s="3">
        <v>999</v>
      </c>
      <c r="P722" s="2" t="s">
        <v>3761</v>
      </c>
    </row>
    <row r="723" spans="1:16" ht="13">
      <c r="A723" s="2" t="s">
        <v>5</v>
      </c>
      <c r="B723" s="2" t="str">
        <f t="shared" si="11"/>
        <v>24-25 Academic Year</v>
      </c>
      <c r="C723" s="2">
        <v>31</v>
      </c>
      <c r="D723" s="2" t="s">
        <v>3756</v>
      </c>
      <c r="E723" s="10">
        <v>45629</v>
      </c>
      <c r="F723" s="2" t="s">
        <v>39</v>
      </c>
      <c r="G723" s="2" t="s">
        <v>131</v>
      </c>
      <c r="H723" s="2" t="s">
        <v>6</v>
      </c>
      <c r="J723" s="2" t="s">
        <v>3762</v>
      </c>
      <c r="K723" s="2" t="s">
        <v>3303</v>
      </c>
      <c r="L723" s="2" t="s">
        <v>2052</v>
      </c>
      <c r="M723" s="3">
        <v>999</v>
      </c>
      <c r="N723" s="3">
        <v>999</v>
      </c>
      <c r="P723" s="2" t="s">
        <v>3763</v>
      </c>
    </row>
    <row r="724" spans="1:16" ht="13">
      <c r="A724" s="2" t="s">
        <v>5</v>
      </c>
      <c r="B724" s="2" t="str">
        <f t="shared" si="11"/>
        <v>24-25 Academic Year</v>
      </c>
      <c r="C724" s="2">
        <v>31</v>
      </c>
      <c r="D724" s="2" t="s">
        <v>3756</v>
      </c>
      <c r="E724" s="10">
        <v>45629</v>
      </c>
      <c r="F724" s="2" t="s">
        <v>39</v>
      </c>
      <c r="G724" s="2" t="s">
        <v>131</v>
      </c>
      <c r="H724" s="2" t="s">
        <v>6</v>
      </c>
      <c r="J724" s="2" t="s">
        <v>3764</v>
      </c>
      <c r="K724" s="2" t="s">
        <v>3765</v>
      </c>
      <c r="L724" s="2" t="s">
        <v>4629</v>
      </c>
      <c r="M724" s="3">
        <v>999</v>
      </c>
      <c r="N724" s="3">
        <v>999</v>
      </c>
      <c r="P724" s="2" t="s">
        <v>3766</v>
      </c>
    </row>
    <row r="725" spans="1:16" ht="13">
      <c r="A725" s="2" t="s">
        <v>5</v>
      </c>
      <c r="B725" s="2" t="str">
        <f t="shared" si="11"/>
        <v>24-25 Academic Year</v>
      </c>
      <c r="C725" s="2">
        <v>31</v>
      </c>
      <c r="D725" s="2" t="s">
        <v>3756</v>
      </c>
      <c r="E725" s="10">
        <v>45629</v>
      </c>
      <c r="F725" s="2" t="s">
        <v>39</v>
      </c>
      <c r="G725" s="2" t="s">
        <v>131</v>
      </c>
      <c r="H725" s="2" t="s">
        <v>6</v>
      </c>
      <c r="J725" s="2" t="s">
        <v>3767</v>
      </c>
      <c r="K725" s="2" t="s">
        <v>3768</v>
      </c>
      <c r="L725" s="2" t="s">
        <v>4919</v>
      </c>
      <c r="M725" s="3">
        <v>999</v>
      </c>
      <c r="N725" s="3">
        <v>999</v>
      </c>
      <c r="P725" s="2" t="s">
        <v>3769</v>
      </c>
    </row>
    <row r="726" spans="1:16" ht="13">
      <c r="A726" s="2" t="s">
        <v>5</v>
      </c>
      <c r="B726" s="2" t="str">
        <f t="shared" si="11"/>
        <v>24-25 Academic Year</v>
      </c>
      <c r="C726" s="2">
        <v>32</v>
      </c>
      <c r="D726" s="2" t="s">
        <v>1870</v>
      </c>
      <c r="E726" s="10">
        <v>45630</v>
      </c>
      <c r="F726" s="2" t="s">
        <v>3770</v>
      </c>
      <c r="G726" s="2" t="s">
        <v>21</v>
      </c>
      <c r="H726" s="2" t="s">
        <v>6</v>
      </c>
      <c r="J726" s="2" t="s">
        <v>2660</v>
      </c>
      <c r="K726" s="2" t="s">
        <v>59</v>
      </c>
      <c r="L726" s="2" t="s">
        <v>60</v>
      </c>
      <c r="M726" s="3">
        <v>1</v>
      </c>
      <c r="N726" s="3">
        <v>2</v>
      </c>
      <c r="P726" s="2" t="s">
        <v>3771</v>
      </c>
    </row>
    <row r="727" spans="1:16" ht="13">
      <c r="A727" s="2" t="s">
        <v>5</v>
      </c>
      <c r="B727" s="2" t="str">
        <f t="shared" si="11"/>
        <v>24-25 Academic Year</v>
      </c>
      <c r="C727" s="2">
        <v>32</v>
      </c>
      <c r="D727" s="2" t="s">
        <v>1870</v>
      </c>
      <c r="E727" s="10">
        <v>45630</v>
      </c>
      <c r="F727" s="2" t="s">
        <v>3770</v>
      </c>
      <c r="G727" s="2" t="s">
        <v>21</v>
      </c>
      <c r="H727" s="2" t="s">
        <v>6</v>
      </c>
      <c r="J727" s="2" t="s">
        <v>2662</v>
      </c>
      <c r="K727" s="2" t="s">
        <v>3772</v>
      </c>
      <c r="L727" s="2" t="s">
        <v>4920</v>
      </c>
      <c r="M727" s="3">
        <v>4</v>
      </c>
      <c r="N727" s="3">
        <v>1</v>
      </c>
      <c r="P727" s="2" t="s">
        <v>3773</v>
      </c>
    </row>
    <row r="728" spans="1:16" ht="13">
      <c r="A728" s="2" t="s">
        <v>5</v>
      </c>
      <c r="B728" s="2" t="str">
        <f t="shared" si="11"/>
        <v>24-25 Academic Year</v>
      </c>
      <c r="C728" s="2">
        <v>32</v>
      </c>
      <c r="D728" s="2" t="s">
        <v>1870</v>
      </c>
      <c r="E728" s="10">
        <v>45630</v>
      </c>
      <c r="F728" s="2" t="s">
        <v>3770</v>
      </c>
      <c r="G728" s="2" t="s">
        <v>21</v>
      </c>
      <c r="H728" s="2" t="s">
        <v>6</v>
      </c>
      <c r="J728" s="2" t="s">
        <v>2664</v>
      </c>
      <c r="K728" s="2" t="s">
        <v>3774</v>
      </c>
      <c r="L728" s="2" t="s">
        <v>4625</v>
      </c>
      <c r="M728" s="3">
        <v>999</v>
      </c>
      <c r="N728" s="3">
        <v>999</v>
      </c>
      <c r="P728" s="2" t="s">
        <v>3775</v>
      </c>
    </row>
    <row r="729" spans="1:16" ht="13">
      <c r="A729" s="2" t="s">
        <v>5</v>
      </c>
      <c r="B729" s="2" t="str">
        <f t="shared" si="11"/>
        <v>24-25 Academic Year</v>
      </c>
      <c r="C729" s="2">
        <v>33</v>
      </c>
      <c r="D729" s="2" t="s">
        <v>1368</v>
      </c>
      <c r="E729" s="10">
        <v>45632</v>
      </c>
      <c r="F729" s="2" t="s">
        <v>3485</v>
      </c>
      <c r="G729" s="2" t="s">
        <v>92</v>
      </c>
      <c r="H729" s="2" t="s">
        <v>6</v>
      </c>
      <c r="J729" s="2" t="s">
        <v>2679</v>
      </c>
      <c r="K729" s="2" t="s">
        <v>3776</v>
      </c>
      <c r="L729" s="2" t="s">
        <v>3353</v>
      </c>
      <c r="M729" s="3">
        <v>1</v>
      </c>
      <c r="N729" s="3">
        <v>2</v>
      </c>
      <c r="P729" s="2" t="s">
        <v>3777</v>
      </c>
    </row>
    <row r="730" spans="1:16" ht="13">
      <c r="A730" s="2" t="s">
        <v>5</v>
      </c>
      <c r="B730" s="2" t="str">
        <f t="shared" si="11"/>
        <v>24-25 Academic Year</v>
      </c>
      <c r="C730" s="2">
        <v>33</v>
      </c>
      <c r="D730" s="2" t="s">
        <v>1368</v>
      </c>
      <c r="E730" s="10">
        <v>45632</v>
      </c>
      <c r="F730" s="2" t="s">
        <v>3485</v>
      </c>
      <c r="G730" s="2" t="s">
        <v>92</v>
      </c>
      <c r="H730" s="2" t="s">
        <v>6</v>
      </c>
      <c r="J730" s="2" t="s">
        <v>2681</v>
      </c>
      <c r="K730" s="2" t="s">
        <v>774</v>
      </c>
      <c r="L730" s="2" t="s">
        <v>1117</v>
      </c>
      <c r="M730" s="3">
        <v>1</v>
      </c>
      <c r="N730" s="3">
        <v>2</v>
      </c>
      <c r="P730" s="2" t="s">
        <v>3778</v>
      </c>
    </row>
    <row r="731" spans="1:16" ht="13">
      <c r="A731" s="2" t="s">
        <v>5</v>
      </c>
      <c r="B731" s="2" t="str">
        <f t="shared" si="11"/>
        <v>24-25 Academic Year</v>
      </c>
      <c r="C731" s="2">
        <v>33</v>
      </c>
      <c r="D731" s="2" t="s">
        <v>1368</v>
      </c>
      <c r="E731" s="10">
        <v>45632</v>
      </c>
      <c r="F731" s="2" t="s">
        <v>3485</v>
      </c>
      <c r="G731" s="2" t="s">
        <v>92</v>
      </c>
      <c r="H731" s="2" t="s">
        <v>6</v>
      </c>
      <c r="J731" s="2" t="s">
        <v>2684</v>
      </c>
      <c r="K731" s="2" t="s">
        <v>670</v>
      </c>
      <c r="L731" s="2" t="s">
        <v>403</v>
      </c>
      <c r="M731" s="3">
        <v>1</v>
      </c>
      <c r="N731" s="3">
        <v>2</v>
      </c>
      <c r="P731" s="2" t="s">
        <v>3779</v>
      </c>
    </row>
    <row r="732" spans="1:16" ht="13">
      <c r="A732" s="2" t="s">
        <v>5</v>
      </c>
      <c r="B732" s="2" t="str">
        <f t="shared" si="11"/>
        <v>24-25 Academic Year</v>
      </c>
      <c r="C732" s="2">
        <v>33</v>
      </c>
      <c r="D732" s="2" t="s">
        <v>1368</v>
      </c>
      <c r="E732" s="10">
        <v>45632</v>
      </c>
      <c r="F732" s="2" t="s">
        <v>3485</v>
      </c>
      <c r="G732" s="2" t="s">
        <v>92</v>
      </c>
      <c r="H732" s="2" t="s">
        <v>6</v>
      </c>
      <c r="J732" s="2" t="s">
        <v>2686</v>
      </c>
      <c r="K732" s="2" t="s">
        <v>2278</v>
      </c>
      <c r="L732" s="2" t="s">
        <v>622</v>
      </c>
      <c r="M732" s="3">
        <v>1</v>
      </c>
      <c r="N732" s="3">
        <v>2</v>
      </c>
      <c r="P732" s="2" t="s">
        <v>3780</v>
      </c>
    </row>
    <row r="733" spans="1:16" ht="13">
      <c r="A733" s="2" t="s">
        <v>5</v>
      </c>
      <c r="B733" s="2" t="str">
        <f t="shared" si="11"/>
        <v>24-25 Academic Year</v>
      </c>
      <c r="C733" s="2">
        <v>33</v>
      </c>
      <c r="D733" s="2" t="s">
        <v>1368</v>
      </c>
      <c r="E733" s="10">
        <v>45632</v>
      </c>
      <c r="F733" s="2" t="s">
        <v>3485</v>
      </c>
      <c r="G733" s="2" t="s">
        <v>92</v>
      </c>
      <c r="H733" s="2" t="s">
        <v>6</v>
      </c>
      <c r="J733" s="2" t="s">
        <v>2688</v>
      </c>
      <c r="K733" s="2" t="s">
        <v>3781</v>
      </c>
      <c r="L733" s="2" t="s">
        <v>3782</v>
      </c>
      <c r="M733" s="3">
        <v>1</v>
      </c>
      <c r="N733" s="3">
        <v>2</v>
      </c>
      <c r="P733" s="2" t="s">
        <v>3783</v>
      </c>
    </row>
    <row r="734" spans="1:16" ht="13">
      <c r="A734" s="2" t="s">
        <v>5</v>
      </c>
      <c r="B734" s="2" t="str">
        <f t="shared" si="11"/>
        <v>24-25 Academic Year</v>
      </c>
      <c r="C734" s="2">
        <v>33</v>
      </c>
      <c r="D734" s="2" t="s">
        <v>1368</v>
      </c>
      <c r="E734" s="10">
        <v>45632</v>
      </c>
      <c r="F734" s="2" t="s">
        <v>3485</v>
      </c>
      <c r="G734" s="2" t="s">
        <v>92</v>
      </c>
      <c r="H734" s="2" t="s">
        <v>6</v>
      </c>
      <c r="J734" s="2" t="s">
        <v>3784</v>
      </c>
      <c r="K734" s="2" t="s">
        <v>3727</v>
      </c>
      <c r="L734" s="2" t="s">
        <v>4912</v>
      </c>
      <c r="M734" s="3">
        <v>1</v>
      </c>
      <c r="N734" s="3">
        <v>2</v>
      </c>
      <c r="P734" s="2" t="s">
        <v>3785</v>
      </c>
    </row>
    <row r="735" spans="1:16" ht="13">
      <c r="A735" s="2" t="s">
        <v>5</v>
      </c>
      <c r="B735" s="2" t="str">
        <f t="shared" si="11"/>
        <v>24-25 Academic Year</v>
      </c>
      <c r="C735" s="2">
        <v>33</v>
      </c>
      <c r="D735" s="2" t="s">
        <v>1368</v>
      </c>
      <c r="E735" s="10">
        <v>45632</v>
      </c>
      <c r="F735" s="2" t="s">
        <v>3485</v>
      </c>
      <c r="G735" s="2" t="s">
        <v>92</v>
      </c>
      <c r="H735" s="2" t="s">
        <v>6</v>
      </c>
      <c r="J735" s="2" t="s">
        <v>3786</v>
      </c>
      <c r="K735" s="2" t="s">
        <v>3787</v>
      </c>
      <c r="L735" s="2" t="s">
        <v>622</v>
      </c>
      <c r="M735" s="3">
        <v>1</v>
      </c>
      <c r="N735" s="3">
        <v>2</v>
      </c>
      <c r="P735" s="2" t="s">
        <v>3788</v>
      </c>
    </row>
    <row r="736" spans="1:16" ht="13">
      <c r="A736" s="2" t="s">
        <v>5</v>
      </c>
      <c r="B736" s="2" t="str">
        <f t="shared" si="11"/>
        <v>24-25 Academic Year</v>
      </c>
      <c r="C736" s="2">
        <v>33</v>
      </c>
      <c r="D736" s="2" t="s">
        <v>1368</v>
      </c>
      <c r="E736" s="10">
        <v>45632</v>
      </c>
      <c r="F736" s="2" t="s">
        <v>3485</v>
      </c>
      <c r="G736" s="2" t="s">
        <v>92</v>
      </c>
      <c r="H736" s="2" t="s">
        <v>6</v>
      </c>
      <c r="J736" s="2" t="s">
        <v>3789</v>
      </c>
      <c r="K736" s="2" t="s">
        <v>3790</v>
      </c>
      <c r="L736" s="2" t="s">
        <v>4241</v>
      </c>
      <c r="M736" s="3">
        <v>1</v>
      </c>
      <c r="N736" s="3">
        <v>1</v>
      </c>
      <c r="P736" s="2" t="s">
        <v>3791</v>
      </c>
    </row>
    <row r="737" spans="1:16" ht="13">
      <c r="A737" s="2" t="s">
        <v>5</v>
      </c>
      <c r="B737" s="2" t="str">
        <f t="shared" si="11"/>
        <v>24-25 Academic Year</v>
      </c>
      <c r="C737" s="2">
        <v>34</v>
      </c>
      <c r="D737" s="2" t="s">
        <v>2407</v>
      </c>
      <c r="E737" s="10">
        <v>45632</v>
      </c>
      <c r="F737" s="2" t="s">
        <v>2567</v>
      </c>
      <c r="G737" s="2" t="s">
        <v>7</v>
      </c>
      <c r="H737" s="2" t="s">
        <v>7</v>
      </c>
      <c r="J737" s="2" t="s">
        <v>2669</v>
      </c>
      <c r="K737" s="2" t="s">
        <v>1020</v>
      </c>
      <c r="L737" s="2" t="s">
        <v>1975</v>
      </c>
      <c r="M737" s="3">
        <v>1</v>
      </c>
      <c r="N737" s="3">
        <v>2</v>
      </c>
      <c r="P737" s="2" t="s">
        <v>3792</v>
      </c>
    </row>
    <row r="738" spans="1:16" ht="13">
      <c r="A738" s="2" t="s">
        <v>5</v>
      </c>
      <c r="B738" s="2" t="str">
        <f t="shared" si="11"/>
        <v>24-25 Academic Year</v>
      </c>
      <c r="C738" s="2">
        <v>34</v>
      </c>
      <c r="D738" s="2" t="s">
        <v>2407</v>
      </c>
      <c r="E738" s="10">
        <v>45632</v>
      </c>
      <c r="F738" s="2" t="s">
        <v>2567</v>
      </c>
      <c r="G738" s="2" t="s">
        <v>7</v>
      </c>
      <c r="H738" s="2" t="s">
        <v>7</v>
      </c>
      <c r="J738" s="2" t="s">
        <v>3811</v>
      </c>
      <c r="K738" s="2" t="s">
        <v>3812</v>
      </c>
      <c r="L738" s="2" t="s">
        <v>3813</v>
      </c>
      <c r="M738" s="3">
        <v>4</v>
      </c>
      <c r="N738" s="3">
        <v>1</v>
      </c>
      <c r="P738" s="2" t="s">
        <v>3814</v>
      </c>
    </row>
    <row r="739" spans="1:16" ht="13">
      <c r="A739" s="2" t="s">
        <v>5</v>
      </c>
      <c r="B739" s="2" t="str">
        <f t="shared" si="11"/>
        <v>24-25 Academic Year</v>
      </c>
      <c r="C739" s="2">
        <v>34</v>
      </c>
      <c r="D739" s="2" t="s">
        <v>2407</v>
      </c>
      <c r="E739" s="10">
        <v>45632</v>
      </c>
      <c r="F739" s="2" t="s">
        <v>2567</v>
      </c>
      <c r="G739" s="2" t="s">
        <v>7</v>
      </c>
      <c r="H739" s="2" t="s">
        <v>7</v>
      </c>
      <c r="J739" s="2" t="s">
        <v>3815</v>
      </c>
      <c r="K739" s="2" t="s">
        <v>679</v>
      </c>
      <c r="L739" s="2" t="s">
        <v>679</v>
      </c>
      <c r="M739" s="3">
        <v>999</v>
      </c>
      <c r="N739" s="3">
        <v>999</v>
      </c>
      <c r="P739" s="2" t="s">
        <v>3816</v>
      </c>
    </row>
    <row r="740" spans="1:16" ht="13">
      <c r="A740" s="2" t="s">
        <v>5</v>
      </c>
      <c r="B740" s="2" t="str">
        <f t="shared" si="11"/>
        <v>24-25 Academic Year</v>
      </c>
      <c r="C740" s="2">
        <v>34</v>
      </c>
      <c r="D740" s="2" t="s">
        <v>2407</v>
      </c>
      <c r="E740" s="10">
        <v>45632</v>
      </c>
      <c r="F740" s="2" t="s">
        <v>2567</v>
      </c>
      <c r="G740" s="2" t="s">
        <v>7</v>
      </c>
      <c r="H740" s="2" t="s">
        <v>7</v>
      </c>
      <c r="J740" s="2" t="s">
        <v>2671</v>
      </c>
      <c r="K740" s="2" t="s">
        <v>3793</v>
      </c>
      <c r="L740" s="2" t="s">
        <v>542</v>
      </c>
      <c r="M740" s="3">
        <v>999</v>
      </c>
      <c r="N740" s="3">
        <v>999</v>
      </c>
      <c r="P740" s="2" t="s">
        <v>3794</v>
      </c>
    </row>
    <row r="741" spans="1:16" ht="13">
      <c r="A741" s="2" t="s">
        <v>5</v>
      </c>
      <c r="B741" s="2" t="str">
        <f t="shared" si="11"/>
        <v>24-25 Academic Year</v>
      </c>
      <c r="C741" s="2">
        <v>34</v>
      </c>
      <c r="D741" s="2" t="s">
        <v>2407</v>
      </c>
      <c r="E741" s="10">
        <v>45632</v>
      </c>
      <c r="F741" s="2" t="s">
        <v>2567</v>
      </c>
      <c r="G741" s="2" t="s">
        <v>7</v>
      </c>
      <c r="H741" s="2" t="s">
        <v>7</v>
      </c>
      <c r="J741" s="2" t="s">
        <v>2674</v>
      </c>
      <c r="K741" s="2" t="s">
        <v>679</v>
      </c>
      <c r="L741" s="2" t="s">
        <v>679</v>
      </c>
      <c r="M741" s="3">
        <v>999</v>
      </c>
      <c r="N741" s="3">
        <v>999</v>
      </c>
      <c r="P741" s="2" t="s">
        <v>3795</v>
      </c>
    </row>
    <row r="742" spans="1:16" ht="13">
      <c r="A742" s="2" t="s">
        <v>5</v>
      </c>
      <c r="B742" s="2" t="str">
        <f t="shared" si="11"/>
        <v>24-25 Academic Year</v>
      </c>
      <c r="C742" s="2">
        <v>34</v>
      </c>
      <c r="D742" s="2" t="s">
        <v>2407</v>
      </c>
      <c r="E742" s="10">
        <v>45632</v>
      </c>
      <c r="F742" s="2" t="s">
        <v>2567</v>
      </c>
      <c r="G742" s="2" t="s">
        <v>7</v>
      </c>
      <c r="H742" s="2" t="s">
        <v>7</v>
      </c>
      <c r="J742" s="2" t="s">
        <v>2676</v>
      </c>
      <c r="K742" s="2" t="s">
        <v>3796</v>
      </c>
      <c r="L742" s="2" t="s">
        <v>4921</v>
      </c>
      <c r="M742" s="3">
        <v>1</v>
      </c>
      <c r="N742" s="3">
        <v>1</v>
      </c>
      <c r="P742" s="2" t="s">
        <v>3797</v>
      </c>
    </row>
    <row r="743" spans="1:16" ht="13">
      <c r="A743" s="2" t="s">
        <v>5</v>
      </c>
      <c r="B743" s="2" t="str">
        <f t="shared" si="11"/>
        <v>24-25 Academic Year</v>
      </c>
      <c r="C743" s="2">
        <v>34</v>
      </c>
      <c r="D743" s="2" t="s">
        <v>2407</v>
      </c>
      <c r="E743" s="10">
        <v>45632</v>
      </c>
      <c r="F743" s="2" t="s">
        <v>2567</v>
      </c>
      <c r="G743" s="2" t="s">
        <v>7</v>
      </c>
      <c r="H743" s="2" t="s">
        <v>7</v>
      </c>
      <c r="J743" s="2" t="s">
        <v>3798</v>
      </c>
      <c r="K743" s="2" t="s">
        <v>3799</v>
      </c>
      <c r="L743" s="2" t="s">
        <v>4922</v>
      </c>
      <c r="M743" s="3">
        <v>1</v>
      </c>
      <c r="N743" s="3">
        <v>1</v>
      </c>
      <c r="P743" s="2" t="s">
        <v>3800</v>
      </c>
    </row>
    <row r="744" spans="1:16" ht="13">
      <c r="A744" s="2" t="s">
        <v>5</v>
      </c>
      <c r="B744" s="2" t="str">
        <f t="shared" si="11"/>
        <v>24-25 Academic Year</v>
      </c>
      <c r="C744" s="2">
        <v>34</v>
      </c>
      <c r="D744" s="2" t="s">
        <v>2407</v>
      </c>
      <c r="E744" s="10">
        <v>45632</v>
      </c>
      <c r="F744" s="2" t="s">
        <v>2567</v>
      </c>
      <c r="G744" s="2" t="s">
        <v>7</v>
      </c>
      <c r="H744" s="2" t="s">
        <v>7</v>
      </c>
      <c r="J744" s="2" t="s">
        <v>3801</v>
      </c>
      <c r="K744" s="2" t="s">
        <v>3401</v>
      </c>
      <c r="L744" s="2" t="s">
        <v>4848</v>
      </c>
      <c r="M744" s="3">
        <v>1</v>
      </c>
      <c r="N744" s="3">
        <v>1</v>
      </c>
      <c r="P744" s="2" t="s">
        <v>3802</v>
      </c>
    </row>
    <row r="745" spans="1:16" ht="13">
      <c r="A745" s="2" t="s">
        <v>5</v>
      </c>
      <c r="B745" s="2" t="str">
        <f t="shared" si="11"/>
        <v>24-25 Academic Year</v>
      </c>
      <c r="C745" s="2">
        <v>34</v>
      </c>
      <c r="D745" s="2" t="s">
        <v>2407</v>
      </c>
      <c r="E745" s="10">
        <v>45632</v>
      </c>
      <c r="F745" s="2" t="s">
        <v>2567</v>
      </c>
      <c r="G745" s="2" t="s">
        <v>7</v>
      </c>
      <c r="H745" s="2" t="s">
        <v>7</v>
      </c>
      <c r="J745" s="2" t="s">
        <v>3803</v>
      </c>
      <c r="K745" s="2" t="s">
        <v>3804</v>
      </c>
      <c r="L745" s="2" t="s">
        <v>4923</v>
      </c>
      <c r="M745" s="3">
        <v>1</v>
      </c>
      <c r="N745" s="3">
        <v>2</v>
      </c>
      <c r="P745" s="2" t="s">
        <v>3719</v>
      </c>
    </row>
    <row r="746" spans="1:16" ht="13">
      <c r="A746" s="2" t="s">
        <v>5</v>
      </c>
      <c r="B746" s="2" t="str">
        <f t="shared" si="11"/>
        <v>24-25 Academic Year</v>
      </c>
      <c r="C746" s="2">
        <v>34</v>
      </c>
      <c r="D746" s="2" t="s">
        <v>2407</v>
      </c>
      <c r="E746" s="10">
        <v>45632</v>
      </c>
      <c r="F746" s="2" t="s">
        <v>2567</v>
      </c>
      <c r="G746" s="2" t="s">
        <v>7</v>
      </c>
      <c r="H746" s="2" t="s">
        <v>7</v>
      </c>
      <c r="J746" s="2" t="s">
        <v>3805</v>
      </c>
      <c r="K746" s="2" t="s">
        <v>3806</v>
      </c>
      <c r="L746" s="2" t="s">
        <v>4924</v>
      </c>
      <c r="M746" s="3">
        <v>3</v>
      </c>
      <c r="N746" s="3">
        <v>1</v>
      </c>
      <c r="P746" s="2" t="s">
        <v>3807</v>
      </c>
    </row>
    <row r="747" spans="1:16" ht="13">
      <c r="A747" s="2" t="s">
        <v>5</v>
      </c>
      <c r="B747" s="2" t="str">
        <f t="shared" si="11"/>
        <v>24-25 Academic Year</v>
      </c>
      <c r="C747" s="2">
        <v>34</v>
      </c>
      <c r="D747" s="2" t="s">
        <v>2407</v>
      </c>
      <c r="E747" s="10">
        <v>45632</v>
      </c>
      <c r="F747" s="2" t="s">
        <v>2567</v>
      </c>
      <c r="G747" s="2" t="s">
        <v>7</v>
      </c>
      <c r="H747" s="2" t="s">
        <v>7</v>
      </c>
      <c r="J747" s="2" t="s">
        <v>3808</v>
      </c>
      <c r="K747" s="2" t="s">
        <v>3809</v>
      </c>
      <c r="L747" s="2" t="s">
        <v>4925</v>
      </c>
      <c r="M747" s="3">
        <v>4</v>
      </c>
      <c r="N747" s="3">
        <v>1</v>
      </c>
      <c r="P747" s="2" t="s">
        <v>3810</v>
      </c>
    </row>
    <row r="748" spans="1:16" ht="13">
      <c r="A748" s="2" t="s">
        <v>2</v>
      </c>
      <c r="B748" s="2" t="str">
        <f t="shared" si="11"/>
        <v>22-23 Academic Year</v>
      </c>
      <c r="C748" s="2">
        <v>1</v>
      </c>
      <c r="D748" s="2" t="s">
        <v>592</v>
      </c>
      <c r="E748" s="10">
        <v>44944</v>
      </c>
      <c r="F748" s="2" t="s">
        <v>20</v>
      </c>
      <c r="G748" s="2" t="s">
        <v>21</v>
      </c>
      <c r="H748" s="2" t="s">
        <v>6</v>
      </c>
      <c r="I748" s="2" t="s">
        <v>593</v>
      </c>
      <c r="J748" s="2" t="s">
        <v>4702</v>
      </c>
      <c r="K748" s="2" t="s">
        <v>320</v>
      </c>
      <c r="L748" s="2" t="s">
        <v>1879</v>
      </c>
      <c r="M748" s="3">
        <v>1</v>
      </c>
      <c r="N748" s="3">
        <v>2</v>
      </c>
      <c r="O748" s="2" t="s">
        <v>134</v>
      </c>
      <c r="P748" s="2" t="s">
        <v>594</v>
      </c>
    </row>
    <row r="749" spans="1:16" ht="13">
      <c r="A749" s="2" t="s">
        <v>2</v>
      </c>
      <c r="B749" s="2" t="str">
        <f t="shared" si="11"/>
        <v>22-23 Academic Year</v>
      </c>
      <c r="C749" s="2">
        <v>1</v>
      </c>
      <c r="D749" s="2" t="s">
        <v>592</v>
      </c>
      <c r="E749" s="10">
        <v>44944</v>
      </c>
      <c r="F749" s="2" t="s">
        <v>20</v>
      </c>
      <c r="G749" s="2" t="s">
        <v>21</v>
      </c>
      <c r="H749" s="2" t="s">
        <v>6</v>
      </c>
      <c r="I749" s="2" t="s">
        <v>593</v>
      </c>
      <c r="J749" s="2" t="s">
        <v>4703</v>
      </c>
      <c r="K749" s="2" t="s">
        <v>374</v>
      </c>
      <c r="L749" s="2" t="s">
        <v>1680</v>
      </c>
      <c r="M749" s="3">
        <v>1</v>
      </c>
      <c r="N749" s="3">
        <v>2</v>
      </c>
      <c r="P749" s="2" t="s">
        <v>595</v>
      </c>
    </row>
    <row r="750" spans="1:16" ht="13">
      <c r="A750" s="2" t="s">
        <v>2</v>
      </c>
      <c r="B750" s="2" t="str">
        <f t="shared" si="11"/>
        <v>22-23 Academic Year</v>
      </c>
      <c r="C750" s="2">
        <v>1</v>
      </c>
      <c r="D750" s="2" t="s">
        <v>592</v>
      </c>
      <c r="E750" s="10">
        <v>44944</v>
      </c>
      <c r="F750" s="2" t="s">
        <v>20</v>
      </c>
      <c r="G750" s="2" t="s">
        <v>21</v>
      </c>
      <c r="H750" s="2" t="s">
        <v>6</v>
      </c>
      <c r="I750" s="2" t="s">
        <v>593</v>
      </c>
      <c r="J750" s="2" t="s">
        <v>4705</v>
      </c>
      <c r="K750" s="2" t="s">
        <v>596</v>
      </c>
      <c r="L750" s="2" t="s">
        <v>850</v>
      </c>
      <c r="M750" s="3">
        <v>1</v>
      </c>
      <c r="N750" s="3">
        <v>2</v>
      </c>
      <c r="P750" s="2" t="s">
        <v>597</v>
      </c>
    </row>
    <row r="751" spans="1:16" ht="13">
      <c r="A751" s="2" t="s">
        <v>2</v>
      </c>
      <c r="B751" s="2" t="str">
        <f t="shared" si="11"/>
        <v>22-23 Academic Year</v>
      </c>
      <c r="C751" s="2">
        <v>1</v>
      </c>
      <c r="D751" s="2" t="s">
        <v>592</v>
      </c>
      <c r="E751" s="10">
        <v>44944</v>
      </c>
      <c r="F751" s="2" t="s">
        <v>20</v>
      </c>
      <c r="G751" s="2" t="s">
        <v>21</v>
      </c>
      <c r="H751" s="2" t="s">
        <v>6</v>
      </c>
      <c r="I751" s="2" t="s">
        <v>593</v>
      </c>
      <c r="J751" s="2" t="s">
        <v>4706</v>
      </c>
      <c r="K751" s="2" t="s">
        <v>596</v>
      </c>
      <c r="L751" s="2" t="s">
        <v>850</v>
      </c>
      <c r="M751" s="3">
        <v>1</v>
      </c>
      <c r="N751" s="3">
        <v>2</v>
      </c>
      <c r="P751" s="2" t="s">
        <v>598</v>
      </c>
    </row>
    <row r="752" spans="1:16" ht="13">
      <c r="A752" s="2" t="s">
        <v>2</v>
      </c>
      <c r="B752" s="2" t="str">
        <f t="shared" si="11"/>
        <v>22-23 Academic Year</v>
      </c>
      <c r="C752" s="2">
        <v>1</v>
      </c>
      <c r="D752" s="2" t="s">
        <v>592</v>
      </c>
      <c r="E752" s="10">
        <v>44944</v>
      </c>
      <c r="F752" s="2" t="s">
        <v>20</v>
      </c>
      <c r="G752" s="2" t="s">
        <v>21</v>
      </c>
      <c r="H752" s="2" t="s">
        <v>6</v>
      </c>
      <c r="I752" s="2" t="s">
        <v>593</v>
      </c>
      <c r="J752" s="2" t="s">
        <v>4708</v>
      </c>
      <c r="K752" s="2" t="s">
        <v>596</v>
      </c>
      <c r="L752" s="2" t="s">
        <v>850</v>
      </c>
      <c r="M752" s="3">
        <v>1</v>
      </c>
      <c r="N752" s="3">
        <v>2</v>
      </c>
      <c r="P752" s="2" t="s">
        <v>599</v>
      </c>
    </row>
    <row r="753" spans="1:16" ht="13">
      <c r="A753" s="2" t="s">
        <v>2</v>
      </c>
      <c r="B753" s="2" t="str">
        <f t="shared" si="11"/>
        <v>22-23 Academic Year</v>
      </c>
      <c r="C753" s="2">
        <v>1</v>
      </c>
      <c r="D753" s="2" t="s">
        <v>592</v>
      </c>
      <c r="E753" s="10">
        <v>44944</v>
      </c>
      <c r="F753" s="2" t="s">
        <v>20</v>
      </c>
      <c r="G753" s="2" t="s">
        <v>21</v>
      </c>
      <c r="H753" s="2" t="s">
        <v>6</v>
      </c>
      <c r="I753" s="2" t="s">
        <v>593</v>
      </c>
      <c r="J753" s="2" t="s">
        <v>4709</v>
      </c>
      <c r="K753" s="2" t="s">
        <v>600</v>
      </c>
      <c r="L753" s="2" t="s">
        <v>4926</v>
      </c>
      <c r="M753" s="3">
        <v>1</v>
      </c>
      <c r="N753" s="3">
        <v>1</v>
      </c>
      <c r="P753" s="2" t="s">
        <v>601</v>
      </c>
    </row>
    <row r="754" spans="1:16" ht="13">
      <c r="A754" s="2" t="s">
        <v>2</v>
      </c>
      <c r="B754" s="2" t="str">
        <f t="shared" si="11"/>
        <v>22-23 Academic Year</v>
      </c>
      <c r="C754" s="2">
        <v>1</v>
      </c>
      <c r="D754" s="2" t="s">
        <v>592</v>
      </c>
      <c r="E754" s="10">
        <v>44944</v>
      </c>
      <c r="F754" s="2" t="s">
        <v>20</v>
      </c>
      <c r="G754" s="2" t="s">
        <v>21</v>
      </c>
      <c r="H754" s="2" t="s">
        <v>6</v>
      </c>
      <c r="I754" s="2" t="s">
        <v>593</v>
      </c>
      <c r="J754" s="2" t="s">
        <v>4710</v>
      </c>
      <c r="K754" s="2" t="s">
        <v>602</v>
      </c>
      <c r="L754" s="2" t="s">
        <v>4927</v>
      </c>
      <c r="M754" s="3">
        <v>1</v>
      </c>
      <c r="N754" s="3">
        <v>2</v>
      </c>
      <c r="P754" s="2" t="s">
        <v>603</v>
      </c>
    </row>
    <row r="755" spans="1:16" ht="13">
      <c r="A755" s="2" t="s">
        <v>2</v>
      </c>
      <c r="B755" s="2" t="str">
        <f t="shared" si="11"/>
        <v>22-23 Academic Year</v>
      </c>
      <c r="C755" s="2">
        <v>2</v>
      </c>
      <c r="D755" s="2" t="s">
        <v>604</v>
      </c>
      <c r="E755" s="10">
        <v>44945</v>
      </c>
      <c r="F755" s="2" t="s">
        <v>69</v>
      </c>
      <c r="G755" s="2" t="s">
        <v>131</v>
      </c>
      <c r="H755" s="2" t="s">
        <v>6</v>
      </c>
      <c r="I755" s="2" t="s">
        <v>434</v>
      </c>
      <c r="J755" s="2" t="s">
        <v>4687</v>
      </c>
      <c r="K755" s="2" t="s">
        <v>605</v>
      </c>
      <c r="L755" s="2" t="s">
        <v>1407</v>
      </c>
      <c r="M755" s="3">
        <v>1</v>
      </c>
      <c r="N755" s="3">
        <v>2</v>
      </c>
      <c r="P755" s="2" t="s">
        <v>606</v>
      </c>
    </row>
    <row r="756" spans="1:16" ht="13">
      <c r="A756" s="2" t="s">
        <v>2</v>
      </c>
      <c r="B756" s="2" t="str">
        <f t="shared" si="11"/>
        <v>22-23 Academic Year</v>
      </c>
      <c r="C756" s="2">
        <v>2</v>
      </c>
      <c r="D756" s="2" t="s">
        <v>604</v>
      </c>
      <c r="E756" s="10">
        <v>44945</v>
      </c>
      <c r="F756" s="2" t="s">
        <v>69</v>
      </c>
      <c r="G756" s="2" t="s">
        <v>131</v>
      </c>
      <c r="H756" s="2" t="s">
        <v>6</v>
      </c>
      <c r="I756" s="2" t="s">
        <v>434</v>
      </c>
      <c r="J756" s="2" t="s">
        <v>4688</v>
      </c>
      <c r="K756" s="2" t="s">
        <v>472</v>
      </c>
      <c r="L756" s="2" t="s">
        <v>1352</v>
      </c>
      <c r="M756" s="3">
        <v>1</v>
      </c>
      <c r="N756" s="3">
        <v>2</v>
      </c>
      <c r="P756" s="2" t="s">
        <v>607</v>
      </c>
    </row>
    <row r="757" spans="1:16" ht="13">
      <c r="A757" s="2" t="s">
        <v>2</v>
      </c>
      <c r="B757" s="2" t="str">
        <f t="shared" si="11"/>
        <v>22-23 Academic Year</v>
      </c>
      <c r="C757" s="2">
        <v>2</v>
      </c>
      <c r="D757" s="2" t="s">
        <v>604</v>
      </c>
      <c r="E757" s="10">
        <v>44945</v>
      </c>
      <c r="F757" s="2" t="s">
        <v>69</v>
      </c>
      <c r="G757" s="2" t="s">
        <v>131</v>
      </c>
      <c r="H757" s="2" t="s">
        <v>6</v>
      </c>
      <c r="I757" s="2" t="s">
        <v>434</v>
      </c>
      <c r="J757" s="2" t="s">
        <v>4690</v>
      </c>
      <c r="K757" s="2" t="s">
        <v>472</v>
      </c>
      <c r="L757" s="2" t="s">
        <v>1352</v>
      </c>
      <c r="M757" s="3">
        <v>1</v>
      </c>
      <c r="N757" s="3">
        <v>2</v>
      </c>
      <c r="P757" s="2" t="s">
        <v>608</v>
      </c>
    </row>
    <row r="758" spans="1:16" ht="13">
      <c r="A758" s="2" t="s">
        <v>2</v>
      </c>
      <c r="B758" s="2" t="str">
        <f t="shared" si="11"/>
        <v>22-23 Academic Year</v>
      </c>
      <c r="C758" s="2">
        <v>2</v>
      </c>
      <c r="D758" s="2" t="s">
        <v>604</v>
      </c>
      <c r="E758" s="10">
        <v>44945</v>
      </c>
      <c r="F758" s="2" t="s">
        <v>69</v>
      </c>
      <c r="G758" s="2" t="s">
        <v>131</v>
      </c>
      <c r="H758" s="2" t="s">
        <v>6</v>
      </c>
      <c r="I758" s="2" t="s">
        <v>434</v>
      </c>
      <c r="J758" s="2" t="s">
        <v>4692</v>
      </c>
      <c r="K758" s="2" t="s">
        <v>223</v>
      </c>
      <c r="L758" s="2" t="s">
        <v>4415</v>
      </c>
      <c r="M758" s="3">
        <v>3</v>
      </c>
      <c r="N758" s="3">
        <v>2</v>
      </c>
      <c r="P758" s="2" t="s">
        <v>609</v>
      </c>
    </row>
    <row r="759" spans="1:16" ht="13">
      <c r="A759" s="2" t="s">
        <v>2</v>
      </c>
      <c r="B759" s="2" t="str">
        <f t="shared" si="11"/>
        <v>22-23 Academic Year</v>
      </c>
      <c r="C759" s="2">
        <v>3</v>
      </c>
      <c r="D759" s="2" t="s">
        <v>610</v>
      </c>
      <c r="E759" s="10">
        <v>44952</v>
      </c>
      <c r="F759" s="2" t="s">
        <v>69</v>
      </c>
      <c r="G759" s="2" t="s">
        <v>131</v>
      </c>
      <c r="H759" s="2" t="s">
        <v>6</v>
      </c>
      <c r="I759" s="2" t="s">
        <v>434</v>
      </c>
      <c r="J759" s="2" t="s">
        <v>4680</v>
      </c>
      <c r="K759" s="2" t="s">
        <v>611</v>
      </c>
      <c r="L759" s="2" t="s">
        <v>1849</v>
      </c>
      <c r="M759" s="3">
        <v>4</v>
      </c>
      <c r="N759" s="3">
        <v>2</v>
      </c>
      <c r="P759" s="2" t="s">
        <v>612</v>
      </c>
    </row>
    <row r="760" spans="1:16" ht="13">
      <c r="A760" s="2" t="s">
        <v>2</v>
      </c>
      <c r="B760" s="2" t="str">
        <f t="shared" si="11"/>
        <v>22-23 Academic Year</v>
      </c>
      <c r="C760" s="2">
        <v>3</v>
      </c>
      <c r="D760" s="2" t="s">
        <v>610</v>
      </c>
      <c r="E760" s="10">
        <v>44952</v>
      </c>
      <c r="F760" s="2" t="s">
        <v>69</v>
      </c>
      <c r="G760" s="2" t="s">
        <v>131</v>
      </c>
      <c r="H760" s="2" t="s">
        <v>6</v>
      </c>
      <c r="I760" s="2" t="s">
        <v>434</v>
      </c>
      <c r="J760" s="2" t="s">
        <v>4681</v>
      </c>
      <c r="K760" s="2" t="s">
        <v>611</v>
      </c>
      <c r="L760" s="2" t="s">
        <v>1849</v>
      </c>
      <c r="M760" s="3">
        <v>4</v>
      </c>
      <c r="N760" s="3">
        <v>2</v>
      </c>
      <c r="P760" s="2" t="s">
        <v>613</v>
      </c>
    </row>
    <row r="761" spans="1:16" ht="13">
      <c r="A761" s="2" t="s">
        <v>2</v>
      </c>
      <c r="B761" s="2" t="str">
        <f t="shared" si="11"/>
        <v>22-23 Academic Year</v>
      </c>
      <c r="C761" s="2">
        <v>3</v>
      </c>
      <c r="D761" s="2" t="s">
        <v>610</v>
      </c>
      <c r="E761" s="10">
        <v>44952</v>
      </c>
      <c r="F761" s="2" t="s">
        <v>69</v>
      </c>
      <c r="G761" s="2" t="s">
        <v>131</v>
      </c>
      <c r="H761" s="2" t="s">
        <v>6</v>
      </c>
      <c r="I761" s="2" t="s">
        <v>434</v>
      </c>
      <c r="J761" s="2" t="s">
        <v>4683</v>
      </c>
      <c r="K761" s="2" t="s">
        <v>611</v>
      </c>
      <c r="L761" s="2" t="s">
        <v>1849</v>
      </c>
      <c r="M761" s="3">
        <v>4</v>
      </c>
      <c r="N761" s="3">
        <v>2</v>
      </c>
      <c r="P761" s="2" t="s">
        <v>614</v>
      </c>
    </row>
    <row r="762" spans="1:16" ht="13">
      <c r="A762" s="2" t="s">
        <v>2</v>
      </c>
      <c r="B762" s="2" t="str">
        <f t="shared" si="11"/>
        <v>22-23 Academic Year</v>
      </c>
      <c r="C762" s="2">
        <v>3</v>
      </c>
      <c r="D762" s="2" t="s">
        <v>610</v>
      </c>
      <c r="E762" s="10">
        <v>44952</v>
      </c>
      <c r="F762" s="2" t="s">
        <v>69</v>
      </c>
      <c r="G762" s="2" t="s">
        <v>131</v>
      </c>
      <c r="H762" s="2" t="s">
        <v>6</v>
      </c>
      <c r="I762" s="2" t="s">
        <v>434</v>
      </c>
      <c r="J762" s="2" t="s">
        <v>4684</v>
      </c>
      <c r="K762" s="2" t="s">
        <v>431</v>
      </c>
      <c r="L762" s="2" t="s">
        <v>1360</v>
      </c>
      <c r="M762" s="3">
        <v>1</v>
      </c>
      <c r="N762" s="3">
        <v>2</v>
      </c>
      <c r="P762" s="2" t="s">
        <v>615</v>
      </c>
    </row>
    <row r="763" spans="1:16" ht="13">
      <c r="A763" s="2" t="s">
        <v>2</v>
      </c>
      <c r="B763" s="2" t="str">
        <f t="shared" si="11"/>
        <v>22-23 Academic Year</v>
      </c>
      <c r="C763" s="2">
        <v>3</v>
      </c>
      <c r="D763" s="2" t="s">
        <v>610</v>
      </c>
      <c r="E763" s="10">
        <v>44952</v>
      </c>
      <c r="F763" s="2" t="s">
        <v>69</v>
      </c>
      <c r="G763" s="2" t="s">
        <v>131</v>
      </c>
      <c r="H763" s="2" t="s">
        <v>6</v>
      </c>
      <c r="I763" s="2" t="s">
        <v>434</v>
      </c>
      <c r="J763" s="2" t="s">
        <v>4686</v>
      </c>
      <c r="K763" s="2" t="s">
        <v>616</v>
      </c>
      <c r="L763" s="2" t="s">
        <v>436</v>
      </c>
      <c r="M763" s="3">
        <v>2</v>
      </c>
      <c r="N763" s="3">
        <v>2</v>
      </c>
      <c r="P763" s="2" t="s">
        <v>617</v>
      </c>
    </row>
    <row r="764" spans="1:16" ht="13">
      <c r="A764" s="2" t="s">
        <v>2</v>
      </c>
      <c r="B764" s="2" t="str">
        <f t="shared" si="11"/>
        <v>22-23 Academic Year</v>
      </c>
      <c r="C764" s="2">
        <v>4</v>
      </c>
      <c r="D764" s="2" t="s">
        <v>618</v>
      </c>
      <c r="E764" s="10">
        <v>44954</v>
      </c>
      <c r="F764" s="2" t="s">
        <v>69</v>
      </c>
      <c r="G764" s="2" t="s">
        <v>131</v>
      </c>
      <c r="H764" s="2" t="s">
        <v>6</v>
      </c>
      <c r="I764" s="2" t="s">
        <v>619</v>
      </c>
      <c r="J764" s="2" t="s">
        <v>4669</v>
      </c>
      <c r="K764" s="2" t="s">
        <v>420</v>
      </c>
      <c r="L764" s="2" t="s">
        <v>1700</v>
      </c>
      <c r="M764" s="3">
        <v>1</v>
      </c>
      <c r="N764" s="3">
        <v>1</v>
      </c>
      <c r="P764" s="2" t="s">
        <v>620</v>
      </c>
    </row>
    <row r="765" spans="1:16" ht="13">
      <c r="A765" s="2" t="s">
        <v>2</v>
      </c>
      <c r="B765" s="2" t="str">
        <f t="shared" si="11"/>
        <v>22-23 Academic Year</v>
      </c>
      <c r="C765" s="2">
        <v>4</v>
      </c>
      <c r="D765" s="2" t="s">
        <v>618</v>
      </c>
      <c r="E765" s="10">
        <v>44954</v>
      </c>
      <c r="F765" s="2" t="s">
        <v>69</v>
      </c>
      <c r="G765" s="2" t="s">
        <v>131</v>
      </c>
      <c r="H765" s="2" t="s">
        <v>6</v>
      </c>
      <c r="I765" s="2" t="s">
        <v>619</v>
      </c>
      <c r="J765" s="2" t="s">
        <v>4671</v>
      </c>
      <c r="K765" s="2" t="s">
        <v>621</v>
      </c>
      <c r="L765" s="2" t="s">
        <v>622</v>
      </c>
      <c r="M765" s="3">
        <v>1</v>
      </c>
      <c r="N765" s="3">
        <v>2</v>
      </c>
      <c r="P765" s="2" t="s">
        <v>623</v>
      </c>
    </row>
    <row r="766" spans="1:16" ht="13">
      <c r="A766" s="2" t="s">
        <v>2</v>
      </c>
      <c r="B766" s="2" t="str">
        <f t="shared" si="11"/>
        <v>22-23 Academic Year</v>
      </c>
      <c r="C766" s="2">
        <v>4</v>
      </c>
      <c r="D766" s="2" t="s">
        <v>618</v>
      </c>
      <c r="E766" s="10">
        <v>44954</v>
      </c>
      <c r="F766" s="2" t="s">
        <v>69</v>
      </c>
      <c r="G766" s="2" t="s">
        <v>131</v>
      </c>
      <c r="H766" s="2" t="s">
        <v>6</v>
      </c>
      <c r="I766" s="2" t="s">
        <v>619</v>
      </c>
      <c r="J766" s="2" t="s">
        <v>4673</v>
      </c>
      <c r="K766" s="2" t="s">
        <v>624</v>
      </c>
      <c r="L766" s="2" t="s">
        <v>4928</v>
      </c>
      <c r="M766" s="3">
        <v>3</v>
      </c>
      <c r="N766" s="3">
        <v>2</v>
      </c>
      <c r="P766" s="2" t="s">
        <v>625</v>
      </c>
    </row>
    <row r="767" spans="1:16" ht="13">
      <c r="A767" s="2" t="s">
        <v>2</v>
      </c>
      <c r="B767" s="2" t="str">
        <f t="shared" si="11"/>
        <v>22-23 Academic Year</v>
      </c>
      <c r="C767" s="2">
        <v>4</v>
      </c>
      <c r="D767" s="2" t="s">
        <v>618</v>
      </c>
      <c r="E767" s="10">
        <v>44954</v>
      </c>
      <c r="F767" s="2" t="s">
        <v>69</v>
      </c>
      <c r="G767" s="2" t="s">
        <v>131</v>
      </c>
      <c r="H767" s="2" t="s">
        <v>6</v>
      </c>
      <c r="I767" s="2" t="s">
        <v>619</v>
      </c>
      <c r="J767" s="2" t="s">
        <v>4675</v>
      </c>
      <c r="K767" s="2" t="s">
        <v>626</v>
      </c>
      <c r="L767" s="2" t="s">
        <v>4929</v>
      </c>
      <c r="M767" s="3"/>
      <c r="N767" s="3"/>
      <c r="O767" s="2" t="s">
        <v>627</v>
      </c>
      <c r="P767" s="2" t="s">
        <v>628</v>
      </c>
    </row>
    <row r="768" spans="1:16" ht="13">
      <c r="A768" s="2" t="s">
        <v>2</v>
      </c>
      <c r="B768" s="2" t="str">
        <f t="shared" si="11"/>
        <v>22-23 Academic Year</v>
      </c>
      <c r="C768" s="2">
        <v>4</v>
      </c>
      <c r="D768" s="2" t="s">
        <v>618</v>
      </c>
      <c r="E768" s="10">
        <v>44954</v>
      </c>
      <c r="F768" s="2" t="s">
        <v>69</v>
      </c>
      <c r="G768" s="2" t="s">
        <v>131</v>
      </c>
      <c r="H768" s="2" t="s">
        <v>6</v>
      </c>
      <c r="I768" s="2" t="s">
        <v>619</v>
      </c>
      <c r="J768" s="2" t="s">
        <v>4677</v>
      </c>
      <c r="K768" s="2" t="s">
        <v>629</v>
      </c>
      <c r="L768" s="2" t="s">
        <v>630</v>
      </c>
      <c r="M768" s="3">
        <v>3</v>
      </c>
      <c r="N768" s="3">
        <v>2</v>
      </c>
      <c r="P768" s="2" t="s">
        <v>631</v>
      </c>
    </row>
    <row r="769" spans="1:16" ht="13">
      <c r="A769" s="2" t="s">
        <v>2</v>
      </c>
      <c r="B769" s="2" t="str">
        <f t="shared" si="11"/>
        <v>22-23 Academic Year</v>
      </c>
      <c r="C769" s="2">
        <v>4</v>
      </c>
      <c r="D769" s="2" t="s">
        <v>618</v>
      </c>
      <c r="E769" s="10">
        <v>44954</v>
      </c>
      <c r="F769" s="2" t="s">
        <v>69</v>
      </c>
      <c r="G769" s="2" t="s">
        <v>131</v>
      </c>
      <c r="H769" s="2" t="s">
        <v>6</v>
      </c>
      <c r="I769" s="2" t="s">
        <v>619</v>
      </c>
      <c r="J769" s="2" t="s">
        <v>4679</v>
      </c>
      <c r="K769" s="2" t="s">
        <v>189</v>
      </c>
      <c r="L769" s="2" t="s">
        <v>4719</v>
      </c>
      <c r="M769" s="3">
        <v>3</v>
      </c>
      <c r="N769" s="3">
        <v>1</v>
      </c>
      <c r="P769" s="2" t="s">
        <v>632</v>
      </c>
    </row>
    <row r="770" spans="1:16" ht="13">
      <c r="A770" s="2" t="s">
        <v>2</v>
      </c>
      <c r="B770" s="2" t="str">
        <f t="shared" si="11"/>
        <v>22-23 Academic Year</v>
      </c>
      <c r="C770" s="2">
        <v>5</v>
      </c>
      <c r="D770" s="2" t="s">
        <v>633</v>
      </c>
      <c r="E770" s="10">
        <v>44960</v>
      </c>
      <c r="F770" s="2" t="s">
        <v>69</v>
      </c>
      <c r="G770" s="2" t="s">
        <v>92</v>
      </c>
      <c r="H770" s="2" t="s">
        <v>6</v>
      </c>
      <c r="I770" s="2" t="s">
        <v>634</v>
      </c>
      <c r="J770" s="2" t="s">
        <v>4800</v>
      </c>
      <c r="K770" s="2" t="s">
        <v>635</v>
      </c>
      <c r="L770" s="2" t="s">
        <v>3354</v>
      </c>
      <c r="M770" s="3">
        <v>1</v>
      </c>
      <c r="N770" s="3">
        <v>2</v>
      </c>
      <c r="P770" s="2" t="s">
        <v>636</v>
      </c>
    </row>
    <row r="771" spans="1:16" ht="13">
      <c r="A771" s="2" t="s">
        <v>2</v>
      </c>
      <c r="B771" s="2" t="str">
        <f t="shared" ref="B771:B834" si="12">RIGHT(TEXT(IF(LEFT(A771,4)="Fall",VALUE(RIGHT(A771,4)),VALUE(RIGHT(A771,4))-1),"00"),2)
 &amp; "-" &amp;
 RIGHT(TEXT(IF(LEFT(A771,4)="Fall",VALUE(RIGHT(A771,4))+1,VALUE(RIGHT(A771,4))),"00"),2)
 &amp; " Academic Year"</f>
        <v>22-23 Academic Year</v>
      </c>
      <c r="C771" s="2">
        <v>6</v>
      </c>
      <c r="D771" s="2" t="s">
        <v>637</v>
      </c>
      <c r="E771" s="10">
        <v>44961</v>
      </c>
      <c r="F771" s="2" t="s">
        <v>69</v>
      </c>
      <c r="G771" s="2" t="s">
        <v>638</v>
      </c>
      <c r="H771" s="2" t="s">
        <v>7</v>
      </c>
      <c r="J771" s="2" t="s">
        <v>4665</v>
      </c>
      <c r="K771" s="2" t="s">
        <v>639</v>
      </c>
      <c r="L771" s="2" t="s">
        <v>4930</v>
      </c>
      <c r="M771" s="3">
        <v>3</v>
      </c>
      <c r="N771" s="3">
        <v>1</v>
      </c>
      <c r="P771" s="2" t="s">
        <v>640</v>
      </c>
    </row>
    <row r="772" spans="1:16" ht="13">
      <c r="A772" s="2" t="s">
        <v>2</v>
      </c>
      <c r="B772" s="2" t="str">
        <f t="shared" si="12"/>
        <v>22-23 Academic Year</v>
      </c>
      <c r="C772" s="2">
        <v>6</v>
      </c>
      <c r="D772" s="2" t="s">
        <v>637</v>
      </c>
      <c r="E772" s="10">
        <v>44961</v>
      </c>
      <c r="F772" s="2" t="s">
        <v>69</v>
      </c>
      <c r="G772" s="2" t="s">
        <v>638</v>
      </c>
      <c r="H772" s="2" t="s">
        <v>7</v>
      </c>
      <c r="J772" s="2" t="s">
        <v>4666</v>
      </c>
      <c r="K772" s="2" t="s">
        <v>641</v>
      </c>
      <c r="L772" s="2" t="s">
        <v>4413</v>
      </c>
      <c r="M772" s="3">
        <v>3</v>
      </c>
      <c r="N772" s="3">
        <v>1</v>
      </c>
      <c r="P772" s="2" t="s">
        <v>642</v>
      </c>
    </row>
    <row r="773" spans="1:16" ht="13">
      <c r="A773" s="2" t="s">
        <v>2</v>
      </c>
      <c r="B773" s="2" t="str">
        <f t="shared" si="12"/>
        <v>22-23 Academic Year</v>
      </c>
      <c r="C773" s="2">
        <v>6</v>
      </c>
      <c r="D773" s="2" t="s">
        <v>637</v>
      </c>
      <c r="E773" s="10">
        <v>44961</v>
      </c>
      <c r="F773" s="2" t="s">
        <v>69</v>
      </c>
      <c r="G773" s="2" t="s">
        <v>638</v>
      </c>
      <c r="H773" s="2" t="s">
        <v>7</v>
      </c>
      <c r="J773" s="2" t="s">
        <v>4668</v>
      </c>
      <c r="K773" s="2" t="s">
        <v>611</v>
      </c>
      <c r="L773" s="2" t="s">
        <v>1849</v>
      </c>
      <c r="M773" s="3">
        <v>4</v>
      </c>
      <c r="N773" s="3">
        <v>2</v>
      </c>
      <c r="P773" s="2" t="s">
        <v>643</v>
      </c>
    </row>
    <row r="774" spans="1:16" ht="13">
      <c r="A774" s="2" t="s">
        <v>2</v>
      </c>
      <c r="B774" s="2" t="str">
        <f t="shared" si="12"/>
        <v>22-23 Academic Year</v>
      </c>
      <c r="C774" s="2">
        <v>7</v>
      </c>
      <c r="D774" s="2" t="s">
        <v>644</v>
      </c>
      <c r="E774" s="10">
        <v>44962</v>
      </c>
      <c r="F774" s="2" t="s">
        <v>29</v>
      </c>
      <c r="G774" s="2" t="s">
        <v>379</v>
      </c>
      <c r="H774" s="2" t="s">
        <v>8</v>
      </c>
      <c r="J774" s="2" t="s">
        <v>4665</v>
      </c>
      <c r="K774" s="2" t="s">
        <v>645</v>
      </c>
      <c r="L774" s="2" t="s">
        <v>646</v>
      </c>
      <c r="M774" s="3">
        <v>1</v>
      </c>
      <c r="N774" s="3">
        <v>2</v>
      </c>
      <c r="P774" s="2" t="s">
        <v>647</v>
      </c>
    </row>
    <row r="775" spans="1:16" ht="13">
      <c r="A775" s="2" t="s">
        <v>2</v>
      </c>
      <c r="B775" s="2" t="str">
        <f t="shared" si="12"/>
        <v>22-23 Academic Year</v>
      </c>
      <c r="C775" s="2">
        <v>7</v>
      </c>
      <c r="D775" s="2" t="s">
        <v>644</v>
      </c>
      <c r="E775" s="10">
        <v>44962</v>
      </c>
      <c r="F775" s="2" t="s">
        <v>29</v>
      </c>
      <c r="G775" s="2" t="s">
        <v>379</v>
      </c>
      <c r="H775" s="2" t="s">
        <v>8</v>
      </c>
      <c r="J775" s="2" t="s">
        <v>4666</v>
      </c>
      <c r="K775" s="2" t="s">
        <v>648</v>
      </c>
      <c r="L775" s="2" t="s">
        <v>812</v>
      </c>
      <c r="M775" s="3">
        <v>2</v>
      </c>
      <c r="N775" s="3">
        <v>2</v>
      </c>
      <c r="P775" s="2" t="s">
        <v>649</v>
      </c>
    </row>
    <row r="776" spans="1:16" ht="13">
      <c r="A776" s="2" t="s">
        <v>2</v>
      </c>
      <c r="B776" s="2" t="str">
        <f t="shared" si="12"/>
        <v>22-23 Academic Year</v>
      </c>
      <c r="C776" s="2">
        <v>7</v>
      </c>
      <c r="D776" s="2" t="s">
        <v>644</v>
      </c>
      <c r="E776" s="10">
        <v>44962</v>
      </c>
      <c r="F776" s="2" t="s">
        <v>29</v>
      </c>
      <c r="G776" s="2" t="s">
        <v>379</v>
      </c>
      <c r="H776" s="2" t="s">
        <v>8</v>
      </c>
      <c r="J776" s="2" t="s">
        <v>4668</v>
      </c>
      <c r="K776" s="2" t="s">
        <v>650</v>
      </c>
      <c r="L776" s="2" t="s">
        <v>1025</v>
      </c>
      <c r="M776" s="3">
        <v>1</v>
      </c>
      <c r="N776" s="3">
        <v>2</v>
      </c>
      <c r="P776" s="2" t="s">
        <v>651</v>
      </c>
    </row>
    <row r="777" spans="1:16" ht="13">
      <c r="A777" s="2" t="s">
        <v>2</v>
      </c>
      <c r="B777" s="2" t="str">
        <f t="shared" si="12"/>
        <v>22-23 Academic Year</v>
      </c>
      <c r="C777" s="2">
        <v>8</v>
      </c>
      <c r="D777" s="2" t="s">
        <v>652</v>
      </c>
      <c r="E777" s="10">
        <v>44963</v>
      </c>
      <c r="F777" s="2" t="s">
        <v>29</v>
      </c>
      <c r="G777" s="2" t="s">
        <v>653</v>
      </c>
      <c r="H777" s="2" t="s">
        <v>6</v>
      </c>
      <c r="I777" s="2" t="s">
        <v>654</v>
      </c>
      <c r="J777" s="2" t="s">
        <v>4669</v>
      </c>
      <c r="K777" s="2" t="s">
        <v>655</v>
      </c>
      <c r="L777" s="2" t="s">
        <v>4931</v>
      </c>
      <c r="M777" s="3">
        <v>4</v>
      </c>
      <c r="N777" s="3">
        <v>1</v>
      </c>
      <c r="P777" s="2" t="s">
        <v>656</v>
      </c>
    </row>
    <row r="778" spans="1:16" ht="13">
      <c r="A778" s="2" t="s">
        <v>2</v>
      </c>
      <c r="B778" s="2" t="str">
        <f t="shared" si="12"/>
        <v>22-23 Academic Year</v>
      </c>
      <c r="C778" s="2">
        <v>8</v>
      </c>
      <c r="D778" s="2" t="s">
        <v>652</v>
      </c>
      <c r="E778" s="10">
        <v>44963</v>
      </c>
      <c r="F778" s="2" t="s">
        <v>29</v>
      </c>
      <c r="G778" s="2" t="s">
        <v>653</v>
      </c>
      <c r="H778" s="2" t="s">
        <v>6</v>
      </c>
      <c r="I778" s="2" t="s">
        <v>654</v>
      </c>
      <c r="J778" s="2" t="s">
        <v>4671</v>
      </c>
      <c r="K778" s="2" t="s">
        <v>657</v>
      </c>
      <c r="L778" s="2" t="s">
        <v>658</v>
      </c>
      <c r="M778" s="3"/>
      <c r="N778" s="3"/>
      <c r="P778" s="2" t="s">
        <v>659</v>
      </c>
    </row>
    <row r="779" spans="1:16" ht="13">
      <c r="A779" s="2" t="s">
        <v>2</v>
      </c>
      <c r="B779" s="2" t="str">
        <f t="shared" si="12"/>
        <v>22-23 Academic Year</v>
      </c>
      <c r="C779" s="2">
        <v>8</v>
      </c>
      <c r="D779" s="2" t="s">
        <v>652</v>
      </c>
      <c r="E779" s="10">
        <v>44963</v>
      </c>
      <c r="F779" s="2" t="s">
        <v>29</v>
      </c>
      <c r="G779" s="2" t="s">
        <v>653</v>
      </c>
      <c r="H779" s="2" t="s">
        <v>6</v>
      </c>
      <c r="I779" s="2" t="s">
        <v>654</v>
      </c>
      <c r="J779" s="2" t="s">
        <v>4673</v>
      </c>
      <c r="K779" s="2" t="s">
        <v>660</v>
      </c>
      <c r="L779" s="2" t="s">
        <v>4932</v>
      </c>
      <c r="M779" s="3">
        <v>3</v>
      </c>
      <c r="N779" s="3">
        <v>1</v>
      </c>
      <c r="P779" s="2" t="s">
        <v>661</v>
      </c>
    </row>
    <row r="780" spans="1:16" ht="13">
      <c r="A780" s="2" t="s">
        <v>2</v>
      </c>
      <c r="B780" s="2" t="str">
        <f t="shared" si="12"/>
        <v>22-23 Academic Year</v>
      </c>
      <c r="C780" s="2">
        <v>8</v>
      </c>
      <c r="D780" s="2" t="s">
        <v>652</v>
      </c>
      <c r="E780" s="10">
        <v>44963</v>
      </c>
      <c r="F780" s="2" t="s">
        <v>29</v>
      </c>
      <c r="G780" s="2" t="s">
        <v>653</v>
      </c>
      <c r="H780" s="2" t="s">
        <v>6</v>
      </c>
      <c r="I780" s="2" t="s">
        <v>654</v>
      </c>
      <c r="J780" s="2" t="s">
        <v>4675</v>
      </c>
      <c r="K780" s="2" t="s">
        <v>662</v>
      </c>
      <c r="L780" s="2" t="s">
        <v>4933</v>
      </c>
      <c r="M780" s="3">
        <v>2</v>
      </c>
      <c r="N780" s="3">
        <v>1</v>
      </c>
      <c r="P780" s="2" t="s">
        <v>663</v>
      </c>
    </row>
    <row r="781" spans="1:16" ht="13">
      <c r="A781" s="2" t="s">
        <v>2</v>
      </c>
      <c r="B781" s="2" t="str">
        <f t="shared" si="12"/>
        <v>22-23 Academic Year</v>
      </c>
      <c r="C781" s="2">
        <v>8</v>
      </c>
      <c r="D781" s="2" t="s">
        <v>652</v>
      </c>
      <c r="E781" s="10">
        <v>44963</v>
      </c>
      <c r="F781" s="2" t="s">
        <v>29</v>
      </c>
      <c r="G781" s="2" t="s">
        <v>653</v>
      </c>
      <c r="H781" s="2" t="s">
        <v>6</v>
      </c>
      <c r="I781" s="2" t="s">
        <v>654</v>
      </c>
      <c r="J781" s="2" t="s">
        <v>4677</v>
      </c>
      <c r="K781" s="2" t="s">
        <v>664</v>
      </c>
      <c r="L781" s="2" t="s">
        <v>665</v>
      </c>
      <c r="M781" s="3">
        <v>3</v>
      </c>
      <c r="N781" s="3">
        <v>1</v>
      </c>
      <c r="P781" s="2" t="s">
        <v>666</v>
      </c>
    </row>
    <row r="782" spans="1:16" ht="13">
      <c r="A782" s="2" t="s">
        <v>2</v>
      </c>
      <c r="B782" s="2" t="str">
        <f t="shared" si="12"/>
        <v>22-23 Academic Year</v>
      </c>
      <c r="C782" s="2">
        <v>8</v>
      </c>
      <c r="D782" s="2" t="s">
        <v>652</v>
      </c>
      <c r="E782" s="10">
        <v>44963</v>
      </c>
      <c r="F782" s="2" t="s">
        <v>29</v>
      </c>
      <c r="G782" s="2" t="s">
        <v>653</v>
      </c>
      <c r="H782" s="2" t="s">
        <v>6</v>
      </c>
      <c r="I782" s="2" t="s">
        <v>654</v>
      </c>
      <c r="J782" s="2" t="s">
        <v>4679</v>
      </c>
      <c r="K782" s="2" t="s">
        <v>667</v>
      </c>
      <c r="L782" s="2" t="s">
        <v>4858</v>
      </c>
      <c r="M782" s="3">
        <v>1</v>
      </c>
      <c r="N782" s="3">
        <v>2</v>
      </c>
      <c r="P782" s="2" t="s">
        <v>668</v>
      </c>
    </row>
    <row r="783" spans="1:16" ht="13">
      <c r="A783" s="2" t="s">
        <v>2</v>
      </c>
      <c r="B783" s="2" t="str">
        <f t="shared" si="12"/>
        <v>22-23 Academic Year</v>
      </c>
      <c r="C783" s="2">
        <v>9</v>
      </c>
      <c r="D783" s="2" t="s">
        <v>669</v>
      </c>
      <c r="E783" s="10">
        <v>44967</v>
      </c>
      <c r="F783" s="2" t="s">
        <v>69</v>
      </c>
      <c r="G783" s="2" t="s">
        <v>669</v>
      </c>
      <c r="H783" s="2" t="s">
        <v>7</v>
      </c>
      <c r="J783" s="2" t="s">
        <v>4680</v>
      </c>
      <c r="K783" s="2" t="s">
        <v>670</v>
      </c>
      <c r="L783" s="2" t="s">
        <v>403</v>
      </c>
      <c r="M783" s="3">
        <v>1</v>
      </c>
      <c r="N783" s="3">
        <v>2</v>
      </c>
      <c r="P783" s="2" t="s">
        <v>671</v>
      </c>
    </row>
    <row r="784" spans="1:16" ht="13">
      <c r="A784" s="2" t="s">
        <v>2</v>
      </c>
      <c r="B784" s="2" t="str">
        <f t="shared" si="12"/>
        <v>22-23 Academic Year</v>
      </c>
      <c r="C784" s="2">
        <v>9</v>
      </c>
      <c r="D784" s="2" t="s">
        <v>669</v>
      </c>
      <c r="E784" s="10">
        <v>44967</v>
      </c>
      <c r="F784" s="2" t="s">
        <v>69</v>
      </c>
      <c r="G784" s="2" t="s">
        <v>669</v>
      </c>
      <c r="H784" s="2" t="s">
        <v>7</v>
      </c>
      <c r="J784" s="2" t="s">
        <v>4681</v>
      </c>
      <c r="K784" s="2" t="s">
        <v>672</v>
      </c>
      <c r="L784" s="2" t="s">
        <v>4934</v>
      </c>
      <c r="M784" s="3">
        <v>1</v>
      </c>
      <c r="N784" s="3">
        <v>1</v>
      </c>
      <c r="P784" s="2" t="s">
        <v>673</v>
      </c>
    </row>
    <row r="785" spans="1:16" ht="13">
      <c r="A785" s="2" t="s">
        <v>2</v>
      </c>
      <c r="B785" s="2" t="str">
        <f t="shared" si="12"/>
        <v>22-23 Academic Year</v>
      </c>
      <c r="C785" s="2">
        <v>9</v>
      </c>
      <c r="D785" s="2" t="s">
        <v>669</v>
      </c>
      <c r="E785" s="10">
        <v>44967</v>
      </c>
      <c r="F785" s="2" t="s">
        <v>69</v>
      </c>
      <c r="G785" s="2" t="s">
        <v>669</v>
      </c>
      <c r="H785" s="2" t="s">
        <v>7</v>
      </c>
      <c r="J785" s="2" t="s">
        <v>4683</v>
      </c>
      <c r="K785" s="2" t="s">
        <v>674</v>
      </c>
      <c r="L785" s="2" t="s">
        <v>4935</v>
      </c>
      <c r="M785" s="3">
        <v>1</v>
      </c>
      <c r="N785" s="3">
        <v>1</v>
      </c>
      <c r="P785" s="2" t="s">
        <v>675</v>
      </c>
    </row>
    <row r="786" spans="1:16" ht="13">
      <c r="A786" s="2" t="s">
        <v>2</v>
      </c>
      <c r="B786" s="2" t="str">
        <f t="shared" si="12"/>
        <v>22-23 Academic Year</v>
      </c>
      <c r="C786" s="2">
        <v>9</v>
      </c>
      <c r="D786" s="2" t="s">
        <v>669</v>
      </c>
      <c r="E786" s="10">
        <v>44967</v>
      </c>
      <c r="F786" s="2" t="s">
        <v>69</v>
      </c>
      <c r="G786" s="2" t="s">
        <v>669</v>
      </c>
      <c r="H786" s="2" t="s">
        <v>7</v>
      </c>
      <c r="J786" s="2" t="s">
        <v>4684</v>
      </c>
      <c r="K786" s="2" t="s">
        <v>676</v>
      </c>
      <c r="L786" s="2" t="s">
        <v>677</v>
      </c>
      <c r="M786" s="3">
        <v>1</v>
      </c>
      <c r="N786" s="3">
        <v>1</v>
      </c>
      <c r="P786" s="2" t="s">
        <v>678</v>
      </c>
    </row>
    <row r="787" spans="1:16" ht="13">
      <c r="A787" s="2" t="s">
        <v>2</v>
      </c>
      <c r="B787" s="2" t="str">
        <f t="shared" si="12"/>
        <v>22-23 Academic Year</v>
      </c>
      <c r="C787" s="2">
        <v>9</v>
      </c>
      <c r="D787" s="2" t="s">
        <v>669</v>
      </c>
      <c r="E787" s="10">
        <v>44967</v>
      </c>
      <c r="F787" s="2" t="s">
        <v>69</v>
      </c>
      <c r="G787" s="2" t="s">
        <v>669</v>
      </c>
      <c r="H787" s="2" t="s">
        <v>7</v>
      </c>
      <c r="J787" s="2" t="s">
        <v>4686</v>
      </c>
      <c r="K787" s="2" t="s">
        <v>679</v>
      </c>
      <c r="L787" s="2" t="s">
        <v>679</v>
      </c>
      <c r="M787" s="3">
        <v>999</v>
      </c>
      <c r="N787" s="3">
        <v>999</v>
      </c>
      <c r="P787" s="2" t="s">
        <v>680</v>
      </c>
    </row>
    <row r="788" spans="1:16" ht="13">
      <c r="A788" s="2" t="s">
        <v>2</v>
      </c>
      <c r="B788" s="2" t="str">
        <f t="shared" si="12"/>
        <v>22-23 Academic Year</v>
      </c>
      <c r="C788" s="2">
        <v>10</v>
      </c>
      <c r="D788" s="2" t="s">
        <v>681</v>
      </c>
      <c r="E788" s="10">
        <v>44970</v>
      </c>
      <c r="F788" s="2" t="s">
        <v>69</v>
      </c>
      <c r="G788" s="2" t="s">
        <v>681</v>
      </c>
      <c r="H788" s="2" t="s">
        <v>6</v>
      </c>
      <c r="J788" s="2" t="s">
        <v>4837</v>
      </c>
      <c r="K788" s="2" t="s">
        <v>682</v>
      </c>
      <c r="L788" s="2" t="s">
        <v>4936</v>
      </c>
      <c r="M788" s="3">
        <v>1</v>
      </c>
      <c r="N788" s="3">
        <v>1</v>
      </c>
      <c r="P788" s="2" t="s">
        <v>683</v>
      </c>
    </row>
    <row r="789" spans="1:16" ht="13">
      <c r="A789" s="2" t="s">
        <v>2</v>
      </c>
      <c r="B789" s="2" t="str">
        <f t="shared" si="12"/>
        <v>22-23 Academic Year</v>
      </c>
      <c r="C789" s="2">
        <v>10</v>
      </c>
      <c r="D789" s="2" t="s">
        <v>681</v>
      </c>
      <c r="E789" s="10">
        <v>44970</v>
      </c>
      <c r="F789" s="2" t="s">
        <v>69</v>
      </c>
      <c r="G789" s="2" t="s">
        <v>681</v>
      </c>
      <c r="H789" s="2" t="s">
        <v>6</v>
      </c>
      <c r="J789" s="2" t="s">
        <v>4937</v>
      </c>
      <c r="K789" s="2" t="s">
        <v>431</v>
      </c>
      <c r="L789" s="2" t="s">
        <v>1360</v>
      </c>
      <c r="M789" s="3">
        <v>1</v>
      </c>
      <c r="N789" s="3">
        <v>2</v>
      </c>
      <c r="P789" s="2" t="s">
        <v>693</v>
      </c>
    </row>
    <row r="790" spans="1:16" ht="13">
      <c r="A790" s="2" t="s">
        <v>2</v>
      </c>
      <c r="B790" s="2" t="str">
        <f t="shared" si="12"/>
        <v>22-23 Academic Year</v>
      </c>
      <c r="C790" s="2">
        <v>10</v>
      </c>
      <c r="D790" s="2" t="s">
        <v>681</v>
      </c>
      <c r="E790" s="10">
        <v>44970</v>
      </c>
      <c r="F790" s="2" t="s">
        <v>69</v>
      </c>
      <c r="G790" s="2" t="s">
        <v>681</v>
      </c>
      <c r="H790" s="2" t="s">
        <v>6</v>
      </c>
      <c r="J790" s="2" t="s">
        <v>4938</v>
      </c>
      <c r="K790" s="2" t="s">
        <v>694</v>
      </c>
      <c r="L790" s="2" t="s">
        <v>3834</v>
      </c>
      <c r="M790" s="3">
        <v>1</v>
      </c>
      <c r="N790" s="3">
        <v>2</v>
      </c>
      <c r="P790" s="2" t="s">
        <v>695</v>
      </c>
    </row>
    <row r="791" spans="1:16" ht="13">
      <c r="A791" s="2" t="s">
        <v>2</v>
      </c>
      <c r="B791" s="2" t="str">
        <f t="shared" si="12"/>
        <v>22-23 Academic Year</v>
      </c>
      <c r="C791" s="2">
        <v>10</v>
      </c>
      <c r="D791" s="2" t="s">
        <v>681</v>
      </c>
      <c r="E791" s="10">
        <v>44970</v>
      </c>
      <c r="F791" s="2" t="s">
        <v>69</v>
      </c>
      <c r="G791" s="2" t="s">
        <v>681</v>
      </c>
      <c r="H791" s="2" t="s">
        <v>6</v>
      </c>
      <c r="J791" s="2" t="s">
        <v>4939</v>
      </c>
      <c r="K791" s="2" t="s">
        <v>696</v>
      </c>
      <c r="L791" s="2" t="s">
        <v>3819</v>
      </c>
      <c r="M791" s="3">
        <v>1</v>
      </c>
      <c r="N791" s="3">
        <v>2</v>
      </c>
      <c r="P791" s="2" t="s">
        <v>697</v>
      </c>
    </row>
    <row r="792" spans="1:16" ht="13">
      <c r="A792" s="2" t="s">
        <v>2</v>
      </c>
      <c r="B792" s="2" t="str">
        <f t="shared" si="12"/>
        <v>22-23 Academic Year</v>
      </c>
      <c r="C792" s="2">
        <v>10</v>
      </c>
      <c r="D792" s="2" t="s">
        <v>681</v>
      </c>
      <c r="E792" s="10">
        <v>44970</v>
      </c>
      <c r="F792" s="2" t="s">
        <v>69</v>
      </c>
      <c r="G792" s="2" t="s">
        <v>681</v>
      </c>
      <c r="H792" s="2" t="s">
        <v>6</v>
      </c>
      <c r="J792" s="2" t="s">
        <v>4838</v>
      </c>
      <c r="K792" s="2" t="s">
        <v>489</v>
      </c>
      <c r="L792" s="2" t="s">
        <v>4790</v>
      </c>
      <c r="M792" s="3">
        <v>1</v>
      </c>
      <c r="N792" s="3">
        <v>2</v>
      </c>
      <c r="P792" s="2" t="s">
        <v>490</v>
      </c>
    </row>
    <row r="793" spans="1:16" ht="13">
      <c r="A793" s="2" t="s">
        <v>2</v>
      </c>
      <c r="B793" s="2" t="str">
        <f t="shared" si="12"/>
        <v>22-23 Academic Year</v>
      </c>
      <c r="C793" s="2">
        <v>10</v>
      </c>
      <c r="D793" s="2" t="s">
        <v>681</v>
      </c>
      <c r="E793" s="10">
        <v>44970</v>
      </c>
      <c r="F793" s="2" t="s">
        <v>69</v>
      </c>
      <c r="G793" s="2" t="s">
        <v>681</v>
      </c>
      <c r="H793" s="2" t="s">
        <v>6</v>
      </c>
      <c r="J793" s="2" t="s">
        <v>4839</v>
      </c>
      <c r="K793" s="2" t="s">
        <v>684</v>
      </c>
      <c r="L793" s="2" t="s">
        <v>4940</v>
      </c>
      <c r="M793" s="3">
        <v>1</v>
      </c>
      <c r="N793" s="3">
        <v>2</v>
      </c>
      <c r="P793" s="2" t="s">
        <v>685</v>
      </c>
    </row>
    <row r="794" spans="1:16" ht="13">
      <c r="A794" s="2" t="s">
        <v>2</v>
      </c>
      <c r="B794" s="2" t="str">
        <f t="shared" si="12"/>
        <v>22-23 Academic Year</v>
      </c>
      <c r="C794" s="2">
        <v>10</v>
      </c>
      <c r="D794" s="2" t="s">
        <v>681</v>
      </c>
      <c r="E794" s="10">
        <v>44970</v>
      </c>
      <c r="F794" s="2" t="s">
        <v>69</v>
      </c>
      <c r="G794" s="2" t="s">
        <v>681</v>
      </c>
      <c r="H794" s="2" t="s">
        <v>6</v>
      </c>
      <c r="J794" s="2" t="s">
        <v>4840</v>
      </c>
      <c r="K794" s="2" t="s">
        <v>472</v>
      </c>
      <c r="L794" s="2" t="s">
        <v>1352</v>
      </c>
      <c r="M794" s="3">
        <v>1</v>
      </c>
      <c r="N794" s="3">
        <v>2</v>
      </c>
      <c r="P794" s="2" t="s">
        <v>686</v>
      </c>
    </row>
    <row r="795" spans="1:16" ht="13">
      <c r="A795" s="2" t="s">
        <v>2</v>
      </c>
      <c r="B795" s="2" t="str">
        <f t="shared" si="12"/>
        <v>22-23 Academic Year</v>
      </c>
      <c r="C795" s="2">
        <v>10</v>
      </c>
      <c r="D795" s="2" t="s">
        <v>681</v>
      </c>
      <c r="E795" s="10">
        <v>44970</v>
      </c>
      <c r="F795" s="2" t="s">
        <v>69</v>
      </c>
      <c r="G795" s="2" t="s">
        <v>681</v>
      </c>
      <c r="H795" s="2" t="s">
        <v>6</v>
      </c>
      <c r="J795" s="2" t="s">
        <v>4841</v>
      </c>
      <c r="K795" s="2" t="s">
        <v>98</v>
      </c>
      <c r="L795" s="2" t="s">
        <v>3348</v>
      </c>
      <c r="M795" s="3">
        <v>1</v>
      </c>
      <c r="N795" s="3">
        <v>2</v>
      </c>
      <c r="P795" s="2" t="s">
        <v>687</v>
      </c>
    </row>
    <row r="796" spans="1:16" ht="13">
      <c r="A796" s="2" t="s">
        <v>2</v>
      </c>
      <c r="B796" s="2" t="str">
        <f t="shared" si="12"/>
        <v>22-23 Academic Year</v>
      </c>
      <c r="C796" s="2">
        <v>10</v>
      </c>
      <c r="D796" s="2" t="s">
        <v>681</v>
      </c>
      <c r="E796" s="10">
        <v>44970</v>
      </c>
      <c r="F796" s="2" t="s">
        <v>69</v>
      </c>
      <c r="G796" s="2" t="s">
        <v>681</v>
      </c>
      <c r="H796" s="2" t="s">
        <v>6</v>
      </c>
      <c r="J796" s="2" t="s">
        <v>4842</v>
      </c>
      <c r="K796" s="2" t="s">
        <v>439</v>
      </c>
      <c r="L796" s="2" t="s">
        <v>2667</v>
      </c>
      <c r="M796" s="3">
        <v>1</v>
      </c>
      <c r="N796" s="3">
        <v>2</v>
      </c>
      <c r="P796" s="2" t="s">
        <v>440</v>
      </c>
    </row>
    <row r="797" spans="1:16" ht="13">
      <c r="A797" s="2" t="s">
        <v>2</v>
      </c>
      <c r="B797" s="2" t="str">
        <f t="shared" si="12"/>
        <v>22-23 Academic Year</v>
      </c>
      <c r="C797" s="2">
        <v>10</v>
      </c>
      <c r="D797" s="2" t="s">
        <v>681</v>
      </c>
      <c r="E797" s="10">
        <v>44970</v>
      </c>
      <c r="F797" s="2" t="s">
        <v>69</v>
      </c>
      <c r="G797" s="2" t="s">
        <v>681</v>
      </c>
      <c r="H797" s="2" t="s">
        <v>6</v>
      </c>
      <c r="J797" s="2" t="s">
        <v>4843</v>
      </c>
      <c r="K797" s="2" t="s">
        <v>688</v>
      </c>
      <c r="L797" s="2" t="s">
        <v>1729</v>
      </c>
      <c r="M797" s="3">
        <v>1</v>
      </c>
      <c r="N797" s="3">
        <v>2</v>
      </c>
      <c r="P797" s="2" t="s">
        <v>689</v>
      </c>
    </row>
    <row r="798" spans="1:16" ht="13">
      <c r="A798" s="2" t="s">
        <v>2</v>
      </c>
      <c r="B798" s="2" t="str">
        <f t="shared" si="12"/>
        <v>22-23 Academic Year</v>
      </c>
      <c r="C798" s="2">
        <v>10</v>
      </c>
      <c r="D798" s="2" t="s">
        <v>681</v>
      </c>
      <c r="E798" s="10">
        <v>44970</v>
      </c>
      <c r="F798" s="2" t="s">
        <v>69</v>
      </c>
      <c r="G798" s="2" t="s">
        <v>681</v>
      </c>
      <c r="H798" s="2" t="s">
        <v>6</v>
      </c>
      <c r="J798" s="2" t="s">
        <v>4844</v>
      </c>
      <c r="K798" s="2" t="s">
        <v>561</v>
      </c>
      <c r="L798" s="2" t="s">
        <v>4796</v>
      </c>
      <c r="M798" s="3">
        <v>2</v>
      </c>
      <c r="N798" s="3">
        <v>1</v>
      </c>
      <c r="P798" s="2" t="s">
        <v>690</v>
      </c>
    </row>
    <row r="799" spans="1:16" ht="13">
      <c r="A799" s="2" t="s">
        <v>2</v>
      </c>
      <c r="B799" s="2" t="str">
        <f t="shared" si="12"/>
        <v>22-23 Academic Year</v>
      </c>
      <c r="C799" s="2">
        <v>10</v>
      </c>
      <c r="D799" s="2" t="s">
        <v>681</v>
      </c>
      <c r="E799" s="10">
        <v>44970</v>
      </c>
      <c r="F799" s="2" t="s">
        <v>69</v>
      </c>
      <c r="G799" s="2" t="s">
        <v>681</v>
      </c>
      <c r="H799" s="2" t="s">
        <v>6</v>
      </c>
      <c r="J799" s="2" t="s">
        <v>4941</v>
      </c>
      <c r="K799" s="2" t="s">
        <v>691</v>
      </c>
      <c r="L799" s="2" t="s">
        <v>4853</v>
      </c>
      <c r="M799" s="3">
        <v>1</v>
      </c>
      <c r="N799" s="3">
        <v>2</v>
      </c>
      <c r="P799" s="2" t="s">
        <v>692</v>
      </c>
    </row>
    <row r="800" spans="1:16" ht="13">
      <c r="A800" s="2" t="s">
        <v>2</v>
      </c>
      <c r="B800" s="2" t="str">
        <f t="shared" si="12"/>
        <v>22-23 Academic Year</v>
      </c>
      <c r="C800" s="2">
        <v>11</v>
      </c>
      <c r="D800" s="2" t="s">
        <v>698</v>
      </c>
      <c r="E800" s="10">
        <v>44968</v>
      </c>
      <c r="F800" s="2" t="s">
        <v>69</v>
      </c>
      <c r="G800" s="2" t="s">
        <v>131</v>
      </c>
      <c r="H800" s="2" t="s">
        <v>6</v>
      </c>
      <c r="I800" s="2" t="s">
        <v>699</v>
      </c>
      <c r="J800" s="2" t="s">
        <v>4702</v>
      </c>
      <c r="K800" s="2" t="s">
        <v>700</v>
      </c>
      <c r="L800" s="2" t="s">
        <v>1283</v>
      </c>
      <c r="M800" s="3">
        <v>3</v>
      </c>
      <c r="N800" s="3">
        <v>2</v>
      </c>
      <c r="P800" s="2" t="s">
        <v>701</v>
      </c>
    </row>
    <row r="801" spans="1:16" ht="13">
      <c r="A801" s="2" t="s">
        <v>2</v>
      </c>
      <c r="B801" s="2" t="str">
        <f t="shared" si="12"/>
        <v>22-23 Academic Year</v>
      </c>
      <c r="C801" s="2">
        <v>11</v>
      </c>
      <c r="D801" s="2" t="s">
        <v>698</v>
      </c>
      <c r="E801" s="10">
        <v>44968</v>
      </c>
      <c r="F801" s="2" t="s">
        <v>69</v>
      </c>
      <c r="G801" s="2" t="s">
        <v>131</v>
      </c>
      <c r="H801" s="2" t="s">
        <v>6</v>
      </c>
      <c r="I801" s="2" t="s">
        <v>699</v>
      </c>
      <c r="J801" s="2" t="s">
        <v>4703</v>
      </c>
      <c r="K801" s="2" t="s">
        <v>605</v>
      </c>
      <c r="L801" s="2" t="s">
        <v>1407</v>
      </c>
      <c r="M801" s="3">
        <v>1</v>
      </c>
      <c r="N801" s="3">
        <v>2</v>
      </c>
      <c r="P801" s="2" t="s">
        <v>702</v>
      </c>
    </row>
    <row r="802" spans="1:16" ht="13">
      <c r="A802" s="2" t="s">
        <v>2</v>
      </c>
      <c r="B802" s="2" t="str">
        <f t="shared" si="12"/>
        <v>22-23 Academic Year</v>
      </c>
      <c r="C802" s="2">
        <v>11</v>
      </c>
      <c r="D802" s="2" t="s">
        <v>698</v>
      </c>
      <c r="E802" s="10">
        <v>44968</v>
      </c>
      <c r="F802" s="2" t="s">
        <v>69</v>
      </c>
      <c r="G802" s="2" t="s">
        <v>131</v>
      </c>
      <c r="H802" s="2" t="s">
        <v>6</v>
      </c>
      <c r="I802" s="2" t="s">
        <v>699</v>
      </c>
      <c r="J802" s="2" t="s">
        <v>4705</v>
      </c>
      <c r="K802" s="2" t="s">
        <v>650</v>
      </c>
      <c r="L802" s="2" t="s">
        <v>1025</v>
      </c>
      <c r="M802" s="3">
        <v>1</v>
      </c>
      <c r="N802" s="3">
        <v>2</v>
      </c>
      <c r="P802" s="2" t="s">
        <v>703</v>
      </c>
    </row>
    <row r="803" spans="1:16" ht="13">
      <c r="A803" s="2" t="s">
        <v>2</v>
      </c>
      <c r="B803" s="2" t="str">
        <f t="shared" si="12"/>
        <v>22-23 Academic Year</v>
      </c>
      <c r="C803" s="2">
        <v>11</v>
      </c>
      <c r="D803" s="2" t="s">
        <v>698</v>
      </c>
      <c r="E803" s="10">
        <v>44968</v>
      </c>
      <c r="F803" s="2" t="s">
        <v>69</v>
      </c>
      <c r="G803" s="2" t="s">
        <v>131</v>
      </c>
      <c r="H803" s="2" t="s">
        <v>6</v>
      </c>
      <c r="I803" s="2" t="s">
        <v>699</v>
      </c>
      <c r="J803" s="2" t="s">
        <v>4706</v>
      </c>
      <c r="K803" s="2" t="s">
        <v>704</v>
      </c>
      <c r="L803" s="2" t="s">
        <v>4942</v>
      </c>
      <c r="M803" s="3">
        <v>3</v>
      </c>
      <c r="N803" s="3">
        <v>1</v>
      </c>
      <c r="P803" s="2" t="s">
        <v>705</v>
      </c>
    </row>
    <row r="804" spans="1:16" ht="13">
      <c r="A804" s="2" t="s">
        <v>2</v>
      </c>
      <c r="B804" s="2" t="str">
        <f t="shared" si="12"/>
        <v>22-23 Academic Year</v>
      </c>
      <c r="C804" s="2">
        <v>11</v>
      </c>
      <c r="D804" s="2" t="s">
        <v>698</v>
      </c>
      <c r="E804" s="10">
        <v>44968</v>
      </c>
      <c r="F804" s="2" t="s">
        <v>69</v>
      </c>
      <c r="G804" s="2" t="s">
        <v>131</v>
      </c>
      <c r="H804" s="2" t="s">
        <v>6</v>
      </c>
      <c r="I804" s="2" t="s">
        <v>699</v>
      </c>
      <c r="J804" s="2" t="s">
        <v>4708</v>
      </c>
      <c r="K804" s="2" t="s">
        <v>706</v>
      </c>
      <c r="L804" s="2" t="s">
        <v>706</v>
      </c>
      <c r="M804" s="3">
        <v>4</v>
      </c>
      <c r="N804" s="3">
        <v>1</v>
      </c>
      <c r="P804" s="2" t="s">
        <v>707</v>
      </c>
    </row>
    <row r="805" spans="1:16" ht="13">
      <c r="A805" s="2" t="s">
        <v>2</v>
      </c>
      <c r="B805" s="2" t="str">
        <f t="shared" si="12"/>
        <v>22-23 Academic Year</v>
      </c>
      <c r="C805" s="2">
        <v>11</v>
      </c>
      <c r="D805" s="2" t="s">
        <v>698</v>
      </c>
      <c r="E805" s="10">
        <v>44968</v>
      </c>
      <c r="F805" s="2" t="s">
        <v>69</v>
      </c>
      <c r="G805" s="2" t="s">
        <v>131</v>
      </c>
      <c r="H805" s="2" t="s">
        <v>6</v>
      </c>
      <c r="I805" s="2" t="s">
        <v>699</v>
      </c>
      <c r="J805" s="2" t="s">
        <v>4709</v>
      </c>
      <c r="K805" s="2" t="s">
        <v>708</v>
      </c>
      <c r="L805" s="2" t="s">
        <v>4943</v>
      </c>
      <c r="M805" s="3">
        <v>3</v>
      </c>
      <c r="N805" s="3">
        <v>2</v>
      </c>
      <c r="P805" s="2" t="s">
        <v>709</v>
      </c>
    </row>
    <row r="806" spans="1:16" ht="13">
      <c r="A806" s="2" t="s">
        <v>2</v>
      </c>
      <c r="B806" s="2" t="str">
        <f t="shared" si="12"/>
        <v>22-23 Academic Year</v>
      </c>
      <c r="C806" s="2">
        <v>11</v>
      </c>
      <c r="D806" s="2" t="s">
        <v>698</v>
      </c>
      <c r="E806" s="10">
        <v>44968</v>
      </c>
      <c r="F806" s="2" t="s">
        <v>69</v>
      </c>
      <c r="G806" s="2" t="s">
        <v>131</v>
      </c>
      <c r="H806" s="2" t="s">
        <v>6</v>
      </c>
      <c r="I806" s="2" t="s">
        <v>699</v>
      </c>
      <c r="J806" s="2" t="s">
        <v>4710</v>
      </c>
      <c r="K806" s="2" t="s">
        <v>189</v>
      </c>
      <c r="L806" s="2" t="s">
        <v>4719</v>
      </c>
      <c r="M806" s="3">
        <v>3</v>
      </c>
      <c r="N806" s="3">
        <v>1</v>
      </c>
      <c r="P806" s="2" t="s">
        <v>710</v>
      </c>
    </row>
    <row r="807" spans="1:16" ht="13">
      <c r="A807" s="2" t="s">
        <v>2</v>
      </c>
      <c r="B807" s="2" t="str">
        <f t="shared" si="12"/>
        <v>22-23 Academic Year</v>
      </c>
      <c r="C807" s="2">
        <v>12</v>
      </c>
      <c r="D807" s="2" t="s">
        <v>711</v>
      </c>
      <c r="E807" s="10">
        <v>44972</v>
      </c>
      <c r="F807" s="2" t="s">
        <v>69</v>
      </c>
      <c r="G807" s="2" t="s">
        <v>711</v>
      </c>
      <c r="H807" s="2" t="s">
        <v>7</v>
      </c>
      <c r="J807" s="2" t="s">
        <v>4669</v>
      </c>
      <c r="K807" s="2" t="s">
        <v>712</v>
      </c>
      <c r="L807" s="2" t="s">
        <v>1766</v>
      </c>
      <c r="M807" s="3">
        <v>1</v>
      </c>
      <c r="N807" s="3">
        <v>1</v>
      </c>
      <c r="P807" s="2" t="s">
        <v>713</v>
      </c>
    </row>
    <row r="808" spans="1:16" ht="13">
      <c r="A808" s="2" t="s">
        <v>2</v>
      </c>
      <c r="B808" s="2" t="str">
        <f t="shared" si="12"/>
        <v>22-23 Academic Year</v>
      </c>
      <c r="C808" s="2">
        <v>12</v>
      </c>
      <c r="D808" s="2" t="s">
        <v>711</v>
      </c>
      <c r="E808" s="10">
        <v>44972</v>
      </c>
      <c r="F808" s="2" t="s">
        <v>69</v>
      </c>
      <c r="G808" s="2" t="s">
        <v>711</v>
      </c>
      <c r="H808" s="2" t="s">
        <v>7</v>
      </c>
      <c r="J808" s="2" t="s">
        <v>4671</v>
      </c>
      <c r="K808" s="2" t="s">
        <v>714</v>
      </c>
      <c r="L808" s="2" t="s">
        <v>4944</v>
      </c>
      <c r="M808" s="3">
        <v>1</v>
      </c>
      <c r="N808" s="3">
        <v>1</v>
      </c>
      <c r="P808" s="2" t="s">
        <v>715</v>
      </c>
    </row>
    <row r="809" spans="1:16" ht="13">
      <c r="A809" s="2" t="s">
        <v>2</v>
      </c>
      <c r="B809" s="2" t="str">
        <f t="shared" si="12"/>
        <v>22-23 Academic Year</v>
      </c>
      <c r="C809" s="2">
        <v>12</v>
      </c>
      <c r="D809" s="2" t="s">
        <v>711</v>
      </c>
      <c r="E809" s="10">
        <v>44972</v>
      </c>
      <c r="F809" s="2" t="s">
        <v>69</v>
      </c>
      <c r="G809" s="2" t="s">
        <v>711</v>
      </c>
      <c r="H809" s="2" t="s">
        <v>7</v>
      </c>
      <c r="J809" s="2" t="s">
        <v>4673</v>
      </c>
      <c r="K809" s="2" t="s">
        <v>716</v>
      </c>
      <c r="L809" s="2" t="s">
        <v>983</v>
      </c>
      <c r="M809" s="3">
        <v>4</v>
      </c>
      <c r="N809" s="3">
        <v>1</v>
      </c>
      <c r="P809" s="2" t="s">
        <v>717</v>
      </c>
    </row>
    <row r="810" spans="1:16" ht="13">
      <c r="A810" s="2" t="s">
        <v>2</v>
      </c>
      <c r="B810" s="2" t="str">
        <f t="shared" si="12"/>
        <v>22-23 Academic Year</v>
      </c>
      <c r="C810" s="2">
        <v>12</v>
      </c>
      <c r="D810" s="2" t="s">
        <v>711</v>
      </c>
      <c r="E810" s="10">
        <v>44972</v>
      </c>
      <c r="F810" s="2" t="s">
        <v>69</v>
      </c>
      <c r="G810" s="2" t="s">
        <v>711</v>
      </c>
      <c r="H810" s="2" t="s">
        <v>7</v>
      </c>
      <c r="J810" s="2" t="s">
        <v>4675</v>
      </c>
      <c r="K810" s="2" t="s">
        <v>718</v>
      </c>
      <c r="L810" s="2" t="s">
        <v>4945</v>
      </c>
      <c r="M810" s="3">
        <v>1</v>
      </c>
      <c r="N810" s="3">
        <v>1</v>
      </c>
      <c r="P810" s="2" t="s">
        <v>719</v>
      </c>
    </row>
    <row r="811" spans="1:16" ht="13">
      <c r="A811" s="2" t="s">
        <v>2</v>
      </c>
      <c r="B811" s="2" t="str">
        <f t="shared" si="12"/>
        <v>22-23 Academic Year</v>
      </c>
      <c r="C811" s="2">
        <v>12</v>
      </c>
      <c r="D811" s="2" t="s">
        <v>711</v>
      </c>
      <c r="E811" s="10">
        <v>44972</v>
      </c>
      <c r="F811" s="2" t="s">
        <v>69</v>
      </c>
      <c r="G811" s="2" t="s">
        <v>711</v>
      </c>
      <c r="H811" s="2" t="s">
        <v>7</v>
      </c>
      <c r="J811" s="2" t="s">
        <v>4677</v>
      </c>
      <c r="K811" s="2" t="s">
        <v>720</v>
      </c>
      <c r="L811" s="2" t="s">
        <v>4946</v>
      </c>
      <c r="M811" s="3">
        <v>1</v>
      </c>
      <c r="N811" s="3">
        <v>2</v>
      </c>
      <c r="P811" s="2" t="s">
        <v>721</v>
      </c>
    </row>
    <row r="812" spans="1:16" ht="13">
      <c r="A812" s="2" t="s">
        <v>2</v>
      </c>
      <c r="B812" s="2" t="str">
        <f t="shared" si="12"/>
        <v>22-23 Academic Year</v>
      </c>
      <c r="C812" s="2">
        <v>12</v>
      </c>
      <c r="D812" s="2" t="s">
        <v>711</v>
      </c>
      <c r="E812" s="10">
        <v>44972</v>
      </c>
      <c r="F812" s="2" t="s">
        <v>69</v>
      </c>
      <c r="G812" s="2" t="s">
        <v>711</v>
      </c>
      <c r="H812" s="2" t="s">
        <v>7</v>
      </c>
      <c r="J812" s="2" t="s">
        <v>4679</v>
      </c>
      <c r="K812" s="2" t="s">
        <v>722</v>
      </c>
      <c r="L812" s="2" t="s">
        <v>1266</v>
      </c>
      <c r="M812" s="3">
        <v>4</v>
      </c>
      <c r="N812" s="3">
        <v>1</v>
      </c>
      <c r="P812" s="2" t="s">
        <v>723</v>
      </c>
    </row>
    <row r="813" spans="1:16" ht="13">
      <c r="A813" s="2" t="s">
        <v>2</v>
      </c>
      <c r="B813" s="2" t="str">
        <f t="shared" si="12"/>
        <v>22-23 Academic Year</v>
      </c>
      <c r="C813" s="2">
        <v>13</v>
      </c>
      <c r="D813" s="2" t="s">
        <v>92</v>
      </c>
      <c r="E813" s="10">
        <v>44974</v>
      </c>
      <c r="F813" s="2" t="s">
        <v>69</v>
      </c>
      <c r="G813" s="2" t="s">
        <v>92</v>
      </c>
      <c r="H813" s="2" t="s">
        <v>6</v>
      </c>
      <c r="J813" s="2" t="s">
        <v>4711</v>
      </c>
      <c r="K813" s="2" t="s">
        <v>314</v>
      </c>
      <c r="L813" s="2" t="s">
        <v>4255</v>
      </c>
      <c r="M813" s="3">
        <v>1</v>
      </c>
      <c r="N813" s="3">
        <v>1</v>
      </c>
      <c r="P813" s="2" t="s">
        <v>724</v>
      </c>
    </row>
    <row r="814" spans="1:16" ht="13">
      <c r="A814" s="2" t="s">
        <v>2</v>
      </c>
      <c r="B814" s="2" t="str">
        <f t="shared" si="12"/>
        <v>22-23 Academic Year</v>
      </c>
      <c r="C814" s="2">
        <v>13</v>
      </c>
      <c r="D814" s="2" t="s">
        <v>92</v>
      </c>
      <c r="E814" s="10">
        <v>44974</v>
      </c>
      <c r="F814" s="2" t="s">
        <v>69</v>
      </c>
      <c r="G814" s="2" t="s">
        <v>92</v>
      </c>
      <c r="H814" s="2" t="s">
        <v>6</v>
      </c>
      <c r="J814" s="2" t="s">
        <v>4712</v>
      </c>
      <c r="K814" s="2" t="s">
        <v>725</v>
      </c>
      <c r="L814" s="2" t="s">
        <v>4947</v>
      </c>
      <c r="M814" s="3">
        <v>1</v>
      </c>
      <c r="N814" s="3">
        <v>2</v>
      </c>
      <c r="P814" s="2" t="s">
        <v>726</v>
      </c>
    </row>
    <row r="815" spans="1:16" ht="13">
      <c r="A815" s="2" t="s">
        <v>2</v>
      </c>
      <c r="B815" s="2" t="str">
        <f t="shared" si="12"/>
        <v>22-23 Academic Year</v>
      </c>
      <c r="C815" s="2">
        <v>14</v>
      </c>
      <c r="D815" s="2" t="s">
        <v>727</v>
      </c>
      <c r="E815" s="10">
        <v>44978</v>
      </c>
      <c r="F815" s="2" t="s">
        <v>29</v>
      </c>
      <c r="G815" s="2" t="s">
        <v>653</v>
      </c>
      <c r="H815" s="2" t="s">
        <v>6</v>
      </c>
      <c r="I815" s="2" t="s">
        <v>728</v>
      </c>
      <c r="J815" s="2" t="s">
        <v>4669</v>
      </c>
      <c r="K815" s="2" t="s">
        <v>729</v>
      </c>
      <c r="L815" s="2" t="s">
        <v>4948</v>
      </c>
      <c r="M815" s="3">
        <v>3</v>
      </c>
      <c r="N815" s="3">
        <v>2</v>
      </c>
      <c r="P815" s="2" t="s">
        <v>730</v>
      </c>
    </row>
    <row r="816" spans="1:16" ht="13">
      <c r="A816" s="2" t="s">
        <v>2</v>
      </c>
      <c r="B816" s="2" t="str">
        <f t="shared" si="12"/>
        <v>22-23 Academic Year</v>
      </c>
      <c r="C816" s="2">
        <v>14</v>
      </c>
      <c r="D816" s="2" t="s">
        <v>727</v>
      </c>
      <c r="E816" s="10">
        <v>44978</v>
      </c>
      <c r="F816" s="2" t="s">
        <v>29</v>
      </c>
      <c r="G816" s="2" t="s">
        <v>653</v>
      </c>
      <c r="H816" s="2" t="s">
        <v>6</v>
      </c>
      <c r="I816" s="2" t="s">
        <v>728</v>
      </c>
      <c r="J816" s="2" t="s">
        <v>4671</v>
      </c>
      <c r="K816" s="2" t="s">
        <v>731</v>
      </c>
      <c r="L816" s="2" t="s">
        <v>1260</v>
      </c>
      <c r="M816" s="3">
        <v>3</v>
      </c>
      <c r="N816" s="3">
        <v>1</v>
      </c>
      <c r="P816" s="2" t="s">
        <v>732</v>
      </c>
    </row>
    <row r="817" spans="1:16" ht="13">
      <c r="A817" s="2" t="s">
        <v>2</v>
      </c>
      <c r="B817" s="2" t="str">
        <f t="shared" si="12"/>
        <v>22-23 Academic Year</v>
      </c>
      <c r="C817" s="2">
        <v>14</v>
      </c>
      <c r="D817" s="2" t="s">
        <v>727</v>
      </c>
      <c r="E817" s="10">
        <v>44978</v>
      </c>
      <c r="F817" s="2" t="s">
        <v>29</v>
      </c>
      <c r="G817" s="2" t="s">
        <v>653</v>
      </c>
      <c r="H817" s="2" t="s">
        <v>6</v>
      </c>
      <c r="I817" s="2" t="s">
        <v>728</v>
      </c>
      <c r="J817" s="2" t="s">
        <v>4673</v>
      </c>
      <c r="K817" s="2" t="s">
        <v>733</v>
      </c>
      <c r="L817" s="2" t="s">
        <v>734</v>
      </c>
      <c r="M817" s="3">
        <v>4</v>
      </c>
      <c r="N817" s="3">
        <v>1</v>
      </c>
      <c r="P817" s="2" t="s">
        <v>735</v>
      </c>
    </row>
    <row r="818" spans="1:16" ht="13">
      <c r="A818" s="2" t="s">
        <v>2</v>
      </c>
      <c r="B818" s="2" t="str">
        <f t="shared" si="12"/>
        <v>22-23 Academic Year</v>
      </c>
      <c r="C818" s="2">
        <v>14</v>
      </c>
      <c r="D818" s="2" t="s">
        <v>727</v>
      </c>
      <c r="E818" s="10">
        <v>44978</v>
      </c>
      <c r="F818" s="2" t="s">
        <v>29</v>
      </c>
      <c r="G818" s="2" t="s">
        <v>653</v>
      </c>
      <c r="H818" s="2" t="s">
        <v>6</v>
      </c>
      <c r="I818" s="2" t="s">
        <v>728</v>
      </c>
      <c r="J818" s="2" t="s">
        <v>4675</v>
      </c>
      <c r="K818" s="2" t="s">
        <v>736</v>
      </c>
      <c r="L818" s="2" t="s">
        <v>737</v>
      </c>
      <c r="M818" s="3">
        <v>1</v>
      </c>
      <c r="N818" s="3">
        <v>2</v>
      </c>
      <c r="P818" s="2" t="s">
        <v>738</v>
      </c>
    </row>
    <row r="819" spans="1:16" ht="13">
      <c r="A819" s="2" t="s">
        <v>2</v>
      </c>
      <c r="B819" s="2" t="str">
        <f t="shared" si="12"/>
        <v>22-23 Academic Year</v>
      </c>
      <c r="C819" s="2">
        <v>14</v>
      </c>
      <c r="D819" s="2" t="s">
        <v>727</v>
      </c>
      <c r="E819" s="10">
        <v>44978</v>
      </c>
      <c r="F819" s="2" t="s">
        <v>29</v>
      </c>
      <c r="G819" s="2" t="s">
        <v>653</v>
      </c>
      <c r="H819" s="2" t="s">
        <v>6</v>
      </c>
      <c r="I819" s="2" t="s">
        <v>728</v>
      </c>
      <c r="J819" s="2" t="s">
        <v>4677</v>
      </c>
      <c r="K819" s="2" t="s">
        <v>739</v>
      </c>
      <c r="L819" s="2" t="s">
        <v>4949</v>
      </c>
      <c r="M819" s="3">
        <v>1</v>
      </c>
      <c r="N819" s="3">
        <v>2</v>
      </c>
      <c r="P819" s="2" t="s">
        <v>740</v>
      </c>
    </row>
    <row r="820" spans="1:16" ht="13">
      <c r="A820" s="2" t="s">
        <v>2</v>
      </c>
      <c r="B820" s="2" t="str">
        <f t="shared" si="12"/>
        <v>22-23 Academic Year</v>
      </c>
      <c r="C820" s="2">
        <v>14</v>
      </c>
      <c r="D820" s="2" t="s">
        <v>727</v>
      </c>
      <c r="E820" s="10">
        <v>44978</v>
      </c>
      <c r="F820" s="2" t="s">
        <v>29</v>
      </c>
      <c r="G820" s="2" t="s">
        <v>653</v>
      </c>
      <c r="H820" s="2" t="s">
        <v>6</v>
      </c>
      <c r="I820" s="2" t="s">
        <v>728</v>
      </c>
      <c r="J820" s="2" t="s">
        <v>4679</v>
      </c>
      <c r="K820" s="2" t="s">
        <v>741</v>
      </c>
      <c r="L820" s="2" t="s">
        <v>4950</v>
      </c>
      <c r="M820" s="3">
        <v>4</v>
      </c>
      <c r="N820" s="3">
        <v>1</v>
      </c>
      <c r="P820" s="2" t="s">
        <v>742</v>
      </c>
    </row>
    <row r="821" spans="1:16" ht="13">
      <c r="A821" s="2" t="s">
        <v>2</v>
      </c>
      <c r="B821" s="2" t="str">
        <f t="shared" si="12"/>
        <v>22-23 Academic Year</v>
      </c>
      <c r="C821" s="2">
        <v>15</v>
      </c>
      <c r="D821" s="2" t="s">
        <v>743</v>
      </c>
      <c r="E821" s="10">
        <v>44981</v>
      </c>
      <c r="F821" s="2" t="s">
        <v>29</v>
      </c>
      <c r="G821" s="2" t="s">
        <v>653</v>
      </c>
      <c r="H821" s="2" t="s">
        <v>6</v>
      </c>
      <c r="I821" s="2" t="s">
        <v>434</v>
      </c>
      <c r="J821" s="2" t="s">
        <v>4702</v>
      </c>
      <c r="K821" s="2" t="s">
        <v>605</v>
      </c>
      <c r="L821" s="2" t="s">
        <v>1407</v>
      </c>
      <c r="M821" s="3">
        <v>1</v>
      </c>
      <c r="N821" s="3">
        <v>2</v>
      </c>
      <c r="P821" s="2" t="s">
        <v>744</v>
      </c>
    </row>
    <row r="822" spans="1:16" ht="13">
      <c r="A822" s="2" t="s">
        <v>2</v>
      </c>
      <c r="B822" s="2" t="str">
        <f t="shared" si="12"/>
        <v>22-23 Academic Year</v>
      </c>
      <c r="C822" s="2">
        <v>15</v>
      </c>
      <c r="D822" s="2" t="s">
        <v>743</v>
      </c>
      <c r="E822" s="10">
        <v>44981</v>
      </c>
      <c r="F822" s="2" t="s">
        <v>29</v>
      </c>
      <c r="G822" s="2" t="s">
        <v>653</v>
      </c>
      <c r="H822" s="2" t="s">
        <v>6</v>
      </c>
      <c r="I822" s="2" t="s">
        <v>434</v>
      </c>
      <c r="J822" s="2" t="s">
        <v>4703</v>
      </c>
      <c r="K822" s="2" t="s">
        <v>59</v>
      </c>
      <c r="L822" s="2" t="s">
        <v>60</v>
      </c>
      <c r="M822" s="3">
        <v>1</v>
      </c>
      <c r="N822" s="3">
        <v>2</v>
      </c>
      <c r="P822" s="2" t="s">
        <v>745</v>
      </c>
    </row>
    <row r="823" spans="1:16" ht="13">
      <c r="A823" s="2" t="s">
        <v>2</v>
      </c>
      <c r="B823" s="2" t="str">
        <f t="shared" si="12"/>
        <v>22-23 Academic Year</v>
      </c>
      <c r="C823" s="2">
        <v>15</v>
      </c>
      <c r="D823" s="2" t="s">
        <v>743</v>
      </c>
      <c r="E823" s="10">
        <v>44981</v>
      </c>
      <c r="F823" s="2" t="s">
        <v>29</v>
      </c>
      <c r="G823" s="2" t="s">
        <v>653</v>
      </c>
      <c r="H823" s="2" t="s">
        <v>6</v>
      </c>
      <c r="I823" s="2" t="s">
        <v>434</v>
      </c>
      <c r="J823" s="2" t="s">
        <v>4705</v>
      </c>
      <c r="K823" s="2" t="s">
        <v>746</v>
      </c>
      <c r="L823" s="2" t="s">
        <v>2879</v>
      </c>
      <c r="M823" s="3">
        <v>1</v>
      </c>
      <c r="N823" s="3">
        <v>2</v>
      </c>
      <c r="P823" s="2" t="s">
        <v>747</v>
      </c>
    </row>
    <row r="824" spans="1:16" ht="13">
      <c r="A824" s="2" t="s">
        <v>2</v>
      </c>
      <c r="B824" s="2" t="str">
        <f t="shared" si="12"/>
        <v>22-23 Academic Year</v>
      </c>
      <c r="C824" s="2">
        <v>15</v>
      </c>
      <c r="D824" s="2" t="s">
        <v>743</v>
      </c>
      <c r="E824" s="10">
        <v>44981</v>
      </c>
      <c r="F824" s="2" t="s">
        <v>29</v>
      </c>
      <c r="G824" s="2" t="s">
        <v>653</v>
      </c>
      <c r="H824" s="2" t="s">
        <v>6</v>
      </c>
      <c r="I824" s="2" t="s">
        <v>434</v>
      </c>
      <c r="J824" s="2" t="s">
        <v>4706</v>
      </c>
      <c r="K824" s="2" t="s">
        <v>472</v>
      </c>
      <c r="L824" s="2" t="s">
        <v>1352</v>
      </c>
      <c r="M824" s="3">
        <v>1</v>
      </c>
      <c r="N824" s="3">
        <v>2</v>
      </c>
      <c r="P824" s="2" t="s">
        <v>748</v>
      </c>
    </row>
    <row r="825" spans="1:16" ht="13">
      <c r="A825" s="2" t="s">
        <v>2</v>
      </c>
      <c r="B825" s="2" t="str">
        <f t="shared" si="12"/>
        <v>22-23 Academic Year</v>
      </c>
      <c r="C825" s="2">
        <v>15</v>
      </c>
      <c r="D825" s="2" t="s">
        <v>743</v>
      </c>
      <c r="E825" s="10">
        <v>44981</v>
      </c>
      <c r="F825" s="2" t="s">
        <v>29</v>
      </c>
      <c r="G825" s="2" t="s">
        <v>653</v>
      </c>
      <c r="H825" s="2" t="s">
        <v>6</v>
      </c>
      <c r="I825" s="2" t="s">
        <v>434</v>
      </c>
      <c r="J825" s="2" t="s">
        <v>4708</v>
      </c>
      <c r="K825" s="2" t="s">
        <v>88</v>
      </c>
      <c r="L825" s="2" t="s">
        <v>4697</v>
      </c>
      <c r="M825" s="3">
        <v>3</v>
      </c>
      <c r="N825" s="3">
        <v>2</v>
      </c>
      <c r="P825" s="2" t="s">
        <v>749</v>
      </c>
    </row>
    <row r="826" spans="1:16" ht="13">
      <c r="A826" s="2" t="s">
        <v>2</v>
      </c>
      <c r="B826" s="2" t="str">
        <f t="shared" si="12"/>
        <v>22-23 Academic Year</v>
      </c>
      <c r="C826" s="2">
        <v>15</v>
      </c>
      <c r="D826" s="2" t="s">
        <v>743</v>
      </c>
      <c r="E826" s="10">
        <v>44981</v>
      </c>
      <c r="F826" s="2" t="s">
        <v>29</v>
      </c>
      <c r="G826" s="2" t="s">
        <v>653</v>
      </c>
      <c r="H826" s="2" t="s">
        <v>6</v>
      </c>
      <c r="I826" s="2" t="s">
        <v>434</v>
      </c>
      <c r="J826" s="2" t="s">
        <v>4709</v>
      </c>
      <c r="K826" s="2" t="s">
        <v>750</v>
      </c>
      <c r="L826" s="2" t="s">
        <v>751</v>
      </c>
      <c r="M826" s="3">
        <v>1</v>
      </c>
      <c r="N826" s="3">
        <v>2</v>
      </c>
      <c r="P826" s="2" t="s">
        <v>752</v>
      </c>
    </row>
    <row r="827" spans="1:16" ht="13">
      <c r="A827" s="2" t="s">
        <v>2</v>
      </c>
      <c r="B827" s="2" t="str">
        <f t="shared" si="12"/>
        <v>22-23 Academic Year</v>
      </c>
      <c r="C827" s="2">
        <v>15</v>
      </c>
      <c r="D827" s="2" t="s">
        <v>743</v>
      </c>
      <c r="E827" s="10">
        <v>44981</v>
      </c>
      <c r="F827" s="2" t="s">
        <v>29</v>
      </c>
      <c r="G827" s="2" t="s">
        <v>653</v>
      </c>
      <c r="H827" s="2" t="s">
        <v>6</v>
      </c>
      <c r="I827" s="2" t="s">
        <v>434</v>
      </c>
      <c r="J827" s="2" t="s">
        <v>4710</v>
      </c>
      <c r="K827" s="2" t="s">
        <v>750</v>
      </c>
      <c r="L827" s="2" t="s">
        <v>751</v>
      </c>
      <c r="M827" s="3">
        <v>1</v>
      </c>
      <c r="N827" s="3">
        <v>2</v>
      </c>
      <c r="P827" s="2" t="s">
        <v>753</v>
      </c>
    </row>
    <row r="828" spans="1:16" ht="13">
      <c r="A828" s="2" t="s">
        <v>2</v>
      </c>
      <c r="B828" s="2" t="str">
        <f t="shared" si="12"/>
        <v>22-23 Academic Year</v>
      </c>
      <c r="C828" s="2">
        <v>16</v>
      </c>
      <c r="D828" s="2" t="s">
        <v>754</v>
      </c>
      <c r="E828" s="10">
        <v>44982</v>
      </c>
      <c r="F828" s="2" t="s">
        <v>69</v>
      </c>
      <c r="G828" s="2" t="s">
        <v>131</v>
      </c>
      <c r="H828" s="2" t="s">
        <v>6</v>
      </c>
      <c r="I828" s="2" t="s">
        <v>755</v>
      </c>
      <c r="J828" s="2" t="s">
        <v>4747</v>
      </c>
      <c r="K828" s="2" t="s">
        <v>756</v>
      </c>
      <c r="L828" s="2" t="s">
        <v>756</v>
      </c>
      <c r="M828" s="3">
        <v>1</v>
      </c>
      <c r="N828" s="3">
        <v>1</v>
      </c>
      <c r="P828" s="2" t="s">
        <v>757</v>
      </c>
    </row>
    <row r="829" spans="1:16" ht="13">
      <c r="A829" s="2" t="s">
        <v>2</v>
      </c>
      <c r="B829" s="2" t="str">
        <f t="shared" si="12"/>
        <v>22-23 Academic Year</v>
      </c>
      <c r="C829" s="2">
        <v>16</v>
      </c>
      <c r="D829" s="2" t="s">
        <v>754</v>
      </c>
      <c r="E829" s="10">
        <v>44982</v>
      </c>
      <c r="F829" s="2" t="s">
        <v>69</v>
      </c>
      <c r="G829" s="2" t="s">
        <v>131</v>
      </c>
      <c r="H829" s="2" t="s">
        <v>6</v>
      </c>
      <c r="I829" s="2" t="s">
        <v>755</v>
      </c>
      <c r="J829" s="2" t="s">
        <v>4749</v>
      </c>
      <c r="K829" s="2" t="s">
        <v>758</v>
      </c>
      <c r="L829" s="2" t="s">
        <v>487</v>
      </c>
      <c r="M829" s="3">
        <v>1</v>
      </c>
      <c r="N829" s="3">
        <v>2</v>
      </c>
      <c r="P829" s="2" t="s">
        <v>759</v>
      </c>
    </row>
    <row r="830" spans="1:16" ht="13">
      <c r="A830" s="2" t="s">
        <v>2</v>
      </c>
      <c r="B830" s="2" t="str">
        <f t="shared" si="12"/>
        <v>22-23 Academic Year</v>
      </c>
      <c r="C830" s="2">
        <v>16</v>
      </c>
      <c r="D830" s="2" t="s">
        <v>754</v>
      </c>
      <c r="E830" s="10">
        <v>44982</v>
      </c>
      <c r="F830" s="2" t="s">
        <v>69</v>
      </c>
      <c r="G830" s="2" t="s">
        <v>131</v>
      </c>
      <c r="H830" s="2" t="s">
        <v>6</v>
      </c>
      <c r="I830" s="2" t="s">
        <v>755</v>
      </c>
      <c r="J830" s="2" t="s">
        <v>4750</v>
      </c>
      <c r="K830" s="2" t="s">
        <v>760</v>
      </c>
      <c r="L830" s="2" t="s">
        <v>4951</v>
      </c>
      <c r="M830" s="3">
        <v>2</v>
      </c>
      <c r="N830" s="3">
        <v>1</v>
      </c>
      <c r="P830" s="2" t="s">
        <v>761</v>
      </c>
    </row>
    <row r="831" spans="1:16" ht="13">
      <c r="A831" s="2" t="s">
        <v>2</v>
      </c>
      <c r="B831" s="2" t="str">
        <f t="shared" si="12"/>
        <v>22-23 Academic Year</v>
      </c>
      <c r="C831" s="2">
        <v>16</v>
      </c>
      <c r="D831" s="2" t="s">
        <v>754</v>
      </c>
      <c r="E831" s="10">
        <v>44982</v>
      </c>
      <c r="F831" s="2" t="s">
        <v>69</v>
      </c>
      <c r="G831" s="2" t="s">
        <v>131</v>
      </c>
      <c r="H831" s="2" t="s">
        <v>6</v>
      </c>
      <c r="I831" s="2" t="s">
        <v>755</v>
      </c>
      <c r="J831" s="2" t="s">
        <v>4751</v>
      </c>
      <c r="K831" s="2" t="s">
        <v>760</v>
      </c>
      <c r="L831" s="2" t="s">
        <v>4951</v>
      </c>
      <c r="M831" s="3">
        <v>2</v>
      </c>
      <c r="N831" s="3">
        <v>1</v>
      </c>
      <c r="P831" s="2" t="s">
        <v>762</v>
      </c>
    </row>
    <row r="832" spans="1:16" ht="13">
      <c r="A832" s="2" t="s">
        <v>2</v>
      </c>
      <c r="B832" s="2" t="str">
        <f t="shared" si="12"/>
        <v>22-23 Academic Year</v>
      </c>
      <c r="C832" s="2">
        <v>16</v>
      </c>
      <c r="D832" s="2" t="s">
        <v>754</v>
      </c>
      <c r="E832" s="10">
        <v>44982</v>
      </c>
      <c r="F832" s="2" t="s">
        <v>69</v>
      </c>
      <c r="G832" s="2" t="s">
        <v>131</v>
      </c>
      <c r="H832" s="2" t="s">
        <v>6</v>
      </c>
      <c r="I832" s="2" t="s">
        <v>755</v>
      </c>
      <c r="J832" s="2" t="s">
        <v>4752</v>
      </c>
      <c r="K832" s="2" t="s">
        <v>763</v>
      </c>
      <c r="L832" s="2" t="s">
        <v>4952</v>
      </c>
      <c r="M832" s="3">
        <v>3</v>
      </c>
      <c r="N832" s="3">
        <v>2</v>
      </c>
      <c r="P832" s="2" t="s">
        <v>764</v>
      </c>
    </row>
    <row r="833" spans="1:16" ht="13">
      <c r="A833" s="2" t="s">
        <v>2</v>
      </c>
      <c r="B833" s="2" t="str">
        <f t="shared" si="12"/>
        <v>22-23 Academic Year</v>
      </c>
      <c r="C833" s="2">
        <v>16</v>
      </c>
      <c r="D833" s="2" t="s">
        <v>754</v>
      </c>
      <c r="E833" s="10">
        <v>44982</v>
      </c>
      <c r="F833" s="2" t="s">
        <v>69</v>
      </c>
      <c r="G833" s="2" t="s">
        <v>131</v>
      </c>
      <c r="H833" s="2" t="s">
        <v>6</v>
      </c>
      <c r="I833" s="2" t="s">
        <v>755</v>
      </c>
      <c r="J833" s="2" t="s">
        <v>4754</v>
      </c>
      <c r="K833" s="2" t="s">
        <v>765</v>
      </c>
      <c r="L833" s="2" t="s">
        <v>4953</v>
      </c>
      <c r="M833" s="3">
        <v>1</v>
      </c>
      <c r="N833" s="3">
        <v>2</v>
      </c>
      <c r="P833" s="2" t="s">
        <v>766</v>
      </c>
    </row>
    <row r="834" spans="1:16" ht="13">
      <c r="A834" s="2" t="s">
        <v>2</v>
      </c>
      <c r="B834" s="2" t="str">
        <f t="shared" si="12"/>
        <v>22-23 Academic Year</v>
      </c>
      <c r="C834" s="2">
        <v>16</v>
      </c>
      <c r="D834" s="2" t="s">
        <v>754</v>
      </c>
      <c r="E834" s="10">
        <v>44982</v>
      </c>
      <c r="F834" s="2" t="s">
        <v>69</v>
      </c>
      <c r="G834" s="2" t="s">
        <v>131</v>
      </c>
      <c r="H834" s="2" t="s">
        <v>6</v>
      </c>
      <c r="I834" s="2" t="s">
        <v>755</v>
      </c>
      <c r="J834" s="2" t="s">
        <v>4755</v>
      </c>
      <c r="K834" s="2" t="s">
        <v>767</v>
      </c>
      <c r="L834" s="2" t="s">
        <v>4954</v>
      </c>
      <c r="M834" s="3">
        <v>2</v>
      </c>
      <c r="N834" s="3">
        <v>1</v>
      </c>
      <c r="P834" s="2" t="s">
        <v>768</v>
      </c>
    </row>
    <row r="835" spans="1:16" ht="13">
      <c r="A835" s="2" t="s">
        <v>2</v>
      </c>
      <c r="B835" s="2" t="str">
        <f t="shared" ref="B835:B898" si="13">RIGHT(TEXT(IF(LEFT(A835,4)="Fall",VALUE(RIGHT(A835,4)),VALUE(RIGHT(A835,4))-1),"00"),2)
 &amp; "-" &amp;
 RIGHT(TEXT(IF(LEFT(A835,4)="Fall",VALUE(RIGHT(A835,4))+1,VALUE(RIGHT(A835,4))),"00"),2)
 &amp; " Academic Year"</f>
        <v>22-23 Academic Year</v>
      </c>
      <c r="C835" s="2">
        <v>16</v>
      </c>
      <c r="D835" s="2" t="s">
        <v>754</v>
      </c>
      <c r="E835" s="10">
        <v>44982</v>
      </c>
      <c r="F835" s="2" t="s">
        <v>69</v>
      </c>
      <c r="G835" s="2" t="s">
        <v>131</v>
      </c>
      <c r="H835" s="2" t="s">
        <v>6</v>
      </c>
      <c r="I835" s="2" t="s">
        <v>755</v>
      </c>
      <c r="J835" s="2" t="s">
        <v>4756</v>
      </c>
      <c r="K835" s="2" t="s">
        <v>769</v>
      </c>
      <c r="L835" s="2" t="s">
        <v>769</v>
      </c>
      <c r="M835" s="3"/>
      <c r="N835" s="3"/>
      <c r="P835" s="2" t="s">
        <v>770</v>
      </c>
    </row>
    <row r="836" spans="1:16" ht="13">
      <c r="A836" s="2" t="s">
        <v>2</v>
      </c>
      <c r="B836" s="2" t="str">
        <f t="shared" si="13"/>
        <v>22-23 Academic Year</v>
      </c>
      <c r="C836" s="2">
        <v>17</v>
      </c>
      <c r="D836" s="2" t="s">
        <v>771</v>
      </c>
      <c r="E836" s="10">
        <v>44982</v>
      </c>
      <c r="F836" s="2" t="s">
        <v>69</v>
      </c>
      <c r="G836" s="2" t="s">
        <v>131</v>
      </c>
      <c r="H836" s="2" t="s">
        <v>6</v>
      </c>
      <c r="I836" s="2" t="s">
        <v>699</v>
      </c>
      <c r="J836" s="2" t="s">
        <v>4680</v>
      </c>
      <c r="K836" s="2" t="s">
        <v>489</v>
      </c>
      <c r="L836" s="2" t="s">
        <v>4790</v>
      </c>
      <c r="M836" s="3">
        <v>1</v>
      </c>
      <c r="N836" s="3">
        <v>2</v>
      </c>
      <c r="P836" s="2" t="s">
        <v>490</v>
      </c>
    </row>
    <row r="837" spans="1:16" ht="13">
      <c r="A837" s="2" t="s">
        <v>2</v>
      </c>
      <c r="B837" s="2" t="str">
        <f t="shared" si="13"/>
        <v>22-23 Academic Year</v>
      </c>
      <c r="C837" s="2">
        <v>17</v>
      </c>
      <c r="D837" s="2" t="s">
        <v>771</v>
      </c>
      <c r="E837" s="10">
        <v>44982</v>
      </c>
      <c r="F837" s="2" t="s">
        <v>69</v>
      </c>
      <c r="G837" s="2" t="s">
        <v>131</v>
      </c>
      <c r="H837" s="2" t="s">
        <v>6</v>
      </c>
      <c r="I837" s="2" t="s">
        <v>699</v>
      </c>
      <c r="J837" s="2" t="s">
        <v>4681</v>
      </c>
      <c r="K837" s="2" t="s">
        <v>772</v>
      </c>
      <c r="L837" s="2" t="s">
        <v>1354</v>
      </c>
      <c r="M837" s="3">
        <v>2</v>
      </c>
      <c r="N837" s="3">
        <v>1</v>
      </c>
      <c r="P837" s="2" t="s">
        <v>773</v>
      </c>
    </row>
    <row r="838" spans="1:16" ht="13">
      <c r="A838" s="2" t="s">
        <v>2</v>
      </c>
      <c r="B838" s="2" t="str">
        <f t="shared" si="13"/>
        <v>22-23 Academic Year</v>
      </c>
      <c r="C838" s="2">
        <v>17</v>
      </c>
      <c r="D838" s="2" t="s">
        <v>771</v>
      </c>
      <c r="E838" s="10">
        <v>44982</v>
      </c>
      <c r="F838" s="2" t="s">
        <v>69</v>
      </c>
      <c r="G838" s="2" t="s">
        <v>131</v>
      </c>
      <c r="H838" s="2" t="s">
        <v>6</v>
      </c>
      <c r="I838" s="2" t="s">
        <v>699</v>
      </c>
      <c r="J838" s="2" t="s">
        <v>4683</v>
      </c>
      <c r="K838" s="2" t="s">
        <v>774</v>
      </c>
      <c r="L838" s="2" t="s">
        <v>1117</v>
      </c>
      <c r="M838" s="3">
        <v>1</v>
      </c>
      <c r="N838" s="3">
        <v>2</v>
      </c>
      <c r="P838" s="2" t="s">
        <v>775</v>
      </c>
    </row>
    <row r="839" spans="1:16" ht="13">
      <c r="A839" s="2" t="s">
        <v>2</v>
      </c>
      <c r="B839" s="2" t="str">
        <f t="shared" si="13"/>
        <v>22-23 Academic Year</v>
      </c>
      <c r="C839" s="2">
        <v>17</v>
      </c>
      <c r="D839" s="2" t="s">
        <v>771</v>
      </c>
      <c r="E839" s="10">
        <v>44982</v>
      </c>
      <c r="F839" s="2" t="s">
        <v>69</v>
      </c>
      <c r="G839" s="2" t="s">
        <v>131</v>
      </c>
      <c r="H839" s="2" t="s">
        <v>6</v>
      </c>
      <c r="I839" s="2" t="s">
        <v>699</v>
      </c>
      <c r="J839" s="2" t="s">
        <v>4684</v>
      </c>
      <c r="K839" s="2" t="s">
        <v>776</v>
      </c>
      <c r="L839" s="2" t="s">
        <v>4955</v>
      </c>
      <c r="M839" s="3"/>
      <c r="N839" s="3"/>
      <c r="P839" s="2" t="s">
        <v>777</v>
      </c>
    </row>
    <row r="840" spans="1:16" ht="13">
      <c r="A840" s="2" t="s">
        <v>2</v>
      </c>
      <c r="B840" s="2" t="str">
        <f t="shared" si="13"/>
        <v>22-23 Academic Year</v>
      </c>
      <c r="C840" s="2">
        <v>17</v>
      </c>
      <c r="D840" s="2" t="s">
        <v>771</v>
      </c>
      <c r="E840" s="10">
        <v>44982</v>
      </c>
      <c r="F840" s="2" t="s">
        <v>69</v>
      </c>
      <c r="G840" s="2" t="s">
        <v>131</v>
      </c>
      <c r="H840" s="2" t="s">
        <v>6</v>
      </c>
      <c r="I840" s="2" t="s">
        <v>699</v>
      </c>
      <c r="J840" s="2" t="s">
        <v>4686</v>
      </c>
      <c r="K840" s="2" t="s">
        <v>778</v>
      </c>
      <c r="L840" s="2" t="s">
        <v>4956</v>
      </c>
      <c r="M840" s="3">
        <v>4</v>
      </c>
      <c r="N840" s="3">
        <v>1</v>
      </c>
      <c r="P840" s="2" t="s">
        <v>779</v>
      </c>
    </row>
    <row r="841" spans="1:16" ht="13">
      <c r="A841" s="2" t="s">
        <v>2</v>
      </c>
      <c r="B841" s="2" t="str">
        <f t="shared" si="13"/>
        <v>22-23 Academic Year</v>
      </c>
      <c r="C841" s="2">
        <v>18</v>
      </c>
      <c r="D841" s="2" t="s">
        <v>780</v>
      </c>
      <c r="E841" s="10">
        <v>44982</v>
      </c>
      <c r="F841" s="2" t="s">
        <v>69</v>
      </c>
      <c r="G841" s="2" t="s">
        <v>131</v>
      </c>
      <c r="H841" s="2" t="s">
        <v>6</v>
      </c>
      <c r="I841" s="2" t="s">
        <v>699</v>
      </c>
      <c r="J841" s="2" t="s">
        <v>4711</v>
      </c>
      <c r="K841" s="2" t="s">
        <v>781</v>
      </c>
      <c r="L841" s="2" t="s">
        <v>4957</v>
      </c>
      <c r="M841" s="3">
        <v>1</v>
      </c>
      <c r="N841" s="3">
        <v>2</v>
      </c>
      <c r="O841" s="2" t="s">
        <v>782</v>
      </c>
      <c r="P841" s="2" t="s">
        <v>783</v>
      </c>
    </row>
    <row r="842" spans="1:16" ht="13">
      <c r="A842" s="2" t="s">
        <v>2</v>
      </c>
      <c r="B842" s="2" t="str">
        <f t="shared" si="13"/>
        <v>22-23 Academic Year</v>
      </c>
      <c r="C842" s="2">
        <v>18</v>
      </c>
      <c r="D842" s="2" t="s">
        <v>780</v>
      </c>
      <c r="E842" s="10">
        <v>44982</v>
      </c>
      <c r="F842" s="2" t="s">
        <v>69</v>
      </c>
      <c r="G842" s="2" t="s">
        <v>131</v>
      </c>
      <c r="H842" s="2" t="s">
        <v>6</v>
      </c>
      <c r="I842" s="2" t="s">
        <v>699</v>
      </c>
      <c r="J842" s="2" t="s">
        <v>4712</v>
      </c>
      <c r="K842" s="2" t="s">
        <v>736</v>
      </c>
      <c r="L842" s="2" t="s">
        <v>737</v>
      </c>
      <c r="M842" s="3">
        <v>1</v>
      </c>
      <c r="N842" s="3">
        <v>2</v>
      </c>
      <c r="P842" s="2" t="s">
        <v>784</v>
      </c>
    </row>
    <row r="843" spans="1:16" ht="13">
      <c r="A843" s="2" t="s">
        <v>2</v>
      </c>
      <c r="B843" s="2" t="str">
        <f t="shared" si="13"/>
        <v>22-23 Academic Year</v>
      </c>
      <c r="C843" s="2">
        <v>19</v>
      </c>
      <c r="D843" s="2" t="s">
        <v>785</v>
      </c>
      <c r="E843" s="10">
        <v>44988</v>
      </c>
      <c r="F843" s="2" t="s">
        <v>786</v>
      </c>
      <c r="G843" s="2" t="s">
        <v>787</v>
      </c>
      <c r="H843" s="2" t="s">
        <v>7</v>
      </c>
      <c r="J843" s="2" t="s">
        <v>4702</v>
      </c>
      <c r="K843" s="2" t="s">
        <v>788</v>
      </c>
      <c r="L843" s="2" t="s">
        <v>4007</v>
      </c>
      <c r="M843" s="3">
        <v>1</v>
      </c>
      <c r="N843" s="3">
        <v>2</v>
      </c>
      <c r="O843" s="2" t="s">
        <v>789</v>
      </c>
      <c r="P843" s="2" t="s">
        <v>790</v>
      </c>
    </row>
    <row r="844" spans="1:16" ht="13">
      <c r="A844" s="2" t="s">
        <v>2</v>
      </c>
      <c r="B844" s="2" t="str">
        <f t="shared" si="13"/>
        <v>22-23 Academic Year</v>
      </c>
      <c r="C844" s="2">
        <v>19</v>
      </c>
      <c r="D844" s="2" t="s">
        <v>785</v>
      </c>
      <c r="E844" s="10">
        <v>44988</v>
      </c>
      <c r="F844" s="2" t="s">
        <v>786</v>
      </c>
      <c r="G844" s="2" t="s">
        <v>787</v>
      </c>
      <c r="H844" s="2" t="s">
        <v>7</v>
      </c>
      <c r="J844" s="2" t="s">
        <v>4703</v>
      </c>
      <c r="K844" s="2" t="s">
        <v>791</v>
      </c>
      <c r="L844" s="2" t="s">
        <v>792</v>
      </c>
      <c r="M844" s="3">
        <v>4</v>
      </c>
      <c r="N844" s="3">
        <v>2</v>
      </c>
      <c r="P844" s="2" t="s">
        <v>793</v>
      </c>
    </row>
    <row r="845" spans="1:16" ht="13">
      <c r="A845" s="2" t="s">
        <v>2</v>
      </c>
      <c r="B845" s="2" t="str">
        <f t="shared" si="13"/>
        <v>22-23 Academic Year</v>
      </c>
      <c r="C845" s="2">
        <v>19</v>
      </c>
      <c r="D845" s="2" t="s">
        <v>785</v>
      </c>
      <c r="E845" s="10">
        <v>44988</v>
      </c>
      <c r="F845" s="2" t="s">
        <v>786</v>
      </c>
      <c r="G845" s="2" t="s">
        <v>787</v>
      </c>
      <c r="H845" s="2" t="s">
        <v>7</v>
      </c>
      <c r="J845" s="2" t="s">
        <v>4705</v>
      </c>
      <c r="K845" s="2" t="s">
        <v>70</v>
      </c>
      <c r="L845" s="2" t="s">
        <v>4694</v>
      </c>
      <c r="M845" s="3">
        <v>3</v>
      </c>
      <c r="N845" s="3">
        <v>2</v>
      </c>
      <c r="P845" s="2" t="s">
        <v>794</v>
      </c>
    </row>
    <row r="846" spans="1:16" ht="13">
      <c r="A846" s="2" t="s">
        <v>2</v>
      </c>
      <c r="B846" s="2" t="str">
        <f t="shared" si="13"/>
        <v>22-23 Academic Year</v>
      </c>
      <c r="C846" s="2">
        <v>19</v>
      </c>
      <c r="D846" s="2" t="s">
        <v>785</v>
      </c>
      <c r="E846" s="10">
        <v>44988</v>
      </c>
      <c r="F846" s="2" t="s">
        <v>786</v>
      </c>
      <c r="G846" s="2" t="s">
        <v>787</v>
      </c>
      <c r="H846" s="2" t="s">
        <v>7</v>
      </c>
      <c r="J846" s="2" t="s">
        <v>4706</v>
      </c>
      <c r="K846" s="2" t="s">
        <v>362</v>
      </c>
      <c r="L846" s="2" t="s">
        <v>2154</v>
      </c>
      <c r="M846" s="3">
        <v>3</v>
      </c>
      <c r="N846" s="3">
        <v>2</v>
      </c>
      <c r="P846" s="2" t="s">
        <v>795</v>
      </c>
    </row>
    <row r="847" spans="1:16" ht="13">
      <c r="A847" s="2" t="s">
        <v>2</v>
      </c>
      <c r="B847" s="2" t="str">
        <f t="shared" si="13"/>
        <v>22-23 Academic Year</v>
      </c>
      <c r="C847" s="2">
        <v>19</v>
      </c>
      <c r="D847" s="2" t="s">
        <v>785</v>
      </c>
      <c r="E847" s="10">
        <v>44988</v>
      </c>
      <c r="F847" s="2" t="s">
        <v>786</v>
      </c>
      <c r="G847" s="2" t="s">
        <v>787</v>
      </c>
      <c r="H847" s="2" t="s">
        <v>7</v>
      </c>
      <c r="J847" s="2" t="s">
        <v>4708</v>
      </c>
      <c r="K847" s="2" t="s">
        <v>75</v>
      </c>
      <c r="L847" s="2" t="s">
        <v>1275</v>
      </c>
      <c r="M847" s="3">
        <v>3</v>
      </c>
      <c r="N847" s="3">
        <v>1</v>
      </c>
      <c r="O847" s="2" t="s">
        <v>796</v>
      </c>
      <c r="P847" s="2" t="s">
        <v>797</v>
      </c>
    </row>
    <row r="848" spans="1:16" ht="13">
      <c r="A848" s="2" t="s">
        <v>2</v>
      </c>
      <c r="B848" s="2" t="str">
        <f t="shared" si="13"/>
        <v>22-23 Academic Year</v>
      </c>
      <c r="C848" s="2">
        <v>19</v>
      </c>
      <c r="D848" s="2" t="s">
        <v>785</v>
      </c>
      <c r="E848" s="10">
        <v>44988</v>
      </c>
      <c r="F848" s="2" t="s">
        <v>786</v>
      </c>
      <c r="G848" s="2" t="s">
        <v>787</v>
      </c>
      <c r="H848" s="2" t="s">
        <v>7</v>
      </c>
      <c r="J848" s="2" t="s">
        <v>4709</v>
      </c>
      <c r="K848" s="2" t="s">
        <v>788</v>
      </c>
      <c r="L848" s="2" t="s">
        <v>4007</v>
      </c>
      <c r="M848" s="3">
        <v>1</v>
      </c>
      <c r="N848" s="3">
        <v>2</v>
      </c>
      <c r="O848" s="2" t="s">
        <v>789</v>
      </c>
      <c r="P848" s="2" t="s">
        <v>798</v>
      </c>
    </row>
    <row r="849" spans="1:16" ht="13">
      <c r="A849" s="2" t="s">
        <v>2</v>
      </c>
      <c r="B849" s="2" t="str">
        <f t="shared" si="13"/>
        <v>22-23 Academic Year</v>
      </c>
      <c r="C849" s="2">
        <v>19</v>
      </c>
      <c r="D849" s="2" t="s">
        <v>785</v>
      </c>
      <c r="E849" s="10">
        <v>44988</v>
      </c>
      <c r="F849" s="2" t="s">
        <v>786</v>
      </c>
      <c r="G849" s="2" t="s">
        <v>787</v>
      </c>
      <c r="H849" s="2" t="s">
        <v>7</v>
      </c>
      <c r="J849" s="2" t="s">
        <v>4710</v>
      </c>
      <c r="K849" s="2" t="s">
        <v>799</v>
      </c>
      <c r="L849" s="2" t="s">
        <v>4958</v>
      </c>
      <c r="M849" s="3">
        <v>1</v>
      </c>
      <c r="N849" s="3">
        <v>1</v>
      </c>
      <c r="O849" s="2" t="s">
        <v>800</v>
      </c>
      <c r="P849" s="2" t="s">
        <v>801</v>
      </c>
    </row>
    <row r="850" spans="1:16" ht="13">
      <c r="A850" s="2" t="s">
        <v>2</v>
      </c>
      <c r="B850" s="2" t="str">
        <f t="shared" si="13"/>
        <v>22-23 Academic Year</v>
      </c>
      <c r="C850" s="2">
        <v>20</v>
      </c>
      <c r="E850" s="10">
        <v>44989</v>
      </c>
      <c r="F850" s="2" t="s">
        <v>786</v>
      </c>
      <c r="G850" s="2" t="s">
        <v>802</v>
      </c>
      <c r="H850" s="2" t="s">
        <v>7</v>
      </c>
      <c r="J850" s="2" t="s">
        <v>4665</v>
      </c>
      <c r="K850" s="2" t="s">
        <v>803</v>
      </c>
      <c r="L850" s="2" t="s">
        <v>78</v>
      </c>
      <c r="M850" s="3">
        <v>3</v>
      </c>
      <c r="N850" s="3">
        <v>1</v>
      </c>
      <c r="P850" s="2" t="s">
        <v>804</v>
      </c>
    </row>
    <row r="851" spans="1:16" ht="13">
      <c r="A851" s="2" t="s">
        <v>2</v>
      </c>
      <c r="B851" s="2" t="str">
        <f t="shared" si="13"/>
        <v>22-23 Academic Year</v>
      </c>
      <c r="C851" s="2">
        <v>20</v>
      </c>
      <c r="E851" s="10">
        <v>44989</v>
      </c>
      <c r="F851" s="2" t="s">
        <v>786</v>
      </c>
      <c r="G851" s="2" t="s">
        <v>802</v>
      </c>
      <c r="H851" s="2" t="s">
        <v>7</v>
      </c>
      <c r="J851" s="2" t="s">
        <v>4666</v>
      </c>
      <c r="K851" s="2" t="s">
        <v>364</v>
      </c>
      <c r="L851" s="2" t="s">
        <v>2609</v>
      </c>
      <c r="M851" s="3">
        <v>3</v>
      </c>
      <c r="N851" s="3">
        <v>2</v>
      </c>
      <c r="P851" s="2" t="s">
        <v>805</v>
      </c>
    </row>
    <row r="852" spans="1:16" ht="13">
      <c r="A852" s="2" t="s">
        <v>2</v>
      </c>
      <c r="B852" s="2" t="str">
        <f t="shared" si="13"/>
        <v>22-23 Academic Year</v>
      </c>
      <c r="C852" s="2">
        <v>20</v>
      </c>
      <c r="E852" s="10">
        <v>44989</v>
      </c>
      <c r="F852" s="2" t="s">
        <v>786</v>
      </c>
      <c r="G852" s="2" t="s">
        <v>802</v>
      </c>
      <c r="H852" s="2" t="s">
        <v>7</v>
      </c>
      <c r="J852" s="2" t="s">
        <v>4668</v>
      </c>
      <c r="K852" s="2" t="s">
        <v>806</v>
      </c>
      <c r="L852" s="2" t="s">
        <v>4959</v>
      </c>
      <c r="M852" s="3">
        <v>3</v>
      </c>
      <c r="N852" s="3">
        <v>1</v>
      </c>
      <c r="P852" s="2" t="s">
        <v>807</v>
      </c>
    </row>
    <row r="853" spans="1:16" ht="13">
      <c r="A853" s="2" t="s">
        <v>2</v>
      </c>
      <c r="B853" s="2" t="str">
        <f t="shared" si="13"/>
        <v>22-23 Academic Year</v>
      </c>
      <c r="C853" s="2">
        <v>21</v>
      </c>
      <c r="D853" s="2" t="s">
        <v>808</v>
      </c>
      <c r="E853" s="10">
        <v>44990</v>
      </c>
      <c r="F853" s="2" t="s">
        <v>69</v>
      </c>
      <c r="G853" s="2" t="s">
        <v>131</v>
      </c>
      <c r="H853" s="2" t="s">
        <v>6</v>
      </c>
      <c r="I853" s="2" t="s">
        <v>699</v>
      </c>
      <c r="J853" s="2" t="s">
        <v>4669</v>
      </c>
      <c r="K853" s="2" t="s">
        <v>809</v>
      </c>
      <c r="L853" s="2" t="s">
        <v>4960</v>
      </c>
      <c r="M853" s="3">
        <v>2</v>
      </c>
      <c r="N853" s="3">
        <v>2</v>
      </c>
      <c r="P853" s="2" t="s">
        <v>810</v>
      </c>
    </row>
    <row r="854" spans="1:16" ht="13">
      <c r="A854" s="2" t="s">
        <v>2</v>
      </c>
      <c r="B854" s="2" t="str">
        <f t="shared" si="13"/>
        <v>22-23 Academic Year</v>
      </c>
      <c r="C854" s="2">
        <v>21</v>
      </c>
      <c r="D854" s="2" t="s">
        <v>808</v>
      </c>
      <c r="E854" s="10">
        <v>44990</v>
      </c>
      <c r="F854" s="2" t="s">
        <v>69</v>
      </c>
      <c r="G854" s="2" t="s">
        <v>131</v>
      </c>
      <c r="H854" s="2" t="s">
        <v>6</v>
      </c>
      <c r="I854" s="2" t="s">
        <v>699</v>
      </c>
      <c r="J854" s="2" t="s">
        <v>4671</v>
      </c>
      <c r="K854" s="2" t="s">
        <v>811</v>
      </c>
      <c r="L854" s="2" t="s">
        <v>812</v>
      </c>
      <c r="M854" s="3">
        <v>2</v>
      </c>
      <c r="N854" s="3">
        <v>2</v>
      </c>
      <c r="P854" s="2" t="s">
        <v>813</v>
      </c>
    </row>
    <row r="855" spans="1:16" ht="13">
      <c r="A855" s="2" t="s">
        <v>2</v>
      </c>
      <c r="B855" s="2" t="str">
        <f t="shared" si="13"/>
        <v>22-23 Academic Year</v>
      </c>
      <c r="C855" s="2">
        <v>21</v>
      </c>
      <c r="D855" s="2" t="s">
        <v>808</v>
      </c>
      <c r="E855" s="10">
        <v>44990</v>
      </c>
      <c r="F855" s="2" t="s">
        <v>69</v>
      </c>
      <c r="G855" s="2" t="s">
        <v>131</v>
      </c>
      <c r="H855" s="2" t="s">
        <v>6</v>
      </c>
      <c r="I855" s="2" t="s">
        <v>699</v>
      </c>
      <c r="J855" s="2" t="s">
        <v>4673</v>
      </c>
      <c r="K855" s="2" t="s">
        <v>611</v>
      </c>
      <c r="L855" s="2" t="s">
        <v>1849</v>
      </c>
      <c r="M855" s="3">
        <v>4</v>
      </c>
      <c r="N855" s="3">
        <v>2</v>
      </c>
      <c r="P855" s="2" t="s">
        <v>814</v>
      </c>
    </row>
    <row r="856" spans="1:16" ht="13">
      <c r="A856" s="2" t="s">
        <v>2</v>
      </c>
      <c r="B856" s="2" t="str">
        <f t="shared" si="13"/>
        <v>22-23 Academic Year</v>
      </c>
      <c r="C856" s="2">
        <v>21</v>
      </c>
      <c r="D856" s="2" t="s">
        <v>808</v>
      </c>
      <c r="E856" s="10">
        <v>44990</v>
      </c>
      <c r="F856" s="2" t="s">
        <v>69</v>
      </c>
      <c r="G856" s="2" t="s">
        <v>131</v>
      </c>
      <c r="H856" s="2" t="s">
        <v>6</v>
      </c>
      <c r="I856" s="2" t="s">
        <v>699</v>
      </c>
      <c r="J856" s="2" t="s">
        <v>4675</v>
      </c>
      <c r="K856" s="2" t="s">
        <v>815</v>
      </c>
      <c r="L856" s="2" t="s">
        <v>816</v>
      </c>
      <c r="M856" s="3">
        <v>3</v>
      </c>
      <c r="N856" s="3">
        <v>2</v>
      </c>
      <c r="O856" s="2" t="s">
        <v>817</v>
      </c>
      <c r="P856" s="2" t="s">
        <v>818</v>
      </c>
    </row>
    <row r="857" spans="1:16" ht="13">
      <c r="A857" s="2" t="s">
        <v>2</v>
      </c>
      <c r="B857" s="2" t="str">
        <f t="shared" si="13"/>
        <v>22-23 Academic Year</v>
      </c>
      <c r="C857" s="2">
        <v>21</v>
      </c>
      <c r="D857" s="2" t="s">
        <v>808</v>
      </c>
      <c r="E857" s="10">
        <v>44990</v>
      </c>
      <c r="F857" s="2" t="s">
        <v>69</v>
      </c>
      <c r="G857" s="2" t="s">
        <v>131</v>
      </c>
      <c r="H857" s="2" t="s">
        <v>6</v>
      </c>
      <c r="I857" s="2" t="s">
        <v>699</v>
      </c>
      <c r="J857" s="2" t="s">
        <v>4677</v>
      </c>
      <c r="K857" s="2" t="s">
        <v>819</v>
      </c>
      <c r="L857" s="2" t="s">
        <v>4961</v>
      </c>
      <c r="M857" s="3">
        <v>3</v>
      </c>
      <c r="N857" s="3">
        <v>1</v>
      </c>
      <c r="O857" s="2" t="s">
        <v>820</v>
      </c>
      <c r="P857" s="2" t="s">
        <v>821</v>
      </c>
    </row>
    <row r="858" spans="1:16" ht="13">
      <c r="A858" s="2" t="s">
        <v>2</v>
      </c>
      <c r="B858" s="2" t="str">
        <f t="shared" si="13"/>
        <v>22-23 Academic Year</v>
      </c>
      <c r="C858" s="2">
        <v>21</v>
      </c>
      <c r="D858" s="2" t="s">
        <v>808</v>
      </c>
      <c r="E858" s="10">
        <v>44990</v>
      </c>
      <c r="F858" s="2" t="s">
        <v>69</v>
      </c>
      <c r="G858" s="2" t="s">
        <v>131</v>
      </c>
      <c r="H858" s="2" t="s">
        <v>6</v>
      </c>
      <c r="I858" s="2" t="s">
        <v>699</v>
      </c>
      <c r="J858" s="2" t="s">
        <v>4679</v>
      </c>
      <c r="K858" s="2" t="s">
        <v>822</v>
      </c>
      <c r="L858" s="2" t="s">
        <v>823</v>
      </c>
      <c r="M858" s="3">
        <v>3</v>
      </c>
      <c r="N858" s="3">
        <v>2</v>
      </c>
      <c r="O858" s="2" t="s">
        <v>824</v>
      </c>
      <c r="P858" s="2" t="s">
        <v>825</v>
      </c>
    </row>
    <row r="859" spans="1:16" ht="13">
      <c r="A859" s="2" t="s">
        <v>2</v>
      </c>
      <c r="B859" s="2" t="str">
        <f t="shared" si="13"/>
        <v>22-23 Academic Year</v>
      </c>
      <c r="C859" s="2">
        <v>22</v>
      </c>
      <c r="D859" s="2" t="s">
        <v>826</v>
      </c>
      <c r="E859" s="10">
        <v>44990</v>
      </c>
      <c r="F859" s="2" t="s">
        <v>69</v>
      </c>
      <c r="G859" s="2" t="s">
        <v>131</v>
      </c>
      <c r="H859" s="2" t="s">
        <v>6</v>
      </c>
      <c r="I859" s="2" t="s">
        <v>827</v>
      </c>
      <c r="J859" s="2" t="s">
        <v>4680</v>
      </c>
      <c r="K859" s="2" t="s">
        <v>371</v>
      </c>
      <c r="L859" s="2" t="s">
        <v>372</v>
      </c>
      <c r="M859" s="3">
        <v>1</v>
      </c>
      <c r="N859" s="3">
        <v>2</v>
      </c>
      <c r="P859" s="2" t="s">
        <v>828</v>
      </c>
    </row>
    <row r="860" spans="1:16" ht="13">
      <c r="A860" s="2" t="s">
        <v>2</v>
      </c>
      <c r="B860" s="2" t="str">
        <f t="shared" si="13"/>
        <v>22-23 Academic Year</v>
      </c>
      <c r="C860" s="2">
        <v>22</v>
      </c>
      <c r="D860" s="2" t="s">
        <v>826</v>
      </c>
      <c r="E860" s="10">
        <v>44990</v>
      </c>
      <c r="F860" s="2" t="s">
        <v>69</v>
      </c>
      <c r="G860" s="2" t="s">
        <v>131</v>
      </c>
      <c r="H860" s="2" t="s">
        <v>6</v>
      </c>
      <c r="I860" s="2" t="s">
        <v>827</v>
      </c>
      <c r="J860" s="2" t="s">
        <v>4681</v>
      </c>
      <c r="K860" s="2" t="s">
        <v>133</v>
      </c>
      <c r="L860" s="2" t="s">
        <v>3357</v>
      </c>
      <c r="M860" s="3">
        <v>1</v>
      </c>
      <c r="N860" s="3">
        <v>2</v>
      </c>
      <c r="P860" s="2" t="s">
        <v>135</v>
      </c>
    </row>
    <row r="861" spans="1:16" ht="13">
      <c r="A861" s="2" t="s">
        <v>2</v>
      </c>
      <c r="B861" s="2" t="str">
        <f t="shared" si="13"/>
        <v>22-23 Academic Year</v>
      </c>
      <c r="C861" s="2">
        <v>22</v>
      </c>
      <c r="D861" s="2" t="s">
        <v>826</v>
      </c>
      <c r="E861" s="10">
        <v>44990</v>
      </c>
      <c r="F861" s="2" t="s">
        <v>69</v>
      </c>
      <c r="G861" s="2" t="s">
        <v>131</v>
      </c>
      <c r="H861" s="2" t="s">
        <v>6</v>
      </c>
      <c r="I861" s="2" t="s">
        <v>827</v>
      </c>
      <c r="J861" s="2" t="s">
        <v>4683</v>
      </c>
      <c r="K861" s="2" t="s">
        <v>829</v>
      </c>
      <c r="L861" s="2" t="s">
        <v>4962</v>
      </c>
      <c r="M861" s="3">
        <v>1</v>
      </c>
      <c r="N861" s="3">
        <v>2</v>
      </c>
      <c r="P861" s="2" t="s">
        <v>830</v>
      </c>
    </row>
    <row r="862" spans="1:16" ht="13">
      <c r="A862" s="2" t="s">
        <v>2</v>
      </c>
      <c r="B862" s="2" t="str">
        <f t="shared" si="13"/>
        <v>22-23 Academic Year</v>
      </c>
      <c r="C862" s="2">
        <v>22</v>
      </c>
      <c r="D862" s="2" t="s">
        <v>826</v>
      </c>
      <c r="E862" s="10">
        <v>44990</v>
      </c>
      <c r="F862" s="2" t="s">
        <v>69</v>
      </c>
      <c r="G862" s="2" t="s">
        <v>131</v>
      </c>
      <c r="H862" s="2" t="s">
        <v>6</v>
      </c>
      <c r="I862" s="2" t="s">
        <v>827</v>
      </c>
      <c r="J862" s="2" t="s">
        <v>4684</v>
      </c>
      <c r="K862" s="2" t="s">
        <v>320</v>
      </c>
      <c r="L862" s="2" t="s">
        <v>1879</v>
      </c>
      <c r="M862" s="3">
        <v>1</v>
      </c>
      <c r="N862" s="3">
        <v>2</v>
      </c>
      <c r="P862" s="2" t="s">
        <v>321</v>
      </c>
    </row>
    <row r="863" spans="1:16" ht="13">
      <c r="A863" s="2" t="s">
        <v>2</v>
      </c>
      <c r="B863" s="2" t="str">
        <f t="shared" si="13"/>
        <v>22-23 Academic Year</v>
      </c>
      <c r="C863" s="2">
        <v>22</v>
      </c>
      <c r="D863" s="2" t="s">
        <v>826</v>
      </c>
      <c r="E863" s="10">
        <v>44990</v>
      </c>
      <c r="F863" s="2" t="s">
        <v>69</v>
      </c>
      <c r="G863" s="2" t="s">
        <v>131</v>
      </c>
      <c r="H863" s="2" t="s">
        <v>6</v>
      </c>
      <c r="I863" s="2" t="s">
        <v>827</v>
      </c>
      <c r="J863" s="2" t="s">
        <v>4686</v>
      </c>
      <c r="K863" s="2" t="s">
        <v>387</v>
      </c>
      <c r="L863" s="2" t="s">
        <v>4760</v>
      </c>
      <c r="M863" s="3">
        <v>4</v>
      </c>
      <c r="N863" s="3">
        <v>1</v>
      </c>
      <c r="P863" s="2" t="s">
        <v>831</v>
      </c>
    </row>
    <row r="864" spans="1:16" ht="13">
      <c r="A864" s="2" t="s">
        <v>2</v>
      </c>
      <c r="B864" s="2" t="str">
        <f t="shared" si="13"/>
        <v>22-23 Academic Year</v>
      </c>
      <c r="C864" s="2">
        <v>23</v>
      </c>
      <c r="D864" s="2" t="s">
        <v>832</v>
      </c>
      <c r="E864" s="10">
        <v>44992</v>
      </c>
      <c r="F864" s="2" t="s">
        <v>20</v>
      </c>
      <c r="G864" s="2" t="s">
        <v>21</v>
      </c>
      <c r="H864" s="2" t="s">
        <v>6</v>
      </c>
      <c r="I864" s="2" t="s">
        <v>833</v>
      </c>
      <c r="J864" s="2" t="s">
        <v>4669</v>
      </c>
      <c r="K864" s="2" t="s">
        <v>418</v>
      </c>
      <c r="L864" s="2" t="s">
        <v>4779</v>
      </c>
      <c r="M864" s="3">
        <v>1</v>
      </c>
      <c r="N864" s="3">
        <v>1</v>
      </c>
      <c r="P864" s="2" t="s">
        <v>834</v>
      </c>
    </row>
    <row r="865" spans="1:16" ht="13">
      <c r="A865" s="2" t="s">
        <v>2</v>
      </c>
      <c r="B865" s="2" t="str">
        <f t="shared" si="13"/>
        <v>22-23 Academic Year</v>
      </c>
      <c r="C865" s="2">
        <v>23</v>
      </c>
      <c r="D865" s="2" t="s">
        <v>832</v>
      </c>
      <c r="E865" s="10">
        <v>44992</v>
      </c>
      <c r="F865" s="2" t="s">
        <v>20</v>
      </c>
      <c r="G865" s="2" t="s">
        <v>21</v>
      </c>
      <c r="H865" s="2" t="s">
        <v>6</v>
      </c>
      <c r="I865" s="2" t="s">
        <v>833</v>
      </c>
      <c r="J865" s="2" t="s">
        <v>4671</v>
      </c>
      <c r="K865" s="2" t="s">
        <v>835</v>
      </c>
      <c r="L865" s="2" t="s">
        <v>4963</v>
      </c>
      <c r="M865" s="3">
        <v>1</v>
      </c>
      <c r="N865" s="3">
        <v>2</v>
      </c>
      <c r="P865" s="2" t="s">
        <v>836</v>
      </c>
    </row>
    <row r="866" spans="1:16" ht="13">
      <c r="A866" s="2" t="s">
        <v>2</v>
      </c>
      <c r="B866" s="2" t="str">
        <f t="shared" si="13"/>
        <v>22-23 Academic Year</v>
      </c>
      <c r="C866" s="2">
        <v>23</v>
      </c>
      <c r="D866" s="2" t="s">
        <v>832</v>
      </c>
      <c r="E866" s="10">
        <v>44992</v>
      </c>
      <c r="F866" s="2" t="s">
        <v>20</v>
      </c>
      <c r="G866" s="2" t="s">
        <v>21</v>
      </c>
      <c r="H866" s="2" t="s">
        <v>6</v>
      </c>
      <c r="I866" s="2" t="s">
        <v>833</v>
      </c>
      <c r="J866" s="2" t="s">
        <v>4673</v>
      </c>
      <c r="K866" s="2" t="s">
        <v>837</v>
      </c>
      <c r="L866" s="2" t="s">
        <v>838</v>
      </c>
      <c r="M866" s="3">
        <v>1</v>
      </c>
      <c r="N866" s="3">
        <v>2</v>
      </c>
      <c r="P866" s="2" t="s">
        <v>839</v>
      </c>
    </row>
    <row r="867" spans="1:16" ht="13">
      <c r="A867" s="2" t="s">
        <v>2</v>
      </c>
      <c r="B867" s="2" t="str">
        <f t="shared" si="13"/>
        <v>22-23 Academic Year</v>
      </c>
      <c r="C867" s="2">
        <v>23</v>
      </c>
      <c r="D867" s="2" t="s">
        <v>832</v>
      </c>
      <c r="E867" s="10">
        <v>44992</v>
      </c>
      <c r="F867" s="2" t="s">
        <v>20</v>
      </c>
      <c r="G867" s="2" t="s">
        <v>21</v>
      </c>
      <c r="H867" s="2" t="s">
        <v>6</v>
      </c>
      <c r="I867" s="2" t="s">
        <v>833</v>
      </c>
      <c r="J867" s="2" t="s">
        <v>4675</v>
      </c>
      <c r="K867" s="2" t="s">
        <v>418</v>
      </c>
      <c r="L867" s="2" t="s">
        <v>4779</v>
      </c>
      <c r="M867" s="3">
        <v>1</v>
      </c>
      <c r="N867" s="3">
        <v>1</v>
      </c>
      <c r="P867" s="2" t="s">
        <v>840</v>
      </c>
    </row>
    <row r="868" spans="1:16" ht="13">
      <c r="A868" s="2" t="s">
        <v>2</v>
      </c>
      <c r="B868" s="2" t="str">
        <f t="shared" si="13"/>
        <v>22-23 Academic Year</v>
      </c>
      <c r="C868" s="2">
        <v>23</v>
      </c>
      <c r="D868" s="2" t="s">
        <v>832</v>
      </c>
      <c r="E868" s="10">
        <v>44992</v>
      </c>
      <c r="F868" s="2" t="s">
        <v>20</v>
      </c>
      <c r="G868" s="2" t="s">
        <v>21</v>
      </c>
      <c r="H868" s="2" t="s">
        <v>6</v>
      </c>
      <c r="I868" s="2" t="s">
        <v>833</v>
      </c>
      <c r="J868" s="2" t="s">
        <v>4677</v>
      </c>
      <c r="K868" s="2" t="s">
        <v>841</v>
      </c>
      <c r="L868" s="2" t="s">
        <v>4964</v>
      </c>
      <c r="M868" s="3">
        <v>2</v>
      </c>
      <c r="N868" s="3">
        <v>1</v>
      </c>
      <c r="P868" s="2" t="s">
        <v>842</v>
      </c>
    </row>
    <row r="869" spans="1:16" ht="13">
      <c r="A869" s="2" t="s">
        <v>2</v>
      </c>
      <c r="B869" s="2" t="str">
        <f t="shared" si="13"/>
        <v>22-23 Academic Year</v>
      </c>
      <c r="C869" s="2">
        <v>23</v>
      </c>
      <c r="D869" s="2" t="s">
        <v>832</v>
      </c>
      <c r="E869" s="10">
        <v>44992</v>
      </c>
      <c r="F869" s="2" t="s">
        <v>20</v>
      </c>
      <c r="G869" s="2" t="s">
        <v>21</v>
      </c>
      <c r="H869" s="2" t="s">
        <v>6</v>
      </c>
      <c r="I869" s="2" t="s">
        <v>833</v>
      </c>
      <c r="J869" s="2" t="s">
        <v>4679</v>
      </c>
      <c r="K869" s="2" t="s">
        <v>843</v>
      </c>
      <c r="L869" s="2" t="s">
        <v>4965</v>
      </c>
      <c r="M869" s="3">
        <v>1</v>
      </c>
      <c r="N869" s="3">
        <v>2</v>
      </c>
      <c r="P869" s="2" t="s">
        <v>844</v>
      </c>
    </row>
    <row r="870" spans="1:16" ht="13">
      <c r="A870" s="2" t="s">
        <v>2</v>
      </c>
      <c r="B870" s="2" t="str">
        <f t="shared" si="13"/>
        <v>22-23 Academic Year</v>
      </c>
      <c r="C870" s="2">
        <v>24</v>
      </c>
      <c r="D870" s="2" t="s">
        <v>845</v>
      </c>
      <c r="E870" s="10">
        <v>44994</v>
      </c>
      <c r="F870" s="2" t="s">
        <v>69</v>
      </c>
      <c r="G870" s="2" t="s">
        <v>131</v>
      </c>
      <c r="H870" s="2" t="s">
        <v>6</v>
      </c>
      <c r="I870" s="2" t="s">
        <v>132</v>
      </c>
      <c r="J870" s="2" t="s">
        <v>4669</v>
      </c>
      <c r="K870" s="2" t="s">
        <v>136</v>
      </c>
      <c r="L870" s="2" t="s">
        <v>1508</v>
      </c>
      <c r="M870" s="3">
        <v>1</v>
      </c>
      <c r="N870" s="3">
        <v>2</v>
      </c>
      <c r="P870" s="2" t="s">
        <v>846</v>
      </c>
    </row>
    <row r="871" spans="1:16" ht="13">
      <c r="A871" s="2" t="s">
        <v>2</v>
      </c>
      <c r="B871" s="2" t="str">
        <f t="shared" si="13"/>
        <v>22-23 Academic Year</v>
      </c>
      <c r="C871" s="2">
        <v>24</v>
      </c>
      <c r="D871" s="2" t="s">
        <v>845</v>
      </c>
      <c r="E871" s="10">
        <v>44994</v>
      </c>
      <c r="F871" s="2" t="s">
        <v>69</v>
      </c>
      <c r="G871" s="2" t="s">
        <v>131</v>
      </c>
      <c r="H871" s="2" t="s">
        <v>6</v>
      </c>
      <c r="I871" s="2" t="s">
        <v>132</v>
      </c>
      <c r="J871" s="2" t="s">
        <v>4671</v>
      </c>
      <c r="K871" s="2" t="s">
        <v>847</v>
      </c>
      <c r="L871" s="2" t="s">
        <v>1745</v>
      </c>
      <c r="M871" s="3">
        <v>1</v>
      </c>
      <c r="N871" s="3">
        <v>2</v>
      </c>
      <c r="P871" s="2" t="s">
        <v>848</v>
      </c>
    </row>
    <row r="872" spans="1:16" ht="13">
      <c r="A872" s="2" t="s">
        <v>2</v>
      </c>
      <c r="B872" s="2" t="str">
        <f t="shared" si="13"/>
        <v>22-23 Academic Year</v>
      </c>
      <c r="C872" s="2">
        <v>24</v>
      </c>
      <c r="D872" s="2" t="s">
        <v>845</v>
      </c>
      <c r="E872" s="10">
        <v>44994</v>
      </c>
      <c r="F872" s="2" t="s">
        <v>69</v>
      </c>
      <c r="G872" s="2" t="s">
        <v>131</v>
      </c>
      <c r="H872" s="2" t="s">
        <v>6</v>
      </c>
      <c r="I872" s="2" t="s">
        <v>132</v>
      </c>
      <c r="J872" s="2" t="s">
        <v>4673</v>
      </c>
      <c r="K872" s="2" t="s">
        <v>849</v>
      </c>
      <c r="L872" s="2" t="s">
        <v>850</v>
      </c>
      <c r="M872" s="3">
        <v>1</v>
      </c>
      <c r="N872" s="3">
        <v>2</v>
      </c>
      <c r="P872" s="2" t="s">
        <v>851</v>
      </c>
    </row>
    <row r="873" spans="1:16" ht="13">
      <c r="A873" s="2" t="s">
        <v>2</v>
      </c>
      <c r="B873" s="2" t="str">
        <f t="shared" si="13"/>
        <v>22-23 Academic Year</v>
      </c>
      <c r="C873" s="2">
        <v>24</v>
      </c>
      <c r="D873" s="2" t="s">
        <v>845</v>
      </c>
      <c r="E873" s="10">
        <v>44994</v>
      </c>
      <c r="F873" s="2" t="s">
        <v>69</v>
      </c>
      <c r="G873" s="2" t="s">
        <v>131</v>
      </c>
      <c r="H873" s="2" t="s">
        <v>6</v>
      </c>
      <c r="I873" s="2" t="s">
        <v>132</v>
      </c>
      <c r="J873" s="2" t="s">
        <v>4675</v>
      </c>
      <c r="K873" s="2" t="s">
        <v>852</v>
      </c>
      <c r="L873" s="2" t="s">
        <v>2751</v>
      </c>
      <c r="M873" s="3">
        <v>1</v>
      </c>
      <c r="N873" s="3">
        <v>2</v>
      </c>
      <c r="P873" s="2" t="s">
        <v>853</v>
      </c>
    </row>
    <row r="874" spans="1:16" ht="13">
      <c r="A874" s="2" t="s">
        <v>2</v>
      </c>
      <c r="B874" s="2" t="str">
        <f t="shared" si="13"/>
        <v>22-23 Academic Year</v>
      </c>
      <c r="C874" s="2">
        <v>24</v>
      </c>
      <c r="D874" s="2" t="s">
        <v>845</v>
      </c>
      <c r="E874" s="10">
        <v>44994</v>
      </c>
      <c r="F874" s="2" t="s">
        <v>69</v>
      </c>
      <c r="G874" s="2" t="s">
        <v>131</v>
      </c>
      <c r="H874" s="2" t="s">
        <v>6</v>
      </c>
      <c r="I874" s="2" t="s">
        <v>132</v>
      </c>
      <c r="J874" s="2" t="s">
        <v>4677</v>
      </c>
      <c r="K874" s="2" t="s">
        <v>811</v>
      </c>
      <c r="L874" s="2" t="s">
        <v>812</v>
      </c>
      <c r="M874" s="3">
        <v>2</v>
      </c>
      <c r="N874" s="3">
        <v>2</v>
      </c>
      <c r="P874" s="2" t="s">
        <v>854</v>
      </c>
    </row>
    <row r="875" spans="1:16" ht="13">
      <c r="A875" s="2" t="s">
        <v>2</v>
      </c>
      <c r="B875" s="2" t="str">
        <f t="shared" si="13"/>
        <v>22-23 Academic Year</v>
      </c>
      <c r="C875" s="2">
        <v>24</v>
      </c>
      <c r="D875" s="2" t="s">
        <v>845</v>
      </c>
      <c r="E875" s="10">
        <v>44994</v>
      </c>
      <c r="F875" s="2" t="s">
        <v>69</v>
      </c>
      <c r="G875" s="2" t="s">
        <v>131</v>
      </c>
      <c r="H875" s="2" t="s">
        <v>6</v>
      </c>
      <c r="I875" s="2" t="s">
        <v>132</v>
      </c>
      <c r="J875" s="2" t="s">
        <v>4679</v>
      </c>
      <c r="K875" s="2" t="s">
        <v>667</v>
      </c>
      <c r="L875" s="2" t="s">
        <v>4858</v>
      </c>
      <c r="M875" s="3">
        <v>1</v>
      </c>
      <c r="N875" s="3">
        <v>2</v>
      </c>
      <c r="O875" s="2" t="s">
        <v>855</v>
      </c>
      <c r="P875" s="2" t="s">
        <v>856</v>
      </c>
    </row>
    <row r="876" spans="1:16" ht="13">
      <c r="A876" s="2" t="s">
        <v>2</v>
      </c>
      <c r="B876" s="2" t="str">
        <f t="shared" si="13"/>
        <v>22-23 Academic Year</v>
      </c>
      <c r="C876" s="2">
        <v>25</v>
      </c>
      <c r="D876" s="2" t="s">
        <v>857</v>
      </c>
      <c r="E876" s="10">
        <v>45005</v>
      </c>
      <c r="F876" s="2" t="s">
        <v>69</v>
      </c>
      <c r="G876" s="2" t="s">
        <v>131</v>
      </c>
      <c r="H876" s="2" t="s">
        <v>6</v>
      </c>
      <c r="I876" s="2" t="s">
        <v>699</v>
      </c>
      <c r="J876" s="2" t="s">
        <v>4687</v>
      </c>
      <c r="K876" s="2" t="s">
        <v>858</v>
      </c>
      <c r="L876" s="2" t="s">
        <v>4966</v>
      </c>
      <c r="M876" s="3">
        <v>2</v>
      </c>
      <c r="N876" s="3">
        <v>1</v>
      </c>
      <c r="P876" s="2" t="s">
        <v>859</v>
      </c>
    </row>
    <row r="877" spans="1:16" ht="13">
      <c r="A877" s="2" t="s">
        <v>2</v>
      </c>
      <c r="B877" s="2" t="str">
        <f t="shared" si="13"/>
        <v>22-23 Academic Year</v>
      </c>
      <c r="C877" s="2">
        <v>25</v>
      </c>
      <c r="D877" s="2" t="s">
        <v>857</v>
      </c>
      <c r="E877" s="10">
        <v>45005</v>
      </c>
      <c r="F877" s="2" t="s">
        <v>69</v>
      </c>
      <c r="G877" s="2" t="s">
        <v>131</v>
      </c>
      <c r="H877" s="2" t="s">
        <v>6</v>
      </c>
      <c r="I877" s="2" t="s">
        <v>699</v>
      </c>
      <c r="J877" s="2" t="s">
        <v>4688</v>
      </c>
      <c r="K877" s="2" t="s">
        <v>788</v>
      </c>
      <c r="L877" s="2" t="s">
        <v>4007</v>
      </c>
      <c r="M877" s="3">
        <v>1</v>
      </c>
      <c r="N877" s="3">
        <v>2</v>
      </c>
      <c r="P877" s="2" t="s">
        <v>860</v>
      </c>
    </row>
    <row r="878" spans="1:16" ht="13">
      <c r="A878" s="2" t="s">
        <v>2</v>
      </c>
      <c r="B878" s="2" t="str">
        <f t="shared" si="13"/>
        <v>22-23 Academic Year</v>
      </c>
      <c r="C878" s="2">
        <v>25</v>
      </c>
      <c r="D878" s="2" t="s">
        <v>857</v>
      </c>
      <c r="E878" s="10">
        <v>45005</v>
      </c>
      <c r="F878" s="2" t="s">
        <v>69</v>
      </c>
      <c r="G878" s="2" t="s">
        <v>131</v>
      </c>
      <c r="H878" s="2" t="s">
        <v>6</v>
      </c>
      <c r="I878" s="2" t="s">
        <v>699</v>
      </c>
      <c r="J878" s="2" t="s">
        <v>4690</v>
      </c>
      <c r="K878" s="2" t="s">
        <v>861</v>
      </c>
      <c r="L878" s="2" t="s">
        <v>4967</v>
      </c>
      <c r="M878" s="3">
        <v>1</v>
      </c>
      <c r="N878" s="3">
        <v>1</v>
      </c>
      <c r="P878" s="2" t="s">
        <v>862</v>
      </c>
    </row>
    <row r="879" spans="1:16" ht="13">
      <c r="A879" s="2" t="s">
        <v>2</v>
      </c>
      <c r="B879" s="2" t="str">
        <f t="shared" si="13"/>
        <v>22-23 Academic Year</v>
      </c>
      <c r="C879" s="2">
        <v>25</v>
      </c>
      <c r="D879" s="2" t="s">
        <v>857</v>
      </c>
      <c r="E879" s="10">
        <v>45005</v>
      </c>
      <c r="F879" s="2" t="s">
        <v>69</v>
      </c>
      <c r="G879" s="2" t="s">
        <v>131</v>
      </c>
      <c r="H879" s="2" t="s">
        <v>6</v>
      </c>
      <c r="I879" s="2" t="s">
        <v>699</v>
      </c>
      <c r="J879" s="2" t="s">
        <v>4692</v>
      </c>
      <c r="K879" s="2" t="s">
        <v>863</v>
      </c>
      <c r="L879" s="2" t="s">
        <v>4968</v>
      </c>
      <c r="M879" s="3">
        <v>3</v>
      </c>
      <c r="N879" s="3">
        <v>1</v>
      </c>
      <c r="P879" s="2" t="s">
        <v>864</v>
      </c>
    </row>
    <row r="880" spans="1:16" ht="13">
      <c r="A880" s="2" t="s">
        <v>2</v>
      </c>
      <c r="B880" s="2" t="str">
        <f t="shared" si="13"/>
        <v>22-23 Academic Year</v>
      </c>
      <c r="C880" s="2">
        <v>26</v>
      </c>
      <c r="D880" s="2" t="s">
        <v>865</v>
      </c>
      <c r="E880" s="10">
        <v>45009</v>
      </c>
      <c r="F880" s="2" t="s">
        <v>69</v>
      </c>
      <c r="G880" s="2" t="s">
        <v>131</v>
      </c>
      <c r="H880" s="2" t="s">
        <v>6</v>
      </c>
      <c r="I880" s="2" t="s">
        <v>699</v>
      </c>
      <c r="J880" s="2" t="s">
        <v>4687</v>
      </c>
      <c r="K880" s="2" t="s">
        <v>811</v>
      </c>
      <c r="L880" s="2" t="s">
        <v>812</v>
      </c>
      <c r="M880" s="3">
        <v>2</v>
      </c>
      <c r="N880" s="3">
        <v>2</v>
      </c>
      <c r="P880" s="2" t="s">
        <v>854</v>
      </c>
    </row>
    <row r="881" spans="1:16" ht="13">
      <c r="A881" s="2" t="s">
        <v>2</v>
      </c>
      <c r="B881" s="2" t="str">
        <f t="shared" si="13"/>
        <v>22-23 Academic Year</v>
      </c>
      <c r="C881" s="2">
        <v>26</v>
      </c>
      <c r="D881" s="2" t="s">
        <v>865</v>
      </c>
      <c r="E881" s="10">
        <v>45009</v>
      </c>
      <c r="F881" s="2" t="s">
        <v>69</v>
      </c>
      <c r="G881" s="2" t="s">
        <v>131</v>
      </c>
      <c r="H881" s="2" t="s">
        <v>6</v>
      </c>
      <c r="I881" s="2" t="s">
        <v>699</v>
      </c>
      <c r="J881" s="2" t="s">
        <v>4688</v>
      </c>
      <c r="K881" s="2" t="s">
        <v>670</v>
      </c>
      <c r="L881" s="2" t="s">
        <v>403</v>
      </c>
      <c r="M881" s="3">
        <v>1</v>
      </c>
      <c r="N881" s="3">
        <v>2</v>
      </c>
      <c r="P881" s="2" t="s">
        <v>866</v>
      </c>
    </row>
    <row r="882" spans="1:16" ht="13">
      <c r="A882" s="2" t="s">
        <v>2</v>
      </c>
      <c r="B882" s="2" t="str">
        <f t="shared" si="13"/>
        <v>22-23 Academic Year</v>
      </c>
      <c r="C882" s="2">
        <v>26</v>
      </c>
      <c r="D882" s="2" t="s">
        <v>865</v>
      </c>
      <c r="E882" s="10">
        <v>45009</v>
      </c>
      <c r="F882" s="2" t="s">
        <v>69</v>
      </c>
      <c r="G882" s="2" t="s">
        <v>131</v>
      </c>
      <c r="H882" s="2" t="s">
        <v>6</v>
      </c>
      <c r="I882" s="2" t="s">
        <v>699</v>
      </c>
      <c r="J882" s="2" t="s">
        <v>4690</v>
      </c>
      <c r="K882" s="2" t="s">
        <v>105</v>
      </c>
      <c r="L882" s="2" t="s">
        <v>1404</v>
      </c>
      <c r="M882" s="3">
        <v>1</v>
      </c>
      <c r="N882" s="3">
        <v>2</v>
      </c>
      <c r="P882" s="2" t="s">
        <v>867</v>
      </c>
    </row>
    <row r="883" spans="1:16" ht="13">
      <c r="A883" s="2" t="s">
        <v>2</v>
      </c>
      <c r="B883" s="2" t="str">
        <f t="shared" si="13"/>
        <v>22-23 Academic Year</v>
      </c>
      <c r="C883" s="2">
        <v>26</v>
      </c>
      <c r="D883" s="2" t="s">
        <v>865</v>
      </c>
      <c r="E883" s="10">
        <v>45009</v>
      </c>
      <c r="F883" s="2" t="s">
        <v>69</v>
      </c>
      <c r="G883" s="2" t="s">
        <v>131</v>
      </c>
      <c r="H883" s="2" t="s">
        <v>6</v>
      </c>
      <c r="I883" s="2" t="s">
        <v>699</v>
      </c>
      <c r="J883" s="2" t="s">
        <v>4692</v>
      </c>
      <c r="K883" s="2" t="s">
        <v>774</v>
      </c>
      <c r="L883" s="2" t="s">
        <v>1117</v>
      </c>
      <c r="M883" s="3">
        <v>1</v>
      </c>
      <c r="N883" s="3">
        <v>2</v>
      </c>
      <c r="P883" s="2" t="s">
        <v>868</v>
      </c>
    </row>
    <row r="884" spans="1:16" ht="13">
      <c r="A884" s="2" t="s">
        <v>2</v>
      </c>
      <c r="B884" s="2" t="str">
        <f t="shared" si="13"/>
        <v>22-23 Academic Year</v>
      </c>
      <c r="C884" s="2">
        <v>27</v>
      </c>
      <c r="D884" s="2" t="s">
        <v>869</v>
      </c>
      <c r="E884" s="10">
        <v>45010</v>
      </c>
      <c r="F884" s="2" t="s">
        <v>69</v>
      </c>
      <c r="G884" s="2" t="s">
        <v>131</v>
      </c>
      <c r="H884" s="2" t="s">
        <v>6</v>
      </c>
      <c r="I884" s="2" t="s">
        <v>728</v>
      </c>
      <c r="J884" s="2" t="s">
        <v>4687</v>
      </c>
      <c r="K884" s="2" t="s">
        <v>22</v>
      </c>
      <c r="L884" s="2" t="s">
        <v>4330</v>
      </c>
      <c r="M884" s="3">
        <v>2</v>
      </c>
      <c r="N884" s="3">
        <v>2</v>
      </c>
      <c r="P884" s="2" t="s">
        <v>870</v>
      </c>
    </row>
    <row r="885" spans="1:16" ht="13">
      <c r="A885" s="2" t="s">
        <v>2</v>
      </c>
      <c r="B885" s="2" t="str">
        <f t="shared" si="13"/>
        <v>22-23 Academic Year</v>
      </c>
      <c r="C885" s="2">
        <v>27</v>
      </c>
      <c r="D885" s="2" t="s">
        <v>869</v>
      </c>
      <c r="E885" s="10">
        <v>45010</v>
      </c>
      <c r="F885" s="2" t="s">
        <v>69</v>
      </c>
      <c r="G885" s="2" t="s">
        <v>131</v>
      </c>
      <c r="H885" s="2" t="s">
        <v>6</v>
      </c>
      <c r="I885" s="2" t="s">
        <v>728</v>
      </c>
      <c r="J885" s="2" t="s">
        <v>4688</v>
      </c>
      <c r="K885" s="2" t="s">
        <v>670</v>
      </c>
      <c r="L885" s="2" t="s">
        <v>403</v>
      </c>
      <c r="M885" s="3">
        <v>1</v>
      </c>
      <c r="N885" s="3">
        <v>2</v>
      </c>
      <c r="P885" s="2" t="s">
        <v>871</v>
      </c>
    </row>
    <row r="886" spans="1:16" ht="13">
      <c r="A886" s="2" t="s">
        <v>2</v>
      </c>
      <c r="B886" s="2" t="str">
        <f t="shared" si="13"/>
        <v>22-23 Academic Year</v>
      </c>
      <c r="C886" s="2">
        <v>27</v>
      </c>
      <c r="D886" s="2" t="s">
        <v>869</v>
      </c>
      <c r="E886" s="10">
        <v>45010</v>
      </c>
      <c r="F886" s="2" t="s">
        <v>69</v>
      </c>
      <c r="G886" s="2" t="s">
        <v>131</v>
      </c>
      <c r="H886" s="2" t="s">
        <v>6</v>
      </c>
      <c r="I886" s="2" t="s">
        <v>728</v>
      </c>
      <c r="J886" s="2" t="s">
        <v>4690</v>
      </c>
      <c r="K886" s="2" t="s">
        <v>872</v>
      </c>
      <c r="L886" s="2" t="s">
        <v>4969</v>
      </c>
      <c r="M886" s="3">
        <v>1</v>
      </c>
      <c r="N886" s="3">
        <v>2</v>
      </c>
      <c r="P886" s="2" t="s">
        <v>873</v>
      </c>
    </row>
    <row r="887" spans="1:16" ht="13">
      <c r="A887" s="2" t="s">
        <v>2</v>
      </c>
      <c r="B887" s="2" t="str">
        <f t="shared" si="13"/>
        <v>22-23 Academic Year</v>
      </c>
      <c r="C887" s="2">
        <v>27</v>
      </c>
      <c r="D887" s="2" t="s">
        <v>869</v>
      </c>
      <c r="E887" s="10">
        <v>45010</v>
      </c>
      <c r="F887" s="2" t="s">
        <v>69</v>
      </c>
      <c r="G887" s="2" t="s">
        <v>131</v>
      </c>
      <c r="H887" s="2" t="s">
        <v>6</v>
      </c>
      <c r="I887" s="2" t="s">
        <v>728</v>
      </c>
      <c r="J887" s="2" t="s">
        <v>4692</v>
      </c>
      <c r="K887" s="2" t="s">
        <v>725</v>
      </c>
      <c r="L887" s="2" t="s">
        <v>4947</v>
      </c>
      <c r="M887" s="3">
        <v>1</v>
      </c>
      <c r="N887" s="3">
        <v>2</v>
      </c>
      <c r="P887" s="2" t="s">
        <v>874</v>
      </c>
    </row>
    <row r="888" spans="1:16" ht="13">
      <c r="A888" s="2" t="s">
        <v>2</v>
      </c>
      <c r="B888" s="2" t="str">
        <f t="shared" si="13"/>
        <v>22-23 Academic Year</v>
      </c>
      <c r="C888" s="2">
        <v>28</v>
      </c>
      <c r="D888" s="2" t="s">
        <v>875</v>
      </c>
      <c r="E888" s="10">
        <v>45011</v>
      </c>
      <c r="F888" s="2" t="s">
        <v>69</v>
      </c>
      <c r="G888" s="2" t="s">
        <v>131</v>
      </c>
      <c r="H888" s="2" t="s">
        <v>6</v>
      </c>
      <c r="I888" s="2" t="s">
        <v>434</v>
      </c>
      <c r="J888" s="2" t="s">
        <v>4687</v>
      </c>
      <c r="K888" s="2" t="s">
        <v>605</v>
      </c>
      <c r="L888" s="2" t="s">
        <v>1407</v>
      </c>
      <c r="M888" s="3">
        <v>1</v>
      </c>
      <c r="N888" s="3">
        <v>2</v>
      </c>
      <c r="P888" s="2" t="s">
        <v>876</v>
      </c>
    </row>
    <row r="889" spans="1:16" ht="13">
      <c r="A889" s="2" t="s">
        <v>2</v>
      </c>
      <c r="B889" s="2" t="str">
        <f t="shared" si="13"/>
        <v>22-23 Academic Year</v>
      </c>
      <c r="C889" s="2">
        <v>28</v>
      </c>
      <c r="D889" s="2" t="s">
        <v>875</v>
      </c>
      <c r="E889" s="10">
        <v>45011</v>
      </c>
      <c r="F889" s="2" t="s">
        <v>69</v>
      </c>
      <c r="G889" s="2" t="s">
        <v>131</v>
      </c>
      <c r="H889" s="2" t="s">
        <v>6</v>
      </c>
      <c r="I889" s="2" t="s">
        <v>434</v>
      </c>
      <c r="J889" s="2" t="s">
        <v>4688</v>
      </c>
      <c r="K889" s="2" t="s">
        <v>472</v>
      </c>
      <c r="L889" s="2" t="s">
        <v>1352</v>
      </c>
      <c r="M889" s="3">
        <v>1</v>
      </c>
      <c r="N889" s="3">
        <v>2</v>
      </c>
      <c r="P889" s="2" t="s">
        <v>877</v>
      </c>
    </row>
    <row r="890" spans="1:16" ht="13">
      <c r="A890" s="2" t="s">
        <v>2</v>
      </c>
      <c r="B890" s="2" t="str">
        <f t="shared" si="13"/>
        <v>22-23 Academic Year</v>
      </c>
      <c r="C890" s="2">
        <v>28</v>
      </c>
      <c r="D890" s="2" t="s">
        <v>875</v>
      </c>
      <c r="E890" s="10">
        <v>45011</v>
      </c>
      <c r="F890" s="2" t="s">
        <v>69</v>
      </c>
      <c r="G890" s="2" t="s">
        <v>131</v>
      </c>
      <c r="H890" s="2" t="s">
        <v>6</v>
      </c>
      <c r="I890" s="2" t="s">
        <v>434</v>
      </c>
      <c r="J890" s="2" t="s">
        <v>4690</v>
      </c>
      <c r="K890" s="2" t="s">
        <v>878</v>
      </c>
      <c r="L890" s="2" t="s">
        <v>879</v>
      </c>
      <c r="M890" s="3">
        <v>3</v>
      </c>
      <c r="N890" s="3">
        <v>2</v>
      </c>
      <c r="P890" s="2" t="s">
        <v>880</v>
      </c>
    </row>
    <row r="891" spans="1:16" ht="13">
      <c r="A891" s="2" t="s">
        <v>2</v>
      </c>
      <c r="B891" s="2" t="str">
        <f t="shared" si="13"/>
        <v>22-23 Academic Year</v>
      </c>
      <c r="C891" s="2">
        <v>28</v>
      </c>
      <c r="D891" s="2" t="s">
        <v>875</v>
      </c>
      <c r="E891" s="10">
        <v>45011</v>
      </c>
      <c r="F891" s="2" t="s">
        <v>69</v>
      </c>
      <c r="G891" s="2" t="s">
        <v>131</v>
      </c>
      <c r="H891" s="2" t="s">
        <v>6</v>
      </c>
      <c r="I891" s="2" t="s">
        <v>434</v>
      </c>
      <c r="J891" s="2" t="s">
        <v>4692</v>
      </c>
      <c r="K891" s="2" t="s">
        <v>881</v>
      </c>
      <c r="L891" s="2" t="s">
        <v>4970</v>
      </c>
      <c r="M891" s="3">
        <v>4</v>
      </c>
      <c r="N891" s="3">
        <v>1</v>
      </c>
      <c r="P891" s="2" t="s">
        <v>882</v>
      </c>
    </row>
    <row r="892" spans="1:16" ht="13">
      <c r="A892" s="2" t="s">
        <v>2</v>
      </c>
      <c r="B892" s="2" t="str">
        <f t="shared" si="13"/>
        <v>22-23 Academic Year</v>
      </c>
      <c r="C892" s="2">
        <v>29</v>
      </c>
      <c r="D892" s="2" t="s">
        <v>883</v>
      </c>
      <c r="E892" s="10">
        <v>45012</v>
      </c>
      <c r="F892" s="2" t="s">
        <v>69</v>
      </c>
      <c r="G892" s="2" t="s">
        <v>131</v>
      </c>
      <c r="H892" s="2" t="s">
        <v>6</v>
      </c>
      <c r="I892" s="2" t="s">
        <v>699</v>
      </c>
      <c r="J892" s="2" t="s">
        <v>4665</v>
      </c>
      <c r="K892" s="2" t="s">
        <v>884</v>
      </c>
      <c r="L892" s="2" t="s">
        <v>1872</v>
      </c>
      <c r="M892" s="3">
        <v>2</v>
      </c>
      <c r="N892" s="3">
        <v>1</v>
      </c>
      <c r="P892" s="2" t="s">
        <v>885</v>
      </c>
    </row>
    <row r="893" spans="1:16" ht="13">
      <c r="A893" s="2" t="s">
        <v>2</v>
      </c>
      <c r="B893" s="2" t="str">
        <f t="shared" si="13"/>
        <v>22-23 Academic Year</v>
      </c>
      <c r="C893" s="2">
        <v>29</v>
      </c>
      <c r="D893" s="2" t="s">
        <v>883</v>
      </c>
      <c r="E893" s="10">
        <v>45012</v>
      </c>
      <c r="F893" s="2" t="s">
        <v>69</v>
      </c>
      <c r="G893" s="2" t="s">
        <v>131</v>
      </c>
      <c r="H893" s="2" t="s">
        <v>6</v>
      </c>
      <c r="I893" s="2" t="s">
        <v>699</v>
      </c>
      <c r="J893" s="2" t="s">
        <v>4666</v>
      </c>
      <c r="K893" s="2" t="s">
        <v>371</v>
      </c>
      <c r="L893" s="2" t="s">
        <v>372</v>
      </c>
      <c r="M893" s="3">
        <v>1</v>
      </c>
      <c r="N893" s="3">
        <v>2</v>
      </c>
      <c r="P893" s="2" t="s">
        <v>886</v>
      </c>
    </row>
    <row r="894" spans="1:16" ht="13">
      <c r="A894" s="2" t="s">
        <v>2</v>
      </c>
      <c r="B894" s="2" t="str">
        <f t="shared" si="13"/>
        <v>22-23 Academic Year</v>
      </c>
      <c r="C894" s="2">
        <v>29</v>
      </c>
      <c r="D894" s="2" t="s">
        <v>883</v>
      </c>
      <c r="E894" s="10">
        <v>45012</v>
      </c>
      <c r="F894" s="2" t="s">
        <v>69</v>
      </c>
      <c r="G894" s="2" t="s">
        <v>131</v>
      </c>
      <c r="H894" s="2" t="s">
        <v>6</v>
      </c>
      <c r="I894" s="2" t="s">
        <v>699</v>
      </c>
      <c r="J894" s="2" t="s">
        <v>4668</v>
      </c>
      <c r="K894" s="2" t="s">
        <v>98</v>
      </c>
      <c r="L894" s="2" t="s">
        <v>3348</v>
      </c>
      <c r="M894" s="3">
        <v>1</v>
      </c>
      <c r="N894" s="3">
        <v>2</v>
      </c>
    </row>
    <row r="895" spans="1:16" ht="13">
      <c r="A895" s="2" t="s">
        <v>2</v>
      </c>
      <c r="B895" s="2" t="str">
        <f t="shared" si="13"/>
        <v>22-23 Academic Year</v>
      </c>
      <c r="C895" s="2">
        <v>30</v>
      </c>
      <c r="D895" s="2" t="s">
        <v>887</v>
      </c>
      <c r="E895" s="10">
        <v>45015</v>
      </c>
      <c r="F895" s="2" t="s">
        <v>69</v>
      </c>
      <c r="G895" s="2" t="s">
        <v>887</v>
      </c>
      <c r="H895" s="2" t="s">
        <v>7</v>
      </c>
      <c r="J895" s="2" t="s">
        <v>4800</v>
      </c>
      <c r="K895" s="2" t="s">
        <v>237</v>
      </c>
      <c r="L895" s="2" t="s">
        <v>1421</v>
      </c>
      <c r="M895" s="3">
        <v>1</v>
      </c>
      <c r="N895" s="3">
        <v>1</v>
      </c>
      <c r="P895" s="2" t="s">
        <v>888</v>
      </c>
    </row>
    <row r="896" spans="1:16" ht="13">
      <c r="A896" s="2" t="s">
        <v>2</v>
      </c>
      <c r="B896" s="2" t="str">
        <f t="shared" si="13"/>
        <v>22-23 Academic Year</v>
      </c>
      <c r="C896" s="2">
        <v>30</v>
      </c>
      <c r="D896" s="2" t="s">
        <v>889</v>
      </c>
      <c r="E896" s="10">
        <v>45014</v>
      </c>
      <c r="F896" s="2" t="s">
        <v>69</v>
      </c>
      <c r="G896" s="2" t="s">
        <v>131</v>
      </c>
      <c r="H896" s="2" t="s">
        <v>6</v>
      </c>
      <c r="I896" s="2" t="s">
        <v>132</v>
      </c>
      <c r="J896" s="2" t="s">
        <v>4680</v>
      </c>
      <c r="K896" s="2" t="s">
        <v>890</v>
      </c>
      <c r="L896" s="2" t="s">
        <v>891</v>
      </c>
      <c r="M896" s="3">
        <v>3</v>
      </c>
      <c r="N896" s="3">
        <v>2</v>
      </c>
      <c r="P896" s="2" t="s">
        <v>892</v>
      </c>
    </row>
    <row r="897" spans="1:16" ht="13">
      <c r="A897" s="2" t="s">
        <v>2</v>
      </c>
      <c r="B897" s="2" t="str">
        <f t="shared" si="13"/>
        <v>22-23 Academic Year</v>
      </c>
      <c r="C897" s="2">
        <v>30</v>
      </c>
      <c r="D897" s="2" t="s">
        <v>889</v>
      </c>
      <c r="E897" s="10">
        <v>45014</v>
      </c>
      <c r="F897" s="2" t="s">
        <v>69</v>
      </c>
      <c r="G897" s="2" t="s">
        <v>131</v>
      </c>
      <c r="H897" s="2" t="s">
        <v>6</v>
      </c>
      <c r="I897" s="2" t="s">
        <v>132</v>
      </c>
      <c r="J897" s="2" t="s">
        <v>4681</v>
      </c>
      <c r="K897" s="2" t="s">
        <v>893</v>
      </c>
      <c r="L897" s="2" t="s">
        <v>2112</v>
      </c>
      <c r="M897" s="3">
        <v>3</v>
      </c>
      <c r="N897" s="3">
        <v>2</v>
      </c>
      <c r="P897" s="2" t="s">
        <v>894</v>
      </c>
    </row>
    <row r="898" spans="1:16" ht="13">
      <c r="A898" s="2" t="s">
        <v>2</v>
      </c>
      <c r="B898" s="2" t="str">
        <f t="shared" si="13"/>
        <v>22-23 Academic Year</v>
      </c>
      <c r="C898" s="2">
        <v>30</v>
      </c>
      <c r="D898" s="2" t="s">
        <v>889</v>
      </c>
      <c r="E898" s="10">
        <v>45014</v>
      </c>
      <c r="F898" s="2" t="s">
        <v>69</v>
      </c>
      <c r="G898" s="2" t="s">
        <v>131</v>
      </c>
      <c r="H898" s="2" t="s">
        <v>6</v>
      </c>
      <c r="I898" s="2" t="s">
        <v>132</v>
      </c>
      <c r="J898" s="2" t="s">
        <v>4683</v>
      </c>
      <c r="K898" s="2" t="s">
        <v>895</v>
      </c>
      <c r="L898" s="2" t="s">
        <v>4971</v>
      </c>
      <c r="M898" s="3">
        <v>1</v>
      </c>
      <c r="N898" s="3">
        <v>1</v>
      </c>
      <c r="P898" s="2" t="s">
        <v>896</v>
      </c>
    </row>
    <row r="899" spans="1:16" ht="13">
      <c r="A899" s="2" t="s">
        <v>2</v>
      </c>
      <c r="B899" s="2" t="str">
        <f t="shared" ref="B899:B962" si="14">RIGHT(TEXT(IF(LEFT(A899,4)="Fall",VALUE(RIGHT(A899,4)),VALUE(RIGHT(A899,4))-1),"00"),2)
 &amp; "-" &amp;
 RIGHT(TEXT(IF(LEFT(A899,4)="Fall",VALUE(RIGHT(A899,4))+1,VALUE(RIGHT(A899,4))),"00"),2)
 &amp; " Academic Year"</f>
        <v>22-23 Academic Year</v>
      </c>
      <c r="C899" s="2">
        <v>30</v>
      </c>
      <c r="D899" s="2" t="s">
        <v>889</v>
      </c>
      <c r="E899" s="10">
        <v>45014</v>
      </c>
      <c r="F899" s="2" t="s">
        <v>69</v>
      </c>
      <c r="G899" s="2" t="s">
        <v>131</v>
      </c>
      <c r="H899" s="2" t="s">
        <v>6</v>
      </c>
      <c r="I899" s="2" t="s">
        <v>132</v>
      </c>
      <c r="J899" s="2" t="s">
        <v>4684</v>
      </c>
      <c r="K899" s="2" t="s">
        <v>897</v>
      </c>
      <c r="L899" s="2" t="s">
        <v>4498</v>
      </c>
      <c r="M899" s="3">
        <v>3</v>
      </c>
      <c r="N899" s="3">
        <v>2</v>
      </c>
      <c r="P899" s="2" t="s">
        <v>898</v>
      </c>
    </row>
    <row r="900" spans="1:16" ht="13">
      <c r="A900" s="2" t="s">
        <v>2</v>
      </c>
      <c r="B900" s="2" t="str">
        <f t="shared" si="14"/>
        <v>22-23 Academic Year</v>
      </c>
      <c r="C900" s="2">
        <v>30</v>
      </c>
      <c r="D900" s="2" t="s">
        <v>889</v>
      </c>
      <c r="E900" s="10">
        <v>45014</v>
      </c>
      <c r="F900" s="2" t="s">
        <v>69</v>
      </c>
      <c r="G900" s="2" t="s">
        <v>131</v>
      </c>
      <c r="H900" s="2" t="s">
        <v>6</v>
      </c>
      <c r="I900" s="2" t="s">
        <v>132</v>
      </c>
      <c r="J900" s="2" t="s">
        <v>4686</v>
      </c>
      <c r="K900" s="2" t="s">
        <v>803</v>
      </c>
      <c r="L900" s="2" t="s">
        <v>78</v>
      </c>
      <c r="M900" s="3">
        <v>3</v>
      </c>
      <c r="N900" s="3">
        <v>1</v>
      </c>
      <c r="P900" s="2" t="s">
        <v>899</v>
      </c>
    </row>
    <row r="901" spans="1:16" ht="13">
      <c r="A901" s="2" t="s">
        <v>2</v>
      </c>
      <c r="B901" s="2" t="str">
        <f t="shared" si="14"/>
        <v>22-23 Academic Year</v>
      </c>
      <c r="C901" s="2">
        <v>31</v>
      </c>
      <c r="D901" s="2" t="s">
        <v>92</v>
      </c>
      <c r="E901" s="10">
        <v>45016</v>
      </c>
      <c r="F901" s="2" t="s">
        <v>69</v>
      </c>
      <c r="G901" s="2" t="s">
        <v>92</v>
      </c>
      <c r="H901" s="2" t="s">
        <v>6</v>
      </c>
      <c r="J901" s="2" t="s">
        <v>4687</v>
      </c>
      <c r="K901" s="2" t="s">
        <v>59</v>
      </c>
      <c r="L901" s="2" t="s">
        <v>60</v>
      </c>
      <c r="M901" s="3">
        <v>1</v>
      </c>
      <c r="N901" s="3">
        <v>2</v>
      </c>
      <c r="P901" s="2" t="s">
        <v>900</v>
      </c>
    </row>
    <row r="902" spans="1:16" ht="13">
      <c r="A902" s="2" t="s">
        <v>2</v>
      </c>
      <c r="B902" s="2" t="str">
        <f t="shared" si="14"/>
        <v>22-23 Academic Year</v>
      </c>
      <c r="C902" s="2">
        <v>31</v>
      </c>
      <c r="D902" s="2" t="s">
        <v>92</v>
      </c>
      <c r="E902" s="10">
        <v>45016</v>
      </c>
      <c r="F902" s="2" t="s">
        <v>69</v>
      </c>
      <c r="G902" s="2" t="s">
        <v>92</v>
      </c>
      <c r="H902" s="2" t="s">
        <v>6</v>
      </c>
      <c r="J902" s="2" t="s">
        <v>4688</v>
      </c>
      <c r="K902" s="2" t="s">
        <v>567</v>
      </c>
      <c r="L902" s="2" t="s">
        <v>2026</v>
      </c>
      <c r="M902" s="3">
        <v>2</v>
      </c>
      <c r="N902" s="3">
        <v>1</v>
      </c>
      <c r="P902" s="2" t="s">
        <v>901</v>
      </c>
    </row>
    <row r="903" spans="1:16" ht="13">
      <c r="A903" s="2" t="s">
        <v>2</v>
      </c>
      <c r="B903" s="2" t="str">
        <f t="shared" si="14"/>
        <v>22-23 Academic Year</v>
      </c>
      <c r="C903" s="2">
        <v>31</v>
      </c>
      <c r="D903" s="2" t="s">
        <v>92</v>
      </c>
      <c r="E903" s="10">
        <v>45016</v>
      </c>
      <c r="F903" s="2" t="s">
        <v>69</v>
      </c>
      <c r="G903" s="2" t="s">
        <v>92</v>
      </c>
      <c r="H903" s="2" t="s">
        <v>6</v>
      </c>
      <c r="J903" s="2" t="s">
        <v>4690</v>
      </c>
      <c r="K903" s="2" t="s">
        <v>902</v>
      </c>
      <c r="L903" s="2" t="s">
        <v>2048</v>
      </c>
      <c r="M903" s="3">
        <v>999</v>
      </c>
      <c r="N903" s="3">
        <v>999</v>
      </c>
      <c r="P903" s="2" t="s">
        <v>903</v>
      </c>
    </row>
    <row r="904" spans="1:16" ht="13">
      <c r="A904" s="2" t="s">
        <v>2</v>
      </c>
      <c r="B904" s="2" t="str">
        <f t="shared" si="14"/>
        <v>22-23 Academic Year</v>
      </c>
      <c r="C904" s="2">
        <v>31</v>
      </c>
      <c r="D904" s="2" t="s">
        <v>92</v>
      </c>
      <c r="E904" s="10">
        <v>45016</v>
      </c>
      <c r="F904" s="2" t="s">
        <v>69</v>
      </c>
      <c r="G904" s="2" t="s">
        <v>92</v>
      </c>
      <c r="H904" s="2" t="s">
        <v>6</v>
      </c>
      <c r="J904" s="2" t="s">
        <v>4692</v>
      </c>
      <c r="K904" s="2" t="s">
        <v>59</v>
      </c>
      <c r="L904" s="2" t="s">
        <v>60</v>
      </c>
      <c r="M904" s="3">
        <v>1</v>
      </c>
      <c r="N904" s="3">
        <v>2</v>
      </c>
      <c r="P904" s="2" t="s">
        <v>904</v>
      </c>
    </row>
    <row r="905" spans="1:16" ht="13">
      <c r="A905" s="2" t="s">
        <v>2</v>
      </c>
      <c r="B905" s="2" t="str">
        <f t="shared" si="14"/>
        <v>22-23 Academic Year</v>
      </c>
      <c r="C905" s="2">
        <v>32</v>
      </c>
      <c r="D905" s="2" t="s">
        <v>905</v>
      </c>
      <c r="E905" s="10">
        <v>45020</v>
      </c>
      <c r="F905" s="2" t="s">
        <v>69</v>
      </c>
      <c r="G905" s="2" t="s">
        <v>131</v>
      </c>
      <c r="H905" s="2" t="s">
        <v>6</v>
      </c>
      <c r="I905" s="2" t="s">
        <v>728</v>
      </c>
      <c r="J905" s="2" t="s">
        <v>4687</v>
      </c>
      <c r="K905" s="2" t="s">
        <v>906</v>
      </c>
      <c r="L905" s="2" t="s">
        <v>4972</v>
      </c>
      <c r="M905" s="3">
        <v>1</v>
      </c>
      <c r="N905" s="3">
        <v>2</v>
      </c>
      <c r="P905" s="2" t="s">
        <v>907</v>
      </c>
    </row>
    <row r="906" spans="1:16" ht="13">
      <c r="A906" s="2" t="s">
        <v>2</v>
      </c>
      <c r="B906" s="2" t="str">
        <f t="shared" si="14"/>
        <v>22-23 Academic Year</v>
      </c>
      <c r="C906" s="2">
        <v>32</v>
      </c>
      <c r="D906" s="2" t="s">
        <v>905</v>
      </c>
      <c r="E906" s="10">
        <v>45020</v>
      </c>
      <c r="F906" s="2" t="s">
        <v>69</v>
      </c>
      <c r="G906" s="2" t="s">
        <v>131</v>
      </c>
      <c r="H906" s="2" t="s">
        <v>6</v>
      </c>
      <c r="I906" s="2" t="s">
        <v>728</v>
      </c>
      <c r="J906" s="2" t="s">
        <v>4688</v>
      </c>
      <c r="K906" s="2" t="s">
        <v>908</v>
      </c>
      <c r="L906" s="2" t="s">
        <v>4973</v>
      </c>
      <c r="M906" s="3">
        <v>1</v>
      </c>
      <c r="N906" s="3">
        <v>1</v>
      </c>
      <c r="P906" s="2" t="s">
        <v>909</v>
      </c>
    </row>
    <row r="907" spans="1:16" ht="13">
      <c r="A907" s="2" t="s">
        <v>2</v>
      </c>
      <c r="B907" s="2" t="str">
        <f t="shared" si="14"/>
        <v>22-23 Academic Year</v>
      </c>
      <c r="C907" s="2">
        <v>32</v>
      </c>
      <c r="D907" s="2" t="s">
        <v>905</v>
      </c>
      <c r="E907" s="10">
        <v>45020</v>
      </c>
      <c r="F907" s="2" t="s">
        <v>69</v>
      </c>
      <c r="G907" s="2" t="s">
        <v>131</v>
      </c>
      <c r="H907" s="2" t="s">
        <v>6</v>
      </c>
      <c r="I907" s="2" t="s">
        <v>728</v>
      </c>
      <c r="J907" s="2" t="s">
        <v>4690</v>
      </c>
      <c r="K907" s="2" t="s">
        <v>722</v>
      </c>
      <c r="L907" s="2" t="s">
        <v>1266</v>
      </c>
      <c r="M907" s="3">
        <v>4</v>
      </c>
      <c r="N907" s="3">
        <v>1</v>
      </c>
      <c r="P907" s="2" t="s">
        <v>910</v>
      </c>
    </row>
    <row r="908" spans="1:16" ht="13">
      <c r="A908" s="2" t="s">
        <v>2</v>
      </c>
      <c r="B908" s="2" t="str">
        <f t="shared" si="14"/>
        <v>22-23 Academic Year</v>
      </c>
      <c r="C908" s="2">
        <v>32</v>
      </c>
      <c r="D908" s="2" t="s">
        <v>905</v>
      </c>
      <c r="E908" s="10">
        <v>45020</v>
      </c>
      <c r="F908" s="2" t="s">
        <v>69</v>
      </c>
      <c r="G908" s="2" t="s">
        <v>131</v>
      </c>
      <c r="H908" s="2" t="s">
        <v>6</v>
      </c>
      <c r="I908" s="2" t="s">
        <v>728</v>
      </c>
      <c r="J908" s="2" t="s">
        <v>4692</v>
      </c>
      <c r="K908" s="2" t="s">
        <v>696</v>
      </c>
      <c r="L908" s="2" t="s">
        <v>3819</v>
      </c>
      <c r="M908" s="3">
        <v>1</v>
      </c>
      <c r="N908" s="3">
        <v>2</v>
      </c>
      <c r="P908" s="2" t="s">
        <v>911</v>
      </c>
    </row>
    <row r="909" spans="1:16" ht="13">
      <c r="A909" s="2" t="s">
        <v>2</v>
      </c>
      <c r="B909" s="2" t="str">
        <f t="shared" si="14"/>
        <v>22-23 Academic Year</v>
      </c>
      <c r="C909" s="2">
        <v>33</v>
      </c>
      <c r="D909" s="2" t="s">
        <v>912</v>
      </c>
      <c r="E909" s="10">
        <v>45023</v>
      </c>
      <c r="F909" s="2" t="s">
        <v>69</v>
      </c>
      <c r="G909" s="2" t="s">
        <v>131</v>
      </c>
      <c r="H909" s="2" t="s">
        <v>6</v>
      </c>
      <c r="I909" s="2" t="s">
        <v>913</v>
      </c>
      <c r="J909" s="2" t="s">
        <v>4687</v>
      </c>
      <c r="K909" s="2" t="s">
        <v>914</v>
      </c>
      <c r="L909" s="2" t="s">
        <v>4974</v>
      </c>
      <c r="M909" s="3">
        <v>1</v>
      </c>
      <c r="N909" s="3">
        <v>2</v>
      </c>
      <c r="P909" s="2" t="s">
        <v>915</v>
      </c>
    </row>
    <row r="910" spans="1:16" ht="13">
      <c r="A910" s="2" t="s">
        <v>2</v>
      </c>
      <c r="B910" s="2" t="str">
        <f t="shared" si="14"/>
        <v>22-23 Academic Year</v>
      </c>
      <c r="C910" s="2">
        <v>33</v>
      </c>
      <c r="D910" s="2" t="s">
        <v>912</v>
      </c>
      <c r="E910" s="10">
        <v>45023</v>
      </c>
      <c r="F910" s="2" t="s">
        <v>69</v>
      </c>
      <c r="G910" s="2" t="s">
        <v>131</v>
      </c>
      <c r="H910" s="2" t="s">
        <v>6</v>
      </c>
      <c r="I910" s="2" t="s">
        <v>913</v>
      </c>
      <c r="J910" s="2" t="s">
        <v>4688</v>
      </c>
      <c r="K910" s="2" t="s">
        <v>916</v>
      </c>
      <c r="L910" s="2" t="s">
        <v>4975</v>
      </c>
      <c r="M910" s="3">
        <v>1</v>
      </c>
      <c r="N910" s="3">
        <v>2</v>
      </c>
      <c r="P910" s="2" t="s">
        <v>917</v>
      </c>
    </row>
    <row r="911" spans="1:16" ht="13">
      <c r="A911" s="2" t="s">
        <v>2</v>
      </c>
      <c r="B911" s="2" t="str">
        <f t="shared" si="14"/>
        <v>22-23 Academic Year</v>
      </c>
      <c r="C911" s="2">
        <v>33</v>
      </c>
      <c r="D911" s="2" t="s">
        <v>912</v>
      </c>
      <c r="E911" s="10">
        <v>45023</v>
      </c>
      <c r="F911" s="2" t="s">
        <v>69</v>
      </c>
      <c r="G911" s="2" t="s">
        <v>131</v>
      </c>
      <c r="H911" s="2" t="s">
        <v>6</v>
      </c>
      <c r="I911" s="2" t="s">
        <v>913</v>
      </c>
      <c r="J911" s="2" t="s">
        <v>4690</v>
      </c>
      <c r="K911" s="2" t="s">
        <v>918</v>
      </c>
      <c r="L911" s="2" t="s">
        <v>4976</v>
      </c>
      <c r="M911" s="3">
        <v>1</v>
      </c>
      <c r="N911" s="3">
        <v>1</v>
      </c>
      <c r="P911" s="2" t="s">
        <v>919</v>
      </c>
    </row>
    <row r="912" spans="1:16" ht="13">
      <c r="A912" s="2" t="s">
        <v>2</v>
      </c>
      <c r="B912" s="2" t="str">
        <f t="shared" si="14"/>
        <v>22-23 Academic Year</v>
      </c>
      <c r="C912" s="2">
        <v>33</v>
      </c>
      <c r="D912" s="2" t="s">
        <v>912</v>
      </c>
      <c r="E912" s="10">
        <v>45023</v>
      </c>
      <c r="F912" s="2" t="s">
        <v>69</v>
      </c>
      <c r="G912" s="2" t="s">
        <v>131</v>
      </c>
      <c r="H912" s="2" t="s">
        <v>6</v>
      </c>
      <c r="I912" s="2" t="s">
        <v>913</v>
      </c>
      <c r="J912" s="2" t="s">
        <v>4692</v>
      </c>
      <c r="K912" s="2" t="s">
        <v>722</v>
      </c>
      <c r="L912" s="2" t="s">
        <v>1266</v>
      </c>
      <c r="M912" s="3">
        <v>4</v>
      </c>
      <c r="N912" s="3">
        <v>1</v>
      </c>
      <c r="P912" s="2" t="s">
        <v>910</v>
      </c>
    </row>
    <row r="913" spans="1:16" ht="13">
      <c r="A913" s="2" t="s">
        <v>2</v>
      </c>
      <c r="B913" s="2" t="str">
        <f t="shared" si="14"/>
        <v>22-23 Academic Year</v>
      </c>
      <c r="C913" s="2">
        <v>34</v>
      </c>
      <c r="D913" s="2" t="s">
        <v>920</v>
      </c>
      <c r="E913" s="10">
        <v>45024</v>
      </c>
      <c r="F913" s="2" t="s">
        <v>69</v>
      </c>
      <c r="G913" s="2" t="s">
        <v>131</v>
      </c>
      <c r="H913" s="2" t="s">
        <v>6</v>
      </c>
      <c r="I913" s="2" t="s">
        <v>634</v>
      </c>
      <c r="J913" s="2" t="s">
        <v>4977</v>
      </c>
      <c r="K913" s="2" t="s">
        <v>774</v>
      </c>
      <c r="L913" s="2" t="s">
        <v>1117</v>
      </c>
      <c r="M913" s="3">
        <v>1</v>
      </c>
      <c r="N913" s="3">
        <v>2</v>
      </c>
      <c r="P913" s="2" t="s">
        <v>921</v>
      </c>
    </row>
    <row r="914" spans="1:16" ht="13">
      <c r="A914" s="2" t="s">
        <v>2</v>
      </c>
      <c r="B914" s="2" t="str">
        <f t="shared" si="14"/>
        <v>22-23 Academic Year</v>
      </c>
      <c r="C914" s="2">
        <v>35</v>
      </c>
      <c r="D914" s="2" t="s">
        <v>922</v>
      </c>
      <c r="E914" s="10">
        <v>45024</v>
      </c>
      <c r="F914" s="2" t="s">
        <v>69</v>
      </c>
      <c r="G914" s="2" t="s">
        <v>131</v>
      </c>
      <c r="H914" s="2" t="s">
        <v>6</v>
      </c>
      <c r="I914" s="2" t="s">
        <v>913</v>
      </c>
      <c r="J914" s="2" t="s">
        <v>4680</v>
      </c>
      <c r="K914" s="2" t="s">
        <v>674</v>
      </c>
      <c r="L914" s="2" t="s">
        <v>4935</v>
      </c>
      <c r="M914" s="3">
        <v>1</v>
      </c>
      <c r="N914" s="3">
        <v>1</v>
      </c>
      <c r="P914" s="2" t="s">
        <v>923</v>
      </c>
    </row>
    <row r="915" spans="1:16" ht="13">
      <c r="A915" s="2" t="s">
        <v>2</v>
      </c>
      <c r="B915" s="2" t="str">
        <f t="shared" si="14"/>
        <v>22-23 Academic Year</v>
      </c>
      <c r="C915" s="2">
        <v>35</v>
      </c>
      <c r="D915" s="2" t="s">
        <v>922</v>
      </c>
      <c r="E915" s="10">
        <v>45024</v>
      </c>
      <c r="F915" s="2" t="s">
        <v>69</v>
      </c>
      <c r="G915" s="2" t="s">
        <v>131</v>
      </c>
      <c r="H915" s="2" t="s">
        <v>6</v>
      </c>
      <c r="I915" s="2" t="s">
        <v>913</v>
      </c>
      <c r="J915" s="2" t="s">
        <v>4681</v>
      </c>
      <c r="K915" s="2" t="s">
        <v>924</v>
      </c>
      <c r="L915" s="2" t="s">
        <v>4978</v>
      </c>
      <c r="M915" s="3">
        <v>1</v>
      </c>
      <c r="N915" s="3">
        <v>2</v>
      </c>
      <c r="P915" s="2" t="s">
        <v>925</v>
      </c>
    </row>
    <row r="916" spans="1:16" ht="13">
      <c r="A916" s="2" t="s">
        <v>2</v>
      </c>
      <c r="B916" s="2" t="str">
        <f t="shared" si="14"/>
        <v>22-23 Academic Year</v>
      </c>
      <c r="C916" s="2">
        <v>35</v>
      </c>
      <c r="D916" s="2" t="s">
        <v>922</v>
      </c>
      <c r="E916" s="10">
        <v>45024</v>
      </c>
      <c r="F916" s="2" t="s">
        <v>69</v>
      </c>
      <c r="G916" s="2" t="s">
        <v>131</v>
      </c>
      <c r="H916" s="2" t="s">
        <v>6</v>
      </c>
      <c r="I916" s="2" t="s">
        <v>913</v>
      </c>
      <c r="J916" s="2" t="s">
        <v>4683</v>
      </c>
      <c r="K916" s="2" t="s">
        <v>418</v>
      </c>
      <c r="L916" s="2" t="s">
        <v>4779</v>
      </c>
      <c r="M916" s="3">
        <v>1</v>
      </c>
      <c r="N916" s="3">
        <v>1</v>
      </c>
      <c r="P916" s="2" t="s">
        <v>926</v>
      </c>
    </row>
    <row r="917" spans="1:16" ht="13">
      <c r="A917" s="2" t="s">
        <v>2</v>
      </c>
      <c r="B917" s="2" t="str">
        <f t="shared" si="14"/>
        <v>22-23 Academic Year</v>
      </c>
      <c r="C917" s="2">
        <v>35</v>
      </c>
      <c r="D917" s="2" t="s">
        <v>922</v>
      </c>
      <c r="E917" s="10">
        <v>45024</v>
      </c>
      <c r="F917" s="2" t="s">
        <v>69</v>
      </c>
      <c r="G917" s="2" t="s">
        <v>131</v>
      </c>
      <c r="H917" s="2" t="s">
        <v>6</v>
      </c>
      <c r="I917" s="2" t="s">
        <v>913</v>
      </c>
      <c r="J917" s="2" t="s">
        <v>4684</v>
      </c>
      <c r="K917" s="2" t="s">
        <v>635</v>
      </c>
      <c r="L917" s="2" t="s">
        <v>3354</v>
      </c>
      <c r="M917" s="3">
        <v>1</v>
      </c>
      <c r="N917" s="3">
        <v>2</v>
      </c>
      <c r="P917" s="2" t="s">
        <v>927</v>
      </c>
    </row>
    <row r="918" spans="1:16" ht="13">
      <c r="A918" s="2" t="s">
        <v>2</v>
      </c>
      <c r="B918" s="2" t="str">
        <f t="shared" si="14"/>
        <v>22-23 Academic Year</v>
      </c>
      <c r="C918" s="2">
        <v>35</v>
      </c>
      <c r="D918" s="2" t="s">
        <v>922</v>
      </c>
      <c r="E918" s="10">
        <v>45024</v>
      </c>
      <c r="F918" s="2" t="s">
        <v>69</v>
      </c>
      <c r="G918" s="2" t="s">
        <v>131</v>
      </c>
      <c r="H918" s="2" t="s">
        <v>6</v>
      </c>
      <c r="I918" s="2" t="s">
        <v>913</v>
      </c>
      <c r="J918" s="2" t="s">
        <v>4686</v>
      </c>
      <c r="K918" s="2" t="s">
        <v>928</v>
      </c>
      <c r="L918" s="2" t="s">
        <v>4979</v>
      </c>
      <c r="M918" s="3">
        <v>2</v>
      </c>
      <c r="N918" s="3">
        <v>1</v>
      </c>
      <c r="P918" s="2" t="s">
        <v>929</v>
      </c>
    </row>
    <row r="919" spans="1:16" ht="13">
      <c r="A919" s="2" t="s">
        <v>2</v>
      </c>
      <c r="B919" s="2" t="str">
        <f t="shared" si="14"/>
        <v>22-23 Academic Year</v>
      </c>
      <c r="C919" s="2">
        <v>36</v>
      </c>
      <c r="D919" s="2" t="s">
        <v>930</v>
      </c>
      <c r="E919" s="10">
        <v>45024</v>
      </c>
      <c r="F919" s="2" t="s">
        <v>931</v>
      </c>
      <c r="G919" s="2" t="s">
        <v>131</v>
      </c>
      <c r="H919" s="2" t="s">
        <v>6</v>
      </c>
      <c r="I919" s="2" t="s">
        <v>932</v>
      </c>
      <c r="J919" s="2" t="s">
        <v>4669</v>
      </c>
      <c r="K919" s="2" t="s">
        <v>330</v>
      </c>
      <c r="L919" s="2" t="s">
        <v>1997</v>
      </c>
      <c r="M919" s="3">
        <v>4</v>
      </c>
      <c r="N919" s="3">
        <v>1</v>
      </c>
      <c r="P919" s="2" t="s">
        <v>933</v>
      </c>
    </row>
    <row r="920" spans="1:16" ht="13">
      <c r="A920" s="2" t="s">
        <v>2</v>
      </c>
      <c r="B920" s="2" t="str">
        <f t="shared" si="14"/>
        <v>22-23 Academic Year</v>
      </c>
      <c r="C920" s="2">
        <v>36</v>
      </c>
      <c r="D920" s="2" t="s">
        <v>930</v>
      </c>
      <c r="E920" s="10">
        <v>45024</v>
      </c>
      <c r="F920" s="2" t="s">
        <v>931</v>
      </c>
      <c r="G920" s="2" t="s">
        <v>131</v>
      </c>
      <c r="H920" s="2" t="s">
        <v>6</v>
      </c>
      <c r="I920" s="2" t="s">
        <v>932</v>
      </c>
      <c r="J920" s="2" t="s">
        <v>4671</v>
      </c>
      <c r="K920" s="2" t="s">
        <v>934</v>
      </c>
      <c r="L920" s="2" t="s">
        <v>4883</v>
      </c>
      <c r="M920" s="3">
        <v>1</v>
      </c>
      <c r="N920" s="3">
        <v>1</v>
      </c>
      <c r="P920" s="2" t="s">
        <v>935</v>
      </c>
    </row>
    <row r="921" spans="1:16" ht="13">
      <c r="A921" s="2" t="s">
        <v>2</v>
      </c>
      <c r="B921" s="2" t="str">
        <f t="shared" si="14"/>
        <v>22-23 Academic Year</v>
      </c>
      <c r="C921" s="2">
        <v>36</v>
      </c>
      <c r="D921" s="2" t="s">
        <v>930</v>
      </c>
      <c r="E921" s="10">
        <v>45024</v>
      </c>
      <c r="F921" s="2" t="s">
        <v>931</v>
      </c>
      <c r="G921" s="2" t="s">
        <v>131</v>
      </c>
      <c r="H921" s="2" t="s">
        <v>6</v>
      </c>
      <c r="I921" s="2" t="s">
        <v>932</v>
      </c>
      <c r="J921" s="2" t="s">
        <v>4673</v>
      </c>
      <c r="K921" s="2" t="s">
        <v>936</v>
      </c>
      <c r="L921" s="2" t="s">
        <v>4980</v>
      </c>
      <c r="M921" s="3">
        <v>3</v>
      </c>
      <c r="N921" s="3">
        <v>1</v>
      </c>
      <c r="P921" s="2" t="s">
        <v>937</v>
      </c>
    </row>
    <row r="922" spans="1:16" ht="13">
      <c r="A922" s="2" t="s">
        <v>2</v>
      </c>
      <c r="B922" s="2" t="str">
        <f t="shared" si="14"/>
        <v>22-23 Academic Year</v>
      </c>
      <c r="C922" s="2">
        <v>36</v>
      </c>
      <c r="D922" s="2" t="s">
        <v>930</v>
      </c>
      <c r="E922" s="10">
        <v>45024</v>
      </c>
      <c r="F922" s="2" t="s">
        <v>931</v>
      </c>
      <c r="G922" s="2" t="s">
        <v>131</v>
      </c>
      <c r="H922" s="2" t="s">
        <v>6</v>
      </c>
      <c r="I922" s="2" t="s">
        <v>932</v>
      </c>
      <c r="J922" s="2" t="s">
        <v>4675</v>
      </c>
      <c r="K922" s="2" t="s">
        <v>767</v>
      </c>
      <c r="L922" s="2" t="s">
        <v>4954</v>
      </c>
      <c r="M922" s="3">
        <v>2</v>
      </c>
      <c r="N922" s="3">
        <v>1</v>
      </c>
      <c r="P922" s="2" t="s">
        <v>938</v>
      </c>
    </row>
    <row r="923" spans="1:16" ht="13">
      <c r="A923" s="2" t="s">
        <v>2</v>
      </c>
      <c r="B923" s="2" t="str">
        <f t="shared" si="14"/>
        <v>22-23 Academic Year</v>
      </c>
      <c r="C923" s="2">
        <v>36</v>
      </c>
      <c r="D923" s="2" t="s">
        <v>930</v>
      </c>
      <c r="E923" s="10">
        <v>45024</v>
      </c>
      <c r="F923" s="2" t="s">
        <v>931</v>
      </c>
      <c r="G923" s="2" t="s">
        <v>131</v>
      </c>
      <c r="H923" s="2" t="s">
        <v>6</v>
      </c>
      <c r="I923" s="2" t="s">
        <v>932</v>
      </c>
      <c r="J923" s="2" t="s">
        <v>4677</v>
      </c>
      <c r="K923" s="2" t="s">
        <v>769</v>
      </c>
      <c r="L923" s="2" t="s">
        <v>769</v>
      </c>
      <c r="M923" s="3"/>
      <c r="N923" s="3"/>
      <c r="P923" s="2" t="s">
        <v>770</v>
      </c>
    </row>
    <row r="924" spans="1:16" ht="13">
      <c r="A924" s="2" t="s">
        <v>2</v>
      </c>
      <c r="B924" s="2" t="str">
        <f t="shared" si="14"/>
        <v>22-23 Academic Year</v>
      </c>
      <c r="C924" s="2">
        <v>36</v>
      </c>
      <c r="D924" s="2" t="s">
        <v>930</v>
      </c>
      <c r="E924" s="10">
        <v>45024</v>
      </c>
      <c r="F924" s="2" t="s">
        <v>931</v>
      </c>
      <c r="G924" s="2" t="s">
        <v>131</v>
      </c>
      <c r="H924" s="2" t="s">
        <v>6</v>
      </c>
      <c r="I924" s="2" t="s">
        <v>932</v>
      </c>
      <c r="J924" s="2" t="s">
        <v>4679</v>
      </c>
      <c r="K924" s="2" t="s">
        <v>939</v>
      </c>
      <c r="L924" s="2" t="s">
        <v>4467</v>
      </c>
      <c r="M924" s="3">
        <v>3</v>
      </c>
      <c r="N924" s="3">
        <v>1</v>
      </c>
      <c r="P924" s="2" t="s">
        <v>940</v>
      </c>
    </row>
    <row r="925" spans="1:16" ht="13">
      <c r="A925" s="2" t="s">
        <v>2</v>
      </c>
      <c r="B925" s="2" t="str">
        <f t="shared" si="14"/>
        <v>22-23 Academic Year</v>
      </c>
      <c r="C925" s="2">
        <v>37</v>
      </c>
      <c r="D925" s="2" t="s">
        <v>845</v>
      </c>
      <c r="E925" s="10">
        <v>45024</v>
      </c>
      <c r="F925" s="2" t="s">
        <v>69</v>
      </c>
      <c r="G925" s="2" t="s">
        <v>131</v>
      </c>
      <c r="H925" s="2" t="s">
        <v>6</v>
      </c>
      <c r="I925" s="2" t="s">
        <v>634</v>
      </c>
      <c r="J925" s="2" t="s">
        <v>4680</v>
      </c>
      <c r="K925" s="2" t="s">
        <v>941</v>
      </c>
      <c r="L925" s="2" t="s">
        <v>4981</v>
      </c>
      <c r="M925" s="3">
        <v>1</v>
      </c>
      <c r="N925" s="3">
        <v>1</v>
      </c>
      <c r="P925" s="2" t="s">
        <v>942</v>
      </c>
    </row>
    <row r="926" spans="1:16" ht="13">
      <c r="A926" s="2" t="s">
        <v>2</v>
      </c>
      <c r="B926" s="2" t="str">
        <f t="shared" si="14"/>
        <v>22-23 Academic Year</v>
      </c>
      <c r="C926" s="2">
        <v>37</v>
      </c>
      <c r="D926" s="2" t="s">
        <v>845</v>
      </c>
      <c r="E926" s="10">
        <v>45024</v>
      </c>
      <c r="F926" s="2" t="s">
        <v>69</v>
      </c>
      <c r="G926" s="2" t="s">
        <v>131</v>
      </c>
      <c r="H926" s="2" t="s">
        <v>6</v>
      </c>
      <c r="I926" s="2" t="s">
        <v>634</v>
      </c>
      <c r="J926" s="2" t="s">
        <v>4681</v>
      </c>
      <c r="K926" s="2" t="s">
        <v>943</v>
      </c>
      <c r="L926" s="2" t="s">
        <v>4459</v>
      </c>
      <c r="M926" s="3">
        <v>3</v>
      </c>
      <c r="N926" s="3">
        <v>1</v>
      </c>
      <c r="P926" s="2" t="s">
        <v>944</v>
      </c>
    </row>
    <row r="927" spans="1:16" ht="13">
      <c r="A927" s="2" t="s">
        <v>2</v>
      </c>
      <c r="B927" s="2" t="str">
        <f t="shared" si="14"/>
        <v>22-23 Academic Year</v>
      </c>
      <c r="C927" s="2">
        <v>37</v>
      </c>
      <c r="D927" s="2" t="s">
        <v>845</v>
      </c>
      <c r="E927" s="10">
        <v>45024</v>
      </c>
      <c r="F927" s="2" t="s">
        <v>69</v>
      </c>
      <c r="G927" s="2" t="s">
        <v>131</v>
      </c>
      <c r="H927" s="2" t="s">
        <v>6</v>
      </c>
      <c r="I927" s="2" t="s">
        <v>634</v>
      </c>
      <c r="J927" s="2" t="s">
        <v>4683</v>
      </c>
      <c r="K927" s="2" t="s">
        <v>945</v>
      </c>
      <c r="L927" s="2" t="s">
        <v>946</v>
      </c>
      <c r="M927" s="3">
        <v>1</v>
      </c>
      <c r="N927" s="3">
        <v>2</v>
      </c>
      <c r="P927" s="2" t="s">
        <v>947</v>
      </c>
    </row>
    <row r="928" spans="1:16" ht="13">
      <c r="A928" s="2" t="s">
        <v>2</v>
      </c>
      <c r="B928" s="2" t="str">
        <f t="shared" si="14"/>
        <v>22-23 Academic Year</v>
      </c>
      <c r="C928" s="2">
        <v>37</v>
      </c>
      <c r="D928" s="2" t="s">
        <v>845</v>
      </c>
      <c r="E928" s="10">
        <v>45024</v>
      </c>
      <c r="F928" s="2" t="s">
        <v>69</v>
      </c>
      <c r="G928" s="2" t="s">
        <v>131</v>
      </c>
      <c r="H928" s="2" t="s">
        <v>6</v>
      </c>
      <c r="I928" s="2" t="s">
        <v>634</v>
      </c>
      <c r="J928" s="2" t="s">
        <v>4684</v>
      </c>
      <c r="K928" s="2" t="s">
        <v>589</v>
      </c>
      <c r="L928" s="2" t="s">
        <v>4799</v>
      </c>
      <c r="M928" s="3">
        <v>1</v>
      </c>
      <c r="N928" s="3">
        <v>2</v>
      </c>
      <c r="P928" s="2" t="s">
        <v>948</v>
      </c>
    </row>
    <row r="929" spans="1:16" ht="13">
      <c r="A929" s="2" t="s">
        <v>2</v>
      </c>
      <c r="B929" s="2" t="str">
        <f t="shared" si="14"/>
        <v>22-23 Academic Year</v>
      </c>
      <c r="C929" s="2">
        <v>37</v>
      </c>
      <c r="D929" s="2" t="s">
        <v>845</v>
      </c>
      <c r="E929" s="10">
        <v>45024</v>
      </c>
      <c r="F929" s="2" t="s">
        <v>69</v>
      </c>
      <c r="G929" s="2" t="s">
        <v>131</v>
      </c>
      <c r="H929" s="2" t="s">
        <v>6</v>
      </c>
      <c r="I929" s="2" t="s">
        <v>634</v>
      </c>
      <c r="J929" s="2" t="s">
        <v>4686</v>
      </c>
      <c r="K929" s="2" t="s">
        <v>679</v>
      </c>
      <c r="L929" s="2" t="s">
        <v>679</v>
      </c>
      <c r="M929" s="3">
        <v>999</v>
      </c>
      <c r="N929" s="3">
        <v>999</v>
      </c>
      <c r="O929" s="2" t="s">
        <v>949</v>
      </c>
      <c r="P929" s="2" t="s">
        <v>950</v>
      </c>
    </row>
    <row r="930" spans="1:16" ht="13">
      <c r="A930" s="2" t="s">
        <v>2</v>
      </c>
      <c r="B930" s="2" t="str">
        <f t="shared" si="14"/>
        <v>22-23 Academic Year</v>
      </c>
      <c r="C930" s="2">
        <v>38</v>
      </c>
      <c r="D930" s="2" t="s">
        <v>475</v>
      </c>
      <c r="E930" s="10">
        <v>45027</v>
      </c>
      <c r="F930" s="2" t="s">
        <v>69</v>
      </c>
      <c r="G930" s="2" t="s">
        <v>475</v>
      </c>
      <c r="H930" s="2" t="s">
        <v>7</v>
      </c>
      <c r="J930" s="2" t="s">
        <v>4669</v>
      </c>
      <c r="K930" s="2" t="s">
        <v>951</v>
      </c>
      <c r="L930" s="2" t="s">
        <v>4982</v>
      </c>
      <c r="M930" s="3">
        <v>1</v>
      </c>
      <c r="N930" s="3">
        <v>2</v>
      </c>
      <c r="P930" s="2" t="s">
        <v>952</v>
      </c>
    </row>
    <row r="931" spans="1:16" ht="13">
      <c r="A931" s="2" t="s">
        <v>2</v>
      </c>
      <c r="B931" s="2" t="str">
        <f t="shared" si="14"/>
        <v>22-23 Academic Year</v>
      </c>
      <c r="C931" s="2">
        <v>38</v>
      </c>
      <c r="D931" s="2" t="s">
        <v>475</v>
      </c>
      <c r="E931" s="10">
        <v>45027</v>
      </c>
      <c r="F931" s="2" t="s">
        <v>69</v>
      </c>
      <c r="G931" s="2" t="s">
        <v>475</v>
      </c>
      <c r="H931" s="2" t="s">
        <v>7</v>
      </c>
      <c r="J931" s="2" t="s">
        <v>4671</v>
      </c>
      <c r="K931" s="2" t="s">
        <v>939</v>
      </c>
      <c r="L931" s="2" t="s">
        <v>4467</v>
      </c>
      <c r="M931" s="3">
        <v>3</v>
      </c>
      <c r="N931" s="3">
        <v>1</v>
      </c>
      <c r="P931" s="2" t="s">
        <v>940</v>
      </c>
    </row>
    <row r="932" spans="1:16" ht="13">
      <c r="A932" s="2" t="s">
        <v>2</v>
      </c>
      <c r="B932" s="2" t="str">
        <f t="shared" si="14"/>
        <v>22-23 Academic Year</v>
      </c>
      <c r="C932" s="2">
        <v>38</v>
      </c>
      <c r="D932" s="2" t="s">
        <v>475</v>
      </c>
      <c r="E932" s="10">
        <v>45027</v>
      </c>
      <c r="F932" s="2" t="s">
        <v>69</v>
      </c>
      <c r="G932" s="2" t="s">
        <v>475</v>
      </c>
      <c r="H932" s="2" t="s">
        <v>7</v>
      </c>
      <c r="J932" s="2" t="s">
        <v>4673</v>
      </c>
      <c r="K932" s="2" t="s">
        <v>953</v>
      </c>
      <c r="L932" s="2" t="s">
        <v>4350</v>
      </c>
      <c r="M932" s="3">
        <v>2</v>
      </c>
      <c r="N932" s="3">
        <v>1</v>
      </c>
      <c r="P932" s="2" t="s">
        <v>954</v>
      </c>
    </row>
    <row r="933" spans="1:16" ht="13">
      <c r="A933" s="2" t="s">
        <v>2</v>
      </c>
      <c r="B933" s="2" t="str">
        <f t="shared" si="14"/>
        <v>22-23 Academic Year</v>
      </c>
      <c r="C933" s="2">
        <v>38</v>
      </c>
      <c r="D933" s="2" t="s">
        <v>475</v>
      </c>
      <c r="E933" s="10">
        <v>45027</v>
      </c>
      <c r="F933" s="2" t="s">
        <v>69</v>
      </c>
      <c r="G933" s="2" t="s">
        <v>475</v>
      </c>
      <c r="H933" s="2" t="s">
        <v>7</v>
      </c>
      <c r="J933" s="2" t="s">
        <v>4675</v>
      </c>
      <c r="K933" s="2" t="s">
        <v>955</v>
      </c>
      <c r="L933" s="2" t="s">
        <v>956</v>
      </c>
      <c r="M933" s="3">
        <v>2</v>
      </c>
      <c r="N933" s="3">
        <v>1</v>
      </c>
      <c r="P933" s="2" t="s">
        <v>957</v>
      </c>
    </row>
    <row r="934" spans="1:16" ht="13">
      <c r="A934" s="2" t="s">
        <v>2</v>
      </c>
      <c r="B934" s="2" t="str">
        <f t="shared" si="14"/>
        <v>22-23 Academic Year</v>
      </c>
      <c r="C934" s="2">
        <v>38</v>
      </c>
      <c r="D934" s="2" t="s">
        <v>475</v>
      </c>
      <c r="E934" s="10">
        <v>45027</v>
      </c>
      <c r="F934" s="2" t="s">
        <v>69</v>
      </c>
      <c r="G934" s="2" t="s">
        <v>475</v>
      </c>
      <c r="H934" s="2" t="s">
        <v>7</v>
      </c>
      <c r="J934" s="2" t="s">
        <v>4677</v>
      </c>
      <c r="K934" s="2" t="s">
        <v>958</v>
      </c>
      <c r="L934" s="2" t="s">
        <v>959</v>
      </c>
      <c r="M934" s="3">
        <v>3</v>
      </c>
      <c r="N934" s="3">
        <v>1</v>
      </c>
      <c r="P934" s="2" t="s">
        <v>960</v>
      </c>
    </row>
    <row r="935" spans="1:16" ht="13">
      <c r="A935" s="2" t="s">
        <v>2</v>
      </c>
      <c r="B935" s="2" t="str">
        <f t="shared" si="14"/>
        <v>22-23 Academic Year</v>
      </c>
      <c r="C935" s="2">
        <v>38</v>
      </c>
      <c r="D935" s="2" t="s">
        <v>475</v>
      </c>
      <c r="E935" s="10">
        <v>45027</v>
      </c>
      <c r="F935" s="2" t="s">
        <v>69</v>
      </c>
      <c r="G935" s="2" t="s">
        <v>475</v>
      </c>
      <c r="H935" s="2" t="s">
        <v>7</v>
      </c>
      <c r="J935" s="2" t="s">
        <v>4679</v>
      </c>
      <c r="K935" s="2" t="s">
        <v>679</v>
      </c>
      <c r="L935" s="2" t="s">
        <v>679</v>
      </c>
      <c r="M935" s="3">
        <v>999</v>
      </c>
      <c r="N935" s="3">
        <v>999</v>
      </c>
      <c r="P935" s="2" t="s">
        <v>961</v>
      </c>
    </row>
    <row r="936" spans="1:16" ht="13">
      <c r="A936" s="2" t="s">
        <v>2</v>
      </c>
      <c r="B936" s="2" t="str">
        <f t="shared" si="14"/>
        <v>22-23 Academic Year</v>
      </c>
      <c r="C936" s="2">
        <v>39</v>
      </c>
      <c r="D936" s="2" t="s">
        <v>962</v>
      </c>
      <c r="E936" s="10">
        <v>45028</v>
      </c>
      <c r="F936" s="2" t="s">
        <v>69</v>
      </c>
      <c r="G936" s="2" t="s">
        <v>131</v>
      </c>
      <c r="H936" s="2" t="s">
        <v>6</v>
      </c>
      <c r="I936" s="2" t="s">
        <v>570</v>
      </c>
      <c r="J936" s="2" t="s">
        <v>4669</v>
      </c>
      <c r="K936" s="2" t="s">
        <v>963</v>
      </c>
      <c r="L936" s="2" t="s">
        <v>4025</v>
      </c>
      <c r="M936" s="3">
        <v>1</v>
      </c>
      <c r="N936" s="3">
        <v>2</v>
      </c>
      <c r="P936" s="2" t="s">
        <v>964</v>
      </c>
    </row>
    <row r="937" spans="1:16" ht="13">
      <c r="A937" s="2" t="s">
        <v>2</v>
      </c>
      <c r="B937" s="2" t="str">
        <f t="shared" si="14"/>
        <v>22-23 Academic Year</v>
      </c>
      <c r="C937" s="2">
        <v>39</v>
      </c>
      <c r="D937" s="2" t="s">
        <v>962</v>
      </c>
      <c r="E937" s="10">
        <v>45028</v>
      </c>
      <c r="F937" s="2" t="s">
        <v>69</v>
      </c>
      <c r="G937" s="2" t="s">
        <v>131</v>
      </c>
      <c r="H937" s="2" t="s">
        <v>6</v>
      </c>
      <c r="I937" s="2" t="s">
        <v>570</v>
      </c>
      <c r="J937" s="2" t="s">
        <v>4671</v>
      </c>
      <c r="K937" s="2" t="s">
        <v>98</v>
      </c>
      <c r="L937" s="2" t="s">
        <v>3348</v>
      </c>
      <c r="M937" s="3">
        <v>1</v>
      </c>
      <c r="N937" s="3">
        <v>2</v>
      </c>
      <c r="P937" s="2" t="s">
        <v>965</v>
      </c>
    </row>
    <row r="938" spans="1:16" ht="13">
      <c r="A938" s="2" t="s">
        <v>2</v>
      </c>
      <c r="B938" s="2" t="str">
        <f t="shared" si="14"/>
        <v>22-23 Academic Year</v>
      </c>
      <c r="C938" s="2">
        <v>39</v>
      </c>
      <c r="D938" s="2" t="s">
        <v>962</v>
      </c>
      <c r="E938" s="10">
        <v>45028</v>
      </c>
      <c r="F938" s="2" t="s">
        <v>69</v>
      </c>
      <c r="G938" s="2" t="s">
        <v>131</v>
      </c>
      <c r="H938" s="2" t="s">
        <v>6</v>
      </c>
      <c r="I938" s="2" t="s">
        <v>570</v>
      </c>
      <c r="J938" s="2" t="s">
        <v>4673</v>
      </c>
      <c r="K938" s="2" t="s">
        <v>472</v>
      </c>
      <c r="L938" s="2" t="s">
        <v>1352</v>
      </c>
      <c r="M938" s="3">
        <v>1</v>
      </c>
      <c r="N938" s="3">
        <v>2</v>
      </c>
      <c r="P938" s="2" t="s">
        <v>966</v>
      </c>
    </row>
    <row r="939" spans="1:16" ht="13">
      <c r="A939" s="2" t="s">
        <v>2</v>
      </c>
      <c r="B939" s="2" t="str">
        <f t="shared" si="14"/>
        <v>22-23 Academic Year</v>
      </c>
      <c r="C939" s="2">
        <v>39</v>
      </c>
      <c r="D939" s="2" t="s">
        <v>962</v>
      </c>
      <c r="E939" s="10">
        <v>45028</v>
      </c>
      <c r="F939" s="2" t="s">
        <v>69</v>
      </c>
      <c r="G939" s="2" t="s">
        <v>131</v>
      </c>
      <c r="H939" s="2" t="s">
        <v>6</v>
      </c>
      <c r="I939" s="2" t="s">
        <v>570</v>
      </c>
      <c r="J939" s="2" t="s">
        <v>4675</v>
      </c>
      <c r="K939" s="2" t="s">
        <v>670</v>
      </c>
      <c r="L939" s="2" t="s">
        <v>403</v>
      </c>
      <c r="M939" s="3">
        <v>1</v>
      </c>
      <c r="N939" s="3">
        <v>2</v>
      </c>
      <c r="P939" s="2" t="s">
        <v>967</v>
      </c>
    </row>
    <row r="940" spans="1:16" ht="13">
      <c r="A940" s="2" t="s">
        <v>2</v>
      </c>
      <c r="B940" s="2" t="str">
        <f t="shared" si="14"/>
        <v>22-23 Academic Year</v>
      </c>
      <c r="C940" s="2">
        <v>39</v>
      </c>
      <c r="D940" s="2" t="s">
        <v>962</v>
      </c>
      <c r="E940" s="10">
        <v>45028</v>
      </c>
      <c r="F940" s="2" t="s">
        <v>69</v>
      </c>
      <c r="G940" s="2" t="s">
        <v>131</v>
      </c>
      <c r="H940" s="2" t="s">
        <v>6</v>
      </c>
      <c r="I940" s="2" t="s">
        <v>570</v>
      </c>
      <c r="J940" s="2" t="s">
        <v>4677</v>
      </c>
      <c r="K940" s="2" t="s">
        <v>670</v>
      </c>
      <c r="L940" s="2" t="s">
        <v>403</v>
      </c>
      <c r="M940" s="3">
        <v>1</v>
      </c>
      <c r="N940" s="3">
        <v>2</v>
      </c>
      <c r="P940" s="2" t="s">
        <v>968</v>
      </c>
    </row>
    <row r="941" spans="1:16" ht="13">
      <c r="A941" s="2" t="s">
        <v>2</v>
      </c>
      <c r="B941" s="2" t="str">
        <f t="shared" si="14"/>
        <v>22-23 Academic Year</v>
      </c>
      <c r="C941" s="2">
        <v>39</v>
      </c>
      <c r="D941" s="2" t="s">
        <v>962</v>
      </c>
      <c r="E941" s="10">
        <v>45028</v>
      </c>
      <c r="F941" s="2" t="s">
        <v>69</v>
      </c>
      <c r="G941" s="2" t="s">
        <v>131</v>
      </c>
      <c r="H941" s="2" t="s">
        <v>6</v>
      </c>
      <c r="I941" s="2" t="s">
        <v>570</v>
      </c>
      <c r="J941" s="2" t="s">
        <v>4679</v>
      </c>
      <c r="K941" s="2" t="s">
        <v>969</v>
      </c>
      <c r="L941" s="2" t="s">
        <v>4029</v>
      </c>
      <c r="M941" s="3">
        <v>1</v>
      </c>
      <c r="N941" s="3">
        <v>2</v>
      </c>
      <c r="P941" s="2" t="s">
        <v>970</v>
      </c>
    </row>
    <row r="942" spans="1:16" ht="13">
      <c r="A942" s="2" t="s">
        <v>2</v>
      </c>
      <c r="B942" s="2" t="str">
        <f t="shared" si="14"/>
        <v>22-23 Academic Year</v>
      </c>
      <c r="C942" s="2">
        <v>40</v>
      </c>
      <c r="D942" s="2" t="s">
        <v>92</v>
      </c>
      <c r="E942" s="10">
        <v>45030</v>
      </c>
      <c r="F942" s="2" t="s">
        <v>69</v>
      </c>
      <c r="G942" s="2" t="s">
        <v>92</v>
      </c>
      <c r="H942" s="2" t="s">
        <v>6</v>
      </c>
      <c r="J942" s="2" t="s">
        <v>4687</v>
      </c>
      <c r="K942" s="2" t="s">
        <v>971</v>
      </c>
      <c r="L942" s="2" t="s">
        <v>1369</v>
      </c>
      <c r="M942" s="3">
        <v>1</v>
      </c>
      <c r="N942" s="3">
        <v>2</v>
      </c>
      <c r="P942" s="2" t="s">
        <v>972</v>
      </c>
    </row>
    <row r="943" spans="1:16" ht="13">
      <c r="A943" s="2" t="s">
        <v>2</v>
      </c>
      <c r="B943" s="2" t="str">
        <f t="shared" si="14"/>
        <v>22-23 Academic Year</v>
      </c>
      <c r="C943" s="2">
        <v>40</v>
      </c>
      <c r="D943" s="2" t="s">
        <v>92</v>
      </c>
      <c r="E943" s="10">
        <v>45030</v>
      </c>
      <c r="F943" s="2" t="s">
        <v>69</v>
      </c>
      <c r="G943" s="2" t="s">
        <v>92</v>
      </c>
      <c r="H943" s="2" t="s">
        <v>6</v>
      </c>
      <c r="J943" s="2" t="s">
        <v>4688</v>
      </c>
      <c r="K943" s="2" t="s">
        <v>973</v>
      </c>
      <c r="L943" s="2" t="s">
        <v>1547</v>
      </c>
      <c r="M943" s="3">
        <v>2</v>
      </c>
      <c r="N943" s="3">
        <v>1</v>
      </c>
      <c r="P943" s="2" t="s">
        <v>974</v>
      </c>
    </row>
    <row r="944" spans="1:16" ht="13">
      <c r="A944" s="2" t="s">
        <v>2</v>
      </c>
      <c r="B944" s="2" t="str">
        <f t="shared" si="14"/>
        <v>22-23 Academic Year</v>
      </c>
      <c r="C944" s="2">
        <v>40</v>
      </c>
      <c r="D944" s="2" t="s">
        <v>92</v>
      </c>
      <c r="E944" s="10">
        <v>45030</v>
      </c>
      <c r="F944" s="2" t="s">
        <v>69</v>
      </c>
      <c r="G944" s="2" t="s">
        <v>92</v>
      </c>
      <c r="H944" s="2" t="s">
        <v>6</v>
      </c>
      <c r="J944" s="2" t="s">
        <v>4690</v>
      </c>
      <c r="K944" s="2" t="s">
        <v>59</v>
      </c>
      <c r="L944" s="2" t="s">
        <v>60</v>
      </c>
      <c r="M944" s="3">
        <v>1</v>
      </c>
      <c r="N944" s="3">
        <v>2</v>
      </c>
      <c r="P944" s="2" t="s">
        <v>975</v>
      </c>
    </row>
    <row r="945" spans="1:16" ht="13">
      <c r="A945" s="2" t="s">
        <v>2</v>
      </c>
      <c r="B945" s="2" t="str">
        <f t="shared" si="14"/>
        <v>22-23 Academic Year</v>
      </c>
      <c r="C945" s="2">
        <v>40</v>
      </c>
      <c r="D945" s="2" t="s">
        <v>92</v>
      </c>
      <c r="E945" s="10">
        <v>45030</v>
      </c>
      <c r="F945" s="2" t="s">
        <v>69</v>
      </c>
      <c r="G945" s="2" t="s">
        <v>92</v>
      </c>
      <c r="H945" s="2" t="s">
        <v>6</v>
      </c>
      <c r="J945" s="2" t="s">
        <v>4692</v>
      </c>
      <c r="K945" s="2" t="s">
        <v>567</v>
      </c>
      <c r="L945" s="2" t="s">
        <v>2026</v>
      </c>
      <c r="M945" s="3">
        <v>2</v>
      </c>
      <c r="N945" s="3">
        <v>1</v>
      </c>
      <c r="P945" s="2" t="s">
        <v>976</v>
      </c>
    </row>
    <row r="946" spans="1:16" ht="13">
      <c r="A946" s="2" t="s">
        <v>2</v>
      </c>
      <c r="B946" s="2" t="str">
        <f t="shared" si="14"/>
        <v>22-23 Academic Year</v>
      </c>
      <c r="C946" s="2">
        <v>41</v>
      </c>
      <c r="D946" s="2" t="s">
        <v>977</v>
      </c>
      <c r="E946" s="10">
        <v>45031</v>
      </c>
      <c r="F946" s="2" t="s">
        <v>69</v>
      </c>
      <c r="G946" s="2" t="s">
        <v>978</v>
      </c>
      <c r="H946" s="2" t="s">
        <v>7</v>
      </c>
      <c r="J946" s="2" t="s">
        <v>4702</v>
      </c>
      <c r="K946" s="2" t="s">
        <v>670</v>
      </c>
      <c r="L946" s="2" t="s">
        <v>403</v>
      </c>
      <c r="M946" s="3">
        <v>1</v>
      </c>
      <c r="N946" s="3">
        <v>2</v>
      </c>
      <c r="P946" s="2" t="s">
        <v>979</v>
      </c>
    </row>
    <row r="947" spans="1:16" ht="13">
      <c r="A947" s="2" t="s">
        <v>2</v>
      </c>
      <c r="B947" s="2" t="str">
        <f t="shared" si="14"/>
        <v>22-23 Academic Year</v>
      </c>
      <c r="C947" s="2">
        <v>41</v>
      </c>
      <c r="D947" s="2" t="s">
        <v>977</v>
      </c>
      <c r="E947" s="10">
        <v>45031</v>
      </c>
      <c r="F947" s="2" t="s">
        <v>69</v>
      </c>
      <c r="G947" s="2" t="s">
        <v>978</v>
      </c>
      <c r="H947" s="2" t="s">
        <v>7</v>
      </c>
      <c r="J947" s="2" t="s">
        <v>4703</v>
      </c>
      <c r="K947" s="2" t="s">
        <v>980</v>
      </c>
      <c r="L947" s="2" t="s">
        <v>4983</v>
      </c>
      <c r="M947" s="3">
        <v>2</v>
      </c>
      <c r="N947" s="3">
        <v>1</v>
      </c>
      <c r="P947" s="2" t="s">
        <v>981</v>
      </c>
    </row>
    <row r="948" spans="1:16" ht="13">
      <c r="A948" s="2" t="s">
        <v>2</v>
      </c>
      <c r="B948" s="2" t="str">
        <f t="shared" si="14"/>
        <v>22-23 Academic Year</v>
      </c>
      <c r="C948" s="2">
        <v>41</v>
      </c>
      <c r="D948" s="2" t="s">
        <v>977</v>
      </c>
      <c r="E948" s="10">
        <v>45031</v>
      </c>
      <c r="F948" s="2" t="s">
        <v>69</v>
      </c>
      <c r="G948" s="2" t="s">
        <v>978</v>
      </c>
      <c r="H948" s="2" t="s">
        <v>7</v>
      </c>
      <c r="J948" s="2" t="s">
        <v>4705</v>
      </c>
      <c r="K948" s="2" t="s">
        <v>982</v>
      </c>
      <c r="L948" s="2" t="s">
        <v>983</v>
      </c>
      <c r="M948" s="3">
        <v>4</v>
      </c>
      <c r="N948" s="3">
        <v>1</v>
      </c>
      <c r="P948" s="2" t="s">
        <v>984</v>
      </c>
    </row>
    <row r="949" spans="1:16" ht="13">
      <c r="A949" s="2" t="s">
        <v>2</v>
      </c>
      <c r="B949" s="2" t="str">
        <f t="shared" si="14"/>
        <v>22-23 Academic Year</v>
      </c>
      <c r="C949" s="2">
        <v>41</v>
      </c>
      <c r="D949" s="2" t="s">
        <v>977</v>
      </c>
      <c r="E949" s="10">
        <v>45031</v>
      </c>
      <c r="F949" s="2" t="s">
        <v>69</v>
      </c>
      <c r="G949" s="2" t="s">
        <v>978</v>
      </c>
      <c r="H949" s="2" t="s">
        <v>7</v>
      </c>
      <c r="J949" s="2" t="s">
        <v>4706</v>
      </c>
      <c r="K949" s="2" t="s">
        <v>985</v>
      </c>
      <c r="L949" s="2" t="s">
        <v>4984</v>
      </c>
      <c r="M949" s="3">
        <v>1</v>
      </c>
      <c r="N949" s="3">
        <v>1</v>
      </c>
      <c r="P949" s="2" t="s">
        <v>986</v>
      </c>
    </row>
    <row r="950" spans="1:16" ht="13">
      <c r="A950" s="2" t="s">
        <v>2</v>
      </c>
      <c r="B950" s="2" t="str">
        <f t="shared" si="14"/>
        <v>22-23 Academic Year</v>
      </c>
      <c r="C950" s="2">
        <v>41</v>
      </c>
      <c r="D950" s="2" t="s">
        <v>977</v>
      </c>
      <c r="E950" s="10">
        <v>45031</v>
      </c>
      <c r="F950" s="2" t="s">
        <v>69</v>
      </c>
      <c r="G950" s="2" t="s">
        <v>978</v>
      </c>
      <c r="H950" s="2" t="s">
        <v>7</v>
      </c>
      <c r="J950" s="2" t="s">
        <v>4708</v>
      </c>
      <c r="K950" s="2" t="s">
        <v>987</v>
      </c>
      <c r="L950" s="2" t="s">
        <v>988</v>
      </c>
      <c r="M950" s="3">
        <v>4</v>
      </c>
      <c r="N950" s="3">
        <v>1</v>
      </c>
      <c r="P950" s="2" t="s">
        <v>989</v>
      </c>
    </row>
    <row r="951" spans="1:16" ht="13">
      <c r="A951" s="2" t="s">
        <v>2</v>
      </c>
      <c r="B951" s="2" t="str">
        <f t="shared" si="14"/>
        <v>22-23 Academic Year</v>
      </c>
      <c r="C951" s="2">
        <v>41</v>
      </c>
      <c r="D951" s="2" t="s">
        <v>977</v>
      </c>
      <c r="E951" s="10">
        <v>45031</v>
      </c>
      <c r="F951" s="2" t="s">
        <v>69</v>
      </c>
      <c r="G951" s="2" t="s">
        <v>978</v>
      </c>
      <c r="H951" s="2" t="s">
        <v>7</v>
      </c>
      <c r="J951" s="2" t="s">
        <v>4709</v>
      </c>
      <c r="K951" s="2" t="s">
        <v>990</v>
      </c>
      <c r="L951" s="2" t="s">
        <v>4396</v>
      </c>
      <c r="M951" s="3">
        <v>3</v>
      </c>
      <c r="N951" s="3">
        <v>1</v>
      </c>
      <c r="P951" s="2" t="s">
        <v>991</v>
      </c>
    </row>
    <row r="952" spans="1:16" ht="13">
      <c r="A952" s="2" t="s">
        <v>2</v>
      </c>
      <c r="B952" s="2" t="str">
        <f t="shared" si="14"/>
        <v>22-23 Academic Year</v>
      </c>
      <c r="C952" s="2">
        <v>41</v>
      </c>
      <c r="D952" s="2" t="s">
        <v>977</v>
      </c>
      <c r="E952" s="10">
        <v>45031</v>
      </c>
      <c r="F952" s="2" t="s">
        <v>69</v>
      </c>
      <c r="G952" s="2" t="s">
        <v>978</v>
      </c>
      <c r="H952" s="2" t="s">
        <v>7</v>
      </c>
      <c r="J952" s="2" t="s">
        <v>4710</v>
      </c>
      <c r="K952" s="2" t="s">
        <v>990</v>
      </c>
      <c r="L952" s="2" t="s">
        <v>4396</v>
      </c>
      <c r="M952" s="3">
        <v>3</v>
      </c>
      <c r="N952" s="3">
        <v>1</v>
      </c>
      <c r="P952" s="2" t="s">
        <v>992</v>
      </c>
    </row>
    <row r="953" spans="1:16" ht="13">
      <c r="A953" s="2" t="s">
        <v>2</v>
      </c>
      <c r="B953" s="2" t="str">
        <f t="shared" si="14"/>
        <v>22-23 Academic Year</v>
      </c>
      <c r="C953" s="2">
        <v>42</v>
      </c>
      <c r="D953" s="2" t="s">
        <v>993</v>
      </c>
      <c r="E953" s="10">
        <v>45031</v>
      </c>
      <c r="F953" s="2" t="s">
        <v>69</v>
      </c>
      <c r="G953" s="2" t="s">
        <v>131</v>
      </c>
      <c r="H953" s="2" t="s">
        <v>6</v>
      </c>
      <c r="I953" s="2" t="s">
        <v>699</v>
      </c>
      <c r="J953" s="2" t="s">
        <v>4687</v>
      </c>
      <c r="K953" s="2" t="s">
        <v>994</v>
      </c>
      <c r="L953" s="2" t="s">
        <v>995</v>
      </c>
      <c r="M953" s="3">
        <v>3</v>
      </c>
      <c r="N953" s="3">
        <v>2</v>
      </c>
      <c r="P953" s="2" t="s">
        <v>996</v>
      </c>
    </row>
    <row r="954" spans="1:16" ht="13">
      <c r="A954" s="2" t="s">
        <v>2</v>
      </c>
      <c r="B954" s="2" t="str">
        <f t="shared" si="14"/>
        <v>22-23 Academic Year</v>
      </c>
      <c r="C954" s="2">
        <v>42</v>
      </c>
      <c r="D954" s="2" t="s">
        <v>993</v>
      </c>
      <c r="E954" s="10">
        <v>45031</v>
      </c>
      <c r="F954" s="2" t="s">
        <v>69</v>
      </c>
      <c r="G954" s="2" t="s">
        <v>131</v>
      </c>
      <c r="H954" s="2" t="s">
        <v>6</v>
      </c>
      <c r="I954" s="2" t="s">
        <v>699</v>
      </c>
      <c r="J954" s="2" t="s">
        <v>4688</v>
      </c>
      <c r="K954" s="2" t="s">
        <v>371</v>
      </c>
      <c r="L954" s="2" t="s">
        <v>372</v>
      </c>
      <c r="M954" s="3">
        <v>1</v>
      </c>
      <c r="N954" s="3">
        <v>2</v>
      </c>
      <c r="P954" s="2" t="s">
        <v>997</v>
      </c>
    </row>
    <row r="955" spans="1:16" ht="13">
      <c r="A955" s="2" t="s">
        <v>2</v>
      </c>
      <c r="B955" s="2" t="str">
        <f t="shared" si="14"/>
        <v>22-23 Academic Year</v>
      </c>
      <c r="C955" s="2">
        <v>42</v>
      </c>
      <c r="D955" s="2" t="s">
        <v>993</v>
      </c>
      <c r="E955" s="10">
        <v>45031</v>
      </c>
      <c r="F955" s="2" t="s">
        <v>69</v>
      </c>
      <c r="G955" s="2" t="s">
        <v>131</v>
      </c>
      <c r="H955" s="2" t="s">
        <v>6</v>
      </c>
      <c r="I955" s="2" t="s">
        <v>699</v>
      </c>
      <c r="J955" s="2" t="s">
        <v>4690</v>
      </c>
      <c r="K955" s="2" t="s">
        <v>195</v>
      </c>
      <c r="L955" s="2" t="s">
        <v>1752</v>
      </c>
      <c r="M955" s="3">
        <v>2</v>
      </c>
      <c r="N955" s="3">
        <v>2</v>
      </c>
      <c r="P955" s="2" t="s">
        <v>998</v>
      </c>
    </row>
    <row r="956" spans="1:16" ht="13">
      <c r="A956" s="2" t="s">
        <v>2</v>
      </c>
      <c r="B956" s="2" t="str">
        <f t="shared" si="14"/>
        <v>22-23 Academic Year</v>
      </c>
      <c r="C956" s="2">
        <v>42</v>
      </c>
      <c r="D956" s="2" t="s">
        <v>993</v>
      </c>
      <c r="E956" s="10">
        <v>45031</v>
      </c>
      <c r="F956" s="2" t="s">
        <v>69</v>
      </c>
      <c r="G956" s="2" t="s">
        <v>131</v>
      </c>
      <c r="H956" s="2" t="s">
        <v>6</v>
      </c>
      <c r="I956" s="2" t="s">
        <v>699</v>
      </c>
      <c r="J956" s="2" t="s">
        <v>4692</v>
      </c>
      <c r="K956" s="2" t="s">
        <v>774</v>
      </c>
      <c r="L956" s="2" t="s">
        <v>1117</v>
      </c>
      <c r="M956" s="3">
        <v>1</v>
      </c>
      <c r="N956" s="3">
        <v>2</v>
      </c>
      <c r="P956" s="2" t="s">
        <v>999</v>
      </c>
    </row>
    <row r="957" spans="1:16" ht="13">
      <c r="A957" s="2" t="s">
        <v>2</v>
      </c>
      <c r="B957" s="2" t="str">
        <f t="shared" si="14"/>
        <v>22-23 Academic Year</v>
      </c>
      <c r="C957" s="2">
        <v>43</v>
      </c>
      <c r="D957" s="2" t="s">
        <v>383</v>
      </c>
      <c r="E957" s="10">
        <v>45032</v>
      </c>
      <c r="F957" s="2" t="s">
        <v>69</v>
      </c>
      <c r="G957" s="2" t="s">
        <v>1000</v>
      </c>
      <c r="H957" s="2" t="s">
        <v>7</v>
      </c>
      <c r="J957" s="2" t="s">
        <v>4680</v>
      </c>
      <c r="K957" s="2" t="s">
        <v>1001</v>
      </c>
      <c r="L957" s="2" t="s">
        <v>4985</v>
      </c>
      <c r="M957" s="3">
        <v>2</v>
      </c>
      <c r="N957" s="3">
        <v>1</v>
      </c>
      <c r="P957" s="2" t="s">
        <v>1002</v>
      </c>
    </row>
    <row r="958" spans="1:16" ht="13">
      <c r="A958" s="2" t="s">
        <v>2</v>
      </c>
      <c r="B958" s="2" t="str">
        <f t="shared" si="14"/>
        <v>22-23 Academic Year</v>
      </c>
      <c r="C958" s="2">
        <v>43</v>
      </c>
      <c r="D958" s="2" t="s">
        <v>383</v>
      </c>
      <c r="E958" s="10">
        <v>45032</v>
      </c>
      <c r="F958" s="2" t="s">
        <v>69</v>
      </c>
      <c r="G958" s="2" t="s">
        <v>1000</v>
      </c>
      <c r="H958" s="2" t="s">
        <v>7</v>
      </c>
      <c r="J958" s="2" t="s">
        <v>4681</v>
      </c>
      <c r="K958" s="2" t="s">
        <v>1003</v>
      </c>
      <c r="L958" s="2" t="s">
        <v>1867</v>
      </c>
      <c r="M958" s="3">
        <v>3</v>
      </c>
      <c r="N958" s="3">
        <v>1</v>
      </c>
      <c r="P958" s="2" t="s">
        <v>1004</v>
      </c>
    </row>
    <row r="959" spans="1:16" ht="13">
      <c r="A959" s="2" t="s">
        <v>2</v>
      </c>
      <c r="B959" s="2" t="str">
        <f t="shared" si="14"/>
        <v>22-23 Academic Year</v>
      </c>
      <c r="C959" s="2">
        <v>43</v>
      </c>
      <c r="D959" s="2" t="s">
        <v>383</v>
      </c>
      <c r="E959" s="10">
        <v>45032</v>
      </c>
      <c r="F959" s="2" t="s">
        <v>69</v>
      </c>
      <c r="G959" s="2" t="s">
        <v>1000</v>
      </c>
      <c r="H959" s="2" t="s">
        <v>7</v>
      </c>
      <c r="J959" s="2" t="s">
        <v>4683</v>
      </c>
      <c r="K959" s="2" t="s">
        <v>1005</v>
      </c>
      <c r="L959" s="2" t="s">
        <v>4986</v>
      </c>
      <c r="M959" s="3">
        <v>1</v>
      </c>
      <c r="N959" s="3">
        <v>1</v>
      </c>
      <c r="P959" s="2" t="s">
        <v>1006</v>
      </c>
    </row>
    <row r="960" spans="1:16" ht="13">
      <c r="A960" s="2" t="s">
        <v>2</v>
      </c>
      <c r="B960" s="2" t="str">
        <f t="shared" si="14"/>
        <v>22-23 Academic Year</v>
      </c>
      <c r="C960" s="2">
        <v>43</v>
      </c>
      <c r="D960" s="2" t="s">
        <v>383</v>
      </c>
      <c r="E960" s="10">
        <v>45032</v>
      </c>
      <c r="F960" s="2" t="s">
        <v>69</v>
      </c>
      <c r="G960" s="2" t="s">
        <v>1000</v>
      </c>
      <c r="H960" s="2" t="s">
        <v>7</v>
      </c>
      <c r="J960" s="2" t="s">
        <v>4684</v>
      </c>
      <c r="K960" s="2" t="s">
        <v>1007</v>
      </c>
      <c r="L960" s="2" t="s">
        <v>4987</v>
      </c>
      <c r="M960" s="3">
        <v>2</v>
      </c>
      <c r="N960" s="3">
        <v>1</v>
      </c>
      <c r="P960" s="2" t="s">
        <v>1008</v>
      </c>
    </row>
    <row r="961" spans="1:16" ht="13">
      <c r="A961" s="2" t="s">
        <v>2</v>
      </c>
      <c r="B961" s="2" t="str">
        <f t="shared" si="14"/>
        <v>22-23 Academic Year</v>
      </c>
      <c r="C961" s="2">
        <v>43</v>
      </c>
      <c r="D961" s="2" t="s">
        <v>383</v>
      </c>
      <c r="E961" s="10">
        <v>45032</v>
      </c>
      <c r="F961" s="2" t="s">
        <v>69</v>
      </c>
      <c r="G961" s="2" t="s">
        <v>1000</v>
      </c>
      <c r="H961" s="2" t="s">
        <v>7</v>
      </c>
      <c r="J961" s="2" t="s">
        <v>4686</v>
      </c>
      <c r="K961" s="2" t="s">
        <v>1009</v>
      </c>
      <c r="L961" s="2" t="s">
        <v>4988</v>
      </c>
      <c r="M961" s="3">
        <v>1</v>
      </c>
      <c r="N961" s="3">
        <v>1</v>
      </c>
      <c r="P961" s="2" t="s">
        <v>1010</v>
      </c>
    </row>
    <row r="962" spans="1:16" ht="13">
      <c r="A962" s="2" t="s">
        <v>2</v>
      </c>
      <c r="B962" s="2" t="str">
        <f t="shared" si="14"/>
        <v>22-23 Academic Year</v>
      </c>
      <c r="C962" s="2">
        <v>44</v>
      </c>
      <c r="D962" s="2" t="s">
        <v>1011</v>
      </c>
      <c r="E962" s="10">
        <v>45032</v>
      </c>
      <c r="F962" s="2" t="s">
        <v>69</v>
      </c>
      <c r="G962" s="2" t="s">
        <v>131</v>
      </c>
      <c r="H962" s="2" t="s">
        <v>6</v>
      </c>
      <c r="I962" s="2" t="s">
        <v>1012</v>
      </c>
      <c r="J962" s="2" t="s">
        <v>4687</v>
      </c>
      <c r="K962" s="2" t="s">
        <v>567</v>
      </c>
      <c r="L962" s="2" t="s">
        <v>2026</v>
      </c>
      <c r="M962" s="3">
        <v>2</v>
      </c>
      <c r="N962" s="3">
        <v>1</v>
      </c>
      <c r="P962" s="2" t="s">
        <v>1013</v>
      </c>
    </row>
    <row r="963" spans="1:16" ht="13">
      <c r="A963" s="2" t="s">
        <v>2</v>
      </c>
      <c r="B963" s="2" t="str">
        <f t="shared" ref="B963:B1026" si="15">RIGHT(TEXT(IF(LEFT(A963,4)="Fall",VALUE(RIGHT(A963,4)),VALUE(RIGHT(A963,4))-1),"00"),2)
 &amp; "-" &amp;
 RIGHT(TEXT(IF(LEFT(A963,4)="Fall",VALUE(RIGHT(A963,4))+1,VALUE(RIGHT(A963,4))),"00"),2)
 &amp; " Academic Year"</f>
        <v>22-23 Academic Year</v>
      </c>
      <c r="C963" s="2">
        <v>44</v>
      </c>
      <c r="D963" s="2" t="s">
        <v>1011</v>
      </c>
      <c r="E963" s="10">
        <v>45032</v>
      </c>
      <c r="F963" s="2" t="s">
        <v>69</v>
      </c>
      <c r="G963" s="2" t="s">
        <v>131</v>
      </c>
      <c r="H963" s="2" t="s">
        <v>6</v>
      </c>
      <c r="I963" s="2" t="s">
        <v>1012</v>
      </c>
      <c r="J963" s="2" t="s">
        <v>4688</v>
      </c>
      <c r="K963" s="2" t="s">
        <v>722</v>
      </c>
      <c r="L963" s="2" t="s">
        <v>1266</v>
      </c>
      <c r="M963" s="3">
        <v>4</v>
      </c>
      <c r="N963" s="3">
        <v>1</v>
      </c>
      <c r="P963" s="2" t="s">
        <v>1014</v>
      </c>
    </row>
    <row r="964" spans="1:16" ht="13">
      <c r="A964" s="2" t="s">
        <v>2</v>
      </c>
      <c r="B964" s="2" t="str">
        <f t="shared" si="15"/>
        <v>22-23 Academic Year</v>
      </c>
      <c r="C964" s="2">
        <v>44</v>
      </c>
      <c r="D964" s="2" t="s">
        <v>1011</v>
      </c>
      <c r="E964" s="10">
        <v>45032</v>
      </c>
      <c r="F964" s="2" t="s">
        <v>69</v>
      </c>
      <c r="G964" s="2" t="s">
        <v>131</v>
      </c>
      <c r="H964" s="2" t="s">
        <v>6</v>
      </c>
      <c r="I964" s="2" t="s">
        <v>1012</v>
      </c>
      <c r="J964" s="2" t="s">
        <v>4690</v>
      </c>
      <c r="K964" s="2" t="s">
        <v>1015</v>
      </c>
      <c r="L964" s="2" t="s">
        <v>1396</v>
      </c>
      <c r="M964" s="3">
        <v>3</v>
      </c>
      <c r="N964" s="3">
        <v>1</v>
      </c>
      <c r="P964" s="2" t="s">
        <v>1016</v>
      </c>
    </row>
    <row r="965" spans="1:16" ht="13">
      <c r="A965" s="2" t="s">
        <v>2</v>
      </c>
      <c r="B965" s="2" t="str">
        <f t="shared" si="15"/>
        <v>22-23 Academic Year</v>
      </c>
      <c r="C965" s="2">
        <v>44</v>
      </c>
      <c r="D965" s="2" t="s">
        <v>1011</v>
      </c>
      <c r="E965" s="10">
        <v>45032</v>
      </c>
      <c r="F965" s="2" t="s">
        <v>69</v>
      </c>
      <c r="G965" s="2" t="s">
        <v>131</v>
      </c>
      <c r="H965" s="2" t="s">
        <v>6</v>
      </c>
      <c r="I965" s="2" t="s">
        <v>1012</v>
      </c>
      <c r="J965" s="2" t="s">
        <v>4692</v>
      </c>
      <c r="K965" s="2" t="s">
        <v>1017</v>
      </c>
      <c r="L965" s="2" t="s">
        <v>4989</v>
      </c>
      <c r="M965" s="3">
        <v>3</v>
      </c>
      <c r="N965" s="3">
        <v>1</v>
      </c>
      <c r="P965" s="2" t="s">
        <v>1018</v>
      </c>
    </row>
    <row r="966" spans="1:16" ht="13">
      <c r="A966" s="2" t="s">
        <v>2</v>
      </c>
      <c r="B966" s="2" t="str">
        <f t="shared" si="15"/>
        <v>22-23 Academic Year</v>
      </c>
      <c r="C966" s="2">
        <v>45</v>
      </c>
      <c r="D966" s="2" t="s">
        <v>449</v>
      </c>
      <c r="E966" s="10">
        <v>45033</v>
      </c>
      <c r="F966" s="2" t="s">
        <v>69</v>
      </c>
      <c r="G966" s="2" t="s">
        <v>449</v>
      </c>
      <c r="H966" s="2" t="s">
        <v>7</v>
      </c>
      <c r="J966" s="2" t="s">
        <v>4680</v>
      </c>
      <c r="K966" s="2" t="s">
        <v>725</v>
      </c>
      <c r="L966" s="2" t="s">
        <v>4947</v>
      </c>
      <c r="M966" s="3">
        <v>1</v>
      </c>
      <c r="N966" s="3">
        <v>2</v>
      </c>
      <c r="P966" s="2" t="s">
        <v>1019</v>
      </c>
    </row>
    <row r="967" spans="1:16" ht="13">
      <c r="A967" s="2" t="s">
        <v>2</v>
      </c>
      <c r="B967" s="2" t="str">
        <f t="shared" si="15"/>
        <v>22-23 Academic Year</v>
      </c>
      <c r="C967" s="2">
        <v>45</v>
      </c>
      <c r="D967" s="2" t="s">
        <v>449</v>
      </c>
      <c r="E967" s="10">
        <v>45033</v>
      </c>
      <c r="F967" s="2" t="s">
        <v>69</v>
      </c>
      <c r="G967" s="2" t="s">
        <v>449</v>
      </c>
      <c r="H967" s="2" t="s">
        <v>7</v>
      </c>
      <c r="J967" s="2" t="s">
        <v>4681</v>
      </c>
      <c r="K967" s="2" t="s">
        <v>1020</v>
      </c>
      <c r="L967" s="2" t="s">
        <v>1975</v>
      </c>
      <c r="M967" s="3">
        <v>1</v>
      </c>
      <c r="N967" s="3">
        <v>2</v>
      </c>
      <c r="P967" s="2" t="s">
        <v>1021</v>
      </c>
    </row>
    <row r="968" spans="1:16" ht="13">
      <c r="A968" s="2" t="s">
        <v>2</v>
      </c>
      <c r="B968" s="2" t="str">
        <f t="shared" si="15"/>
        <v>22-23 Academic Year</v>
      </c>
      <c r="C968" s="2">
        <v>45</v>
      </c>
      <c r="D968" s="2" t="s">
        <v>449</v>
      </c>
      <c r="E968" s="10">
        <v>45033</v>
      </c>
      <c r="F968" s="2" t="s">
        <v>69</v>
      </c>
      <c r="G968" s="2" t="s">
        <v>449</v>
      </c>
      <c r="H968" s="2" t="s">
        <v>7</v>
      </c>
      <c r="J968" s="2" t="s">
        <v>4683</v>
      </c>
      <c r="K968" s="2" t="s">
        <v>1022</v>
      </c>
      <c r="L968" s="2" t="s">
        <v>4990</v>
      </c>
      <c r="M968" s="3">
        <v>2</v>
      </c>
      <c r="N968" s="3">
        <v>2</v>
      </c>
      <c r="P968" s="2" t="s">
        <v>1023</v>
      </c>
    </row>
    <row r="969" spans="1:16" ht="13">
      <c r="A969" s="2" t="s">
        <v>2</v>
      </c>
      <c r="B969" s="2" t="str">
        <f t="shared" si="15"/>
        <v>22-23 Academic Year</v>
      </c>
      <c r="C969" s="2">
        <v>45</v>
      </c>
      <c r="D969" s="2" t="s">
        <v>449</v>
      </c>
      <c r="E969" s="10">
        <v>45033</v>
      </c>
      <c r="F969" s="2" t="s">
        <v>69</v>
      </c>
      <c r="G969" s="2" t="s">
        <v>449</v>
      </c>
      <c r="H969" s="2" t="s">
        <v>7</v>
      </c>
      <c r="J969" s="2" t="s">
        <v>4684</v>
      </c>
      <c r="K969" s="2" t="s">
        <v>1024</v>
      </c>
      <c r="L969" s="2" t="s">
        <v>1025</v>
      </c>
      <c r="M969" s="3">
        <v>1</v>
      </c>
      <c r="N969" s="3">
        <v>2</v>
      </c>
      <c r="P969" s="2" t="s">
        <v>867</v>
      </c>
    </row>
    <row r="970" spans="1:16" ht="13">
      <c r="A970" s="2" t="s">
        <v>2</v>
      </c>
      <c r="B970" s="2" t="str">
        <f t="shared" si="15"/>
        <v>22-23 Academic Year</v>
      </c>
      <c r="C970" s="2">
        <v>45</v>
      </c>
      <c r="D970" s="2" t="s">
        <v>449</v>
      </c>
      <c r="E970" s="10">
        <v>45033</v>
      </c>
      <c r="F970" s="2" t="s">
        <v>69</v>
      </c>
      <c r="G970" s="2" t="s">
        <v>449</v>
      </c>
      <c r="H970" s="2" t="s">
        <v>7</v>
      </c>
      <c r="J970" s="2" t="s">
        <v>4686</v>
      </c>
      <c r="K970" s="2" t="s">
        <v>605</v>
      </c>
      <c r="L970" s="2" t="s">
        <v>1407</v>
      </c>
      <c r="M970" s="3">
        <v>1</v>
      </c>
      <c r="N970" s="3">
        <v>2</v>
      </c>
      <c r="P970" s="2" t="s">
        <v>1026</v>
      </c>
    </row>
    <row r="971" spans="1:16" ht="13">
      <c r="A971" s="2" t="s">
        <v>2</v>
      </c>
      <c r="B971" s="2" t="str">
        <f t="shared" si="15"/>
        <v>22-23 Academic Year</v>
      </c>
      <c r="C971" s="2">
        <v>46</v>
      </c>
      <c r="D971" s="2" t="s">
        <v>1027</v>
      </c>
      <c r="E971" s="10">
        <v>45034</v>
      </c>
      <c r="F971" s="2" t="s">
        <v>69</v>
      </c>
      <c r="G971" s="2" t="s">
        <v>131</v>
      </c>
      <c r="H971" s="2" t="s">
        <v>6</v>
      </c>
      <c r="I971" s="2" t="s">
        <v>1028</v>
      </c>
      <c r="J971" s="2" t="s">
        <v>4665</v>
      </c>
      <c r="K971" s="2" t="s">
        <v>108</v>
      </c>
      <c r="L971" s="2" t="s">
        <v>1029</v>
      </c>
      <c r="M971" s="3"/>
      <c r="N971" s="3"/>
      <c r="P971" s="2" t="s">
        <v>1030</v>
      </c>
    </row>
    <row r="972" spans="1:16" ht="13">
      <c r="A972" s="2" t="s">
        <v>2</v>
      </c>
      <c r="B972" s="2" t="str">
        <f t="shared" si="15"/>
        <v>22-23 Academic Year</v>
      </c>
      <c r="C972" s="2">
        <v>46</v>
      </c>
      <c r="D972" s="2" t="s">
        <v>1027</v>
      </c>
      <c r="E972" s="10">
        <v>45034</v>
      </c>
      <c r="F972" s="2" t="s">
        <v>69</v>
      </c>
      <c r="G972" s="2" t="s">
        <v>131</v>
      </c>
      <c r="H972" s="2" t="s">
        <v>6</v>
      </c>
      <c r="I972" s="2" t="s">
        <v>1028</v>
      </c>
      <c r="J972" s="2" t="s">
        <v>4666</v>
      </c>
      <c r="K972" s="2" t="s">
        <v>774</v>
      </c>
      <c r="L972" s="2" t="s">
        <v>1117</v>
      </c>
      <c r="M972" s="3">
        <v>1</v>
      </c>
      <c r="N972" s="3">
        <v>2</v>
      </c>
      <c r="P972" s="2" t="s">
        <v>1031</v>
      </c>
    </row>
    <row r="973" spans="1:16" ht="13">
      <c r="A973" s="2" t="s">
        <v>2</v>
      </c>
      <c r="B973" s="2" t="str">
        <f t="shared" si="15"/>
        <v>22-23 Academic Year</v>
      </c>
      <c r="C973" s="2">
        <v>46</v>
      </c>
      <c r="D973" s="2" t="s">
        <v>1027</v>
      </c>
      <c r="E973" s="10">
        <v>45034</v>
      </c>
      <c r="F973" s="2" t="s">
        <v>69</v>
      </c>
      <c r="G973" s="2" t="s">
        <v>131</v>
      </c>
      <c r="H973" s="2" t="s">
        <v>6</v>
      </c>
      <c r="I973" s="2" t="s">
        <v>1028</v>
      </c>
      <c r="J973" s="2" t="s">
        <v>4668</v>
      </c>
      <c r="K973" s="2" t="s">
        <v>567</v>
      </c>
      <c r="L973" s="2" t="s">
        <v>2026</v>
      </c>
      <c r="M973" s="3">
        <v>2</v>
      </c>
      <c r="N973" s="3">
        <v>1</v>
      </c>
      <c r="P973" s="2" t="s">
        <v>568</v>
      </c>
    </row>
    <row r="974" spans="1:16" ht="13">
      <c r="A974" s="2" t="s">
        <v>2</v>
      </c>
      <c r="B974" s="2" t="str">
        <f t="shared" si="15"/>
        <v>22-23 Academic Year</v>
      </c>
      <c r="C974" s="2">
        <v>47</v>
      </c>
      <c r="D974" s="2" t="s">
        <v>1032</v>
      </c>
      <c r="E974" s="10">
        <v>45035</v>
      </c>
      <c r="F974" s="2" t="s">
        <v>69</v>
      </c>
      <c r="G974" s="2" t="s">
        <v>131</v>
      </c>
      <c r="H974" s="2" t="s">
        <v>6</v>
      </c>
      <c r="I974" s="2" t="s">
        <v>570</v>
      </c>
      <c r="J974" s="2" t="s">
        <v>4827</v>
      </c>
      <c r="K974" s="2" t="s">
        <v>1033</v>
      </c>
      <c r="L974" s="2" t="s">
        <v>3902</v>
      </c>
      <c r="M974" s="3">
        <v>1</v>
      </c>
      <c r="N974" s="3">
        <v>2</v>
      </c>
      <c r="P974" s="2" t="s">
        <v>1034</v>
      </c>
    </row>
    <row r="975" spans="1:16" ht="13">
      <c r="A975" s="2" t="s">
        <v>2</v>
      </c>
      <c r="B975" s="2" t="str">
        <f t="shared" si="15"/>
        <v>22-23 Academic Year</v>
      </c>
      <c r="C975" s="2">
        <v>47</v>
      </c>
      <c r="D975" s="2" t="s">
        <v>1032</v>
      </c>
      <c r="E975" s="10">
        <v>45035</v>
      </c>
      <c r="F975" s="2" t="s">
        <v>69</v>
      </c>
      <c r="G975" s="2" t="s">
        <v>131</v>
      </c>
      <c r="H975" s="2" t="s">
        <v>6</v>
      </c>
      <c r="I975" s="2" t="s">
        <v>570</v>
      </c>
      <c r="J975" s="2" t="s">
        <v>4828</v>
      </c>
      <c r="K975" s="2" t="s">
        <v>98</v>
      </c>
      <c r="L975" s="2" t="s">
        <v>3348</v>
      </c>
      <c r="M975" s="3">
        <v>1</v>
      </c>
      <c r="N975" s="3">
        <v>2</v>
      </c>
      <c r="P975" s="2" t="s">
        <v>1035</v>
      </c>
    </row>
    <row r="976" spans="1:16" ht="13">
      <c r="A976" s="2" t="s">
        <v>2</v>
      </c>
      <c r="B976" s="2" t="str">
        <f t="shared" si="15"/>
        <v>22-23 Academic Year</v>
      </c>
      <c r="C976" s="2">
        <v>47</v>
      </c>
      <c r="D976" s="2" t="s">
        <v>1032</v>
      </c>
      <c r="E976" s="10">
        <v>45035</v>
      </c>
      <c r="F976" s="2" t="s">
        <v>69</v>
      </c>
      <c r="G976" s="2" t="s">
        <v>131</v>
      </c>
      <c r="H976" s="2" t="s">
        <v>6</v>
      </c>
      <c r="I976" s="2" t="s">
        <v>570</v>
      </c>
      <c r="J976" s="2" t="s">
        <v>4829</v>
      </c>
      <c r="K976" s="2" t="s">
        <v>513</v>
      </c>
      <c r="L976" s="2" t="s">
        <v>3364</v>
      </c>
      <c r="M976" s="3">
        <v>1</v>
      </c>
      <c r="N976" s="3">
        <v>2</v>
      </c>
      <c r="P976" s="2" t="s">
        <v>1036</v>
      </c>
    </row>
    <row r="977" spans="1:16" ht="13">
      <c r="A977" s="2" t="s">
        <v>2</v>
      </c>
      <c r="B977" s="2" t="str">
        <f t="shared" si="15"/>
        <v>22-23 Academic Year</v>
      </c>
      <c r="C977" s="2">
        <v>47</v>
      </c>
      <c r="D977" s="2" t="s">
        <v>1032</v>
      </c>
      <c r="E977" s="10">
        <v>45035</v>
      </c>
      <c r="F977" s="2" t="s">
        <v>69</v>
      </c>
      <c r="G977" s="2" t="s">
        <v>131</v>
      </c>
      <c r="H977" s="2" t="s">
        <v>6</v>
      </c>
      <c r="I977" s="2" t="s">
        <v>570</v>
      </c>
      <c r="J977" s="2" t="s">
        <v>4830</v>
      </c>
      <c r="K977" s="2" t="s">
        <v>1037</v>
      </c>
      <c r="L977" s="2" t="s">
        <v>1778</v>
      </c>
      <c r="M977" s="3">
        <v>1</v>
      </c>
      <c r="N977" s="3">
        <v>2</v>
      </c>
      <c r="P977" s="2" t="s">
        <v>1038</v>
      </c>
    </row>
    <row r="978" spans="1:16" ht="13">
      <c r="A978" s="2" t="s">
        <v>2</v>
      </c>
      <c r="B978" s="2" t="str">
        <f t="shared" si="15"/>
        <v>22-23 Academic Year</v>
      </c>
      <c r="C978" s="2">
        <v>47</v>
      </c>
      <c r="D978" s="2" t="s">
        <v>1032</v>
      </c>
      <c r="E978" s="10">
        <v>45035</v>
      </c>
      <c r="F978" s="2" t="s">
        <v>69</v>
      </c>
      <c r="G978" s="2" t="s">
        <v>131</v>
      </c>
      <c r="H978" s="2" t="s">
        <v>6</v>
      </c>
      <c r="I978" s="2" t="s">
        <v>570</v>
      </c>
      <c r="J978" s="2" t="s">
        <v>4831</v>
      </c>
      <c r="K978" s="2" t="s">
        <v>1039</v>
      </c>
      <c r="L978" s="2" t="s">
        <v>4991</v>
      </c>
      <c r="M978" s="3">
        <v>1</v>
      </c>
      <c r="N978" s="3">
        <v>1</v>
      </c>
      <c r="P978" s="2" t="s">
        <v>1040</v>
      </c>
    </row>
    <row r="979" spans="1:16" ht="13">
      <c r="A979" s="2" t="s">
        <v>2</v>
      </c>
      <c r="B979" s="2" t="str">
        <f t="shared" si="15"/>
        <v>22-23 Academic Year</v>
      </c>
      <c r="C979" s="2">
        <v>47</v>
      </c>
      <c r="D979" s="2" t="s">
        <v>1032</v>
      </c>
      <c r="E979" s="10">
        <v>45035</v>
      </c>
      <c r="F979" s="2" t="s">
        <v>69</v>
      </c>
      <c r="G979" s="2" t="s">
        <v>131</v>
      </c>
      <c r="H979" s="2" t="s">
        <v>6</v>
      </c>
      <c r="I979" s="2" t="s">
        <v>570</v>
      </c>
      <c r="J979" s="2" t="s">
        <v>4832</v>
      </c>
      <c r="K979" s="2" t="s">
        <v>1041</v>
      </c>
      <c r="L979" s="2" t="s">
        <v>4011</v>
      </c>
      <c r="M979" s="3">
        <v>1</v>
      </c>
      <c r="N979" s="3">
        <v>2</v>
      </c>
      <c r="P979" s="2" t="s">
        <v>1042</v>
      </c>
    </row>
    <row r="980" spans="1:16" ht="13">
      <c r="A980" s="2" t="s">
        <v>2</v>
      </c>
      <c r="B980" s="2" t="str">
        <f t="shared" si="15"/>
        <v>22-23 Academic Year</v>
      </c>
      <c r="C980" s="2">
        <v>47</v>
      </c>
      <c r="D980" s="2" t="s">
        <v>1032</v>
      </c>
      <c r="E980" s="10">
        <v>45035</v>
      </c>
      <c r="F980" s="2" t="s">
        <v>69</v>
      </c>
      <c r="G980" s="2" t="s">
        <v>131</v>
      </c>
      <c r="H980" s="2" t="s">
        <v>6</v>
      </c>
      <c r="I980" s="2" t="s">
        <v>570</v>
      </c>
      <c r="J980" s="2" t="s">
        <v>4833</v>
      </c>
      <c r="K980" s="2" t="s">
        <v>1043</v>
      </c>
      <c r="L980" s="2" t="s">
        <v>1044</v>
      </c>
      <c r="M980" s="3">
        <v>3</v>
      </c>
      <c r="N980" s="3">
        <v>2</v>
      </c>
      <c r="P980" s="2" t="s">
        <v>1045</v>
      </c>
    </row>
    <row r="981" spans="1:16" ht="13">
      <c r="A981" s="2" t="s">
        <v>2</v>
      </c>
      <c r="B981" s="2" t="str">
        <f t="shared" si="15"/>
        <v>22-23 Academic Year</v>
      </c>
      <c r="C981" s="2">
        <v>47</v>
      </c>
      <c r="D981" s="2" t="s">
        <v>1032</v>
      </c>
      <c r="E981" s="10">
        <v>45035</v>
      </c>
      <c r="F981" s="2" t="s">
        <v>69</v>
      </c>
      <c r="G981" s="2" t="s">
        <v>131</v>
      </c>
      <c r="H981" s="2" t="s">
        <v>6</v>
      </c>
      <c r="I981" s="2" t="s">
        <v>570</v>
      </c>
      <c r="J981" s="2" t="s">
        <v>4992</v>
      </c>
      <c r="K981" s="2" t="s">
        <v>1046</v>
      </c>
      <c r="L981" s="2" t="s">
        <v>4993</v>
      </c>
      <c r="M981" s="3">
        <v>3</v>
      </c>
      <c r="N981" s="3">
        <v>2</v>
      </c>
      <c r="P981" s="2" t="s">
        <v>1047</v>
      </c>
    </row>
    <row r="982" spans="1:16" ht="13">
      <c r="A982" s="2" t="s">
        <v>2</v>
      </c>
      <c r="B982" s="2" t="str">
        <f t="shared" si="15"/>
        <v>22-23 Academic Year</v>
      </c>
      <c r="C982" s="2">
        <v>47</v>
      </c>
      <c r="D982" s="2" t="s">
        <v>1032</v>
      </c>
      <c r="E982" s="10">
        <v>45035</v>
      </c>
      <c r="F982" s="2" t="s">
        <v>69</v>
      </c>
      <c r="G982" s="2" t="s">
        <v>131</v>
      </c>
      <c r="H982" s="2" t="s">
        <v>6</v>
      </c>
      <c r="I982" s="2" t="s">
        <v>570</v>
      </c>
      <c r="J982" s="2" t="s">
        <v>4994</v>
      </c>
      <c r="K982" s="2" t="s">
        <v>1048</v>
      </c>
      <c r="L982" s="2" t="s">
        <v>4995</v>
      </c>
      <c r="M982" s="3"/>
      <c r="N982" s="3"/>
      <c r="P982" s="2" t="s">
        <v>1049</v>
      </c>
    </row>
    <row r="983" spans="1:16" ht="13">
      <c r="A983" s="2" t="s">
        <v>2</v>
      </c>
      <c r="B983" s="2" t="str">
        <f t="shared" si="15"/>
        <v>22-23 Academic Year</v>
      </c>
      <c r="C983" s="2">
        <v>48</v>
      </c>
      <c r="D983" s="2" t="s">
        <v>1050</v>
      </c>
      <c r="E983" s="10">
        <v>45036</v>
      </c>
      <c r="F983" s="2" t="s">
        <v>69</v>
      </c>
      <c r="G983" s="2" t="s">
        <v>131</v>
      </c>
      <c r="H983" s="2" t="s">
        <v>6</v>
      </c>
      <c r="I983" s="2" t="s">
        <v>434</v>
      </c>
      <c r="J983" s="2" t="s">
        <v>4669</v>
      </c>
      <c r="K983" s="2" t="s">
        <v>1051</v>
      </c>
      <c r="L983" s="2" t="s">
        <v>1052</v>
      </c>
      <c r="M983" s="3">
        <v>3</v>
      </c>
      <c r="N983" s="3">
        <v>2</v>
      </c>
      <c r="P983" s="2" t="s">
        <v>1053</v>
      </c>
    </row>
    <row r="984" spans="1:16" ht="13">
      <c r="A984" s="2" t="s">
        <v>2</v>
      </c>
      <c r="B984" s="2" t="str">
        <f t="shared" si="15"/>
        <v>22-23 Academic Year</v>
      </c>
      <c r="C984" s="2">
        <v>48</v>
      </c>
      <c r="D984" s="2" t="s">
        <v>1050</v>
      </c>
      <c r="E984" s="10">
        <v>45036</v>
      </c>
      <c r="F984" s="2" t="s">
        <v>69</v>
      </c>
      <c r="G984" s="2" t="s">
        <v>131</v>
      </c>
      <c r="H984" s="2" t="s">
        <v>6</v>
      </c>
      <c r="I984" s="2" t="s">
        <v>434</v>
      </c>
      <c r="J984" s="2" t="s">
        <v>4671</v>
      </c>
      <c r="K984" s="2" t="s">
        <v>670</v>
      </c>
      <c r="L984" s="2" t="s">
        <v>403</v>
      </c>
      <c r="M984" s="3">
        <v>1</v>
      </c>
      <c r="N984" s="3">
        <v>2</v>
      </c>
      <c r="P984" s="2" t="s">
        <v>1054</v>
      </c>
    </row>
    <row r="985" spans="1:16" ht="13">
      <c r="A985" s="2" t="s">
        <v>2</v>
      </c>
      <c r="B985" s="2" t="str">
        <f t="shared" si="15"/>
        <v>22-23 Academic Year</v>
      </c>
      <c r="C985" s="2">
        <v>48</v>
      </c>
      <c r="D985" s="2" t="s">
        <v>1050</v>
      </c>
      <c r="E985" s="10">
        <v>45036</v>
      </c>
      <c r="F985" s="2" t="s">
        <v>69</v>
      </c>
      <c r="G985" s="2" t="s">
        <v>131</v>
      </c>
      <c r="H985" s="2" t="s">
        <v>6</v>
      </c>
      <c r="I985" s="2" t="s">
        <v>434</v>
      </c>
      <c r="J985" s="2" t="s">
        <v>4673</v>
      </c>
      <c r="K985" s="2" t="s">
        <v>1055</v>
      </c>
      <c r="L985" s="2" t="s">
        <v>4996</v>
      </c>
      <c r="M985" s="3">
        <v>1</v>
      </c>
      <c r="N985" s="3">
        <v>2</v>
      </c>
      <c r="P985" s="2" t="s">
        <v>1056</v>
      </c>
    </row>
    <row r="986" spans="1:16" ht="13">
      <c r="A986" s="2" t="s">
        <v>2</v>
      </c>
      <c r="B986" s="2" t="str">
        <f t="shared" si="15"/>
        <v>22-23 Academic Year</v>
      </c>
      <c r="C986" s="2">
        <v>48</v>
      </c>
      <c r="D986" s="2" t="s">
        <v>1050</v>
      </c>
      <c r="E986" s="10">
        <v>45036</v>
      </c>
      <c r="F986" s="2" t="s">
        <v>69</v>
      </c>
      <c r="G986" s="2" t="s">
        <v>131</v>
      </c>
      <c r="H986" s="2" t="s">
        <v>6</v>
      </c>
      <c r="I986" s="2" t="s">
        <v>434</v>
      </c>
      <c r="J986" s="2" t="s">
        <v>4675</v>
      </c>
      <c r="K986" s="2" t="s">
        <v>1057</v>
      </c>
      <c r="L986" s="2" t="s">
        <v>4997</v>
      </c>
      <c r="M986" s="3">
        <v>1</v>
      </c>
      <c r="N986" s="3">
        <v>2</v>
      </c>
      <c r="P986" s="2" t="s">
        <v>1058</v>
      </c>
    </row>
    <row r="987" spans="1:16" ht="13">
      <c r="A987" s="2" t="s">
        <v>2</v>
      </c>
      <c r="B987" s="2" t="str">
        <f t="shared" si="15"/>
        <v>22-23 Academic Year</v>
      </c>
      <c r="C987" s="2">
        <v>48</v>
      </c>
      <c r="D987" s="2" t="s">
        <v>1050</v>
      </c>
      <c r="E987" s="10">
        <v>45036</v>
      </c>
      <c r="F987" s="2" t="s">
        <v>69</v>
      </c>
      <c r="G987" s="2" t="s">
        <v>131</v>
      </c>
      <c r="H987" s="2" t="s">
        <v>6</v>
      </c>
      <c r="I987" s="2" t="s">
        <v>434</v>
      </c>
      <c r="J987" s="2" t="s">
        <v>4677</v>
      </c>
      <c r="K987" s="2" t="s">
        <v>1059</v>
      </c>
      <c r="L987" s="2" t="s">
        <v>1059</v>
      </c>
      <c r="M987" s="3">
        <v>3</v>
      </c>
      <c r="N987" s="3">
        <v>1</v>
      </c>
      <c r="O987" s="2" t="s">
        <v>1060</v>
      </c>
      <c r="P987" s="2" t="s">
        <v>1061</v>
      </c>
    </row>
    <row r="988" spans="1:16" ht="13">
      <c r="A988" s="2" t="s">
        <v>2</v>
      </c>
      <c r="B988" s="2" t="str">
        <f t="shared" si="15"/>
        <v>22-23 Academic Year</v>
      </c>
      <c r="C988" s="2">
        <v>48</v>
      </c>
      <c r="D988" s="2" t="s">
        <v>1050</v>
      </c>
      <c r="E988" s="10">
        <v>45036</v>
      </c>
      <c r="F988" s="2" t="s">
        <v>69</v>
      </c>
      <c r="G988" s="2" t="s">
        <v>131</v>
      </c>
      <c r="H988" s="2" t="s">
        <v>6</v>
      </c>
      <c r="I988" s="2" t="s">
        <v>434</v>
      </c>
      <c r="J988" s="2" t="s">
        <v>4679</v>
      </c>
      <c r="K988" s="2" t="s">
        <v>1059</v>
      </c>
      <c r="L988" s="2" t="s">
        <v>1059</v>
      </c>
      <c r="M988" s="3">
        <v>3</v>
      </c>
      <c r="N988" s="3">
        <v>1</v>
      </c>
      <c r="O988" s="2" t="s">
        <v>1062</v>
      </c>
      <c r="P988" s="2" t="s">
        <v>1063</v>
      </c>
    </row>
    <row r="989" spans="1:16" ht="13">
      <c r="A989" s="2" t="s">
        <v>2</v>
      </c>
      <c r="B989" s="2" t="str">
        <f t="shared" si="15"/>
        <v>22-23 Academic Year</v>
      </c>
      <c r="C989" s="2">
        <v>49</v>
      </c>
      <c r="D989" s="2" t="s">
        <v>1064</v>
      </c>
      <c r="E989" s="10">
        <v>45037</v>
      </c>
      <c r="F989" s="2" t="s">
        <v>69</v>
      </c>
      <c r="G989" s="2" t="s">
        <v>1065</v>
      </c>
      <c r="H989" s="2" t="s">
        <v>7</v>
      </c>
      <c r="J989" s="2" t="s">
        <v>4687</v>
      </c>
      <c r="K989" s="2" t="s">
        <v>1066</v>
      </c>
      <c r="L989" s="2" t="s">
        <v>3381</v>
      </c>
      <c r="M989" s="3">
        <v>2</v>
      </c>
      <c r="N989" s="3">
        <v>2</v>
      </c>
      <c r="P989" s="2" t="s">
        <v>1067</v>
      </c>
    </row>
    <row r="990" spans="1:16" ht="13">
      <c r="A990" s="2" t="s">
        <v>2</v>
      </c>
      <c r="B990" s="2" t="str">
        <f t="shared" si="15"/>
        <v>22-23 Academic Year</v>
      </c>
      <c r="C990" s="2">
        <v>49</v>
      </c>
      <c r="D990" s="2" t="s">
        <v>1064</v>
      </c>
      <c r="E990" s="10">
        <v>45037</v>
      </c>
      <c r="F990" s="2" t="s">
        <v>69</v>
      </c>
      <c r="G990" s="2" t="s">
        <v>1065</v>
      </c>
      <c r="H990" s="2" t="s">
        <v>7</v>
      </c>
      <c r="J990" s="2" t="s">
        <v>4688</v>
      </c>
      <c r="K990" s="2" t="s">
        <v>611</v>
      </c>
      <c r="L990" s="2" t="s">
        <v>1849</v>
      </c>
      <c r="M990" s="3">
        <v>4</v>
      </c>
      <c r="N990" s="3">
        <v>2</v>
      </c>
      <c r="P990" s="2" t="s">
        <v>1068</v>
      </c>
    </row>
    <row r="991" spans="1:16" ht="13">
      <c r="A991" s="2" t="s">
        <v>2</v>
      </c>
      <c r="B991" s="2" t="str">
        <f t="shared" si="15"/>
        <v>22-23 Academic Year</v>
      </c>
      <c r="C991" s="2">
        <v>49</v>
      </c>
      <c r="D991" s="2" t="s">
        <v>1064</v>
      </c>
      <c r="E991" s="10">
        <v>45037</v>
      </c>
      <c r="F991" s="2" t="s">
        <v>69</v>
      </c>
      <c r="G991" s="2" t="s">
        <v>1065</v>
      </c>
      <c r="H991" s="2" t="s">
        <v>7</v>
      </c>
      <c r="J991" s="2" t="s">
        <v>4690</v>
      </c>
      <c r="K991" s="2" t="s">
        <v>670</v>
      </c>
      <c r="L991" s="2" t="s">
        <v>403</v>
      </c>
      <c r="M991" s="3">
        <v>1</v>
      </c>
      <c r="N991" s="3">
        <v>2</v>
      </c>
      <c r="P991" s="2" t="s">
        <v>1069</v>
      </c>
    </row>
    <row r="992" spans="1:16" ht="13">
      <c r="A992" s="2" t="s">
        <v>2</v>
      </c>
      <c r="B992" s="2" t="str">
        <f t="shared" si="15"/>
        <v>22-23 Academic Year</v>
      </c>
      <c r="C992" s="2">
        <v>49</v>
      </c>
      <c r="D992" s="2" t="s">
        <v>1064</v>
      </c>
      <c r="E992" s="10">
        <v>45037</v>
      </c>
      <c r="F992" s="2" t="s">
        <v>69</v>
      </c>
      <c r="G992" s="2" t="s">
        <v>1065</v>
      </c>
      <c r="H992" s="2" t="s">
        <v>7</v>
      </c>
      <c r="J992" s="2" t="s">
        <v>4692</v>
      </c>
      <c r="K992" s="2" t="s">
        <v>670</v>
      </c>
      <c r="L992" s="2" t="s">
        <v>403</v>
      </c>
      <c r="M992" s="3">
        <v>1</v>
      </c>
      <c r="N992" s="3">
        <v>2</v>
      </c>
      <c r="P992" s="2" t="s">
        <v>1070</v>
      </c>
    </row>
    <row r="993" spans="1:16" ht="13">
      <c r="A993" s="2" t="s">
        <v>2</v>
      </c>
      <c r="B993" s="2" t="str">
        <f t="shared" si="15"/>
        <v>22-23 Academic Year</v>
      </c>
      <c r="C993" s="2">
        <v>50</v>
      </c>
      <c r="D993" s="2" t="s">
        <v>1071</v>
      </c>
      <c r="E993" s="10">
        <v>45038</v>
      </c>
      <c r="F993" s="2" t="s">
        <v>69</v>
      </c>
      <c r="G993" s="2" t="s">
        <v>1072</v>
      </c>
      <c r="H993" s="2" t="s">
        <v>6</v>
      </c>
      <c r="I993" s="2" t="s">
        <v>1073</v>
      </c>
      <c r="J993" s="2" t="s">
        <v>4669</v>
      </c>
      <c r="K993" s="2" t="s">
        <v>248</v>
      </c>
      <c r="L993" s="2" t="s">
        <v>1425</v>
      </c>
      <c r="M993" s="3">
        <v>1</v>
      </c>
      <c r="N993" s="3">
        <v>2</v>
      </c>
      <c r="P993" s="2" t="s">
        <v>1074</v>
      </c>
    </row>
    <row r="994" spans="1:16" ht="13">
      <c r="A994" s="2" t="s">
        <v>2</v>
      </c>
      <c r="B994" s="2" t="str">
        <f t="shared" si="15"/>
        <v>22-23 Academic Year</v>
      </c>
      <c r="C994" s="2">
        <v>50</v>
      </c>
      <c r="D994" s="2" t="s">
        <v>1071</v>
      </c>
      <c r="E994" s="10">
        <v>45038</v>
      </c>
      <c r="F994" s="2" t="s">
        <v>69</v>
      </c>
      <c r="G994" s="2" t="s">
        <v>1072</v>
      </c>
      <c r="H994" s="2" t="s">
        <v>6</v>
      </c>
      <c r="I994" s="2" t="s">
        <v>1073</v>
      </c>
      <c r="J994" s="2" t="s">
        <v>4671</v>
      </c>
      <c r="K994" s="2" t="s">
        <v>1075</v>
      </c>
      <c r="L994" s="2" t="s">
        <v>4998</v>
      </c>
      <c r="M994" s="3">
        <v>3</v>
      </c>
      <c r="N994" s="3">
        <v>1</v>
      </c>
      <c r="P994" s="2" t="s">
        <v>1076</v>
      </c>
    </row>
    <row r="995" spans="1:16" ht="13">
      <c r="A995" s="2" t="s">
        <v>2</v>
      </c>
      <c r="B995" s="2" t="str">
        <f t="shared" si="15"/>
        <v>22-23 Academic Year</v>
      </c>
      <c r="C995" s="2">
        <v>50</v>
      </c>
      <c r="D995" s="2" t="s">
        <v>1071</v>
      </c>
      <c r="E995" s="10">
        <v>45038</v>
      </c>
      <c r="F995" s="2" t="s">
        <v>69</v>
      </c>
      <c r="G995" s="2" t="s">
        <v>1072</v>
      </c>
      <c r="H995" s="2" t="s">
        <v>6</v>
      </c>
      <c r="I995" s="2" t="s">
        <v>1073</v>
      </c>
      <c r="J995" s="2" t="s">
        <v>4673</v>
      </c>
      <c r="K995" s="2" t="s">
        <v>1077</v>
      </c>
      <c r="L995" s="2" t="s">
        <v>398</v>
      </c>
      <c r="M995" s="3">
        <v>1</v>
      </c>
      <c r="N995" s="3">
        <v>2</v>
      </c>
      <c r="O995" s="2" t="s">
        <v>1078</v>
      </c>
      <c r="P995" s="2" t="s">
        <v>1079</v>
      </c>
    </row>
    <row r="996" spans="1:16" ht="13">
      <c r="A996" s="2" t="s">
        <v>2</v>
      </c>
      <c r="B996" s="2" t="str">
        <f t="shared" si="15"/>
        <v>22-23 Academic Year</v>
      </c>
      <c r="C996" s="2">
        <v>50</v>
      </c>
      <c r="D996" s="2" t="s">
        <v>1071</v>
      </c>
      <c r="E996" s="10">
        <v>45038</v>
      </c>
      <c r="F996" s="2" t="s">
        <v>69</v>
      </c>
      <c r="G996" s="2" t="s">
        <v>1072</v>
      </c>
      <c r="H996" s="2" t="s">
        <v>6</v>
      </c>
      <c r="I996" s="2" t="s">
        <v>1073</v>
      </c>
      <c r="J996" s="2" t="s">
        <v>4675</v>
      </c>
      <c r="K996" s="2" t="s">
        <v>1075</v>
      </c>
      <c r="L996" s="2" t="s">
        <v>4998</v>
      </c>
      <c r="M996" s="3">
        <v>3</v>
      </c>
      <c r="N996" s="3">
        <v>1</v>
      </c>
      <c r="P996" s="2" t="s">
        <v>1080</v>
      </c>
    </row>
    <row r="997" spans="1:16" ht="13">
      <c r="A997" s="2" t="s">
        <v>2</v>
      </c>
      <c r="B997" s="2" t="str">
        <f t="shared" si="15"/>
        <v>22-23 Academic Year</v>
      </c>
      <c r="C997" s="2">
        <v>50</v>
      </c>
      <c r="D997" s="2" t="s">
        <v>1071</v>
      </c>
      <c r="E997" s="10">
        <v>45038</v>
      </c>
      <c r="F997" s="2" t="s">
        <v>69</v>
      </c>
      <c r="G997" s="2" t="s">
        <v>1072</v>
      </c>
      <c r="H997" s="2" t="s">
        <v>6</v>
      </c>
      <c r="I997" s="2" t="s">
        <v>1073</v>
      </c>
      <c r="J997" s="2" t="s">
        <v>4677</v>
      </c>
      <c r="K997" s="2" t="s">
        <v>1081</v>
      </c>
      <c r="L997" s="2" t="s">
        <v>1082</v>
      </c>
      <c r="M997" s="3"/>
      <c r="N997" s="3"/>
      <c r="P997" s="2" t="s">
        <v>1083</v>
      </c>
    </row>
    <row r="998" spans="1:16" ht="13">
      <c r="A998" s="2" t="s">
        <v>2</v>
      </c>
      <c r="B998" s="2" t="str">
        <f t="shared" si="15"/>
        <v>22-23 Academic Year</v>
      </c>
      <c r="C998" s="2">
        <v>50</v>
      </c>
      <c r="D998" s="2" t="s">
        <v>1071</v>
      </c>
      <c r="E998" s="10">
        <v>45038</v>
      </c>
      <c r="F998" s="2" t="s">
        <v>69</v>
      </c>
      <c r="G998" s="2" t="s">
        <v>1072</v>
      </c>
      <c r="H998" s="2" t="s">
        <v>6</v>
      </c>
      <c r="I998" s="2" t="s">
        <v>1073</v>
      </c>
      <c r="J998" s="2" t="s">
        <v>4679</v>
      </c>
      <c r="K998" s="2" t="s">
        <v>1084</v>
      </c>
      <c r="L998" s="2" t="s">
        <v>4999</v>
      </c>
      <c r="M998" s="3">
        <v>3</v>
      </c>
      <c r="N998" s="3">
        <v>2</v>
      </c>
      <c r="P998" s="2" t="s">
        <v>1085</v>
      </c>
    </row>
    <row r="999" spans="1:16" ht="13">
      <c r="A999" s="2" t="s">
        <v>2</v>
      </c>
      <c r="B999" s="2" t="str">
        <f t="shared" si="15"/>
        <v>22-23 Academic Year</v>
      </c>
      <c r="C999" s="2">
        <v>51</v>
      </c>
      <c r="D999" s="2" t="s">
        <v>1086</v>
      </c>
      <c r="E999" s="10">
        <v>45038</v>
      </c>
      <c r="F999" s="2" t="s">
        <v>69</v>
      </c>
      <c r="G999" s="2" t="s">
        <v>1072</v>
      </c>
      <c r="H999" s="2" t="s">
        <v>6</v>
      </c>
      <c r="I999" s="2" t="s">
        <v>932</v>
      </c>
      <c r="J999" s="2" t="s">
        <v>4687</v>
      </c>
      <c r="K999" s="2" t="s">
        <v>1087</v>
      </c>
      <c r="L999" s="2" t="s">
        <v>5000</v>
      </c>
      <c r="M999" s="3">
        <v>1</v>
      </c>
      <c r="N999" s="3">
        <v>2</v>
      </c>
      <c r="O999" s="2" t="s">
        <v>1088</v>
      </c>
      <c r="P999" s="2" t="s">
        <v>1089</v>
      </c>
    </row>
    <row r="1000" spans="1:16" ht="13">
      <c r="A1000" s="2" t="s">
        <v>2</v>
      </c>
      <c r="B1000" s="2" t="str">
        <f t="shared" si="15"/>
        <v>22-23 Academic Year</v>
      </c>
      <c r="C1000" s="2">
        <v>51</v>
      </c>
      <c r="D1000" s="2" t="s">
        <v>1086</v>
      </c>
      <c r="E1000" s="10">
        <v>45038</v>
      </c>
      <c r="F1000" s="2" t="s">
        <v>69</v>
      </c>
      <c r="G1000" s="2" t="s">
        <v>1072</v>
      </c>
      <c r="H1000" s="2" t="s">
        <v>6</v>
      </c>
      <c r="I1000" s="2" t="s">
        <v>932</v>
      </c>
      <c r="J1000" s="2" t="s">
        <v>4688</v>
      </c>
      <c r="K1000" s="2" t="s">
        <v>1088</v>
      </c>
      <c r="L1000" s="2" t="s">
        <v>5001</v>
      </c>
      <c r="M1000" s="3">
        <v>4</v>
      </c>
      <c r="N1000" s="3">
        <v>1</v>
      </c>
      <c r="P1000" s="2" t="s">
        <v>1090</v>
      </c>
    </row>
    <row r="1001" spans="1:16" ht="13">
      <c r="A1001" s="2" t="s">
        <v>2</v>
      </c>
      <c r="B1001" s="2" t="str">
        <f t="shared" si="15"/>
        <v>22-23 Academic Year</v>
      </c>
      <c r="C1001" s="2">
        <v>51</v>
      </c>
      <c r="D1001" s="2" t="s">
        <v>1086</v>
      </c>
      <c r="E1001" s="10">
        <v>45038</v>
      </c>
      <c r="F1001" s="2" t="s">
        <v>69</v>
      </c>
      <c r="G1001" s="2" t="s">
        <v>1072</v>
      </c>
      <c r="H1001" s="2" t="s">
        <v>6</v>
      </c>
      <c r="I1001" s="2" t="s">
        <v>932</v>
      </c>
      <c r="J1001" s="2" t="s">
        <v>4690</v>
      </c>
      <c r="K1001" s="2" t="s">
        <v>1091</v>
      </c>
      <c r="L1001" s="2" t="s">
        <v>4009</v>
      </c>
      <c r="M1001" s="3">
        <v>1</v>
      </c>
      <c r="N1001" s="3">
        <v>2</v>
      </c>
      <c r="O1001" s="2" t="s">
        <v>1092</v>
      </c>
      <c r="P1001" s="2" t="s">
        <v>1093</v>
      </c>
    </row>
    <row r="1002" spans="1:16" ht="13">
      <c r="A1002" s="2" t="s">
        <v>2</v>
      </c>
      <c r="B1002" s="2" t="str">
        <f t="shared" si="15"/>
        <v>22-23 Academic Year</v>
      </c>
      <c r="C1002" s="2">
        <v>51</v>
      </c>
      <c r="D1002" s="2" t="s">
        <v>1086</v>
      </c>
      <c r="E1002" s="10">
        <v>45038</v>
      </c>
      <c r="F1002" s="2" t="s">
        <v>69</v>
      </c>
      <c r="G1002" s="2" t="s">
        <v>1072</v>
      </c>
      <c r="H1002" s="2" t="s">
        <v>6</v>
      </c>
      <c r="I1002" s="2" t="s">
        <v>932</v>
      </c>
      <c r="J1002" s="2" t="s">
        <v>4692</v>
      </c>
      <c r="K1002" s="2" t="s">
        <v>1094</v>
      </c>
      <c r="L1002" s="2" t="s">
        <v>5002</v>
      </c>
      <c r="M1002" s="3">
        <v>3</v>
      </c>
      <c r="N1002" s="3">
        <v>1</v>
      </c>
      <c r="O1002" s="2" t="s">
        <v>1088</v>
      </c>
      <c r="P1002" s="2" t="s">
        <v>1095</v>
      </c>
    </row>
    <row r="1003" spans="1:16" ht="13">
      <c r="A1003" s="2" t="s">
        <v>2</v>
      </c>
      <c r="B1003" s="2" t="str">
        <f t="shared" si="15"/>
        <v>22-23 Academic Year</v>
      </c>
      <c r="C1003" s="2">
        <v>52</v>
      </c>
      <c r="D1003" s="2" t="s">
        <v>669</v>
      </c>
      <c r="E1003" s="10">
        <v>45039</v>
      </c>
      <c r="F1003" s="2" t="s">
        <v>69</v>
      </c>
      <c r="G1003" s="2" t="s">
        <v>669</v>
      </c>
      <c r="H1003" s="2" t="s">
        <v>7</v>
      </c>
      <c r="J1003" s="2" t="s">
        <v>4711</v>
      </c>
      <c r="K1003" s="2" t="s">
        <v>1096</v>
      </c>
      <c r="L1003" s="2" t="s">
        <v>1097</v>
      </c>
      <c r="M1003" s="3">
        <v>1</v>
      </c>
      <c r="N1003" s="3">
        <v>2</v>
      </c>
      <c r="P1003" s="2" t="s">
        <v>1098</v>
      </c>
    </row>
    <row r="1004" spans="1:16" ht="13">
      <c r="A1004" s="2" t="s">
        <v>2</v>
      </c>
      <c r="B1004" s="2" t="str">
        <f t="shared" si="15"/>
        <v>22-23 Academic Year</v>
      </c>
      <c r="C1004" s="2">
        <v>52</v>
      </c>
      <c r="D1004" s="2" t="s">
        <v>669</v>
      </c>
      <c r="E1004" s="10">
        <v>45039</v>
      </c>
      <c r="F1004" s="2" t="s">
        <v>69</v>
      </c>
      <c r="G1004" s="2" t="s">
        <v>669</v>
      </c>
      <c r="H1004" s="2" t="s">
        <v>7</v>
      </c>
      <c r="J1004" s="2" t="s">
        <v>4712</v>
      </c>
      <c r="K1004" s="2" t="s">
        <v>746</v>
      </c>
      <c r="L1004" s="2" t="s">
        <v>2879</v>
      </c>
      <c r="M1004" s="3">
        <v>1</v>
      </c>
      <c r="N1004" s="3">
        <v>2</v>
      </c>
      <c r="P1004" s="2" t="s">
        <v>1099</v>
      </c>
    </row>
    <row r="1005" spans="1:16" ht="13">
      <c r="A1005" s="2" t="s">
        <v>2</v>
      </c>
      <c r="B1005" s="2" t="str">
        <f t="shared" si="15"/>
        <v>22-23 Academic Year</v>
      </c>
      <c r="C1005" s="2">
        <v>53</v>
      </c>
      <c r="D1005" s="2" t="s">
        <v>1100</v>
      </c>
      <c r="E1005" s="10">
        <v>45039</v>
      </c>
      <c r="F1005" s="2" t="s">
        <v>69</v>
      </c>
      <c r="G1005" s="2" t="s">
        <v>131</v>
      </c>
      <c r="H1005" s="2" t="s">
        <v>6</v>
      </c>
      <c r="I1005" s="2" t="s">
        <v>699</v>
      </c>
      <c r="J1005" s="2" t="s">
        <v>4687</v>
      </c>
      <c r="K1005" s="2" t="s">
        <v>371</v>
      </c>
      <c r="L1005" s="2" t="s">
        <v>372</v>
      </c>
      <c r="M1005" s="3">
        <v>1</v>
      </c>
      <c r="N1005" s="3">
        <v>2</v>
      </c>
      <c r="P1005" s="2" t="s">
        <v>1101</v>
      </c>
    </row>
    <row r="1006" spans="1:16" ht="13">
      <c r="A1006" s="2" t="s">
        <v>2</v>
      </c>
      <c r="B1006" s="2" t="str">
        <f t="shared" si="15"/>
        <v>22-23 Academic Year</v>
      </c>
      <c r="C1006" s="2">
        <v>53</v>
      </c>
      <c r="D1006" s="2" t="s">
        <v>1100</v>
      </c>
      <c r="E1006" s="10">
        <v>45039</v>
      </c>
      <c r="F1006" s="2" t="s">
        <v>69</v>
      </c>
      <c r="G1006" s="2" t="s">
        <v>131</v>
      </c>
      <c r="H1006" s="2" t="s">
        <v>6</v>
      </c>
      <c r="I1006" s="2" t="s">
        <v>699</v>
      </c>
      <c r="J1006" s="2" t="s">
        <v>4688</v>
      </c>
      <c r="K1006" s="2" t="s">
        <v>1057</v>
      </c>
      <c r="L1006" s="2" t="s">
        <v>4997</v>
      </c>
      <c r="M1006" s="3">
        <v>1</v>
      </c>
      <c r="N1006" s="3">
        <v>2</v>
      </c>
      <c r="P1006" s="2" t="s">
        <v>1102</v>
      </c>
    </row>
    <row r="1007" spans="1:16" ht="13">
      <c r="A1007" s="2" t="s">
        <v>2</v>
      </c>
      <c r="B1007" s="2" t="str">
        <f t="shared" si="15"/>
        <v>22-23 Academic Year</v>
      </c>
      <c r="C1007" s="2">
        <v>53</v>
      </c>
      <c r="D1007" s="2" t="s">
        <v>1100</v>
      </c>
      <c r="E1007" s="10">
        <v>45039</v>
      </c>
      <c r="F1007" s="2" t="s">
        <v>69</v>
      </c>
      <c r="G1007" s="2" t="s">
        <v>131</v>
      </c>
      <c r="H1007" s="2" t="s">
        <v>6</v>
      </c>
      <c r="I1007" s="2" t="s">
        <v>699</v>
      </c>
      <c r="J1007" s="2" t="s">
        <v>4690</v>
      </c>
      <c r="K1007" s="2" t="s">
        <v>1103</v>
      </c>
      <c r="L1007" s="2" t="s">
        <v>1104</v>
      </c>
      <c r="M1007" s="3">
        <v>1</v>
      </c>
      <c r="N1007" s="3">
        <v>2</v>
      </c>
      <c r="P1007" s="2" t="s">
        <v>1105</v>
      </c>
    </row>
    <row r="1008" spans="1:16" ht="13">
      <c r="A1008" s="2" t="s">
        <v>2</v>
      </c>
      <c r="B1008" s="2" t="str">
        <f t="shared" si="15"/>
        <v>22-23 Academic Year</v>
      </c>
      <c r="C1008" s="2">
        <v>53</v>
      </c>
      <c r="D1008" s="2" t="s">
        <v>1100</v>
      </c>
      <c r="E1008" s="10">
        <v>45039</v>
      </c>
      <c r="F1008" s="2" t="s">
        <v>69</v>
      </c>
      <c r="G1008" s="2" t="s">
        <v>131</v>
      </c>
      <c r="H1008" s="2" t="s">
        <v>6</v>
      </c>
      <c r="I1008" s="2" t="s">
        <v>699</v>
      </c>
      <c r="J1008" s="2" t="s">
        <v>4692</v>
      </c>
      <c r="K1008" s="2" t="s">
        <v>1020</v>
      </c>
      <c r="L1008" s="2" t="s">
        <v>1975</v>
      </c>
      <c r="M1008" s="3">
        <v>1</v>
      </c>
      <c r="N1008" s="3">
        <v>2</v>
      </c>
      <c r="P1008" s="2" t="s">
        <v>1106</v>
      </c>
    </row>
    <row r="1009" spans="1:16" ht="13">
      <c r="A1009" s="2" t="s">
        <v>2</v>
      </c>
      <c r="B1009" s="2" t="str">
        <f t="shared" si="15"/>
        <v>22-23 Academic Year</v>
      </c>
      <c r="C1009" s="2">
        <v>54</v>
      </c>
      <c r="D1009" s="2" t="s">
        <v>449</v>
      </c>
      <c r="E1009" s="10">
        <v>45040</v>
      </c>
      <c r="F1009" s="2" t="s">
        <v>69</v>
      </c>
      <c r="G1009" s="2" t="s">
        <v>1107</v>
      </c>
      <c r="H1009" s="2" t="s">
        <v>7</v>
      </c>
      <c r="J1009" s="2" t="s">
        <v>4680</v>
      </c>
      <c r="K1009" s="2" t="s">
        <v>589</v>
      </c>
      <c r="L1009" s="2" t="s">
        <v>4799</v>
      </c>
      <c r="M1009" s="3">
        <v>1</v>
      </c>
      <c r="N1009" s="3">
        <v>2</v>
      </c>
      <c r="P1009" s="2" t="s">
        <v>948</v>
      </c>
    </row>
    <row r="1010" spans="1:16" ht="13">
      <c r="A1010" s="2" t="s">
        <v>2</v>
      </c>
      <c r="B1010" s="2" t="str">
        <f t="shared" si="15"/>
        <v>22-23 Academic Year</v>
      </c>
      <c r="C1010" s="2">
        <v>54</v>
      </c>
      <c r="D1010" s="2" t="s">
        <v>449</v>
      </c>
      <c r="E1010" s="10">
        <v>45040</v>
      </c>
      <c r="F1010" s="2" t="s">
        <v>69</v>
      </c>
      <c r="G1010" s="2" t="s">
        <v>1107</v>
      </c>
      <c r="H1010" s="2" t="s">
        <v>7</v>
      </c>
      <c r="J1010" s="2" t="s">
        <v>4681</v>
      </c>
      <c r="K1010" s="2" t="s">
        <v>781</v>
      </c>
      <c r="L1010" s="2" t="s">
        <v>4957</v>
      </c>
      <c r="M1010" s="3">
        <v>1</v>
      </c>
      <c r="N1010" s="3">
        <v>2</v>
      </c>
      <c r="O1010" s="2" t="s">
        <v>1108</v>
      </c>
      <c r="P1010" s="2" t="s">
        <v>1109</v>
      </c>
    </row>
    <row r="1011" spans="1:16" ht="13">
      <c r="A1011" s="2" t="s">
        <v>2</v>
      </c>
      <c r="B1011" s="2" t="str">
        <f t="shared" si="15"/>
        <v>22-23 Academic Year</v>
      </c>
      <c r="C1011" s="2">
        <v>54</v>
      </c>
      <c r="D1011" s="2" t="s">
        <v>449</v>
      </c>
      <c r="E1011" s="10">
        <v>45040</v>
      </c>
      <c r="F1011" s="2" t="s">
        <v>69</v>
      </c>
      <c r="G1011" s="2" t="s">
        <v>1107</v>
      </c>
      <c r="H1011" s="2" t="s">
        <v>7</v>
      </c>
      <c r="J1011" s="2" t="s">
        <v>4683</v>
      </c>
      <c r="K1011" s="2" t="s">
        <v>1110</v>
      </c>
      <c r="L1011" s="2" t="s">
        <v>5003</v>
      </c>
      <c r="M1011" s="3">
        <v>1</v>
      </c>
      <c r="N1011" s="3">
        <v>2</v>
      </c>
      <c r="P1011" s="2" t="s">
        <v>1111</v>
      </c>
    </row>
    <row r="1012" spans="1:16" ht="13">
      <c r="A1012" s="2" t="s">
        <v>2</v>
      </c>
      <c r="B1012" s="2" t="str">
        <f t="shared" si="15"/>
        <v>22-23 Academic Year</v>
      </c>
      <c r="C1012" s="2">
        <v>54</v>
      </c>
      <c r="D1012" s="2" t="s">
        <v>449</v>
      </c>
      <c r="E1012" s="10">
        <v>45040</v>
      </c>
      <c r="F1012" s="2" t="s">
        <v>69</v>
      </c>
      <c r="G1012" s="2" t="s">
        <v>1107</v>
      </c>
      <c r="H1012" s="2" t="s">
        <v>7</v>
      </c>
      <c r="J1012" s="2" t="s">
        <v>4684</v>
      </c>
      <c r="K1012" s="2" t="s">
        <v>41</v>
      </c>
      <c r="L1012" s="2" t="s">
        <v>4537</v>
      </c>
      <c r="M1012" s="3">
        <v>4</v>
      </c>
      <c r="N1012" s="3">
        <v>1</v>
      </c>
      <c r="P1012" s="2" t="s">
        <v>1112</v>
      </c>
    </row>
    <row r="1013" spans="1:16" ht="13">
      <c r="A1013" s="2" t="s">
        <v>2</v>
      </c>
      <c r="B1013" s="2" t="str">
        <f t="shared" si="15"/>
        <v>22-23 Academic Year</v>
      </c>
      <c r="C1013" s="2">
        <v>54</v>
      </c>
      <c r="D1013" s="2" t="s">
        <v>449</v>
      </c>
      <c r="E1013" s="10">
        <v>45040</v>
      </c>
      <c r="F1013" s="2" t="s">
        <v>69</v>
      </c>
      <c r="G1013" s="2" t="s">
        <v>1107</v>
      </c>
      <c r="H1013" s="2" t="s">
        <v>7</v>
      </c>
      <c r="J1013" s="2" t="s">
        <v>4686</v>
      </c>
      <c r="K1013" s="2" t="s">
        <v>513</v>
      </c>
      <c r="L1013" s="2" t="s">
        <v>3364</v>
      </c>
      <c r="M1013" s="3">
        <v>1</v>
      </c>
      <c r="N1013" s="3">
        <v>2</v>
      </c>
      <c r="P1013" s="2" t="s">
        <v>1113</v>
      </c>
    </row>
    <row r="1014" spans="1:16" ht="13">
      <c r="A1014" s="2" t="s">
        <v>2</v>
      </c>
      <c r="B1014" s="2" t="str">
        <f t="shared" si="15"/>
        <v>22-23 Academic Year</v>
      </c>
      <c r="C1014" s="2">
        <v>55</v>
      </c>
      <c r="D1014" s="2" t="s">
        <v>1114</v>
      </c>
      <c r="E1014" s="10">
        <v>45041</v>
      </c>
      <c r="F1014" s="2" t="s">
        <v>69</v>
      </c>
      <c r="G1014" s="2" t="s">
        <v>131</v>
      </c>
      <c r="H1014" s="2" t="s">
        <v>6</v>
      </c>
      <c r="I1014" s="2" t="s">
        <v>1115</v>
      </c>
      <c r="J1014" s="2" t="s">
        <v>4687</v>
      </c>
      <c r="K1014" s="2" t="s">
        <v>1116</v>
      </c>
      <c r="L1014" s="2" t="s">
        <v>1117</v>
      </c>
      <c r="M1014" s="3">
        <v>1</v>
      </c>
      <c r="N1014" s="3">
        <v>2</v>
      </c>
      <c r="P1014" s="2" t="s">
        <v>1118</v>
      </c>
    </row>
    <row r="1015" spans="1:16" ht="13">
      <c r="A1015" s="2" t="s">
        <v>2</v>
      </c>
      <c r="B1015" s="2" t="str">
        <f t="shared" si="15"/>
        <v>22-23 Academic Year</v>
      </c>
      <c r="C1015" s="2">
        <v>55</v>
      </c>
      <c r="D1015" s="2" t="s">
        <v>1114</v>
      </c>
      <c r="E1015" s="10">
        <v>45041</v>
      </c>
      <c r="F1015" s="2" t="s">
        <v>69</v>
      </c>
      <c r="G1015" s="2" t="s">
        <v>131</v>
      </c>
      <c r="H1015" s="2" t="s">
        <v>6</v>
      </c>
      <c r="I1015" s="2" t="s">
        <v>1115</v>
      </c>
      <c r="J1015" s="2" t="s">
        <v>4688</v>
      </c>
      <c r="K1015" s="2" t="s">
        <v>1119</v>
      </c>
      <c r="L1015" s="2" t="s">
        <v>1676</v>
      </c>
      <c r="M1015" s="3">
        <v>1</v>
      </c>
      <c r="N1015" s="3">
        <v>2</v>
      </c>
      <c r="O1015" s="2" t="s">
        <v>1120</v>
      </c>
      <c r="P1015" s="2" t="s">
        <v>1121</v>
      </c>
    </row>
    <row r="1016" spans="1:16" ht="13">
      <c r="A1016" s="2" t="s">
        <v>2</v>
      </c>
      <c r="B1016" s="2" t="str">
        <f t="shared" si="15"/>
        <v>22-23 Academic Year</v>
      </c>
      <c r="C1016" s="2">
        <v>55</v>
      </c>
      <c r="D1016" s="2" t="s">
        <v>1114</v>
      </c>
      <c r="E1016" s="10">
        <v>45041</v>
      </c>
      <c r="F1016" s="2" t="s">
        <v>69</v>
      </c>
      <c r="G1016" s="2" t="s">
        <v>131</v>
      </c>
      <c r="H1016" s="2" t="s">
        <v>6</v>
      </c>
      <c r="I1016" s="2" t="s">
        <v>1115</v>
      </c>
      <c r="J1016" s="2" t="s">
        <v>4690</v>
      </c>
      <c r="K1016" s="2" t="s">
        <v>85</v>
      </c>
      <c r="L1016" s="2" t="s">
        <v>1385</v>
      </c>
      <c r="M1016" s="3">
        <v>4</v>
      </c>
      <c r="N1016" s="3">
        <v>1</v>
      </c>
      <c r="P1016" s="2" t="s">
        <v>1122</v>
      </c>
    </row>
    <row r="1017" spans="1:16" ht="13">
      <c r="A1017" s="2" t="s">
        <v>2</v>
      </c>
      <c r="B1017" s="2" t="str">
        <f t="shared" si="15"/>
        <v>22-23 Academic Year</v>
      </c>
      <c r="C1017" s="2">
        <v>55</v>
      </c>
      <c r="D1017" s="2" t="s">
        <v>1114</v>
      </c>
      <c r="E1017" s="10">
        <v>45041</v>
      </c>
      <c r="F1017" s="2" t="s">
        <v>69</v>
      </c>
      <c r="G1017" s="2" t="s">
        <v>131</v>
      </c>
      <c r="H1017" s="2" t="s">
        <v>6</v>
      </c>
      <c r="I1017" s="2" t="s">
        <v>1115</v>
      </c>
      <c r="J1017" s="2" t="s">
        <v>4692</v>
      </c>
      <c r="K1017" s="2" t="s">
        <v>98</v>
      </c>
      <c r="L1017" s="2" t="s">
        <v>3348</v>
      </c>
      <c r="M1017" s="3">
        <v>1</v>
      </c>
      <c r="N1017" s="3">
        <v>2</v>
      </c>
      <c r="P1017" s="2" t="s">
        <v>1123</v>
      </c>
    </row>
    <row r="1018" spans="1:16" ht="13">
      <c r="A1018" s="2" t="s">
        <v>2</v>
      </c>
      <c r="B1018" s="2" t="str">
        <f t="shared" si="15"/>
        <v>22-23 Academic Year</v>
      </c>
      <c r="C1018" s="2">
        <v>56</v>
      </c>
      <c r="D1018" s="2" t="s">
        <v>1124</v>
      </c>
      <c r="E1018" s="10">
        <v>45042</v>
      </c>
      <c r="F1018" s="2" t="s">
        <v>69</v>
      </c>
      <c r="G1018" s="2" t="s">
        <v>131</v>
      </c>
      <c r="H1018" s="2" t="s">
        <v>6</v>
      </c>
      <c r="I1018" s="2" t="s">
        <v>570</v>
      </c>
      <c r="J1018" s="2" t="s">
        <v>4680</v>
      </c>
      <c r="K1018" s="2" t="s">
        <v>670</v>
      </c>
      <c r="L1018" s="2" t="s">
        <v>403</v>
      </c>
      <c r="M1018" s="3">
        <v>1</v>
      </c>
      <c r="N1018" s="3">
        <v>2</v>
      </c>
      <c r="P1018" s="2" t="s">
        <v>1125</v>
      </c>
    </row>
    <row r="1019" spans="1:16" ht="13">
      <c r="A1019" s="2" t="s">
        <v>2</v>
      </c>
      <c r="B1019" s="2" t="str">
        <f t="shared" si="15"/>
        <v>22-23 Academic Year</v>
      </c>
      <c r="C1019" s="2">
        <v>56</v>
      </c>
      <c r="D1019" s="2" t="s">
        <v>1124</v>
      </c>
      <c r="E1019" s="10">
        <v>45042</v>
      </c>
      <c r="F1019" s="2" t="s">
        <v>69</v>
      </c>
      <c r="G1019" s="2" t="s">
        <v>131</v>
      </c>
      <c r="H1019" s="2" t="s">
        <v>6</v>
      </c>
      <c r="I1019" s="2" t="s">
        <v>570</v>
      </c>
      <c r="J1019" s="2" t="s">
        <v>4681</v>
      </c>
      <c r="K1019" s="2" t="s">
        <v>431</v>
      </c>
      <c r="L1019" s="2" t="s">
        <v>1360</v>
      </c>
      <c r="M1019" s="3">
        <v>1</v>
      </c>
      <c r="N1019" s="3">
        <v>2</v>
      </c>
      <c r="P1019" s="2" t="s">
        <v>1126</v>
      </c>
    </row>
    <row r="1020" spans="1:16" ht="13">
      <c r="A1020" s="2" t="s">
        <v>2</v>
      </c>
      <c r="B1020" s="2" t="str">
        <f t="shared" si="15"/>
        <v>22-23 Academic Year</v>
      </c>
      <c r="C1020" s="2">
        <v>56</v>
      </c>
      <c r="D1020" s="2" t="s">
        <v>1124</v>
      </c>
      <c r="E1020" s="10">
        <v>45042</v>
      </c>
      <c r="F1020" s="2" t="s">
        <v>69</v>
      </c>
      <c r="G1020" s="2" t="s">
        <v>131</v>
      </c>
      <c r="H1020" s="2" t="s">
        <v>6</v>
      </c>
      <c r="I1020" s="2" t="s">
        <v>570</v>
      </c>
      <c r="J1020" s="2" t="s">
        <v>4683</v>
      </c>
      <c r="K1020" s="2" t="s">
        <v>1127</v>
      </c>
      <c r="L1020" s="2" t="s">
        <v>3953</v>
      </c>
      <c r="M1020" s="3">
        <v>1</v>
      </c>
      <c r="N1020" s="3">
        <v>2</v>
      </c>
      <c r="P1020" s="2" t="s">
        <v>1128</v>
      </c>
    </row>
    <row r="1021" spans="1:16" ht="13">
      <c r="A1021" s="2" t="s">
        <v>2</v>
      </c>
      <c r="B1021" s="2" t="str">
        <f t="shared" si="15"/>
        <v>22-23 Academic Year</v>
      </c>
      <c r="C1021" s="2">
        <v>56</v>
      </c>
      <c r="D1021" s="2" t="s">
        <v>1124</v>
      </c>
      <c r="E1021" s="10">
        <v>45042</v>
      </c>
      <c r="F1021" s="2" t="s">
        <v>69</v>
      </c>
      <c r="G1021" s="2" t="s">
        <v>131</v>
      </c>
      <c r="H1021" s="2" t="s">
        <v>6</v>
      </c>
      <c r="I1021" s="2" t="s">
        <v>570</v>
      </c>
      <c r="J1021" s="2" t="s">
        <v>4684</v>
      </c>
      <c r="K1021" s="2" t="s">
        <v>694</v>
      </c>
      <c r="L1021" s="2" t="s">
        <v>3834</v>
      </c>
      <c r="M1021" s="3">
        <v>1</v>
      </c>
      <c r="N1021" s="3">
        <v>2</v>
      </c>
      <c r="P1021" s="2" t="s">
        <v>1129</v>
      </c>
    </row>
    <row r="1022" spans="1:16" ht="13">
      <c r="A1022" s="2" t="s">
        <v>2</v>
      </c>
      <c r="B1022" s="2" t="str">
        <f t="shared" si="15"/>
        <v>22-23 Academic Year</v>
      </c>
      <c r="C1022" s="2">
        <v>56</v>
      </c>
      <c r="D1022" s="2" t="s">
        <v>1124</v>
      </c>
      <c r="E1022" s="10">
        <v>45042</v>
      </c>
      <c r="F1022" s="2" t="s">
        <v>69</v>
      </c>
      <c r="G1022" s="2" t="s">
        <v>131</v>
      </c>
      <c r="H1022" s="2" t="s">
        <v>6</v>
      </c>
      <c r="I1022" s="2" t="s">
        <v>570</v>
      </c>
      <c r="J1022" s="2" t="s">
        <v>4686</v>
      </c>
      <c r="K1022" s="2" t="s">
        <v>513</v>
      </c>
      <c r="L1022" s="2" t="s">
        <v>3364</v>
      </c>
      <c r="M1022" s="3">
        <v>1</v>
      </c>
      <c r="N1022" s="3">
        <v>2</v>
      </c>
      <c r="P1022" s="2" t="s">
        <v>1130</v>
      </c>
    </row>
    <row r="1023" spans="1:16" ht="13">
      <c r="A1023" s="2" t="s">
        <v>2</v>
      </c>
      <c r="B1023" s="2" t="str">
        <f t="shared" si="15"/>
        <v>22-23 Academic Year</v>
      </c>
      <c r="C1023" s="2">
        <v>57</v>
      </c>
      <c r="D1023" s="2" t="s">
        <v>1131</v>
      </c>
      <c r="E1023" s="10">
        <v>45043</v>
      </c>
      <c r="F1023" s="2" t="s">
        <v>69</v>
      </c>
      <c r="G1023" s="2" t="s">
        <v>131</v>
      </c>
      <c r="H1023" s="2" t="s">
        <v>6</v>
      </c>
      <c r="I1023" s="2" t="s">
        <v>570</v>
      </c>
      <c r="J1023" s="2" t="s">
        <v>4764</v>
      </c>
      <c r="K1023" s="2" t="s">
        <v>1033</v>
      </c>
      <c r="L1023" s="2" t="s">
        <v>3902</v>
      </c>
      <c r="M1023" s="3">
        <v>1</v>
      </c>
      <c r="N1023" s="3">
        <v>2</v>
      </c>
      <c r="P1023" s="2" t="s">
        <v>1132</v>
      </c>
    </row>
    <row r="1024" spans="1:16" ht="13">
      <c r="A1024" s="2" t="s">
        <v>2</v>
      </c>
      <c r="B1024" s="2" t="str">
        <f t="shared" si="15"/>
        <v>22-23 Academic Year</v>
      </c>
      <c r="C1024" s="2">
        <v>57</v>
      </c>
      <c r="D1024" s="2" t="s">
        <v>1131</v>
      </c>
      <c r="E1024" s="10">
        <v>45043</v>
      </c>
      <c r="F1024" s="2" t="s">
        <v>69</v>
      </c>
      <c r="G1024" s="2" t="s">
        <v>131</v>
      </c>
      <c r="H1024" s="2" t="s">
        <v>6</v>
      </c>
      <c r="I1024" s="2" t="s">
        <v>570</v>
      </c>
      <c r="J1024" s="2" t="s">
        <v>4765</v>
      </c>
      <c r="K1024" s="2" t="s">
        <v>1143</v>
      </c>
      <c r="L1024" s="2" t="s">
        <v>5004</v>
      </c>
      <c r="M1024" s="3"/>
      <c r="N1024" s="3"/>
      <c r="P1024" s="2" t="s">
        <v>1144</v>
      </c>
    </row>
    <row r="1025" spans="1:16" ht="13">
      <c r="A1025" s="2" t="s">
        <v>2</v>
      </c>
      <c r="B1025" s="2" t="str">
        <f t="shared" si="15"/>
        <v>22-23 Academic Year</v>
      </c>
      <c r="C1025" s="2">
        <v>57</v>
      </c>
      <c r="D1025" s="2" t="s">
        <v>1131</v>
      </c>
      <c r="E1025" s="10">
        <v>45043</v>
      </c>
      <c r="F1025" s="2" t="s">
        <v>69</v>
      </c>
      <c r="G1025" s="2" t="s">
        <v>131</v>
      </c>
      <c r="H1025" s="2" t="s">
        <v>6</v>
      </c>
      <c r="I1025" s="2" t="s">
        <v>570</v>
      </c>
      <c r="J1025" s="2" t="s">
        <v>4766</v>
      </c>
      <c r="K1025" s="2" t="s">
        <v>1133</v>
      </c>
      <c r="L1025" s="2" t="s">
        <v>4204</v>
      </c>
      <c r="M1025" s="3">
        <v>1</v>
      </c>
      <c r="N1025" s="3">
        <v>2</v>
      </c>
      <c r="P1025" s="2" t="s">
        <v>1134</v>
      </c>
    </row>
    <row r="1026" spans="1:16" ht="13">
      <c r="A1026" s="2" t="s">
        <v>2</v>
      </c>
      <c r="B1026" s="2" t="str">
        <f t="shared" si="15"/>
        <v>22-23 Academic Year</v>
      </c>
      <c r="C1026" s="2">
        <v>57</v>
      </c>
      <c r="D1026" s="2" t="s">
        <v>1131</v>
      </c>
      <c r="E1026" s="10">
        <v>45043</v>
      </c>
      <c r="F1026" s="2" t="s">
        <v>69</v>
      </c>
      <c r="G1026" s="2" t="s">
        <v>131</v>
      </c>
      <c r="H1026" s="2" t="s">
        <v>6</v>
      </c>
      <c r="I1026" s="2" t="s">
        <v>570</v>
      </c>
      <c r="J1026" s="2" t="s">
        <v>4768</v>
      </c>
      <c r="K1026" s="2" t="s">
        <v>635</v>
      </c>
      <c r="L1026" s="2" t="s">
        <v>3354</v>
      </c>
      <c r="M1026" s="3">
        <v>1</v>
      </c>
      <c r="N1026" s="3">
        <v>2</v>
      </c>
      <c r="P1026" s="2" t="s">
        <v>1135</v>
      </c>
    </row>
    <row r="1027" spans="1:16" ht="13">
      <c r="A1027" s="2" t="s">
        <v>2</v>
      </c>
      <c r="B1027" s="2" t="str">
        <f t="shared" ref="B1027:B1090" si="16">RIGHT(TEXT(IF(LEFT(A1027,4)="Fall",VALUE(RIGHT(A1027,4)),VALUE(RIGHT(A1027,4))-1),"00"),2)
 &amp; "-" &amp;
 RIGHT(TEXT(IF(LEFT(A1027,4)="Fall",VALUE(RIGHT(A1027,4))+1,VALUE(RIGHT(A1027,4))),"00"),2)
 &amp; " Academic Year"</f>
        <v>22-23 Academic Year</v>
      </c>
      <c r="C1027" s="2">
        <v>57</v>
      </c>
      <c r="D1027" s="2" t="s">
        <v>1131</v>
      </c>
      <c r="E1027" s="10">
        <v>45043</v>
      </c>
      <c r="F1027" s="2" t="s">
        <v>69</v>
      </c>
      <c r="G1027" s="2" t="s">
        <v>131</v>
      </c>
      <c r="H1027" s="2" t="s">
        <v>6</v>
      </c>
      <c r="I1027" s="2" t="s">
        <v>570</v>
      </c>
      <c r="J1027" s="2" t="s">
        <v>4769</v>
      </c>
      <c r="K1027" s="2" t="s">
        <v>312</v>
      </c>
      <c r="L1027" s="2" t="s">
        <v>4016</v>
      </c>
      <c r="M1027" s="3">
        <v>1</v>
      </c>
      <c r="N1027" s="3">
        <v>2</v>
      </c>
      <c r="P1027" s="2" t="s">
        <v>1136</v>
      </c>
    </row>
    <row r="1028" spans="1:16" ht="13">
      <c r="A1028" s="2" t="s">
        <v>2</v>
      </c>
      <c r="B1028" s="2" t="str">
        <f t="shared" si="16"/>
        <v>22-23 Academic Year</v>
      </c>
      <c r="C1028" s="2">
        <v>57</v>
      </c>
      <c r="D1028" s="2" t="s">
        <v>1131</v>
      </c>
      <c r="E1028" s="10">
        <v>45043</v>
      </c>
      <c r="F1028" s="2" t="s">
        <v>69</v>
      </c>
      <c r="G1028" s="2" t="s">
        <v>131</v>
      </c>
      <c r="H1028" s="2" t="s">
        <v>6</v>
      </c>
      <c r="I1028" s="2" t="s">
        <v>570</v>
      </c>
      <c r="J1028" s="2" t="s">
        <v>4771</v>
      </c>
      <c r="K1028" s="2" t="s">
        <v>670</v>
      </c>
      <c r="L1028" s="2" t="s">
        <v>403</v>
      </c>
      <c r="M1028" s="3">
        <v>1</v>
      </c>
      <c r="N1028" s="3">
        <v>2</v>
      </c>
      <c r="P1028" s="2" t="s">
        <v>1137</v>
      </c>
    </row>
    <row r="1029" spans="1:16" ht="13">
      <c r="A1029" s="2" t="s">
        <v>2</v>
      </c>
      <c r="B1029" s="2" t="str">
        <f t="shared" si="16"/>
        <v>22-23 Academic Year</v>
      </c>
      <c r="C1029" s="2">
        <v>57</v>
      </c>
      <c r="D1029" s="2" t="s">
        <v>1131</v>
      </c>
      <c r="E1029" s="10">
        <v>45043</v>
      </c>
      <c r="F1029" s="2" t="s">
        <v>69</v>
      </c>
      <c r="G1029" s="2" t="s">
        <v>131</v>
      </c>
      <c r="H1029" s="2" t="s">
        <v>6</v>
      </c>
      <c r="I1029" s="2" t="s">
        <v>570</v>
      </c>
      <c r="J1029" s="2" t="s">
        <v>4773</v>
      </c>
      <c r="K1029" s="2" t="s">
        <v>746</v>
      </c>
      <c r="L1029" s="2" t="s">
        <v>2879</v>
      </c>
      <c r="M1029" s="3">
        <v>1</v>
      </c>
      <c r="N1029" s="3">
        <v>2</v>
      </c>
      <c r="P1029" s="2" t="s">
        <v>1138</v>
      </c>
    </row>
    <row r="1030" spans="1:16" ht="13">
      <c r="A1030" s="2" t="s">
        <v>2</v>
      </c>
      <c r="B1030" s="2" t="str">
        <f t="shared" si="16"/>
        <v>22-23 Academic Year</v>
      </c>
      <c r="C1030" s="2">
        <v>57</v>
      </c>
      <c r="D1030" s="2" t="s">
        <v>1131</v>
      </c>
      <c r="E1030" s="10">
        <v>45043</v>
      </c>
      <c r="F1030" s="2" t="s">
        <v>69</v>
      </c>
      <c r="G1030" s="2" t="s">
        <v>131</v>
      </c>
      <c r="H1030" s="2" t="s">
        <v>6</v>
      </c>
      <c r="I1030" s="2" t="s">
        <v>570</v>
      </c>
      <c r="J1030" s="2" t="s">
        <v>4775</v>
      </c>
      <c r="K1030" s="2" t="s">
        <v>1139</v>
      </c>
      <c r="L1030" s="2" t="s">
        <v>4269</v>
      </c>
      <c r="M1030" s="3">
        <v>1</v>
      </c>
      <c r="N1030" s="3">
        <v>2</v>
      </c>
      <c r="P1030" s="2" t="s">
        <v>1140</v>
      </c>
    </row>
    <row r="1031" spans="1:16" ht="13">
      <c r="A1031" s="2" t="s">
        <v>2</v>
      </c>
      <c r="B1031" s="2" t="str">
        <f t="shared" si="16"/>
        <v>22-23 Academic Year</v>
      </c>
      <c r="C1031" s="2">
        <v>57</v>
      </c>
      <c r="D1031" s="2" t="s">
        <v>1131</v>
      </c>
      <c r="E1031" s="10">
        <v>45043</v>
      </c>
      <c r="F1031" s="2" t="s">
        <v>69</v>
      </c>
      <c r="G1031" s="2" t="s">
        <v>131</v>
      </c>
      <c r="H1031" s="2" t="s">
        <v>6</v>
      </c>
      <c r="I1031" s="2" t="s">
        <v>570</v>
      </c>
      <c r="J1031" s="2" t="s">
        <v>4776</v>
      </c>
      <c r="K1031" s="2" t="s">
        <v>513</v>
      </c>
      <c r="L1031" s="2" t="s">
        <v>3364</v>
      </c>
      <c r="M1031" s="3">
        <v>1</v>
      </c>
      <c r="N1031" s="3">
        <v>2</v>
      </c>
      <c r="P1031" s="2" t="s">
        <v>1141</v>
      </c>
    </row>
    <row r="1032" spans="1:16" ht="13">
      <c r="A1032" s="2" t="s">
        <v>2</v>
      </c>
      <c r="B1032" s="2" t="str">
        <f t="shared" si="16"/>
        <v>22-23 Academic Year</v>
      </c>
      <c r="C1032" s="2">
        <v>57</v>
      </c>
      <c r="D1032" s="2" t="s">
        <v>1131</v>
      </c>
      <c r="E1032" s="10">
        <v>45043</v>
      </c>
      <c r="F1032" s="2" t="s">
        <v>69</v>
      </c>
      <c r="G1032" s="2" t="s">
        <v>131</v>
      </c>
      <c r="H1032" s="2" t="s">
        <v>6</v>
      </c>
      <c r="I1032" s="2" t="s">
        <v>570</v>
      </c>
      <c r="J1032" s="2" t="s">
        <v>4778</v>
      </c>
      <c r="K1032" s="2" t="s">
        <v>513</v>
      </c>
      <c r="L1032" s="2" t="s">
        <v>3364</v>
      </c>
      <c r="M1032" s="3">
        <v>1</v>
      </c>
      <c r="N1032" s="3">
        <v>2</v>
      </c>
      <c r="P1032" s="2" t="s">
        <v>1142</v>
      </c>
    </row>
    <row r="1033" spans="1:16" ht="13">
      <c r="A1033" s="2" t="s">
        <v>2</v>
      </c>
      <c r="B1033" s="2" t="str">
        <f t="shared" si="16"/>
        <v>22-23 Academic Year</v>
      </c>
      <c r="C1033" s="2">
        <v>58</v>
      </c>
      <c r="D1033" s="2" t="s">
        <v>92</v>
      </c>
      <c r="E1033" s="10">
        <v>45044</v>
      </c>
      <c r="F1033" s="2" t="s">
        <v>69</v>
      </c>
      <c r="G1033" s="2" t="s">
        <v>92</v>
      </c>
      <c r="H1033" s="2" t="s">
        <v>6</v>
      </c>
      <c r="J1033" s="2" t="s">
        <v>4669</v>
      </c>
      <c r="K1033" s="2" t="s">
        <v>59</v>
      </c>
      <c r="L1033" s="2" t="s">
        <v>60</v>
      </c>
      <c r="M1033" s="3">
        <v>1</v>
      </c>
      <c r="N1033" s="3">
        <v>2</v>
      </c>
      <c r="P1033" s="2" t="s">
        <v>1145</v>
      </c>
    </row>
    <row r="1034" spans="1:16" ht="13">
      <c r="A1034" s="2" t="s">
        <v>2</v>
      </c>
      <c r="B1034" s="2" t="str">
        <f t="shared" si="16"/>
        <v>22-23 Academic Year</v>
      </c>
      <c r="C1034" s="2">
        <v>58</v>
      </c>
      <c r="D1034" s="2" t="s">
        <v>92</v>
      </c>
      <c r="E1034" s="10">
        <v>45044</v>
      </c>
      <c r="F1034" s="2" t="s">
        <v>69</v>
      </c>
      <c r="G1034" s="2" t="s">
        <v>92</v>
      </c>
      <c r="H1034" s="2" t="s">
        <v>6</v>
      </c>
      <c r="J1034" s="2" t="s">
        <v>4671</v>
      </c>
      <c r="K1034" s="2" t="s">
        <v>1146</v>
      </c>
      <c r="L1034" s="2" t="s">
        <v>4564</v>
      </c>
      <c r="M1034" s="3">
        <v>5</v>
      </c>
      <c r="N1034" s="3">
        <v>1</v>
      </c>
      <c r="P1034" s="2" t="s">
        <v>1147</v>
      </c>
    </row>
    <row r="1035" spans="1:16" ht="13">
      <c r="A1035" s="2" t="s">
        <v>2</v>
      </c>
      <c r="B1035" s="2" t="str">
        <f t="shared" si="16"/>
        <v>22-23 Academic Year</v>
      </c>
      <c r="C1035" s="2">
        <v>58</v>
      </c>
      <c r="D1035" s="2" t="s">
        <v>92</v>
      </c>
      <c r="E1035" s="10">
        <v>45044</v>
      </c>
      <c r="F1035" s="2" t="s">
        <v>69</v>
      </c>
      <c r="G1035" s="2" t="s">
        <v>92</v>
      </c>
      <c r="H1035" s="2" t="s">
        <v>6</v>
      </c>
      <c r="J1035" s="2" t="s">
        <v>4673</v>
      </c>
      <c r="K1035" s="2" t="s">
        <v>1148</v>
      </c>
      <c r="L1035" s="2" t="s">
        <v>5005</v>
      </c>
      <c r="M1035" s="3">
        <v>2</v>
      </c>
      <c r="N1035" s="3">
        <v>1</v>
      </c>
      <c r="P1035" s="2" t="s">
        <v>1149</v>
      </c>
    </row>
    <row r="1036" spans="1:16" ht="13">
      <c r="A1036" s="2" t="s">
        <v>2</v>
      </c>
      <c r="B1036" s="2" t="str">
        <f t="shared" si="16"/>
        <v>22-23 Academic Year</v>
      </c>
      <c r="C1036" s="2">
        <v>58</v>
      </c>
      <c r="D1036" s="2" t="s">
        <v>92</v>
      </c>
      <c r="E1036" s="10">
        <v>45044</v>
      </c>
      <c r="F1036" s="2" t="s">
        <v>69</v>
      </c>
      <c r="G1036" s="2" t="s">
        <v>92</v>
      </c>
      <c r="H1036" s="2" t="s">
        <v>6</v>
      </c>
      <c r="J1036" s="2" t="s">
        <v>4675</v>
      </c>
      <c r="K1036" s="2" t="s">
        <v>1150</v>
      </c>
      <c r="L1036" s="2" t="s">
        <v>5006</v>
      </c>
      <c r="M1036" s="3">
        <v>3</v>
      </c>
      <c r="N1036" s="3">
        <v>1</v>
      </c>
      <c r="P1036" s="2" t="s">
        <v>1151</v>
      </c>
    </row>
    <row r="1037" spans="1:16" ht="13">
      <c r="A1037" s="2" t="s">
        <v>2</v>
      </c>
      <c r="B1037" s="2" t="str">
        <f t="shared" si="16"/>
        <v>22-23 Academic Year</v>
      </c>
      <c r="C1037" s="2">
        <v>58</v>
      </c>
      <c r="D1037" s="2" t="s">
        <v>92</v>
      </c>
      <c r="E1037" s="10">
        <v>45044</v>
      </c>
      <c r="F1037" s="2" t="s">
        <v>69</v>
      </c>
      <c r="G1037" s="2" t="s">
        <v>92</v>
      </c>
      <c r="H1037" s="2" t="s">
        <v>6</v>
      </c>
      <c r="J1037" s="2" t="s">
        <v>4677</v>
      </c>
      <c r="K1037" s="2" t="s">
        <v>1152</v>
      </c>
      <c r="L1037" s="2" t="s">
        <v>5007</v>
      </c>
      <c r="M1037" s="3">
        <v>1</v>
      </c>
      <c r="N1037" s="3">
        <v>2</v>
      </c>
      <c r="O1037" s="2" t="s">
        <v>1153</v>
      </c>
      <c r="P1037" s="2" t="s">
        <v>1154</v>
      </c>
    </row>
    <row r="1038" spans="1:16" ht="13">
      <c r="A1038" s="2" t="s">
        <v>2</v>
      </c>
      <c r="B1038" s="2" t="str">
        <f t="shared" si="16"/>
        <v>22-23 Academic Year</v>
      </c>
      <c r="C1038" s="2">
        <v>58</v>
      </c>
      <c r="D1038" s="2" t="s">
        <v>92</v>
      </c>
      <c r="E1038" s="10">
        <v>45044</v>
      </c>
      <c r="F1038" s="2" t="s">
        <v>69</v>
      </c>
      <c r="G1038" s="2" t="s">
        <v>92</v>
      </c>
      <c r="H1038" s="2" t="s">
        <v>6</v>
      </c>
      <c r="J1038" s="2" t="s">
        <v>4679</v>
      </c>
      <c r="K1038" s="2" t="s">
        <v>1155</v>
      </c>
      <c r="L1038" s="2" t="s">
        <v>751</v>
      </c>
      <c r="M1038" s="3">
        <v>1</v>
      </c>
      <c r="N1038" s="3">
        <v>2</v>
      </c>
      <c r="P1038" s="2" t="s">
        <v>1156</v>
      </c>
    </row>
    <row r="1039" spans="1:16" ht="13">
      <c r="A1039" s="2" t="s">
        <v>2</v>
      </c>
      <c r="B1039" s="2" t="str">
        <f t="shared" si="16"/>
        <v>22-23 Academic Year</v>
      </c>
      <c r="C1039" s="2">
        <v>59</v>
      </c>
      <c r="D1039" s="2" t="s">
        <v>1157</v>
      </c>
      <c r="E1039" s="10">
        <v>45044</v>
      </c>
      <c r="F1039" s="2" t="s">
        <v>69</v>
      </c>
      <c r="G1039" s="2" t="s">
        <v>131</v>
      </c>
      <c r="H1039" s="2" t="s">
        <v>6</v>
      </c>
      <c r="I1039" s="2" t="s">
        <v>570</v>
      </c>
      <c r="J1039" s="2" t="s">
        <v>4669</v>
      </c>
      <c r="K1039" s="2" t="s">
        <v>1037</v>
      </c>
      <c r="L1039" s="2" t="s">
        <v>1778</v>
      </c>
      <c r="M1039" s="3">
        <v>1</v>
      </c>
      <c r="N1039" s="3">
        <v>2</v>
      </c>
      <c r="P1039" s="2" t="s">
        <v>1158</v>
      </c>
    </row>
    <row r="1040" spans="1:16" ht="13">
      <c r="A1040" s="2" t="s">
        <v>2</v>
      </c>
      <c r="B1040" s="2" t="str">
        <f t="shared" si="16"/>
        <v>22-23 Academic Year</v>
      </c>
      <c r="C1040" s="2">
        <v>59</v>
      </c>
      <c r="D1040" s="2" t="s">
        <v>1157</v>
      </c>
      <c r="E1040" s="10">
        <v>45044</v>
      </c>
      <c r="F1040" s="2" t="s">
        <v>69</v>
      </c>
      <c r="G1040" s="2" t="s">
        <v>131</v>
      </c>
      <c r="H1040" s="2" t="s">
        <v>6</v>
      </c>
      <c r="I1040" s="2" t="s">
        <v>570</v>
      </c>
      <c r="J1040" s="2" t="s">
        <v>4671</v>
      </c>
      <c r="K1040" s="2" t="s">
        <v>1159</v>
      </c>
      <c r="L1040" s="2" t="s">
        <v>5008</v>
      </c>
      <c r="M1040" s="3">
        <v>1</v>
      </c>
      <c r="N1040" s="3">
        <v>2</v>
      </c>
      <c r="P1040" s="2" t="s">
        <v>1160</v>
      </c>
    </row>
    <row r="1041" spans="1:16" ht="13">
      <c r="A1041" s="2" t="s">
        <v>2</v>
      </c>
      <c r="B1041" s="2" t="str">
        <f t="shared" si="16"/>
        <v>22-23 Academic Year</v>
      </c>
      <c r="C1041" s="2">
        <v>59</v>
      </c>
      <c r="D1041" s="2" t="s">
        <v>1157</v>
      </c>
      <c r="E1041" s="10">
        <v>45044</v>
      </c>
      <c r="F1041" s="2" t="s">
        <v>69</v>
      </c>
      <c r="G1041" s="2" t="s">
        <v>131</v>
      </c>
      <c r="H1041" s="2" t="s">
        <v>6</v>
      </c>
      <c r="I1041" s="2" t="s">
        <v>570</v>
      </c>
      <c r="J1041" s="2" t="s">
        <v>4673</v>
      </c>
      <c r="K1041" s="2" t="s">
        <v>1133</v>
      </c>
      <c r="L1041" s="2" t="s">
        <v>4204</v>
      </c>
      <c r="M1041" s="3">
        <v>1</v>
      </c>
      <c r="N1041" s="3">
        <v>2</v>
      </c>
      <c r="P1041" s="2" t="s">
        <v>1161</v>
      </c>
    </row>
    <row r="1042" spans="1:16" ht="13">
      <c r="A1042" s="2" t="s">
        <v>2</v>
      </c>
      <c r="B1042" s="2" t="str">
        <f t="shared" si="16"/>
        <v>22-23 Academic Year</v>
      </c>
      <c r="C1042" s="2">
        <v>59</v>
      </c>
      <c r="D1042" s="2" t="s">
        <v>1157</v>
      </c>
      <c r="E1042" s="10">
        <v>45044</v>
      </c>
      <c r="F1042" s="2" t="s">
        <v>69</v>
      </c>
      <c r="G1042" s="2" t="s">
        <v>131</v>
      </c>
      <c r="H1042" s="2" t="s">
        <v>6</v>
      </c>
      <c r="I1042" s="2" t="s">
        <v>570</v>
      </c>
      <c r="J1042" s="2" t="s">
        <v>4675</v>
      </c>
      <c r="K1042" s="2" t="s">
        <v>1133</v>
      </c>
      <c r="L1042" s="2" t="s">
        <v>4204</v>
      </c>
      <c r="M1042" s="3">
        <v>1</v>
      </c>
      <c r="N1042" s="3">
        <v>2</v>
      </c>
      <c r="P1042" s="2" t="s">
        <v>1162</v>
      </c>
    </row>
    <row r="1043" spans="1:16" ht="13">
      <c r="A1043" s="2" t="s">
        <v>2</v>
      </c>
      <c r="B1043" s="2" t="str">
        <f t="shared" si="16"/>
        <v>22-23 Academic Year</v>
      </c>
      <c r="C1043" s="2">
        <v>59</v>
      </c>
      <c r="D1043" s="2" t="s">
        <v>1157</v>
      </c>
      <c r="E1043" s="10">
        <v>45044</v>
      </c>
      <c r="F1043" s="2" t="s">
        <v>69</v>
      </c>
      <c r="G1043" s="2" t="s">
        <v>131</v>
      </c>
      <c r="H1043" s="2" t="s">
        <v>6</v>
      </c>
      <c r="I1043" s="2" t="s">
        <v>570</v>
      </c>
      <c r="J1043" s="2" t="s">
        <v>4677</v>
      </c>
      <c r="K1043" s="2" t="s">
        <v>746</v>
      </c>
      <c r="L1043" s="2" t="s">
        <v>2879</v>
      </c>
      <c r="M1043" s="3">
        <v>1</v>
      </c>
      <c r="N1043" s="3">
        <v>2</v>
      </c>
      <c r="P1043" s="2" t="s">
        <v>1163</v>
      </c>
    </row>
    <row r="1044" spans="1:16" ht="13">
      <c r="A1044" s="2" t="s">
        <v>2</v>
      </c>
      <c r="B1044" s="2" t="str">
        <f t="shared" si="16"/>
        <v>22-23 Academic Year</v>
      </c>
      <c r="C1044" s="2">
        <v>59</v>
      </c>
      <c r="D1044" s="2" t="s">
        <v>1157</v>
      </c>
      <c r="E1044" s="10">
        <v>45044</v>
      </c>
      <c r="F1044" s="2" t="s">
        <v>69</v>
      </c>
      <c r="G1044" s="2" t="s">
        <v>131</v>
      </c>
      <c r="H1044" s="2" t="s">
        <v>6</v>
      </c>
      <c r="I1044" s="2" t="s">
        <v>570</v>
      </c>
      <c r="J1044" s="2" t="s">
        <v>4679</v>
      </c>
      <c r="K1044" s="2" t="s">
        <v>1164</v>
      </c>
      <c r="L1044" s="2" t="s">
        <v>5009</v>
      </c>
      <c r="M1044" s="3">
        <v>1</v>
      </c>
      <c r="N1044" s="3">
        <v>2</v>
      </c>
      <c r="P1044" s="2" t="s">
        <v>1165</v>
      </c>
    </row>
    <row r="1045" spans="1:16" ht="13">
      <c r="A1045" s="2" t="s">
        <v>2</v>
      </c>
      <c r="B1045" s="2" t="str">
        <f t="shared" si="16"/>
        <v>22-23 Academic Year</v>
      </c>
      <c r="C1045" s="2">
        <v>60</v>
      </c>
      <c r="D1045" s="2" t="s">
        <v>1166</v>
      </c>
      <c r="E1045" s="10">
        <v>45045</v>
      </c>
      <c r="F1045" s="2" t="s">
        <v>69</v>
      </c>
      <c r="G1045" s="2" t="s">
        <v>131</v>
      </c>
      <c r="H1045" s="2" t="s">
        <v>6</v>
      </c>
      <c r="I1045" s="2" t="s">
        <v>634</v>
      </c>
      <c r="J1045" s="2" t="s">
        <v>4687</v>
      </c>
      <c r="K1045" s="2" t="s">
        <v>1167</v>
      </c>
      <c r="L1045" s="2" t="s">
        <v>1788</v>
      </c>
      <c r="M1045" s="3">
        <v>1</v>
      </c>
      <c r="N1045" s="3">
        <v>2</v>
      </c>
      <c r="P1045" s="2" t="s">
        <v>1168</v>
      </c>
    </row>
    <row r="1046" spans="1:16" ht="13">
      <c r="A1046" s="2" t="s">
        <v>2</v>
      </c>
      <c r="B1046" s="2" t="str">
        <f t="shared" si="16"/>
        <v>22-23 Academic Year</v>
      </c>
      <c r="C1046" s="2">
        <v>60</v>
      </c>
      <c r="D1046" s="2" t="s">
        <v>1166</v>
      </c>
      <c r="E1046" s="10">
        <v>45045</v>
      </c>
      <c r="F1046" s="2" t="s">
        <v>69</v>
      </c>
      <c r="G1046" s="2" t="s">
        <v>131</v>
      </c>
      <c r="H1046" s="2" t="s">
        <v>6</v>
      </c>
      <c r="I1046" s="2" t="s">
        <v>634</v>
      </c>
      <c r="J1046" s="2" t="s">
        <v>4688</v>
      </c>
      <c r="K1046" s="2" t="s">
        <v>1169</v>
      </c>
      <c r="L1046" s="2" t="s">
        <v>5010</v>
      </c>
      <c r="M1046" s="3">
        <v>2</v>
      </c>
      <c r="N1046" s="3">
        <v>2</v>
      </c>
      <c r="P1046" s="2" t="s">
        <v>1170</v>
      </c>
    </row>
    <row r="1047" spans="1:16" ht="13">
      <c r="A1047" s="2" t="s">
        <v>2</v>
      </c>
      <c r="B1047" s="2" t="str">
        <f t="shared" si="16"/>
        <v>22-23 Academic Year</v>
      </c>
      <c r="C1047" s="2">
        <v>60</v>
      </c>
      <c r="D1047" s="2" t="s">
        <v>1166</v>
      </c>
      <c r="E1047" s="10">
        <v>45045</v>
      </c>
      <c r="F1047" s="2" t="s">
        <v>69</v>
      </c>
      <c r="G1047" s="2" t="s">
        <v>131</v>
      </c>
      <c r="H1047" s="2" t="s">
        <v>6</v>
      </c>
      <c r="I1047" s="2" t="s">
        <v>634</v>
      </c>
      <c r="J1047" s="2" t="s">
        <v>4690</v>
      </c>
      <c r="K1047" s="2" t="s">
        <v>1171</v>
      </c>
      <c r="L1047" s="2" t="s">
        <v>1285</v>
      </c>
      <c r="M1047" s="3">
        <v>3</v>
      </c>
      <c r="N1047" s="3">
        <v>2</v>
      </c>
      <c r="O1047" s="2" t="s">
        <v>1172</v>
      </c>
      <c r="P1047" s="2" t="s">
        <v>1173</v>
      </c>
    </row>
    <row r="1048" spans="1:16" ht="13">
      <c r="A1048" s="2" t="s">
        <v>2</v>
      </c>
      <c r="B1048" s="2" t="str">
        <f t="shared" si="16"/>
        <v>22-23 Academic Year</v>
      </c>
      <c r="C1048" s="2">
        <v>60</v>
      </c>
      <c r="D1048" s="2" t="s">
        <v>1166</v>
      </c>
      <c r="E1048" s="10">
        <v>45045</v>
      </c>
      <c r="F1048" s="2" t="s">
        <v>69</v>
      </c>
      <c r="G1048" s="2" t="s">
        <v>131</v>
      </c>
      <c r="H1048" s="2" t="s">
        <v>6</v>
      </c>
      <c r="I1048" s="2" t="s">
        <v>634</v>
      </c>
      <c r="J1048" s="2" t="s">
        <v>4692</v>
      </c>
      <c r="K1048" s="2" t="s">
        <v>679</v>
      </c>
      <c r="L1048" s="2" t="s">
        <v>679</v>
      </c>
      <c r="M1048" s="3">
        <v>999</v>
      </c>
      <c r="N1048" s="3">
        <v>999</v>
      </c>
      <c r="O1048" s="2" t="s">
        <v>1172</v>
      </c>
      <c r="P1048" s="2" t="s">
        <v>1174</v>
      </c>
    </row>
    <row r="1049" spans="1:16" ht="13">
      <c r="A1049" s="2" t="s">
        <v>2</v>
      </c>
      <c r="B1049" s="2" t="str">
        <f t="shared" si="16"/>
        <v>22-23 Academic Year</v>
      </c>
      <c r="C1049" s="2">
        <v>61</v>
      </c>
      <c r="D1049" s="2" t="s">
        <v>1175</v>
      </c>
      <c r="E1049" s="10">
        <v>45045</v>
      </c>
      <c r="G1049" s="2" t="s">
        <v>1176</v>
      </c>
      <c r="H1049" s="2" t="s">
        <v>7</v>
      </c>
      <c r="J1049" s="2" t="s">
        <v>4669</v>
      </c>
      <c r="K1049" s="2" t="s">
        <v>1177</v>
      </c>
      <c r="L1049" s="2" t="s">
        <v>5011</v>
      </c>
      <c r="M1049" s="3">
        <v>4</v>
      </c>
      <c r="N1049" s="3">
        <v>1</v>
      </c>
      <c r="P1049" s="2" t="s">
        <v>1178</v>
      </c>
    </row>
    <row r="1050" spans="1:16" ht="13">
      <c r="A1050" s="2" t="s">
        <v>2</v>
      </c>
      <c r="B1050" s="2" t="str">
        <f t="shared" si="16"/>
        <v>22-23 Academic Year</v>
      </c>
      <c r="C1050" s="2">
        <v>61</v>
      </c>
      <c r="D1050" s="2" t="s">
        <v>1175</v>
      </c>
      <c r="E1050" s="10">
        <v>45045</v>
      </c>
      <c r="G1050" s="2" t="s">
        <v>1176</v>
      </c>
      <c r="H1050" s="2" t="s">
        <v>7</v>
      </c>
      <c r="J1050" s="2" t="s">
        <v>4671</v>
      </c>
      <c r="K1050" s="2" t="s">
        <v>852</v>
      </c>
      <c r="L1050" s="2" t="s">
        <v>2751</v>
      </c>
      <c r="M1050" s="3">
        <v>1</v>
      </c>
      <c r="N1050" s="3">
        <v>2</v>
      </c>
      <c r="P1050" s="2" t="s">
        <v>1179</v>
      </c>
    </row>
    <row r="1051" spans="1:16" ht="13">
      <c r="A1051" s="2" t="s">
        <v>2</v>
      </c>
      <c r="B1051" s="2" t="str">
        <f t="shared" si="16"/>
        <v>22-23 Academic Year</v>
      </c>
      <c r="C1051" s="2">
        <v>61</v>
      </c>
      <c r="D1051" s="2" t="s">
        <v>1175</v>
      </c>
      <c r="E1051" s="10">
        <v>45045</v>
      </c>
      <c r="G1051" s="2" t="s">
        <v>1176</v>
      </c>
      <c r="H1051" s="2" t="s">
        <v>7</v>
      </c>
      <c r="J1051" s="2" t="s">
        <v>4673</v>
      </c>
      <c r="K1051" s="2" t="s">
        <v>670</v>
      </c>
      <c r="L1051" s="2" t="s">
        <v>403</v>
      </c>
      <c r="M1051" s="3">
        <v>1</v>
      </c>
      <c r="N1051" s="3">
        <v>2</v>
      </c>
      <c r="P1051" s="2" t="s">
        <v>1180</v>
      </c>
    </row>
    <row r="1052" spans="1:16" ht="13">
      <c r="A1052" s="2" t="s">
        <v>2</v>
      </c>
      <c r="B1052" s="2" t="str">
        <f t="shared" si="16"/>
        <v>22-23 Academic Year</v>
      </c>
      <c r="C1052" s="2">
        <v>61</v>
      </c>
      <c r="D1052" s="2" t="s">
        <v>1175</v>
      </c>
      <c r="E1052" s="10">
        <v>45045</v>
      </c>
      <c r="G1052" s="2" t="s">
        <v>1176</v>
      </c>
      <c r="H1052" s="2" t="s">
        <v>7</v>
      </c>
      <c r="J1052" s="2" t="s">
        <v>4675</v>
      </c>
      <c r="K1052" s="2" t="s">
        <v>670</v>
      </c>
      <c r="L1052" s="2" t="s">
        <v>403</v>
      </c>
      <c r="M1052" s="3">
        <v>1</v>
      </c>
      <c r="N1052" s="3">
        <v>2</v>
      </c>
      <c r="P1052" s="2" t="s">
        <v>1181</v>
      </c>
    </row>
    <row r="1053" spans="1:16" ht="13">
      <c r="A1053" s="2" t="s">
        <v>2</v>
      </c>
      <c r="B1053" s="2" t="str">
        <f t="shared" si="16"/>
        <v>22-23 Academic Year</v>
      </c>
      <c r="C1053" s="2">
        <v>61</v>
      </c>
      <c r="D1053" s="2" t="s">
        <v>1175</v>
      </c>
      <c r="E1053" s="10">
        <v>45045</v>
      </c>
      <c r="G1053" s="2" t="s">
        <v>1176</v>
      </c>
      <c r="H1053" s="2" t="s">
        <v>7</v>
      </c>
      <c r="J1053" s="2" t="s">
        <v>4677</v>
      </c>
      <c r="K1053" s="2" t="s">
        <v>969</v>
      </c>
      <c r="L1053" s="2" t="s">
        <v>4029</v>
      </c>
      <c r="M1053" s="3">
        <v>1</v>
      </c>
      <c r="N1053" s="3">
        <v>2</v>
      </c>
      <c r="P1053" s="2" t="s">
        <v>1182</v>
      </c>
    </row>
    <row r="1054" spans="1:16" ht="13">
      <c r="A1054" s="2" t="s">
        <v>2</v>
      </c>
      <c r="B1054" s="2" t="str">
        <f t="shared" si="16"/>
        <v>22-23 Academic Year</v>
      </c>
      <c r="C1054" s="2">
        <v>61</v>
      </c>
      <c r="D1054" s="2" t="s">
        <v>1175</v>
      </c>
      <c r="E1054" s="10">
        <v>45045</v>
      </c>
      <c r="G1054" s="2" t="s">
        <v>1176</v>
      </c>
      <c r="H1054" s="2" t="s">
        <v>7</v>
      </c>
      <c r="J1054" s="2" t="s">
        <v>4679</v>
      </c>
      <c r="K1054" s="2" t="s">
        <v>59</v>
      </c>
      <c r="L1054" s="2" t="s">
        <v>60</v>
      </c>
      <c r="M1054" s="3">
        <v>1</v>
      </c>
      <c r="N1054" s="3">
        <v>2</v>
      </c>
      <c r="P1054" s="2" t="s">
        <v>1183</v>
      </c>
    </row>
    <row r="1055" spans="1:16" ht="13">
      <c r="A1055" s="2" t="s">
        <v>2</v>
      </c>
      <c r="B1055" s="2" t="str">
        <f t="shared" si="16"/>
        <v>22-23 Academic Year</v>
      </c>
      <c r="C1055" s="2">
        <v>62</v>
      </c>
      <c r="D1055" s="2" t="s">
        <v>1184</v>
      </c>
      <c r="E1055" s="10">
        <v>45046</v>
      </c>
      <c r="F1055" s="2" t="s">
        <v>20</v>
      </c>
      <c r="G1055" s="2" t="s">
        <v>21</v>
      </c>
      <c r="H1055" s="2" t="s">
        <v>6</v>
      </c>
      <c r="I1055" s="2" t="s">
        <v>570</v>
      </c>
      <c r="J1055" s="2" t="s">
        <v>4747</v>
      </c>
      <c r="K1055" s="2" t="s">
        <v>1185</v>
      </c>
      <c r="L1055" s="2" t="s">
        <v>4121</v>
      </c>
      <c r="M1055" s="3">
        <v>1</v>
      </c>
      <c r="N1055" s="3">
        <v>2</v>
      </c>
      <c r="P1055" s="2" t="s">
        <v>1186</v>
      </c>
    </row>
    <row r="1056" spans="1:16" ht="13">
      <c r="A1056" s="2" t="s">
        <v>2</v>
      </c>
      <c r="B1056" s="2" t="str">
        <f t="shared" si="16"/>
        <v>22-23 Academic Year</v>
      </c>
      <c r="C1056" s="2">
        <v>62</v>
      </c>
      <c r="D1056" s="2" t="s">
        <v>1184</v>
      </c>
      <c r="E1056" s="10">
        <v>45046</v>
      </c>
      <c r="F1056" s="2" t="s">
        <v>20</v>
      </c>
      <c r="G1056" s="2" t="s">
        <v>21</v>
      </c>
      <c r="H1056" s="2" t="s">
        <v>6</v>
      </c>
      <c r="I1056" s="2" t="s">
        <v>570</v>
      </c>
      <c r="J1056" s="2" t="s">
        <v>4749</v>
      </c>
      <c r="K1056" s="2" t="s">
        <v>1187</v>
      </c>
      <c r="L1056" s="2" t="s">
        <v>5012</v>
      </c>
      <c r="M1056" s="3">
        <v>1</v>
      </c>
      <c r="N1056" s="3">
        <v>2</v>
      </c>
      <c r="P1056" s="2" t="s">
        <v>1188</v>
      </c>
    </row>
    <row r="1057" spans="1:16" ht="13">
      <c r="A1057" s="2" t="s">
        <v>2</v>
      </c>
      <c r="B1057" s="2" t="str">
        <f t="shared" si="16"/>
        <v>22-23 Academic Year</v>
      </c>
      <c r="C1057" s="2">
        <v>62</v>
      </c>
      <c r="D1057" s="2" t="s">
        <v>1184</v>
      </c>
      <c r="E1057" s="10">
        <v>45046</v>
      </c>
      <c r="F1057" s="2" t="s">
        <v>20</v>
      </c>
      <c r="G1057" s="2" t="s">
        <v>21</v>
      </c>
      <c r="H1057" s="2" t="s">
        <v>6</v>
      </c>
      <c r="I1057" s="2" t="s">
        <v>570</v>
      </c>
      <c r="J1057" s="2" t="s">
        <v>4750</v>
      </c>
      <c r="K1057" s="2" t="s">
        <v>1189</v>
      </c>
      <c r="L1057" s="2" t="s">
        <v>1190</v>
      </c>
      <c r="M1057" s="3"/>
      <c r="N1057" s="3"/>
      <c r="P1057" s="2" t="s">
        <v>1191</v>
      </c>
    </row>
    <row r="1058" spans="1:16" ht="13">
      <c r="A1058" s="2" t="s">
        <v>2</v>
      </c>
      <c r="B1058" s="2" t="str">
        <f t="shared" si="16"/>
        <v>22-23 Academic Year</v>
      </c>
      <c r="C1058" s="2">
        <v>62</v>
      </c>
      <c r="D1058" s="2" t="s">
        <v>1184</v>
      </c>
      <c r="E1058" s="10">
        <v>45046</v>
      </c>
      <c r="F1058" s="2" t="s">
        <v>20</v>
      </c>
      <c r="G1058" s="2" t="s">
        <v>21</v>
      </c>
      <c r="H1058" s="2" t="s">
        <v>6</v>
      </c>
      <c r="I1058" s="2" t="s">
        <v>570</v>
      </c>
      <c r="J1058" s="2" t="s">
        <v>4751</v>
      </c>
      <c r="K1058" s="2" t="s">
        <v>431</v>
      </c>
      <c r="L1058" s="2" t="s">
        <v>1360</v>
      </c>
      <c r="M1058" s="3">
        <v>1</v>
      </c>
      <c r="N1058" s="3">
        <v>2</v>
      </c>
      <c r="P1058" s="2" t="s">
        <v>1192</v>
      </c>
    </row>
    <row r="1059" spans="1:16" ht="13">
      <c r="A1059" s="2" t="s">
        <v>2</v>
      </c>
      <c r="B1059" s="2" t="str">
        <f t="shared" si="16"/>
        <v>22-23 Academic Year</v>
      </c>
      <c r="C1059" s="2">
        <v>62</v>
      </c>
      <c r="D1059" s="2" t="s">
        <v>1184</v>
      </c>
      <c r="E1059" s="10">
        <v>45046</v>
      </c>
      <c r="F1059" s="2" t="s">
        <v>20</v>
      </c>
      <c r="G1059" s="2" t="s">
        <v>21</v>
      </c>
      <c r="H1059" s="2" t="s">
        <v>6</v>
      </c>
      <c r="I1059" s="2" t="s">
        <v>570</v>
      </c>
      <c r="J1059" s="2" t="s">
        <v>4752</v>
      </c>
      <c r="K1059" s="2" t="s">
        <v>431</v>
      </c>
      <c r="L1059" s="2" t="s">
        <v>1360</v>
      </c>
      <c r="M1059" s="3">
        <v>1</v>
      </c>
      <c r="N1059" s="3">
        <v>2</v>
      </c>
      <c r="P1059" s="2" t="s">
        <v>1193</v>
      </c>
    </row>
    <row r="1060" spans="1:16" ht="13">
      <c r="A1060" s="2" t="s">
        <v>2</v>
      </c>
      <c r="B1060" s="2" t="str">
        <f t="shared" si="16"/>
        <v>22-23 Academic Year</v>
      </c>
      <c r="C1060" s="2">
        <v>62</v>
      </c>
      <c r="D1060" s="2" t="s">
        <v>1184</v>
      </c>
      <c r="E1060" s="10">
        <v>45046</v>
      </c>
      <c r="F1060" s="2" t="s">
        <v>20</v>
      </c>
      <c r="G1060" s="2" t="s">
        <v>21</v>
      </c>
      <c r="H1060" s="2" t="s">
        <v>6</v>
      </c>
      <c r="I1060" s="2" t="s">
        <v>570</v>
      </c>
      <c r="J1060" s="2" t="s">
        <v>4754</v>
      </c>
      <c r="K1060" s="2" t="s">
        <v>431</v>
      </c>
      <c r="L1060" s="2" t="s">
        <v>1360</v>
      </c>
      <c r="M1060" s="3">
        <v>1</v>
      </c>
      <c r="N1060" s="3">
        <v>2</v>
      </c>
      <c r="P1060" s="2" t="s">
        <v>1194</v>
      </c>
    </row>
    <row r="1061" spans="1:16" ht="13">
      <c r="A1061" s="2" t="s">
        <v>2</v>
      </c>
      <c r="B1061" s="2" t="str">
        <f t="shared" si="16"/>
        <v>22-23 Academic Year</v>
      </c>
      <c r="C1061" s="2">
        <v>62</v>
      </c>
      <c r="D1061" s="2" t="s">
        <v>1184</v>
      </c>
      <c r="E1061" s="10">
        <v>45046</v>
      </c>
      <c r="F1061" s="2" t="s">
        <v>20</v>
      </c>
      <c r="G1061" s="2" t="s">
        <v>21</v>
      </c>
      <c r="H1061" s="2" t="s">
        <v>6</v>
      </c>
      <c r="I1061" s="2" t="s">
        <v>570</v>
      </c>
      <c r="J1061" s="2" t="s">
        <v>4755</v>
      </c>
      <c r="K1061" s="2" t="s">
        <v>1037</v>
      </c>
      <c r="L1061" s="2" t="s">
        <v>1778</v>
      </c>
      <c r="M1061" s="3">
        <v>1</v>
      </c>
      <c r="N1061" s="3">
        <v>2</v>
      </c>
      <c r="P1061" s="2" t="s">
        <v>1195</v>
      </c>
    </row>
    <row r="1062" spans="1:16" ht="13">
      <c r="A1062" s="2" t="s">
        <v>2</v>
      </c>
      <c r="B1062" s="2" t="str">
        <f t="shared" si="16"/>
        <v>22-23 Academic Year</v>
      </c>
      <c r="C1062" s="2">
        <v>62</v>
      </c>
      <c r="D1062" s="2" t="s">
        <v>1184</v>
      </c>
      <c r="E1062" s="10">
        <v>45046</v>
      </c>
      <c r="F1062" s="2" t="s">
        <v>20</v>
      </c>
      <c r="G1062" s="2" t="s">
        <v>21</v>
      </c>
      <c r="H1062" s="2" t="s">
        <v>6</v>
      </c>
      <c r="I1062" s="2" t="s">
        <v>570</v>
      </c>
      <c r="J1062" s="2" t="s">
        <v>4756</v>
      </c>
      <c r="K1062" s="2" t="s">
        <v>122</v>
      </c>
      <c r="L1062" s="2" t="s">
        <v>123</v>
      </c>
      <c r="M1062" s="3">
        <v>1</v>
      </c>
      <c r="N1062" s="3">
        <v>2</v>
      </c>
      <c r="P1062" s="2" t="s">
        <v>1196</v>
      </c>
    </row>
    <row r="1063" spans="1:16" ht="13">
      <c r="A1063" s="2" t="s">
        <v>2</v>
      </c>
      <c r="B1063" s="2" t="str">
        <f t="shared" si="16"/>
        <v>22-23 Academic Year</v>
      </c>
      <c r="C1063" s="2">
        <v>63</v>
      </c>
      <c r="D1063" s="2" t="s">
        <v>1197</v>
      </c>
      <c r="E1063" s="10">
        <v>45046</v>
      </c>
      <c r="F1063" s="2" t="s">
        <v>29</v>
      </c>
      <c r="G1063" s="2" t="s">
        <v>379</v>
      </c>
      <c r="H1063" s="2" t="s">
        <v>8</v>
      </c>
      <c r="J1063" s="2" t="s">
        <v>4669</v>
      </c>
      <c r="K1063" s="2" t="s">
        <v>1198</v>
      </c>
      <c r="L1063" s="2" t="s">
        <v>5013</v>
      </c>
      <c r="M1063" s="3">
        <v>4</v>
      </c>
      <c r="N1063" s="3">
        <v>1</v>
      </c>
      <c r="P1063" s="2" t="s">
        <v>1199</v>
      </c>
    </row>
    <row r="1064" spans="1:16" ht="13">
      <c r="A1064" s="2" t="s">
        <v>2</v>
      </c>
      <c r="B1064" s="2" t="str">
        <f t="shared" si="16"/>
        <v>22-23 Academic Year</v>
      </c>
      <c r="C1064" s="2">
        <v>63</v>
      </c>
      <c r="D1064" s="2" t="s">
        <v>1197</v>
      </c>
      <c r="E1064" s="10">
        <v>45046</v>
      </c>
      <c r="F1064" s="2" t="s">
        <v>29</v>
      </c>
      <c r="G1064" s="2" t="s">
        <v>379</v>
      </c>
      <c r="H1064" s="2" t="s">
        <v>8</v>
      </c>
      <c r="J1064" s="2" t="s">
        <v>4671</v>
      </c>
      <c r="K1064" s="2" t="s">
        <v>1200</v>
      </c>
      <c r="L1064" s="2" t="s">
        <v>5014</v>
      </c>
      <c r="M1064" s="3">
        <v>1</v>
      </c>
      <c r="N1064" s="3">
        <v>1</v>
      </c>
      <c r="P1064" s="2" t="s">
        <v>1201</v>
      </c>
    </row>
    <row r="1065" spans="1:16" ht="13">
      <c r="A1065" s="2" t="s">
        <v>2</v>
      </c>
      <c r="B1065" s="2" t="str">
        <f t="shared" si="16"/>
        <v>22-23 Academic Year</v>
      </c>
      <c r="C1065" s="2">
        <v>63</v>
      </c>
      <c r="D1065" s="2" t="s">
        <v>1197</v>
      </c>
      <c r="E1065" s="10">
        <v>45046</v>
      </c>
      <c r="F1065" s="2" t="s">
        <v>29</v>
      </c>
      <c r="G1065" s="2" t="s">
        <v>379</v>
      </c>
      <c r="H1065" s="2" t="s">
        <v>8</v>
      </c>
      <c r="J1065" s="2" t="s">
        <v>4673</v>
      </c>
      <c r="K1065" s="2" t="s">
        <v>1202</v>
      </c>
      <c r="L1065" s="2" t="s">
        <v>5015</v>
      </c>
      <c r="M1065" s="3">
        <v>1</v>
      </c>
      <c r="N1065" s="3">
        <v>1</v>
      </c>
      <c r="P1065" s="2" t="s">
        <v>1203</v>
      </c>
    </row>
    <row r="1066" spans="1:16" ht="13">
      <c r="A1066" s="2" t="s">
        <v>2</v>
      </c>
      <c r="B1066" s="2" t="str">
        <f t="shared" si="16"/>
        <v>22-23 Academic Year</v>
      </c>
      <c r="C1066" s="2">
        <v>63</v>
      </c>
      <c r="D1066" s="2" t="s">
        <v>1197</v>
      </c>
      <c r="E1066" s="10">
        <v>45046</v>
      </c>
      <c r="F1066" s="2" t="s">
        <v>29</v>
      </c>
      <c r="G1066" s="2" t="s">
        <v>379</v>
      </c>
      <c r="H1066" s="2" t="s">
        <v>8</v>
      </c>
      <c r="J1066" s="2" t="s">
        <v>4675</v>
      </c>
      <c r="K1066" s="2" t="s">
        <v>1204</v>
      </c>
      <c r="L1066" s="2" t="s">
        <v>5016</v>
      </c>
      <c r="M1066" s="3">
        <v>1</v>
      </c>
      <c r="N1066" s="3">
        <v>1</v>
      </c>
      <c r="P1066" s="2" t="s">
        <v>1205</v>
      </c>
    </row>
    <row r="1067" spans="1:16" ht="13">
      <c r="A1067" s="2" t="s">
        <v>2</v>
      </c>
      <c r="B1067" s="2" t="str">
        <f t="shared" si="16"/>
        <v>22-23 Academic Year</v>
      </c>
      <c r="C1067" s="2">
        <v>63</v>
      </c>
      <c r="D1067" s="2" t="s">
        <v>1197</v>
      </c>
      <c r="E1067" s="10">
        <v>45046</v>
      </c>
      <c r="F1067" s="2" t="s">
        <v>29</v>
      </c>
      <c r="G1067" s="2" t="s">
        <v>379</v>
      </c>
      <c r="H1067" s="2" t="s">
        <v>8</v>
      </c>
      <c r="J1067" s="2" t="s">
        <v>4677</v>
      </c>
      <c r="K1067" s="2" t="s">
        <v>105</v>
      </c>
      <c r="L1067" s="2" t="s">
        <v>1404</v>
      </c>
      <c r="M1067" s="3">
        <v>1</v>
      </c>
      <c r="N1067" s="3">
        <v>2</v>
      </c>
      <c r="P1067" s="2" t="s">
        <v>867</v>
      </c>
    </row>
    <row r="1068" spans="1:16" ht="13">
      <c r="A1068" s="2" t="s">
        <v>2</v>
      </c>
      <c r="B1068" s="2" t="str">
        <f t="shared" si="16"/>
        <v>22-23 Academic Year</v>
      </c>
      <c r="C1068" s="2">
        <v>63</v>
      </c>
      <c r="D1068" s="2" t="s">
        <v>1197</v>
      </c>
      <c r="E1068" s="10">
        <v>45046</v>
      </c>
      <c r="F1068" s="2" t="s">
        <v>29</v>
      </c>
      <c r="G1068" s="2" t="s">
        <v>379</v>
      </c>
      <c r="H1068" s="2" t="s">
        <v>8</v>
      </c>
      <c r="J1068" s="2" t="s">
        <v>4679</v>
      </c>
      <c r="K1068" s="2" t="s">
        <v>1206</v>
      </c>
      <c r="L1068" s="2" t="s">
        <v>1207</v>
      </c>
      <c r="M1068" s="3">
        <v>3</v>
      </c>
      <c r="N1068" s="3">
        <v>1</v>
      </c>
      <c r="O1068" s="2" t="s">
        <v>1208</v>
      </c>
      <c r="P1068" s="2" t="s">
        <v>1209</v>
      </c>
    </row>
    <row r="1069" spans="1:16" ht="13">
      <c r="A1069" s="2" t="s">
        <v>2</v>
      </c>
      <c r="B1069" s="2" t="str">
        <f t="shared" si="16"/>
        <v>22-23 Academic Year</v>
      </c>
      <c r="C1069" s="2">
        <v>64</v>
      </c>
      <c r="D1069" s="2" t="s">
        <v>560</v>
      </c>
      <c r="E1069" s="10">
        <v>45047</v>
      </c>
      <c r="F1069" s="2" t="s">
        <v>69</v>
      </c>
      <c r="G1069" s="2" t="s">
        <v>449</v>
      </c>
      <c r="H1069" s="2" t="s">
        <v>7</v>
      </c>
      <c r="J1069" s="2" t="s">
        <v>4669</v>
      </c>
      <c r="K1069" s="2" t="s">
        <v>567</v>
      </c>
      <c r="L1069" s="2" t="s">
        <v>2026</v>
      </c>
      <c r="M1069" s="3">
        <v>2</v>
      </c>
      <c r="N1069" s="3">
        <v>1</v>
      </c>
      <c r="P1069" s="2" t="s">
        <v>568</v>
      </c>
    </row>
    <row r="1070" spans="1:16" ht="13">
      <c r="A1070" s="2" t="s">
        <v>2</v>
      </c>
      <c r="B1070" s="2" t="str">
        <f t="shared" si="16"/>
        <v>22-23 Academic Year</v>
      </c>
      <c r="C1070" s="2">
        <v>64</v>
      </c>
      <c r="D1070" s="2" t="s">
        <v>560</v>
      </c>
      <c r="E1070" s="10">
        <v>45047</v>
      </c>
      <c r="F1070" s="2" t="s">
        <v>69</v>
      </c>
      <c r="G1070" s="2" t="s">
        <v>449</v>
      </c>
      <c r="H1070" s="2" t="s">
        <v>7</v>
      </c>
      <c r="J1070" s="2" t="s">
        <v>4671</v>
      </c>
      <c r="K1070" s="2" t="s">
        <v>584</v>
      </c>
      <c r="L1070" s="2" t="s">
        <v>1258</v>
      </c>
      <c r="M1070" s="3">
        <v>1</v>
      </c>
      <c r="N1070" s="3">
        <v>2</v>
      </c>
      <c r="P1070" s="2" t="s">
        <v>1210</v>
      </c>
    </row>
    <row r="1071" spans="1:16" ht="13">
      <c r="A1071" s="2" t="s">
        <v>2</v>
      </c>
      <c r="B1071" s="2" t="str">
        <f t="shared" si="16"/>
        <v>22-23 Academic Year</v>
      </c>
      <c r="C1071" s="2">
        <v>64</v>
      </c>
      <c r="D1071" s="2" t="s">
        <v>560</v>
      </c>
      <c r="E1071" s="10">
        <v>45047</v>
      </c>
      <c r="F1071" s="2" t="s">
        <v>69</v>
      </c>
      <c r="G1071" s="2" t="s">
        <v>449</v>
      </c>
      <c r="H1071" s="2" t="s">
        <v>7</v>
      </c>
      <c r="J1071" s="2" t="s">
        <v>4673</v>
      </c>
      <c r="K1071" s="2" t="s">
        <v>1211</v>
      </c>
      <c r="L1071" s="2" t="s">
        <v>5017</v>
      </c>
      <c r="M1071" s="3">
        <v>1</v>
      </c>
      <c r="N1071" s="3">
        <v>2</v>
      </c>
      <c r="P1071" s="2" t="s">
        <v>1212</v>
      </c>
    </row>
    <row r="1072" spans="1:16" ht="13">
      <c r="A1072" s="2" t="s">
        <v>2</v>
      </c>
      <c r="B1072" s="2" t="str">
        <f t="shared" si="16"/>
        <v>22-23 Academic Year</v>
      </c>
      <c r="C1072" s="2">
        <v>64</v>
      </c>
      <c r="D1072" s="2" t="s">
        <v>560</v>
      </c>
      <c r="E1072" s="10">
        <v>45047</v>
      </c>
      <c r="F1072" s="2" t="s">
        <v>69</v>
      </c>
      <c r="G1072" s="2" t="s">
        <v>449</v>
      </c>
      <c r="H1072" s="2" t="s">
        <v>7</v>
      </c>
      <c r="J1072" s="2" t="s">
        <v>4675</v>
      </c>
      <c r="K1072" s="2" t="s">
        <v>1213</v>
      </c>
      <c r="L1072" s="2" t="s">
        <v>5018</v>
      </c>
      <c r="M1072" s="3">
        <v>3</v>
      </c>
      <c r="N1072" s="3">
        <v>2</v>
      </c>
      <c r="P1072" s="2" t="s">
        <v>1214</v>
      </c>
    </row>
    <row r="1073" spans="1:16" ht="13">
      <c r="A1073" s="2" t="s">
        <v>2</v>
      </c>
      <c r="B1073" s="2" t="str">
        <f t="shared" si="16"/>
        <v>22-23 Academic Year</v>
      </c>
      <c r="C1073" s="2">
        <v>64</v>
      </c>
      <c r="D1073" s="2" t="s">
        <v>560</v>
      </c>
      <c r="E1073" s="10">
        <v>45047</v>
      </c>
      <c r="F1073" s="2" t="s">
        <v>69</v>
      </c>
      <c r="G1073" s="2" t="s">
        <v>449</v>
      </c>
      <c r="H1073" s="2" t="s">
        <v>7</v>
      </c>
      <c r="J1073" s="2" t="s">
        <v>4677</v>
      </c>
      <c r="K1073" s="2" t="s">
        <v>1215</v>
      </c>
      <c r="L1073" s="2" t="s">
        <v>3351</v>
      </c>
      <c r="M1073" s="3">
        <v>1</v>
      </c>
      <c r="N1073" s="3">
        <v>2</v>
      </c>
      <c r="P1073" s="2" t="s">
        <v>1216</v>
      </c>
    </row>
    <row r="1074" spans="1:16" ht="13">
      <c r="A1074" s="2" t="s">
        <v>2</v>
      </c>
      <c r="B1074" s="2" t="str">
        <f t="shared" si="16"/>
        <v>22-23 Academic Year</v>
      </c>
      <c r="C1074" s="2">
        <v>64</v>
      </c>
      <c r="D1074" s="2" t="s">
        <v>560</v>
      </c>
      <c r="E1074" s="10">
        <v>45047</v>
      </c>
      <c r="F1074" s="2" t="s">
        <v>69</v>
      </c>
      <c r="G1074" s="2" t="s">
        <v>449</v>
      </c>
      <c r="H1074" s="2" t="s">
        <v>7</v>
      </c>
      <c r="J1074" s="2" t="s">
        <v>4679</v>
      </c>
      <c r="K1074" s="2" t="s">
        <v>924</v>
      </c>
      <c r="L1074" s="2" t="s">
        <v>4978</v>
      </c>
      <c r="M1074" s="3">
        <v>1</v>
      </c>
      <c r="N1074" s="3">
        <v>2</v>
      </c>
      <c r="P1074" s="2" t="s">
        <v>1217</v>
      </c>
    </row>
    <row r="1075" spans="1:16" ht="13">
      <c r="A1075" s="2" t="s">
        <v>2</v>
      </c>
      <c r="B1075" s="2" t="str">
        <f t="shared" si="16"/>
        <v>22-23 Academic Year</v>
      </c>
      <c r="C1075" s="2">
        <v>65</v>
      </c>
      <c r="D1075" s="2" t="s">
        <v>1218</v>
      </c>
      <c r="E1075" s="10">
        <v>45052</v>
      </c>
      <c r="F1075" s="2" t="s">
        <v>20</v>
      </c>
      <c r="G1075" s="2" t="s">
        <v>1218</v>
      </c>
      <c r="H1075" s="2" t="s">
        <v>7</v>
      </c>
      <c r="J1075" s="2" t="s">
        <v>4680</v>
      </c>
      <c r="K1075" s="2" t="s">
        <v>841</v>
      </c>
      <c r="L1075" s="2" t="s">
        <v>4964</v>
      </c>
      <c r="M1075" s="3">
        <v>2</v>
      </c>
      <c r="N1075" s="3">
        <v>1</v>
      </c>
      <c r="P1075" s="2" t="s">
        <v>1219</v>
      </c>
    </row>
    <row r="1076" spans="1:16" ht="13">
      <c r="A1076" s="2" t="s">
        <v>2</v>
      </c>
      <c r="B1076" s="2" t="str">
        <f t="shared" si="16"/>
        <v>22-23 Academic Year</v>
      </c>
      <c r="C1076" s="2">
        <v>65</v>
      </c>
      <c r="D1076" s="2" t="s">
        <v>1218</v>
      </c>
      <c r="E1076" s="10">
        <v>45052</v>
      </c>
      <c r="F1076" s="2" t="s">
        <v>20</v>
      </c>
      <c r="G1076" s="2" t="s">
        <v>1218</v>
      </c>
      <c r="H1076" s="2" t="s">
        <v>7</v>
      </c>
      <c r="J1076" s="2" t="s">
        <v>4681</v>
      </c>
      <c r="K1076" s="2" t="s">
        <v>1167</v>
      </c>
      <c r="L1076" s="2" t="s">
        <v>1788</v>
      </c>
      <c r="M1076" s="3">
        <v>1</v>
      </c>
      <c r="N1076" s="3">
        <v>2</v>
      </c>
      <c r="P1076" s="2" t="s">
        <v>1220</v>
      </c>
    </row>
    <row r="1077" spans="1:16" ht="13">
      <c r="A1077" s="2" t="s">
        <v>2</v>
      </c>
      <c r="B1077" s="2" t="str">
        <f t="shared" si="16"/>
        <v>22-23 Academic Year</v>
      </c>
      <c r="C1077" s="2">
        <v>65</v>
      </c>
      <c r="D1077" s="2" t="s">
        <v>1218</v>
      </c>
      <c r="E1077" s="10">
        <v>45052</v>
      </c>
      <c r="F1077" s="2" t="s">
        <v>20</v>
      </c>
      <c r="G1077" s="2" t="s">
        <v>1218</v>
      </c>
      <c r="H1077" s="2" t="s">
        <v>7</v>
      </c>
      <c r="J1077" s="2" t="s">
        <v>4683</v>
      </c>
      <c r="K1077" s="2" t="s">
        <v>39</v>
      </c>
      <c r="L1077" s="2" t="s">
        <v>4678</v>
      </c>
      <c r="M1077" s="3">
        <v>1</v>
      </c>
      <c r="N1077" s="3">
        <v>1</v>
      </c>
      <c r="P1077" s="2" t="s">
        <v>1221</v>
      </c>
    </row>
    <row r="1078" spans="1:16" ht="13">
      <c r="A1078" s="2" t="s">
        <v>2</v>
      </c>
      <c r="B1078" s="2" t="str">
        <f t="shared" si="16"/>
        <v>22-23 Academic Year</v>
      </c>
      <c r="C1078" s="2">
        <v>65</v>
      </c>
      <c r="D1078" s="2" t="s">
        <v>1218</v>
      </c>
      <c r="E1078" s="10">
        <v>45052</v>
      </c>
      <c r="F1078" s="2" t="s">
        <v>20</v>
      </c>
      <c r="G1078" s="2" t="s">
        <v>1218</v>
      </c>
      <c r="H1078" s="2" t="s">
        <v>7</v>
      </c>
      <c r="J1078" s="2" t="s">
        <v>4684</v>
      </c>
      <c r="K1078" s="2" t="s">
        <v>1222</v>
      </c>
      <c r="L1078" s="2" t="s">
        <v>5019</v>
      </c>
      <c r="M1078" s="3">
        <v>2</v>
      </c>
      <c r="N1078" s="3">
        <v>1</v>
      </c>
      <c r="P1078" s="2" t="s">
        <v>1223</v>
      </c>
    </row>
    <row r="1079" spans="1:16" ht="13">
      <c r="A1079" s="2" t="s">
        <v>2</v>
      </c>
      <c r="B1079" s="2" t="str">
        <f t="shared" si="16"/>
        <v>22-23 Academic Year</v>
      </c>
      <c r="C1079" s="2">
        <v>65</v>
      </c>
      <c r="D1079" s="2" t="s">
        <v>1218</v>
      </c>
      <c r="E1079" s="10">
        <v>45052</v>
      </c>
      <c r="F1079" s="2" t="s">
        <v>20</v>
      </c>
      <c r="G1079" s="2" t="s">
        <v>1218</v>
      </c>
      <c r="H1079" s="2" t="s">
        <v>7</v>
      </c>
      <c r="J1079" s="2" t="s">
        <v>4686</v>
      </c>
      <c r="K1079" s="2" t="s">
        <v>1224</v>
      </c>
      <c r="L1079" s="2" t="s">
        <v>5020</v>
      </c>
      <c r="M1079" s="3">
        <v>1</v>
      </c>
      <c r="N1079" s="3">
        <v>1</v>
      </c>
      <c r="P1079" s="2" t="s">
        <v>1225</v>
      </c>
    </row>
    <row r="1080" spans="1:16" ht="13">
      <c r="A1080" s="2" t="s">
        <v>4</v>
      </c>
      <c r="B1080" s="2" t="str">
        <f t="shared" si="16"/>
        <v>23-24 Academic Year</v>
      </c>
      <c r="C1080" s="2">
        <v>1</v>
      </c>
      <c r="D1080" s="2" t="s">
        <v>5021</v>
      </c>
      <c r="E1080" s="10">
        <v>45315</v>
      </c>
      <c r="F1080" s="2" t="s">
        <v>2169</v>
      </c>
      <c r="G1080" s="2" t="s">
        <v>2170</v>
      </c>
      <c r="H1080" s="2" t="s">
        <v>6</v>
      </c>
      <c r="I1080" s="2" t="s">
        <v>370</v>
      </c>
      <c r="J1080" s="2" t="s">
        <v>2171</v>
      </c>
      <c r="K1080" s="2" t="s">
        <v>1033</v>
      </c>
      <c r="L1080" s="2" t="s">
        <v>3902</v>
      </c>
      <c r="M1080" s="3">
        <v>1</v>
      </c>
      <c r="N1080" s="3">
        <v>2</v>
      </c>
      <c r="P1080" s="2" t="s">
        <v>2172</v>
      </c>
    </row>
    <row r="1081" spans="1:16" ht="13">
      <c r="A1081" s="2" t="s">
        <v>4</v>
      </c>
      <c r="B1081" s="2" t="str">
        <f t="shared" si="16"/>
        <v>23-24 Academic Year</v>
      </c>
      <c r="C1081" s="2">
        <v>1</v>
      </c>
      <c r="D1081" s="2" t="s">
        <v>5021</v>
      </c>
      <c r="E1081" s="10">
        <v>45315</v>
      </c>
      <c r="F1081" s="2" t="s">
        <v>2169</v>
      </c>
      <c r="G1081" s="2" t="s">
        <v>2170</v>
      </c>
      <c r="H1081" s="2" t="s">
        <v>6</v>
      </c>
      <c r="I1081" s="2" t="s">
        <v>370</v>
      </c>
      <c r="J1081" s="2" t="s">
        <v>2173</v>
      </c>
      <c r="K1081" s="2" t="s">
        <v>2174</v>
      </c>
      <c r="L1081" s="2" t="s">
        <v>3828</v>
      </c>
      <c r="M1081" s="3">
        <v>1</v>
      </c>
      <c r="N1081" s="3">
        <v>2</v>
      </c>
      <c r="P1081" s="2" t="s">
        <v>2175</v>
      </c>
    </row>
    <row r="1082" spans="1:16" ht="13">
      <c r="A1082" s="2" t="s">
        <v>4</v>
      </c>
      <c r="B1082" s="2" t="str">
        <f t="shared" si="16"/>
        <v>23-24 Academic Year</v>
      </c>
      <c r="C1082" s="2">
        <v>1</v>
      </c>
      <c r="D1082" s="2" t="s">
        <v>5021</v>
      </c>
      <c r="E1082" s="10">
        <v>45315</v>
      </c>
      <c r="F1082" s="2" t="s">
        <v>2169</v>
      </c>
      <c r="G1082" s="2" t="s">
        <v>2170</v>
      </c>
      <c r="H1082" s="2" t="s">
        <v>6</v>
      </c>
      <c r="I1082" s="2" t="s">
        <v>370</v>
      </c>
      <c r="J1082" s="2" t="s">
        <v>2176</v>
      </c>
      <c r="K1082" s="2" t="s">
        <v>2177</v>
      </c>
      <c r="L1082" s="2" t="s">
        <v>1684</v>
      </c>
      <c r="M1082" s="3">
        <v>1</v>
      </c>
      <c r="N1082" s="3">
        <v>2</v>
      </c>
      <c r="P1082" s="2" t="s">
        <v>2178</v>
      </c>
    </row>
    <row r="1083" spans="1:16" ht="13">
      <c r="A1083" s="2" t="s">
        <v>4</v>
      </c>
      <c r="B1083" s="2" t="str">
        <f t="shared" si="16"/>
        <v>23-24 Academic Year</v>
      </c>
      <c r="C1083" s="2">
        <v>2</v>
      </c>
      <c r="D1083" s="2" t="s">
        <v>335</v>
      </c>
      <c r="E1083" s="10">
        <v>45316</v>
      </c>
      <c r="F1083" s="2" t="s">
        <v>335</v>
      </c>
      <c r="G1083" s="2" t="s">
        <v>2184</v>
      </c>
      <c r="H1083" s="2" t="s">
        <v>7</v>
      </c>
      <c r="I1083" s="2" t="s">
        <v>7</v>
      </c>
      <c r="J1083" s="2" t="s">
        <v>2185</v>
      </c>
      <c r="K1083" s="2" t="s">
        <v>320</v>
      </c>
      <c r="L1083" s="2" t="s">
        <v>1879</v>
      </c>
      <c r="M1083" s="3">
        <v>1</v>
      </c>
      <c r="N1083" s="3">
        <v>2</v>
      </c>
      <c r="P1083" s="2" t="s">
        <v>2186</v>
      </c>
    </row>
    <row r="1084" spans="1:16" ht="13">
      <c r="A1084" s="2" t="s">
        <v>4</v>
      </c>
      <c r="B1084" s="2" t="str">
        <f t="shared" si="16"/>
        <v>23-24 Academic Year</v>
      </c>
      <c r="C1084" s="2">
        <v>2</v>
      </c>
      <c r="D1084" s="2" t="s">
        <v>335</v>
      </c>
      <c r="E1084" s="10">
        <v>45316</v>
      </c>
      <c r="F1084" s="2" t="s">
        <v>335</v>
      </c>
      <c r="G1084" s="2" t="s">
        <v>2184</v>
      </c>
      <c r="H1084" s="2" t="s">
        <v>7</v>
      </c>
      <c r="I1084" s="2" t="s">
        <v>7</v>
      </c>
      <c r="J1084" s="2" t="s">
        <v>2187</v>
      </c>
      <c r="K1084" s="2" t="s">
        <v>2188</v>
      </c>
      <c r="L1084" s="2" t="s">
        <v>4893</v>
      </c>
      <c r="M1084" s="3">
        <v>3</v>
      </c>
      <c r="N1084" s="3">
        <v>2</v>
      </c>
      <c r="P1084" s="2" t="s">
        <v>2189</v>
      </c>
    </row>
    <row r="1085" spans="1:16" ht="13">
      <c r="A1085" s="2" t="s">
        <v>4</v>
      </c>
      <c r="B1085" s="2" t="str">
        <f t="shared" si="16"/>
        <v>23-24 Academic Year</v>
      </c>
      <c r="C1085" s="2">
        <v>2</v>
      </c>
      <c r="D1085" s="2" t="s">
        <v>335</v>
      </c>
      <c r="E1085" s="10">
        <v>45316</v>
      </c>
      <c r="F1085" s="2" t="s">
        <v>335</v>
      </c>
      <c r="G1085" s="2" t="s">
        <v>2184</v>
      </c>
      <c r="H1085" s="2" t="s">
        <v>7</v>
      </c>
      <c r="I1085" s="2" t="s">
        <v>7</v>
      </c>
      <c r="J1085" s="2" t="s">
        <v>2190</v>
      </c>
      <c r="K1085" s="2" t="s">
        <v>144</v>
      </c>
      <c r="L1085" s="2" t="s">
        <v>4475</v>
      </c>
      <c r="M1085" s="3">
        <v>3</v>
      </c>
      <c r="N1085" s="3">
        <v>1</v>
      </c>
      <c r="P1085" s="2" t="s">
        <v>2191</v>
      </c>
    </row>
    <row r="1086" spans="1:16" ht="13">
      <c r="A1086" s="2" t="s">
        <v>4</v>
      </c>
      <c r="B1086" s="2" t="str">
        <f t="shared" si="16"/>
        <v>23-24 Academic Year</v>
      </c>
      <c r="C1086" s="2">
        <v>3</v>
      </c>
      <c r="D1086" s="2" t="s">
        <v>5022</v>
      </c>
      <c r="E1086" s="10">
        <v>45316</v>
      </c>
      <c r="F1086" s="2" t="s">
        <v>2179</v>
      </c>
      <c r="G1086" s="2" t="s">
        <v>2180</v>
      </c>
      <c r="H1086" s="2" t="s">
        <v>6</v>
      </c>
      <c r="I1086" s="2" t="s">
        <v>593</v>
      </c>
      <c r="J1086" s="2" t="s">
        <v>2181</v>
      </c>
      <c r="K1086" s="2" t="s">
        <v>2182</v>
      </c>
      <c r="L1086" s="2" t="s">
        <v>5023</v>
      </c>
      <c r="M1086" s="3">
        <v>4</v>
      </c>
      <c r="N1086" s="3">
        <v>1</v>
      </c>
      <c r="P1086" s="2" t="s">
        <v>2183</v>
      </c>
    </row>
    <row r="1087" spans="1:16" ht="13">
      <c r="A1087" s="2" t="s">
        <v>4</v>
      </c>
      <c r="B1087" s="2" t="str">
        <f t="shared" si="16"/>
        <v>23-24 Academic Year</v>
      </c>
      <c r="C1087" s="2">
        <v>4</v>
      </c>
      <c r="D1087" s="2" t="s">
        <v>5024</v>
      </c>
      <c r="E1087" s="10">
        <v>45317</v>
      </c>
      <c r="F1087" s="2" t="s">
        <v>2192</v>
      </c>
      <c r="G1087" s="2" t="s">
        <v>2170</v>
      </c>
      <c r="H1087" s="2" t="s">
        <v>6</v>
      </c>
      <c r="I1087" s="2" t="s">
        <v>593</v>
      </c>
      <c r="J1087" s="2" t="s">
        <v>2193</v>
      </c>
      <c r="K1087" s="2" t="s">
        <v>353</v>
      </c>
      <c r="L1087" s="2" t="s">
        <v>1474</v>
      </c>
      <c r="M1087" s="3">
        <v>1</v>
      </c>
      <c r="N1087" s="3">
        <v>2</v>
      </c>
      <c r="P1087" s="2" t="s">
        <v>2194</v>
      </c>
    </row>
    <row r="1088" spans="1:16" ht="13">
      <c r="A1088" s="2" t="s">
        <v>4</v>
      </c>
      <c r="B1088" s="2" t="str">
        <f t="shared" si="16"/>
        <v>23-24 Academic Year</v>
      </c>
      <c r="C1088" s="2">
        <v>4</v>
      </c>
      <c r="D1088" s="2" t="s">
        <v>5024</v>
      </c>
      <c r="E1088" s="10">
        <v>45317</v>
      </c>
      <c r="F1088" s="2" t="s">
        <v>2192</v>
      </c>
      <c r="G1088" s="2" t="s">
        <v>2170</v>
      </c>
      <c r="H1088" s="2" t="s">
        <v>6</v>
      </c>
      <c r="I1088" s="2" t="s">
        <v>593</v>
      </c>
      <c r="J1088" s="2" t="s">
        <v>2195</v>
      </c>
      <c r="K1088" s="2" t="s">
        <v>700</v>
      </c>
      <c r="L1088" s="2" t="s">
        <v>1283</v>
      </c>
      <c r="M1088" s="3">
        <v>3</v>
      </c>
      <c r="N1088" s="3">
        <v>2</v>
      </c>
      <c r="P1088" s="2" t="s">
        <v>2196</v>
      </c>
    </row>
    <row r="1089" spans="1:16" ht="13">
      <c r="A1089" s="2" t="s">
        <v>4</v>
      </c>
      <c r="B1089" s="2" t="str">
        <f t="shared" si="16"/>
        <v>23-24 Academic Year</v>
      </c>
      <c r="C1089" s="2">
        <v>4</v>
      </c>
      <c r="D1089" s="2" t="s">
        <v>5024</v>
      </c>
      <c r="E1089" s="10">
        <v>45317</v>
      </c>
      <c r="F1089" s="2" t="s">
        <v>2192</v>
      </c>
      <c r="G1089" s="2" t="s">
        <v>2170</v>
      </c>
      <c r="H1089" s="2" t="s">
        <v>6</v>
      </c>
      <c r="I1089" s="2" t="s">
        <v>593</v>
      </c>
      <c r="J1089" s="2" t="s">
        <v>2197</v>
      </c>
      <c r="K1089" s="2" t="s">
        <v>2198</v>
      </c>
      <c r="L1089" s="2" t="s">
        <v>1117</v>
      </c>
      <c r="M1089" s="3">
        <v>1</v>
      </c>
      <c r="N1089" s="3">
        <v>2</v>
      </c>
      <c r="P1089" s="2" t="s">
        <v>2199</v>
      </c>
    </row>
    <row r="1090" spans="1:16" ht="13">
      <c r="A1090" s="2" t="s">
        <v>4</v>
      </c>
      <c r="B1090" s="2" t="str">
        <f t="shared" si="16"/>
        <v>23-24 Academic Year</v>
      </c>
      <c r="C1090" s="2">
        <v>4</v>
      </c>
      <c r="D1090" s="2" t="s">
        <v>5024</v>
      </c>
      <c r="E1090" s="10">
        <v>45317</v>
      </c>
      <c r="F1090" s="2" t="s">
        <v>2192</v>
      </c>
      <c r="G1090" s="2" t="s">
        <v>2170</v>
      </c>
      <c r="H1090" s="2" t="s">
        <v>6</v>
      </c>
      <c r="I1090" s="2" t="s">
        <v>593</v>
      </c>
      <c r="J1090" s="2" t="s">
        <v>2200</v>
      </c>
      <c r="K1090" s="2" t="s">
        <v>1119</v>
      </c>
      <c r="L1090" s="2" t="s">
        <v>1676</v>
      </c>
      <c r="M1090" s="3">
        <v>1</v>
      </c>
      <c r="N1090" s="3">
        <v>2</v>
      </c>
      <c r="P1090" s="2" t="s">
        <v>2201</v>
      </c>
    </row>
    <row r="1091" spans="1:16" ht="13">
      <c r="A1091" s="2" t="s">
        <v>4</v>
      </c>
      <c r="B1091" s="2" t="str">
        <f t="shared" ref="B1091:B1154" si="17">RIGHT(TEXT(IF(LEFT(A1091,4)="Fall",VALUE(RIGHT(A1091,4)),VALUE(RIGHT(A1091,4))-1),"00"),2)
 &amp; "-" &amp;
 RIGHT(TEXT(IF(LEFT(A1091,4)="Fall",VALUE(RIGHT(A1091,4))+1,VALUE(RIGHT(A1091,4))),"00"),2)
 &amp; " Academic Year"</f>
        <v>23-24 Academic Year</v>
      </c>
      <c r="C1091" s="2">
        <v>4</v>
      </c>
      <c r="D1091" s="2" t="s">
        <v>5024</v>
      </c>
      <c r="E1091" s="10">
        <v>45317</v>
      </c>
      <c r="F1091" s="2" t="s">
        <v>2192</v>
      </c>
      <c r="G1091" s="2" t="s">
        <v>2170</v>
      </c>
      <c r="H1091" s="2" t="s">
        <v>6</v>
      </c>
      <c r="I1091" s="2" t="s">
        <v>593</v>
      </c>
      <c r="J1091" s="2" t="s">
        <v>2202</v>
      </c>
      <c r="K1091" s="2" t="s">
        <v>2203</v>
      </c>
      <c r="L1091" s="2" t="s">
        <v>2203</v>
      </c>
      <c r="M1091" s="3">
        <v>1</v>
      </c>
      <c r="N1091" s="3">
        <v>2</v>
      </c>
      <c r="P1091" s="2" t="s">
        <v>2204</v>
      </c>
    </row>
    <row r="1092" spans="1:16" ht="13">
      <c r="A1092" s="2" t="s">
        <v>4</v>
      </c>
      <c r="B1092" s="2" t="str">
        <f t="shared" si="17"/>
        <v>23-24 Academic Year</v>
      </c>
      <c r="C1092" s="2">
        <v>5</v>
      </c>
      <c r="D1092" s="2" t="s">
        <v>5025</v>
      </c>
      <c r="E1092" s="10">
        <v>45318</v>
      </c>
      <c r="F1092" s="2" t="s">
        <v>2205</v>
      </c>
      <c r="G1092" s="2" t="s">
        <v>2170</v>
      </c>
      <c r="H1092" s="2" t="s">
        <v>6</v>
      </c>
      <c r="I1092" s="2" t="s">
        <v>827</v>
      </c>
      <c r="J1092" s="2" t="s">
        <v>2206</v>
      </c>
      <c r="K1092" s="2" t="s">
        <v>2207</v>
      </c>
      <c r="L1092" s="2" t="s">
        <v>5026</v>
      </c>
      <c r="M1092" s="3">
        <v>1</v>
      </c>
      <c r="N1092" s="3">
        <v>2</v>
      </c>
      <c r="P1092" s="2" t="s">
        <v>2208</v>
      </c>
    </row>
    <row r="1093" spans="1:16" ht="13">
      <c r="A1093" s="2" t="s">
        <v>4</v>
      </c>
      <c r="B1093" s="2" t="str">
        <f t="shared" si="17"/>
        <v>23-24 Academic Year</v>
      </c>
      <c r="C1093" s="2">
        <v>5</v>
      </c>
      <c r="D1093" s="2" t="s">
        <v>5025</v>
      </c>
      <c r="E1093" s="10">
        <v>45318</v>
      </c>
      <c r="F1093" s="2" t="s">
        <v>2205</v>
      </c>
      <c r="G1093" s="2" t="s">
        <v>2170</v>
      </c>
      <c r="H1093" s="2" t="s">
        <v>6</v>
      </c>
      <c r="I1093" s="2" t="s">
        <v>827</v>
      </c>
      <c r="J1093" s="2" t="s">
        <v>2209</v>
      </c>
      <c r="K1093" s="2" t="s">
        <v>431</v>
      </c>
      <c r="L1093" s="2" t="s">
        <v>1360</v>
      </c>
      <c r="M1093" s="3">
        <v>1</v>
      </c>
      <c r="N1093" s="3">
        <v>2</v>
      </c>
      <c r="P1093" s="2" t="s">
        <v>2210</v>
      </c>
    </row>
    <row r="1094" spans="1:16" ht="13">
      <c r="A1094" s="2" t="s">
        <v>4</v>
      </c>
      <c r="B1094" s="2" t="str">
        <f t="shared" si="17"/>
        <v>23-24 Academic Year</v>
      </c>
      <c r="C1094" s="2">
        <v>5</v>
      </c>
      <c r="D1094" s="2" t="s">
        <v>5025</v>
      </c>
      <c r="E1094" s="10">
        <v>45318</v>
      </c>
      <c r="F1094" s="2" t="s">
        <v>2205</v>
      </c>
      <c r="G1094" s="2" t="s">
        <v>2170</v>
      </c>
      <c r="H1094" s="2" t="s">
        <v>6</v>
      </c>
      <c r="I1094" s="2" t="s">
        <v>827</v>
      </c>
      <c r="J1094" s="2" t="s">
        <v>2211</v>
      </c>
      <c r="K1094" s="2" t="s">
        <v>2212</v>
      </c>
      <c r="L1094" s="2" t="s">
        <v>2213</v>
      </c>
      <c r="M1094" s="3">
        <v>1</v>
      </c>
      <c r="N1094" s="3">
        <v>2</v>
      </c>
      <c r="P1094" s="2" t="s">
        <v>2214</v>
      </c>
    </row>
    <row r="1095" spans="1:16" ht="13">
      <c r="A1095" s="2" t="s">
        <v>4</v>
      </c>
      <c r="B1095" s="2" t="str">
        <f t="shared" si="17"/>
        <v>23-24 Academic Year</v>
      </c>
      <c r="C1095" s="2">
        <v>6</v>
      </c>
      <c r="D1095" s="2" t="s">
        <v>2215</v>
      </c>
      <c r="E1095" s="10">
        <v>45322</v>
      </c>
      <c r="F1095" s="2" t="s">
        <v>2215</v>
      </c>
      <c r="G1095" s="2" t="s">
        <v>2180</v>
      </c>
      <c r="H1095" s="2" t="s">
        <v>8</v>
      </c>
      <c r="I1095" s="2" t="s">
        <v>2216</v>
      </c>
      <c r="J1095" s="2" t="s">
        <v>2217</v>
      </c>
      <c r="K1095" s="2" t="s">
        <v>2218</v>
      </c>
      <c r="L1095" s="2" t="s">
        <v>1052</v>
      </c>
      <c r="M1095" s="3">
        <v>3</v>
      </c>
      <c r="N1095" s="3">
        <v>2</v>
      </c>
      <c r="P1095" s="2" t="s">
        <v>2219</v>
      </c>
    </row>
    <row r="1096" spans="1:16" ht="13">
      <c r="A1096" s="2" t="s">
        <v>4</v>
      </c>
      <c r="B1096" s="2" t="str">
        <f t="shared" si="17"/>
        <v>23-24 Academic Year</v>
      </c>
      <c r="C1096" s="2">
        <v>6</v>
      </c>
      <c r="D1096" s="2" t="s">
        <v>2215</v>
      </c>
      <c r="E1096" s="10">
        <v>45322</v>
      </c>
      <c r="F1096" s="2" t="s">
        <v>2215</v>
      </c>
      <c r="G1096" s="2" t="s">
        <v>2180</v>
      </c>
      <c r="H1096" s="2" t="s">
        <v>8</v>
      </c>
      <c r="I1096" s="2" t="s">
        <v>2216</v>
      </c>
      <c r="J1096" s="2" t="s">
        <v>2220</v>
      </c>
      <c r="K1096" s="2" t="s">
        <v>2221</v>
      </c>
      <c r="L1096" s="2" t="s">
        <v>5027</v>
      </c>
      <c r="M1096" s="3">
        <v>1</v>
      </c>
      <c r="N1096" s="3">
        <v>2</v>
      </c>
      <c r="P1096" s="2" t="s">
        <v>2222</v>
      </c>
    </row>
    <row r="1097" spans="1:16" ht="13">
      <c r="A1097" s="2" t="s">
        <v>4</v>
      </c>
      <c r="B1097" s="2" t="str">
        <f t="shared" si="17"/>
        <v>23-24 Academic Year</v>
      </c>
      <c r="C1097" s="2">
        <v>6</v>
      </c>
      <c r="D1097" s="2" t="s">
        <v>2215</v>
      </c>
      <c r="E1097" s="10">
        <v>45322</v>
      </c>
      <c r="F1097" s="2" t="s">
        <v>2215</v>
      </c>
      <c r="G1097" s="2" t="s">
        <v>2180</v>
      </c>
      <c r="H1097" s="2" t="s">
        <v>8</v>
      </c>
      <c r="I1097" s="2" t="s">
        <v>2216</v>
      </c>
      <c r="J1097" s="2" t="s">
        <v>2223</v>
      </c>
      <c r="K1097" s="2" t="s">
        <v>320</v>
      </c>
      <c r="L1097" s="2" t="s">
        <v>1879</v>
      </c>
      <c r="M1097" s="3">
        <v>1</v>
      </c>
      <c r="N1097" s="3">
        <v>2</v>
      </c>
      <c r="P1097" s="2" t="s">
        <v>2224</v>
      </c>
    </row>
    <row r="1098" spans="1:16" ht="13">
      <c r="A1098" s="2" t="s">
        <v>4</v>
      </c>
      <c r="B1098" s="2" t="str">
        <f t="shared" si="17"/>
        <v>23-24 Academic Year</v>
      </c>
      <c r="C1098" s="2">
        <v>7</v>
      </c>
      <c r="D1098" s="2" t="s">
        <v>3717</v>
      </c>
      <c r="E1098" s="10">
        <v>45325</v>
      </c>
      <c r="F1098" s="2" t="s">
        <v>2225</v>
      </c>
      <c r="G1098" s="2" t="s">
        <v>2226</v>
      </c>
      <c r="H1098" s="2" t="s">
        <v>6</v>
      </c>
      <c r="I1098" s="2" t="s">
        <v>699</v>
      </c>
      <c r="J1098" s="2" t="s">
        <v>2227</v>
      </c>
      <c r="K1098" s="2" t="s">
        <v>371</v>
      </c>
      <c r="L1098" s="2" t="s">
        <v>372</v>
      </c>
      <c r="M1098" s="3">
        <v>1</v>
      </c>
      <c r="N1098" s="3">
        <v>2</v>
      </c>
      <c r="P1098" s="2" t="s">
        <v>2228</v>
      </c>
    </row>
    <row r="1099" spans="1:16" ht="13">
      <c r="A1099" s="2" t="s">
        <v>4</v>
      </c>
      <c r="B1099" s="2" t="str">
        <f t="shared" si="17"/>
        <v>23-24 Academic Year</v>
      </c>
      <c r="C1099" s="2">
        <v>7</v>
      </c>
      <c r="D1099" s="2" t="s">
        <v>3717</v>
      </c>
      <c r="E1099" s="10">
        <v>45325</v>
      </c>
      <c r="F1099" s="2" t="s">
        <v>2225</v>
      </c>
      <c r="G1099" s="2" t="s">
        <v>2226</v>
      </c>
      <c r="H1099" s="2" t="s">
        <v>6</v>
      </c>
      <c r="I1099" s="2" t="s">
        <v>699</v>
      </c>
      <c r="J1099" s="2" t="s">
        <v>2229</v>
      </c>
      <c r="K1099" s="2" t="s">
        <v>2230</v>
      </c>
      <c r="L1099" s="2" t="s">
        <v>2231</v>
      </c>
      <c r="M1099" s="3">
        <v>1</v>
      </c>
      <c r="N1099" s="3">
        <v>1</v>
      </c>
      <c r="P1099" s="2" t="s">
        <v>2232</v>
      </c>
    </row>
    <row r="1100" spans="1:16" ht="13">
      <c r="A1100" s="2" t="s">
        <v>4</v>
      </c>
      <c r="B1100" s="2" t="str">
        <f t="shared" si="17"/>
        <v>23-24 Academic Year</v>
      </c>
      <c r="C1100" s="2">
        <v>7</v>
      </c>
      <c r="D1100" s="2" t="s">
        <v>3717</v>
      </c>
      <c r="E1100" s="10">
        <v>45325</v>
      </c>
      <c r="F1100" s="2" t="s">
        <v>2225</v>
      </c>
      <c r="G1100" s="2" t="s">
        <v>2226</v>
      </c>
      <c r="H1100" s="2" t="s">
        <v>6</v>
      </c>
      <c r="I1100" s="2" t="s">
        <v>699</v>
      </c>
      <c r="J1100" s="2" t="s">
        <v>2233</v>
      </c>
      <c r="K1100" s="2" t="s">
        <v>489</v>
      </c>
      <c r="L1100" s="2" t="s">
        <v>4790</v>
      </c>
      <c r="M1100" s="3">
        <v>1</v>
      </c>
      <c r="N1100" s="3">
        <v>2</v>
      </c>
      <c r="P1100" s="2" t="s">
        <v>2234</v>
      </c>
    </row>
    <row r="1101" spans="1:16" ht="13">
      <c r="A1101" s="2" t="s">
        <v>4</v>
      </c>
      <c r="B1101" s="2" t="str">
        <f t="shared" si="17"/>
        <v>23-24 Academic Year</v>
      </c>
      <c r="C1101" s="2">
        <v>7</v>
      </c>
      <c r="D1101" s="2" t="s">
        <v>3717</v>
      </c>
      <c r="E1101" s="10">
        <v>45325</v>
      </c>
      <c r="F1101" s="2" t="s">
        <v>2225</v>
      </c>
      <c r="G1101" s="2" t="s">
        <v>2226</v>
      </c>
      <c r="H1101" s="2" t="s">
        <v>6</v>
      </c>
      <c r="I1101" s="2" t="s">
        <v>699</v>
      </c>
      <c r="J1101" s="2" t="s">
        <v>2235</v>
      </c>
      <c r="K1101" s="2" t="s">
        <v>2236</v>
      </c>
      <c r="L1101" s="2" t="s">
        <v>2237</v>
      </c>
      <c r="M1101" s="3">
        <v>1</v>
      </c>
      <c r="N1101" s="3">
        <v>2</v>
      </c>
      <c r="P1101" s="2" t="s">
        <v>2238</v>
      </c>
    </row>
    <row r="1102" spans="1:16" ht="13">
      <c r="A1102" s="2" t="s">
        <v>4</v>
      </c>
      <c r="B1102" s="2" t="str">
        <f t="shared" si="17"/>
        <v>23-24 Academic Year</v>
      </c>
      <c r="C1102" s="2">
        <v>8</v>
      </c>
      <c r="D1102" s="2" t="s">
        <v>2256</v>
      </c>
      <c r="E1102" s="10">
        <v>45327</v>
      </c>
      <c r="F1102" s="2" t="s">
        <v>2239</v>
      </c>
      <c r="G1102" s="2" t="s">
        <v>2240</v>
      </c>
      <c r="H1102" s="2" t="s">
        <v>6</v>
      </c>
      <c r="I1102" s="2" t="s">
        <v>593</v>
      </c>
      <c r="J1102" s="2" t="s">
        <v>2241</v>
      </c>
      <c r="K1102" s="2" t="s">
        <v>2242</v>
      </c>
      <c r="L1102" s="2" t="s">
        <v>2243</v>
      </c>
      <c r="M1102" s="3">
        <v>1</v>
      </c>
      <c r="N1102" s="3">
        <v>1</v>
      </c>
      <c r="P1102" s="2" t="s">
        <v>2244</v>
      </c>
    </row>
    <row r="1103" spans="1:16" ht="13">
      <c r="A1103" s="2" t="s">
        <v>4</v>
      </c>
      <c r="B1103" s="2" t="str">
        <f t="shared" si="17"/>
        <v>23-24 Academic Year</v>
      </c>
      <c r="C1103" s="2">
        <v>8</v>
      </c>
      <c r="D1103" s="2" t="s">
        <v>2256</v>
      </c>
      <c r="E1103" s="10">
        <v>45327</v>
      </c>
      <c r="F1103" s="2" t="s">
        <v>2239</v>
      </c>
      <c r="G1103" s="2" t="s">
        <v>2240</v>
      </c>
      <c r="H1103" s="2" t="s">
        <v>6</v>
      </c>
      <c r="I1103" s="2" t="s">
        <v>593</v>
      </c>
      <c r="J1103" s="2" t="s">
        <v>2245</v>
      </c>
      <c r="K1103" s="2" t="s">
        <v>2246</v>
      </c>
      <c r="L1103" s="2" t="s">
        <v>2247</v>
      </c>
      <c r="M1103" s="3">
        <v>4</v>
      </c>
      <c r="N1103" s="3">
        <v>1</v>
      </c>
      <c r="P1103" s="2" t="s">
        <v>2248</v>
      </c>
    </row>
    <row r="1104" spans="1:16" ht="13">
      <c r="A1104" s="2" t="s">
        <v>4</v>
      </c>
      <c r="B1104" s="2" t="str">
        <f t="shared" si="17"/>
        <v>23-24 Academic Year</v>
      </c>
      <c r="C1104" s="2">
        <v>8</v>
      </c>
      <c r="D1104" s="2" t="s">
        <v>2256</v>
      </c>
      <c r="E1104" s="10">
        <v>45327</v>
      </c>
      <c r="F1104" s="2" t="s">
        <v>2239</v>
      </c>
      <c r="G1104" s="2" t="s">
        <v>2240</v>
      </c>
      <c r="H1104" s="2" t="s">
        <v>6</v>
      </c>
      <c r="I1104" s="2" t="s">
        <v>593</v>
      </c>
      <c r="J1104" s="2" t="s">
        <v>2249</v>
      </c>
      <c r="K1104" s="2" t="s">
        <v>2250</v>
      </c>
      <c r="L1104" s="2" t="s">
        <v>5028</v>
      </c>
      <c r="M1104" s="3">
        <v>2</v>
      </c>
      <c r="N1104" s="3">
        <v>1</v>
      </c>
      <c r="P1104" s="2" t="s">
        <v>2251</v>
      </c>
    </row>
    <row r="1105" spans="1:16" ht="13">
      <c r="A1105" s="2" t="s">
        <v>4</v>
      </c>
      <c r="B1105" s="2" t="str">
        <f t="shared" si="17"/>
        <v>23-24 Academic Year</v>
      </c>
      <c r="C1105" s="2">
        <v>8</v>
      </c>
      <c r="D1105" s="2" t="s">
        <v>2256</v>
      </c>
      <c r="E1105" s="10">
        <v>45327</v>
      </c>
      <c r="F1105" s="2" t="s">
        <v>2239</v>
      </c>
      <c r="G1105" s="2" t="s">
        <v>2240</v>
      </c>
      <c r="H1105" s="2" t="s">
        <v>6</v>
      </c>
      <c r="I1105" s="2" t="s">
        <v>593</v>
      </c>
      <c r="J1105" s="2" t="s">
        <v>2252</v>
      </c>
      <c r="K1105" s="2" t="s">
        <v>2253</v>
      </c>
      <c r="L1105" s="2" t="s">
        <v>5029</v>
      </c>
      <c r="M1105" s="3">
        <v>1</v>
      </c>
      <c r="N1105" s="3">
        <v>1</v>
      </c>
      <c r="P1105" s="2" t="s">
        <v>2254</v>
      </c>
    </row>
    <row r="1106" spans="1:16" ht="13">
      <c r="A1106" s="2" t="s">
        <v>4</v>
      </c>
      <c r="B1106" s="2" t="str">
        <f t="shared" si="17"/>
        <v>23-24 Academic Year</v>
      </c>
      <c r="C1106" s="2">
        <v>8</v>
      </c>
      <c r="D1106" s="2" t="s">
        <v>2256</v>
      </c>
      <c r="E1106" s="10">
        <v>45327</v>
      </c>
      <c r="F1106" s="2" t="s">
        <v>2239</v>
      </c>
      <c r="G1106" s="2" t="s">
        <v>2240</v>
      </c>
      <c r="H1106" s="2" t="s">
        <v>6</v>
      </c>
      <c r="I1106" s="2" t="s">
        <v>593</v>
      </c>
      <c r="J1106" s="2" t="s">
        <v>2255</v>
      </c>
      <c r="K1106" s="2" t="s">
        <v>2256</v>
      </c>
      <c r="L1106" s="2" t="s">
        <v>4896</v>
      </c>
      <c r="M1106" s="3">
        <v>2</v>
      </c>
      <c r="N1106" s="3">
        <v>1</v>
      </c>
      <c r="P1106" s="2" t="s">
        <v>2257</v>
      </c>
    </row>
    <row r="1107" spans="1:16" ht="13">
      <c r="A1107" s="2" t="s">
        <v>4</v>
      </c>
      <c r="B1107" s="2" t="str">
        <f t="shared" si="17"/>
        <v>23-24 Academic Year</v>
      </c>
      <c r="C1107" s="2">
        <v>8</v>
      </c>
      <c r="D1107" s="2" t="s">
        <v>2256</v>
      </c>
      <c r="E1107" s="10">
        <v>45327</v>
      </c>
      <c r="F1107" s="2" t="s">
        <v>2239</v>
      </c>
      <c r="G1107" s="2" t="s">
        <v>2240</v>
      </c>
      <c r="H1107" s="2" t="s">
        <v>6</v>
      </c>
      <c r="I1107" s="2" t="s">
        <v>593</v>
      </c>
      <c r="J1107" s="2" t="s">
        <v>2258</v>
      </c>
      <c r="K1107" s="2" t="s">
        <v>2259</v>
      </c>
      <c r="L1107" s="2" t="s">
        <v>5030</v>
      </c>
      <c r="M1107" s="3">
        <v>2</v>
      </c>
      <c r="N1107" s="3">
        <v>2</v>
      </c>
      <c r="P1107" s="2" t="s">
        <v>2260</v>
      </c>
    </row>
    <row r="1108" spans="1:16" ht="13">
      <c r="A1108" s="2" t="s">
        <v>4</v>
      </c>
      <c r="B1108" s="2" t="str">
        <f t="shared" si="17"/>
        <v>23-24 Academic Year</v>
      </c>
      <c r="C1108" s="2">
        <v>8</v>
      </c>
      <c r="D1108" s="2" t="s">
        <v>2256</v>
      </c>
      <c r="E1108" s="10">
        <v>45327</v>
      </c>
      <c r="F1108" s="2" t="s">
        <v>2239</v>
      </c>
      <c r="G1108" s="2" t="s">
        <v>2240</v>
      </c>
      <c r="H1108" s="2" t="s">
        <v>6</v>
      </c>
      <c r="I1108" s="2" t="s">
        <v>593</v>
      </c>
      <c r="J1108" s="2" t="s">
        <v>2261</v>
      </c>
      <c r="K1108" s="2" t="s">
        <v>2262</v>
      </c>
      <c r="L1108" s="2" t="s">
        <v>5031</v>
      </c>
      <c r="M1108" s="3">
        <v>3</v>
      </c>
      <c r="N1108" s="3">
        <v>1</v>
      </c>
      <c r="P1108" s="2" t="s">
        <v>2263</v>
      </c>
    </row>
    <row r="1109" spans="1:16" ht="13">
      <c r="A1109" s="2" t="s">
        <v>4</v>
      </c>
      <c r="B1109" s="2" t="str">
        <f t="shared" si="17"/>
        <v>23-24 Academic Year</v>
      </c>
      <c r="C1109" s="2">
        <v>8</v>
      </c>
      <c r="D1109" s="2" t="s">
        <v>2256</v>
      </c>
      <c r="E1109" s="10">
        <v>45327</v>
      </c>
      <c r="F1109" s="2" t="s">
        <v>2239</v>
      </c>
      <c r="G1109" s="2" t="s">
        <v>2240</v>
      </c>
      <c r="H1109" s="2" t="s">
        <v>6</v>
      </c>
      <c r="I1109" s="2" t="s">
        <v>593</v>
      </c>
      <c r="J1109" s="2" t="s">
        <v>2264</v>
      </c>
      <c r="K1109" s="2" t="s">
        <v>700</v>
      </c>
      <c r="L1109" s="2" t="s">
        <v>1283</v>
      </c>
      <c r="M1109" s="3">
        <v>3</v>
      </c>
      <c r="N1109" s="3">
        <v>2</v>
      </c>
      <c r="P1109" s="2" t="s">
        <v>2265</v>
      </c>
    </row>
    <row r="1110" spans="1:16" ht="13">
      <c r="A1110" s="2" t="s">
        <v>4</v>
      </c>
      <c r="B1110" s="2" t="str">
        <f t="shared" si="17"/>
        <v>23-24 Academic Year</v>
      </c>
      <c r="C1110" s="2">
        <v>9</v>
      </c>
      <c r="D1110" s="2" t="s">
        <v>638</v>
      </c>
      <c r="E1110" s="10">
        <v>45332</v>
      </c>
      <c r="F1110" s="2" t="s">
        <v>2266</v>
      </c>
      <c r="G1110" s="2" t="s">
        <v>2184</v>
      </c>
      <c r="H1110" s="2" t="s">
        <v>7</v>
      </c>
      <c r="I1110" s="2" t="s">
        <v>638</v>
      </c>
      <c r="J1110" s="2" t="s">
        <v>2267</v>
      </c>
      <c r="K1110" s="2" t="s">
        <v>2268</v>
      </c>
      <c r="L1110" s="2" t="s">
        <v>2269</v>
      </c>
      <c r="M1110" s="3">
        <v>3</v>
      </c>
      <c r="N1110" s="3">
        <v>1</v>
      </c>
      <c r="P1110" s="2" t="s">
        <v>2270</v>
      </c>
    </row>
    <row r="1111" spans="1:16" ht="13">
      <c r="A1111" s="2" t="s">
        <v>4</v>
      </c>
      <c r="B1111" s="2" t="str">
        <f t="shared" si="17"/>
        <v>23-24 Academic Year</v>
      </c>
      <c r="C1111" s="2">
        <v>9</v>
      </c>
      <c r="D1111" s="2" t="s">
        <v>638</v>
      </c>
      <c r="E1111" s="10">
        <v>45332</v>
      </c>
      <c r="F1111" s="2" t="s">
        <v>2266</v>
      </c>
      <c r="G1111" s="2" t="s">
        <v>2184</v>
      </c>
      <c r="H1111" s="2" t="s">
        <v>7</v>
      </c>
      <c r="I1111" s="2" t="s">
        <v>638</v>
      </c>
      <c r="J1111" s="2" t="s">
        <v>2271</v>
      </c>
      <c r="K1111" s="2" t="s">
        <v>2272</v>
      </c>
      <c r="L1111" s="2" t="s">
        <v>2387</v>
      </c>
      <c r="M1111" s="3">
        <v>4</v>
      </c>
      <c r="N1111" s="3">
        <v>1</v>
      </c>
      <c r="P1111" s="2" t="s">
        <v>2273</v>
      </c>
    </row>
    <row r="1112" spans="1:16" ht="13">
      <c r="A1112" s="2" t="s">
        <v>4</v>
      </c>
      <c r="B1112" s="2" t="str">
        <f t="shared" si="17"/>
        <v>23-24 Academic Year</v>
      </c>
      <c r="C1112" s="2">
        <v>9</v>
      </c>
      <c r="D1112" s="2" t="s">
        <v>638</v>
      </c>
      <c r="E1112" s="10">
        <v>45332</v>
      </c>
      <c r="F1112" s="2" t="s">
        <v>2266</v>
      </c>
      <c r="G1112" s="2" t="s">
        <v>2184</v>
      </c>
      <c r="H1112" s="2" t="s">
        <v>7</v>
      </c>
      <c r="I1112" s="2" t="s">
        <v>638</v>
      </c>
      <c r="J1112" s="2" t="s">
        <v>2274</v>
      </c>
      <c r="K1112" s="2" t="s">
        <v>1382</v>
      </c>
      <c r="L1112" s="2" t="s">
        <v>995</v>
      </c>
      <c r="M1112" s="3">
        <v>3</v>
      </c>
      <c r="N1112" s="3">
        <v>2</v>
      </c>
      <c r="P1112" s="2" t="s">
        <v>2275</v>
      </c>
    </row>
    <row r="1113" spans="1:16" ht="13">
      <c r="A1113" s="2" t="s">
        <v>4</v>
      </c>
      <c r="B1113" s="2" t="str">
        <f t="shared" si="17"/>
        <v>23-24 Academic Year</v>
      </c>
      <c r="C1113" s="2">
        <v>10</v>
      </c>
      <c r="D1113" s="2" t="s">
        <v>5032</v>
      </c>
      <c r="E1113" s="10">
        <v>45333</v>
      </c>
      <c r="F1113" s="2" t="s">
        <v>2321</v>
      </c>
      <c r="G1113" s="2" t="s">
        <v>2170</v>
      </c>
      <c r="H1113" s="2" t="s">
        <v>6</v>
      </c>
      <c r="I1113" s="2" t="s">
        <v>932</v>
      </c>
      <c r="J1113" s="2" t="s">
        <v>2322</v>
      </c>
      <c r="K1113" s="2" t="s">
        <v>324</v>
      </c>
      <c r="L1113" s="2" t="s">
        <v>4742</v>
      </c>
      <c r="M1113" s="3">
        <v>1</v>
      </c>
      <c r="N1113" s="3">
        <v>1</v>
      </c>
      <c r="P1113" s="2" t="s">
        <v>2323</v>
      </c>
    </row>
    <row r="1114" spans="1:16" ht="13">
      <c r="A1114" s="2" t="s">
        <v>4</v>
      </c>
      <c r="B1114" s="2" t="str">
        <f t="shared" si="17"/>
        <v>23-24 Academic Year</v>
      </c>
      <c r="C1114" s="2">
        <v>10</v>
      </c>
      <c r="D1114" s="2" t="s">
        <v>5032</v>
      </c>
      <c r="E1114" s="10">
        <v>45333</v>
      </c>
      <c r="F1114" s="2" t="s">
        <v>2321</v>
      </c>
      <c r="G1114" s="2" t="s">
        <v>2170</v>
      </c>
      <c r="H1114" s="2" t="s">
        <v>6</v>
      </c>
      <c r="I1114" s="2" t="s">
        <v>932</v>
      </c>
      <c r="J1114" s="2" t="s">
        <v>2324</v>
      </c>
      <c r="K1114" s="2" t="s">
        <v>2325</v>
      </c>
      <c r="L1114" s="2" t="s">
        <v>5033</v>
      </c>
      <c r="M1114" s="3">
        <v>1</v>
      </c>
      <c r="N1114" s="3">
        <v>2</v>
      </c>
      <c r="P1114" s="2" t="s">
        <v>2326</v>
      </c>
    </row>
    <row r="1115" spans="1:16" ht="13">
      <c r="A1115" s="2" t="s">
        <v>4</v>
      </c>
      <c r="B1115" s="2" t="str">
        <f t="shared" si="17"/>
        <v>23-24 Academic Year</v>
      </c>
      <c r="C1115" s="2">
        <v>10</v>
      </c>
      <c r="D1115" s="2" t="s">
        <v>5032</v>
      </c>
      <c r="E1115" s="10">
        <v>45333</v>
      </c>
      <c r="F1115" s="2" t="s">
        <v>2321</v>
      </c>
      <c r="G1115" s="2" t="s">
        <v>2170</v>
      </c>
      <c r="H1115" s="2" t="s">
        <v>6</v>
      </c>
      <c r="I1115" s="2" t="s">
        <v>932</v>
      </c>
      <c r="J1115" s="2" t="s">
        <v>2327</v>
      </c>
      <c r="K1115" s="2" t="s">
        <v>2328</v>
      </c>
      <c r="L1115" s="2" t="s">
        <v>5034</v>
      </c>
      <c r="M1115" s="3">
        <v>1</v>
      </c>
      <c r="N1115" s="3">
        <v>1</v>
      </c>
      <c r="P1115" s="2" t="s">
        <v>2329</v>
      </c>
    </row>
    <row r="1116" spans="1:16" ht="13">
      <c r="A1116" s="2" t="s">
        <v>4</v>
      </c>
      <c r="B1116" s="2" t="str">
        <f t="shared" si="17"/>
        <v>23-24 Academic Year</v>
      </c>
      <c r="C1116" s="2">
        <v>10</v>
      </c>
      <c r="D1116" s="2" t="s">
        <v>5032</v>
      </c>
      <c r="E1116" s="10">
        <v>45333</v>
      </c>
      <c r="F1116" s="2" t="s">
        <v>2321</v>
      </c>
      <c r="G1116" s="2" t="s">
        <v>2170</v>
      </c>
      <c r="H1116" s="2" t="s">
        <v>6</v>
      </c>
      <c r="I1116" s="2" t="s">
        <v>932</v>
      </c>
      <c r="J1116" s="2" t="s">
        <v>2330</v>
      </c>
      <c r="K1116" s="2" t="s">
        <v>1819</v>
      </c>
      <c r="L1116" s="2" t="s">
        <v>1820</v>
      </c>
      <c r="M1116" s="3">
        <v>4</v>
      </c>
      <c r="N1116" s="3">
        <v>1</v>
      </c>
      <c r="P1116" s="2" t="s">
        <v>2331</v>
      </c>
    </row>
    <row r="1117" spans="1:16" ht="13">
      <c r="A1117" s="2" t="s">
        <v>4</v>
      </c>
      <c r="B1117" s="2" t="str">
        <f t="shared" si="17"/>
        <v>23-24 Academic Year</v>
      </c>
      <c r="C1117" s="2">
        <v>10</v>
      </c>
      <c r="D1117" s="2" t="s">
        <v>5032</v>
      </c>
      <c r="E1117" s="10">
        <v>45333</v>
      </c>
      <c r="F1117" s="2" t="s">
        <v>2321</v>
      </c>
      <c r="G1117" s="2" t="s">
        <v>2170</v>
      </c>
      <c r="H1117" s="2" t="s">
        <v>6</v>
      </c>
      <c r="I1117" s="2" t="s">
        <v>932</v>
      </c>
      <c r="J1117" s="2" t="s">
        <v>2332</v>
      </c>
      <c r="K1117" s="2" t="s">
        <v>2333</v>
      </c>
      <c r="L1117" s="2" t="s">
        <v>5035</v>
      </c>
      <c r="M1117" s="3">
        <v>1</v>
      </c>
      <c r="N1117" s="3">
        <v>1</v>
      </c>
      <c r="P1117" s="2" t="s">
        <v>2334</v>
      </c>
    </row>
    <row r="1118" spans="1:16" ht="13">
      <c r="A1118" s="2" t="s">
        <v>4</v>
      </c>
      <c r="B1118" s="2" t="str">
        <f t="shared" si="17"/>
        <v>23-24 Academic Year</v>
      </c>
      <c r="C1118" s="2">
        <v>10</v>
      </c>
      <c r="D1118" s="2" t="s">
        <v>5032</v>
      </c>
      <c r="E1118" s="10">
        <v>45333</v>
      </c>
      <c r="F1118" s="2" t="s">
        <v>2321</v>
      </c>
      <c r="G1118" s="2" t="s">
        <v>2170</v>
      </c>
      <c r="H1118" s="2" t="s">
        <v>6</v>
      </c>
      <c r="I1118" s="2" t="s">
        <v>932</v>
      </c>
      <c r="J1118" s="2" t="s">
        <v>2335</v>
      </c>
      <c r="K1118" s="2" t="s">
        <v>2336</v>
      </c>
      <c r="L1118" s="2" t="s">
        <v>5036</v>
      </c>
      <c r="M1118" s="3">
        <v>3</v>
      </c>
      <c r="N1118" s="3">
        <v>1</v>
      </c>
      <c r="P1118" s="2" t="s">
        <v>2337</v>
      </c>
    </row>
    <row r="1119" spans="1:16" ht="13">
      <c r="A1119" s="2" t="s">
        <v>4</v>
      </c>
      <c r="B1119" s="2" t="str">
        <f t="shared" si="17"/>
        <v>23-24 Academic Year</v>
      </c>
      <c r="C1119" s="2">
        <v>11</v>
      </c>
      <c r="D1119" s="2" t="s">
        <v>5037</v>
      </c>
      <c r="E1119" s="10">
        <v>45333</v>
      </c>
      <c r="F1119" s="2" t="s">
        <v>2290</v>
      </c>
      <c r="G1119" s="2" t="s">
        <v>2170</v>
      </c>
      <c r="H1119" s="2" t="s">
        <v>6</v>
      </c>
      <c r="I1119" s="2" t="s">
        <v>1073</v>
      </c>
      <c r="J1119" s="2" t="s">
        <v>2291</v>
      </c>
      <c r="K1119" s="2" t="s">
        <v>2292</v>
      </c>
      <c r="L1119" s="2" t="s">
        <v>5038</v>
      </c>
      <c r="M1119" s="3">
        <v>2</v>
      </c>
      <c r="N1119" s="3">
        <v>1</v>
      </c>
      <c r="P1119" s="2" t="s">
        <v>2293</v>
      </c>
    </row>
    <row r="1120" spans="1:16" ht="13">
      <c r="A1120" s="2" t="s">
        <v>4</v>
      </c>
      <c r="B1120" s="2" t="str">
        <f t="shared" si="17"/>
        <v>23-24 Academic Year</v>
      </c>
      <c r="C1120" s="2">
        <v>11</v>
      </c>
      <c r="D1120" s="2" t="s">
        <v>5037</v>
      </c>
      <c r="E1120" s="10">
        <v>45333</v>
      </c>
      <c r="F1120" s="2" t="s">
        <v>2290</v>
      </c>
      <c r="G1120" s="2" t="s">
        <v>2170</v>
      </c>
      <c r="H1120" s="2" t="s">
        <v>6</v>
      </c>
      <c r="I1120" s="2" t="s">
        <v>1073</v>
      </c>
      <c r="J1120" s="2" t="s">
        <v>2294</v>
      </c>
      <c r="K1120" s="2" t="s">
        <v>2123</v>
      </c>
      <c r="L1120" s="2" t="s">
        <v>1082</v>
      </c>
      <c r="M1120" s="3"/>
      <c r="N1120" s="3"/>
      <c r="P1120" s="2" t="s">
        <v>2295</v>
      </c>
    </row>
    <row r="1121" spans="1:16" ht="13">
      <c r="A1121" s="2" t="s">
        <v>4</v>
      </c>
      <c r="B1121" s="2" t="str">
        <f t="shared" si="17"/>
        <v>23-24 Academic Year</v>
      </c>
      <c r="C1121" s="2">
        <v>11</v>
      </c>
      <c r="D1121" s="2" t="s">
        <v>5037</v>
      </c>
      <c r="E1121" s="10">
        <v>45333</v>
      </c>
      <c r="F1121" s="2" t="s">
        <v>2290</v>
      </c>
      <c r="G1121" s="2" t="s">
        <v>2170</v>
      </c>
      <c r="H1121" s="2" t="s">
        <v>6</v>
      </c>
      <c r="I1121" s="2" t="s">
        <v>1073</v>
      </c>
      <c r="J1121" s="2" t="s">
        <v>2296</v>
      </c>
      <c r="K1121" s="2" t="s">
        <v>2297</v>
      </c>
      <c r="L1121" s="2" t="s">
        <v>2298</v>
      </c>
      <c r="M1121" s="3">
        <v>1</v>
      </c>
      <c r="N1121" s="3">
        <v>2</v>
      </c>
      <c r="P1121" s="2" t="s">
        <v>2299</v>
      </c>
    </row>
    <row r="1122" spans="1:16" ht="13">
      <c r="A1122" s="2" t="s">
        <v>4</v>
      </c>
      <c r="B1122" s="2" t="str">
        <f t="shared" si="17"/>
        <v>23-24 Academic Year</v>
      </c>
      <c r="C1122" s="2">
        <v>11</v>
      </c>
      <c r="D1122" s="2" t="s">
        <v>5037</v>
      </c>
      <c r="E1122" s="10">
        <v>45333</v>
      </c>
      <c r="F1122" s="2" t="s">
        <v>2290</v>
      </c>
      <c r="G1122" s="2" t="s">
        <v>2170</v>
      </c>
      <c r="H1122" s="2" t="s">
        <v>6</v>
      </c>
      <c r="I1122" s="2" t="s">
        <v>1073</v>
      </c>
      <c r="J1122" s="2" t="s">
        <v>2300</v>
      </c>
      <c r="K1122" s="2" t="s">
        <v>2301</v>
      </c>
      <c r="L1122" s="2" t="s">
        <v>3363</v>
      </c>
      <c r="M1122" s="3">
        <v>1</v>
      </c>
      <c r="N1122" s="3">
        <v>2</v>
      </c>
      <c r="P1122" s="2" t="s">
        <v>2302</v>
      </c>
    </row>
    <row r="1123" spans="1:16" ht="13">
      <c r="A1123" s="2" t="s">
        <v>4</v>
      </c>
      <c r="B1123" s="2" t="str">
        <f t="shared" si="17"/>
        <v>23-24 Academic Year</v>
      </c>
      <c r="C1123" s="2">
        <v>11</v>
      </c>
      <c r="D1123" s="2" t="s">
        <v>5037</v>
      </c>
      <c r="E1123" s="10">
        <v>45333</v>
      </c>
      <c r="F1123" s="2" t="s">
        <v>2290</v>
      </c>
      <c r="G1123" s="2" t="s">
        <v>2170</v>
      </c>
      <c r="H1123" s="2" t="s">
        <v>6</v>
      </c>
      <c r="I1123" s="2" t="s">
        <v>1073</v>
      </c>
      <c r="J1123" s="2" t="s">
        <v>2303</v>
      </c>
      <c r="K1123" s="2" t="s">
        <v>1215</v>
      </c>
      <c r="L1123" s="2" t="s">
        <v>3351</v>
      </c>
      <c r="M1123" s="3">
        <v>1</v>
      </c>
      <c r="N1123" s="3">
        <v>2</v>
      </c>
      <c r="P1123" s="2" t="s">
        <v>2304</v>
      </c>
    </row>
    <row r="1124" spans="1:16" ht="13">
      <c r="A1124" s="2" t="s">
        <v>4</v>
      </c>
      <c r="B1124" s="2" t="str">
        <f t="shared" si="17"/>
        <v>23-24 Academic Year</v>
      </c>
      <c r="C1124" s="2">
        <v>11</v>
      </c>
      <c r="D1124" s="2" t="s">
        <v>5037</v>
      </c>
      <c r="E1124" s="10">
        <v>45333</v>
      </c>
      <c r="F1124" s="2" t="s">
        <v>2290</v>
      </c>
      <c r="G1124" s="2" t="s">
        <v>2170</v>
      </c>
      <c r="H1124" s="2" t="s">
        <v>6</v>
      </c>
      <c r="I1124" s="2" t="s">
        <v>1073</v>
      </c>
      <c r="J1124" s="2" t="s">
        <v>2305</v>
      </c>
      <c r="K1124" s="2" t="s">
        <v>2306</v>
      </c>
      <c r="L1124" s="2" t="s">
        <v>5039</v>
      </c>
      <c r="M1124" s="3">
        <v>1</v>
      </c>
      <c r="N1124" s="3">
        <v>2</v>
      </c>
      <c r="P1124" s="2" t="s">
        <v>2307</v>
      </c>
    </row>
    <row r="1125" spans="1:16" ht="13">
      <c r="A1125" s="2" t="s">
        <v>4</v>
      </c>
      <c r="B1125" s="2" t="str">
        <f t="shared" si="17"/>
        <v>23-24 Academic Year</v>
      </c>
      <c r="C1125" s="2">
        <v>11</v>
      </c>
      <c r="D1125" s="2" t="s">
        <v>5037</v>
      </c>
      <c r="E1125" s="10">
        <v>45333</v>
      </c>
      <c r="F1125" s="2" t="s">
        <v>2290</v>
      </c>
      <c r="G1125" s="2" t="s">
        <v>2170</v>
      </c>
      <c r="H1125" s="2" t="s">
        <v>6</v>
      </c>
      <c r="I1125" s="2" t="s">
        <v>1073</v>
      </c>
      <c r="J1125" s="2" t="s">
        <v>2308</v>
      </c>
      <c r="K1125" s="2" t="s">
        <v>2309</v>
      </c>
      <c r="L1125" s="2" t="s">
        <v>2310</v>
      </c>
      <c r="M1125" s="3">
        <v>1</v>
      </c>
      <c r="N1125" s="3">
        <v>2</v>
      </c>
      <c r="P1125" s="2" t="s">
        <v>2311</v>
      </c>
    </row>
    <row r="1126" spans="1:16" ht="13">
      <c r="A1126" s="2" t="s">
        <v>4</v>
      </c>
      <c r="B1126" s="2" t="str">
        <f t="shared" si="17"/>
        <v>23-24 Academic Year</v>
      </c>
      <c r="C1126" s="2">
        <v>11</v>
      </c>
      <c r="D1126" s="2" t="s">
        <v>5037</v>
      </c>
      <c r="E1126" s="10">
        <v>45333</v>
      </c>
      <c r="F1126" s="2" t="s">
        <v>2290</v>
      </c>
      <c r="G1126" s="2" t="s">
        <v>2170</v>
      </c>
      <c r="H1126" s="2" t="s">
        <v>6</v>
      </c>
      <c r="I1126" s="2" t="s">
        <v>1073</v>
      </c>
      <c r="J1126" s="2" t="s">
        <v>2312</v>
      </c>
      <c r="K1126" s="2" t="s">
        <v>774</v>
      </c>
      <c r="L1126" s="2" t="s">
        <v>1117</v>
      </c>
      <c r="M1126" s="3">
        <v>1</v>
      </c>
      <c r="N1126" s="3">
        <v>2</v>
      </c>
      <c r="P1126" s="2" t="s">
        <v>2313</v>
      </c>
    </row>
    <row r="1127" spans="1:16" ht="13">
      <c r="A1127" s="2" t="s">
        <v>4</v>
      </c>
      <c r="B1127" s="2" t="str">
        <f t="shared" si="17"/>
        <v>23-24 Academic Year</v>
      </c>
      <c r="C1127" s="2">
        <v>11</v>
      </c>
      <c r="D1127" s="2" t="s">
        <v>5037</v>
      </c>
      <c r="E1127" s="10">
        <v>45333</v>
      </c>
      <c r="F1127" s="2" t="s">
        <v>2290</v>
      </c>
      <c r="G1127" s="2" t="s">
        <v>2170</v>
      </c>
      <c r="H1127" s="2" t="s">
        <v>6</v>
      </c>
      <c r="I1127" s="2" t="s">
        <v>1073</v>
      </c>
      <c r="J1127" s="2" t="s">
        <v>2314</v>
      </c>
      <c r="K1127" s="2" t="s">
        <v>2315</v>
      </c>
      <c r="L1127" s="2" t="s">
        <v>2316</v>
      </c>
      <c r="M1127" s="3">
        <v>1</v>
      </c>
      <c r="N1127" s="3">
        <v>2</v>
      </c>
      <c r="P1127" s="2" t="s">
        <v>2317</v>
      </c>
    </row>
    <row r="1128" spans="1:16" ht="13">
      <c r="A1128" s="2" t="s">
        <v>4</v>
      </c>
      <c r="B1128" s="2" t="str">
        <f t="shared" si="17"/>
        <v>23-24 Academic Year</v>
      </c>
      <c r="C1128" s="2">
        <v>11</v>
      </c>
      <c r="D1128" s="2" t="s">
        <v>5037</v>
      </c>
      <c r="E1128" s="10">
        <v>45333</v>
      </c>
      <c r="F1128" s="2" t="s">
        <v>2290</v>
      </c>
      <c r="G1128" s="2" t="s">
        <v>2170</v>
      </c>
      <c r="H1128" s="2" t="s">
        <v>6</v>
      </c>
      <c r="I1128" s="2" t="s">
        <v>1073</v>
      </c>
      <c r="J1128" s="2" t="s">
        <v>2318</v>
      </c>
      <c r="K1128" s="2" t="s">
        <v>2319</v>
      </c>
      <c r="L1128" s="2" t="s">
        <v>5040</v>
      </c>
      <c r="M1128" s="3">
        <v>1</v>
      </c>
      <c r="N1128" s="3">
        <v>2</v>
      </c>
      <c r="P1128" s="2" t="s">
        <v>2320</v>
      </c>
    </row>
    <row r="1129" spans="1:16" ht="13">
      <c r="A1129" s="2" t="s">
        <v>4</v>
      </c>
      <c r="B1129" s="2" t="str">
        <f t="shared" si="17"/>
        <v>23-24 Academic Year</v>
      </c>
      <c r="C1129" s="2">
        <v>12</v>
      </c>
      <c r="D1129" s="2" t="s">
        <v>3303</v>
      </c>
      <c r="E1129" s="10">
        <v>45333</v>
      </c>
      <c r="F1129" s="2" t="s">
        <v>2276</v>
      </c>
      <c r="G1129" s="2" t="s">
        <v>2226</v>
      </c>
      <c r="H1129" s="2" t="s">
        <v>6</v>
      </c>
      <c r="I1129" s="2" t="s">
        <v>1115</v>
      </c>
      <c r="J1129" s="2" t="s">
        <v>2277</v>
      </c>
      <c r="K1129" s="2" t="s">
        <v>2278</v>
      </c>
      <c r="L1129" s="2" t="s">
        <v>622</v>
      </c>
      <c r="M1129" s="3">
        <v>1</v>
      </c>
      <c r="N1129" s="3">
        <v>2</v>
      </c>
      <c r="P1129" s="2" t="s">
        <v>2279</v>
      </c>
    </row>
    <row r="1130" spans="1:16" ht="13">
      <c r="A1130" s="2" t="s">
        <v>4</v>
      </c>
      <c r="B1130" s="2" t="str">
        <f t="shared" si="17"/>
        <v>23-24 Academic Year</v>
      </c>
      <c r="C1130" s="2">
        <v>12</v>
      </c>
      <c r="D1130" s="2" t="s">
        <v>3303</v>
      </c>
      <c r="E1130" s="10">
        <v>45333</v>
      </c>
      <c r="F1130" s="2" t="s">
        <v>2276</v>
      </c>
      <c r="G1130" s="2" t="s">
        <v>2226</v>
      </c>
      <c r="H1130" s="2" t="s">
        <v>6</v>
      </c>
      <c r="I1130" s="2" t="s">
        <v>1115</v>
      </c>
      <c r="J1130" s="2" t="s">
        <v>2280</v>
      </c>
      <c r="K1130" s="2" t="s">
        <v>2281</v>
      </c>
      <c r="L1130" s="2" t="s">
        <v>5041</v>
      </c>
      <c r="M1130" s="3">
        <v>3</v>
      </c>
      <c r="N1130" s="3">
        <v>1</v>
      </c>
      <c r="P1130" s="2" t="s">
        <v>2282</v>
      </c>
    </row>
    <row r="1131" spans="1:16" ht="13">
      <c r="A1131" s="2" t="s">
        <v>4</v>
      </c>
      <c r="B1131" s="2" t="str">
        <f t="shared" si="17"/>
        <v>23-24 Academic Year</v>
      </c>
      <c r="C1131" s="2">
        <v>12</v>
      </c>
      <c r="D1131" s="2" t="s">
        <v>3303</v>
      </c>
      <c r="E1131" s="10">
        <v>45333</v>
      </c>
      <c r="F1131" s="2" t="s">
        <v>2276</v>
      </c>
      <c r="G1131" s="2" t="s">
        <v>2226</v>
      </c>
      <c r="H1131" s="2" t="s">
        <v>6</v>
      </c>
      <c r="I1131" s="2" t="s">
        <v>1115</v>
      </c>
      <c r="J1131" s="2" t="s">
        <v>2283</v>
      </c>
      <c r="K1131" s="2" t="s">
        <v>2284</v>
      </c>
      <c r="L1131" s="2" t="s">
        <v>5042</v>
      </c>
      <c r="M1131" s="3">
        <v>3</v>
      </c>
      <c r="N1131" s="3">
        <v>1</v>
      </c>
      <c r="P1131" s="2" t="s">
        <v>2285</v>
      </c>
    </row>
    <row r="1132" spans="1:16" ht="13">
      <c r="A1132" s="2" t="s">
        <v>4</v>
      </c>
      <c r="B1132" s="2" t="str">
        <f t="shared" si="17"/>
        <v>23-24 Academic Year</v>
      </c>
      <c r="C1132" s="2">
        <v>12</v>
      </c>
      <c r="D1132" s="2" t="s">
        <v>3303</v>
      </c>
      <c r="E1132" s="10">
        <v>45333</v>
      </c>
      <c r="F1132" s="2" t="s">
        <v>2276</v>
      </c>
      <c r="G1132" s="2" t="s">
        <v>2226</v>
      </c>
      <c r="H1132" s="2" t="s">
        <v>6</v>
      </c>
      <c r="I1132" s="2" t="s">
        <v>1115</v>
      </c>
      <c r="J1132" s="2" t="s">
        <v>2286</v>
      </c>
      <c r="K1132" s="2" t="s">
        <v>2287</v>
      </c>
      <c r="L1132" s="2" t="s">
        <v>2288</v>
      </c>
      <c r="M1132" s="3">
        <v>2</v>
      </c>
      <c r="N1132" s="3">
        <v>1</v>
      </c>
      <c r="P1132" s="2" t="s">
        <v>2289</v>
      </c>
    </row>
    <row r="1133" spans="1:16" ht="13">
      <c r="A1133" s="2" t="s">
        <v>4</v>
      </c>
      <c r="B1133" s="2" t="str">
        <f t="shared" si="17"/>
        <v>23-24 Academic Year</v>
      </c>
      <c r="C1133" s="2">
        <v>13</v>
      </c>
      <c r="D1133" s="2" t="s">
        <v>2338</v>
      </c>
      <c r="E1133" s="10">
        <v>45335</v>
      </c>
      <c r="F1133" s="2" t="s">
        <v>2338</v>
      </c>
      <c r="G1133" s="2" t="s">
        <v>2339</v>
      </c>
      <c r="H1133" s="2" t="s">
        <v>6</v>
      </c>
      <c r="I1133" s="2" t="s">
        <v>2340</v>
      </c>
      <c r="J1133" s="2" t="s">
        <v>2341</v>
      </c>
      <c r="K1133" s="2" t="s">
        <v>75</v>
      </c>
      <c r="L1133" s="2" t="s">
        <v>1275</v>
      </c>
      <c r="M1133" s="3">
        <v>3</v>
      </c>
      <c r="N1133" s="3">
        <v>1</v>
      </c>
      <c r="P1133" s="2" t="s">
        <v>2342</v>
      </c>
    </row>
    <row r="1134" spans="1:16" ht="13">
      <c r="A1134" s="2" t="s">
        <v>4</v>
      </c>
      <c r="B1134" s="2" t="str">
        <f t="shared" si="17"/>
        <v>23-24 Academic Year</v>
      </c>
      <c r="C1134" s="2">
        <v>13</v>
      </c>
      <c r="D1134" s="2" t="s">
        <v>2338</v>
      </c>
      <c r="E1134" s="10">
        <v>45335</v>
      </c>
      <c r="F1134" s="2" t="s">
        <v>2338</v>
      </c>
      <c r="G1134" s="2" t="s">
        <v>2339</v>
      </c>
      <c r="H1134" s="2" t="s">
        <v>6</v>
      </c>
      <c r="I1134" s="2" t="s">
        <v>2340</v>
      </c>
      <c r="J1134" s="2" t="s">
        <v>2343</v>
      </c>
      <c r="K1134" s="2" t="s">
        <v>2344</v>
      </c>
      <c r="L1134" s="2" t="s">
        <v>2345</v>
      </c>
      <c r="M1134" s="3">
        <v>3</v>
      </c>
      <c r="N1134" s="3">
        <v>1</v>
      </c>
      <c r="P1134" s="2" t="s">
        <v>2346</v>
      </c>
    </row>
    <row r="1135" spans="1:16" ht="13">
      <c r="A1135" s="2" t="s">
        <v>4</v>
      </c>
      <c r="B1135" s="2" t="str">
        <f t="shared" si="17"/>
        <v>23-24 Academic Year</v>
      </c>
      <c r="C1135" s="2">
        <v>13</v>
      </c>
      <c r="D1135" s="2" t="s">
        <v>2338</v>
      </c>
      <c r="E1135" s="10">
        <v>45335</v>
      </c>
      <c r="F1135" s="2" t="s">
        <v>2338</v>
      </c>
      <c r="G1135" s="2" t="s">
        <v>2339</v>
      </c>
      <c r="H1135" s="2" t="s">
        <v>6</v>
      </c>
      <c r="I1135" s="2" t="s">
        <v>2340</v>
      </c>
      <c r="J1135" s="2" t="s">
        <v>2347</v>
      </c>
      <c r="K1135" s="2" t="s">
        <v>1155</v>
      </c>
      <c r="L1135" s="2" t="s">
        <v>751</v>
      </c>
      <c r="M1135" s="3">
        <v>1</v>
      </c>
      <c r="N1135" s="3">
        <v>2</v>
      </c>
      <c r="P1135" s="2" t="s">
        <v>2348</v>
      </c>
    </row>
    <row r="1136" spans="1:16" ht="13">
      <c r="A1136" s="2" t="s">
        <v>4</v>
      </c>
      <c r="B1136" s="2" t="str">
        <f t="shared" si="17"/>
        <v>23-24 Academic Year</v>
      </c>
      <c r="C1136" s="2">
        <v>13</v>
      </c>
      <c r="D1136" s="2" t="s">
        <v>2338</v>
      </c>
      <c r="E1136" s="10">
        <v>45335</v>
      </c>
      <c r="F1136" s="2" t="s">
        <v>2338</v>
      </c>
      <c r="G1136" s="2" t="s">
        <v>2339</v>
      </c>
      <c r="H1136" s="2" t="s">
        <v>6</v>
      </c>
      <c r="I1136" s="2" t="s">
        <v>2340</v>
      </c>
      <c r="J1136" s="2" t="s">
        <v>2349</v>
      </c>
      <c r="K1136" s="2" t="s">
        <v>990</v>
      </c>
      <c r="L1136" s="2" t="s">
        <v>4396</v>
      </c>
      <c r="M1136" s="3">
        <v>3</v>
      </c>
      <c r="N1136" s="3">
        <v>1</v>
      </c>
      <c r="P1136" s="2" t="s">
        <v>2350</v>
      </c>
    </row>
    <row r="1137" spans="1:16" ht="13">
      <c r="A1137" s="2" t="s">
        <v>4</v>
      </c>
      <c r="B1137" s="2" t="str">
        <f t="shared" si="17"/>
        <v>23-24 Academic Year</v>
      </c>
      <c r="C1137" s="2">
        <v>13</v>
      </c>
      <c r="D1137" s="2" t="s">
        <v>2338</v>
      </c>
      <c r="E1137" s="10">
        <v>45335</v>
      </c>
      <c r="F1137" s="2" t="s">
        <v>2338</v>
      </c>
      <c r="G1137" s="2" t="s">
        <v>2339</v>
      </c>
      <c r="H1137" s="2" t="s">
        <v>6</v>
      </c>
      <c r="I1137" s="2" t="s">
        <v>2340</v>
      </c>
      <c r="J1137" s="2" t="s">
        <v>2351</v>
      </c>
      <c r="K1137" s="2" t="s">
        <v>1103</v>
      </c>
      <c r="L1137" s="2" t="s">
        <v>1104</v>
      </c>
      <c r="M1137" s="3">
        <v>1</v>
      </c>
      <c r="N1137" s="3">
        <v>2</v>
      </c>
      <c r="P1137" s="2" t="s">
        <v>2352</v>
      </c>
    </row>
    <row r="1138" spans="1:16" ht="13">
      <c r="A1138" s="2" t="s">
        <v>4</v>
      </c>
      <c r="B1138" s="2" t="str">
        <f t="shared" si="17"/>
        <v>23-24 Academic Year</v>
      </c>
      <c r="C1138" s="2">
        <v>13</v>
      </c>
      <c r="D1138" s="2" t="s">
        <v>2338</v>
      </c>
      <c r="E1138" s="10">
        <v>45335</v>
      </c>
      <c r="F1138" s="2" t="s">
        <v>2338</v>
      </c>
      <c r="G1138" s="2" t="s">
        <v>2339</v>
      </c>
      <c r="H1138" s="2" t="s">
        <v>6</v>
      </c>
      <c r="I1138" s="2" t="s">
        <v>2340</v>
      </c>
      <c r="J1138" s="2" t="s">
        <v>2353</v>
      </c>
      <c r="K1138" s="2" t="s">
        <v>2354</v>
      </c>
      <c r="L1138" s="2" t="s">
        <v>4127</v>
      </c>
      <c r="M1138" s="3">
        <v>1</v>
      </c>
      <c r="N1138" s="3">
        <v>2</v>
      </c>
      <c r="P1138" s="2" t="s">
        <v>2355</v>
      </c>
    </row>
    <row r="1139" spans="1:16" ht="13">
      <c r="A1139" s="2" t="s">
        <v>4</v>
      </c>
      <c r="B1139" s="2" t="str">
        <f t="shared" si="17"/>
        <v>23-24 Academic Year</v>
      </c>
      <c r="C1139" s="2">
        <v>13</v>
      </c>
      <c r="D1139" s="2" t="s">
        <v>2338</v>
      </c>
      <c r="E1139" s="10">
        <v>45335</v>
      </c>
      <c r="F1139" s="2" t="s">
        <v>2338</v>
      </c>
      <c r="G1139" s="2" t="s">
        <v>2339</v>
      </c>
      <c r="H1139" s="2" t="s">
        <v>6</v>
      </c>
      <c r="I1139" s="2" t="s">
        <v>2340</v>
      </c>
      <c r="J1139" s="2" t="s">
        <v>2356</v>
      </c>
      <c r="K1139" s="2" t="s">
        <v>1550</v>
      </c>
      <c r="L1139" s="2" t="s">
        <v>1551</v>
      </c>
      <c r="M1139" s="3">
        <v>4</v>
      </c>
      <c r="N1139" s="3">
        <v>1</v>
      </c>
      <c r="P1139" s="2" t="s">
        <v>2357</v>
      </c>
    </row>
    <row r="1140" spans="1:16" ht="13">
      <c r="A1140" s="2" t="s">
        <v>4</v>
      </c>
      <c r="B1140" s="2" t="str">
        <f t="shared" si="17"/>
        <v>23-24 Academic Year</v>
      </c>
      <c r="C1140" s="2">
        <v>13</v>
      </c>
      <c r="D1140" s="2" t="s">
        <v>2338</v>
      </c>
      <c r="E1140" s="10">
        <v>45335</v>
      </c>
      <c r="F1140" s="2" t="s">
        <v>2338</v>
      </c>
      <c r="G1140" s="2" t="s">
        <v>2339</v>
      </c>
      <c r="H1140" s="2" t="s">
        <v>6</v>
      </c>
      <c r="I1140" s="2" t="s">
        <v>2340</v>
      </c>
      <c r="J1140" s="2" t="s">
        <v>2358</v>
      </c>
      <c r="K1140" s="2" t="s">
        <v>472</v>
      </c>
      <c r="L1140" s="2" t="s">
        <v>1352</v>
      </c>
      <c r="M1140" s="3">
        <v>1</v>
      </c>
      <c r="N1140" s="3">
        <v>2</v>
      </c>
      <c r="P1140" s="2" t="s">
        <v>2359</v>
      </c>
    </row>
    <row r="1141" spans="1:16" ht="13">
      <c r="A1141" s="2" t="s">
        <v>4</v>
      </c>
      <c r="B1141" s="2" t="str">
        <f t="shared" si="17"/>
        <v>23-24 Academic Year</v>
      </c>
      <c r="C1141" s="2">
        <v>13</v>
      </c>
      <c r="D1141" s="2" t="s">
        <v>2338</v>
      </c>
      <c r="E1141" s="10">
        <v>45335</v>
      </c>
      <c r="F1141" s="2" t="s">
        <v>2338</v>
      </c>
      <c r="G1141" s="2" t="s">
        <v>2339</v>
      </c>
      <c r="H1141" s="2" t="s">
        <v>6</v>
      </c>
      <c r="I1141" s="2" t="s">
        <v>2340</v>
      </c>
      <c r="J1141" s="2" t="s">
        <v>2360</v>
      </c>
      <c r="K1141" s="2" t="s">
        <v>2361</v>
      </c>
      <c r="L1141" s="2" t="s">
        <v>2362</v>
      </c>
      <c r="M1141" s="3">
        <v>1</v>
      </c>
      <c r="N1141" s="3">
        <v>2</v>
      </c>
      <c r="P1141" s="2" t="s">
        <v>2363</v>
      </c>
    </row>
    <row r="1142" spans="1:16" ht="13">
      <c r="A1142" s="2" t="s">
        <v>4</v>
      </c>
      <c r="B1142" s="2" t="str">
        <f t="shared" si="17"/>
        <v>23-24 Academic Year</v>
      </c>
      <c r="C1142" s="2">
        <v>13</v>
      </c>
      <c r="D1142" s="2" t="s">
        <v>2338</v>
      </c>
      <c r="E1142" s="10">
        <v>45335</v>
      </c>
      <c r="F1142" s="2" t="s">
        <v>2338</v>
      </c>
      <c r="G1142" s="2" t="s">
        <v>2339</v>
      </c>
      <c r="H1142" s="2" t="s">
        <v>6</v>
      </c>
      <c r="I1142" s="2" t="s">
        <v>2340</v>
      </c>
      <c r="J1142" s="2" t="s">
        <v>2364</v>
      </c>
      <c r="K1142" s="2" t="s">
        <v>2365</v>
      </c>
      <c r="L1142" s="2" t="s">
        <v>5043</v>
      </c>
      <c r="M1142" s="3">
        <v>1</v>
      </c>
      <c r="N1142" s="3">
        <v>2</v>
      </c>
      <c r="P1142" s="2" t="s">
        <v>2366</v>
      </c>
    </row>
    <row r="1143" spans="1:16" ht="13">
      <c r="A1143" s="2" t="s">
        <v>4</v>
      </c>
      <c r="B1143" s="2" t="str">
        <f t="shared" si="17"/>
        <v>23-24 Academic Year</v>
      </c>
      <c r="C1143" s="2">
        <v>13</v>
      </c>
      <c r="D1143" s="2" t="s">
        <v>2338</v>
      </c>
      <c r="E1143" s="10">
        <v>45335</v>
      </c>
      <c r="F1143" s="2" t="s">
        <v>2338</v>
      </c>
      <c r="G1143" s="2" t="s">
        <v>2339</v>
      </c>
      <c r="H1143" s="2" t="s">
        <v>6</v>
      </c>
      <c r="I1143" s="2" t="s">
        <v>2340</v>
      </c>
      <c r="J1143" s="2" t="s">
        <v>2367</v>
      </c>
      <c r="K1143" s="2" t="s">
        <v>2368</v>
      </c>
      <c r="L1143" s="2" t="s">
        <v>403</v>
      </c>
      <c r="M1143" s="3">
        <v>1</v>
      </c>
      <c r="N1143" s="3">
        <v>2</v>
      </c>
      <c r="P1143" s="2" t="s">
        <v>2369</v>
      </c>
    </row>
    <row r="1144" spans="1:16" ht="13">
      <c r="A1144" s="2" t="s">
        <v>4</v>
      </c>
      <c r="B1144" s="2" t="str">
        <f t="shared" si="17"/>
        <v>23-24 Academic Year</v>
      </c>
      <c r="C1144" s="2">
        <v>14</v>
      </c>
      <c r="D1144" s="2" t="s">
        <v>3950</v>
      </c>
      <c r="E1144" s="10">
        <v>45337</v>
      </c>
      <c r="F1144" s="2" t="s">
        <v>2370</v>
      </c>
      <c r="G1144" s="2" t="s">
        <v>2226</v>
      </c>
      <c r="H1144" s="2" t="s">
        <v>6</v>
      </c>
      <c r="I1144" s="2" t="s">
        <v>434</v>
      </c>
      <c r="J1144" s="2" t="s">
        <v>2371</v>
      </c>
      <c r="K1144" s="2" t="s">
        <v>635</v>
      </c>
      <c r="L1144" s="2" t="s">
        <v>3354</v>
      </c>
      <c r="M1144" s="3">
        <v>1</v>
      </c>
      <c r="N1144" s="3">
        <v>2</v>
      </c>
      <c r="P1144" s="2" t="s">
        <v>2372</v>
      </c>
    </row>
    <row r="1145" spans="1:16" ht="13">
      <c r="A1145" s="2" t="s">
        <v>4</v>
      </c>
      <c r="B1145" s="2" t="str">
        <f t="shared" si="17"/>
        <v>23-24 Academic Year</v>
      </c>
      <c r="C1145" s="2">
        <v>14</v>
      </c>
      <c r="D1145" s="2" t="s">
        <v>3950</v>
      </c>
      <c r="E1145" s="10">
        <v>45337</v>
      </c>
      <c r="F1145" s="2" t="s">
        <v>2370</v>
      </c>
      <c r="G1145" s="2" t="s">
        <v>2226</v>
      </c>
      <c r="H1145" s="2" t="s">
        <v>6</v>
      </c>
      <c r="I1145" s="2" t="s">
        <v>434</v>
      </c>
      <c r="J1145" s="2" t="s">
        <v>2373</v>
      </c>
      <c r="K1145" s="2" t="s">
        <v>2374</v>
      </c>
      <c r="L1145" s="2" t="s">
        <v>4169</v>
      </c>
      <c r="M1145" s="3">
        <v>1</v>
      </c>
      <c r="N1145" s="3">
        <v>2</v>
      </c>
      <c r="P1145" s="2" t="s">
        <v>2375</v>
      </c>
    </row>
    <row r="1146" spans="1:16" ht="13">
      <c r="A1146" s="2" t="s">
        <v>4</v>
      </c>
      <c r="B1146" s="2" t="str">
        <f t="shared" si="17"/>
        <v>23-24 Academic Year</v>
      </c>
      <c r="C1146" s="2">
        <v>14</v>
      </c>
      <c r="D1146" s="2" t="s">
        <v>3950</v>
      </c>
      <c r="E1146" s="10">
        <v>45337</v>
      </c>
      <c r="F1146" s="2" t="s">
        <v>2370</v>
      </c>
      <c r="G1146" s="2" t="s">
        <v>2226</v>
      </c>
      <c r="H1146" s="2" t="s">
        <v>6</v>
      </c>
      <c r="I1146" s="2" t="s">
        <v>434</v>
      </c>
      <c r="J1146" s="2" t="s">
        <v>2376</v>
      </c>
      <c r="K1146" s="2" t="s">
        <v>374</v>
      </c>
      <c r="L1146" s="2" t="s">
        <v>1680</v>
      </c>
      <c r="M1146" s="3">
        <v>1</v>
      </c>
      <c r="N1146" s="3">
        <v>2</v>
      </c>
      <c r="P1146" s="2" t="s">
        <v>2377</v>
      </c>
    </row>
    <row r="1147" spans="1:16" ht="13">
      <c r="A1147" s="2" t="s">
        <v>4</v>
      </c>
      <c r="B1147" s="2" t="str">
        <f t="shared" si="17"/>
        <v>23-24 Academic Year</v>
      </c>
      <c r="C1147" s="2">
        <v>14</v>
      </c>
      <c r="D1147" s="2" t="s">
        <v>3950</v>
      </c>
      <c r="E1147" s="10">
        <v>45337</v>
      </c>
      <c r="F1147" s="2" t="s">
        <v>2370</v>
      </c>
      <c r="G1147" s="2" t="s">
        <v>2226</v>
      </c>
      <c r="H1147" s="2" t="s">
        <v>6</v>
      </c>
      <c r="I1147" s="2" t="s">
        <v>434</v>
      </c>
      <c r="J1147" s="2" t="s">
        <v>2378</v>
      </c>
      <c r="K1147" s="2" t="s">
        <v>195</v>
      </c>
      <c r="L1147" s="2" t="s">
        <v>2379</v>
      </c>
      <c r="M1147" s="3">
        <v>2</v>
      </c>
      <c r="N1147" s="3">
        <v>2</v>
      </c>
      <c r="P1147" s="2" t="s">
        <v>2380</v>
      </c>
    </row>
    <row r="1148" spans="1:16" ht="13">
      <c r="A1148" s="2" t="s">
        <v>4</v>
      </c>
      <c r="B1148" s="2" t="str">
        <f t="shared" si="17"/>
        <v>23-24 Academic Year</v>
      </c>
      <c r="C1148" s="2">
        <v>14</v>
      </c>
      <c r="D1148" s="2" t="s">
        <v>3950</v>
      </c>
      <c r="E1148" s="10">
        <v>45337</v>
      </c>
      <c r="F1148" s="2" t="s">
        <v>2370</v>
      </c>
      <c r="G1148" s="2" t="s">
        <v>2226</v>
      </c>
      <c r="H1148" s="2" t="s">
        <v>6</v>
      </c>
      <c r="I1148" s="2" t="s">
        <v>434</v>
      </c>
      <c r="J1148" s="2" t="s">
        <v>2381</v>
      </c>
      <c r="K1148" s="2" t="s">
        <v>1103</v>
      </c>
      <c r="L1148" s="2" t="s">
        <v>1104</v>
      </c>
      <c r="M1148" s="3">
        <v>1</v>
      </c>
      <c r="N1148" s="3">
        <v>2</v>
      </c>
      <c r="P1148" s="2" t="s">
        <v>2382</v>
      </c>
    </row>
    <row r="1149" spans="1:16" ht="13">
      <c r="A1149" s="2" t="s">
        <v>4</v>
      </c>
      <c r="B1149" s="2" t="str">
        <f t="shared" si="17"/>
        <v>23-24 Academic Year</v>
      </c>
      <c r="C1149" s="2">
        <v>15</v>
      </c>
      <c r="D1149" s="2" t="s">
        <v>1368</v>
      </c>
      <c r="E1149" s="10">
        <v>45338</v>
      </c>
      <c r="F1149" s="2" t="s">
        <v>1368</v>
      </c>
      <c r="G1149" s="2" t="s">
        <v>2339</v>
      </c>
      <c r="H1149" s="2" t="s">
        <v>6</v>
      </c>
      <c r="J1149" s="2" t="s">
        <v>2383</v>
      </c>
      <c r="K1149" s="2" t="s">
        <v>750</v>
      </c>
      <c r="L1149" s="2" t="s">
        <v>751</v>
      </c>
      <c r="M1149" s="3">
        <v>1</v>
      </c>
      <c r="N1149" s="3">
        <v>2</v>
      </c>
      <c r="P1149" s="2" t="s">
        <v>752</v>
      </c>
    </row>
    <row r="1150" spans="1:16" ht="13">
      <c r="A1150" s="2" t="s">
        <v>4</v>
      </c>
      <c r="B1150" s="2" t="str">
        <f t="shared" si="17"/>
        <v>23-24 Academic Year</v>
      </c>
      <c r="C1150" s="2">
        <v>15</v>
      </c>
      <c r="D1150" s="2" t="s">
        <v>1368</v>
      </c>
      <c r="E1150" s="10">
        <v>45338</v>
      </c>
      <c r="F1150" s="2" t="s">
        <v>1368</v>
      </c>
      <c r="G1150" s="2" t="s">
        <v>2339</v>
      </c>
      <c r="H1150" s="2" t="s">
        <v>6</v>
      </c>
      <c r="J1150" s="2" t="s">
        <v>2384</v>
      </c>
      <c r="K1150" s="2" t="s">
        <v>2278</v>
      </c>
      <c r="L1150" s="2" t="s">
        <v>622</v>
      </c>
      <c r="M1150" s="3">
        <v>1</v>
      </c>
      <c r="N1150" s="3">
        <v>2</v>
      </c>
      <c r="P1150" s="2" t="s">
        <v>2385</v>
      </c>
    </row>
    <row r="1151" spans="1:16" ht="13">
      <c r="A1151" s="2" t="s">
        <v>4</v>
      </c>
      <c r="B1151" s="2" t="str">
        <f t="shared" si="17"/>
        <v>23-24 Academic Year</v>
      </c>
      <c r="C1151" s="2">
        <v>15</v>
      </c>
      <c r="D1151" s="2" t="s">
        <v>1368</v>
      </c>
      <c r="E1151" s="10">
        <v>45338</v>
      </c>
      <c r="F1151" s="2" t="s">
        <v>1368</v>
      </c>
      <c r="G1151" s="2" t="s">
        <v>2339</v>
      </c>
      <c r="H1151" s="2" t="s">
        <v>6</v>
      </c>
      <c r="J1151" s="2" t="s">
        <v>2386</v>
      </c>
      <c r="K1151" s="2" t="s">
        <v>2272</v>
      </c>
      <c r="L1151" s="2" t="s">
        <v>2387</v>
      </c>
      <c r="M1151" s="3">
        <v>4</v>
      </c>
      <c r="N1151" s="3">
        <v>1</v>
      </c>
      <c r="P1151" s="2" t="s">
        <v>2388</v>
      </c>
    </row>
    <row r="1152" spans="1:16" ht="13">
      <c r="A1152" s="2" t="s">
        <v>4</v>
      </c>
      <c r="B1152" s="2" t="str">
        <f t="shared" si="17"/>
        <v>23-24 Academic Year</v>
      </c>
      <c r="C1152" s="2">
        <v>15</v>
      </c>
      <c r="D1152" s="2" t="s">
        <v>1368</v>
      </c>
      <c r="E1152" s="10">
        <v>45338</v>
      </c>
      <c r="F1152" s="2" t="s">
        <v>1368</v>
      </c>
      <c r="G1152" s="2" t="s">
        <v>2339</v>
      </c>
      <c r="H1152" s="2" t="s">
        <v>6</v>
      </c>
      <c r="J1152" s="2" t="s">
        <v>2389</v>
      </c>
      <c r="K1152" s="2" t="s">
        <v>59</v>
      </c>
      <c r="L1152" s="2" t="s">
        <v>60</v>
      </c>
      <c r="M1152" s="3">
        <v>1</v>
      </c>
      <c r="N1152" s="3">
        <v>2</v>
      </c>
      <c r="P1152" s="2" t="s">
        <v>2390</v>
      </c>
    </row>
    <row r="1153" spans="1:16" ht="13">
      <c r="A1153" s="2" t="s">
        <v>4</v>
      </c>
      <c r="B1153" s="2" t="str">
        <f t="shared" si="17"/>
        <v>23-24 Academic Year</v>
      </c>
      <c r="C1153" s="2">
        <v>16</v>
      </c>
      <c r="D1153" s="2" t="s">
        <v>743</v>
      </c>
      <c r="E1153" s="10">
        <v>45338</v>
      </c>
      <c r="F1153" s="2" t="s">
        <v>2391</v>
      </c>
      <c r="G1153" s="2" t="s">
        <v>2392</v>
      </c>
      <c r="H1153" s="2" t="s">
        <v>6</v>
      </c>
      <c r="I1153" s="2" t="s">
        <v>434</v>
      </c>
      <c r="J1153" s="2" t="s">
        <v>2393</v>
      </c>
      <c r="K1153" s="2" t="s">
        <v>670</v>
      </c>
      <c r="L1153" s="2" t="s">
        <v>403</v>
      </c>
      <c r="M1153" s="3">
        <v>1</v>
      </c>
      <c r="N1153" s="3">
        <v>2</v>
      </c>
      <c r="P1153" s="2" t="s">
        <v>2394</v>
      </c>
    </row>
    <row r="1154" spans="1:16" ht="13">
      <c r="A1154" s="2" t="s">
        <v>4</v>
      </c>
      <c r="B1154" s="2" t="str">
        <f t="shared" si="17"/>
        <v>23-24 Academic Year</v>
      </c>
      <c r="C1154" s="2">
        <v>16</v>
      </c>
      <c r="D1154" s="2" t="s">
        <v>743</v>
      </c>
      <c r="E1154" s="10">
        <v>45338</v>
      </c>
      <c r="F1154" s="2" t="s">
        <v>2391</v>
      </c>
      <c r="G1154" s="2" t="s">
        <v>2392</v>
      </c>
      <c r="H1154" s="2" t="s">
        <v>6</v>
      </c>
      <c r="I1154" s="2" t="s">
        <v>434</v>
      </c>
      <c r="J1154" s="2" t="s">
        <v>2395</v>
      </c>
      <c r="K1154" s="2" t="s">
        <v>59</v>
      </c>
      <c r="L1154" s="2" t="s">
        <v>60</v>
      </c>
      <c r="M1154" s="3">
        <v>1</v>
      </c>
      <c r="N1154" s="3">
        <v>2</v>
      </c>
      <c r="P1154" s="2" t="s">
        <v>2396</v>
      </c>
    </row>
    <row r="1155" spans="1:16" ht="13">
      <c r="A1155" s="2" t="s">
        <v>4</v>
      </c>
      <c r="B1155" s="2" t="str">
        <f t="shared" ref="B1155:B1218" si="18">RIGHT(TEXT(IF(LEFT(A1155,4)="Fall",VALUE(RIGHT(A1155,4)),VALUE(RIGHT(A1155,4))-1),"00"),2)
 &amp; "-" &amp;
 RIGHT(TEXT(IF(LEFT(A1155,4)="Fall",VALUE(RIGHT(A1155,4))+1,VALUE(RIGHT(A1155,4))),"00"),2)
 &amp; " Academic Year"</f>
        <v>23-24 Academic Year</v>
      </c>
      <c r="C1155" s="2">
        <v>16</v>
      </c>
      <c r="D1155" s="2" t="s">
        <v>743</v>
      </c>
      <c r="E1155" s="10">
        <v>45338</v>
      </c>
      <c r="F1155" s="2" t="s">
        <v>2391</v>
      </c>
      <c r="G1155" s="2" t="s">
        <v>2392</v>
      </c>
      <c r="H1155" s="2" t="s">
        <v>6</v>
      </c>
      <c r="I1155" s="2" t="s">
        <v>434</v>
      </c>
      <c r="J1155" s="2" t="s">
        <v>2397</v>
      </c>
      <c r="K1155" s="2" t="s">
        <v>2398</v>
      </c>
      <c r="L1155" s="2" t="s">
        <v>5044</v>
      </c>
      <c r="M1155" s="3">
        <v>4</v>
      </c>
      <c r="N1155" s="3">
        <v>2</v>
      </c>
      <c r="P1155" s="2" t="s">
        <v>2399</v>
      </c>
    </row>
    <row r="1156" spans="1:16" ht="13">
      <c r="A1156" s="2" t="s">
        <v>4</v>
      </c>
      <c r="B1156" s="2" t="str">
        <f t="shared" si="18"/>
        <v>23-24 Academic Year</v>
      </c>
      <c r="C1156" s="2">
        <v>16</v>
      </c>
      <c r="D1156" s="2" t="s">
        <v>743</v>
      </c>
      <c r="E1156" s="10">
        <v>45338</v>
      </c>
      <c r="F1156" s="2" t="s">
        <v>2391</v>
      </c>
      <c r="G1156" s="2" t="s">
        <v>2392</v>
      </c>
      <c r="H1156" s="2" t="s">
        <v>6</v>
      </c>
      <c r="I1156" s="2" t="s">
        <v>434</v>
      </c>
      <c r="J1156" s="2" t="s">
        <v>2400</v>
      </c>
      <c r="K1156" s="2" t="s">
        <v>2401</v>
      </c>
      <c r="L1156" s="2" t="s">
        <v>5045</v>
      </c>
      <c r="M1156" s="3"/>
      <c r="N1156" s="3"/>
      <c r="P1156" s="2" t="s">
        <v>2402</v>
      </c>
    </row>
    <row r="1157" spans="1:16" ht="13">
      <c r="A1157" s="2" t="s">
        <v>4</v>
      </c>
      <c r="B1157" s="2" t="str">
        <f t="shared" si="18"/>
        <v>23-24 Academic Year</v>
      </c>
      <c r="C1157" s="2">
        <v>16</v>
      </c>
      <c r="D1157" s="2" t="s">
        <v>743</v>
      </c>
      <c r="E1157" s="10">
        <v>45338</v>
      </c>
      <c r="F1157" s="2" t="s">
        <v>2391</v>
      </c>
      <c r="G1157" s="2" t="s">
        <v>2392</v>
      </c>
      <c r="H1157" s="2" t="s">
        <v>6</v>
      </c>
      <c r="I1157" s="2" t="s">
        <v>434</v>
      </c>
      <c r="J1157" s="2" t="s">
        <v>2403</v>
      </c>
      <c r="K1157" s="2" t="s">
        <v>2401</v>
      </c>
      <c r="L1157" s="2" t="s">
        <v>5045</v>
      </c>
      <c r="M1157" s="3"/>
      <c r="N1157" s="3"/>
      <c r="P1157" s="2" t="s">
        <v>2404</v>
      </c>
    </row>
    <row r="1158" spans="1:16" ht="13">
      <c r="A1158" s="2" t="s">
        <v>4</v>
      </c>
      <c r="B1158" s="2" t="str">
        <f t="shared" si="18"/>
        <v>23-24 Academic Year</v>
      </c>
      <c r="C1158" s="2">
        <v>16</v>
      </c>
      <c r="D1158" s="2" t="s">
        <v>743</v>
      </c>
      <c r="E1158" s="10">
        <v>45338</v>
      </c>
      <c r="F1158" s="2" t="s">
        <v>2391</v>
      </c>
      <c r="G1158" s="2" t="s">
        <v>2392</v>
      </c>
      <c r="H1158" s="2" t="s">
        <v>6</v>
      </c>
      <c r="I1158" s="2" t="s">
        <v>434</v>
      </c>
      <c r="J1158" s="2" t="s">
        <v>2405</v>
      </c>
      <c r="K1158" s="2" t="s">
        <v>312</v>
      </c>
      <c r="L1158" s="2" t="s">
        <v>4016</v>
      </c>
      <c r="M1158" s="3">
        <v>1</v>
      </c>
      <c r="N1158" s="3">
        <v>2</v>
      </c>
      <c r="P1158" s="2" t="s">
        <v>2406</v>
      </c>
    </row>
    <row r="1159" spans="1:16" ht="13">
      <c r="A1159" s="2" t="s">
        <v>4</v>
      </c>
      <c r="B1159" s="2" t="str">
        <f t="shared" si="18"/>
        <v>23-24 Academic Year</v>
      </c>
      <c r="C1159" s="2">
        <v>17</v>
      </c>
      <c r="D1159" s="2" t="s">
        <v>2407</v>
      </c>
      <c r="E1159" s="10">
        <v>45340</v>
      </c>
      <c r="F1159" s="2" t="s">
        <v>2407</v>
      </c>
      <c r="G1159" s="2" t="s">
        <v>2184</v>
      </c>
      <c r="H1159" s="2" t="s">
        <v>7</v>
      </c>
      <c r="I1159" s="2" t="s">
        <v>2407</v>
      </c>
      <c r="J1159" s="2" t="s">
        <v>2408</v>
      </c>
      <c r="K1159" s="2" t="s">
        <v>2409</v>
      </c>
      <c r="L1159" s="2" t="s">
        <v>2410</v>
      </c>
      <c r="M1159" s="3">
        <v>3</v>
      </c>
      <c r="N1159" s="3">
        <v>2</v>
      </c>
      <c r="P1159" s="2" t="s">
        <v>2411</v>
      </c>
    </row>
    <row r="1160" spans="1:16" ht="13">
      <c r="A1160" s="2" t="s">
        <v>4</v>
      </c>
      <c r="B1160" s="2" t="str">
        <f t="shared" si="18"/>
        <v>23-24 Academic Year</v>
      </c>
      <c r="C1160" s="2">
        <v>17</v>
      </c>
      <c r="D1160" s="2" t="s">
        <v>2407</v>
      </c>
      <c r="E1160" s="10">
        <v>45340</v>
      </c>
      <c r="F1160" s="2" t="s">
        <v>2407</v>
      </c>
      <c r="G1160" s="2" t="s">
        <v>2184</v>
      </c>
      <c r="H1160" s="2" t="s">
        <v>7</v>
      </c>
      <c r="I1160" s="2" t="s">
        <v>2407</v>
      </c>
      <c r="J1160" s="2" t="s">
        <v>2412</v>
      </c>
      <c r="K1160" s="2" t="s">
        <v>1331</v>
      </c>
      <c r="L1160" s="2" t="s">
        <v>1332</v>
      </c>
      <c r="M1160" s="3">
        <v>1</v>
      </c>
      <c r="N1160" s="3">
        <v>1</v>
      </c>
      <c r="P1160" s="2" t="s">
        <v>2413</v>
      </c>
    </row>
    <row r="1161" spans="1:16" ht="13">
      <c r="A1161" s="2" t="s">
        <v>4</v>
      </c>
      <c r="B1161" s="2" t="str">
        <f t="shared" si="18"/>
        <v>23-24 Academic Year</v>
      </c>
      <c r="C1161" s="2">
        <v>17</v>
      </c>
      <c r="D1161" s="2" t="s">
        <v>2407</v>
      </c>
      <c r="E1161" s="10">
        <v>45340</v>
      </c>
      <c r="F1161" s="2" t="s">
        <v>2407</v>
      </c>
      <c r="G1161" s="2" t="s">
        <v>2184</v>
      </c>
      <c r="H1161" s="2" t="s">
        <v>7</v>
      </c>
      <c r="I1161" s="2" t="s">
        <v>2407</v>
      </c>
      <c r="J1161" s="2" t="s">
        <v>2414</v>
      </c>
      <c r="K1161" s="2" t="s">
        <v>2415</v>
      </c>
      <c r="L1161" s="2" t="s">
        <v>5046</v>
      </c>
      <c r="M1161" s="3">
        <v>1</v>
      </c>
      <c r="N1161" s="3">
        <v>1</v>
      </c>
      <c r="P1161" s="2" t="s">
        <v>2416</v>
      </c>
    </row>
    <row r="1162" spans="1:16" ht="13">
      <c r="A1162" s="2" t="s">
        <v>4</v>
      </c>
      <c r="B1162" s="2" t="str">
        <f t="shared" si="18"/>
        <v>23-24 Academic Year</v>
      </c>
      <c r="C1162" s="2">
        <v>17</v>
      </c>
      <c r="D1162" s="2" t="s">
        <v>2407</v>
      </c>
      <c r="E1162" s="10">
        <v>45340</v>
      </c>
      <c r="F1162" s="2" t="s">
        <v>2407</v>
      </c>
      <c r="G1162" s="2" t="s">
        <v>2184</v>
      </c>
      <c r="H1162" s="2" t="s">
        <v>7</v>
      </c>
      <c r="I1162" s="2" t="s">
        <v>2407</v>
      </c>
      <c r="J1162" s="2" t="s">
        <v>2417</v>
      </c>
      <c r="K1162" s="2" t="s">
        <v>2418</v>
      </c>
      <c r="L1162" s="2" t="s">
        <v>5047</v>
      </c>
      <c r="M1162" s="3">
        <v>3</v>
      </c>
      <c r="N1162" s="3">
        <v>1</v>
      </c>
      <c r="P1162" s="2" t="s">
        <v>2419</v>
      </c>
    </row>
    <row r="1163" spans="1:16" ht="13">
      <c r="A1163" s="2" t="s">
        <v>4</v>
      </c>
      <c r="B1163" s="2" t="str">
        <f t="shared" si="18"/>
        <v>23-24 Academic Year</v>
      </c>
      <c r="C1163" s="2">
        <v>17</v>
      </c>
      <c r="D1163" s="2" t="s">
        <v>2407</v>
      </c>
      <c r="E1163" s="10">
        <v>45340</v>
      </c>
      <c r="F1163" s="2" t="s">
        <v>2407</v>
      </c>
      <c r="G1163" s="2" t="s">
        <v>2184</v>
      </c>
      <c r="H1163" s="2" t="s">
        <v>7</v>
      </c>
      <c r="I1163" s="2" t="s">
        <v>2407</v>
      </c>
      <c r="J1163" s="2" t="s">
        <v>2420</v>
      </c>
      <c r="K1163" s="2" t="s">
        <v>2421</v>
      </c>
      <c r="L1163" s="2" t="s">
        <v>4201</v>
      </c>
      <c r="M1163" s="3">
        <v>1</v>
      </c>
      <c r="N1163" s="3">
        <v>1</v>
      </c>
      <c r="P1163" s="2" t="s">
        <v>2422</v>
      </c>
    </row>
    <row r="1164" spans="1:16" ht="13">
      <c r="A1164" s="2" t="s">
        <v>4</v>
      </c>
      <c r="B1164" s="2" t="str">
        <f t="shared" si="18"/>
        <v>23-24 Academic Year</v>
      </c>
      <c r="C1164" s="2">
        <v>17</v>
      </c>
      <c r="D1164" s="2" t="s">
        <v>2407</v>
      </c>
      <c r="E1164" s="10">
        <v>45340</v>
      </c>
      <c r="F1164" s="2" t="s">
        <v>2407</v>
      </c>
      <c r="G1164" s="2" t="s">
        <v>2184</v>
      </c>
      <c r="H1164" s="2" t="s">
        <v>7</v>
      </c>
      <c r="I1164" s="2" t="s">
        <v>2407</v>
      </c>
      <c r="J1164" s="2" t="s">
        <v>2423</v>
      </c>
      <c r="K1164" s="2" t="s">
        <v>2424</v>
      </c>
      <c r="L1164" s="2" t="s">
        <v>677</v>
      </c>
      <c r="M1164" s="3">
        <v>1</v>
      </c>
      <c r="N1164" s="3">
        <v>1</v>
      </c>
      <c r="P1164" s="2" t="s">
        <v>678</v>
      </c>
    </row>
    <row r="1165" spans="1:16" ht="13">
      <c r="A1165" s="2" t="s">
        <v>4</v>
      </c>
      <c r="B1165" s="2" t="str">
        <f t="shared" si="18"/>
        <v>23-24 Academic Year</v>
      </c>
      <c r="C1165" s="2">
        <v>17</v>
      </c>
      <c r="D1165" s="2" t="s">
        <v>2407</v>
      </c>
      <c r="E1165" s="10">
        <v>45340</v>
      </c>
      <c r="F1165" s="2" t="s">
        <v>2407</v>
      </c>
      <c r="G1165" s="2" t="s">
        <v>2184</v>
      </c>
      <c r="H1165" s="2" t="s">
        <v>7</v>
      </c>
      <c r="I1165" s="2" t="s">
        <v>2407</v>
      </c>
      <c r="J1165" s="2" t="s">
        <v>2425</v>
      </c>
      <c r="K1165" s="2" t="s">
        <v>2426</v>
      </c>
      <c r="L1165" s="2" t="s">
        <v>5048</v>
      </c>
      <c r="M1165" s="3">
        <v>3</v>
      </c>
      <c r="N1165" s="3">
        <v>1</v>
      </c>
      <c r="P1165" s="2" t="s">
        <v>2427</v>
      </c>
    </row>
    <row r="1166" spans="1:16" ht="13">
      <c r="A1166" s="2" t="s">
        <v>4</v>
      </c>
      <c r="B1166" s="2" t="str">
        <f t="shared" si="18"/>
        <v>23-24 Academic Year</v>
      </c>
      <c r="C1166" s="2">
        <v>17</v>
      </c>
      <c r="D1166" s="2" t="s">
        <v>2407</v>
      </c>
      <c r="E1166" s="10">
        <v>45340</v>
      </c>
      <c r="F1166" s="2" t="s">
        <v>2407</v>
      </c>
      <c r="G1166" s="2" t="s">
        <v>2184</v>
      </c>
      <c r="H1166" s="2" t="s">
        <v>7</v>
      </c>
      <c r="I1166" s="2" t="s">
        <v>2407</v>
      </c>
      <c r="J1166" s="2" t="s">
        <v>2428</v>
      </c>
      <c r="K1166" s="2" t="s">
        <v>2429</v>
      </c>
      <c r="L1166" s="2" t="s">
        <v>2430</v>
      </c>
      <c r="M1166" s="3">
        <v>1</v>
      </c>
      <c r="N1166" s="3">
        <v>2</v>
      </c>
      <c r="P1166" s="2" t="s">
        <v>2431</v>
      </c>
    </row>
    <row r="1167" spans="1:16" ht="13">
      <c r="A1167" s="2" t="s">
        <v>4</v>
      </c>
      <c r="B1167" s="2" t="str">
        <f t="shared" si="18"/>
        <v>23-24 Academic Year</v>
      </c>
      <c r="C1167" s="2">
        <v>17</v>
      </c>
      <c r="D1167" s="2" t="s">
        <v>2407</v>
      </c>
      <c r="E1167" s="10">
        <v>45340</v>
      </c>
      <c r="F1167" s="2" t="s">
        <v>2407</v>
      </c>
      <c r="G1167" s="2" t="s">
        <v>2184</v>
      </c>
      <c r="H1167" s="2" t="s">
        <v>7</v>
      </c>
      <c r="I1167" s="2" t="s">
        <v>2407</v>
      </c>
      <c r="J1167" s="2" t="s">
        <v>2432</v>
      </c>
      <c r="K1167" s="2" t="s">
        <v>2433</v>
      </c>
      <c r="L1167" s="2" t="s">
        <v>5049</v>
      </c>
      <c r="M1167" s="3">
        <v>3</v>
      </c>
      <c r="N1167" s="3">
        <v>1</v>
      </c>
      <c r="P1167" s="2" t="s">
        <v>2434</v>
      </c>
    </row>
    <row r="1168" spans="1:16" ht="13">
      <c r="A1168" s="2" t="s">
        <v>4</v>
      </c>
      <c r="B1168" s="2" t="str">
        <f t="shared" si="18"/>
        <v>23-24 Academic Year</v>
      </c>
      <c r="C1168" s="2">
        <v>17</v>
      </c>
      <c r="D1168" s="2" t="s">
        <v>2407</v>
      </c>
      <c r="E1168" s="10">
        <v>45340</v>
      </c>
      <c r="F1168" s="2" t="s">
        <v>2407</v>
      </c>
      <c r="G1168" s="2" t="s">
        <v>2184</v>
      </c>
      <c r="H1168" s="2" t="s">
        <v>7</v>
      </c>
      <c r="I1168" s="2" t="s">
        <v>2407</v>
      </c>
      <c r="J1168" s="2" t="s">
        <v>2435</v>
      </c>
      <c r="K1168" s="2" t="s">
        <v>2436</v>
      </c>
      <c r="L1168" s="2" t="s">
        <v>5050</v>
      </c>
      <c r="M1168" s="3">
        <v>2</v>
      </c>
      <c r="N1168" s="3">
        <v>1</v>
      </c>
      <c r="P1168" s="2" t="s">
        <v>2437</v>
      </c>
    </row>
    <row r="1169" spans="1:16" ht="13">
      <c r="A1169" s="2" t="s">
        <v>4</v>
      </c>
      <c r="B1169" s="2" t="str">
        <f t="shared" si="18"/>
        <v>23-24 Academic Year</v>
      </c>
      <c r="C1169" s="2">
        <v>18</v>
      </c>
      <c r="D1169" s="2" t="s">
        <v>5051</v>
      </c>
      <c r="E1169" s="10">
        <v>45342</v>
      </c>
      <c r="F1169" s="2" t="s">
        <v>2438</v>
      </c>
      <c r="G1169" s="2" t="s">
        <v>2240</v>
      </c>
      <c r="H1169" s="2" t="s">
        <v>6</v>
      </c>
      <c r="I1169" s="2" t="s">
        <v>434</v>
      </c>
      <c r="J1169" s="2" t="s">
        <v>2439</v>
      </c>
      <c r="K1169" s="2" t="s">
        <v>2440</v>
      </c>
      <c r="L1169" s="2" t="s">
        <v>5052</v>
      </c>
      <c r="M1169" s="3">
        <v>1</v>
      </c>
      <c r="N1169" s="3">
        <v>2</v>
      </c>
      <c r="P1169" s="2" t="s">
        <v>2441</v>
      </c>
    </row>
    <row r="1170" spans="1:16" ht="13">
      <c r="A1170" s="2" t="s">
        <v>4</v>
      </c>
      <c r="B1170" s="2" t="str">
        <f t="shared" si="18"/>
        <v>23-24 Academic Year</v>
      </c>
      <c r="C1170" s="2">
        <v>18</v>
      </c>
      <c r="D1170" s="2" t="s">
        <v>5051</v>
      </c>
      <c r="E1170" s="10">
        <v>45342</v>
      </c>
      <c r="F1170" s="2" t="s">
        <v>2438</v>
      </c>
      <c r="G1170" s="2" t="s">
        <v>2240</v>
      </c>
      <c r="H1170" s="2" t="s">
        <v>6</v>
      </c>
      <c r="I1170" s="2" t="s">
        <v>434</v>
      </c>
      <c r="J1170" s="2" t="s">
        <v>2442</v>
      </c>
      <c r="K1170" s="2" t="s">
        <v>670</v>
      </c>
      <c r="L1170" s="2" t="s">
        <v>403</v>
      </c>
      <c r="M1170" s="3">
        <v>1</v>
      </c>
      <c r="N1170" s="3">
        <v>2</v>
      </c>
      <c r="P1170" s="2" t="s">
        <v>2443</v>
      </c>
    </row>
    <row r="1171" spans="1:16" ht="13">
      <c r="A1171" s="2" t="s">
        <v>4</v>
      </c>
      <c r="B1171" s="2" t="str">
        <f t="shared" si="18"/>
        <v>23-24 Academic Year</v>
      </c>
      <c r="C1171" s="2">
        <v>18</v>
      </c>
      <c r="D1171" s="2" t="s">
        <v>5051</v>
      </c>
      <c r="E1171" s="10">
        <v>45342</v>
      </c>
      <c r="F1171" s="2" t="s">
        <v>2438</v>
      </c>
      <c r="G1171" s="2" t="s">
        <v>2240</v>
      </c>
      <c r="H1171" s="2" t="s">
        <v>6</v>
      </c>
      <c r="I1171" s="2" t="s">
        <v>434</v>
      </c>
      <c r="J1171" s="2" t="s">
        <v>2444</v>
      </c>
      <c r="K1171" s="2" t="s">
        <v>320</v>
      </c>
      <c r="L1171" s="2" t="s">
        <v>1879</v>
      </c>
      <c r="M1171" s="3">
        <v>1</v>
      </c>
      <c r="N1171" s="3">
        <v>2</v>
      </c>
      <c r="P1171" s="2" t="s">
        <v>2445</v>
      </c>
    </row>
    <row r="1172" spans="1:16" ht="13">
      <c r="A1172" s="2" t="s">
        <v>4</v>
      </c>
      <c r="B1172" s="2" t="str">
        <f t="shared" si="18"/>
        <v>23-24 Academic Year</v>
      </c>
      <c r="C1172" s="2">
        <v>18</v>
      </c>
      <c r="D1172" s="2" t="s">
        <v>5051</v>
      </c>
      <c r="E1172" s="10">
        <v>45342</v>
      </c>
      <c r="F1172" s="2" t="s">
        <v>2438</v>
      </c>
      <c r="G1172" s="2" t="s">
        <v>2240</v>
      </c>
      <c r="H1172" s="2" t="s">
        <v>6</v>
      </c>
      <c r="I1172" s="2" t="s">
        <v>434</v>
      </c>
      <c r="J1172" s="2" t="s">
        <v>2446</v>
      </c>
      <c r="K1172" s="2" t="s">
        <v>635</v>
      </c>
      <c r="L1172" s="2" t="s">
        <v>3354</v>
      </c>
      <c r="M1172" s="3">
        <v>1</v>
      </c>
      <c r="N1172" s="3">
        <v>2</v>
      </c>
      <c r="P1172" s="2" t="s">
        <v>2447</v>
      </c>
    </row>
    <row r="1173" spans="1:16" ht="13">
      <c r="A1173" s="2" t="s">
        <v>4</v>
      </c>
      <c r="B1173" s="2" t="str">
        <f t="shared" si="18"/>
        <v>23-24 Academic Year</v>
      </c>
      <c r="C1173" s="2">
        <v>19</v>
      </c>
      <c r="D1173" s="2" t="s">
        <v>2448</v>
      </c>
      <c r="E1173" s="10">
        <v>45343</v>
      </c>
      <c r="F1173" s="2" t="s">
        <v>2449</v>
      </c>
      <c r="G1173" s="2" t="s">
        <v>2240</v>
      </c>
      <c r="H1173" s="2" t="s">
        <v>8</v>
      </c>
      <c r="I1173" s="2" t="s">
        <v>8</v>
      </c>
      <c r="J1173" s="2" t="s">
        <v>2450</v>
      </c>
      <c r="K1173" s="2" t="s">
        <v>2272</v>
      </c>
      <c r="L1173" s="2" t="s">
        <v>2387</v>
      </c>
      <c r="M1173" s="3">
        <v>4</v>
      </c>
      <c r="N1173" s="3">
        <v>1</v>
      </c>
      <c r="P1173" s="2" t="s">
        <v>2451</v>
      </c>
    </row>
    <row r="1174" spans="1:16" ht="13">
      <c r="A1174" s="2" t="s">
        <v>4</v>
      </c>
      <c r="B1174" s="2" t="str">
        <f t="shared" si="18"/>
        <v>23-24 Academic Year</v>
      </c>
      <c r="C1174" s="2">
        <v>19</v>
      </c>
      <c r="D1174" s="2" t="s">
        <v>2448</v>
      </c>
      <c r="E1174" s="10">
        <v>45343</v>
      </c>
      <c r="F1174" s="2" t="s">
        <v>2449</v>
      </c>
      <c r="G1174" s="2" t="s">
        <v>2240</v>
      </c>
      <c r="H1174" s="2" t="s">
        <v>8</v>
      </c>
      <c r="I1174" s="2" t="s">
        <v>8</v>
      </c>
      <c r="J1174" s="2" t="s">
        <v>2452</v>
      </c>
      <c r="K1174" s="2" t="s">
        <v>2272</v>
      </c>
      <c r="L1174" s="2" t="s">
        <v>2387</v>
      </c>
      <c r="M1174" s="3">
        <v>4</v>
      </c>
      <c r="N1174" s="3">
        <v>1</v>
      </c>
      <c r="P1174" s="2" t="s">
        <v>2453</v>
      </c>
    </row>
    <row r="1175" spans="1:16" ht="13">
      <c r="A1175" s="2" t="s">
        <v>4</v>
      </c>
      <c r="B1175" s="2" t="str">
        <f t="shared" si="18"/>
        <v>23-24 Academic Year</v>
      </c>
      <c r="C1175" s="2">
        <v>19</v>
      </c>
      <c r="D1175" s="2" t="s">
        <v>2448</v>
      </c>
      <c r="E1175" s="10">
        <v>45343</v>
      </c>
      <c r="F1175" s="2" t="s">
        <v>2449</v>
      </c>
      <c r="G1175" s="2" t="s">
        <v>2240</v>
      </c>
      <c r="H1175" s="2" t="s">
        <v>8</v>
      </c>
      <c r="I1175" s="2" t="s">
        <v>8</v>
      </c>
      <c r="J1175" s="2" t="s">
        <v>2454</v>
      </c>
      <c r="K1175" s="2" t="s">
        <v>2272</v>
      </c>
      <c r="L1175" s="2" t="s">
        <v>2387</v>
      </c>
      <c r="M1175" s="3">
        <v>4</v>
      </c>
      <c r="N1175" s="3">
        <v>1</v>
      </c>
      <c r="P1175" s="2" t="s">
        <v>2455</v>
      </c>
    </row>
    <row r="1176" spans="1:16" ht="13">
      <c r="A1176" s="2" t="s">
        <v>4</v>
      </c>
      <c r="B1176" s="2" t="str">
        <f t="shared" si="18"/>
        <v>23-24 Academic Year</v>
      </c>
      <c r="C1176" s="2">
        <v>19</v>
      </c>
      <c r="D1176" s="2" t="s">
        <v>2448</v>
      </c>
      <c r="E1176" s="10">
        <v>45343</v>
      </c>
      <c r="F1176" s="2" t="s">
        <v>2449</v>
      </c>
      <c r="G1176" s="2" t="s">
        <v>2240</v>
      </c>
      <c r="H1176" s="2" t="s">
        <v>8</v>
      </c>
      <c r="I1176" s="2" t="s">
        <v>8</v>
      </c>
      <c r="J1176" s="2" t="s">
        <v>2456</v>
      </c>
      <c r="K1176" s="2" t="s">
        <v>2272</v>
      </c>
      <c r="L1176" s="2" t="s">
        <v>2387</v>
      </c>
      <c r="M1176" s="3">
        <v>4</v>
      </c>
      <c r="N1176" s="3">
        <v>1</v>
      </c>
      <c r="P1176" s="2" t="s">
        <v>2457</v>
      </c>
    </row>
    <row r="1177" spans="1:16" ht="13">
      <c r="A1177" s="2" t="s">
        <v>4</v>
      </c>
      <c r="B1177" s="2" t="str">
        <f t="shared" si="18"/>
        <v>23-24 Academic Year</v>
      </c>
      <c r="C1177" s="2">
        <v>19</v>
      </c>
      <c r="D1177" s="2" t="s">
        <v>2448</v>
      </c>
      <c r="E1177" s="10">
        <v>45343</v>
      </c>
      <c r="F1177" s="2" t="s">
        <v>2449</v>
      </c>
      <c r="G1177" s="2" t="s">
        <v>2240</v>
      </c>
      <c r="H1177" s="2" t="s">
        <v>8</v>
      </c>
      <c r="I1177" s="2" t="s">
        <v>8</v>
      </c>
      <c r="J1177" s="2" t="s">
        <v>2458</v>
      </c>
      <c r="K1177" s="2" t="s">
        <v>2272</v>
      </c>
      <c r="L1177" s="2" t="s">
        <v>2387</v>
      </c>
      <c r="M1177" s="3">
        <v>4</v>
      </c>
      <c r="N1177" s="3">
        <v>1</v>
      </c>
      <c r="P1177" s="2" t="s">
        <v>2459</v>
      </c>
    </row>
    <row r="1178" spans="1:16" ht="13">
      <c r="A1178" s="2" t="s">
        <v>4</v>
      </c>
      <c r="B1178" s="2" t="str">
        <f t="shared" si="18"/>
        <v>23-24 Academic Year</v>
      </c>
      <c r="C1178" s="2">
        <v>20</v>
      </c>
      <c r="D1178" s="2" t="s">
        <v>5053</v>
      </c>
      <c r="E1178" s="10">
        <v>45344</v>
      </c>
      <c r="F1178" s="2" t="s">
        <v>2460</v>
      </c>
      <c r="G1178" s="2" t="s">
        <v>2170</v>
      </c>
      <c r="H1178" s="2" t="s">
        <v>6</v>
      </c>
      <c r="I1178" s="2" t="s">
        <v>570</v>
      </c>
      <c r="J1178" s="2" t="s">
        <v>2461</v>
      </c>
      <c r="K1178" s="2" t="s">
        <v>1037</v>
      </c>
      <c r="L1178" s="2" t="s">
        <v>1778</v>
      </c>
      <c r="M1178" s="3">
        <v>1</v>
      </c>
      <c r="N1178" s="3">
        <v>2</v>
      </c>
      <c r="P1178" s="2" t="s">
        <v>2462</v>
      </c>
    </row>
    <row r="1179" spans="1:16" ht="13">
      <c r="A1179" s="2" t="s">
        <v>4</v>
      </c>
      <c r="B1179" s="2" t="str">
        <f t="shared" si="18"/>
        <v>23-24 Academic Year</v>
      </c>
      <c r="C1179" s="2">
        <v>20</v>
      </c>
      <c r="D1179" s="2" t="s">
        <v>5053</v>
      </c>
      <c r="E1179" s="10">
        <v>45344</v>
      </c>
      <c r="F1179" s="2" t="s">
        <v>2460</v>
      </c>
      <c r="G1179" s="2" t="s">
        <v>2170</v>
      </c>
      <c r="H1179" s="2" t="s">
        <v>6</v>
      </c>
      <c r="I1179" s="2" t="s">
        <v>570</v>
      </c>
      <c r="J1179" s="2" t="s">
        <v>2463</v>
      </c>
      <c r="K1179" s="2" t="s">
        <v>605</v>
      </c>
      <c r="L1179" s="2" t="s">
        <v>1407</v>
      </c>
      <c r="M1179" s="3">
        <v>1</v>
      </c>
      <c r="N1179" s="3">
        <v>2</v>
      </c>
      <c r="P1179" s="2" t="s">
        <v>2464</v>
      </c>
    </row>
    <row r="1180" spans="1:16" ht="13">
      <c r="A1180" s="2" t="s">
        <v>4</v>
      </c>
      <c r="B1180" s="2" t="str">
        <f t="shared" si="18"/>
        <v>23-24 Academic Year</v>
      </c>
      <c r="C1180" s="2">
        <v>20</v>
      </c>
      <c r="D1180" s="2" t="s">
        <v>5053</v>
      </c>
      <c r="E1180" s="10">
        <v>45344</v>
      </c>
      <c r="F1180" s="2" t="s">
        <v>2460</v>
      </c>
      <c r="G1180" s="2" t="s">
        <v>2170</v>
      </c>
      <c r="H1180" s="2" t="s">
        <v>6</v>
      </c>
      <c r="I1180" s="2" t="s">
        <v>570</v>
      </c>
      <c r="J1180" s="2" t="s">
        <v>2465</v>
      </c>
      <c r="K1180" s="2" t="s">
        <v>605</v>
      </c>
      <c r="L1180" s="2" t="s">
        <v>1407</v>
      </c>
      <c r="M1180" s="3">
        <v>1</v>
      </c>
      <c r="N1180" s="3">
        <v>2</v>
      </c>
      <c r="P1180" s="2" t="s">
        <v>2466</v>
      </c>
    </row>
    <row r="1181" spans="1:16" ht="13">
      <c r="A1181" s="2" t="s">
        <v>4</v>
      </c>
      <c r="B1181" s="2" t="str">
        <f t="shared" si="18"/>
        <v>23-24 Academic Year</v>
      </c>
      <c r="C1181" s="2">
        <v>20</v>
      </c>
      <c r="D1181" s="2" t="s">
        <v>5053</v>
      </c>
      <c r="E1181" s="10">
        <v>45344</v>
      </c>
      <c r="F1181" s="2" t="s">
        <v>2460</v>
      </c>
      <c r="G1181" s="2" t="s">
        <v>2170</v>
      </c>
      <c r="H1181" s="2" t="s">
        <v>6</v>
      </c>
      <c r="I1181" s="2" t="s">
        <v>570</v>
      </c>
      <c r="J1181" s="2" t="s">
        <v>2467</v>
      </c>
      <c r="K1181" s="2" t="s">
        <v>670</v>
      </c>
      <c r="L1181" s="2" t="s">
        <v>403</v>
      </c>
      <c r="M1181" s="3">
        <v>1</v>
      </c>
      <c r="N1181" s="3">
        <v>2</v>
      </c>
      <c r="P1181" s="2" t="s">
        <v>2468</v>
      </c>
    </row>
    <row r="1182" spans="1:16" ht="13">
      <c r="A1182" s="2" t="s">
        <v>4</v>
      </c>
      <c r="B1182" s="2" t="str">
        <f t="shared" si="18"/>
        <v>23-24 Academic Year</v>
      </c>
      <c r="C1182" s="2">
        <v>20</v>
      </c>
      <c r="D1182" s="2" t="s">
        <v>5053</v>
      </c>
      <c r="E1182" s="10">
        <v>45344</v>
      </c>
      <c r="F1182" s="2" t="s">
        <v>2460</v>
      </c>
      <c r="G1182" s="2" t="s">
        <v>2170</v>
      </c>
      <c r="H1182" s="2" t="s">
        <v>6</v>
      </c>
      <c r="I1182" s="2" t="s">
        <v>570</v>
      </c>
      <c r="J1182" s="2" t="s">
        <v>2469</v>
      </c>
      <c r="K1182" s="2" t="s">
        <v>472</v>
      </c>
      <c r="L1182" s="2" t="s">
        <v>1352</v>
      </c>
      <c r="M1182" s="3">
        <v>1</v>
      </c>
      <c r="N1182" s="3">
        <v>2</v>
      </c>
      <c r="P1182" s="2" t="s">
        <v>2470</v>
      </c>
    </row>
    <row r="1183" spans="1:16" ht="13">
      <c r="A1183" s="2" t="s">
        <v>4</v>
      </c>
      <c r="B1183" s="2" t="str">
        <f t="shared" si="18"/>
        <v>23-24 Academic Year</v>
      </c>
      <c r="C1183" s="2">
        <v>20</v>
      </c>
      <c r="D1183" s="2" t="s">
        <v>5053</v>
      </c>
      <c r="E1183" s="10">
        <v>45344</v>
      </c>
      <c r="F1183" s="2" t="s">
        <v>2460</v>
      </c>
      <c r="G1183" s="2" t="s">
        <v>2170</v>
      </c>
      <c r="H1183" s="2" t="s">
        <v>6</v>
      </c>
      <c r="I1183" s="2" t="s">
        <v>570</v>
      </c>
      <c r="J1183" s="2" t="s">
        <v>2471</v>
      </c>
      <c r="K1183" s="2" t="s">
        <v>472</v>
      </c>
      <c r="L1183" s="2" t="s">
        <v>1352</v>
      </c>
      <c r="M1183" s="3">
        <v>1</v>
      </c>
      <c r="N1183" s="3">
        <v>2</v>
      </c>
      <c r="P1183" s="2" t="s">
        <v>2472</v>
      </c>
    </row>
    <row r="1184" spans="1:16" ht="13">
      <c r="A1184" s="2" t="s">
        <v>4</v>
      </c>
      <c r="B1184" s="2" t="str">
        <f t="shared" si="18"/>
        <v>23-24 Academic Year</v>
      </c>
      <c r="C1184" s="2">
        <v>20</v>
      </c>
      <c r="D1184" s="2" t="s">
        <v>5053</v>
      </c>
      <c r="E1184" s="10">
        <v>45344</v>
      </c>
      <c r="F1184" s="2" t="s">
        <v>2460</v>
      </c>
      <c r="G1184" s="2" t="s">
        <v>2170</v>
      </c>
      <c r="H1184" s="2" t="s">
        <v>6</v>
      </c>
      <c r="I1184" s="2" t="s">
        <v>570</v>
      </c>
      <c r="J1184" s="2" t="s">
        <v>2473</v>
      </c>
      <c r="K1184" s="2" t="s">
        <v>472</v>
      </c>
      <c r="L1184" s="2" t="s">
        <v>1352</v>
      </c>
      <c r="M1184" s="3">
        <v>1</v>
      </c>
      <c r="N1184" s="3">
        <v>2</v>
      </c>
      <c r="P1184" s="2" t="s">
        <v>2474</v>
      </c>
    </row>
    <row r="1185" spans="1:16" ht="13">
      <c r="A1185" s="2" t="s">
        <v>4</v>
      </c>
      <c r="B1185" s="2" t="str">
        <f t="shared" si="18"/>
        <v>23-24 Academic Year</v>
      </c>
      <c r="C1185" s="2">
        <v>20</v>
      </c>
      <c r="D1185" s="2" t="s">
        <v>5053</v>
      </c>
      <c r="E1185" s="10">
        <v>45344</v>
      </c>
      <c r="F1185" s="2" t="s">
        <v>2460</v>
      </c>
      <c r="G1185" s="2" t="s">
        <v>2170</v>
      </c>
      <c r="H1185" s="2" t="s">
        <v>6</v>
      </c>
      <c r="I1185" s="2" t="s">
        <v>570</v>
      </c>
      <c r="J1185" s="2" t="s">
        <v>2475</v>
      </c>
      <c r="K1185" s="2" t="s">
        <v>1639</v>
      </c>
      <c r="L1185" s="2" t="s">
        <v>1640</v>
      </c>
      <c r="M1185" s="3">
        <v>2</v>
      </c>
      <c r="N1185" s="3">
        <v>1</v>
      </c>
      <c r="P1185" s="2" t="s">
        <v>2476</v>
      </c>
    </row>
    <row r="1186" spans="1:16" ht="13">
      <c r="A1186" s="2" t="s">
        <v>4</v>
      </c>
      <c r="B1186" s="2" t="str">
        <f t="shared" si="18"/>
        <v>23-24 Academic Year</v>
      </c>
      <c r="C1186" s="2">
        <v>21</v>
      </c>
      <c r="D1186" s="2" t="s">
        <v>5054</v>
      </c>
      <c r="E1186" s="10">
        <v>45346</v>
      </c>
      <c r="F1186" s="2" t="s">
        <v>2477</v>
      </c>
      <c r="G1186" s="2" t="s">
        <v>2184</v>
      </c>
      <c r="H1186" s="2" t="s">
        <v>7</v>
      </c>
      <c r="I1186" s="2" t="s">
        <v>335</v>
      </c>
      <c r="J1186" s="2" t="s">
        <v>2478</v>
      </c>
      <c r="K1186" s="2" t="s">
        <v>2479</v>
      </c>
      <c r="L1186" s="2" t="s">
        <v>2044</v>
      </c>
      <c r="M1186" s="3">
        <v>999</v>
      </c>
      <c r="N1186" s="3">
        <v>999</v>
      </c>
      <c r="P1186" s="2" t="s">
        <v>2480</v>
      </c>
    </row>
    <row r="1187" spans="1:16" ht="13">
      <c r="A1187" s="2" t="s">
        <v>4</v>
      </c>
      <c r="B1187" s="2" t="str">
        <f t="shared" si="18"/>
        <v>23-24 Academic Year</v>
      </c>
      <c r="C1187" s="2">
        <v>21</v>
      </c>
      <c r="D1187" s="2" t="s">
        <v>5054</v>
      </c>
      <c r="E1187" s="10">
        <v>45346</v>
      </c>
      <c r="F1187" s="2" t="s">
        <v>2477</v>
      </c>
      <c r="G1187" s="2" t="s">
        <v>2184</v>
      </c>
      <c r="H1187" s="2" t="s">
        <v>7</v>
      </c>
      <c r="I1187" s="2" t="s">
        <v>335</v>
      </c>
      <c r="J1187" s="2" t="s">
        <v>2481</v>
      </c>
      <c r="K1187" s="2" t="s">
        <v>2482</v>
      </c>
      <c r="L1187" s="2" t="s">
        <v>5055</v>
      </c>
      <c r="M1187" s="3">
        <v>1</v>
      </c>
      <c r="N1187" s="3">
        <v>1</v>
      </c>
      <c r="P1187" s="2" t="s">
        <v>2483</v>
      </c>
    </row>
    <row r="1188" spans="1:16" ht="13">
      <c r="A1188" s="2" t="s">
        <v>4</v>
      </c>
      <c r="B1188" s="2" t="str">
        <f t="shared" si="18"/>
        <v>23-24 Academic Year</v>
      </c>
      <c r="C1188" s="2">
        <v>21</v>
      </c>
      <c r="D1188" s="2" t="s">
        <v>5054</v>
      </c>
      <c r="E1188" s="10">
        <v>45346</v>
      </c>
      <c r="F1188" s="2" t="s">
        <v>2477</v>
      </c>
      <c r="G1188" s="2" t="s">
        <v>2184</v>
      </c>
      <c r="H1188" s="2" t="s">
        <v>7</v>
      </c>
      <c r="I1188" s="2" t="s">
        <v>335</v>
      </c>
      <c r="J1188" s="2" t="s">
        <v>2484</v>
      </c>
      <c r="K1188" s="2" t="s">
        <v>2485</v>
      </c>
      <c r="L1188" s="2" t="s">
        <v>5056</v>
      </c>
      <c r="M1188" s="3">
        <v>2</v>
      </c>
      <c r="N1188" s="3">
        <v>1</v>
      </c>
      <c r="P1188" s="2" t="s">
        <v>2486</v>
      </c>
    </row>
    <row r="1189" spans="1:16" ht="13">
      <c r="A1189" s="2" t="s">
        <v>4</v>
      </c>
      <c r="B1189" s="2" t="str">
        <f t="shared" si="18"/>
        <v>23-24 Academic Year</v>
      </c>
      <c r="C1189" s="2">
        <v>21</v>
      </c>
      <c r="D1189" s="2" t="s">
        <v>5054</v>
      </c>
      <c r="E1189" s="10">
        <v>45346</v>
      </c>
      <c r="F1189" s="2" t="s">
        <v>2477</v>
      </c>
      <c r="G1189" s="2" t="s">
        <v>2184</v>
      </c>
      <c r="H1189" s="2" t="s">
        <v>7</v>
      </c>
      <c r="I1189" s="2" t="s">
        <v>335</v>
      </c>
      <c r="J1189" s="2" t="s">
        <v>2487</v>
      </c>
      <c r="K1189" s="2" t="s">
        <v>2488</v>
      </c>
      <c r="L1189" s="2" t="s">
        <v>5057</v>
      </c>
      <c r="M1189" s="3">
        <v>1</v>
      </c>
      <c r="N1189" s="3">
        <v>1</v>
      </c>
      <c r="P1189" s="2" t="s">
        <v>2489</v>
      </c>
    </row>
    <row r="1190" spans="1:16" ht="13">
      <c r="A1190" s="2" t="s">
        <v>4</v>
      </c>
      <c r="B1190" s="2" t="str">
        <f t="shared" si="18"/>
        <v>23-24 Academic Year</v>
      </c>
      <c r="C1190" s="2">
        <v>22</v>
      </c>
      <c r="D1190" s="2" t="s">
        <v>5058</v>
      </c>
      <c r="E1190" s="10">
        <v>45347</v>
      </c>
      <c r="F1190" s="2" t="s">
        <v>2490</v>
      </c>
      <c r="G1190" s="2" t="s">
        <v>2170</v>
      </c>
      <c r="H1190" s="2" t="s">
        <v>6</v>
      </c>
      <c r="I1190" s="2" t="s">
        <v>370</v>
      </c>
      <c r="J1190" s="2" t="s">
        <v>2491</v>
      </c>
      <c r="K1190" s="2" t="s">
        <v>2492</v>
      </c>
      <c r="L1190" s="2" t="s">
        <v>1404</v>
      </c>
      <c r="M1190" s="3">
        <v>1</v>
      </c>
      <c r="N1190" s="3">
        <v>2</v>
      </c>
      <c r="P1190" s="2" t="s">
        <v>2493</v>
      </c>
    </row>
    <row r="1191" spans="1:16" ht="13">
      <c r="A1191" s="2" t="s">
        <v>4</v>
      </c>
      <c r="B1191" s="2" t="str">
        <f t="shared" si="18"/>
        <v>23-24 Academic Year</v>
      </c>
      <c r="C1191" s="2">
        <v>22</v>
      </c>
      <c r="D1191" s="2" t="s">
        <v>5058</v>
      </c>
      <c r="E1191" s="10">
        <v>45347</v>
      </c>
      <c r="F1191" s="2" t="s">
        <v>2490</v>
      </c>
      <c r="G1191" s="2" t="s">
        <v>2170</v>
      </c>
      <c r="H1191" s="2" t="s">
        <v>6</v>
      </c>
      <c r="I1191" s="2" t="s">
        <v>370</v>
      </c>
      <c r="J1191" s="2" t="s">
        <v>2494</v>
      </c>
      <c r="K1191" s="2" t="s">
        <v>64</v>
      </c>
      <c r="L1191" s="2" t="s">
        <v>646</v>
      </c>
      <c r="M1191" s="3">
        <v>1</v>
      </c>
      <c r="N1191" s="3">
        <v>2</v>
      </c>
      <c r="P1191" s="2" t="s">
        <v>2495</v>
      </c>
    </row>
    <row r="1192" spans="1:16" ht="13">
      <c r="A1192" s="2" t="s">
        <v>4</v>
      </c>
      <c r="B1192" s="2" t="str">
        <f t="shared" si="18"/>
        <v>23-24 Academic Year</v>
      </c>
      <c r="C1192" s="2">
        <v>22</v>
      </c>
      <c r="D1192" s="2" t="s">
        <v>5058</v>
      </c>
      <c r="E1192" s="10">
        <v>45347</v>
      </c>
      <c r="F1192" s="2" t="s">
        <v>2490</v>
      </c>
      <c r="G1192" s="2" t="s">
        <v>2170</v>
      </c>
      <c r="H1192" s="2" t="s">
        <v>6</v>
      </c>
      <c r="I1192" s="2" t="s">
        <v>370</v>
      </c>
      <c r="J1192" s="2" t="s">
        <v>2496</v>
      </c>
      <c r="K1192" s="2" t="s">
        <v>2497</v>
      </c>
      <c r="L1192" s="2" t="s">
        <v>1372</v>
      </c>
      <c r="M1192" s="3">
        <v>1</v>
      </c>
      <c r="N1192" s="3">
        <v>2</v>
      </c>
      <c r="P1192" s="2" t="s">
        <v>2498</v>
      </c>
    </row>
    <row r="1193" spans="1:16" ht="13">
      <c r="A1193" s="2" t="s">
        <v>4</v>
      </c>
      <c r="B1193" s="2" t="str">
        <f t="shared" si="18"/>
        <v>23-24 Academic Year</v>
      </c>
      <c r="C1193" s="2">
        <v>22</v>
      </c>
      <c r="D1193" s="2" t="s">
        <v>5058</v>
      </c>
      <c r="E1193" s="10">
        <v>45347</v>
      </c>
      <c r="F1193" s="2" t="s">
        <v>2490</v>
      </c>
      <c r="G1193" s="2" t="s">
        <v>2170</v>
      </c>
      <c r="H1193" s="2" t="s">
        <v>6</v>
      </c>
      <c r="I1193" s="2" t="s">
        <v>370</v>
      </c>
      <c r="J1193" s="2" t="s">
        <v>2499</v>
      </c>
      <c r="K1193" s="2" t="s">
        <v>2500</v>
      </c>
      <c r="L1193" s="2" t="s">
        <v>2345</v>
      </c>
      <c r="M1193" s="3">
        <v>3</v>
      </c>
      <c r="N1193" s="3">
        <v>1</v>
      </c>
      <c r="P1193" s="2" t="s">
        <v>2501</v>
      </c>
    </row>
    <row r="1194" spans="1:16" ht="13">
      <c r="A1194" s="2" t="s">
        <v>4</v>
      </c>
      <c r="B1194" s="2" t="str">
        <f t="shared" si="18"/>
        <v>23-24 Academic Year</v>
      </c>
      <c r="C1194" s="2">
        <v>23</v>
      </c>
      <c r="D1194" s="2" t="s">
        <v>4148</v>
      </c>
      <c r="E1194" s="10">
        <v>45351</v>
      </c>
      <c r="F1194" s="2" t="s">
        <v>2502</v>
      </c>
      <c r="G1194" s="2" t="s">
        <v>2226</v>
      </c>
      <c r="H1194" s="2" t="s">
        <v>6</v>
      </c>
      <c r="I1194" s="2" t="s">
        <v>932</v>
      </c>
      <c r="J1194" s="2" t="s">
        <v>2503</v>
      </c>
      <c r="K1194" s="2" t="s">
        <v>2504</v>
      </c>
      <c r="L1194" s="2" t="s">
        <v>5059</v>
      </c>
      <c r="M1194" s="3">
        <v>1</v>
      </c>
      <c r="N1194" s="3">
        <v>2</v>
      </c>
      <c r="P1194" s="2" t="s">
        <v>2505</v>
      </c>
    </row>
    <row r="1195" spans="1:16" ht="13">
      <c r="A1195" s="2" t="s">
        <v>4</v>
      </c>
      <c r="B1195" s="2" t="str">
        <f t="shared" si="18"/>
        <v>23-24 Academic Year</v>
      </c>
      <c r="C1195" s="2">
        <v>23</v>
      </c>
      <c r="D1195" s="2" t="s">
        <v>4148</v>
      </c>
      <c r="E1195" s="10">
        <v>45351</v>
      </c>
      <c r="F1195" s="2" t="s">
        <v>2502</v>
      </c>
      <c r="G1195" s="2" t="s">
        <v>2226</v>
      </c>
      <c r="H1195" s="2" t="s">
        <v>6</v>
      </c>
      <c r="I1195" s="2" t="s">
        <v>932</v>
      </c>
      <c r="J1195" s="2" t="s">
        <v>2506</v>
      </c>
      <c r="K1195" s="2" t="s">
        <v>2507</v>
      </c>
      <c r="L1195" s="2" t="s">
        <v>5060</v>
      </c>
      <c r="M1195" s="3">
        <v>1</v>
      </c>
      <c r="N1195" s="3">
        <v>1</v>
      </c>
      <c r="P1195" s="2" t="s">
        <v>2508</v>
      </c>
    </row>
    <row r="1196" spans="1:16" ht="13">
      <c r="A1196" s="2" t="s">
        <v>4</v>
      </c>
      <c r="B1196" s="2" t="str">
        <f t="shared" si="18"/>
        <v>23-24 Academic Year</v>
      </c>
      <c r="C1196" s="2">
        <v>23</v>
      </c>
      <c r="D1196" s="2" t="s">
        <v>4148</v>
      </c>
      <c r="E1196" s="10">
        <v>45351</v>
      </c>
      <c r="F1196" s="2" t="s">
        <v>2502</v>
      </c>
      <c r="G1196" s="2" t="s">
        <v>2226</v>
      </c>
      <c r="H1196" s="2" t="s">
        <v>6</v>
      </c>
      <c r="I1196" s="2" t="s">
        <v>932</v>
      </c>
      <c r="J1196" s="2" t="s">
        <v>2509</v>
      </c>
      <c r="K1196" s="2" t="s">
        <v>2510</v>
      </c>
      <c r="L1196" s="2" t="s">
        <v>1275</v>
      </c>
      <c r="M1196" s="3">
        <v>3</v>
      </c>
      <c r="N1196" s="3">
        <v>1</v>
      </c>
      <c r="O1196" s="2" t="s">
        <v>2511</v>
      </c>
      <c r="P1196" s="2" t="s">
        <v>2512</v>
      </c>
    </row>
    <row r="1197" spans="1:16" ht="13">
      <c r="A1197" s="2" t="s">
        <v>4</v>
      </c>
      <c r="B1197" s="2" t="str">
        <f t="shared" si="18"/>
        <v>23-24 Academic Year</v>
      </c>
      <c r="C1197" s="2">
        <v>23</v>
      </c>
      <c r="D1197" s="2" t="s">
        <v>4148</v>
      </c>
      <c r="E1197" s="10">
        <v>45351</v>
      </c>
      <c r="F1197" s="2" t="s">
        <v>2502</v>
      </c>
      <c r="G1197" s="2" t="s">
        <v>2226</v>
      </c>
      <c r="H1197" s="2" t="s">
        <v>6</v>
      </c>
      <c r="I1197" s="2" t="s">
        <v>932</v>
      </c>
      <c r="J1197" s="2" t="s">
        <v>2513</v>
      </c>
      <c r="K1197" s="2" t="s">
        <v>2514</v>
      </c>
      <c r="L1197" s="2" t="s">
        <v>5061</v>
      </c>
      <c r="M1197" s="3">
        <v>1</v>
      </c>
      <c r="N1197" s="3">
        <v>1</v>
      </c>
      <c r="P1197" s="2" t="s">
        <v>2515</v>
      </c>
    </row>
    <row r="1198" spans="1:16" ht="13">
      <c r="A1198" s="2" t="s">
        <v>4</v>
      </c>
      <c r="B1198" s="2" t="str">
        <f t="shared" si="18"/>
        <v>23-24 Academic Year</v>
      </c>
      <c r="C1198" s="2">
        <v>23</v>
      </c>
      <c r="D1198" s="2" t="s">
        <v>4148</v>
      </c>
      <c r="E1198" s="10">
        <v>45351</v>
      </c>
      <c r="F1198" s="2" t="s">
        <v>2502</v>
      </c>
      <c r="G1198" s="2" t="s">
        <v>2226</v>
      </c>
      <c r="H1198" s="2" t="s">
        <v>6</v>
      </c>
      <c r="I1198" s="2" t="s">
        <v>932</v>
      </c>
      <c r="J1198" s="2" t="s">
        <v>2516</v>
      </c>
      <c r="K1198" s="2" t="s">
        <v>2517</v>
      </c>
      <c r="L1198" s="2" t="s">
        <v>5062</v>
      </c>
      <c r="M1198" s="3">
        <v>2</v>
      </c>
      <c r="N1198" s="3">
        <v>1</v>
      </c>
      <c r="P1198" s="2" t="s">
        <v>2518</v>
      </c>
    </row>
    <row r="1199" spans="1:16" ht="13">
      <c r="A1199" s="2" t="s">
        <v>4</v>
      </c>
      <c r="B1199" s="2" t="str">
        <f t="shared" si="18"/>
        <v>23-24 Academic Year</v>
      </c>
      <c r="C1199" s="2">
        <v>23</v>
      </c>
      <c r="D1199" s="2" t="s">
        <v>4148</v>
      </c>
      <c r="E1199" s="10">
        <v>45351</v>
      </c>
      <c r="F1199" s="2" t="s">
        <v>2502</v>
      </c>
      <c r="G1199" s="2" t="s">
        <v>2226</v>
      </c>
      <c r="H1199" s="2" t="s">
        <v>6</v>
      </c>
      <c r="I1199" s="2" t="s">
        <v>932</v>
      </c>
      <c r="J1199" s="2" t="s">
        <v>2519</v>
      </c>
      <c r="K1199" s="2" t="s">
        <v>1687</v>
      </c>
      <c r="L1199" s="2" t="s">
        <v>1688</v>
      </c>
      <c r="M1199" s="3">
        <v>1</v>
      </c>
      <c r="N1199" s="3">
        <v>1</v>
      </c>
      <c r="P1199" s="2" t="s">
        <v>2520</v>
      </c>
    </row>
    <row r="1200" spans="1:16" ht="13">
      <c r="A1200" s="2" t="s">
        <v>4</v>
      </c>
      <c r="B1200" s="2" t="str">
        <f t="shared" si="18"/>
        <v>23-24 Academic Year</v>
      </c>
      <c r="C1200" s="2">
        <v>24</v>
      </c>
      <c r="D1200" s="2" t="s">
        <v>349</v>
      </c>
      <c r="E1200" s="10">
        <v>45352</v>
      </c>
      <c r="F1200" s="2" t="s">
        <v>2521</v>
      </c>
      <c r="G1200" s="2" t="s">
        <v>2184</v>
      </c>
      <c r="H1200" s="2" t="s">
        <v>7</v>
      </c>
      <c r="I1200" s="2" t="s">
        <v>787</v>
      </c>
      <c r="J1200" s="2" t="s">
        <v>2522</v>
      </c>
      <c r="K1200" s="2" t="s">
        <v>2523</v>
      </c>
      <c r="L1200" s="2" t="s">
        <v>5063</v>
      </c>
      <c r="M1200" s="3">
        <v>3</v>
      </c>
      <c r="N1200" s="3">
        <v>1</v>
      </c>
      <c r="P1200" s="2" t="s">
        <v>2524</v>
      </c>
    </row>
    <row r="1201" spans="1:16" ht="13">
      <c r="A1201" s="2" t="s">
        <v>4</v>
      </c>
      <c r="B1201" s="2" t="str">
        <f t="shared" si="18"/>
        <v>23-24 Academic Year</v>
      </c>
      <c r="C1201" s="2">
        <v>24</v>
      </c>
      <c r="D1201" s="2" t="s">
        <v>349</v>
      </c>
      <c r="E1201" s="10">
        <v>45352</v>
      </c>
      <c r="F1201" s="2" t="s">
        <v>2521</v>
      </c>
      <c r="G1201" s="2" t="s">
        <v>2184</v>
      </c>
      <c r="H1201" s="2" t="s">
        <v>7</v>
      </c>
      <c r="I1201" s="2" t="s">
        <v>787</v>
      </c>
      <c r="J1201" s="2" t="s">
        <v>2525</v>
      </c>
      <c r="K1201" s="2" t="s">
        <v>2523</v>
      </c>
      <c r="L1201" s="2" t="s">
        <v>5063</v>
      </c>
      <c r="M1201" s="3">
        <v>3</v>
      </c>
      <c r="N1201" s="3">
        <v>1</v>
      </c>
      <c r="P1201" s="2" t="s">
        <v>2526</v>
      </c>
    </row>
    <row r="1202" spans="1:16" ht="13">
      <c r="A1202" s="2" t="s">
        <v>4</v>
      </c>
      <c r="B1202" s="2" t="str">
        <f t="shared" si="18"/>
        <v>23-24 Academic Year</v>
      </c>
      <c r="C1202" s="2">
        <v>24</v>
      </c>
      <c r="D1202" s="2" t="s">
        <v>349</v>
      </c>
      <c r="E1202" s="10">
        <v>45352</v>
      </c>
      <c r="F1202" s="2" t="s">
        <v>2521</v>
      </c>
      <c r="G1202" s="2" t="s">
        <v>2184</v>
      </c>
      <c r="H1202" s="2" t="s">
        <v>7</v>
      </c>
      <c r="I1202" s="2" t="s">
        <v>787</v>
      </c>
      <c r="J1202" s="2" t="s">
        <v>2527</v>
      </c>
      <c r="K1202" s="2" t="s">
        <v>2528</v>
      </c>
      <c r="L1202" s="2" t="s">
        <v>5064</v>
      </c>
      <c r="M1202" s="3">
        <v>3</v>
      </c>
      <c r="N1202" s="3">
        <v>2</v>
      </c>
      <c r="P1202" s="2" t="s">
        <v>2529</v>
      </c>
    </row>
    <row r="1203" spans="1:16" ht="13">
      <c r="A1203" s="2" t="s">
        <v>4</v>
      </c>
      <c r="B1203" s="2" t="str">
        <f t="shared" si="18"/>
        <v>23-24 Academic Year</v>
      </c>
      <c r="C1203" s="2">
        <v>24</v>
      </c>
      <c r="D1203" s="2" t="s">
        <v>349</v>
      </c>
      <c r="E1203" s="10">
        <v>45352</v>
      </c>
      <c r="F1203" s="2" t="s">
        <v>2521</v>
      </c>
      <c r="G1203" s="2" t="s">
        <v>2184</v>
      </c>
      <c r="H1203" s="2" t="s">
        <v>7</v>
      </c>
      <c r="I1203" s="2" t="s">
        <v>787</v>
      </c>
      <c r="J1203" s="2" t="s">
        <v>2530</v>
      </c>
      <c r="K1203" s="2" t="s">
        <v>359</v>
      </c>
      <c r="L1203" s="2" t="s">
        <v>4753</v>
      </c>
      <c r="M1203" s="3">
        <v>3</v>
      </c>
      <c r="N1203" s="3">
        <v>1</v>
      </c>
      <c r="P1203" s="2" t="s">
        <v>2531</v>
      </c>
    </row>
    <row r="1204" spans="1:16" ht="13">
      <c r="A1204" s="2" t="s">
        <v>4</v>
      </c>
      <c r="B1204" s="2" t="str">
        <f t="shared" si="18"/>
        <v>23-24 Academic Year</v>
      </c>
      <c r="C1204" s="2">
        <v>24</v>
      </c>
      <c r="D1204" s="2" t="s">
        <v>349</v>
      </c>
      <c r="E1204" s="10">
        <v>45352</v>
      </c>
      <c r="F1204" s="2" t="s">
        <v>2521</v>
      </c>
      <c r="G1204" s="2" t="s">
        <v>2184</v>
      </c>
      <c r="H1204" s="2" t="s">
        <v>7</v>
      </c>
      <c r="I1204" s="2" t="s">
        <v>787</v>
      </c>
      <c r="J1204" s="2" t="s">
        <v>2532</v>
      </c>
      <c r="K1204" s="2" t="s">
        <v>2533</v>
      </c>
      <c r="L1204" s="2" t="s">
        <v>4865</v>
      </c>
      <c r="M1204" s="3">
        <v>1</v>
      </c>
      <c r="N1204" s="3">
        <v>1</v>
      </c>
      <c r="P1204" s="2" t="s">
        <v>2534</v>
      </c>
    </row>
    <row r="1205" spans="1:16" ht="13">
      <c r="A1205" s="2" t="s">
        <v>4</v>
      </c>
      <c r="B1205" s="2" t="str">
        <f t="shared" si="18"/>
        <v>23-24 Academic Year</v>
      </c>
      <c r="C1205" s="2">
        <v>24</v>
      </c>
      <c r="D1205" s="2" t="s">
        <v>349</v>
      </c>
      <c r="E1205" s="10">
        <v>45352</v>
      </c>
      <c r="F1205" s="2" t="s">
        <v>2521</v>
      </c>
      <c r="G1205" s="2" t="s">
        <v>2184</v>
      </c>
      <c r="H1205" s="2" t="s">
        <v>7</v>
      </c>
      <c r="I1205" s="2" t="s">
        <v>787</v>
      </c>
      <c r="J1205" s="2" t="s">
        <v>2535</v>
      </c>
      <c r="K1205" s="2" t="s">
        <v>355</v>
      </c>
      <c r="L1205" s="2" t="s">
        <v>1661</v>
      </c>
      <c r="M1205" s="3">
        <v>3</v>
      </c>
      <c r="N1205" s="3">
        <v>2</v>
      </c>
      <c r="P1205" s="2" t="s">
        <v>2536</v>
      </c>
    </row>
    <row r="1206" spans="1:16" ht="13">
      <c r="A1206" s="2" t="s">
        <v>4</v>
      </c>
      <c r="B1206" s="2" t="str">
        <f t="shared" si="18"/>
        <v>23-24 Academic Year</v>
      </c>
      <c r="C1206" s="2">
        <v>25</v>
      </c>
      <c r="D1206" s="2" t="s">
        <v>5065</v>
      </c>
      <c r="E1206" s="10">
        <v>45356</v>
      </c>
      <c r="F1206" s="2" t="s">
        <v>2537</v>
      </c>
      <c r="G1206" s="2" t="s">
        <v>2240</v>
      </c>
      <c r="H1206" s="2" t="s">
        <v>6</v>
      </c>
      <c r="I1206" s="2" t="s">
        <v>913</v>
      </c>
      <c r="J1206" s="2" t="s">
        <v>2538</v>
      </c>
      <c r="K1206" s="2" t="s">
        <v>2539</v>
      </c>
      <c r="L1206" s="2" t="s">
        <v>403</v>
      </c>
      <c r="M1206" s="3">
        <v>1</v>
      </c>
      <c r="N1206" s="3">
        <v>2</v>
      </c>
      <c r="P1206" s="2" t="s">
        <v>2540</v>
      </c>
    </row>
    <row r="1207" spans="1:16" ht="13">
      <c r="A1207" s="2" t="s">
        <v>4</v>
      </c>
      <c r="B1207" s="2" t="str">
        <f t="shared" si="18"/>
        <v>23-24 Academic Year</v>
      </c>
      <c r="C1207" s="2">
        <v>25</v>
      </c>
      <c r="D1207" s="2" t="s">
        <v>5065</v>
      </c>
      <c r="E1207" s="10">
        <v>45356</v>
      </c>
      <c r="F1207" s="2" t="s">
        <v>2537</v>
      </c>
      <c r="G1207" s="2" t="s">
        <v>2240</v>
      </c>
      <c r="H1207" s="2" t="s">
        <v>6</v>
      </c>
      <c r="I1207" s="2" t="s">
        <v>913</v>
      </c>
      <c r="J1207" s="2" t="s">
        <v>2541</v>
      </c>
      <c r="K1207" s="2" t="s">
        <v>2542</v>
      </c>
      <c r="L1207" s="2" t="s">
        <v>2056</v>
      </c>
      <c r="M1207" s="3">
        <v>999</v>
      </c>
      <c r="N1207" s="3">
        <v>999</v>
      </c>
      <c r="P1207" s="2" t="s">
        <v>2543</v>
      </c>
    </row>
    <row r="1208" spans="1:16" ht="13">
      <c r="A1208" s="2" t="s">
        <v>4</v>
      </c>
      <c r="B1208" s="2" t="str">
        <f t="shared" si="18"/>
        <v>23-24 Academic Year</v>
      </c>
      <c r="C1208" s="2">
        <v>25</v>
      </c>
      <c r="D1208" s="2" t="s">
        <v>5065</v>
      </c>
      <c r="E1208" s="10">
        <v>45356</v>
      </c>
      <c r="F1208" s="2" t="s">
        <v>2537</v>
      </c>
      <c r="G1208" s="2" t="s">
        <v>2240</v>
      </c>
      <c r="H1208" s="2" t="s">
        <v>6</v>
      </c>
      <c r="I1208" s="2" t="s">
        <v>913</v>
      </c>
      <c r="J1208" s="2" t="s">
        <v>2544</v>
      </c>
      <c r="K1208" s="2" t="s">
        <v>2545</v>
      </c>
      <c r="L1208" s="2" t="s">
        <v>5066</v>
      </c>
      <c r="M1208" s="3">
        <v>1</v>
      </c>
      <c r="N1208" s="3">
        <v>2</v>
      </c>
      <c r="P1208" s="2" t="s">
        <v>2546</v>
      </c>
    </row>
    <row r="1209" spans="1:16" ht="13">
      <c r="A1209" s="2" t="s">
        <v>4</v>
      </c>
      <c r="B1209" s="2" t="str">
        <f t="shared" si="18"/>
        <v>23-24 Academic Year</v>
      </c>
      <c r="C1209" s="2">
        <v>25</v>
      </c>
      <c r="D1209" s="2" t="s">
        <v>5065</v>
      </c>
      <c r="E1209" s="10">
        <v>45356</v>
      </c>
      <c r="F1209" s="2" t="s">
        <v>2537</v>
      </c>
      <c r="G1209" s="2" t="s">
        <v>2240</v>
      </c>
      <c r="H1209" s="2" t="s">
        <v>6</v>
      </c>
      <c r="I1209" s="2" t="s">
        <v>913</v>
      </c>
      <c r="J1209" s="2" t="s">
        <v>2547</v>
      </c>
      <c r="K1209" s="2" t="s">
        <v>2548</v>
      </c>
      <c r="L1209" s="2" t="s">
        <v>5067</v>
      </c>
      <c r="M1209" s="3">
        <v>1</v>
      </c>
      <c r="N1209" s="3">
        <v>1</v>
      </c>
      <c r="P1209" s="2" t="s">
        <v>2549</v>
      </c>
    </row>
    <row r="1210" spans="1:16" ht="13">
      <c r="A1210" s="2" t="s">
        <v>4</v>
      </c>
      <c r="B1210" s="2" t="str">
        <f t="shared" si="18"/>
        <v>23-24 Academic Year</v>
      </c>
      <c r="C1210" s="2">
        <v>25</v>
      </c>
      <c r="D1210" s="2" t="s">
        <v>5065</v>
      </c>
      <c r="E1210" s="10">
        <v>45356</v>
      </c>
      <c r="F1210" s="2" t="s">
        <v>2537</v>
      </c>
      <c r="G1210" s="2" t="s">
        <v>2240</v>
      </c>
      <c r="H1210" s="2" t="s">
        <v>6</v>
      </c>
      <c r="I1210" s="2" t="s">
        <v>913</v>
      </c>
      <c r="J1210" s="2" t="s">
        <v>2550</v>
      </c>
      <c r="K1210" s="2" t="s">
        <v>674</v>
      </c>
      <c r="L1210" s="2" t="s">
        <v>4935</v>
      </c>
      <c r="M1210" s="3">
        <v>1</v>
      </c>
      <c r="N1210" s="3">
        <v>1</v>
      </c>
      <c r="P1210" s="2" t="s">
        <v>2551</v>
      </c>
    </row>
    <row r="1211" spans="1:16" ht="13">
      <c r="A1211" s="2" t="s">
        <v>4</v>
      </c>
      <c r="B1211" s="2" t="str">
        <f t="shared" si="18"/>
        <v>23-24 Academic Year</v>
      </c>
      <c r="C1211" s="2">
        <v>25</v>
      </c>
      <c r="D1211" s="2" t="s">
        <v>5065</v>
      </c>
      <c r="E1211" s="10">
        <v>45356</v>
      </c>
      <c r="F1211" s="2" t="s">
        <v>2537</v>
      </c>
      <c r="G1211" s="2" t="s">
        <v>2240</v>
      </c>
      <c r="H1211" s="2" t="s">
        <v>6</v>
      </c>
      <c r="I1211" s="2" t="s">
        <v>913</v>
      </c>
      <c r="J1211" s="2" t="s">
        <v>2552</v>
      </c>
      <c r="K1211" s="2" t="s">
        <v>418</v>
      </c>
      <c r="L1211" s="2" t="s">
        <v>4779</v>
      </c>
      <c r="M1211" s="3">
        <v>1</v>
      </c>
      <c r="N1211" s="3">
        <v>1</v>
      </c>
      <c r="P1211" s="2" t="s">
        <v>2553</v>
      </c>
    </row>
    <row r="1212" spans="1:16" ht="13">
      <c r="A1212" s="2" t="s">
        <v>4</v>
      </c>
      <c r="B1212" s="2" t="str">
        <f t="shared" si="18"/>
        <v>23-24 Academic Year</v>
      </c>
      <c r="C1212" s="2">
        <v>25</v>
      </c>
      <c r="D1212" s="2" t="s">
        <v>5065</v>
      </c>
      <c r="E1212" s="10">
        <v>45356</v>
      </c>
      <c r="F1212" s="2" t="s">
        <v>2537</v>
      </c>
      <c r="G1212" s="2" t="s">
        <v>2240</v>
      </c>
      <c r="H1212" s="2" t="s">
        <v>6</v>
      </c>
      <c r="I1212" s="2" t="s">
        <v>913</v>
      </c>
      <c r="J1212" s="2" t="s">
        <v>2554</v>
      </c>
      <c r="K1212" s="2" t="s">
        <v>2555</v>
      </c>
      <c r="L1212" s="2" t="s">
        <v>5068</v>
      </c>
      <c r="M1212" s="3">
        <v>2</v>
      </c>
      <c r="N1212" s="3">
        <v>1</v>
      </c>
      <c r="P1212" s="2" t="s">
        <v>2556</v>
      </c>
    </row>
    <row r="1213" spans="1:16" ht="13">
      <c r="A1213" s="2" t="s">
        <v>4</v>
      </c>
      <c r="B1213" s="2" t="str">
        <f t="shared" si="18"/>
        <v>23-24 Academic Year</v>
      </c>
      <c r="C1213" s="2">
        <v>26</v>
      </c>
      <c r="D1213" s="2" t="s">
        <v>2567</v>
      </c>
      <c r="E1213" s="10">
        <v>45357</v>
      </c>
      <c r="F1213" s="2" t="s">
        <v>2557</v>
      </c>
      <c r="G1213" s="2" t="s">
        <v>2240</v>
      </c>
      <c r="H1213" s="2" t="s">
        <v>6</v>
      </c>
      <c r="I1213" s="2" t="s">
        <v>932</v>
      </c>
      <c r="J1213" s="2" t="s">
        <v>2558</v>
      </c>
      <c r="K1213" s="2" t="s">
        <v>2559</v>
      </c>
      <c r="L1213" s="2" t="s">
        <v>5069</v>
      </c>
      <c r="M1213" s="3">
        <v>1</v>
      </c>
      <c r="N1213" s="3">
        <v>1</v>
      </c>
      <c r="P1213" s="2" t="s">
        <v>2560</v>
      </c>
    </row>
    <row r="1214" spans="1:16" ht="13">
      <c r="A1214" s="2" t="s">
        <v>4</v>
      </c>
      <c r="B1214" s="2" t="str">
        <f t="shared" si="18"/>
        <v>23-24 Academic Year</v>
      </c>
      <c r="C1214" s="2">
        <v>26</v>
      </c>
      <c r="D1214" s="2" t="s">
        <v>2567</v>
      </c>
      <c r="E1214" s="10">
        <v>45357</v>
      </c>
      <c r="F1214" s="2" t="s">
        <v>2557</v>
      </c>
      <c r="G1214" s="2" t="s">
        <v>2240</v>
      </c>
      <c r="H1214" s="2" t="s">
        <v>6</v>
      </c>
      <c r="I1214" s="2" t="s">
        <v>932</v>
      </c>
      <c r="J1214" s="2" t="s">
        <v>2561</v>
      </c>
      <c r="K1214" s="2" t="s">
        <v>1015</v>
      </c>
      <c r="L1214" s="2" t="s">
        <v>1396</v>
      </c>
      <c r="M1214" s="3">
        <v>3</v>
      </c>
      <c r="N1214" s="3">
        <v>1</v>
      </c>
      <c r="P1214" s="2" t="s">
        <v>2562</v>
      </c>
    </row>
    <row r="1215" spans="1:16" ht="13">
      <c r="A1215" s="2" t="s">
        <v>4</v>
      </c>
      <c r="B1215" s="2" t="str">
        <f t="shared" si="18"/>
        <v>23-24 Academic Year</v>
      </c>
      <c r="C1215" s="2">
        <v>26</v>
      </c>
      <c r="D1215" s="2" t="s">
        <v>2567</v>
      </c>
      <c r="E1215" s="10">
        <v>45357</v>
      </c>
      <c r="F1215" s="2" t="s">
        <v>2557</v>
      </c>
      <c r="G1215" s="2" t="s">
        <v>2240</v>
      </c>
      <c r="H1215" s="2" t="s">
        <v>6</v>
      </c>
      <c r="I1215" s="2" t="s">
        <v>932</v>
      </c>
      <c r="J1215" s="2" t="s">
        <v>2563</v>
      </c>
      <c r="K1215" s="2" t="s">
        <v>2564</v>
      </c>
      <c r="L1215" s="2" t="s">
        <v>5070</v>
      </c>
      <c r="M1215" s="3">
        <v>1</v>
      </c>
      <c r="N1215" s="3">
        <v>1</v>
      </c>
      <c r="P1215" s="2" t="s">
        <v>2565</v>
      </c>
    </row>
    <row r="1216" spans="1:16" ht="13">
      <c r="A1216" s="2" t="s">
        <v>4</v>
      </c>
      <c r="B1216" s="2" t="str">
        <f t="shared" si="18"/>
        <v>23-24 Academic Year</v>
      </c>
      <c r="C1216" s="2">
        <v>26</v>
      </c>
      <c r="D1216" s="2" t="s">
        <v>2567</v>
      </c>
      <c r="E1216" s="10">
        <v>45357</v>
      </c>
      <c r="F1216" s="2" t="s">
        <v>2557</v>
      </c>
      <c r="G1216" s="2" t="s">
        <v>2240</v>
      </c>
      <c r="H1216" s="2" t="s">
        <v>6</v>
      </c>
      <c r="I1216" s="2" t="s">
        <v>932</v>
      </c>
      <c r="J1216" s="2" t="s">
        <v>2566</v>
      </c>
      <c r="K1216" s="2" t="s">
        <v>2567</v>
      </c>
      <c r="L1216" s="2" t="s">
        <v>4053</v>
      </c>
      <c r="M1216" s="3">
        <v>1</v>
      </c>
      <c r="N1216" s="3">
        <v>1</v>
      </c>
      <c r="P1216" s="2" t="s">
        <v>2568</v>
      </c>
    </row>
    <row r="1217" spans="1:16" ht="13">
      <c r="A1217" s="2" t="s">
        <v>4</v>
      </c>
      <c r="B1217" s="2" t="str">
        <f t="shared" si="18"/>
        <v>23-24 Academic Year</v>
      </c>
      <c r="C1217" s="2">
        <v>26</v>
      </c>
      <c r="D1217" s="2" t="s">
        <v>2567</v>
      </c>
      <c r="E1217" s="10">
        <v>45357</v>
      </c>
      <c r="F1217" s="2" t="s">
        <v>2557</v>
      </c>
      <c r="G1217" s="2" t="s">
        <v>2240</v>
      </c>
      <c r="H1217" s="2" t="s">
        <v>6</v>
      </c>
      <c r="I1217" s="2" t="s">
        <v>932</v>
      </c>
      <c r="J1217" s="2" t="s">
        <v>2569</v>
      </c>
      <c r="K1217" s="2" t="s">
        <v>330</v>
      </c>
      <c r="L1217" s="2" t="s">
        <v>1997</v>
      </c>
      <c r="M1217" s="3">
        <v>4</v>
      </c>
      <c r="N1217" s="3">
        <v>1</v>
      </c>
      <c r="P1217" s="2" t="s">
        <v>2570</v>
      </c>
    </row>
    <row r="1218" spans="1:16" ht="13">
      <c r="A1218" s="2" t="s">
        <v>4</v>
      </c>
      <c r="B1218" s="2" t="str">
        <f t="shared" si="18"/>
        <v>23-24 Academic Year</v>
      </c>
      <c r="C1218" s="2">
        <v>26</v>
      </c>
      <c r="D1218" s="2" t="s">
        <v>2567</v>
      </c>
      <c r="E1218" s="10">
        <v>45357</v>
      </c>
      <c r="F1218" s="2" t="s">
        <v>2557</v>
      </c>
      <c r="G1218" s="2" t="s">
        <v>2240</v>
      </c>
      <c r="H1218" s="2" t="s">
        <v>6</v>
      </c>
      <c r="I1218" s="2" t="s">
        <v>932</v>
      </c>
      <c r="J1218" s="2" t="s">
        <v>2571</v>
      </c>
      <c r="K1218" s="2" t="s">
        <v>2572</v>
      </c>
      <c r="L1218" s="2" t="s">
        <v>5071</v>
      </c>
      <c r="M1218" s="3">
        <v>5</v>
      </c>
      <c r="N1218" s="3">
        <v>1</v>
      </c>
      <c r="P1218" s="2" t="s">
        <v>2573</v>
      </c>
    </row>
    <row r="1219" spans="1:16" ht="13">
      <c r="A1219" s="2" t="s">
        <v>4</v>
      </c>
      <c r="B1219" s="2" t="str">
        <f t="shared" ref="B1219:B1282" si="19">RIGHT(TEXT(IF(LEFT(A1219,4)="Fall",VALUE(RIGHT(A1219,4)),VALUE(RIGHT(A1219,4))-1),"00"),2)
 &amp; "-" &amp;
 RIGHT(TEXT(IF(LEFT(A1219,4)="Fall",VALUE(RIGHT(A1219,4))+1,VALUE(RIGHT(A1219,4))),"00"),2)
 &amp; " Academic Year"</f>
        <v>23-24 Academic Year</v>
      </c>
      <c r="C1219" s="2">
        <v>26</v>
      </c>
      <c r="D1219" s="2" t="s">
        <v>2567</v>
      </c>
      <c r="E1219" s="10">
        <v>45357</v>
      </c>
      <c r="F1219" s="2" t="s">
        <v>2557</v>
      </c>
      <c r="G1219" s="2" t="s">
        <v>2240</v>
      </c>
      <c r="H1219" s="2" t="s">
        <v>6</v>
      </c>
      <c r="I1219" s="2" t="s">
        <v>932</v>
      </c>
      <c r="J1219" s="2" t="s">
        <v>2574</v>
      </c>
      <c r="K1219" s="2" t="s">
        <v>2575</v>
      </c>
      <c r="L1219" s="2" t="s">
        <v>5072</v>
      </c>
      <c r="M1219" s="3">
        <v>4</v>
      </c>
      <c r="N1219" s="3">
        <v>1</v>
      </c>
      <c r="P1219" s="2" t="s">
        <v>2576</v>
      </c>
    </row>
    <row r="1220" spans="1:16" ht="13">
      <c r="A1220" s="2" t="s">
        <v>4</v>
      </c>
      <c r="B1220" s="2" t="str">
        <f t="shared" si="19"/>
        <v>23-24 Academic Year</v>
      </c>
      <c r="C1220" s="2">
        <v>26</v>
      </c>
      <c r="D1220" s="2" t="s">
        <v>2567</v>
      </c>
      <c r="E1220" s="10">
        <v>45357</v>
      </c>
      <c r="F1220" s="2" t="s">
        <v>2557</v>
      </c>
      <c r="G1220" s="2" t="s">
        <v>2240</v>
      </c>
      <c r="H1220" s="2" t="s">
        <v>6</v>
      </c>
      <c r="I1220" s="2" t="s">
        <v>932</v>
      </c>
      <c r="J1220" s="2" t="s">
        <v>2577</v>
      </c>
      <c r="K1220" s="2" t="s">
        <v>2488</v>
      </c>
      <c r="L1220" s="2" t="s">
        <v>5057</v>
      </c>
      <c r="M1220" s="3">
        <v>1</v>
      </c>
      <c r="N1220" s="3">
        <v>1</v>
      </c>
      <c r="P1220" s="2" t="s">
        <v>2578</v>
      </c>
    </row>
    <row r="1221" spans="1:16" ht="13">
      <c r="A1221" s="2" t="s">
        <v>4</v>
      </c>
      <c r="B1221" s="2" t="str">
        <f t="shared" si="19"/>
        <v>23-24 Academic Year</v>
      </c>
      <c r="C1221" s="2">
        <v>27</v>
      </c>
      <c r="D1221" s="2" t="s">
        <v>5073</v>
      </c>
      <c r="E1221" s="10">
        <v>45358</v>
      </c>
      <c r="F1221" s="2" t="s">
        <v>2579</v>
      </c>
      <c r="G1221" s="2" t="s">
        <v>2170</v>
      </c>
      <c r="H1221" s="2" t="s">
        <v>6</v>
      </c>
      <c r="I1221" s="2" t="s">
        <v>619</v>
      </c>
      <c r="J1221" s="2" t="s">
        <v>2580</v>
      </c>
      <c r="K1221" s="2" t="s">
        <v>1077</v>
      </c>
      <c r="L1221" s="2" t="s">
        <v>398</v>
      </c>
      <c r="M1221" s="3">
        <v>1</v>
      </c>
      <c r="N1221" s="3">
        <v>2</v>
      </c>
      <c r="P1221" s="2" t="s">
        <v>2581</v>
      </c>
    </row>
    <row r="1222" spans="1:16" ht="13">
      <c r="A1222" s="2" t="s">
        <v>4</v>
      </c>
      <c r="B1222" s="2" t="str">
        <f t="shared" si="19"/>
        <v>23-24 Academic Year</v>
      </c>
      <c r="C1222" s="2">
        <v>27</v>
      </c>
      <c r="D1222" s="2" t="s">
        <v>5073</v>
      </c>
      <c r="E1222" s="10">
        <v>45358</v>
      </c>
      <c r="F1222" s="2" t="s">
        <v>2579</v>
      </c>
      <c r="G1222" s="2" t="s">
        <v>2170</v>
      </c>
      <c r="H1222" s="2" t="s">
        <v>6</v>
      </c>
      <c r="I1222" s="2" t="s">
        <v>619</v>
      </c>
      <c r="J1222" s="2" t="s">
        <v>2582</v>
      </c>
      <c r="K1222" s="2" t="s">
        <v>2583</v>
      </c>
      <c r="L1222" s="2" t="s">
        <v>2584</v>
      </c>
      <c r="M1222" s="3">
        <v>1</v>
      </c>
      <c r="N1222" s="3">
        <v>2</v>
      </c>
      <c r="P1222" s="2" t="s">
        <v>2585</v>
      </c>
    </row>
    <row r="1223" spans="1:16" ht="13">
      <c r="A1223" s="2" t="s">
        <v>4</v>
      </c>
      <c r="B1223" s="2" t="str">
        <f t="shared" si="19"/>
        <v>23-24 Academic Year</v>
      </c>
      <c r="C1223" s="2">
        <v>27</v>
      </c>
      <c r="D1223" s="2" t="s">
        <v>5073</v>
      </c>
      <c r="E1223" s="10">
        <v>45358</v>
      </c>
      <c r="F1223" s="2" t="s">
        <v>2579</v>
      </c>
      <c r="G1223" s="2" t="s">
        <v>2170</v>
      </c>
      <c r="H1223" s="2" t="s">
        <v>6</v>
      </c>
      <c r="I1223" s="2" t="s">
        <v>619</v>
      </c>
      <c r="J1223" s="2" t="s">
        <v>2586</v>
      </c>
      <c r="K1223" s="2" t="s">
        <v>2587</v>
      </c>
      <c r="L1223" s="2" t="s">
        <v>5074</v>
      </c>
      <c r="M1223" s="3">
        <v>3</v>
      </c>
      <c r="N1223" s="3">
        <v>1</v>
      </c>
      <c r="P1223" s="2" t="s">
        <v>2588</v>
      </c>
    </row>
    <row r="1224" spans="1:16" ht="13">
      <c r="A1224" s="2" t="s">
        <v>4</v>
      </c>
      <c r="B1224" s="2" t="str">
        <f t="shared" si="19"/>
        <v>23-24 Academic Year</v>
      </c>
      <c r="C1224" s="2">
        <v>27</v>
      </c>
      <c r="D1224" s="2" t="s">
        <v>5073</v>
      </c>
      <c r="E1224" s="10">
        <v>45358</v>
      </c>
      <c r="F1224" s="2" t="s">
        <v>2579</v>
      </c>
      <c r="G1224" s="2" t="s">
        <v>2170</v>
      </c>
      <c r="H1224" s="2" t="s">
        <v>6</v>
      </c>
      <c r="I1224" s="2" t="s">
        <v>619</v>
      </c>
      <c r="J1224" s="2" t="s">
        <v>2589</v>
      </c>
      <c r="K1224" s="2" t="s">
        <v>2590</v>
      </c>
      <c r="L1224" s="2" t="s">
        <v>2591</v>
      </c>
      <c r="M1224" s="3">
        <v>3</v>
      </c>
      <c r="N1224" s="3">
        <v>1</v>
      </c>
      <c r="P1224" s="2" t="s">
        <v>2592</v>
      </c>
    </row>
    <row r="1225" spans="1:16" ht="13">
      <c r="A1225" s="2" t="s">
        <v>4</v>
      </c>
      <c r="B1225" s="2" t="str">
        <f t="shared" si="19"/>
        <v>23-24 Academic Year</v>
      </c>
      <c r="C1225" s="2">
        <v>27</v>
      </c>
      <c r="D1225" s="2" t="s">
        <v>5073</v>
      </c>
      <c r="E1225" s="10">
        <v>45358</v>
      </c>
      <c r="F1225" s="2" t="s">
        <v>2579</v>
      </c>
      <c r="G1225" s="2" t="s">
        <v>2170</v>
      </c>
      <c r="H1225" s="2" t="s">
        <v>6</v>
      </c>
      <c r="I1225" s="2" t="s">
        <v>619</v>
      </c>
      <c r="J1225" s="2" t="s">
        <v>2593</v>
      </c>
      <c r="K1225" s="2" t="s">
        <v>2594</v>
      </c>
      <c r="L1225" s="2" t="s">
        <v>5075</v>
      </c>
      <c r="M1225" s="3">
        <v>3</v>
      </c>
      <c r="N1225" s="3">
        <v>2</v>
      </c>
      <c r="P1225" s="2" t="s">
        <v>2595</v>
      </c>
    </row>
    <row r="1226" spans="1:16" ht="13">
      <c r="A1226" s="2" t="s">
        <v>4</v>
      </c>
      <c r="B1226" s="2" t="str">
        <f t="shared" si="19"/>
        <v>23-24 Academic Year</v>
      </c>
      <c r="C1226" s="2">
        <v>27</v>
      </c>
      <c r="D1226" s="2" t="s">
        <v>5073</v>
      </c>
      <c r="E1226" s="10">
        <v>45358</v>
      </c>
      <c r="F1226" s="2" t="s">
        <v>2579</v>
      </c>
      <c r="G1226" s="2" t="s">
        <v>2170</v>
      </c>
      <c r="H1226" s="2" t="s">
        <v>6</v>
      </c>
      <c r="I1226" s="2" t="s">
        <v>619</v>
      </c>
      <c r="J1226" s="2" t="s">
        <v>2596</v>
      </c>
      <c r="K1226" s="2" t="s">
        <v>2597</v>
      </c>
      <c r="L1226" s="2" t="s">
        <v>2598</v>
      </c>
      <c r="M1226" s="3">
        <v>3</v>
      </c>
      <c r="N1226" s="3">
        <v>2</v>
      </c>
      <c r="P1226" s="2" t="s">
        <v>2599</v>
      </c>
    </row>
    <row r="1227" spans="1:16" ht="13">
      <c r="A1227" s="2" t="s">
        <v>4</v>
      </c>
      <c r="B1227" s="2" t="str">
        <f t="shared" si="19"/>
        <v>23-24 Academic Year</v>
      </c>
      <c r="C1227" s="2">
        <v>27</v>
      </c>
      <c r="D1227" s="2" t="s">
        <v>5073</v>
      </c>
      <c r="E1227" s="10">
        <v>45358</v>
      </c>
      <c r="F1227" s="2" t="s">
        <v>2579</v>
      </c>
      <c r="G1227" s="2" t="s">
        <v>2170</v>
      </c>
      <c r="H1227" s="2" t="s">
        <v>6</v>
      </c>
      <c r="I1227" s="2" t="s">
        <v>619</v>
      </c>
      <c r="J1227" s="2" t="s">
        <v>2600</v>
      </c>
      <c r="K1227" s="2" t="s">
        <v>2601</v>
      </c>
      <c r="L1227" s="2" t="s">
        <v>679</v>
      </c>
      <c r="M1227" s="3">
        <v>999</v>
      </c>
      <c r="N1227" s="3">
        <v>999</v>
      </c>
      <c r="P1227" s="2" t="s">
        <v>2602</v>
      </c>
    </row>
    <row r="1228" spans="1:16" ht="13">
      <c r="A1228" s="2" t="s">
        <v>4</v>
      </c>
      <c r="B1228" s="2" t="str">
        <f t="shared" si="19"/>
        <v>23-24 Academic Year</v>
      </c>
      <c r="C1228" s="2">
        <v>28</v>
      </c>
      <c r="D1228" s="2" t="s">
        <v>2612</v>
      </c>
      <c r="E1228" s="10">
        <v>45359</v>
      </c>
      <c r="F1228" s="2" t="s">
        <v>2603</v>
      </c>
      <c r="G1228" s="2" t="s">
        <v>2170</v>
      </c>
      <c r="H1228" s="2" t="s">
        <v>6</v>
      </c>
      <c r="I1228" s="2" t="s">
        <v>593</v>
      </c>
      <c r="J1228" s="2" t="s">
        <v>2604</v>
      </c>
      <c r="K1228" s="2" t="s">
        <v>2605</v>
      </c>
      <c r="L1228" s="2" t="s">
        <v>5076</v>
      </c>
      <c r="M1228" s="3">
        <v>3</v>
      </c>
      <c r="N1228" s="3">
        <v>1</v>
      </c>
      <c r="P1228" s="2" t="s">
        <v>2606</v>
      </c>
    </row>
    <row r="1229" spans="1:16" ht="13">
      <c r="A1229" s="2" t="s">
        <v>4</v>
      </c>
      <c r="B1229" s="2" t="str">
        <f t="shared" si="19"/>
        <v>23-24 Academic Year</v>
      </c>
      <c r="C1229" s="2">
        <v>28</v>
      </c>
      <c r="D1229" s="2" t="s">
        <v>2612</v>
      </c>
      <c r="E1229" s="10">
        <v>45359</v>
      </c>
      <c r="F1229" s="2" t="s">
        <v>2603</v>
      </c>
      <c r="G1229" s="2" t="s">
        <v>2170</v>
      </c>
      <c r="H1229" s="2" t="s">
        <v>6</v>
      </c>
      <c r="I1229" s="2" t="s">
        <v>593</v>
      </c>
      <c r="J1229" s="2" t="s">
        <v>2607</v>
      </c>
      <c r="K1229" s="2" t="s">
        <v>2608</v>
      </c>
      <c r="L1229" s="2" t="s">
        <v>2609</v>
      </c>
      <c r="M1229" s="3">
        <v>3</v>
      </c>
      <c r="N1229" s="3">
        <v>2</v>
      </c>
      <c r="P1229" s="2" t="s">
        <v>2610</v>
      </c>
    </row>
    <row r="1230" spans="1:16" ht="13">
      <c r="A1230" s="2" t="s">
        <v>4</v>
      </c>
      <c r="B1230" s="2" t="str">
        <f t="shared" si="19"/>
        <v>23-24 Academic Year</v>
      </c>
      <c r="C1230" s="2">
        <v>28</v>
      </c>
      <c r="D1230" s="2" t="s">
        <v>2612</v>
      </c>
      <c r="E1230" s="10">
        <v>45359</v>
      </c>
      <c r="F1230" s="2" t="s">
        <v>2603</v>
      </c>
      <c r="G1230" s="2" t="s">
        <v>2170</v>
      </c>
      <c r="H1230" s="2" t="s">
        <v>6</v>
      </c>
      <c r="I1230" s="2" t="s">
        <v>593</v>
      </c>
      <c r="J1230" s="2" t="s">
        <v>2611</v>
      </c>
      <c r="K1230" s="2" t="s">
        <v>2612</v>
      </c>
      <c r="L1230" s="2" t="s">
        <v>5077</v>
      </c>
      <c r="M1230" s="3">
        <v>3</v>
      </c>
      <c r="N1230" s="3">
        <v>1</v>
      </c>
      <c r="P1230" s="2" t="s">
        <v>2613</v>
      </c>
    </row>
    <row r="1231" spans="1:16" ht="13">
      <c r="A1231" s="2" t="s">
        <v>4</v>
      </c>
      <c r="B1231" s="2" t="str">
        <f t="shared" si="19"/>
        <v>23-24 Academic Year</v>
      </c>
      <c r="C1231" s="2">
        <v>28</v>
      </c>
      <c r="D1231" s="2" t="s">
        <v>2612</v>
      </c>
      <c r="E1231" s="10">
        <v>45359</v>
      </c>
      <c r="F1231" s="2" t="s">
        <v>2603</v>
      </c>
      <c r="G1231" s="2" t="s">
        <v>2170</v>
      </c>
      <c r="H1231" s="2" t="s">
        <v>6</v>
      </c>
      <c r="I1231" s="2" t="s">
        <v>593</v>
      </c>
      <c r="J1231" s="2" t="s">
        <v>2614</v>
      </c>
      <c r="K1231" s="2" t="s">
        <v>2612</v>
      </c>
      <c r="L1231" s="2" t="s">
        <v>5077</v>
      </c>
      <c r="M1231" s="3">
        <v>3</v>
      </c>
      <c r="N1231" s="3">
        <v>1</v>
      </c>
      <c r="P1231" s="2" t="s">
        <v>2615</v>
      </c>
    </row>
    <row r="1232" spans="1:16" ht="13">
      <c r="A1232" s="2" t="s">
        <v>4</v>
      </c>
      <c r="B1232" s="2" t="str">
        <f t="shared" si="19"/>
        <v>23-24 Academic Year</v>
      </c>
      <c r="C1232" s="2">
        <v>28</v>
      </c>
      <c r="D1232" s="2" t="s">
        <v>2612</v>
      </c>
      <c r="E1232" s="10">
        <v>45359</v>
      </c>
      <c r="F1232" s="2" t="s">
        <v>2603</v>
      </c>
      <c r="G1232" s="2" t="s">
        <v>2170</v>
      </c>
      <c r="H1232" s="2" t="s">
        <v>6</v>
      </c>
      <c r="I1232" s="2" t="s">
        <v>593</v>
      </c>
      <c r="J1232" s="2" t="s">
        <v>2616</v>
      </c>
      <c r="K1232" s="2" t="s">
        <v>2612</v>
      </c>
      <c r="L1232" s="2" t="s">
        <v>5077</v>
      </c>
      <c r="M1232" s="3">
        <v>3</v>
      </c>
      <c r="N1232" s="3">
        <v>1</v>
      </c>
      <c r="P1232" s="2" t="s">
        <v>2617</v>
      </c>
    </row>
    <row r="1233" spans="1:16" ht="13">
      <c r="A1233" s="2" t="s">
        <v>4</v>
      </c>
      <c r="B1233" s="2" t="str">
        <f t="shared" si="19"/>
        <v>23-24 Academic Year</v>
      </c>
      <c r="C1233" s="2">
        <v>28</v>
      </c>
      <c r="D1233" s="2" t="s">
        <v>2612</v>
      </c>
      <c r="E1233" s="10">
        <v>45359</v>
      </c>
      <c r="F1233" s="2" t="s">
        <v>2603</v>
      </c>
      <c r="G1233" s="2" t="s">
        <v>2170</v>
      </c>
      <c r="H1233" s="2" t="s">
        <v>6</v>
      </c>
      <c r="I1233" s="2" t="s">
        <v>593</v>
      </c>
      <c r="J1233" s="2" t="s">
        <v>2618</v>
      </c>
      <c r="K1233" s="2" t="s">
        <v>2619</v>
      </c>
      <c r="L1233" s="2" t="s">
        <v>5078</v>
      </c>
      <c r="M1233" s="3">
        <v>3</v>
      </c>
      <c r="N1233" s="3">
        <v>1</v>
      </c>
      <c r="P1233" s="2" t="s">
        <v>2620</v>
      </c>
    </row>
    <row r="1234" spans="1:16" ht="13">
      <c r="A1234" s="2" t="s">
        <v>4</v>
      </c>
      <c r="B1234" s="2" t="str">
        <f t="shared" si="19"/>
        <v>23-24 Academic Year</v>
      </c>
      <c r="C1234" s="2">
        <v>29</v>
      </c>
      <c r="D1234" s="2" t="s">
        <v>225</v>
      </c>
      <c r="E1234" s="10">
        <v>45372</v>
      </c>
      <c r="F1234" s="2" t="s">
        <v>2621</v>
      </c>
      <c r="G1234" s="2" t="s">
        <v>225</v>
      </c>
      <c r="H1234" s="2" t="s">
        <v>1420</v>
      </c>
      <c r="I1234" s="2" t="s">
        <v>1420</v>
      </c>
      <c r="J1234" s="2" t="s">
        <v>2622</v>
      </c>
      <c r="K1234" s="2" t="s">
        <v>108</v>
      </c>
      <c r="L1234" s="2" t="s">
        <v>109</v>
      </c>
      <c r="M1234" s="3">
        <v>1</v>
      </c>
      <c r="N1234" s="3">
        <v>2</v>
      </c>
      <c r="P1234" s="2" t="s">
        <v>2623</v>
      </c>
    </row>
    <row r="1235" spans="1:16" ht="13">
      <c r="A1235" s="2" t="s">
        <v>4</v>
      </c>
      <c r="B1235" s="2" t="str">
        <f t="shared" si="19"/>
        <v>23-24 Academic Year</v>
      </c>
      <c r="C1235" s="2">
        <v>30</v>
      </c>
      <c r="D1235" s="2" t="s">
        <v>2624</v>
      </c>
      <c r="E1235" s="10">
        <v>45376</v>
      </c>
      <c r="F1235" s="2" t="s">
        <v>2624</v>
      </c>
      <c r="G1235" s="2" t="s">
        <v>2340</v>
      </c>
      <c r="H1235" s="2" t="s">
        <v>6</v>
      </c>
      <c r="I1235" s="2" t="s">
        <v>593</v>
      </c>
      <c r="J1235" s="2" t="s">
        <v>2625</v>
      </c>
      <c r="K1235" s="2" t="s">
        <v>2626</v>
      </c>
      <c r="L1235" s="2" t="s">
        <v>5079</v>
      </c>
      <c r="M1235" s="3">
        <v>1</v>
      </c>
      <c r="N1235" s="3">
        <v>1</v>
      </c>
      <c r="P1235" s="2" t="s">
        <v>2627</v>
      </c>
    </row>
    <row r="1236" spans="1:16" ht="13">
      <c r="A1236" s="2" t="s">
        <v>4</v>
      </c>
      <c r="B1236" s="2" t="str">
        <f t="shared" si="19"/>
        <v>23-24 Academic Year</v>
      </c>
      <c r="C1236" s="2">
        <v>30</v>
      </c>
      <c r="D1236" s="2" t="s">
        <v>2624</v>
      </c>
      <c r="E1236" s="10">
        <v>45376</v>
      </c>
      <c r="F1236" s="2" t="s">
        <v>2624</v>
      </c>
      <c r="G1236" s="2" t="s">
        <v>2340</v>
      </c>
      <c r="H1236" s="2" t="s">
        <v>6</v>
      </c>
      <c r="I1236" s="2" t="s">
        <v>593</v>
      </c>
      <c r="J1236" s="2" t="s">
        <v>2628</v>
      </c>
      <c r="K1236" s="2" t="s">
        <v>2629</v>
      </c>
      <c r="L1236" s="2" t="s">
        <v>3355</v>
      </c>
      <c r="M1236" s="3">
        <v>3</v>
      </c>
      <c r="N1236" s="3">
        <v>1</v>
      </c>
      <c r="P1236" s="2" t="s">
        <v>2630</v>
      </c>
    </row>
    <row r="1237" spans="1:16" ht="13">
      <c r="A1237" s="2" t="s">
        <v>4</v>
      </c>
      <c r="B1237" s="2" t="str">
        <f t="shared" si="19"/>
        <v>23-24 Academic Year</v>
      </c>
      <c r="C1237" s="2">
        <v>30</v>
      </c>
      <c r="D1237" s="2" t="s">
        <v>2624</v>
      </c>
      <c r="E1237" s="10">
        <v>45376</v>
      </c>
      <c r="F1237" s="2" t="s">
        <v>2624</v>
      </c>
      <c r="G1237" s="2" t="s">
        <v>2340</v>
      </c>
      <c r="H1237" s="2" t="s">
        <v>6</v>
      </c>
      <c r="I1237" s="2" t="s">
        <v>593</v>
      </c>
      <c r="J1237" s="2" t="s">
        <v>2631</v>
      </c>
      <c r="K1237" s="2" t="s">
        <v>2632</v>
      </c>
      <c r="L1237" s="2" t="s">
        <v>3820</v>
      </c>
      <c r="M1237" s="3">
        <v>1</v>
      </c>
      <c r="N1237" s="3">
        <v>2</v>
      </c>
      <c r="O1237" s="2" t="s">
        <v>2633</v>
      </c>
      <c r="P1237" s="2" t="s">
        <v>2634</v>
      </c>
    </row>
    <row r="1238" spans="1:16" ht="13">
      <c r="A1238" s="2" t="s">
        <v>4</v>
      </c>
      <c r="B1238" s="2" t="str">
        <f t="shared" si="19"/>
        <v>23-24 Academic Year</v>
      </c>
      <c r="C1238" s="2">
        <v>30</v>
      </c>
      <c r="D1238" s="2" t="s">
        <v>2624</v>
      </c>
      <c r="E1238" s="10">
        <v>45376</v>
      </c>
      <c r="F1238" s="2" t="s">
        <v>2624</v>
      </c>
      <c r="G1238" s="2" t="s">
        <v>2340</v>
      </c>
      <c r="H1238" s="2" t="s">
        <v>6</v>
      </c>
      <c r="I1238" s="2" t="s">
        <v>593</v>
      </c>
      <c r="J1238" s="2" t="s">
        <v>2635</v>
      </c>
      <c r="K1238" s="2" t="s">
        <v>2629</v>
      </c>
      <c r="L1238" s="2" t="s">
        <v>3355</v>
      </c>
      <c r="M1238" s="3">
        <v>3</v>
      </c>
      <c r="N1238" s="3">
        <v>1</v>
      </c>
      <c r="P1238" s="2" t="s">
        <v>2636</v>
      </c>
    </row>
    <row r="1239" spans="1:16" ht="13">
      <c r="A1239" s="2" t="s">
        <v>4</v>
      </c>
      <c r="B1239" s="2" t="str">
        <f t="shared" si="19"/>
        <v>23-24 Academic Year</v>
      </c>
      <c r="C1239" s="2">
        <v>30</v>
      </c>
      <c r="D1239" s="2" t="s">
        <v>2624</v>
      </c>
      <c r="E1239" s="10">
        <v>45376</v>
      </c>
      <c r="F1239" s="2" t="s">
        <v>2624</v>
      </c>
      <c r="G1239" s="2" t="s">
        <v>2340</v>
      </c>
      <c r="H1239" s="2" t="s">
        <v>6</v>
      </c>
      <c r="I1239" s="2" t="s">
        <v>593</v>
      </c>
      <c r="J1239" s="2" t="s">
        <v>2637</v>
      </c>
      <c r="K1239" s="2" t="s">
        <v>774</v>
      </c>
      <c r="L1239" s="2" t="s">
        <v>1117</v>
      </c>
      <c r="M1239" s="3">
        <v>1</v>
      </c>
      <c r="N1239" s="3">
        <v>2</v>
      </c>
      <c r="O1239" s="2" t="s">
        <v>2638</v>
      </c>
      <c r="P1239" s="2" t="s">
        <v>2639</v>
      </c>
    </row>
    <row r="1240" spans="1:16" ht="13">
      <c r="A1240" s="2" t="s">
        <v>4</v>
      </c>
      <c r="B1240" s="2" t="str">
        <f t="shared" si="19"/>
        <v>23-24 Academic Year</v>
      </c>
      <c r="C1240" s="2">
        <v>30</v>
      </c>
      <c r="D1240" s="2" t="s">
        <v>2624</v>
      </c>
      <c r="E1240" s="10">
        <v>45376</v>
      </c>
      <c r="F1240" s="2" t="s">
        <v>2624</v>
      </c>
      <c r="G1240" s="2" t="s">
        <v>2340</v>
      </c>
      <c r="H1240" s="2" t="s">
        <v>6</v>
      </c>
      <c r="I1240" s="2" t="s">
        <v>593</v>
      </c>
      <c r="J1240" s="2" t="s">
        <v>2640</v>
      </c>
      <c r="K1240" s="2" t="s">
        <v>1077</v>
      </c>
      <c r="L1240" s="2" t="s">
        <v>398</v>
      </c>
      <c r="M1240" s="3">
        <v>1</v>
      </c>
      <c r="N1240" s="3">
        <v>2</v>
      </c>
      <c r="P1240" s="2" t="s">
        <v>2641</v>
      </c>
    </row>
    <row r="1241" spans="1:16" ht="13">
      <c r="A1241" s="2" t="s">
        <v>4</v>
      </c>
      <c r="B1241" s="2" t="str">
        <f t="shared" si="19"/>
        <v>23-24 Academic Year</v>
      </c>
      <c r="C1241" s="2">
        <v>30</v>
      </c>
      <c r="D1241" s="2" t="s">
        <v>2624</v>
      </c>
      <c r="E1241" s="10">
        <v>45376</v>
      </c>
      <c r="F1241" s="2" t="s">
        <v>2624</v>
      </c>
      <c r="G1241" s="2" t="s">
        <v>2340</v>
      </c>
      <c r="H1241" s="2" t="s">
        <v>6</v>
      </c>
      <c r="I1241" s="2" t="s">
        <v>593</v>
      </c>
      <c r="J1241" s="2" t="s">
        <v>2642</v>
      </c>
      <c r="K1241" s="2" t="s">
        <v>2256</v>
      </c>
      <c r="L1241" s="2" t="s">
        <v>4896</v>
      </c>
      <c r="M1241" s="3">
        <v>2</v>
      </c>
      <c r="N1241" s="3">
        <v>1</v>
      </c>
      <c r="P1241" s="2" t="s">
        <v>2643</v>
      </c>
    </row>
    <row r="1242" spans="1:16" ht="13">
      <c r="A1242" s="2" t="s">
        <v>4</v>
      </c>
      <c r="B1242" s="2" t="str">
        <f t="shared" si="19"/>
        <v>23-24 Academic Year</v>
      </c>
      <c r="C1242" s="2">
        <v>30</v>
      </c>
      <c r="D1242" s="2" t="s">
        <v>2624</v>
      </c>
      <c r="E1242" s="10">
        <v>45376</v>
      </c>
      <c r="F1242" s="2" t="s">
        <v>2624</v>
      </c>
      <c r="G1242" s="2" t="s">
        <v>2340</v>
      </c>
      <c r="H1242" s="2" t="s">
        <v>6</v>
      </c>
      <c r="I1242" s="2" t="s">
        <v>593</v>
      </c>
      <c r="J1242" s="2" t="s">
        <v>2644</v>
      </c>
      <c r="K1242" s="2" t="s">
        <v>2645</v>
      </c>
      <c r="L1242" s="2" t="s">
        <v>3915</v>
      </c>
      <c r="M1242" s="3">
        <v>1</v>
      </c>
      <c r="N1242" s="3">
        <v>1</v>
      </c>
      <c r="P1242" s="2" t="s">
        <v>2646</v>
      </c>
    </row>
    <row r="1243" spans="1:16" ht="13">
      <c r="A1243" s="2" t="s">
        <v>4</v>
      </c>
      <c r="B1243" s="2" t="str">
        <f t="shared" si="19"/>
        <v>23-24 Academic Year</v>
      </c>
      <c r="C1243" s="2">
        <v>30</v>
      </c>
      <c r="D1243" s="2" t="s">
        <v>2624</v>
      </c>
      <c r="E1243" s="10">
        <v>45376</v>
      </c>
      <c r="F1243" s="2" t="s">
        <v>2624</v>
      </c>
      <c r="G1243" s="2" t="s">
        <v>2340</v>
      </c>
      <c r="H1243" s="2" t="s">
        <v>6</v>
      </c>
      <c r="I1243" s="2" t="s">
        <v>593</v>
      </c>
      <c r="J1243" s="2" t="s">
        <v>2647</v>
      </c>
      <c r="K1243" s="2" t="s">
        <v>2648</v>
      </c>
      <c r="L1243" s="2" t="s">
        <v>5080</v>
      </c>
      <c r="M1243" s="3">
        <v>1</v>
      </c>
      <c r="N1243" s="3">
        <v>1</v>
      </c>
      <c r="P1243" s="2" t="s">
        <v>2649</v>
      </c>
    </row>
    <row r="1244" spans="1:16" ht="13">
      <c r="A1244" s="2" t="s">
        <v>4</v>
      </c>
      <c r="B1244" s="2" t="str">
        <f t="shared" si="19"/>
        <v>23-24 Academic Year</v>
      </c>
      <c r="C1244" s="2">
        <v>31</v>
      </c>
      <c r="D1244" s="2" t="s">
        <v>335</v>
      </c>
      <c r="E1244" s="10">
        <v>45376</v>
      </c>
      <c r="F1244" s="2" t="s">
        <v>335</v>
      </c>
      <c r="G1244" s="2" t="s">
        <v>2184</v>
      </c>
      <c r="H1244" s="2" t="s">
        <v>7</v>
      </c>
      <c r="I1244" s="2" t="s">
        <v>1256</v>
      </c>
      <c r="J1244" s="2" t="s">
        <v>2650</v>
      </c>
      <c r="K1244" s="2" t="s">
        <v>722</v>
      </c>
      <c r="L1244" s="2" t="s">
        <v>1266</v>
      </c>
      <c r="M1244" s="3">
        <v>4</v>
      </c>
      <c r="N1244" s="3">
        <v>1</v>
      </c>
      <c r="P1244" s="2" t="s">
        <v>2651</v>
      </c>
    </row>
    <row r="1245" spans="1:16" ht="13">
      <c r="A1245" s="2" t="s">
        <v>4</v>
      </c>
      <c r="B1245" s="2" t="str">
        <f t="shared" si="19"/>
        <v>23-24 Academic Year</v>
      </c>
      <c r="C1245" s="2">
        <v>31</v>
      </c>
      <c r="D1245" s="2" t="s">
        <v>335</v>
      </c>
      <c r="E1245" s="10">
        <v>45376</v>
      </c>
      <c r="F1245" s="2" t="s">
        <v>335</v>
      </c>
      <c r="G1245" s="2" t="s">
        <v>2184</v>
      </c>
      <c r="H1245" s="2" t="s">
        <v>7</v>
      </c>
      <c r="I1245" s="2" t="s">
        <v>1256</v>
      </c>
      <c r="J1245" s="2" t="s">
        <v>2652</v>
      </c>
      <c r="K1245" s="2" t="s">
        <v>1015</v>
      </c>
      <c r="L1245" s="2" t="s">
        <v>1396</v>
      </c>
      <c r="M1245" s="3">
        <v>3</v>
      </c>
      <c r="N1245" s="3">
        <v>1</v>
      </c>
      <c r="P1245" s="2" t="s">
        <v>2653</v>
      </c>
    </row>
    <row r="1246" spans="1:16" ht="13">
      <c r="A1246" s="2" t="s">
        <v>4</v>
      </c>
      <c r="B1246" s="2" t="str">
        <f t="shared" si="19"/>
        <v>23-24 Academic Year</v>
      </c>
      <c r="C1246" s="2">
        <v>31</v>
      </c>
      <c r="D1246" s="2" t="s">
        <v>335</v>
      </c>
      <c r="E1246" s="10">
        <v>45376</v>
      </c>
      <c r="F1246" s="2" t="s">
        <v>335</v>
      </c>
      <c r="G1246" s="2" t="s">
        <v>2184</v>
      </c>
      <c r="H1246" s="2" t="s">
        <v>7</v>
      </c>
      <c r="I1246" s="2" t="s">
        <v>1256</v>
      </c>
      <c r="J1246" s="2" t="s">
        <v>2654</v>
      </c>
      <c r="K1246" s="2" t="s">
        <v>1532</v>
      </c>
      <c r="L1246" s="2" t="s">
        <v>1533</v>
      </c>
      <c r="M1246" s="3">
        <v>1</v>
      </c>
      <c r="N1246" s="3">
        <v>1</v>
      </c>
      <c r="P1246" s="2" t="s">
        <v>2655</v>
      </c>
    </row>
    <row r="1247" spans="1:16" ht="13">
      <c r="A1247" s="2" t="s">
        <v>4</v>
      </c>
      <c r="B1247" s="2" t="str">
        <f t="shared" si="19"/>
        <v>23-24 Academic Year</v>
      </c>
      <c r="C1247" s="2">
        <v>31</v>
      </c>
      <c r="D1247" s="2" t="s">
        <v>335</v>
      </c>
      <c r="E1247" s="10">
        <v>45376</v>
      </c>
      <c r="F1247" s="2" t="s">
        <v>335</v>
      </c>
      <c r="G1247" s="2" t="s">
        <v>2184</v>
      </c>
      <c r="H1247" s="2" t="s">
        <v>7</v>
      </c>
      <c r="I1247" s="2" t="s">
        <v>1256</v>
      </c>
      <c r="J1247" s="2" t="s">
        <v>2656</v>
      </c>
      <c r="K1247" s="2" t="s">
        <v>144</v>
      </c>
      <c r="L1247" s="2" t="s">
        <v>4475</v>
      </c>
      <c r="M1247" s="3">
        <v>3</v>
      </c>
      <c r="N1247" s="3">
        <v>1</v>
      </c>
      <c r="P1247" s="2" t="s">
        <v>2657</v>
      </c>
    </row>
    <row r="1248" spans="1:16" ht="13">
      <c r="A1248" s="2" t="s">
        <v>4</v>
      </c>
      <c r="B1248" s="2" t="str">
        <f t="shared" si="19"/>
        <v>23-24 Academic Year</v>
      </c>
      <c r="C1248" s="2">
        <v>31</v>
      </c>
      <c r="D1248" s="2" t="s">
        <v>335</v>
      </c>
      <c r="E1248" s="10">
        <v>45376</v>
      </c>
      <c r="F1248" s="2" t="s">
        <v>335</v>
      </c>
      <c r="G1248" s="2" t="s">
        <v>2184</v>
      </c>
      <c r="H1248" s="2" t="s">
        <v>7</v>
      </c>
      <c r="I1248" s="2" t="s">
        <v>1256</v>
      </c>
      <c r="J1248" s="2" t="s">
        <v>2658</v>
      </c>
      <c r="K1248" s="2" t="s">
        <v>1015</v>
      </c>
      <c r="L1248" s="2" t="s">
        <v>1396</v>
      </c>
      <c r="M1248" s="3">
        <v>3</v>
      </c>
      <c r="N1248" s="3">
        <v>1</v>
      </c>
      <c r="P1248" s="2" t="s">
        <v>2659</v>
      </c>
    </row>
    <row r="1249" spans="1:16" ht="13">
      <c r="A1249" s="2" t="s">
        <v>4</v>
      </c>
      <c r="B1249" s="2" t="str">
        <f t="shared" si="19"/>
        <v>23-24 Academic Year</v>
      </c>
      <c r="C1249" s="2">
        <v>32</v>
      </c>
      <c r="D1249" s="2" t="s">
        <v>1368</v>
      </c>
      <c r="E1249" s="10">
        <v>45380</v>
      </c>
      <c r="F1249" s="2" t="s">
        <v>1368</v>
      </c>
      <c r="G1249" s="2" t="s">
        <v>2339</v>
      </c>
      <c r="H1249" s="2" t="s">
        <v>6</v>
      </c>
      <c r="I1249" s="2" t="s">
        <v>434</v>
      </c>
      <c r="J1249" s="2" t="s">
        <v>2660</v>
      </c>
      <c r="K1249" s="2" t="s">
        <v>605</v>
      </c>
      <c r="L1249" s="2" t="s">
        <v>1407</v>
      </c>
      <c r="M1249" s="3">
        <v>1</v>
      </c>
      <c r="N1249" s="3">
        <v>2</v>
      </c>
      <c r="P1249" s="2" t="s">
        <v>2661</v>
      </c>
    </row>
    <row r="1250" spans="1:16" ht="13">
      <c r="A1250" s="2" t="s">
        <v>4</v>
      </c>
      <c r="B1250" s="2" t="str">
        <f t="shared" si="19"/>
        <v>23-24 Academic Year</v>
      </c>
      <c r="C1250" s="2">
        <v>32</v>
      </c>
      <c r="D1250" s="2" t="s">
        <v>1368</v>
      </c>
      <c r="E1250" s="10">
        <v>45380</v>
      </c>
      <c r="F1250" s="2" t="s">
        <v>1368</v>
      </c>
      <c r="G1250" s="2" t="s">
        <v>2339</v>
      </c>
      <c r="H1250" s="2" t="s">
        <v>6</v>
      </c>
      <c r="I1250" s="2" t="s">
        <v>434</v>
      </c>
      <c r="J1250" s="2" t="s">
        <v>2662</v>
      </c>
      <c r="K1250" s="2" t="s">
        <v>59</v>
      </c>
      <c r="L1250" s="2" t="s">
        <v>60</v>
      </c>
      <c r="M1250" s="3">
        <v>1</v>
      </c>
      <c r="N1250" s="3">
        <v>2</v>
      </c>
      <c r="P1250" s="2" t="s">
        <v>2663</v>
      </c>
    </row>
    <row r="1251" spans="1:16" ht="13">
      <c r="A1251" s="2" t="s">
        <v>4</v>
      </c>
      <c r="B1251" s="2" t="str">
        <f t="shared" si="19"/>
        <v>23-24 Academic Year</v>
      </c>
      <c r="C1251" s="2">
        <v>32</v>
      </c>
      <c r="D1251" s="2" t="s">
        <v>1368</v>
      </c>
      <c r="E1251" s="10">
        <v>45380</v>
      </c>
      <c r="F1251" s="2" t="s">
        <v>1368</v>
      </c>
      <c r="G1251" s="2" t="s">
        <v>2339</v>
      </c>
      <c r="H1251" s="2" t="s">
        <v>6</v>
      </c>
      <c r="I1251" s="2" t="s">
        <v>699</v>
      </c>
      <c r="J1251" s="2" t="s">
        <v>2664</v>
      </c>
      <c r="K1251" s="2" t="s">
        <v>1103</v>
      </c>
      <c r="L1251" s="2" t="s">
        <v>1104</v>
      </c>
      <c r="M1251" s="3">
        <v>1</v>
      </c>
      <c r="N1251" s="3">
        <v>2</v>
      </c>
      <c r="P1251" s="2" t="s">
        <v>2665</v>
      </c>
    </row>
    <row r="1252" spans="1:16" ht="13">
      <c r="A1252" s="2" t="s">
        <v>4</v>
      </c>
      <c r="B1252" s="2" t="str">
        <f t="shared" si="19"/>
        <v>23-24 Academic Year</v>
      </c>
      <c r="C1252" s="2">
        <v>32</v>
      </c>
      <c r="D1252" s="2" t="s">
        <v>1368</v>
      </c>
      <c r="E1252" s="10">
        <v>45380</v>
      </c>
      <c r="F1252" s="2" t="s">
        <v>1368</v>
      </c>
      <c r="G1252" s="2" t="s">
        <v>2339</v>
      </c>
      <c r="H1252" s="2" t="s">
        <v>6</v>
      </c>
      <c r="I1252" s="2" t="s">
        <v>699</v>
      </c>
      <c r="J1252" s="2" t="s">
        <v>2666</v>
      </c>
      <c r="K1252" s="2" t="s">
        <v>439</v>
      </c>
      <c r="L1252" s="2" t="s">
        <v>2667</v>
      </c>
      <c r="M1252" s="3">
        <v>1</v>
      </c>
      <c r="N1252" s="3">
        <v>2</v>
      </c>
      <c r="P1252" s="2" t="s">
        <v>2665</v>
      </c>
    </row>
    <row r="1253" spans="1:16" ht="13">
      <c r="A1253" s="2" t="s">
        <v>4</v>
      </c>
      <c r="B1253" s="2" t="str">
        <f t="shared" si="19"/>
        <v>23-24 Academic Year</v>
      </c>
      <c r="C1253" s="2">
        <v>33</v>
      </c>
      <c r="D1253" s="2" t="s">
        <v>5081</v>
      </c>
      <c r="E1253" s="10">
        <v>45381</v>
      </c>
      <c r="F1253" s="2" t="s">
        <v>2678</v>
      </c>
      <c r="G1253" s="2" t="s">
        <v>2226</v>
      </c>
      <c r="H1253" s="2" t="s">
        <v>6</v>
      </c>
      <c r="I1253" s="2" t="s">
        <v>654</v>
      </c>
      <c r="J1253" s="2" t="s">
        <v>2679</v>
      </c>
      <c r="K1253" s="2" t="s">
        <v>788</v>
      </c>
      <c r="L1253" s="2" t="s">
        <v>4007</v>
      </c>
      <c r="M1253" s="3">
        <v>1</v>
      </c>
      <c r="N1253" s="3">
        <v>2</v>
      </c>
      <c r="P1253" s="2" t="s">
        <v>2680</v>
      </c>
    </row>
    <row r="1254" spans="1:16" ht="13">
      <c r="A1254" s="2" t="s">
        <v>4</v>
      </c>
      <c r="B1254" s="2" t="str">
        <f t="shared" si="19"/>
        <v>23-24 Academic Year</v>
      </c>
      <c r="C1254" s="2">
        <v>33</v>
      </c>
      <c r="D1254" s="2" t="s">
        <v>5081</v>
      </c>
      <c r="E1254" s="10">
        <v>45381</v>
      </c>
      <c r="F1254" s="2" t="s">
        <v>2678</v>
      </c>
      <c r="G1254" s="2" t="s">
        <v>2226</v>
      </c>
      <c r="H1254" s="2" t="s">
        <v>6</v>
      </c>
      <c r="I1254" s="2" t="s">
        <v>654</v>
      </c>
      <c r="J1254" s="2" t="s">
        <v>2681</v>
      </c>
      <c r="K1254" s="2" t="s">
        <v>2682</v>
      </c>
      <c r="L1254" s="2" t="s">
        <v>2609</v>
      </c>
      <c r="M1254" s="3">
        <v>3</v>
      </c>
      <c r="N1254" s="3">
        <v>2</v>
      </c>
      <c r="P1254" s="2" t="s">
        <v>2683</v>
      </c>
    </row>
    <row r="1255" spans="1:16" ht="13">
      <c r="A1255" s="2" t="s">
        <v>4</v>
      </c>
      <c r="B1255" s="2" t="str">
        <f t="shared" si="19"/>
        <v>23-24 Academic Year</v>
      </c>
      <c r="C1255" s="2">
        <v>33</v>
      </c>
      <c r="D1255" s="2" t="s">
        <v>5081</v>
      </c>
      <c r="E1255" s="10">
        <v>45381</v>
      </c>
      <c r="F1255" s="2" t="s">
        <v>2678</v>
      </c>
      <c r="G1255" s="2" t="s">
        <v>2226</v>
      </c>
      <c r="H1255" s="2" t="s">
        <v>6</v>
      </c>
      <c r="I1255" s="2" t="s">
        <v>654</v>
      </c>
      <c r="J1255" s="2" t="s">
        <v>2684</v>
      </c>
      <c r="K1255" s="2" t="s">
        <v>2682</v>
      </c>
      <c r="L1255" s="2" t="s">
        <v>2609</v>
      </c>
      <c r="M1255" s="3">
        <v>3</v>
      </c>
      <c r="N1255" s="3">
        <v>2</v>
      </c>
      <c r="P1255" s="2" t="s">
        <v>2685</v>
      </c>
    </row>
    <row r="1256" spans="1:16" ht="13">
      <c r="A1256" s="2" t="s">
        <v>4</v>
      </c>
      <c r="B1256" s="2" t="str">
        <f t="shared" si="19"/>
        <v>23-24 Academic Year</v>
      </c>
      <c r="C1256" s="2">
        <v>33</v>
      </c>
      <c r="D1256" s="2" t="s">
        <v>5081</v>
      </c>
      <c r="E1256" s="10">
        <v>45381</v>
      </c>
      <c r="F1256" s="2" t="s">
        <v>2678</v>
      </c>
      <c r="G1256" s="2" t="s">
        <v>2226</v>
      </c>
      <c r="H1256" s="2" t="s">
        <v>6</v>
      </c>
      <c r="I1256" s="2" t="s">
        <v>654</v>
      </c>
      <c r="J1256" s="2" t="s">
        <v>2686</v>
      </c>
      <c r="K1256" s="2" t="s">
        <v>803</v>
      </c>
      <c r="L1256" s="2" t="s">
        <v>78</v>
      </c>
      <c r="M1256" s="3">
        <v>3</v>
      </c>
      <c r="N1256" s="3">
        <v>1</v>
      </c>
      <c r="P1256" s="2" t="s">
        <v>2687</v>
      </c>
    </row>
    <row r="1257" spans="1:16" ht="13">
      <c r="A1257" s="2" t="s">
        <v>4</v>
      </c>
      <c r="B1257" s="2" t="str">
        <f t="shared" si="19"/>
        <v>23-24 Academic Year</v>
      </c>
      <c r="C1257" s="2">
        <v>33</v>
      </c>
      <c r="D1257" s="2" t="s">
        <v>5081</v>
      </c>
      <c r="E1257" s="10">
        <v>45381</v>
      </c>
      <c r="F1257" s="2" t="s">
        <v>2678</v>
      </c>
      <c r="G1257" s="2" t="s">
        <v>2226</v>
      </c>
      <c r="H1257" s="2" t="s">
        <v>6</v>
      </c>
      <c r="I1257" s="2" t="s">
        <v>654</v>
      </c>
      <c r="J1257" s="2" t="s">
        <v>2688</v>
      </c>
      <c r="K1257" s="2" t="s">
        <v>2689</v>
      </c>
      <c r="L1257" s="2" t="s">
        <v>5082</v>
      </c>
      <c r="M1257" s="3">
        <v>1</v>
      </c>
      <c r="N1257" s="3">
        <v>2</v>
      </c>
      <c r="P1257" s="2" t="s">
        <v>2690</v>
      </c>
    </row>
    <row r="1258" spans="1:16" ht="13">
      <c r="A1258" s="2" t="s">
        <v>4</v>
      </c>
      <c r="B1258" s="2" t="str">
        <f t="shared" si="19"/>
        <v>23-24 Academic Year</v>
      </c>
      <c r="C1258" s="2">
        <v>34</v>
      </c>
      <c r="D1258" s="2" t="s">
        <v>5083</v>
      </c>
      <c r="E1258" s="10">
        <v>45381</v>
      </c>
      <c r="F1258" s="2" t="s">
        <v>2668</v>
      </c>
      <c r="G1258" s="2" t="s">
        <v>2170</v>
      </c>
      <c r="H1258" s="2" t="s">
        <v>6</v>
      </c>
      <c r="I1258" s="2" t="s">
        <v>699</v>
      </c>
      <c r="J1258" s="2" t="s">
        <v>2669</v>
      </c>
      <c r="K1258" s="2" t="s">
        <v>2272</v>
      </c>
      <c r="L1258" s="2" t="s">
        <v>2387</v>
      </c>
      <c r="M1258" s="3">
        <v>4</v>
      </c>
      <c r="N1258" s="3">
        <v>1</v>
      </c>
      <c r="P1258" s="2" t="s">
        <v>2670</v>
      </c>
    </row>
    <row r="1259" spans="1:16" ht="13">
      <c r="A1259" s="2" t="s">
        <v>4</v>
      </c>
      <c r="B1259" s="2" t="str">
        <f t="shared" si="19"/>
        <v>23-24 Academic Year</v>
      </c>
      <c r="C1259" s="2">
        <v>34</v>
      </c>
      <c r="D1259" s="2" t="s">
        <v>5083</v>
      </c>
      <c r="E1259" s="10">
        <v>45381</v>
      </c>
      <c r="F1259" s="2" t="s">
        <v>2668</v>
      </c>
      <c r="G1259" s="2" t="s">
        <v>2170</v>
      </c>
      <c r="H1259" s="2" t="s">
        <v>6</v>
      </c>
      <c r="I1259" s="2" t="s">
        <v>699</v>
      </c>
      <c r="J1259" s="2" t="s">
        <v>2671</v>
      </c>
      <c r="K1259" s="2" t="s">
        <v>2672</v>
      </c>
      <c r="L1259" s="2" t="s">
        <v>2237</v>
      </c>
      <c r="M1259" s="3">
        <v>1</v>
      </c>
      <c r="N1259" s="3">
        <v>2</v>
      </c>
      <c r="P1259" s="2" t="s">
        <v>2673</v>
      </c>
    </row>
    <row r="1260" spans="1:16" ht="13">
      <c r="A1260" s="2" t="s">
        <v>4</v>
      </c>
      <c r="B1260" s="2" t="str">
        <f t="shared" si="19"/>
        <v>23-24 Academic Year</v>
      </c>
      <c r="C1260" s="2">
        <v>34</v>
      </c>
      <c r="D1260" s="2" t="s">
        <v>5083</v>
      </c>
      <c r="E1260" s="10">
        <v>45381</v>
      </c>
      <c r="F1260" s="2" t="s">
        <v>2668</v>
      </c>
      <c r="G1260" s="2" t="s">
        <v>2170</v>
      </c>
      <c r="H1260" s="2" t="s">
        <v>6</v>
      </c>
      <c r="I1260" s="2" t="s">
        <v>699</v>
      </c>
      <c r="J1260" s="2" t="s">
        <v>2674</v>
      </c>
      <c r="K1260" s="2" t="s">
        <v>59</v>
      </c>
      <c r="L1260" s="2" t="s">
        <v>60</v>
      </c>
      <c r="M1260" s="3">
        <v>1</v>
      </c>
      <c r="N1260" s="3">
        <v>2</v>
      </c>
      <c r="P1260" s="2" t="s">
        <v>2675</v>
      </c>
    </row>
    <row r="1261" spans="1:16" ht="13">
      <c r="A1261" s="2" t="s">
        <v>4</v>
      </c>
      <c r="B1261" s="2" t="str">
        <f t="shared" si="19"/>
        <v>23-24 Academic Year</v>
      </c>
      <c r="C1261" s="2">
        <v>34</v>
      </c>
      <c r="D1261" s="2" t="s">
        <v>5083</v>
      </c>
      <c r="E1261" s="10">
        <v>45381</v>
      </c>
      <c r="F1261" s="2" t="s">
        <v>2668</v>
      </c>
      <c r="G1261" s="2" t="s">
        <v>2170</v>
      </c>
      <c r="H1261" s="2" t="s">
        <v>6</v>
      </c>
      <c r="I1261" s="2" t="s">
        <v>699</v>
      </c>
      <c r="J1261" s="2" t="s">
        <v>2676</v>
      </c>
      <c r="K1261" s="2" t="s">
        <v>1103</v>
      </c>
      <c r="L1261" s="2" t="s">
        <v>1104</v>
      </c>
      <c r="M1261" s="3">
        <v>1</v>
      </c>
      <c r="N1261" s="3">
        <v>2</v>
      </c>
      <c r="P1261" s="2" t="s">
        <v>2677</v>
      </c>
    </row>
    <row r="1262" spans="1:16" ht="13">
      <c r="A1262" s="2" t="s">
        <v>4</v>
      </c>
      <c r="B1262" s="2" t="str">
        <f t="shared" si="19"/>
        <v>23-24 Academic Year</v>
      </c>
      <c r="C1262" s="2">
        <v>35</v>
      </c>
      <c r="D1262" s="2" t="s">
        <v>5084</v>
      </c>
      <c r="E1262" s="10">
        <v>45382</v>
      </c>
      <c r="F1262" s="2" t="s">
        <v>2691</v>
      </c>
      <c r="G1262" s="2" t="s">
        <v>2226</v>
      </c>
      <c r="H1262" s="2" t="s">
        <v>6</v>
      </c>
      <c r="I1262" s="2" t="s">
        <v>434</v>
      </c>
      <c r="J1262" s="2" t="s">
        <v>2692</v>
      </c>
      <c r="K1262" s="2" t="s">
        <v>59</v>
      </c>
      <c r="L1262" s="2" t="s">
        <v>60</v>
      </c>
      <c r="M1262" s="3">
        <v>1</v>
      </c>
      <c r="N1262" s="3">
        <v>2</v>
      </c>
      <c r="P1262" s="2" t="s">
        <v>2693</v>
      </c>
    </row>
    <row r="1263" spans="1:16" ht="13">
      <c r="A1263" s="2" t="s">
        <v>4</v>
      </c>
      <c r="B1263" s="2" t="str">
        <f t="shared" si="19"/>
        <v>23-24 Academic Year</v>
      </c>
      <c r="C1263" s="2">
        <v>35</v>
      </c>
      <c r="D1263" s="2" t="s">
        <v>5084</v>
      </c>
      <c r="E1263" s="10">
        <v>45382</v>
      </c>
      <c r="F1263" s="2" t="s">
        <v>2691</v>
      </c>
      <c r="G1263" s="2" t="s">
        <v>2226</v>
      </c>
      <c r="H1263" s="2" t="s">
        <v>6</v>
      </c>
      <c r="I1263" s="2" t="s">
        <v>434</v>
      </c>
      <c r="J1263" s="2" t="s">
        <v>2694</v>
      </c>
      <c r="K1263" s="2" t="s">
        <v>563</v>
      </c>
      <c r="L1263" s="2" t="s">
        <v>3359</v>
      </c>
      <c r="M1263" s="3">
        <v>2</v>
      </c>
      <c r="N1263" s="3">
        <v>2</v>
      </c>
      <c r="P1263" s="2" t="s">
        <v>2695</v>
      </c>
    </row>
    <row r="1264" spans="1:16" ht="13">
      <c r="A1264" s="2" t="s">
        <v>4</v>
      </c>
      <c r="B1264" s="2" t="str">
        <f t="shared" si="19"/>
        <v>23-24 Academic Year</v>
      </c>
      <c r="C1264" s="2">
        <v>35</v>
      </c>
      <c r="D1264" s="2" t="s">
        <v>5084</v>
      </c>
      <c r="E1264" s="10">
        <v>45382</v>
      </c>
      <c r="F1264" s="2" t="s">
        <v>2691</v>
      </c>
      <c r="G1264" s="2" t="s">
        <v>2226</v>
      </c>
      <c r="H1264" s="2" t="s">
        <v>6</v>
      </c>
      <c r="I1264" s="2" t="s">
        <v>434</v>
      </c>
      <c r="J1264" s="2" t="s">
        <v>2696</v>
      </c>
      <c r="K1264" s="2" t="s">
        <v>1119</v>
      </c>
      <c r="L1264" s="2" t="s">
        <v>1676</v>
      </c>
      <c r="M1264" s="3">
        <v>1</v>
      </c>
      <c r="N1264" s="3">
        <v>2</v>
      </c>
      <c r="P1264" s="2" t="s">
        <v>2697</v>
      </c>
    </row>
    <row r="1265" spans="1:16" ht="13">
      <c r="A1265" s="2" t="s">
        <v>4</v>
      </c>
      <c r="B1265" s="2" t="str">
        <f t="shared" si="19"/>
        <v>23-24 Academic Year</v>
      </c>
      <c r="C1265" s="2">
        <v>36</v>
      </c>
      <c r="D1265" s="2" t="s">
        <v>5085</v>
      </c>
      <c r="E1265" s="10">
        <v>45384</v>
      </c>
      <c r="F1265" s="2" t="s">
        <v>2698</v>
      </c>
      <c r="G1265" s="2" t="s">
        <v>2170</v>
      </c>
      <c r="H1265" s="2" t="s">
        <v>6</v>
      </c>
      <c r="I1265" s="2" t="s">
        <v>570</v>
      </c>
      <c r="J1265" s="2" t="s">
        <v>2699</v>
      </c>
      <c r="K1265" s="2" t="s">
        <v>237</v>
      </c>
      <c r="L1265" s="2" t="s">
        <v>1421</v>
      </c>
      <c r="M1265" s="3">
        <v>1</v>
      </c>
      <c r="N1265" s="3">
        <v>1</v>
      </c>
      <c r="P1265" s="2" t="s">
        <v>2700</v>
      </c>
    </row>
    <row r="1266" spans="1:16" ht="13">
      <c r="A1266" s="2" t="s">
        <v>4</v>
      </c>
      <c r="B1266" s="2" t="str">
        <f t="shared" si="19"/>
        <v>23-24 Academic Year</v>
      </c>
      <c r="C1266" s="2">
        <v>36</v>
      </c>
      <c r="D1266" s="2" t="s">
        <v>5085</v>
      </c>
      <c r="E1266" s="10">
        <v>45384</v>
      </c>
      <c r="F1266" s="2" t="s">
        <v>2698</v>
      </c>
      <c r="G1266" s="2" t="s">
        <v>2170</v>
      </c>
      <c r="H1266" s="2" t="s">
        <v>6</v>
      </c>
      <c r="I1266" s="2" t="s">
        <v>570</v>
      </c>
      <c r="J1266" s="2" t="s">
        <v>2701</v>
      </c>
      <c r="K1266" s="2" t="s">
        <v>2702</v>
      </c>
      <c r="L1266" s="2" t="s">
        <v>4373</v>
      </c>
      <c r="M1266" s="3">
        <v>2</v>
      </c>
      <c r="N1266" s="3">
        <v>1</v>
      </c>
      <c r="P1266" s="2" t="s">
        <v>2703</v>
      </c>
    </row>
    <row r="1267" spans="1:16" ht="13">
      <c r="A1267" s="2" t="s">
        <v>4</v>
      </c>
      <c r="B1267" s="2" t="str">
        <f t="shared" si="19"/>
        <v>23-24 Academic Year</v>
      </c>
      <c r="C1267" s="2">
        <v>36</v>
      </c>
      <c r="D1267" s="2" t="s">
        <v>5085</v>
      </c>
      <c r="E1267" s="10">
        <v>45384</v>
      </c>
      <c r="F1267" s="2" t="s">
        <v>2698</v>
      </c>
      <c r="G1267" s="2" t="s">
        <v>2170</v>
      </c>
      <c r="H1267" s="2" t="s">
        <v>6</v>
      </c>
      <c r="I1267" s="2" t="s">
        <v>570</v>
      </c>
      <c r="J1267" s="2" t="s">
        <v>2704</v>
      </c>
      <c r="K1267" s="2" t="s">
        <v>2705</v>
      </c>
      <c r="L1267" s="2" t="s">
        <v>5086</v>
      </c>
      <c r="M1267" s="3">
        <v>1</v>
      </c>
      <c r="N1267" s="3">
        <v>1</v>
      </c>
      <c r="P1267" s="2" t="s">
        <v>2706</v>
      </c>
    </row>
    <row r="1268" spans="1:16" ht="13">
      <c r="A1268" s="2" t="s">
        <v>4</v>
      </c>
      <c r="B1268" s="2" t="str">
        <f t="shared" si="19"/>
        <v>23-24 Academic Year</v>
      </c>
      <c r="C1268" s="2">
        <v>36</v>
      </c>
      <c r="D1268" s="2" t="s">
        <v>5085</v>
      </c>
      <c r="E1268" s="10">
        <v>45384</v>
      </c>
      <c r="F1268" s="2" t="s">
        <v>2698</v>
      </c>
      <c r="G1268" s="2" t="s">
        <v>2170</v>
      </c>
      <c r="H1268" s="2" t="s">
        <v>6</v>
      </c>
      <c r="I1268" s="2" t="s">
        <v>570</v>
      </c>
      <c r="J1268" s="2" t="s">
        <v>2707</v>
      </c>
      <c r="K1268" s="2" t="s">
        <v>237</v>
      </c>
      <c r="L1268" s="2" t="s">
        <v>1421</v>
      </c>
      <c r="M1268" s="3">
        <v>1</v>
      </c>
      <c r="N1268" s="3">
        <v>1</v>
      </c>
      <c r="P1268" s="2" t="s">
        <v>2708</v>
      </c>
    </row>
    <row r="1269" spans="1:16" ht="13">
      <c r="A1269" s="2" t="s">
        <v>4</v>
      </c>
      <c r="B1269" s="2" t="str">
        <f t="shared" si="19"/>
        <v>23-24 Academic Year</v>
      </c>
      <c r="C1269" s="2">
        <v>36</v>
      </c>
      <c r="D1269" s="2" t="s">
        <v>5085</v>
      </c>
      <c r="E1269" s="10">
        <v>45384</v>
      </c>
      <c r="F1269" s="2" t="s">
        <v>2698</v>
      </c>
      <c r="G1269" s="2" t="s">
        <v>2170</v>
      </c>
      <c r="H1269" s="2" t="s">
        <v>6</v>
      </c>
      <c r="I1269" s="2" t="s">
        <v>570</v>
      </c>
      <c r="J1269" s="2" t="s">
        <v>2709</v>
      </c>
      <c r="K1269" s="2" t="s">
        <v>237</v>
      </c>
      <c r="L1269" s="2" t="s">
        <v>1421</v>
      </c>
      <c r="M1269" s="3">
        <v>1</v>
      </c>
      <c r="N1269" s="3">
        <v>1</v>
      </c>
      <c r="P1269" s="2" t="s">
        <v>2710</v>
      </c>
    </row>
    <row r="1270" spans="1:16" ht="13">
      <c r="A1270" s="2" t="s">
        <v>4</v>
      </c>
      <c r="B1270" s="2" t="str">
        <f t="shared" si="19"/>
        <v>23-24 Academic Year</v>
      </c>
      <c r="C1270" s="2">
        <v>36</v>
      </c>
      <c r="D1270" s="2" t="s">
        <v>5085</v>
      </c>
      <c r="E1270" s="10">
        <v>45384</v>
      </c>
      <c r="F1270" s="2" t="s">
        <v>2698</v>
      </c>
      <c r="G1270" s="2" t="s">
        <v>2170</v>
      </c>
      <c r="H1270" s="2" t="s">
        <v>6</v>
      </c>
      <c r="I1270" s="2" t="s">
        <v>570</v>
      </c>
      <c r="J1270" s="2" t="s">
        <v>2711</v>
      </c>
      <c r="K1270" s="2" t="s">
        <v>237</v>
      </c>
      <c r="L1270" s="2" t="s">
        <v>1421</v>
      </c>
      <c r="M1270" s="3">
        <v>1</v>
      </c>
      <c r="N1270" s="3">
        <v>1</v>
      </c>
      <c r="P1270" s="2" t="s">
        <v>2712</v>
      </c>
    </row>
    <row r="1271" spans="1:16" ht="13">
      <c r="A1271" s="2" t="s">
        <v>4</v>
      </c>
      <c r="B1271" s="2" t="str">
        <f t="shared" si="19"/>
        <v>23-24 Academic Year</v>
      </c>
      <c r="C1271" s="2">
        <v>36</v>
      </c>
      <c r="D1271" s="2" t="s">
        <v>5085</v>
      </c>
      <c r="E1271" s="10">
        <v>45384</v>
      </c>
      <c r="F1271" s="2" t="s">
        <v>2698</v>
      </c>
      <c r="G1271" s="2" t="s">
        <v>2170</v>
      </c>
      <c r="H1271" s="2" t="s">
        <v>6</v>
      </c>
      <c r="I1271" s="2" t="s">
        <v>570</v>
      </c>
      <c r="J1271" s="2" t="s">
        <v>2713</v>
      </c>
      <c r="K1271" s="2" t="s">
        <v>2714</v>
      </c>
      <c r="L1271" s="2" t="s">
        <v>3358</v>
      </c>
      <c r="M1271" s="3">
        <v>1</v>
      </c>
      <c r="N1271" s="3">
        <v>1</v>
      </c>
      <c r="P1271" s="2" t="s">
        <v>2715</v>
      </c>
    </row>
    <row r="1272" spans="1:16" ht="13">
      <c r="A1272" s="2" t="s">
        <v>4</v>
      </c>
      <c r="B1272" s="2" t="str">
        <f t="shared" si="19"/>
        <v>23-24 Academic Year</v>
      </c>
      <c r="C1272" s="2">
        <v>36</v>
      </c>
      <c r="D1272" s="2" t="s">
        <v>5085</v>
      </c>
      <c r="E1272" s="10">
        <v>45384</v>
      </c>
      <c r="F1272" s="2" t="s">
        <v>2698</v>
      </c>
      <c r="G1272" s="2" t="s">
        <v>2170</v>
      </c>
      <c r="H1272" s="2" t="s">
        <v>6</v>
      </c>
      <c r="I1272" s="2" t="s">
        <v>570</v>
      </c>
      <c r="J1272" s="2" t="s">
        <v>2716</v>
      </c>
      <c r="K1272" s="2" t="s">
        <v>2717</v>
      </c>
      <c r="L1272" s="2" t="s">
        <v>2718</v>
      </c>
      <c r="M1272" s="3">
        <v>1</v>
      </c>
      <c r="N1272" s="3">
        <v>1</v>
      </c>
      <c r="P1272" s="2" t="s">
        <v>2719</v>
      </c>
    </row>
    <row r="1273" spans="1:16" ht="13">
      <c r="A1273" s="2" t="s">
        <v>4</v>
      </c>
      <c r="B1273" s="2" t="str">
        <f t="shared" si="19"/>
        <v>23-24 Academic Year</v>
      </c>
      <c r="C1273" s="2">
        <v>36</v>
      </c>
      <c r="D1273" s="2" t="s">
        <v>5085</v>
      </c>
      <c r="E1273" s="10">
        <v>45384</v>
      </c>
      <c r="F1273" s="2" t="s">
        <v>2698</v>
      </c>
      <c r="G1273" s="2" t="s">
        <v>2170</v>
      </c>
      <c r="H1273" s="2" t="s">
        <v>6</v>
      </c>
      <c r="I1273" s="2" t="s">
        <v>570</v>
      </c>
      <c r="J1273" s="2" t="s">
        <v>2720</v>
      </c>
      <c r="K1273" s="2" t="s">
        <v>2721</v>
      </c>
      <c r="L1273" s="2" t="s">
        <v>4364</v>
      </c>
      <c r="M1273" s="3">
        <v>2</v>
      </c>
      <c r="N1273" s="3">
        <v>1</v>
      </c>
      <c r="P1273" s="2" t="s">
        <v>2722</v>
      </c>
    </row>
    <row r="1274" spans="1:16" ht="13">
      <c r="A1274" s="2" t="s">
        <v>4</v>
      </c>
      <c r="B1274" s="2" t="str">
        <f t="shared" si="19"/>
        <v>23-24 Academic Year</v>
      </c>
      <c r="C1274" s="2">
        <v>36</v>
      </c>
      <c r="D1274" s="2" t="s">
        <v>5085</v>
      </c>
      <c r="E1274" s="10">
        <v>45384</v>
      </c>
      <c r="F1274" s="2" t="s">
        <v>2698</v>
      </c>
      <c r="G1274" s="2" t="s">
        <v>2170</v>
      </c>
      <c r="H1274" s="2" t="s">
        <v>6</v>
      </c>
      <c r="I1274" s="2" t="s">
        <v>570</v>
      </c>
      <c r="J1274" s="2" t="s">
        <v>2723</v>
      </c>
      <c r="K1274" s="2" t="s">
        <v>2724</v>
      </c>
      <c r="L1274" s="2" t="s">
        <v>2725</v>
      </c>
      <c r="M1274" s="3">
        <v>1</v>
      </c>
      <c r="N1274" s="3">
        <v>2</v>
      </c>
      <c r="P1274" s="2" t="s">
        <v>2726</v>
      </c>
    </row>
    <row r="1275" spans="1:16" ht="13">
      <c r="A1275" s="2" t="s">
        <v>4</v>
      </c>
      <c r="B1275" s="2" t="str">
        <f t="shared" si="19"/>
        <v>23-24 Academic Year</v>
      </c>
      <c r="C1275" s="2">
        <v>36</v>
      </c>
      <c r="D1275" s="2" t="s">
        <v>5085</v>
      </c>
      <c r="E1275" s="10">
        <v>45384</v>
      </c>
      <c r="F1275" s="2" t="s">
        <v>2698</v>
      </c>
      <c r="G1275" s="2" t="s">
        <v>2170</v>
      </c>
      <c r="H1275" s="2" t="s">
        <v>6</v>
      </c>
      <c r="I1275" s="2" t="s">
        <v>570</v>
      </c>
      <c r="J1275" s="2" t="s">
        <v>2727</v>
      </c>
      <c r="K1275" s="2" t="s">
        <v>2728</v>
      </c>
      <c r="L1275" s="2" t="s">
        <v>5087</v>
      </c>
      <c r="M1275" s="3">
        <v>1</v>
      </c>
      <c r="N1275" s="3">
        <v>1</v>
      </c>
      <c r="P1275" s="2" t="s">
        <v>2729</v>
      </c>
    </row>
    <row r="1276" spans="1:16" ht="13">
      <c r="A1276" s="2" t="s">
        <v>4</v>
      </c>
      <c r="B1276" s="2" t="str">
        <f t="shared" si="19"/>
        <v>23-24 Academic Year</v>
      </c>
      <c r="C1276" s="2">
        <v>37</v>
      </c>
      <c r="D1276" s="2" t="s">
        <v>3969</v>
      </c>
      <c r="E1276" s="10">
        <v>45386</v>
      </c>
      <c r="F1276" s="2" t="s">
        <v>2730</v>
      </c>
      <c r="G1276" s="2" t="s">
        <v>2226</v>
      </c>
      <c r="H1276" s="2" t="s">
        <v>6</v>
      </c>
      <c r="I1276" s="2" t="s">
        <v>434</v>
      </c>
      <c r="J1276" s="2" t="s">
        <v>2731</v>
      </c>
      <c r="K1276" s="2" t="s">
        <v>616</v>
      </c>
      <c r="L1276" s="2" t="s">
        <v>436</v>
      </c>
      <c r="M1276" s="3">
        <v>2</v>
      </c>
      <c r="N1276" s="3">
        <v>2</v>
      </c>
      <c r="P1276" s="2" t="s">
        <v>2732</v>
      </c>
    </row>
    <row r="1277" spans="1:16" ht="13">
      <c r="A1277" s="2" t="s">
        <v>4</v>
      </c>
      <c r="B1277" s="2" t="str">
        <f t="shared" si="19"/>
        <v>23-24 Academic Year</v>
      </c>
      <c r="C1277" s="2">
        <v>37</v>
      </c>
      <c r="D1277" s="2" t="s">
        <v>3969</v>
      </c>
      <c r="E1277" s="10">
        <v>45386</v>
      </c>
      <c r="F1277" s="2" t="s">
        <v>2730</v>
      </c>
      <c r="G1277" s="2" t="s">
        <v>2226</v>
      </c>
      <c r="H1277" s="2" t="s">
        <v>6</v>
      </c>
      <c r="I1277" s="2" t="s">
        <v>434</v>
      </c>
      <c r="J1277" s="2" t="s">
        <v>2733</v>
      </c>
      <c r="K1277" s="2" t="s">
        <v>2734</v>
      </c>
      <c r="L1277" s="2" t="s">
        <v>751</v>
      </c>
      <c r="M1277" s="3">
        <v>1</v>
      </c>
      <c r="N1277" s="3">
        <v>2</v>
      </c>
      <c r="P1277" s="2" t="s">
        <v>2735</v>
      </c>
    </row>
    <row r="1278" spans="1:16" ht="13">
      <c r="A1278" s="2" t="s">
        <v>4</v>
      </c>
      <c r="B1278" s="2" t="str">
        <f t="shared" si="19"/>
        <v>23-24 Academic Year</v>
      </c>
      <c r="C1278" s="2">
        <v>37</v>
      </c>
      <c r="D1278" s="2" t="s">
        <v>3969</v>
      </c>
      <c r="E1278" s="10">
        <v>45386</v>
      </c>
      <c r="F1278" s="2" t="s">
        <v>2730</v>
      </c>
      <c r="G1278" s="2" t="s">
        <v>2226</v>
      </c>
      <c r="H1278" s="2" t="s">
        <v>6</v>
      </c>
      <c r="I1278" s="2" t="s">
        <v>434</v>
      </c>
      <c r="J1278" s="2" t="s">
        <v>2736</v>
      </c>
      <c r="K1278" s="2" t="s">
        <v>2737</v>
      </c>
      <c r="L1278" s="2" t="s">
        <v>2738</v>
      </c>
      <c r="M1278" s="3">
        <v>1</v>
      </c>
      <c r="N1278" s="3">
        <v>2</v>
      </c>
      <c r="P1278" s="2" t="s">
        <v>2739</v>
      </c>
    </row>
    <row r="1279" spans="1:16" ht="13">
      <c r="A1279" s="2" t="s">
        <v>4</v>
      </c>
      <c r="B1279" s="2" t="str">
        <f t="shared" si="19"/>
        <v>23-24 Academic Year</v>
      </c>
      <c r="C1279" s="2">
        <v>37</v>
      </c>
      <c r="D1279" s="2" t="s">
        <v>3969</v>
      </c>
      <c r="E1279" s="10">
        <v>45386</v>
      </c>
      <c r="F1279" s="2" t="s">
        <v>2730</v>
      </c>
      <c r="G1279" s="2" t="s">
        <v>2226</v>
      </c>
      <c r="H1279" s="2" t="s">
        <v>6</v>
      </c>
      <c r="I1279" s="2" t="s">
        <v>434</v>
      </c>
      <c r="J1279" s="2" t="s">
        <v>2740</v>
      </c>
      <c r="K1279" s="2" t="s">
        <v>2741</v>
      </c>
      <c r="L1279" s="2" t="s">
        <v>2742</v>
      </c>
      <c r="M1279" s="3">
        <v>1</v>
      </c>
      <c r="N1279" s="3">
        <v>2</v>
      </c>
      <c r="P1279" s="2" t="s">
        <v>2743</v>
      </c>
    </row>
    <row r="1280" spans="1:16" ht="13">
      <c r="A1280" s="2" t="s">
        <v>4</v>
      </c>
      <c r="B1280" s="2" t="str">
        <f t="shared" si="19"/>
        <v>23-24 Academic Year</v>
      </c>
      <c r="C1280" s="2">
        <v>38</v>
      </c>
      <c r="D1280" s="2" t="s">
        <v>2542</v>
      </c>
      <c r="E1280" s="10">
        <v>45389</v>
      </c>
      <c r="F1280" s="2" t="s">
        <v>2744</v>
      </c>
      <c r="G1280" s="2" t="s">
        <v>2226</v>
      </c>
      <c r="H1280" s="2" t="s">
        <v>6</v>
      </c>
      <c r="I1280" s="2" t="s">
        <v>913</v>
      </c>
      <c r="J1280" s="2" t="s">
        <v>2745</v>
      </c>
      <c r="K1280" s="2" t="s">
        <v>774</v>
      </c>
      <c r="L1280" s="2" t="s">
        <v>1117</v>
      </c>
      <c r="M1280" s="3">
        <v>1</v>
      </c>
      <c r="N1280" s="3">
        <v>2</v>
      </c>
      <c r="P1280" s="2" t="s">
        <v>2746</v>
      </c>
    </row>
    <row r="1281" spans="1:16" ht="13">
      <c r="A1281" s="2" t="s">
        <v>4</v>
      </c>
      <c r="B1281" s="2" t="str">
        <f t="shared" si="19"/>
        <v>23-24 Academic Year</v>
      </c>
      <c r="C1281" s="2">
        <v>38</v>
      </c>
      <c r="D1281" s="2" t="s">
        <v>2542</v>
      </c>
      <c r="E1281" s="10">
        <v>45389</v>
      </c>
      <c r="F1281" s="2" t="s">
        <v>2744</v>
      </c>
      <c r="G1281" s="2" t="s">
        <v>2226</v>
      </c>
      <c r="H1281" s="2" t="s">
        <v>6</v>
      </c>
      <c r="I1281" s="2" t="s">
        <v>913</v>
      </c>
      <c r="J1281" s="2" t="s">
        <v>2747</v>
      </c>
      <c r="K1281" s="2" t="s">
        <v>2374</v>
      </c>
      <c r="L1281" s="2" t="s">
        <v>4169</v>
      </c>
      <c r="M1281" s="3">
        <v>1</v>
      </c>
      <c r="N1281" s="3">
        <v>2</v>
      </c>
      <c r="P1281" s="2" t="s">
        <v>2748</v>
      </c>
    </row>
    <row r="1282" spans="1:16" ht="13">
      <c r="A1282" s="2" t="s">
        <v>4</v>
      </c>
      <c r="B1282" s="2" t="str">
        <f t="shared" si="19"/>
        <v>23-24 Academic Year</v>
      </c>
      <c r="C1282" s="2">
        <v>38</v>
      </c>
      <c r="D1282" s="2" t="s">
        <v>2542</v>
      </c>
      <c r="E1282" s="10">
        <v>45389</v>
      </c>
      <c r="F1282" s="2" t="s">
        <v>2744</v>
      </c>
      <c r="G1282" s="2" t="s">
        <v>2226</v>
      </c>
      <c r="H1282" s="2" t="s">
        <v>6</v>
      </c>
      <c r="I1282" s="2" t="s">
        <v>913</v>
      </c>
      <c r="J1282" s="2" t="s">
        <v>2749</v>
      </c>
      <c r="K1282" s="2" t="s">
        <v>2750</v>
      </c>
      <c r="L1282" s="2" t="s">
        <v>2751</v>
      </c>
      <c r="M1282" s="3">
        <v>1</v>
      </c>
      <c r="N1282" s="3">
        <v>2</v>
      </c>
      <c r="P1282" s="2" t="s">
        <v>2752</v>
      </c>
    </row>
    <row r="1283" spans="1:16" ht="13">
      <c r="A1283" s="2" t="s">
        <v>4</v>
      </c>
      <c r="B1283" s="2" t="str">
        <f t="shared" ref="B1283:B1346" si="20">RIGHT(TEXT(IF(LEFT(A1283,4)="Fall",VALUE(RIGHT(A1283,4)),VALUE(RIGHT(A1283,4))-1),"00"),2)
 &amp; "-" &amp;
 RIGHT(TEXT(IF(LEFT(A1283,4)="Fall",VALUE(RIGHT(A1283,4))+1,VALUE(RIGHT(A1283,4))),"00"),2)
 &amp; " Academic Year"</f>
        <v>23-24 Academic Year</v>
      </c>
      <c r="C1283" s="2">
        <v>38</v>
      </c>
      <c r="D1283" s="2" t="s">
        <v>2542</v>
      </c>
      <c r="E1283" s="10">
        <v>45389</v>
      </c>
      <c r="F1283" s="2" t="s">
        <v>2744</v>
      </c>
      <c r="G1283" s="2" t="s">
        <v>2226</v>
      </c>
      <c r="H1283" s="2" t="s">
        <v>6</v>
      </c>
      <c r="I1283" s="2" t="s">
        <v>913</v>
      </c>
      <c r="J1283" s="2" t="s">
        <v>2753</v>
      </c>
      <c r="K1283" s="2" t="s">
        <v>2542</v>
      </c>
      <c r="L1283" s="2" t="s">
        <v>2056</v>
      </c>
      <c r="M1283" s="3">
        <v>999</v>
      </c>
      <c r="N1283" s="3">
        <v>999</v>
      </c>
      <c r="P1283" s="2" t="s">
        <v>2754</v>
      </c>
    </row>
    <row r="1284" spans="1:16" ht="13">
      <c r="A1284" s="2" t="s">
        <v>4</v>
      </c>
      <c r="B1284" s="2" t="str">
        <f t="shared" si="20"/>
        <v>23-24 Academic Year</v>
      </c>
      <c r="C1284" s="2">
        <v>38</v>
      </c>
      <c r="D1284" s="2" t="s">
        <v>2542</v>
      </c>
      <c r="E1284" s="10">
        <v>45389</v>
      </c>
      <c r="F1284" s="2" t="s">
        <v>2744</v>
      </c>
      <c r="G1284" s="2" t="s">
        <v>2226</v>
      </c>
      <c r="H1284" s="2" t="s">
        <v>6</v>
      </c>
      <c r="I1284" s="2" t="s">
        <v>913</v>
      </c>
      <c r="J1284" s="2" t="s">
        <v>2755</v>
      </c>
      <c r="K1284" s="2" t="s">
        <v>2756</v>
      </c>
      <c r="L1284" s="2" t="s">
        <v>5088</v>
      </c>
      <c r="M1284" s="3">
        <v>1</v>
      </c>
      <c r="N1284" s="3">
        <v>2</v>
      </c>
      <c r="P1284" s="2" t="s">
        <v>2757</v>
      </c>
    </row>
    <row r="1285" spans="1:16" ht="13">
      <c r="A1285" s="2" t="s">
        <v>4</v>
      </c>
      <c r="B1285" s="2" t="str">
        <f t="shared" si="20"/>
        <v>23-24 Academic Year</v>
      </c>
      <c r="C1285" s="2">
        <v>38</v>
      </c>
      <c r="D1285" s="2" t="s">
        <v>2542</v>
      </c>
      <c r="E1285" s="10">
        <v>45389</v>
      </c>
      <c r="F1285" s="2" t="s">
        <v>2744</v>
      </c>
      <c r="G1285" s="2" t="s">
        <v>2226</v>
      </c>
      <c r="H1285" s="2" t="s">
        <v>6</v>
      </c>
      <c r="I1285" s="2" t="s">
        <v>913</v>
      </c>
      <c r="J1285" s="2" t="s">
        <v>2758</v>
      </c>
      <c r="K1285" s="2" t="s">
        <v>1001</v>
      </c>
      <c r="L1285" s="2" t="s">
        <v>4985</v>
      </c>
      <c r="M1285" s="3">
        <v>2</v>
      </c>
      <c r="N1285" s="3">
        <v>1</v>
      </c>
      <c r="P1285" s="2" t="s">
        <v>1004</v>
      </c>
    </row>
    <row r="1286" spans="1:16" ht="13">
      <c r="A1286" s="2" t="s">
        <v>4</v>
      </c>
      <c r="B1286" s="2" t="str">
        <f t="shared" si="20"/>
        <v>23-24 Academic Year</v>
      </c>
      <c r="C1286" s="2">
        <v>39</v>
      </c>
      <c r="D1286" s="2" t="s">
        <v>5089</v>
      </c>
      <c r="E1286" s="10">
        <v>45390</v>
      </c>
      <c r="F1286" s="2" t="s">
        <v>2759</v>
      </c>
      <c r="G1286" s="2" t="s">
        <v>2180</v>
      </c>
      <c r="H1286" s="2" t="s">
        <v>6</v>
      </c>
      <c r="I1286" s="2" t="s">
        <v>728</v>
      </c>
      <c r="J1286" s="2" t="s">
        <v>2760</v>
      </c>
      <c r="K1286" s="2" t="s">
        <v>2761</v>
      </c>
      <c r="L1286" s="2" t="s">
        <v>5090</v>
      </c>
      <c r="M1286" s="3">
        <v>3</v>
      </c>
      <c r="N1286" s="3">
        <v>2</v>
      </c>
      <c r="P1286" s="2" t="s">
        <v>2762</v>
      </c>
    </row>
    <row r="1287" spans="1:16" ht="13">
      <c r="A1287" s="2" t="s">
        <v>4</v>
      </c>
      <c r="B1287" s="2" t="str">
        <f t="shared" si="20"/>
        <v>23-24 Academic Year</v>
      </c>
      <c r="C1287" s="2">
        <v>39</v>
      </c>
      <c r="D1287" s="2" t="s">
        <v>5089</v>
      </c>
      <c r="E1287" s="10">
        <v>45390</v>
      </c>
      <c r="F1287" s="2" t="s">
        <v>2759</v>
      </c>
      <c r="G1287" s="2" t="s">
        <v>2180</v>
      </c>
      <c r="H1287" s="2" t="s">
        <v>6</v>
      </c>
      <c r="I1287" s="2" t="s">
        <v>728</v>
      </c>
      <c r="J1287" s="2" t="s">
        <v>2763</v>
      </c>
      <c r="K1287" s="2" t="s">
        <v>2764</v>
      </c>
      <c r="L1287" s="2" t="s">
        <v>2765</v>
      </c>
      <c r="M1287" s="3">
        <v>3</v>
      </c>
      <c r="N1287" s="3">
        <v>2</v>
      </c>
      <c r="P1287" s="2" t="s">
        <v>2766</v>
      </c>
    </row>
    <row r="1288" spans="1:16" ht="13">
      <c r="A1288" s="2" t="s">
        <v>4</v>
      </c>
      <c r="B1288" s="2" t="str">
        <f t="shared" si="20"/>
        <v>23-24 Academic Year</v>
      </c>
      <c r="C1288" s="2">
        <v>39</v>
      </c>
      <c r="D1288" s="2" t="s">
        <v>5089</v>
      </c>
      <c r="E1288" s="10">
        <v>45390</v>
      </c>
      <c r="F1288" s="2" t="s">
        <v>2759</v>
      </c>
      <c r="G1288" s="2" t="s">
        <v>2180</v>
      </c>
      <c r="H1288" s="2" t="s">
        <v>6</v>
      </c>
      <c r="I1288" s="2" t="s">
        <v>728</v>
      </c>
      <c r="J1288" s="2" t="s">
        <v>2767</v>
      </c>
      <c r="K1288" s="2" t="s">
        <v>2768</v>
      </c>
      <c r="L1288" s="2" t="s">
        <v>5091</v>
      </c>
      <c r="M1288" s="3">
        <v>1</v>
      </c>
      <c r="N1288" s="3">
        <v>1</v>
      </c>
      <c r="P1288" s="2" t="s">
        <v>2769</v>
      </c>
    </row>
    <row r="1289" spans="1:16" ht="13">
      <c r="A1289" s="2" t="s">
        <v>4</v>
      </c>
      <c r="B1289" s="2" t="str">
        <f t="shared" si="20"/>
        <v>23-24 Academic Year</v>
      </c>
      <c r="C1289" s="2">
        <v>39</v>
      </c>
      <c r="D1289" s="2" t="s">
        <v>5089</v>
      </c>
      <c r="E1289" s="10">
        <v>45390</v>
      </c>
      <c r="F1289" s="2" t="s">
        <v>2759</v>
      </c>
      <c r="G1289" s="2" t="s">
        <v>2180</v>
      </c>
      <c r="H1289" s="2" t="s">
        <v>6</v>
      </c>
      <c r="I1289" s="2" t="s">
        <v>728</v>
      </c>
      <c r="J1289" s="2" t="s">
        <v>2770</v>
      </c>
      <c r="K1289" s="2" t="s">
        <v>2771</v>
      </c>
      <c r="L1289" s="2" t="s">
        <v>2772</v>
      </c>
      <c r="M1289" s="3">
        <v>3</v>
      </c>
      <c r="N1289" s="3">
        <v>2</v>
      </c>
      <c r="P1289" s="2" t="s">
        <v>2773</v>
      </c>
    </row>
    <row r="1290" spans="1:16" ht="13">
      <c r="A1290" s="2" t="s">
        <v>4</v>
      </c>
      <c r="B1290" s="2" t="str">
        <f t="shared" si="20"/>
        <v>23-24 Academic Year</v>
      </c>
      <c r="C1290" s="2">
        <v>39</v>
      </c>
      <c r="D1290" s="2" t="s">
        <v>5089</v>
      </c>
      <c r="E1290" s="10">
        <v>45390</v>
      </c>
      <c r="F1290" s="2" t="s">
        <v>2759</v>
      </c>
      <c r="G1290" s="2" t="s">
        <v>2180</v>
      </c>
      <c r="H1290" s="2" t="s">
        <v>6</v>
      </c>
      <c r="I1290" s="2" t="s">
        <v>728</v>
      </c>
      <c r="J1290" s="2" t="s">
        <v>2774</v>
      </c>
      <c r="K1290" s="2" t="s">
        <v>2775</v>
      </c>
      <c r="L1290" s="2" t="s">
        <v>5092</v>
      </c>
      <c r="M1290" s="3">
        <v>3</v>
      </c>
      <c r="N1290" s="3">
        <v>2</v>
      </c>
      <c r="P1290" s="2" t="s">
        <v>2776</v>
      </c>
    </row>
    <row r="1291" spans="1:16" ht="13">
      <c r="A1291" s="2" t="s">
        <v>4</v>
      </c>
      <c r="B1291" s="2" t="str">
        <f t="shared" si="20"/>
        <v>23-24 Academic Year</v>
      </c>
      <c r="C1291" s="2">
        <v>39</v>
      </c>
      <c r="D1291" s="2" t="s">
        <v>5089</v>
      </c>
      <c r="E1291" s="10">
        <v>45390</v>
      </c>
      <c r="F1291" s="2" t="s">
        <v>2759</v>
      </c>
      <c r="G1291" s="2" t="s">
        <v>2180</v>
      </c>
      <c r="H1291" s="2" t="s">
        <v>6</v>
      </c>
      <c r="I1291" s="2" t="s">
        <v>728</v>
      </c>
      <c r="J1291" s="2" t="s">
        <v>2777</v>
      </c>
      <c r="K1291" s="2" t="s">
        <v>2778</v>
      </c>
      <c r="L1291" s="2" t="s">
        <v>5093</v>
      </c>
      <c r="M1291" s="3">
        <v>1</v>
      </c>
      <c r="N1291" s="3">
        <v>1</v>
      </c>
      <c r="P1291" s="2" t="s">
        <v>2779</v>
      </c>
    </row>
    <row r="1292" spans="1:16" ht="13">
      <c r="A1292" s="2" t="s">
        <v>4</v>
      </c>
      <c r="B1292" s="2" t="str">
        <f t="shared" si="20"/>
        <v>23-24 Academic Year</v>
      </c>
      <c r="C1292" s="2">
        <v>39</v>
      </c>
      <c r="D1292" s="2" t="s">
        <v>5089</v>
      </c>
      <c r="E1292" s="10">
        <v>45390</v>
      </c>
      <c r="F1292" s="2" t="s">
        <v>2759</v>
      </c>
      <c r="G1292" s="2" t="s">
        <v>2180</v>
      </c>
      <c r="H1292" s="2" t="s">
        <v>6</v>
      </c>
      <c r="I1292" s="2" t="s">
        <v>728</v>
      </c>
      <c r="J1292" s="2" t="s">
        <v>2780</v>
      </c>
      <c r="K1292" s="2" t="s">
        <v>2781</v>
      </c>
      <c r="L1292" s="2" t="s">
        <v>5094</v>
      </c>
      <c r="M1292" s="3">
        <v>2</v>
      </c>
      <c r="N1292" s="3">
        <v>1</v>
      </c>
      <c r="P1292" s="2" t="s">
        <v>2782</v>
      </c>
    </row>
    <row r="1293" spans="1:16" ht="13">
      <c r="A1293" s="2" t="s">
        <v>4</v>
      </c>
      <c r="B1293" s="2" t="str">
        <f t="shared" si="20"/>
        <v>23-24 Academic Year</v>
      </c>
      <c r="C1293" s="2">
        <v>39</v>
      </c>
      <c r="D1293" s="2" t="s">
        <v>5089</v>
      </c>
      <c r="E1293" s="10">
        <v>45390</v>
      </c>
      <c r="F1293" s="2" t="s">
        <v>2759</v>
      </c>
      <c r="G1293" s="2" t="s">
        <v>2180</v>
      </c>
      <c r="H1293" s="2" t="s">
        <v>6</v>
      </c>
      <c r="I1293" s="2" t="s">
        <v>728</v>
      </c>
      <c r="J1293" s="2" t="s">
        <v>2783</v>
      </c>
      <c r="K1293" s="2" t="s">
        <v>2784</v>
      </c>
      <c r="L1293" s="2" t="s">
        <v>5095</v>
      </c>
      <c r="M1293" s="3">
        <v>3</v>
      </c>
      <c r="N1293" s="3">
        <v>1</v>
      </c>
      <c r="P1293" s="2" t="s">
        <v>2785</v>
      </c>
    </row>
    <row r="1294" spans="1:16" ht="13">
      <c r="A1294" s="2" t="s">
        <v>4</v>
      </c>
      <c r="B1294" s="2" t="str">
        <f t="shared" si="20"/>
        <v>23-24 Academic Year</v>
      </c>
      <c r="C1294" s="2">
        <v>40</v>
      </c>
      <c r="D1294" s="2" t="s">
        <v>4176</v>
      </c>
      <c r="E1294" s="10">
        <v>45391</v>
      </c>
      <c r="F1294" s="2" t="s">
        <v>2786</v>
      </c>
      <c r="G1294" s="2" t="s">
        <v>2226</v>
      </c>
      <c r="H1294" s="2" t="s">
        <v>6</v>
      </c>
      <c r="I1294" s="2" t="s">
        <v>2787</v>
      </c>
      <c r="J1294" s="2" t="s">
        <v>2788</v>
      </c>
      <c r="K1294" s="2" t="s">
        <v>1159</v>
      </c>
      <c r="L1294" s="2" t="s">
        <v>5008</v>
      </c>
      <c r="M1294" s="3">
        <v>1</v>
      </c>
      <c r="N1294" s="3">
        <v>2</v>
      </c>
      <c r="P1294" s="2" t="s">
        <v>2789</v>
      </c>
    </row>
    <row r="1295" spans="1:16" ht="13">
      <c r="A1295" s="2" t="s">
        <v>4</v>
      </c>
      <c r="B1295" s="2" t="str">
        <f t="shared" si="20"/>
        <v>23-24 Academic Year</v>
      </c>
      <c r="C1295" s="2">
        <v>40</v>
      </c>
      <c r="D1295" s="2" t="s">
        <v>4176</v>
      </c>
      <c r="E1295" s="10">
        <v>45391</v>
      </c>
      <c r="F1295" s="2" t="s">
        <v>2786</v>
      </c>
      <c r="G1295" s="2" t="s">
        <v>2226</v>
      </c>
      <c r="H1295" s="2" t="s">
        <v>6</v>
      </c>
      <c r="I1295" s="2" t="s">
        <v>2787</v>
      </c>
      <c r="J1295" s="2" t="s">
        <v>2790</v>
      </c>
      <c r="K1295" s="2" t="s">
        <v>2791</v>
      </c>
      <c r="L1295" s="2" t="s">
        <v>3349</v>
      </c>
      <c r="M1295" s="3">
        <v>1</v>
      </c>
      <c r="N1295" s="3">
        <v>2</v>
      </c>
      <c r="P1295" s="2" t="s">
        <v>2792</v>
      </c>
    </row>
    <row r="1296" spans="1:16" ht="13">
      <c r="A1296" s="2" t="s">
        <v>4</v>
      </c>
      <c r="B1296" s="2" t="str">
        <f t="shared" si="20"/>
        <v>23-24 Academic Year</v>
      </c>
      <c r="C1296" s="2">
        <v>40</v>
      </c>
      <c r="D1296" s="2" t="s">
        <v>4176</v>
      </c>
      <c r="E1296" s="10">
        <v>45391</v>
      </c>
      <c r="F1296" s="2" t="s">
        <v>2786</v>
      </c>
      <c r="G1296" s="2" t="s">
        <v>2226</v>
      </c>
      <c r="H1296" s="2" t="s">
        <v>6</v>
      </c>
      <c r="I1296" s="2" t="s">
        <v>2787</v>
      </c>
      <c r="J1296" s="2" t="s">
        <v>2793</v>
      </c>
      <c r="K1296" s="2" t="s">
        <v>2794</v>
      </c>
      <c r="L1296" s="2" t="s">
        <v>5096</v>
      </c>
      <c r="M1296" s="3">
        <v>1</v>
      </c>
      <c r="N1296" s="3">
        <v>2</v>
      </c>
      <c r="P1296" s="2" t="s">
        <v>2795</v>
      </c>
    </row>
    <row r="1297" spans="1:16" ht="13">
      <c r="A1297" s="2" t="s">
        <v>4</v>
      </c>
      <c r="B1297" s="2" t="str">
        <f t="shared" si="20"/>
        <v>23-24 Academic Year</v>
      </c>
      <c r="C1297" s="2">
        <v>40</v>
      </c>
      <c r="D1297" s="2" t="s">
        <v>4176</v>
      </c>
      <c r="E1297" s="10">
        <v>45391</v>
      </c>
      <c r="F1297" s="2" t="s">
        <v>2786</v>
      </c>
      <c r="G1297" s="2" t="s">
        <v>2226</v>
      </c>
      <c r="H1297" s="2" t="s">
        <v>6</v>
      </c>
      <c r="I1297" s="2" t="s">
        <v>2787</v>
      </c>
      <c r="J1297" s="2" t="s">
        <v>2796</v>
      </c>
      <c r="K1297" s="2" t="s">
        <v>85</v>
      </c>
      <c r="L1297" s="2" t="s">
        <v>1385</v>
      </c>
      <c r="M1297" s="3">
        <v>4</v>
      </c>
      <c r="N1297" s="3">
        <v>1</v>
      </c>
      <c r="P1297" s="2" t="s">
        <v>2797</v>
      </c>
    </row>
    <row r="1298" spans="1:16" ht="13">
      <c r="A1298" s="2" t="s">
        <v>4</v>
      </c>
      <c r="B1298" s="2" t="str">
        <f t="shared" si="20"/>
        <v>23-24 Academic Year</v>
      </c>
      <c r="C1298" s="2">
        <v>40</v>
      </c>
      <c r="D1298" s="2" t="s">
        <v>4176</v>
      </c>
      <c r="E1298" s="10">
        <v>45391</v>
      </c>
      <c r="F1298" s="2" t="s">
        <v>2786</v>
      </c>
      <c r="G1298" s="2" t="s">
        <v>2226</v>
      </c>
      <c r="H1298" s="2" t="s">
        <v>6</v>
      </c>
      <c r="I1298" s="2" t="s">
        <v>2787</v>
      </c>
      <c r="J1298" s="2" t="s">
        <v>2798</v>
      </c>
      <c r="K1298" s="2" t="s">
        <v>513</v>
      </c>
      <c r="L1298" s="2" t="s">
        <v>3364</v>
      </c>
      <c r="M1298" s="3">
        <v>1</v>
      </c>
      <c r="N1298" s="3">
        <v>2</v>
      </c>
      <c r="P1298" s="2" t="s">
        <v>2799</v>
      </c>
    </row>
    <row r="1299" spans="1:16" ht="13">
      <c r="A1299" s="2" t="s">
        <v>4</v>
      </c>
      <c r="B1299" s="2" t="str">
        <f t="shared" si="20"/>
        <v>23-24 Academic Year</v>
      </c>
      <c r="C1299" s="2">
        <v>40</v>
      </c>
      <c r="D1299" s="2" t="s">
        <v>4176</v>
      </c>
      <c r="E1299" s="10">
        <v>45391</v>
      </c>
      <c r="F1299" s="2" t="s">
        <v>2786</v>
      </c>
      <c r="G1299" s="2" t="s">
        <v>2226</v>
      </c>
      <c r="H1299" s="2" t="s">
        <v>6</v>
      </c>
      <c r="I1299" s="2" t="s">
        <v>2787</v>
      </c>
      <c r="J1299" s="2" t="s">
        <v>2800</v>
      </c>
      <c r="K1299" s="2" t="s">
        <v>2801</v>
      </c>
      <c r="L1299" s="2" t="s">
        <v>4116</v>
      </c>
      <c r="M1299" s="3">
        <v>1</v>
      </c>
      <c r="N1299" s="3">
        <v>2</v>
      </c>
      <c r="P1299" s="2" t="s">
        <v>2802</v>
      </c>
    </row>
    <row r="1300" spans="1:16" ht="13">
      <c r="A1300" s="2" t="s">
        <v>4</v>
      </c>
      <c r="B1300" s="2" t="str">
        <f t="shared" si="20"/>
        <v>23-24 Academic Year</v>
      </c>
      <c r="C1300" s="2">
        <v>40</v>
      </c>
      <c r="D1300" s="2" t="s">
        <v>4176</v>
      </c>
      <c r="E1300" s="10">
        <v>45391</v>
      </c>
      <c r="F1300" s="2" t="s">
        <v>2786</v>
      </c>
      <c r="G1300" s="2" t="s">
        <v>2226</v>
      </c>
      <c r="H1300" s="2" t="s">
        <v>6</v>
      </c>
      <c r="I1300" s="2" t="s">
        <v>2787</v>
      </c>
      <c r="J1300" s="2" t="s">
        <v>2803</v>
      </c>
      <c r="K1300" s="2" t="s">
        <v>2804</v>
      </c>
      <c r="L1300" s="2" t="s">
        <v>3083</v>
      </c>
      <c r="M1300" s="3">
        <v>1</v>
      </c>
      <c r="N1300" s="3">
        <v>2</v>
      </c>
      <c r="P1300" s="2" t="s">
        <v>2805</v>
      </c>
    </row>
    <row r="1301" spans="1:16" ht="13">
      <c r="A1301" s="2" t="s">
        <v>4</v>
      </c>
      <c r="B1301" s="2" t="str">
        <f t="shared" si="20"/>
        <v>23-24 Academic Year</v>
      </c>
      <c r="C1301" s="2">
        <v>41</v>
      </c>
      <c r="D1301" s="2" t="s">
        <v>5097</v>
      </c>
      <c r="E1301" s="10">
        <v>45392</v>
      </c>
      <c r="F1301" s="2" t="s">
        <v>2806</v>
      </c>
      <c r="G1301" s="2" t="s">
        <v>2170</v>
      </c>
      <c r="H1301" s="2" t="s">
        <v>6</v>
      </c>
      <c r="I1301" s="2" t="s">
        <v>1028</v>
      </c>
      <c r="J1301" s="2" t="s">
        <v>2807</v>
      </c>
      <c r="K1301" s="2" t="s">
        <v>2808</v>
      </c>
      <c r="L1301" s="2" t="s">
        <v>5098</v>
      </c>
      <c r="M1301" s="3">
        <v>1</v>
      </c>
      <c r="N1301" s="3">
        <v>1</v>
      </c>
      <c r="P1301" s="2" t="s">
        <v>2809</v>
      </c>
    </row>
    <row r="1302" spans="1:16" ht="13">
      <c r="A1302" s="2" t="s">
        <v>4</v>
      </c>
      <c r="B1302" s="2" t="str">
        <f t="shared" si="20"/>
        <v>23-24 Academic Year</v>
      </c>
      <c r="C1302" s="2">
        <v>41</v>
      </c>
      <c r="D1302" s="2" t="s">
        <v>5097</v>
      </c>
      <c r="E1302" s="10">
        <v>45392</v>
      </c>
      <c r="F1302" s="2" t="s">
        <v>2806</v>
      </c>
      <c r="G1302" s="2" t="s">
        <v>2170</v>
      </c>
      <c r="H1302" s="2" t="s">
        <v>6</v>
      </c>
      <c r="I1302" s="2" t="s">
        <v>1028</v>
      </c>
      <c r="J1302" s="2" t="s">
        <v>2810</v>
      </c>
      <c r="K1302" s="2" t="s">
        <v>2811</v>
      </c>
      <c r="L1302" s="2" t="s">
        <v>2812</v>
      </c>
      <c r="M1302" s="3">
        <v>4</v>
      </c>
      <c r="N1302" s="3">
        <v>1</v>
      </c>
      <c r="P1302" s="2" t="s">
        <v>2813</v>
      </c>
    </row>
    <row r="1303" spans="1:16" ht="13">
      <c r="A1303" s="2" t="s">
        <v>4</v>
      </c>
      <c r="B1303" s="2" t="str">
        <f t="shared" si="20"/>
        <v>23-24 Academic Year</v>
      </c>
      <c r="C1303" s="2">
        <v>41</v>
      </c>
      <c r="D1303" s="2" t="s">
        <v>5097</v>
      </c>
      <c r="E1303" s="10">
        <v>45392</v>
      </c>
      <c r="F1303" s="2" t="s">
        <v>2806</v>
      </c>
      <c r="G1303" s="2" t="s">
        <v>2170</v>
      </c>
      <c r="H1303" s="2" t="s">
        <v>6</v>
      </c>
      <c r="I1303" s="2" t="s">
        <v>1028</v>
      </c>
      <c r="J1303" s="2" t="s">
        <v>2814</v>
      </c>
      <c r="K1303" s="2" t="s">
        <v>567</v>
      </c>
      <c r="L1303" s="2" t="s">
        <v>2026</v>
      </c>
      <c r="M1303" s="3">
        <v>2</v>
      </c>
      <c r="N1303" s="3">
        <v>1</v>
      </c>
      <c r="P1303" s="2" t="s">
        <v>2815</v>
      </c>
    </row>
    <row r="1304" spans="1:16" ht="13">
      <c r="A1304" s="2" t="s">
        <v>4</v>
      </c>
      <c r="B1304" s="2" t="str">
        <f t="shared" si="20"/>
        <v>23-24 Academic Year</v>
      </c>
      <c r="C1304" s="2">
        <v>41</v>
      </c>
      <c r="D1304" s="2" t="s">
        <v>5097</v>
      </c>
      <c r="E1304" s="10">
        <v>45392</v>
      </c>
      <c r="F1304" s="2" t="s">
        <v>2806</v>
      </c>
      <c r="G1304" s="2" t="s">
        <v>2170</v>
      </c>
      <c r="H1304" s="2" t="s">
        <v>6</v>
      </c>
      <c r="I1304" s="2" t="s">
        <v>1028</v>
      </c>
      <c r="J1304" s="2" t="s">
        <v>2816</v>
      </c>
      <c r="K1304" s="2" t="s">
        <v>2817</v>
      </c>
      <c r="L1304" s="2" t="s">
        <v>5099</v>
      </c>
      <c r="M1304" s="3">
        <v>3</v>
      </c>
      <c r="N1304" s="3">
        <v>1</v>
      </c>
      <c r="P1304" s="2" t="s">
        <v>2818</v>
      </c>
    </row>
    <row r="1305" spans="1:16" ht="13">
      <c r="A1305" s="2" t="s">
        <v>4</v>
      </c>
      <c r="B1305" s="2" t="str">
        <f t="shared" si="20"/>
        <v>23-24 Academic Year</v>
      </c>
      <c r="C1305" s="2">
        <v>41</v>
      </c>
      <c r="D1305" s="2" t="s">
        <v>5097</v>
      </c>
      <c r="E1305" s="10">
        <v>45392</v>
      </c>
      <c r="F1305" s="2" t="s">
        <v>2806</v>
      </c>
      <c r="G1305" s="2" t="s">
        <v>2170</v>
      </c>
      <c r="H1305" s="2" t="s">
        <v>6</v>
      </c>
      <c r="I1305" s="2" t="s">
        <v>1028</v>
      </c>
      <c r="J1305" s="2" t="s">
        <v>2819</v>
      </c>
      <c r="K1305" s="2" t="s">
        <v>941</v>
      </c>
      <c r="L1305" s="2" t="s">
        <v>4981</v>
      </c>
      <c r="M1305" s="3">
        <v>1</v>
      </c>
      <c r="N1305" s="3">
        <v>1</v>
      </c>
      <c r="P1305" s="2" t="s">
        <v>2820</v>
      </c>
    </row>
    <row r="1306" spans="1:16" ht="13">
      <c r="A1306" s="2" t="s">
        <v>4</v>
      </c>
      <c r="B1306" s="2" t="str">
        <f t="shared" si="20"/>
        <v>23-24 Academic Year</v>
      </c>
      <c r="C1306" s="2">
        <v>41</v>
      </c>
      <c r="D1306" s="2" t="s">
        <v>5097</v>
      </c>
      <c r="E1306" s="10">
        <v>45392</v>
      </c>
      <c r="F1306" s="2" t="s">
        <v>2806</v>
      </c>
      <c r="G1306" s="2" t="s">
        <v>2170</v>
      </c>
      <c r="H1306" s="2" t="s">
        <v>6</v>
      </c>
      <c r="I1306" s="2" t="s">
        <v>1028</v>
      </c>
      <c r="J1306" s="2" t="s">
        <v>2821</v>
      </c>
      <c r="K1306" s="2" t="s">
        <v>2822</v>
      </c>
      <c r="L1306" s="2" t="s">
        <v>4855</v>
      </c>
      <c r="M1306" s="3">
        <v>3</v>
      </c>
      <c r="N1306" s="3">
        <v>1</v>
      </c>
      <c r="P1306" s="2" t="s">
        <v>2823</v>
      </c>
    </row>
    <row r="1307" spans="1:16" ht="13">
      <c r="A1307" s="2" t="s">
        <v>4</v>
      </c>
      <c r="B1307" s="2" t="str">
        <f t="shared" si="20"/>
        <v>23-24 Academic Year</v>
      </c>
      <c r="C1307" s="2">
        <v>41</v>
      </c>
      <c r="D1307" s="2" t="s">
        <v>5097</v>
      </c>
      <c r="E1307" s="10">
        <v>45392</v>
      </c>
      <c r="F1307" s="2" t="s">
        <v>2806</v>
      </c>
      <c r="G1307" s="2" t="s">
        <v>2170</v>
      </c>
      <c r="H1307" s="2" t="s">
        <v>6</v>
      </c>
      <c r="I1307" s="2" t="s">
        <v>1028</v>
      </c>
      <c r="J1307" s="2" t="s">
        <v>2824</v>
      </c>
      <c r="K1307" s="2" t="s">
        <v>75</v>
      </c>
      <c r="L1307" s="2" t="s">
        <v>1275</v>
      </c>
      <c r="M1307" s="3">
        <v>3</v>
      </c>
      <c r="N1307" s="3">
        <v>1</v>
      </c>
      <c r="P1307" s="2" t="s">
        <v>2825</v>
      </c>
    </row>
    <row r="1308" spans="1:16" ht="13">
      <c r="A1308" s="2" t="s">
        <v>4</v>
      </c>
      <c r="B1308" s="2" t="str">
        <f t="shared" si="20"/>
        <v>23-24 Academic Year</v>
      </c>
      <c r="C1308" s="2">
        <v>42</v>
      </c>
      <c r="D1308" s="2" t="s">
        <v>5100</v>
      </c>
      <c r="E1308" s="10">
        <v>45393</v>
      </c>
      <c r="F1308" s="2" t="s">
        <v>2826</v>
      </c>
      <c r="G1308" s="2" t="s">
        <v>2170</v>
      </c>
      <c r="H1308" s="2" t="s">
        <v>6</v>
      </c>
      <c r="I1308" s="2" t="s">
        <v>1028</v>
      </c>
      <c r="J1308" s="2" t="s">
        <v>2827</v>
      </c>
      <c r="K1308" s="2" t="s">
        <v>1110</v>
      </c>
      <c r="L1308" s="2" t="s">
        <v>5003</v>
      </c>
      <c r="M1308" s="3">
        <v>1</v>
      </c>
      <c r="N1308" s="3">
        <v>2</v>
      </c>
      <c r="P1308" s="2" t="s">
        <v>2828</v>
      </c>
    </row>
    <row r="1309" spans="1:16" ht="13">
      <c r="A1309" s="2" t="s">
        <v>4</v>
      </c>
      <c r="B1309" s="2" t="str">
        <f t="shared" si="20"/>
        <v>23-24 Academic Year</v>
      </c>
      <c r="C1309" s="2">
        <v>42</v>
      </c>
      <c r="D1309" s="2" t="s">
        <v>5100</v>
      </c>
      <c r="E1309" s="10">
        <v>45393</v>
      </c>
      <c r="F1309" s="2" t="s">
        <v>2826</v>
      </c>
      <c r="G1309" s="2" t="s">
        <v>2170</v>
      </c>
      <c r="H1309" s="2" t="s">
        <v>6</v>
      </c>
      <c r="I1309" s="2" t="s">
        <v>1028</v>
      </c>
      <c r="J1309" s="2" t="s">
        <v>2829</v>
      </c>
      <c r="K1309" s="2" t="s">
        <v>2830</v>
      </c>
      <c r="L1309" s="2" t="s">
        <v>5101</v>
      </c>
      <c r="M1309" s="3">
        <v>1</v>
      </c>
      <c r="N1309" s="3">
        <v>2</v>
      </c>
      <c r="P1309" s="2" t="s">
        <v>2831</v>
      </c>
    </row>
    <row r="1310" spans="1:16" ht="13">
      <c r="A1310" s="2" t="s">
        <v>4</v>
      </c>
      <c r="B1310" s="2" t="str">
        <f t="shared" si="20"/>
        <v>23-24 Academic Year</v>
      </c>
      <c r="C1310" s="2">
        <v>42</v>
      </c>
      <c r="D1310" s="2" t="s">
        <v>5100</v>
      </c>
      <c r="E1310" s="10">
        <v>45393</v>
      </c>
      <c r="F1310" s="2" t="s">
        <v>2826</v>
      </c>
      <c r="G1310" s="2" t="s">
        <v>2170</v>
      </c>
      <c r="H1310" s="2" t="s">
        <v>6</v>
      </c>
      <c r="I1310" s="2" t="s">
        <v>1028</v>
      </c>
      <c r="J1310" s="2" t="s">
        <v>2832</v>
      </c>
      <c r="K1310" s="2" t="s">
        <v>1119</v>
      </c>
      <c r="L1310" s="2" t="s">
        <v>1676</v>
      </c>
      <c r="M1310" s="3">
        <v>1</v>
      </c>
      <c r="N1310" s="3">
        <v>2</v>
      </c>
      <c r="P1310" s="2" t="s">
        <v>2833</v>
      </c>
    </row>
    <row r="1311" spans="1:16" ht="13">
      <c r="A1311" s="2" t="s">
        <v>4</v>
      </c>
      <c r="B1311" s="2" t="str">
        <f t="shared" si="20"/>
        <v>23-24 Academic Year</v>
      </c>
      <c r="C1311" s="2">
        <v>42</v>
      </c>
      <c r="D1311" s="2" t="s">
        <v>5100</v>
      </c>
      <c r="E1311" s="10">
        <v>45393</v>
      </c>
      <c r="F1311" s="2" t="s">
        <v>2826</v>
      </c>
      <c r="G1311" s="2" t="s">
        <v>2170</v>
      </c>
      <c r="H1311" s="2" t="s">
        <v>6</v>
      </c>
      <c r="I1311" s="2" t="s">
        <v>1028</v>
      </c>
      <c r="J1311" s="2" t="s">
        <v>2834</v>
      </c>
      <c r="K1311" s="2" t="s">
        <v>489</v>
      </c>
      <c r="L1311" s="2" t="s">
        <v>4790</v>
      </c>
      <c r="M1311" s="3">
        <v>1</v>
      </c>
      <c r="N1311" s="3">
        <v>2</v>
      </c>
      <c r="P1311" s="2" t="s">
        <v>2835</v>
      </c>
    </row>
    <row r="1312" spans="1:16" ht="13">
      <c r="A1312" s="2" t="s">
        <v>4</v>
      </c>
      <c r="B1312" s="2" t="str">
        <f t="shared" si="20"/>
        <v>23-24 Academic Year</v>
      </c>
      <c r="C1312" s="2">
        <v>42</v>
      </c>
      <c r="D1312" s="2" t="s">
        <v>5100</v>
      </c>
      <c r="E1312" s="10">
        <v>45393</v>
      </c>
      <c r="F1312" s="2" t="s">
        <v>2826</v>
      </c>
      <c r="G1312" s="2" t="s">
        <v>2170</v>
      </c>
      <c r="H1312" s="2" t="s">
        <v>6</v>
      </c>
      <c r="I1312" s="2" t="s">
        <v>1028</v>
      </c>
      <c r="J1312" s="2" t="s">
        <v>2836</v>
      </c>
      <c r="K1312" s="2" t="s">
        <v>2837</v>
      </c>
      <c r="L1312" s="2" t="s">
        <v>2838</v>
      </c>
      <c r="M1312" s="3">
        <v>3</v>
      </c>
      <c r="N1312" s="3">
        <v>1</v>
      </c>
      <c r="P1312" s="2" t="s">
        <v>2839</v>
      </c>
    </row>
    <row r="1313" spans="1:16" ht="13">
      <c r="A1313" s="2" t="s">
        <v>4</v>
      </c>
      <c r="B1313" s="2" t="str">
        <f t="shared" si="20"/>
        <v>23-24 Academic Year</v>
      </c>
      <c r="C1313" s="2">
        <v>43</v>
      </c>
      <c r="D1313" s="2" t="s">
        <v>1368</v>
      </c>
      <c r="E1313" s="10">
        <v>45394</v>
      </c>
      <c r="F1313" s="2" t="s">
        <v>1368</v>
      </c>
      <c r="G1313" s="2" t="s">
        <v>2339</v>
      </c>
      <c r="H1313" s="2" t="s">
        <v>6</v>
      </c>
      <c r="I1313" s="2" t="s">
        <v>2340</v>
      </c>
      <c r="J1313" s="2" t="s">
        <v>2840</v>
      </c>
      <c r="K1313" s="2" t="s">
        <v>371</v>
      </c>
      <c r="L1313" s="2" t="s">
        <v>372</v>
      </c>
      <c r="M1313" s="3">
        <v>1</v>
      </c>
      <c r="N1313" s="3">
        <v>2</v>
      </c>
      <c r="P1313" s="2" t="s">
        <v>2841</v>
      </c>
    </row>
    <row r="1314" spans="1:16" ht="13">
      <c r="A1314" s="2" t="s">
        <v>4</v>
      </c>
      <c r="B1314" s="2" t="str">
        <f t="shared" si="20"/>
        <v>23-24 Academic Year</v>
      </c>
      <c r="C1314" s="2">
        <v>43</v>
      </c>
      <c r="D1314" s="2" t="s">
        <v>1368</v>
      </c>
      <c r="E1314" s="10">
        <v>45394</v>
      </c>
      <c r="F1314" s="2" t="s">
        <v>1368</v>
      </c>
      <c r="G1314" s="2" t="s">
        <v>2339</v>
      </c>
      <c r="H1314" s="2" t="s">
        <v>6</v>
      </c>
      <c r="I1314" s="2" t="s">
        <v>2340</v>
      </c>
      <c r="J1314" s="2" t="s">
        <v>2842</v>
      </c>
      <c r="K1314" s="2" t="s">
        <v>371</v>
      </c>
      <c r="L1314" s="2" t="s">
        <v>372</v>
      </c>
      <c r="M1314" s="3">
        <v>1</v>
      </c>
      <c r="N1314" s="3">
        <v>2</v>
      </c>
      <c r="P1314" s="2" t="s">
        <v>2843</v>
      </c>
    </row>
    <row r="1315" spans="1:16" ht="13">
      <c r="A1315" s="2" t="s">
        <v>4</v>
      </c>
      <c r="B1315" s="2" t="str">
        <f t="shared" si="20"/>
        <v>23-24 Academic Year</v>
      </c>
      <c r="C1315" s="2">
        <v>43</v>
      </c>
      <c r="D1315" s="2" t="s">
        <v>1368</v>
      </c>
      <c r="E1315" s="10">
        <v>45394</v>
      </c>
      <c r="F1315" s="2" t="s">
        <v>1368</v>
      </c>
      <c r="G1315" s="2" t="s">
        <v>2339</v>
      </c>
      <c r="H1315" s="2" t="s">
        <v>6</v>
      </c>
      <c r="I1315" s="2" t="s">
        <v>2340</v>
      </c>
      <c r="J1315" s="2" t="s">
        <v>2844</v>
      </c>
      <c r="K1315" s="2" t="s">
        <v>2845</v>
      </c>
      <c r="L1315" s="2" t="s">
        <v>5102</v>
      </c>
      <c r="M1315" s="3">
        <v>1</v>
      </c>
      <c r="N1315" s="3">
        <v>2</v>
      </c>
      <c r="P1315" s="2" t="s">
        <v>2846</v>
      </c>
    </row>
    <row r="1316" spans="1:16" ht="13">
      <c r="A1316" s="2" t="s">
        <v>4</v>
      </c>
      <c r="B1316" s="2" t="str">
        <f t="shared" si="20"/>
        <v>23-24 Academic Year</v>
      </c>
      <c r="C1316" s="2">
        <v>43</v>
      </c>
      <c r="D1316" s="2" t="s">
        <v>1368</v>
      </c>
      <c r="E1316" s="10">
        <v>45394</v>
      </c>
      <c r="F1316" s="2" t="s">
        <v>1368</v>
      </c>
      <c r="G1316" s="2" t="s">
        <v>2339</v>
      </c>
      <c r="H1316" s="2" t="s">
        <v>6</v>
      </c>
      <c r="I1316" s="2" t="s">
        <v>2340</v>
      </c>
      <c r="J1316" s="2" t="s">
        <v>2847</v>
      </c>
      <c r="K1316" s="2" t="s">
        <v>486</v>
      </c>
      <c r="L1316" s="2" t="s">
        <v>487</v>
      </c>
      <c r="M1316" s="3">
        <v>1</v>
      </c>
      <c r="N1316" s="3">
        <v>2</v>
      </c>
      <c r="P1316" s="2" t="s">
        <v>2848</v>
      </c>
    </row>
    <row r="1317" spans="1:16" ht="13">
      <c r="A1317" s="2" t="s">
        <v>4</v>
      </c>
      <c r="B1317" s="2" t="str">
        <f t="shared" si="20"/>
        <v>23-24 Academic Year</v>
      </c>
      <c r="C1317" s="2">
        <v>43</v>
      </c>
      <c r="D1317" s="2" t="s">
        <v>1368</v>
      </c>
      <c r="E1317" s="10">
        <v>45394</v>
      </c>
      <c r="F1317" s="2" t="s">
        <v>1368</v>
      </c>
      <c r="G1317" s="2" t="s">
        <v>2339</v>
      </c>
      <c r="H1317" s="2" t="s">
        <v>6</v>
      </c>
      <c r="I1317" s="2" t="s">
        <v>2340</v>
      </c>
      <c r="J1317" s="2" t="s">
        <v>2849</v>
      </c>
      <c r="K1317" s="2" t="s">
        <v>169</v>
      </c>
      <c r="L1317" s="2" t="s">
        <v>2850</v>
      </c>
      <c r="M1317" s="3">
        <v>1</v>
      </c>
      <c r="N1317" s="3">
        <v>1</v>
      </c>
      <c r="P1317" s="2" t="s">
        <v>2851</v>
      </c>
    </row>
    <row r="1318" spans="1:16" ht="13">
      <c r="A1318" s="2" t="s">
        <v>4</v>
      </c>
      <c r="B1318" s="2" t="str">
        <f t="shared" si="20"/>
        <v>23-24 Academic Year</v>
      </c>
      <c r="C1318" s="2">
        <v>44</v>
      </c>
      <c r="D1318" s="2" t="s">
        <v>5103</v>
      </c>
      <c r="E1318" s="10">
        <v>45394</v>
      </c>
      <c r="F1318" s="2" t="s">
        <v>2852</v>
      </c>
      <c r="G1318" s="2" t="s">
        <v>2226</v>
      </c>
      <c r="H1318" s="2" t="s">
        <v>6</v>
      </c>
      <c r="I1318" s="2" t="s">
        <v>2853</v>
      </c>
      <c r="J1318" s="2" t="s">
        <v>2854</v>
      </c>
      <c r="K1318" s="2" t="s">
        <v>670</v>
      </c>
      <c r="L1318" s="2" t="s">
        <v>403</v>
      </c>
      <c r="M1318" s="3">
        <v>1</v>
      </c>
      <c r="N1318" s="3">
        <v>2</v>
      </c>
      <c r="P1318" s="2" t="s">
        <v>2855</v>
      </c>
    </row>
    <row r="1319" spans="1:16" ht="13">
      <c r="A1319" s="2" t="s">
        <v>4</v>
      </c>
      <c r="B1319" s="2" t="str">
        <f t="shared" si="20"/>
        <v>23-24 Academic Year</v>
      </c>
      <c r="C1319" s="2">
        <v>44</v>
      </c>
      <c r="D1319" s="2" t="s">
        <v>5103</v>
      </c>
      <c r="E1319" s="10">
        <v>45394</v>
      </c>
      <c r="F1319" s="2" t="s">
        <v>2852</v>
      </c>
      <c r="G1319" s="2" t="s">
        <v>2226</v>
      </c>
      <c r="H1319" s="2" t="s">
        <v>6</v>
      </c>
      <c r="I1319" s="2" t="s">
        <v>2853</v>
      </c>
      <c r="J1319" s="2" t="s">
        <v>2856</v>
      </c>
      <c r="K1319" s="2" t="s">
        <v>2857</v>
      </c>
      <c r="L1319" s="2" t="s">
        <v>2858</v>
      </c>
      <c r="M1319" s="3">
        <v>1</v>
      </c>
      <c r="N1319" s="3">
        <v>2</v>
      </c>
      <c r="P1319" s="2" t="s">
        <v>2859</v>
      </c>
    </row>
    <row r="1320" spans="1:16" ht="13">
      <c r="A1320" s="2" t="s">
        <v>4</v>
      </c>
      <c r="B1320" s="2" t="str">
        <f t="shared" si="20"/>
        <v>23-24 Academic Year</v>
      </c>
      <c r="C1320" s="2">
        <v>44</v>
      </c>
      <c r="D1320" s="2" t="s">
        <v>5103</v>
      </c>
      <c r="E1320" s="10">
        <v>45394</v>
      </c>
      <c r="F1320" s="2" t="s">
        <v>2852</v>
      </c>
      <c r="G1320" s="2" t="s">
        <v>2226</v>
      </c>
      <c r="H1320" s="2" t="s">
        <v>6</v>
      </c>
      <c r="I1320" s="2" t="s">
        <v>2853</v>
      </c>
      <c r="J1320" s="2" t="s">
        <v>2860</v>
      </c>
      <c r="K1320" s="2" t="s">
        <v>1033</v>
      </c>
      <c r="L1320" s="2" t="s">
        <v>3902</v>
      </c>
      <c r="M1320" s="3">
        <v>1</v>
      </c>
      <c r="N1320" s="3">
        <v>2</v>
      </c>
      <c r="P1320" s="2" t="s">
        <v>2861</v>
      </c>
    </row>
    <row r="1321" spans="1:16" ht="13">
      <c r="A1321" s="2" t="s">
        <v>4</v>
      </c>
      <c r="B1321" s="2" t="str">
        <f t="shared" si="20"/>
        <v>23-24 Academic Year</v>
      </c>
      <c r="C1321" s="2">
        <v>44</v>
      </c>
      <c r="D1321" s="2" t="s">
        <v>5103</v>
      </c>
      <c r="E1321" s="10">
        <v>45394</v>
      </c>
      <c r="F1321" s="2" t="s">
        <v>2852</v>
      </c>
      <c r="G1321" s="2" t="s">
        <v>2226</v>
      </c>
      <c r="H1321" s="2" t="s">
        <v>6</v>
      </c>
      <c r="I1321" s="2" t="s">
        <v>2853</v>
      </c>
      <c r="J1321" s="2" t="s">
        <v>2862</v>
      </c>
      <c r="K1321" s="2" t="s">
        <v>2863</v>
      </c>
      <c r="L1321" s="2" t="s">
        <v>2864</v>
      </c>
      <c r="M1321" s="3">
        <v>1</v>
      </c>
      <c r="N1321" s="3">
        <v>2</v>
      </c>
      <c r="P1321" s="2" t="s">
        <v>2865</v>
      </c>
    </row>
    <row r="1322" spans="1:16" ht="13">
      <c r="A1322" s="2" t="s">
        <v>4</v>
      </c>
      <c r="B1322" s="2" t="str">
        <f t="shared" si="20"/>
        <v>23-24 Academic Year</v>
      </c>
      <c r="C1322" s="2">
        <v>44</v>
      </c>
      <c r="D1322" s="2" t="s">
        <v>5103</v>
      </c>
      <c r="E1322" s="10">
        <v>45394</v>
      </c>
      <c r="F1322" s="2" t="s">
        <v>2852</v>
      </c>
      <c r="G1322" s="2" t="s">
        <v>2226</v>
      </c>
      <c r="H1322" s="2" t="s">
        <v>6</v>
      </c>
      <c r="I1322" s="2" t="s">
        <v>2853</v>
      </c>
      <c r="J1322" s="2" t="s">
        <v>2866</v>
      </c>
      <c r="K1322" s="2" t="s">
        <v>2863</v>
      </c>
      <c r="L1322" s="2" t="s">
        <v>2864</v>
      </c>
      <c r="M1322" s="3">
        <v>1</v>
      </c>
      <c r="N1322" s="3">
        <v>2</v>
      </c>
      <c r="P1322" s="2" t="s">
        <v>2867</v>
      </c>
    </row>
    <row r="1323" spans="1:16" ht="13">
      <c r="A1323" s="2" t="s">
        <v>4</v>
      </c>
      <c r="B1323" s="2" t="str">
        <f t="shared" si="20"/>
        <v>23-24 Academic Year</v>
      </c>
      <c r="C1323" s="2">
        <v>44</v>
      </c>
      <c r="D1323" s="2" t="s">
        <v>5103</v>
      </c>
      <c r="E1323" s="10">
        <v>45394</v>
      </c>
      <c r="F1323" s="2" t="s">
        <v>2852</v>
      </c>
      <c r="G1323" s="2" t="s">
        <v>2226</v>
      </c>
      <c r="H1323" s="2" t="s">
        <v>6</v>
      </c>
      <c r="I1323" s="2" t="s">
        <v>2853</v>
      </c>
      <c r="J1323" s="2" t="s">
        <v>2868</v>
      </c>
      <c r="K1323" s="2" t="s">
        <v>2863</v>
      </c>
      <c r="L1323" s="2" t="s">
        <v>2864</v>
      </c>
      <c r="M1323" s="3">
        <v>1</v>
      </c>
      <c r="N1323" s="3">
        <v>2</v>
      </c>
      <c r="P1323" s="2" t="s">
        <v>2869</v>
      </c>
    </row>
    <row r="1324" spans="1:16" ht="13">
      <c r="A1324" s="2" t="s">
        <v>4</v>
      </c>
      <c r="B1324" s="2" t="str">
        <f t="shared" si="20"/>
        <v>23-24 Academic Year</v>
      </c>
      <c r="C1324" s="2">
        <v>44</v>
      </c>
      <c r="D1324" s="2" t="s">
        <v>5103</v>
      </c>
      <c r="E1324" s="10">
        <v>45394</v>
      </c>
      <c r="F1324" s="2" t="s">
        <v>2852</v>
      </c>
      <c r="G1324" s="2" t="s">
        <v>2226</v>
      </c>
      <c r="H1324" s="2" t="s">
        <v>6</v>
      </c>
      <c r="I1324" s="2" t="s">
        <v>2853</v>
      </c>
      <c r="J1324" s="2" t="s">
        <v>2870</v>
      </c>
      <c r="K1324" s="2" t="s">
        <v>605</v>
      </c>
      <c r="L1324" s="2" t="s">
        <v>1407</v>
      </c>
      <c r="M1324" s="3">
        <v>1</v>
      </c>
      <c r="N1324" s="3">
        <v>2</v>
      </c>
      <c r="P1324" s="2" t="s">
        <v>2871</v>
      </c>
    </row>
    <row r="1325" spans="1:16" ht="13">
      <c r="A1325" s="2" t="s">
        <v>4</v>
      </c>
      <c r="B1325" s="2" t="str">
        <f t="shared" si="20"/>
        <v>23-24 Academic Year</v>
      </c>
      <c r="C1325" s="2">
        <v>44</v>
      </c>
      <c r="D1325" s="2" t="s">
        <v>5103</v>
      </c>
      <c r="E1325" s="10">
        <v>45394</v>
      </c>
      <c r="F1325" s="2" t="s">
        <v>2852</v>
      </c>
      <c r="G1325" s="2" t="s">
        <v>2226</v>
      </c>
      <c r="H1325" s="2" t="s">
        <v>6</v>
      </c>
      <c r="I1325" s="2" t="s">
        <v>2853</v>
      </c>
      <c r="J1325" s="2" t="s">
        <v>2872</v>
      </c>
      <c r="K1325" s="2" t="s">
        <v>605</v>
      </c>
      <c r="L1325" s="2" t="s">
        <v>1407</v>
      </c>
      <c r="M1325" s="3">
        <v>1</v>
      </c>
      <c r="N1325" s="3">
        <v>2</v>
      </c>
      <c r="P1325" s="2" t="s">
        <v>2873</v>
      </c>
    </row>
    <row r="1326" spans="1:16" ht="13">
      <c r="A1326" s="2" t="s">
        <v>4</v>
      </c>
      <c r="B1326" s="2" t="str">
        <f t="shared" si="20"/>
        <v>23-24 Academic Year</v>
      </c>
      <c r="C1326" s="2">
        <v>44</v>
      </c>
      <c r="D1326" s="2" t="s">
        <v>5103</v>
      </c>
      <c r="E1326" s="10">
        <v>45394</v>
      </c>
      <c r="F1326" s="2" t="s">
        <v>2852</v>
      </c>
      <c r="G1326" s="2" t="s">
        <v>2226</v>
      </c>
      <c r="H1326" s="2" t="s">
        <v>6</v>
      </c>
      <c r="I1326" s="2" t="s">
        <v>2853</v>
      </c>
      <c r="J1326" s="2" t="s">
        <v>2874</v>
      </c>
      <c r="K1326" s="2" t="s">
        <v>1037</v>
      </c>
      <c r="L1326" s="2" t="s">
        <v>1778</v>
      </c>
      <c r="M1326" s="3">
        <v>1</v>
      </c>
      <c r="N1326" s="3">
        <v>2</v>
      </c>
      <c r="P1326" s="2" t="s">
        <v>2875</v>
      </c>
    </row>
    <row r="1327" spans="1:16" ht="13">
      <c r="A1327" s="2" t="s">
        <v>4</v>
      </c>
      <c r="B1327" s="2" t="str">
        <f t="shared" si="20"/>
        <v>23-24 Academic Year</v>
      </c>
      <c r="C1327" s="2">
        <v>44</v>
      </c>
      <c r="D1327" s="2" t="s">
        <v>5103</v>
      </c>
      <c r="E1327" s="10">
        <v>45394</v>
      </c>
      <c r="F1327" s="2" t="s">
        <v>2852</v>
      </c>
      <c r="G1327" s="2" t="s">
        <v>2226</v>
      </c>
      <c r="H1327" s="2" t="s">
        <v>6</v>
      </c>
      <c r="I1327" s="2" t="s">
        <v>2853</v>
      </c>
      <c r="J1327" s="2" t="s">
        <v>2876</v>
      </c>
      <c r="K1327" s="2" t="s">
        <v>1164</v>
      </c>
      <c r="L1327" s="2" t="s">
        <v>5009</v>
      </c>
      <c r="M1327" s="3">
        <v>1</v>
      </c>
      <c r="N1327" s="3">
        <v>2</v>
      </c>
      <c r="P1327" s="2" t="s">
        <v>2877</v>
      </c>
    </row>
    <row r="1328" spans="1:16" ht="13">
      <c r="A1328" s="2" t="s">
        <v>4</v>
      </c>
      <c r="B1328" s="2" t="str">
        <f t="shared" si="20"/>
        <v>23-24 Academic Year</v>
      </c>
      <c r="C1328" s="2">
        <v>44</v>
      </c>
      <c r="D1328" s="2" t="s">
        <v>5103</v>
      </c>
      <c r="E1328" s="10">
        <v>45394</v>
      </c>
      <c r="F1328" s="2" t="s">
        <v>2852</v>
      </c>
      <c r="G1328" s="2" t="s">
        <v>2226</v>
      </c>
      <c r="H1328" s="2" t="s">
        <v>6</v>
      </c>
      <c r="I1328" s="2" t="s">
        <v>2853</v>
      </c>
      <c r="J1328" s="2" t="s">
        <v>2878</v>
      </c>
      <c r="K1328" s="2" t="s">
        <v>746</v>
      </c>
      <c r="L1328" s="2" t="s">
        <v>2879</v>
      </c>
      <c r="M1328" s="3">
        <v>1</v>
      </c>
      <c r="N1328" s="3">
        <v>2</v>
      </c>
      <c r="P1328" s="2" t="s">
        <v>2880</v>
      </c>
    </row>
    <row r="1329" spans="1:16" ht="13">
      <c r="A1329" s="2" t="s">
        <v>4</v>
      </c>
      <c r="B1329" s="2" t="str">
        <f t="shared" si="20"/>
        <v>23-24 Academic Year</v>
      </c>
      <c r="C1329" s="2">
        <v>45</v>
      </c>
      <c r="D1329" s="2" t="s">
        <v>3500</v>
      </c>
      <c r="E1329" s="10">
        <v>45395</v>
      </c>
      <c r="F1329" s="2" t="s">
        <v>2898</v>
      </c>
      <c r="G1329" s="2" t="s">
        <v>2226</v>
      </c>
      <c r="H1329" s="2" t="s">
        <v>6</v>
      </c>
      <c r="I1329" s="2" t="s">
        <v>1115</v>
      </c>
      <c r="J1329" s="2" t="s">
        <v>2899</v>
      </c>
      <c r="K1329" s="2" t="s">
        <v>2900</v>
      </c>
      <c r="L1329" s="2" t="s">
        <v>4869</v>
      </c>
      <c r="M1329" s="3">
        <v>1</v>
      </c>
      <c r="N1329" s="3">
        <v>2</v>
      </c>
      <c r="P1329" s="2" t="s">
        <v>2901</v>
      </c>
    </row>
    <row r="1330" spans="1:16" ht="13">
      <c r="A1330" s="2" t="s">
        <v>4</v>
      </c>
      <c r="B1330" s="2" t="str">
        <f t="shared" si="20"/>
        <v>23-24 Academic Year</v>
      </c>
      <c r="C1330" s="2">
        <v>45</v>
      </c>
      <c r="D1330" s="2" t="s">
        <v>3500</v>
      </c>
      <c r="E1330" s="10">
        <v>45395</v>
      </c>
      <c r="F1330" s="2" t="s">
        <v>2898</v>
      </c>
      <c r="G1330" s="2" t="s">
        <v>2226</v>
      </c>
      <c r="H1330" s="2" t="s">
        <v>6</v>
      </c>
      <c r="I1330" s="2" t="s">
        <v>1115</v>
      </c>
      <c r="J1330" s="2" t="s">
        <v>2902</v>
      </c>
      <c r="K1330" s="2" t="s">
        <v>973</v>
      </c>
      <c r="L1330" s="2" t="s">
        <v>1547</v>
      </c>
      <c r="M1330" s="3">
        <v>2</v>
      </c>
      <c r="N1330" s="3">
        <v>1</v>
      </c>
      <c r="P1330" s="2" t="s">
        <v>2903</v>
      </c>
    </row>
    <row r="1331" spans="1:16" ht="13">
      <c r="A1331" s="2" t="s">
        <v>4</v>
      </c>
      <c r="B1331" s="2" t="str">
        <f t="shared" si="20"/>
        <v>23-24 Academic Year</v>
      </c>
      <c r="C1331" s="2">
        <v>45</v>
      </c>
      <c r="D1331" s="2" t="s">
        <v>3500</v>
      </c>
      <c r="E1331" s="10">
        <v>45395</v>
      </c>
      <c r="F1331" s="2" t="s">
        <v>2898</v>
      </c>
      <c r="G1331" s="2" t="s">
        <v>2226</v>
      </c>
      <c r="H1331" s="2" t="s">
        <v>6</v>
      </c>
      <c r="I1331" s="2" t="s">
        <v>1115</v>
      </c>
      <c r="J1331" s="2" t="s">
        <v>2904</v>
      </c>
      <c r="K1331" s="2" t="s">
        <v>2905</v>
      </c>
      <c r="L1331" s="2" t="s">
        <v>4870</v>
      </c>
      <c r="M1331" s="3">
        <v>1</v>
      </c>
      <c r="N1331" s="3">
        <v>2</v>
      </c>
      <c r="P1331" s="2" t="s">
        <v>2906</v>
      </c>
    </row>
    <row r="1332" spans="1:16" ht="13">
      <c r="A1332" s="2" t="s">
        <v>4</v>
      </c>
      <c r="B1332" s="2" t="str">
        <f t="shared" si="20"/>
        <v>23-24 Academic Year</v>
      </c>
      <c r="C1332" s="2">
        <v>46</v>
      </c>
      <c r="D1332" s="2" t="s">
        <v>858</v>
      </c>
      <c r="E1332" s="10">
        <v>45395</v>
      </c>
      <c r="F1332" s="2" t="s">
        <v>2881</v>
      </c>
      <c r="G1332" s="2" t="s">
        <v>2170</v>
      </c>
      <c r="H1332" s="2" t="s">
        <v>6</v>
      </c>
      <c r="I1332" s="2" t="s">
        <v>699</v>
      </c>
      <c r="J1332" s="2" t="s">
        <v>2882</v>
      </c>
      <c r="K1332" s="2" t="s">
        <v>858</v>
      </c>
      <c r="L1332" s="2" t="s">
        <v>4966</v>
      </c>
      <c r="M1332" s="3">
        <v>2</v>
      </c>
      <c r="N1332" s="3">
        <v>1</v>
      </c>
      <c r="P1332" s="2" t="s">
        <v>2883</v>
      </c>
    </row>
    <row r="1333" spans="1:16" ht="13">
      <c r="A1333" s="2" t="s">
        <v>4</v>
      </c>
      <c r="B1333" s="2" t="str">
        <f t="shared" si="20"/>
        <v>23-24 Academic Year</v>
      </c>
      <c r="C1333" s="2">
        <v>46</v>
      </c>
      <c r="D1333" s="2" t="s">
        <v>3025</v>
      </c>
      <c r="E1333" s="10">
        <v>45399</v>
      </c>
      <c r="F1333" s="2" t="s">
        <v>3025</v>
      </c>
      <c r="G1333" s="2" t="s">
        <v>2184</v>
      </c>
      <c r="H1333" s="2" t="s">
        <v>7</v>
      </c>
      <c r="I1333" s="2" t="s">
        <v>787</v>
      </c>
      <c r="J1333" s="2" t="s">
        <v>2882</v>
      </c>
      <c r="K1333" s="2" t="s">
        <v>3026</v>
      </c>
      <c r="L1333" s="2" t="s">
        <v>3027</v>
      </c>
      <c r="M1333" s="3">
        <v>1</v>
      </c>
      <c r="N1333" s="3">
        <v>2</v>
      </c>
      <c r="P1333" s="2" t="s">
        <v>3028</v>
      </c>
    </row>
    <row r="1334" spans="1:16" ht="13">
      <c r="A1334" s="2" t="s">
        <v>4</v>
      </c>
      <c r="B1334" s="2" t="str">
        <f t="shared" si="20"/>
        <v>23-24 Academic Year</v>
      </c>
      <c r="C1334" s="2">
        <v>46</v>
      </c>
      <c r="D1334" s="2" t="s">
        <v>858</v>
      </c>
      <c r="E1334" s="10">
        <v>45395</v>
      </c>
      <c r="F1334" s="2" t="s">
        <v>2881</v>
      </c>
      <c r="G1334" s="2" t="s">
        <v>2170</v>
      </c>
      <c r="H1334" s="2" t="s">
        <v>6</v>
      </c>
      <c r="I1334" s="2" t="s">
        <v>699</v>
      </c>
      <c r="J1334" s="2" t="s">
        <v>2884</v>
      </c>
      <c r="K1334" s="2" t="s">
        <v>858</v>
      </c>
      <c r="L1334" s="2" t="s">
        <v>4966</v>
      </c>
      <c r="M1334" s="3">
        <v>2</v>
      </c>
      <c r="N1334" s="3">
        <v>1</v>
      </c>
      <c r="P1334" s="2" t="s">
        <v>2885</v>
      </c>
    </row>
    <row r="1335" spans="1:16" ht="13">
      <c r="A1335" s="2" t="s">
        <v>4</v>
      </c>
      <c r="B1335" s="2" t="str">
        <f t="shared" si="20"/>
        <v>23-24 Academic Year</v>
      </c>
      <c r="C1335" s="2">
        <v>46</v>
      </c>
      <c r="D1335" s="2" t="s">
        <v>3025</v>
      </c>
      <c r="E1335" s="10">
        <v>45399</v>
      </c>
      <c r="F1335" s="2" t="s">
        <v>3025</v>
      </c>
      <c r="G1335" s="2" t="s">
        <v>2184</v>
      </c>
      <c r="H1335" s="2" t="s">
        <v>7</v>
      </c>
      <c r="I1335" s="2" t="s">
        <v>787</v>
      </c>
      <c r="J1335" s="2" t="s">
        <v>2884</v>
      </c>
      <c r="K1335" s="2" t="s">
        <v>2924</v>
      </c>
      <c r="L1335" s="2" t="s">
        <v>5104</v>
      </c>
      <c r="M1335" s="3">
        <v>3</v>
      </c>
      <c r="N1335" s="3">
        <v>2</v>
      </c>
      <c r="P1335" s="2" t="s">
        <v>3029</v>
      </c>
    </row>
    <row r="1336" spans="1:16" ht="13">
      <c r="A1336" s="2" t="s">
        <v>4</v>
      </c>
      <c r="B1336" s="2" t="str">
        <f t="shared" si="20"/>
        <v>23-24 Academic Year</v>
      </c>
      <c r="C1336" s="2">
        <v>46</v>
      </c>
      <c r="D1336" s="2" t="s">
        <v>858</v>
      </c>
      <c r="E1336" s="10">
        <v>45395</v>
      </c>
      <c r="F1336" s="2" t="s">
        <v>2881</v>
      </c>
      <c r="G1336" s="2" t="s">
        <v>2170</v>
      </c>
      <c r="H1336" s="2" t="s">
        <v>6</v>
      </c>
      <c r="I1336" s="2" t="s">
        <v>699</v>
      </c>
      <c r="J1336" s="2" t="s">
        <v>2886</v>
      </c>
      <c r="K1336" s="2" t="s">
        <v>2887</v>
      </c>
      <c r="L1336" s="2" t="s">
        <v>5105</v>
      </c>
      <c r="M1336" s="3">
        <v>4</v>
      </c>
      <c r="N1336" s="3">
        <v>1</v>
      </c>
      <c r="P1336" s="2" t="s">
        <v>2888</v>
      </c>
    </row>
    <row r="1337" spans="1:16" ht="13">
      <c r="A1337" s="2" t="s">
        <v>4</v>
      </c>
      <c r="B1337" s="2" t="str">
        <f t="shared" si="20"/>
        <v>23-24 Academic Year</v>
      </c>
      <c r="C1337" s="2">
        <v>46</v>
      </c>
      <c r="D1337" s="2" t="s">
        <v>3025</v>
      </c>
      <c r="E1337" s="10">
        <v>45399</v>
      </c>
      <c r="F1337" s="2" t="s">
        <v>3025</v>
      </c>
      <c r="G1337" s="2" t="s">
        <v>2184</v>
      </c>
      <c r="H1337" s="2" t="s">
        <v>7</v>
      </c>
      <c r="I1337" s="2" t="s">
        <v>787</v>
      </c>
      <c r="J1337" s="2" t="s">
        <v>2886</v>
      </c>
      <c r="K1337" s="2" t="s">
        <v>3030</v>
      </c>
      <c r="L1337" s="2" t="s">
        <v>4429</v>
      </c>
      <c r="M1337" s="3">
        <v>3</v>
      </c>
      <c r="N1337" s="3">
        <v>1</v>
      </c>
      <c r="P1337" s="2" t="s">
        <v>3031</v>
      </c>
    </row>
    <row r="1338" spans="1:16" ht="13">
      <c r="A1338" s="2" t="s">
        <v>4</v>
      </c>
      <c r="B1338" s="2" t="str">
        <f t="shared" si="20"/>
        <v>23-24 Academic Year</v>
      </c>
      <c r="C1338" s="2">
        <v>46</v>
      </c>
      <c r="D1338" s="2" t="s">
        <v>858</v>
      </c>
      <c r="E1338" s="10">
        <v>45395</v>
      </c>
      <c r="F1338" s="2" t="s">
        <v>2881</v>
      </c>
      <c r="G1338" s="2" t="s">
        <v>2170</v>
      </c>
      <c r="H1338" s="2" t="s">
        <v>6</v>
      </c>
      <c r="I1338" s="2" t="s">
        <v>699</v>
      </c>
      <c r="J1338" s="2" t="s">
        <v>2889</v>
      </c>
      <c r="K1338" s="2" t="s">
        <v>2890</v>
      </c>
      <c r="L1338" s="2" t="s">
        <v>3977</v>
      </c>
      <c r="M1338" s="3">
        <v>1</v>
      </c>
      <c r="N1338" s="3">
        <v>2</v>
      </c>
      <c r="P1338" s="2" t="s">
        <v>2891</v>
      </c>
    </row>
    <row r="1339" spans="1:16" ht="13">
      <c r="A1339" s="2" t="s">
        <v>4</v>
      </c>
      <c r="B1339" s="2" t="str">
        <f t="shared" si="20"/>
        <v>23-24 Academic Year</v>
      </c>
      <c r="C1339" s="2">
        <v>46</v>
      </c>
      <c r="D1339" s="2" t="s">
        <v>3025</v>
      </c>
      <c r="E1339" s="10">
        <v>45399</v>
      </c>
      <c r="F1339" s="2" t="s">
        <v>3025</v>
      </c>
      <c r="G1339" s="2" t="s">
        <v>2184</v>
      </c>
      <c r="H1339" s="2" t="s">
        <v>7</v>
      </c>
      <c r="I1339" s="2" t="s">
        <v>787</v>
      </c>
      <c r="J1339" s="2" t="s">
        <v>2889</v>
      </c>
      <c r="K1339" s="2" t="s">
        <v>1077</v>
      </c>
      <c r="L1339" s="2" t="s">
        <v>398</v>
      </c>
      <c r="M1339" s="3">
        <v>1</v>
      </c>
      <c r="N1339" s="3">
        <v>2</v>
      </c>
      <c r="P1339" s="2" t="s">
        <v>3032</v>
      </c>
    </row>
    <row r="1340" spans="1:16" ht="13">
      <c r="A1340" s="2" t="s">
        <v>4</v>
      </c>
      <c r="B1340" s="2" t="str">
        <f t="shared" si="20"/>
        <v>23-24 Academic Year</v>
      </c>
      <c r="C1340" s="2">
        <v>46</v>
      </c>
      <c r="D1340" s="2" t="s">
        <v>858</v>
      </c>
      <c r="E1340" s="10">
        <v>45395</v>
      </c>
      <c r="F1340" s="2" t="s">
        <v>2881</v>
      </c>
      <c r="G1340" s="2" t="s">
        <v>2170</v>
      </c>
      <c r="H1340" s="2" t="s">
        <v>6</v>
      </c>
      <c r="I1340" s="2" t="s">
        <v>699</v>
      </c>
      <c r="J1340" s="2" t="s">
        <v>2892</v>
      </c>
      <c r="K1340" s="2" t="s">
        <v>2893</v>
      </c>
      <c r="L1340" s="2" t="s">
        <v>5106</v>
      </c>
      <c r="M1340" s="3">
        <v>3</v>
      </c>
      <c r="N1340" s="3">
        <v>2</v>
      </c>
      <c r="P1340" s="2" t="s">
        <v>2894</v>
      </c>
    </row>
    <row r="1341" spans="1:16" ht="13">
      <c r="A1341" s="2" t="s">
        <v>4</v>
      </c>
      <c r="B1341" s="2" t="str">
        <f t="shared" si="20"/>
        <v>23-24 Academic Year</v>
      </c>
      <c r="C1341" s="2">
        <v>46</v>
      </c>
      <c r="D1341" s="2" t="s">
        <v>3025</v>
      </c>
      <c r="E1341" s="10">
        <v>45399</v>
      </c>
      <c r="F1341" s="2" t="s">
        <v>3025</v>
      </c>
      <c r="G1341" s="2" t="s">
        <v>2184</v>
      </c>
      <c r="H1341" s="2" t="s">
        <v>7</v>
      </c>
      <c r="I1341" s="2" t="s">
        <v>787</v>
      </c>
      <c r="J1341" s="2" t="s">
        <v>2892</v>
      </c>
      <c r="K1341" s="2" t="s">
        <v>3030</v>
      </c>
      <c r="L1341" s="2" t="s">
        <v>4429</v>
      </c>
      <c r="M1341" s="3">
        <v>3</v>
      </c>
      <c r="N1341" s="3">
        <v>1</v>
      </c>
      <c r="P1341" s="2" t="s">
        <v>3033</v>
      </c>
    </row>
    <row r="1342" spans="1:16" ht="13">
      <c r="A1342" s="2" t="s">
        <v>4</v>
      </c>
      <c r="B1342" s="2" t="str">
        <f t="shared" si="20"/>
        <v>23-24 Academic Year</v>
      </c>
      <c r="C1342" s="2">
        <v>46</v>
      </c>
      <c r="D1342" s="2" t="s">
        <v>858</v>
      </c>
      <c r="E1342" s="10">
        <v>45395</v>
      </c>
      <c r="F1342" s="2" t="s">
        <v>2881</v>
      </c>
      <c r="G1342" s="2" t="s">
        <v>2170</v>
      </c>
      <c r="H1342" s="2" t="s">
        <v>6</v>
      </c>
      <c r="I1342" s="2" t="s">
        <v>699</v>
      </c>
      <c r="J1342" s="2" t="s">
        <v>2895</v>
      </c>
      <c r="K1342" s="2" t="s">
        <v>2896</v>
      </c>
      <c r="L1342" s="2" t="s">
        <v>5107</v>
      </c>
      <c r="M1342" s="3">
        <v>3</v>
      </c>
      <c r="N1342" s="3">
        <v>1</v>
      </c>
      <c r="P1342" s="2" t="s">
        <v>2897</v>
      </c>
    </row>
    <row r="1343" spans="1:16" ht="13">
      <c r="A1343" s="2" t="s">
        <v>4</v>
      </c>
      <c r="B1343" s="2" t="str">
        <f t="shared" si="20"/>
        <v>23-24 Academic Year</v>
      </c>
      <c r="C1343" s="2">
        <v>46</v>
      </c>
      <c r="D1343" s="2" t="s">
        <v>3025</v>
      </c>
      <c r="E1343" s="10">
        <v>45399</v>
      </c>
      <c r="F1343" s="2" t="s">
        <v>3025</v>
      </c>
      <c r="G1343" s="2" t="s">
        <v>2184</v>
      </c>
      <c r="H1343" s="2" t="s">
        <v>7</v>
      </c>
      <c r="I1343" s="2" t="s">
        <v>787</v>
      </c>
      <c r="J1343" s="2" t="s">
        <v>2895</v>
      </c>
      <c r="K1343" s="2" t="s">
        <v>1364</v>
      </c>
      <c r="L1343" s="2" t="s">
        <v>1365</v>
      </c>
      <c r="M1343" s="3">
        <v>3</v>
      </c>
      <c r="N1343" s="3">
        <v>2</v>
      </c>
      <c r="P1343" s="2" t="s">
        <v>3034</v>
      </c>
    </row>
    <row r="1344" spans="1:16" ht="13">
      <c r="A1344" s="2" t="s">
        <v>4</v>
      </c>
      <c r="B1344" s="2" t="str">
        <f t="shared" si="20"/>
        <v>23-24 Academic Year</v>
      </c>
      <c r="C1344" s="2">
        <v>47</v>
      </c>
      <c r="D1344" s="2" t="s">
        <v>1088</v>
      </c>
      <c r="E1344" s="10">
        <v>45395</v>
      </c>
      <c r="F1344" s="2" t="s">
        <v>2921</v>
      </c>
      <c r="G1344" s="2" t="s">
        <v>2170</v>
      </c>
      <c r="H1344" s="2" t="s">
        <v>6</v>
      </c>
      <c r="I1344" s="2" t="s">
        <v>2922</v>
      </c>
      <c r="J1344" s="2" t="s">
        <v>2923</v>
      </c>
      <c r="K1344" s="2" t="s">
        <v>2924</v>
      </c>
      <c r="L1344" s="2" t="s">
        <v>5104</v>
      </c>
      <c r="M1344" s="3">
        <v>3</v>
      </c>
      <c r="N1344" s="3">
        <v>2</v>
      </c>
      <c r="P1344" s="2" t="s">
        <v>2925</v>
      </c>
    </row>
    <row r="1345" spans="1:16" ht="13">
      <c r="A1345" s="2" t="s">
        <v>4</v>
      </c>
      <c r="B1345" s="2" t="str">
        <f t="shared" si="20"/>
        <v>23-24 Academic Year</v>
      </c>
      <c r="C1345" s="2">
        <v>47</v>
      </c>
      <c r="D1345" s="2" t="s">
        <v>5108</v>
      </c>
      <c r="E1345" s="10">
        <v>45400</v>
      </c>
      <c r="F1345" s="2" t="s">
        <v>3035</v>
      </c>
      <c r="G1345" s="2" t="s">
        <v>2240</v>
      </c>
      <c r="H1345" s="2" t="s">
        <v>6</v>
      </c>
      <c r="I1345" s="2" t="s">
        <v>827</v>
      </c>
      <c r="J1345" s="2" t="s">
        <v>2923</v>
      </c>
      <c r="K1345" s="2" t="s">
        <v>513</v>
      </c>
      <c r="L1345" s="2" t="s">
        <v>3364</v>
      </c>
      <c r="M1345" s="3">
        <v>1</v>
      </c>
      <c r="N1345" s="3">
        <v>2</v>
      </c>
      <c r="P1345" s="2" t="s">
        <v>3036</v>
      </c>
    </row>
    <row r="1346" spans="1:16" ht="13">
      <c r="A1346" s="2" t="s">
        <v>4</v>
      </c>
      <c r="B1346" s="2" t="str">
        <f t="shared" si="20"/>
        <v>23-24 Academic Year</v>
      </c>
      <c r="C1346" s="2">
        <v>47</v>
      </c>
      <c r="D1346" s="2" t="s">
        <v>1088</v>
      </c>
      <c r="E1346" s="10">
        <v>45395</v>
      </c>
      <c r="F1346" s="2" t="s">
        <v>2921</v>
      </c>
      <c r="G1346" s="2" t="s">
        <v>2170</v>
      </c>
      <c r="H1346" s="2" t="s">
        <v>6</v>
      </c>
      <c r="I1346" s="2" t="s">
        <v>2922</v>
      </c>
      <c r="J1346" s="2" t="s">
        <v>2926</v>
      </c>
      <c r="K1346" s="2" t="s">
        <v>1088</v>
      </c>
      <c r="L1346" s="2" t="s">
        <v>5001</v>
      </c>
      <c r="M1346" s="3">
        <v>4</v>
      </c>
      <c r="N1346" s="3">
        <v>1</v>
      </c>
      <c r="P1346" s="2" t="s">
        <v>2927</v>
      </c>
    </row>
    <row r="1347" spans="1:16" ht="13">
      <c r="A1347" s="2" t="s">
        <v>4</v>
      </c>
      <c r="B1347" s="2" t="str">
        <f t="shared" ref="B1347:B1410" si="21">RIGHT(TEXT(IF(LEFT(A1347,4)="Fall",VALUE(RIGHT(A1347,4)),VALUE(RIGHT(A1347,4))-1),"00"),2)
 &amp; "-" &amp;
 RIGHT(TEXT(IF(LEFT(A1347,4)="Fall",VALUE(RIGHT(A1347,4))+1,VALUE(RIGHT(A1347,4))),"00"),2)
 &amp; " Academic Year"</f>
        <v>23-24 Academic Year</v>
      </c>
      <c r="C1347" s="2">
        <v>47</v>
      </c>
      <c r="D1347" s="2" t="s">
        <v>5108</v>
      </c>
      <c r="E1347" s="10">
        <v>45400</v>
      </c>
      <c r="F1347" s="2" t="s">
        <v>3035</v>
      </c>
      <c r="G1347" s="2" t="s">
        <v>2240</v>
      </c>
      <c r="H1347" s="2" t="s">
        <v>6</v>
      </c>
      <c r="I1347" s="2" t="s">
        <v>827</v>
      </c>
      <c r="J1347" s="2" t="s">
        <v>2926</v>
      </c>
      <c r="K1347" s="2" t="s">
        <v>513</v>
      </c>
      <c r="L1347" s="2" t="s">
        <v>3364</v>
      </c>
      <c r="M1347" s="3">
        <v>1</v>
      </c>
      <c r="N1347" s="3">
        <v>2</v>
      </c>
      <c r="P1347" s="2" t="s">
        <v>3037</v>
      </c>
    </row>
    <row r="1348" spans="1:16" ht="13">
      <c r="A1348" s="2" t="s">
        <v>4</v>
      </c>
      <c r="B1348" s="2" t="str">
        <f t="shared" si="21"/>
        <v>23-24 Academic Year</v>
      </c>
      <c r="C1348" s="2">
        <v>47</v>
      </c>
      <c r="D1348" s="2" t="s">
        <v>1088</v>
      </c>
      <c r="E1348" s="10">
        <v>45395</v>
      </c>
      <c r="F1348" s="2" t="s">
        <v>2921</v>
      </c>
      <c r="G1348" s="2" t="s">
        <v>2170</v>
      </c>
      <c r="H1348" s="2" t="s">
        <v>6</v>
      </c>
      <c r="I1348" s="2" t="s">
        <v>2922</v>
      </c>
      <c r="J1348" s="2" t="s">
        <v>2928</v>
      </c>
      <c r="K1348" s="2" t="s">
        <v>2929</v>
      </c>
      <c r="L1348" s="2" t="s">
        <v>5109</v>
      </c>
      <c r="M1348" s="3">
        <v>4</v>
      </c>
      <c r="N1348" s="3">
        <v>2</v>
      </c>
      <c r="P1348" s="2" t="s">
        <v>2930</v>
      </c>
    </row>
    <row r="1349" spans="1:16" ht="13">
      <c r="A1349" s="2" t="s">
        <v>4</v>
      </c>
      <c r="B1349" s="2" t="str">
        <f t="shared" si="21"/>
        <v>23-24 Academic Year</v>
      </c>
      <c r="C1349" s="2">
        <v>47</v>
      </c>
      <c r="D1349" s="2" t="s">
        <v>5108</v>
      </c>
      <c r="E1349" s="10">
        <v>45400</v>
      </c>
      <c r="F1349" s="2" t="s">
        <v>3035</v>
      </c>
      <c r="G1349" s="2" t="s">
        <v>2240</v>
      </c>
      <c r="H1349" s="2" t="s">
        <v>6</v>
      </c>
      <c r="I1349" s="2" t="s">
        <v>827</v>
      </c>
      <c r="J1349" s="2" t="s">
        <v>2928</v>
      </c>
      <c r="K1349" s="2" t="s">
        <v>98</v>
      </c>
      <c r="L1349" s="2" t="s">
        <v>3348</v>
      </c>
      <c r="M1349" s="3">
        <v>1</v>
      </c>
      <c r="N1349" s="3">
        <v>2</v>
      </c>
      <c r="P1349" s="2" t="s">
        <v>3038</v>
      </c>
    </row>
    <row r="1350" spans="1:16" ht="13">
      <c r="A1350" s="2" t="s">
        <v>4</v>
      </c>
      <c r="B1350" s="2" t="str">
        <f t="shared" si="21"/>
        <v>23-24 Academic Year</v>
      </c>
      <c r="C1350" s="2">
        <v>47</v>
      </c>
      <c r="D1350" s="2" t="s">
        <v>1088</v>
      </c>
      <c r="E1350" s="10">
        <v>45395</v>
      </c>
      <c r="F1350" s="2" t="s">
        <v>2921</v>
      </c>
      <c r="G1350" s="2" t="s">
        <v>2170</v>
      </c>
      <c r="H1350" s="2" t="s">
        <v>6</v>
      </c>
      <c r="I1350" s="2" t="s">
        <v>2922</v>
      </c>
      <c r="J1350" s="2" t="s">
        <v>2931</v>
      </c>
      <c r="K1350" s="2" t="s">
        <v>1088</v>
      </c>
      <c r="L1350" s="2" t="s">
        <v>5001</v>
      </c>
      <c r="M1350" s="3">
        <v>4</v>
      </c>
      <c r="N1350" s="3">
        <v>1</v>
      </c>
      <c r="P1350" s="2" t="s">
        <v>2932</v>
      </c>
    </row>
    <row r="1351" spans="1:16" ht="13">
      <c r="A1351" s="2" t="s">
        <v>4</v>
      </c>
      <c r="B1351" s="2" t="str">
        <f t="shared" si="21"/>
        <v>23-24 Academic Year</v>
      </c>
      <c r="C1351" s="2">
        <v>47</v>
      </c>
      <c r="D1351" s="2" t="s">
        <v>5108</v>
      </c>
      <c r="E1351" s="10">
        <v>45400</v>
      </c>
      <c r="F1351" s="2" t="s">
        <v>3035</v>
      </c>
      <c r="G1351" s="2" t="s">
        <v>2240</v>
      </c>
      <c r="H1351" s="2" t="s">
        <v>6</v>
      </c>
      <c r="I1351" s="2" t="s">
        <v>827</v>
      </c>
      <c r="J1351" s="2" t="s">
        <v>2931</v>
      </c>
      <c r="K1351" s="2" t="s">
        <v>98</v>
      </c>
      <c r="L1351" s="2" t="s">
        <v>3348</v>
      </c>
      <c r="M1351" s="3">
        <v>1</v>
      </c>
      <c r="N1351" s="3">
        <v>2</v>
      </c>
      <c r="P1351" s="2" t="s">
        <v>3039</v>
      </c>
    </row>
    <row r="1352" spans="1:16" ht="13">
      <c r="A1352" s="2" t="s">
        <v>4</v>
      </c>
      <c r="B1352" s="2" t="str">
        <f t="shared" si="21"/>
        <v>23-24 Academic Year</v>
      </c>
      <c r="C1352" s="2">
        <v>47</v>
      </c>
      <c r="D1352" s="2" t="s">
        <v>1088</v>
      </c>
      <c r="E1352" s="10">
        <v>45395</v>
      </c>
      <c r="F1352" s="2" t="s">
        <v>2921</v>
      </c>
      <c r="G1352" s="2" t="s">
        <v>2170</v>
      </c>
      <c r="H1352" s="2" t="s">
        <v>6</v>
      </c>
      <c r="I1352" s="2" t="s">
        <v>2922</v>
      </c>
      <c r="J1352" s="2" t="s">
        <v>2933</v>
      </c>
      <c r="K1352" s="2" t="s">
        <v>2934</v>
      </c>
      <c r="L1352" s="2" t="s">
        <v>2935</v>
      </c>
      <c r="M1352" s="3">
        <v>3</v>
      </c>
      <c r="N1352" s="3">
        <v>2</v>
      </c>
      <c r="P1352" s="2" t="s">
        <v>2936</v>
      </c>
    </row>
    <row r="1353" spans="1:16" ht="13">
      <c r="A1353" s="2" t="s">
        <v>4</v>
      </c>
      <c r="B1353" s="2" t="str">
        <f t="shared" si="21"/>
        <v>23-24 Academic Year</v>
      </c>
      <c r="C1353" s="2">
        <v>47</v>
      </c>
      <c r="D1353" s="2" t="s">
        <v>1088</v>
      </c>
      <c r="E1353" s="10">
        <v>45395</v>
      </c>
      <c r="F1353" s="2" t="s">
        <v>2921</v>
      </c>
      <c r="G1353" s="2" t="s">
        <v>2170</v>
      </c>
      <c r="H1353" s="2" t="s">
        <v>6</v>
      </c>
      <c r="I1353" s="2" t="s">
        <v>2922</v>
      </c>
      <c r="J1353" s="2" t="s">
        <v>2937</v>
      </c>
      <c r="K1353" s="2" t="s">
        <v>2938</v>
      </c>
      <c r="L1353" s="2" t="s">
        <v>2938</v>
      </c>
      <c r="M1353" s="3">
        <v>1</v>
      </c>
      <c r="N1353" s="3">
        <v>2</v>
      </c>
      <c r="P1353" s="2" t="s">
        <v>2939</v>
      </c>
    </row>
    <row r="1354" spans="1:16" ht="13">
      <c r="A1354" s="2" t="s">
        <v>4</v>
      </c>
      <c r="B1354" s="2" t="str">
        <f t="shared" si="21"/>
        <v>23-24 Academic Year</v>
      </c>
      <c r="C1354" s="2">
        <v>48</v>
      </c>
      <c r="D1354" s="2" t="s">
        <v>2909</v>
      </c>
      <c r="E1354" s="10">
        <v>45395</v>
      </c>
      <c r="F1354" s="2" t="s">
        <v>2907</v>
      </c>
      <c r="G1354" s="2" t="s">
        <v>2170</v>
      </c>
      <c r="H1354" s="2" t="s">
        <v>6</v>
      </c>
      <c r="I1354" s="2" t="s">
        <v>15</v>
      </c>
      <c r="J1354" s="2" t="s">
        <v>2908</v>
      </c>
      <c r="K1354" s="2" t="s">
        <v>2909</v>
      </c>
      <c r="L1354" s="2" t="s">
        <v>956</v>
      </c>
      <c r="M1354" s="3">
        <v>2</v>
      </c>
      <c r="N1354" s="3">
        <v>1</v>
      </c>
      <c r="P1354" s="2" t="s">
        <v>2910</v>
      </c>
    </row>
    <row r="1355" spans="1:16" ht="13">
      <c r="A1355" s="2" t="s">
        <v>4</v>
      </c>
      <c r="B1355" s="2" t="str">
        <f t="shared" si="21"/>
        <v>23-24 Academic Year</v>
      </c>
      <c r="C1355" s="2">
        <v>48</v>
      </c>
      <c r="D1355" s="2" t="s">
        <v>5110</v>
      </c>
      <c r="E1355" s="10">
        <v>45401</v>
      </c>
      <c r="F1355" s="2" t="s">
        <v>3040</v>
      </c>
      <c r="G1355" s="2" t="s">
        <v>2170</v>
      </c>
      <c r="H1355" s="2" t="s">
        <v>6</v>
      </c>
      <c r="I1355" s="2" t="s">
        <v>2787</v>
      </c>
      <c r="J1355" s="2" t="s">
        <v>2908</v>
      </c>
      <c r="K1355" s="2" t="s">
        <v>571</v>
      </c>
      <c r="L1355" s="2" t="s">
        <v>2104</v>
      </c>
      <c r="M1355" s="3">
        <v>1</v>
      </c>
      <c r="N1355" s="3">
        <v>2</v>
      </c>
      <c r="P1355" s="2" t="s">
        <v>3041</v>
      </c>
    </row>
    <row r="1356" spans="1:16" ht="13">
      <c r="A1356" s="2" t="s">
        <v>4</v>
      </c>
      <c r="B1356" s="2" t="str">
        <f t="shared" si="21"/>
        <v>23-24 Academic Year</v>
      </c>
      <c r="C1356" s="2">
        <v>48</v>
      </c>
      <c r="D1356" s="2" t="s">
        <v>5110</v>
      </c>
      <c r="E1356" s="10">
        <v>45401</v>
      </c>
      <c r="F1356" s="2" t="s">
        <v>3040</v>
      </c>
      <c r="G1356" s="2" t="s">
        <v>2170</v>
      </c>
      <c r="H1356" s="2" t="s">
        <v>6</v>
      </c>
      <c r="I1356" s="2" t="s">
        <v>2787</v>
      </c>
      <c r="J1356" s="2" t="s">
        <v>3042</v>
      </c>
      <c r="K1356" s="2" t="s">
        <v>472</v>
      </c>
      <c r="L1356" s="2" t="s">
        <v>1352</v>
      </c>
      <c r="M1356" s="3">
        <v>1</v>
      </c>
      <c r="N1356" s="3">
        <v>2</v>
      </c>
      <c r="P1356" s="2" t="s">
        <v>3043</v>
      </c>
    </row>
    <row r="1357" spans="1:16" ht="13">
      <c r="A1357" s="2" t="s">
        <v>4</v>
      </c>
      <c r="B1357" s="2" t="str">
        <f t="shared" si="21"/>
        <v>23-24 Academic Year</v>
      </c>
      <c r="C1357" s="2">
        <v>48</v>
      </c>
      <c r="D1357" s="2" t="s">
        <v>5110</v>
      </c>
      <c r="E1357" s="10">
        <v>45401</v>
      </c>
      <c r="F1357" s="2" t="s">
        <v>3040</v>
      </c>
      <c r="G1357" s="2" t="s">
        <v>2170</v>
      </c>
      <c r="H1357" s="2" t="s">
        <v>6</v>
      </c>
      <c r="I1357" s="2" t="s">
        <v>2787</v>
      </c>
      <c r="J1357" s="2" t="s">
        <v>3044</v>
      </c>
      <c r="K1357" s="2" t="s">
        <v>472</v>
      </c>
      <c r="L1357" s="2" t="s">
        <v>1352</v>
      </c>
      <c r="M1357" s="3">
        <v>1</v>
      </c>
      <c r="N1357" s="3">
        <v>2</v>
      </c>
      <c r="P1357" s="2" t="s">
        <v>3045</v>
      </c>
    </row>
    <row r="1358" spans="1:16" ht="13">
      <c r="A1358" s="2" t="s">
        <v>4</v>
      </c>
      <c r="B1358" s="2" t="str">
        <f t="shared" si="21"/>
        <v>23-24 Academic Year</v>
      </c>
      <c r="C1358" s="2">
        <v>48</v>
      </c>
      <c r="D1358" s="2" t="s">
        <v>5110</v>
      </c>
      <c r="E1358" s="10">
        <v>45401</v>
      </c>
      <c r="F1358" s="2" t="s">
        <v>3040</v>
      </c>
      <c r="G1358" s="2" t="s">
        <v>2170</v>
      </c>
      <c r="H1358" s="2" t="s">
        <v>6</v>
      </c>
      <c r="I1358" s="2" t="s">
        <v>2787</v>
      </c>
      <c r="J1358" s="2" t="s">
        <v>3046</v>
      </c>
      <c r="K1358" s="2" t="s">
        <v>648</v>
      </c>
      <c r="L1358" s="2" t="s">
        <v>812</v>
      </c>
      <c r="M1358" s="3">
        <v>2</v>
      </c>
      <c r="N1358" s="3">
        <v>2</v>
      </c>
      <c r="P1358" s="2" t="s">
        <v>3047</v>
      </c>
    </row>
    <row r="1359" spans="1:16" ht="13">
      <c r="A1359" s="2" t="s">
        <v>4</v>
      </c>
      <c r="B1359" s="2" t="str">
        <f t="shared" si="21"/>
        <v>23-24 Academic Year</v>
      </c>
      <c r="C1359" s="2">
        <v>48</v>
      </c>
      <c r="D1359" s="2" t="s">
        <v>5110</v>
      </c>
      <c r="E1359" s="10">
        <v>45401</v>
      </c>
      <c r="F1359" s="2" t="s">
        <v>3040</v>
      </c>
      <c r="G1359" s="2" t="s">
        <v>2170</v>
      </c>
      <c r="H1359" s="2" t="s">
        <v>6</v>
      </c>
      <c r="I1359" s="2" t="s">
        <v>2787</v>
      </c>
      <c r="J1359" s="2" t="s">
        <v>3048</v>
      </c>
      <c r="K1359" s="2" t="s">
        <v>648</v>
      </c>
      <c r="L1359" s="2" t="s">
        <v>812</v>
      </c>
      <c r="M1359" s="3">
        <v>2</v>
      </c>
      <c r="N1359" s="3">
        <v>2</v>
      </c>
      <c r="P1359" s="2" t="s">
        <v>3049</v>
      </c>
    </row>
    <row r="1360" spans="1:16" ht="13">
      <c r="A1360" s="2" t="s">
        <v>4</v>
      </c>
      <c r="B1360" s="2" t="str">
        <f t="shared" si="21"/>
        <v>23-24 Academic Year</v>
      </c>
      <c r="C1360" s="2">
        <v>48</v>
      </c>
      <c r="D1360" s="2" t="s">
        <v>5110</v>
      </c>
      <c r="E1360" s="10">
        <v>45401</v>
      </c>
      <c r="F1360" s="2" t="s">
        <v>3040</v>
      </c>
      <c r="G1360" s="2" t="s">
        <v>2170</v>
      </c>
      <c r="H1360" s="2" t="s">
        <v>6</v>
      </c>
      <c r="I1360" s="2" t="s">
        <v>2787</v>
      </c>
      <c r="J1360" s="2" t="s">
        <v>3050</v>
      </c>
      <c r="K1360" s="2" t="s">
        <v>648</v>
      </c>
      <c r="L1360" s="2" t="s">
        <v>812</v>
      </c>
      <c r="M1360" s="3">
        <v>2</v>
      </c>
      <c r="N1360" s="3">
        <v>2</v>
      </c>
      <c r="P1360" s="2" t="s">
        <v>3051</v>
      </c>
    </row>
    <row r="1361" spans="1:16" ht="13">
      <c r="A1361" s="2" t="s">
        <v>4</v>
      </c>
      <c r="B1361" s="2" t="str">
        <f t="shared" si="21"/>
        <v>23-24 Academic Year</v>
      </c>
      <c r="C1361" s="2">
        <v>48</v>
      </c>
      <c r="D1361" s="2" t="s">
        <v>2909</v>
      </c>
      <c r="E1361" s="10">
        <v>45395</v>
      </c>
      <c r="F1361" s="2" t="s">
        <v>2907</v>
      </c>
      <c r="G1361" s="2" t="s">
        <v>2170</v>
      </c>
      <c r="H1361" s="2" t="s">
        <v>6</v>
      </c>
      <c r="I1361" s="2" t="s">
        <v>15</v>
      </c>
      <c r="J1361" s="2" t="s">
        <v>2911</v>
      </c>
      <c r="K1361" s="2" t="s">
        <v>2909</v>
      </c>
      <c r="L1361" s="2" t="s">
        <v>956</v>
      </c>
      <c r="M1361" s="3">
        <v>2</v>
      </c>
      <c r="N1361" s="3">
        <v>1</v>
      </c>
      <c r="P1361" s="2" t="s">
        <v>2912</v>
      </c>
    </row>
    <row r="1362" spans="1:16" ht="13">
      <c r="A1362" s="2" t="s">
        <v>4</v>
      </c>
      <c r="B1362" s="2" t="str">
        <f t="shared" si="21"/>
        <v>23-24 Academic Year</v>
      </c>
      <c r="C1362" s="2">
        <v>48</v>
      </c>
      <c r="D1362" s="2" t="s">
        <v>5110</v>
      </c>
      <c r="E1362" s="10">
        <v>45401</v>
      </c>
      <c r="F1362" s="2" t="s">
        <v>3040</v>
      </c>
      <c r="G1362" s="2" t="s">
        <v>2170</v>
      </c>
      <c r="H1362" s="2" t="s">
        <v>6</v>
      </c>
      <c r="I1362" s="2" t="s">
        <v>2787</v>
      </c>
      <c r="J1362" s="2" t="s">
        <v>2911</v>
      </c>
      <c r="K1362" s="2" t="s">
        <v>571</v>
      </c>
      <c r="L1362" s="2" t="s">
        <v>2104</v>
      </c>
      <c r="M1362" s="3">
        <v>1</v>
      </c>
      <c r="N1362" s="3">
        <v>2</v>
      </c>
      <c r="P1362" s="2" t="s">
        <v>3052</v>
      </c>
    </row>
    <row r="1363" spans="1:16" ht="13">
      <c r="A1363" s="2" t="s">
        <v>4</v>
      </c>
      <c r="B1363" s="2" t="str">
        <f t="shared" si="21"/>
        <v>23-24 Academic Year</v>
      </c>
      <c r="C1363" s="2">
        <v>48</v>
      </c>
      <c r="D1363" s="2" t="s">
        <v>2909</v>
      </c>
      <c r="E1363" s="10">
        <v>45395</v>
      </c>
      <c r="F1363" s="2" t="s">
        <v>2907</v>
      </c>
      <c r="G1363" s="2" t="s">
        <v>2170</v>
      </c>
      <c r="H1363" s="2" t="s">
        <v>6</v>
      </c>
      <c r="I1363" s="2" t="s">
        <v>15</v>
      </c>
      <c r="J1363" s="2" t="s">
        <v>2913</v>
      </c>
      <c r="K1363" s="2" t="s">
        <v>2909</v>
      </c>
      <c r="L1363" s="2" t="s">
        <v>956</v>
      </c>
      <c r="M1363" s="3">
        <v>2</v>
      </c>
      <c r="N1363" s="3">
        <v>1</v>
      </c>
      <c r="P1363" s="2" t="s">
        <v>2914</v>
      </c>
    </row>
    <row r="1364" spans="1:16" ht="13">
      <c r="A1364" s="2" t="s">
        <v>4</v>
      </c>
      <c r="B1364" s="2" t="str">
        <f t="shared" si="21"/>
        <v>23-24 Academic Year</v>
      </c>
      <c r="C1364" s="2">
        <v>48</v>
      </c>
      <c r="D1364" s="2" t="s">
        <v>5110</v>
      </c>
      <c r="E1364" s="10">
        <v>45401</v>
      </c>
      <c r="F1364" s="2" t="s">
        <v>3040</v>
      </c>
      <c r="G1364" s="2" t="s">
        <v>2170</v>
      </c>
      <c r="H1364" s="2" t="s">
        <v>6</v>
      </c>
      <c r="I1364" s="2" t="s">
        <v>2787</v>
      </c>
      <c r="J1364" s="2" t="s">
        <v>2913</v>
      </c>
      <c r="K1364" s="2" t="s">
        <v>3053</v>
      </c>
      <c r="L1364" s="2" t="s">
        <v>109</v>
      </c>
      <c r="M1364" s="3">
        <v>1</v>
      </c>
      <c r="N1364" s="3">
        <v>2</v>
      </c>
      <c r="P1364" s="2" t="s">
        <v>3054</v>
      </c>
    </row>
    <row r="1365" spans="1:16" ht="13">
      <c r="A1365" s="2" t="s">
        <v>4</v>
      </c>
      <c r="B1365" s="2" t="str">
        <f t="shared" si="21"/>
        <v>23-24 Academic Year</v>
      </c>
      <c r="C1365" s="2">
        <v>48</v>
      </c>
      <c r="D1365" s="2" t="s">
        <v>2909</v>
      </c>
      <c r="E1365" s="10">
        <v>45395</v>
      </c>
      <c r="F1365" s="2" t="s">
        <v>2907</v>
      </c>
      <c r="G1365" s="2" t="s">
        <v>2170</v>
      </c>
      <c r="H1365" s="2" t="s">
        <v>6</v>
      </c>
      <c r="I1365" s="2" t="s">
        <v>15</v>
      </c>
      <c r="J1365" s="2" t="s">
        <v>2915</v>
      </c>
      <c r="K1365" s="2" t="s">
        <v>2909</v>
      </c>
      <c r="L1365" s="2" t="s">
        <v>956</v>
      </c>
      <c r="M1365" s="3">
        <v>2</v>
      </c>
      <c r="N1365" s="3">
        <v>1</v>
      </c>
      <c r="P1365" s="2" t="s">
        <v>2916</v>
      </c>
    </row>
    <row r="1366" spans="1:16" ht="13">
      <c r="A1366" s="2" t="s">
        <v>4</v>
      </c>
      <c r="B1366" s="2" t="str">
        <f t="shared" si="21"/>
        <v>23-24 Academic Year</v>
      </c>
      <c r="C1366" s="2">
        <v>48</v>
      </c>
      <c r="D1366" s="2" t="s">
        <v>5110</v>
      </c>
      <c r="E1366" s="10">
        <v>45401</v>
      </c>
      <c r="F1366" s="2" t="s">
        <v>3040</v>
      </c>
      <c r="G1366" s="2" t="s">
        <v>2170</v>
      </c>
      <c r="H1366" s="2" t="s">
        <v>6</v>
      </c>
      <c r="I1366" s="2" t="s">
        <v>2787</v>
      </c>
      <c r="J1366" s="2" t="s">
        <v>2915</v>
      </c>
      <c r="K1366" s="2" t="s">
        <v>3053</v>
      </c>
      <c r="L1366" s="2" t="s">
        <v>109</v>
      </c>
      <c r="M1366" s="3">
        <v>1</v>
      </c>
      <c r="N1366" s="3">
        <v>2</v>
      </c>
      <c r="P1366" s="2" t="s">
        <v>3055</v>
      </c>
    </row>
    <row r="1367" spans="1:16" ht="13">
      <c r="A1367" s="2" t="s">
        <v>4</v>
      </c>
      <c r="B1367" s="2" t="str">
        <f t="shared" si="21"/>
        <v>23-24 Academic Year</v>
      </c>
      <c r="C1367" s="2">
        <v>48</v>
      </c>
      <c r="D1367" s="2" t="s">
        <v>2909</v>
      </c>
      <c r="E1367" s="10">
        <v>45395</v>
      </c>
      <c r="F1367" s="2" t="s">
        <v>2907</v>
      </c>
      <c r="G1367" s="2" t="s">
        <v>2170</v>
      </c>
      <c r="H1367" s="2" t="s">
        <v>6</v>
      </c>
      <c r="I1367" s="2" t="s">
        <v>15</v>
      </c>
      <c r="J1367" s="2" t="s">
        <v>2917</v>
      </c>
      <c r="K1367" s="2" t="s">
        <v>2909</v>
      </c>
      <c r="L1367" s="2" t="s">
        <v>956</v>
      </c>
      <c r="M1367" s="3">
        <v>2</v>
      </c>
      <c r="N1367" s="3">
        <v>1</v>
      </c>
      <c r="P1367" s="2" t="s">
        <v>2918</v>
      </c>
    </row>
    <row r="1368" spans="1:16" ht="13">
      <c r="A1368" s="2" t="s">
        <v>4</v>
      </c>
      <c r="B1368" s="2" t="str">
        <f t="shared" si="21"/>
        <v>23-24 Academic Year</v>
      </c>
      <c r="C1368" s="2">
        <v>48</v>
      </c>
      <c r="D1368" s="2" t="s">
        <v>5110</v>
      </c>
      <c r="E1368" s="10">
        <v>45401</v>
      </c>
      <c r="F1368" s="2" t="s">
        <v>3040</v>
      </c>
      <c r="G1368" s="2" t="s">
        <v>2170</v>
      </c>
      <c r="H1368" s="2" t="s">
        <v>6</v>
      </c>
      <c r="I1368" s="2" t="s">
        <v>2787</v>
      </c>
      <c r="J1368" s="2" t="s">
        <v>2917</v>
      </c>
      <c r="K1368" s="2" t="s">
        <v>563</v>
      </c>
      <c r="L1368" s="2" t="s">
        <v>3359</v>
      </c>
      <c r="M1368" s="3">
        <v>2</v>
      </c>
      <c r="N1368" s="3">
        <v>2</v>
      </c>
      <c r="P1368" s="2" t="s">
        <v>3056</v>
      </c>
    </row>
    <row r="1369" spans="1:16" ht="13">
      <c r="A1369" s="2" t="s">
        <v>4</v>
      </c>
      <c r="B1369" s="2" t="str">
        <f t="shared" si="21"/>
        <v>23-24 Academic Year</v>
      </c>
      <c r="C1369" s="2">
        <v>48</v>
      </c>
      <c r="D1369" s="2" t="s">
        <v>2909</v>
      </c>
      <c r="E1369" s="10">
        <v>45395</v>
      </c>
      <c r="F1369" s="2" t="s">
        <v>2907</v>
      </c>
      <c r="G1369" s="2" t="s">
        <v>2170</v>
      </c>
      <c r="H1369" s="2" t="s">
        <v>6</v>
      </c>
      <c r="I1369" s="2" t="s">
        <v>15</v>
      </c>
      <c r="J1369" s="2" t="s">
        <v>2919</v>
      </c>
      <c r="K1369" s="2" t="s">
        <v>2909</v>
      </c>
      <c r="L1369" s="2" t="s">
        <v>956</v>
      </c>
      <c r="M1369" s="3">
        <v>2</v>
      </c>
      <c r="N1369" s="3">
        <v>1</v>
      </c>
      <c r="P1369" s="2" t="s">
        <v>2920</v>
      </c>
    </row>
    <row r="1370" spans="1:16" ht="13">
      <c r="A1370" s="2" t="s">
        <v>4</v>
      </c>
      <c r="B1370" s="2" t="str">
        <f t="shared" si="21"/>
        <v>23-24 Academic Year</v>
      </c>
      <c r="C1370" s="2">
        <v>48</v>
      </c>
      <c r="D1370" s="2" t="s">
        <v>5110</v>
      </c>
      <c r="E1370" s="10">
        <v>45401</v>
      </c>
      <c r="F1370" s="2" t="s">
        <v>3040</v>
      </c>
      <c r="G1370" s="2" t="s">
        <v>2170</v>
      </c>
      <c r="H1370" s="2" t="s">
        <v>6</v>
      </c>
      <c r="I1370" s="2" t="s">
        <v>2787</v>
      </c>
      <c r="J1370" s="2" t="s">
        <v>2919</v>
      </c>
      <c r="K1370" s="2" t="s">
        <v>563</v>
      </c>
      <c r="L1370" s="2" t="s">
        <v>3359</v>
      </c>
      <c r="M1370" s="3">
        <v>2</v>
      </c>
      <c r="N1370" s="3">
        <v>2</v>
      </c>
      <c r="P1370" s="2" t="s">
        <v>3057</v>
      </c>
    </row>
    <row r="1371" spans="1:16" ht="13">
      <c r="A1371" s="2" t="s">
        <v>4</v>
      </c>
      <c r="B1371" s="2" t="str">
        <f t="shared" si="21"/>
        <v>23-24 Academic Year</v>
      </c>
      <c r="C1371" s="2">
        <v>48</v>
      </c>
      <c r="D1371" s="2" t="s">
        <v>5110</v>
      </c>
      <c r="E1371" s="10">
        <v>45401</v>
      </c>
      <c r="F1371" s="2" t="s">
        <v>3040</v>
      </c>
      <c r="G1371" s="2" t="s">
        <v>2170</v>
      </c>
      <c r="H1371" s="2" t="s">
        <v>6</v>
      </c>
      <c r="I1371" s="2" t="s">
        <v>2787</v>
      </c>
      <c r="J1371" s="2" t="s">
        <v>3058</v>
      </c>
      <c r="K1371" s="2" t="s">
        <v>563</v>
      </c>
      <c r="L1371" s="2" t="s">
        <v>3359</v>
      </c>
      <c r="M1371" s="3">
        <v>2</v>
      </c>
      <c r="N1371" s="3">
        <v>2</v>
      </c>
      <c r="P1371" s="2" t="s">
        <v>3059</v>
      </c>
    </row>
    <row r="1372" spans="1:16" ht="13">
      <c r="A1372" s="2" t="s">
        <v>4</v>
      </c>
      <c r="B1372" s="2" t="str">
        <f t="shared" si="21"/>
        <v>23-24 Academic Year</v>
      </c>
      <c r="C1372" s="2">
        <v>48</v>
      </c>
      <c r="D1372" s="2" t="s">
        <v>5110</v>
      </c>
      <c r="E1372" s="10">
        <v>45401</v>
      </c>
      <c r="F1372" s="2" t="s">
        <v>3040</v>
      </c>
      <c r="G1372" s="2" t="s">
        <v>2170</v>
      </c>
      <c r="H1372" s="2" t="s">
        <v>6</v>
      </c>
      <c r="I1372" s="2" t="s">
        <v>2787</v>
      </c>
      <c r="J1372" s="2" t="s">
        <v>3060</v>
      </c>
      <c r="K1372" s="2" t="s">
        <v>2354</v>
      </c>
      <c r="L1372" s="2" t="s">
        <v>4127</v>
      </c>
      <c r="M1372" s="3">
        <v>1</v>
      </c>
      <c r="N1372" s="3">
        <v>2</v>
      </c>
      <c r="P1372" s="2" t="s">
        <v>3061</v>
      </c>
    </row>
    <row r="1373" spans="1:16" ht="13">
      <c r="A1373" s="2" t="s">
        <v>4</v>
      </c>
      <c r="B1373" s="2" t="str">
        <f t="shared" si="21"/>
        <v>23-24 Academic Year</v>
      </c>
      <c r="C1373" s="2">
        <v>48</v>
      </c>
      <c r="D1373" s="2" t="s">
        <v>5110</v>
      </c>
      <c r="E1373" s="10">
        <v>45401</v>
      </c>
      <c r="F1373" s="2" t="s">
        <v>3040</v>
      </c>
      <c r="G1373" s="2" t="s">
        <v>2170</v>
      </c>
      <c r="H1373" s="2" t="s">
        <v>6</v>
      </c>
      <c r="I1373" s="2" t="s">
        <v>2787</v>
      </c>
      <c r="J1373" s="2" t="s">
        <v>3062</v>
      </c>
      <c r="K1373" s="2" t="s">
        <v>472</v>
      </c>
      <c r="L1373" s="2" t="s">
        <v>1352</v>
      </c>
      <c r="M1373" s="3">
        <v>1</v>
      </c>
      <c r="N1373" s="3">
        <v>2</v>
      </c>
      <c r="P1373" s="2" t="s">
        <v>3063</v>
      </c>
    </row>
    <row r="1374" spans="1:16" ht="13">
      <c r="A1374" s="2" t="s">
        <v>4</v>
      </c>
      <c r="B1374" s="2" t="str">
        <f t="shared" si="21"/>
        <v>23-24 Academic Year</v>
      </c>
      <c r="C1374" s="2">
        <v>49</v>
      </c>
      <c r="D1374" s="2" t="s">
        <v>5111</v>
      </c>
      <c r="E1374" s="10">
        <v>45396</v>
      </c>
      <c r="F1374" s="2" t="s">
        <v>2950</v>
      </c>
      <c r="G1374" s="2" t="s">
        <v>2226</v>
      </c>
      <c r="H1374" s="2" t="s">
        <v>6</v>
      </c>
      <c r="I1374" s="2" t="s">
        <v>699</v>
      </c>
      <c r="J1374" s="2" t="s">
        <v>2951</v>
      </c>
      <c r="K1374" s="2" t="s">
        <v>2952</v>
      </c>
      <c r="L1374" s="2" t="s">
        <v>1283</v>
      </c>
      <c r="M1374" s="3">
        <v>3</v>
      </c>
      <c r="N1374" s="3">
        <v>2</v>
      </c>
      <c r="P1374" s="2" t="s">
        <v>2953</v>
      </c>
    </row>
    <row r="1375" spans="1:16" ht="13">
      <c r="A1375" s="2" t="s">
        <v>4</v>
      </c>
      <c r="B1375" s="2" t="str">
        <f t="shared" si="21"/>
        <v>23-24 Academic Year</v>
      </c>
      <c r="C1375" s="2">
        <v>49</v>
      </c>
      <c r="D1375" s="2" t="s">
        <v>4136</v>
      </c>
      <c r="E1375" s="10">
        <v>45402</v>
      </c>
      <c r="F1375" s="2" t="s">
        <v>3064</v>
      </c>
      <c r="G1375" s="2" t="s">
        <v>2226</v>
      </c>
      <c r="H1375" s="2" t="s">
        <v>6</v>
      </c>
      <c r="I1375" s="2" t="s">
        <v>634</v>
      </c>
      <c r="J1375" s="2" t="s">
        <v>2951</v>
      </c>
      <c r="K1375" s="2" t="s">
        <v>1550</v>
      </c>
      <c r="L1375" s="2" t="s">
        <v>1551</v>
      </c>
      <c r="M1375" s="3">
        <v>4</v>
      </c>
      <c r="N1375" s="3">
        <v>1</v>
      </c>
      <c r="P1375" s="2" t="s">
        <v>3065</v>
      </c>
    </row>
    <row r="1376" spans="1:16" ht="13">
      <c r="A1376" s="2" t="s">
        <v>4</v>
      </c>
      <c r="B1376" s="2" t="str">
        <f t="shared" si="21"/>
        <v>23-24 Academic Year</v>
      </c>
      <c r="C1376" s="2">
        <v>49</v>
      </c>
      <c r="D1376" s="2" t="s">
        <v>5111</v>
      </c>
      <c r="E1376" s="10">
        <v>45396</v>
      </c>
      <c r="F1376" s="2" t="s">
        <v>2950</v>
      </c>
      <c r="G1376" s="2" t="s">
        <v>2226</v>
      </c>
      <c r="H1376" s="2" t="s">
        <v>6</v>
      </c>
      <c r="I1376" s="2" t="s">
        <v>699</v>
      </c>
      <c r="J1376" s="2" t="s">
        <v>2954</v>
      </c>
      <c r="K1376" s="2" t="s">
        <v>2955</v>
      </c>
      <c r="L1376" s="2" t="s">
        <v>1369</v>
      </c>
      <c r="M1376" s="3">
        <v>1</v>
      </c>
      <c r="N1376" s="3">
        <v>2</v>
      </c>
      <c r="P1376" s="2" t="s">
        <v>2956</v>
      </c>
    </row>
    <row r="1377" spans="1:16" ht="13">
      <c r="A1377" s="2" t="s">
        <v>4</v>
      </c>
      <c r="B1377" s="2" t="str">
        <f t="shared" si="21"/>
        <v>23-24 Academic Year</v>
      </c>
      <c r="C1377" s="2">
        <v>49</v>
      </c>
      <c r="D1377" s="2" t="s">
        <v>4136</v>
      </c>
      <c r="E1377" s="10">
        <v>45402</v>
      </c>
      <c r="F1377" s="2" t="s">
        <v>3064</v>
      </c>
      <c r="G1377" s="2" t="s">
        <v>2226</v>
      </c>
      <c r="H1377" s="2" t="s">
        <v>6</v>
      </c>
      <c r="I1377" s="2" t="s">
        <v>634</v>
      </c>
      <c r="J1377" s="2" t="s">
        <v>2954</v>
      </c>
      <c r="K1377" s="2" t="s">
        <v>431</v>
      </c>
      <c r="L1377" s="2" t="s">
        <v>1360</v>
      </c>
      <c r="M1377" s="3">
        <v>1</v>
      </c>
      <c r="N1377" s="3">
        <v>2</v>
      </c>
      <c r="P1377" s="2" t="s">
        <v>3066</v>
      </c>
    </row>
    <row r="1378" spans="1:16" ht="13">
      <c r="A1378" s="2" t="s">
        <v>4</v>
      </c>
      <c r="B1378" s="2" t="str">
        <f t="shared" si="21"/>
        <v>23-24 Academic Year</v>
      </c>
      <c r="C1378" s="2">
        <v>49</v>
      </c>
      <c r="D1378" s="2" t="s">
        <v>4136</v>
      </c>
      <c r="E1378" s="10">
        <v>45402</v>
      </c>
      <c r="F1378" s="2" t="s">
        <v>3064</v>
      </c>
      <c r="G1378" s="2" t="s">
        <v>2226</v>
      </c>
      <c r="H1378" s="2" t="s">
        <v>6</v>
      </c>
      <c r="I1378" s="2" t="s">
        <v>634</v>
      </c>
      <c r="J1378" s="2" t="s">
        <v>3067</v>
      </c>
      <c r="K1378" s="2" t="s">
        <v>22</v>
      </c>
      <c r="L1378" s="2" t="s">
        <v>4330</v>
      </c>
      <c r="M1378" s="3">
        <v>2</v>
      </c>
      <c r="N1378" s="3">
        <v>2</v>
      </c>
      <c r="P1378" s="2" t="s">
        <v>3068</v>
      </c>
    </row>
    <row r="1379" spans="1:16" ht="13">
      <c r="A1379" s="2" t="s">
        <v>4</v>
      </c>
      <c r="B1379" s="2" t="str">
        <f t="shared" si="21"/>
        <v>23-24 Academic Year</v>
      </c>
      <c r="C1379" s="2">
        <v>49</v>
      </c>
      <c r="D1379" s="2" t="s">
        <v>4136</v>
      </c>
      <c r="E1379" s="10">
        <v>45402</v>
      </c>
      <c r="F1379" s="2" t="s">
        <v>3064</v>
      </c>
      <c r="G1379" s="2" t="s">
        <v>2226</v>
      </c>
      <c r="H1379" s="2" t="s">
        <v>6</v>
      </c>
      <c r="I1379" s="2" t="s">
        <v>634</v>
      </c>
      <c r="J1379" s="2" t="s">
        <v>3069</v>
      </c>
      <c r="K1379" s="2" t="s">
        <v>3070</v>
      </c>
      <c r="L1379" s="2" t="s">
        <v>5112</v>
      </c>
      <c r="M1379" s="3">
        <v>2</v>
      </c>
      <c r="N1379" s="3">
        <v>2</v>
      </c>
      <c r="P1379" s="2" t="s">
        <v>3071</v>
      </c>
    </row>
    <row r="1380" spans="1:16" ht="13">
      <c r="A1380" s="2" t="s">
        <v>4</v>
      </c>
      <c r="B1380" s="2" t="str">
        <f t="shared" si="21"/>
        <v>23-24 Academic Year</v>
      </c>
      <c r="C1380" s="2">
        <v>50</v>
      </c>
      <c r="D1380" s="2" t="s">
        <v>3073</v>
      </c>
      <c r="E1380" s="10">
        <v>45402</v>
      </c>
      <c r="F1380" s="2" t="s">
        <v>3072</v>
      </c>
      <c r="G1380" s="2" t="s">
        <v>2988</v>
      </c>
      <c r="H1380" s="2" t="s">
        <v>7</v>
      </c>
      <c r="I1380" s="2" t="s">
        <v>3073</v>
      </c>
      <c r="J1380" s="2" t="s">
        <v>3074</v>
      </c>
      <c r="K1380" s="2" t="s">
        <v>3075</v>
      </c>
      <c r="L1380" s="2" t="s">
        <v>3076</v>
      </c>
      <c r="M1380" s="3">
        <v>3</v>
      </c>
      <c r="N1380" s="3">
        <v>2</v>
      </c>
      <c r="P1380" s="2" t="s">
        <v>3077</v>
      </c>
    </row>
    <row r="1381" spans="1:16" ht="13">
      <c r="A1381" s="2" t="s">
        <v>4</v>
      </c>
      <c r="B1381" s="2" t="str">
        <f t="shared" si="21"/>
        <v>23-24 Academic Year</v>
      </c>
      <c r="C1381" s="2">
        <v>50</v>
      </c>
      <c r="D1381" s="2" t="s">
        <v>3073</v>
      </c>
      <c r="E1381" s="10">
        <v>45402</v>
      </c>
      <c r="F1381" s="2" t="s">
        <v>3072</v>
      </c>
      <c r="G1381" s="2" t="s">
        <v>2988</v>
      </c>
      <c r="H1381" s="2" t="s">
        <v>7</v>
      </c>
      <c r="I1381" s="2" t="s">
        <v>3073</v>
      </c>
      <c r="J1381" s="2" t="s">
        <v>3078</v>
      </c>
      <c r="K1381" s="2" t="s">
        <v>3079</v>
      </c>
      <c r="L1381" s="2" t="s">
        <v>5113</v>
      </c>
      <c r="M1381" s="3">
        <v>2</v>
      </c>
      <c r="N1381" s="3">
        <v>1</v>
      </c>
      <c r="P1381" s="2" t="s">
        <v>3080</v>
      </c>
    </row>
    <row r="1382" spans="1:16" ht="13">
      <c r="A1382" s="2" t="s">
        <v>4</v>
      </c>
      <c r="B1382" s="2" t="str">
        <f t="shared" si="21"/>
        <v>23-24 Academic Year</v>
      </c>
      <c r="C1382" s="2">
        <v>50</v>
      </c>
      <c r="D1382" s="2" t="s">
        <v>3073</v>
      </c>
      <c r="E1382" s="10">
        <v>45402</v>
      </c>
      <c r="F1382" s="2" t="s">
        <v>3072</v>
      </c>
      <c r="G1382" s="2" t="s">
        <v>2988</v>
      </c>
      <c r="H1382" s="2" t="s">
        <v>7</v>
      </c>
      <c r="I1382" s="2" t="s">
        <v>3073</v>
      </c>
      <c r="J1382" s="2" t="s">
        <v>3081</v>
      </c>
      <c r="K1382" s="2" t="s">
        <v>3082</v>
      </c>
      <c r="L1382" s="2" t="s">
        <v>3083</v>
      </c>
      <c r="M1382" s="3">
        <v>1</v>
      </c>
      <c r="N1382" s="3">
        <v>2</v>
      </c>
      <c r="P1382" s="2" t="s">
        <v>2805</v>
      </c>
    </row>
    <row r="1383" spans="1:16" ht="13">
      <c r="A1383" s="2" t="s">
        <v>4</v>
      </c>
      <c r="B1383" s="2" t="str">
        <f t="shared" si="21"/>
        <v>23-24 Academic Year</v>
      </c>
      <c r="C1383" s="2">
        <v>50</v>
      </c>
      <c r="D1383" s="2" t="s">
        <v>3073</v>
      </c>
      <c r="E1383" s="10">
        <v>45402</v>
      </c>
      <c r="F1383" s="2" t="s">
        <v>3072</v>
      </c>
      <c r="G1383" s="2" t="s">
        <v>2988</v>
      </c>
      <c r="H1383" s="2" t="s">
        <v>7</v>
      </c>
      <c r="I1383" s="2" t="s">
        <v>3073</v>
      </c>
      <c r="J1383" s="2" t="s">
        <v>3084</v>
      </c>
      <c r="K1383" s="2" t="s">
        <v>3077</v>
      </c>
      <c r="L1383" s="2" t="s">
        <v>3085</v>
      </c>
      <c r="M1383" s="3">
        <v>1</v>
      </c>
      <c r="N1383" s="3">
        <v>2</v>
      </c>
      <c r="P1383" s="2" t="s">
        <v>3086</v>
      </c>
    </row>
    <row r="1384" spans="1:16" ht="13">
      <c r="A1384" s="2" t="s">
        <v>4</v>
      </c>
      <c r="B1384" s="2" t="str">
        <f t="shared" si="21"/>
        <v>23-24 Academic Year</v>
      </c>
      <c r="C1384" s="2">
        <v>50</v>
      </c>
      <c r="D1384" s="2" t="s">
        <v>3073</v>
      </c>
      <c r="E1384" s="10">
        <v>45402</v>
      </c>
      <c r="F1384" s="2" t="s">
        <v>3072</v>
      </c>
      <c r="G1384" s="2" t="s">
        <v>2988</v>
      </c>
      <c r="H1384" s="2" t="s">
        <v>7</v>
      </c>
      <c r="I1384" s="2" t="s">
        <v>3073</v>
      </c>
      <c r="J1384" s="2" t="s">
        <v>3087</v>
      </c>
      <c r="K1384" s="2" t="s">
        <v>3088</v>
      </c>
      <c r="L1384" s="2" t="s">
        <v>3089</v>
      </c>
      <c r="M1384" s="3">
        <v>1</v>
      </c>
      <c r="N1384" s="3">
        <v>2</v>
      </c>
      <c r="P1384" s="2" t="s">
        <v>3090</v>
      </c>
    </row>
    <row r="1385" spans="1:16" ht="13">
      <c r="A1385" s="2" t="s">
        <v>4</v>
      </c>
      <c r="B1385" s="2" t="str">
        <f t="shared" si="21"/>
        <v>23-24 Academic Year</v>
      </c>
      <c r="C1385" s="2">
        <v>50</v>
      </c>
      <c r="D1385" s="2" t="s">
        <v>3073</v>
      </c>
      <c r="E1385" s="10">
        <v>45402</v>
      </c>
      <c r="F1385" s="2" t="s">
        <v>3072</v>
      </c>
      <c r="G1385" s="2" t="s">
        <v>2988</v>
      </c>
      <c r="H1385" s="2" t="s">
        <v>7</v>
      </c>
      <c r="I1385" s="2" t="s">
        <v>3073</v>
      </c>
      <c r="J1385" s="2" t="s">
        <v>3091</v>
      </c>
      <c r="K1385" s="2" t="s">
        <v>2794</v>
      </c>
      <c r="L1385" s="2" t="s">
        <v>5096</v>
      </c>
      <c r="M1385" s="3">
        <v>1</v>
      </c>
      <c r="N1385" s="3">
        <v>2</v>
      </c>
      <c r="P1385" s="2" t="s">
        <v>3092</v>
      </c>
    </row>
    <row r="1386" spans="1:16" ht="13">
      <c r="A1386" s="2" t="s">
        <v>4</v>
      </c>
      <c r="B1386" s="2" t="str">
        <f t="shared" si="21"/>
        <v>23-24 Academic Year</v>
      </c>
      <c r="C1386" s="2">
        <v>50</v>
      </c>
      <c r="D1386" s="2" t="s">
        <v>3073</v>
      </c>
      <c r="E1386" s="10">
        <v>45402</v>
      </c>
      <c r="F1386" s="2" t="s">
        <v>3072</v>
      </c>
      <c r="G1386" s="2" t="s">
        <v>2988</v>
      </c>
      <c r="H1386" s="2" t="s">
        <v>7</v>
      </c>
      <c r="I1386" s="2" t="s">
        <v>3073</v>
      </c>
      <c r="J1386" s="2" t="s">
        <v>3093</v>
      </c>
      <c r="K1386" s="2" t="s">
        <v>3094</v>
      </c>
      <c r="L1386" s="2" t="s">
        <v>5114</v>
      </c>
      <c r="M1386" s="3">
        <v>2</v>
      </c>
      <c r="N1386" s="3">
        <v>2</v>
      </c>
      <c r="P1386" s="2" t="s">
        <v>3095</v>
      </c>
    </row>
    <row r="1387" spans="1:16" ht="13">
      <c r="A1387" s="2" t="s">
        <v>4</v>
      </c>
      <c r="B1387" s="2" t="str">
        <f t="shared" si="21"/>
        <v>23-24 Academic Year</v>
      </c>
      <c r="C1387" s="2">
        <v>50</v>
      </c>
      <c r="D1387" s="2" t="s">
        <v>3073</v>
      </c>
      <c r="E1387" s="10">
        <v>45402</v>
      </c>
      <c r="F1387" s="2" t="s">
        <v>3072</v>
      </c>
      <c r="G1387" s="2" t="s">
        <v>2988</v>
      </c>
      <c r="H1387" s="2" t="s">
        <v>7</v>
      </c>
      <c r="I1387" s="2" t="s">
        <v>3073</v>
      </c>
      <c r="J1387" s="2" t="s">
        <v>3096</v>
      </c>
      <c r="K1387" s="2" t="s">
        <v>3097</v>
      </c>
      <c r="L1387" s="2" t="s">
        <v>5115</v>
      </c>
      <c r="M1387" s="3">
        <v>1</v>
      </c>
      <c r="N1387" s="3">
        <v>2</v>
      </c>
      <c r="P1387" s="2" t="s">
        <v>3098</v>
      </c>
    </row>
    <row r="1388" spans="1:16" ht="13">
      <c r="A1388" s="2" t="s">
        <v>4</v>
      </c>
      <c r="B1388" s="2" t="str">
        <f t="shared" si="21"/>
        <v>23-24 Academic Year</v>
      </c>
      <c r="C1388" s="2">
        <v>50</v>
      </c>
      <c r="D1388" s="2" t="s">
        <v>3073</v>
      </c>
      <c r="E1388" s="10">
        <v>45402</v>
      </c>
      <c r="F1388" s="2" t="s">
        <v>3072</v>
      </c>
      <c r="G1388" s="2" t="s">
        <v>2988</v>
      </c>
      <c r="H1388" s="2" t="s">
        <v>7</v>
      </c>
      <c r="I1388" s="2" t="s">
        <v>3073</v>
      </c>
      <c r="J1388" s="2" t="s">
        <v>3099</v>
      </c>
      <c r="K1388" s="2" t="s">
        <v>3100</v>
      </c>
      <c r="L1388" s="2" t="s">
        <v>5116</v>
      </c>
      <c r="M1388" s="3">
        <v>1</v>
      </c>
      <c r="N1388" s="3">
        <v>1</v>
      </c>
      <c r="P1388" s="2" t="s">
        <v>3101</v>
      </c>
    </row>
    <row r="1389" spans="1:16" ht="13">
      <c r="A1389" s="2" t="s">
        <v>4</v>
      </c>
      <c r="B1389" s="2" t="str">
        <f t="shared" si="21"/>
        <v>23-24 Academic Year</v>
      </c>
      <c r="C1389" s="2">
        <v>50</v>
      </c>
      <c r="D1389" s="2" t="s">
        <v>3073</v>
      </c>
      <c r="E1389" s="10">
        <v>45402</v>
      </c>
      <c r="F1389" s="2" t="s">
        <v>3072</v>
      </c>
      <c r="G1389" s="2" t="s">
        <v>2988</v>
      </c>
      <c r="H1389" s="2" t="s">
        <v>7</v>
      </c>
      <c r="I1389" s="2" t="s">
        <v>3073</v>
      </c>
      <c r="J1389" s="2" t="s">
        <v>3102</v>
      </c>
      <c r="K1389" s="2" t="s">
        <v>3103</v>
      </c>
      <c r="L1389" s="2" t="s">
        <v>5117</v>
      </c>
      <c r="M1389" s="3">
        <v>2</v>
      </c>
      <c r="N1389" s="3">
        <v>2</v>
      </c>
      <c r="P1389" s="2" t="s">
        <v>3104</v>
      </c>
    </row>
    <row r="1390" spans="1:16" ht="13">
      <c r="A1390" s="2" t="s">
        <v>4</v>
      </c>
      <c r="B1390" s="2" t="str">
        <f t="shared" si="21"/>
        <v>23-24 Academic Year</v>
      </c>
      <c r="C1390" s="2">
        <v>50</v>
      </c>
      <c r="D1390" s="2" t="s">
        <v>3073</v>
      </c>
      <c r="E1390" s="10">
        <v>45402</v>
      </c>
      <c r="F1390" s="2" t="s">
        <v>3072</v>
      </c>
      <c r="G1390" s="2" t="s">
        <v>2988</v>
      </c>
      <c r="H1390" s="2" t="s">
        <v>7</v>
      </c>
      <c r="I1390" s="2" t="s">
        <v>3073</v>
      </c>
      <c r="J1390" s="2" t="s">
        <v>3105</v>
      </c>
      <c r="K1390" s="2" t="s">
        <v>3106</v>
      </c>
      <c r="L1390" s="2" t="s">
        <v>1439</v>
      </c>
      <c r="M1390" s="3">
        <v>1</v>
      </c>
      <c r="N1390" s="3">
        <v>2</v>
      </c>
      <c r="P1390" s="2" t="s">
        <v>3107</v>
      </c>
    </row>
    <row r="1391" spans="1:16" ht="13">
      <c r="A1391" s="2" t="s">
        <v>4</v>
      </c>
      <c r="B1391" s="2" t="str">
        <f t="shared" si="21"/>
        <v>23-24 Academic Year</v>
      </c>
      <c r="C1391" s="2">
        <v>51</v>
      </c>
      <c r="D1391" s="2" t="s">
        <v>5118</v>
      </c>
      <c r="E1391" s="10">
        <v>45403</v>
      </c>
      <c r="F1391" s="2" t="s">
        <v>3141</v>
      </c>
      <c r="G1391" s="2" t="s">
        <v>2170</v>
      </c>
      <c r="H1391" s="2" t="s">
        <v>6</v>
      </c>
      <c r="I1391" s="2" t="s">
        <v>634</v>
      </c>
      <c r="J1391" s="2" t="s">
        <v>3142</v>
      </c>
      <c r="K1391" s="2" t="s">
        <v>573</v>
      </c>
      <c r="L1391" s="2" t="s">
        <v>1691</v>
      </c>
      <c r="M1391" s="3">
        <v>1</v>
      </c>
      <c r="N1391" s="3">
        <v>2</v>
      </c>
      <c r="P1391" s="2" t="s">
        <v>3143</v>
      </c>
    </row>
    <row r="1392" spans="1:16" ht="13">
      <c r="A1392" s="2" t="s">
        <v>4</v>
      </c>
      <c r="B1392" s="2" t="str">
        <f t="shared" si="21"/>
        <v>23-24 Academic Year</v>
      </c>
      <c r="C1392" s="2">
        <v>51</v>
      </c>
      <c r="D1392" s="2" t="s">
        <v>5118</v>
      </c>
      <c r="E1392" s="10">
        <v>45403</v>
      </c>
      <c r="F1392" s="2" t="s">
        <v>3141</v>
      </c>
      <c r="G1392" s="2" t="s">
        <v>2170</v>
      </c>
      <c r="H1392" s="2" t="s">
        <v>6</v>
      </c>
      <c r="I1392" s="2" t="s">
        <v>634</v>
      </c>
      <c r="J1392" s="2" t="s">
        <v>3144</v>
      </c>
      <c r="K1392" s="2" t="s">
        <v>336</v>
      </c>
      <c r="L1392" s="2" t="s">
        <v>1234</v>
      </c>
      <c r="M1392" s="3">
        <v>1</v>
      </c>
      <c r="N1392" s="3">
        <v>1</v>
      </c>
      <c r="P1392" s="2" t="s">
        <v>3145</v>
      </c>
    </row>
    <row r="1393" spans="1:16" ht="13">
      <c r="A1393" s="2" t="s">
        <v>4</v>
      </c>
      <c r="B1393" s="2" t="str">
        <f t="shared" si="21"/>
        <v>23-24 Academic Year</v>
      </c>
      <c r="C1393" s="2">
        <v>51</v>
      </c>
      <c r="D1393" s="2" t="s">
        <v>3179</v>
      </c>
      <c r="E1393" s="10">
        <v>45396</v>
      </c>
      <c r="F1393" s="2" t="s">
        <v>2957</v>
      </c>
      <c r="G1393" s="2" t="s">
        <v>2170</v>
      </c>
      <c r="H1393" s="2" t="s">
        <v>6</v>
      </c>
      <c r="I1393" s="2" t="s">
        <v>15</v>
      </c>
      <c r="J1393" s="2" t="s">
        <v>2958</v>
      </c>
      <c r="K1393" s="2" t="s">
        <v>2959</v>
      </c>
      <c r="L1393" s="2" t="s">
        <v>3180</v>
      </c>
      <c r="M1393" s="3">
        <v>1</v>
      </c>
      <c r="N1393" s="3">
        <v>1</v>
      </c>
      <c r="P1393" s="2" t="s">
        <v>2960</v>
      </c>
    </row>
    <row r="1394" spans="1:16" ht="13">
      <c r="A1394" s="2" t="s">
        <v>4</v>
      </c>
      <c r="B1394" s="2" t="str">
        <f t="shared" si="21"/>
        <v>23-24 Academic Year</v>
      </c>
      <c r="C1394" s="2">
        <v>51</v>
      </c>
      <c r="D1394" s="2" t="s">
        <v>5118</v>
      </c>
      <c r="E1394" s="10">
        <v>45403</v>
      </c>
      <c r="F1394" s="2" t="s">
        <v>3141</v>
      </c>
      <c r="G1394" s="2" t="s">
        <v>2170</v>
      </c>
      <c r="H1394" s="2" t="s">
        <v>6</v>
      </c>
      <c r="I1394" s="2" t="s">
        <v>634</v>
      </c>
      <c r="J1394" s="2" t="s">
        <v>2958</v>
      </c>
      <c r="K1394" s="2" t="s">
        <v>3146</v>
      </c>
      <c r="L1394" s="2" t="s">
        <v>5119</v>
      </c>
      <c r="M1394" s="3">
        <v>3</v>
      </c>
      <c r="N1394" s="3">
        <v>2</v>
      </c>
      <c r="P1394" s="2" t="s">
        <v>3147</v>
      </c>
    </row>
    <row r="1395" spans="1:16" ht="13">
      <c r="A1395" s="2" t="s">
        <v>4</v>
      </c>
      <c r="B1395" s="2" t="str">
        <f t="shared" si="21"/>
        <v>23-24 Academic Year</v>
      </c>
      <c r="C1395" s="2">
        <v>51</v>
      </c>
      <c r="D1395" s="2" t="s">
        <v>3179</v>
      </c>
      <c r="E1395" s="10">
        <v>45396</v>
      </c>
      <c r="F1395" s="2" t="s">
        <v>2957</v>
      </c>
      <c r="G1395" s="2" t="s">
        <v>2170</v>
      </c>
      <c r="H1395" s="2" t="s">
        <v>6</v>
      </c>
      <c r="I1395" s="2" t="s">
        <v>15</v>
      </c>
      <c r="J1395" s="2" t="s">
        <v>2961</v>
      </c>
      <c r="K1395" s="2" t="s">
        <v>2959</v>
      </c>
      <c r="L1395" s="2" t="s">
        <v>3180</v>
      </c>
      <c r="M1395" s="3">
        <v>1</v>
      </c>
      <c r="N1395" s="3">
        <v>1</v>
      </c>
      <c r="P1395" s="2" t="s">
        <v>2962</v>
      </c>
    </row>
    <row r="1396" spans="1:16" ht="13">
      <c r="A1396" s="2" t="s">
        <v>4</v>
      </c>
      <c r="B1396" s="2" t="str">
        <f t="shared" si="21"/>
        <v>23-24 Academic Year</v>
      </c>
      <c r="C1396" s="2">
        <v>51</v>
      </c>
      <c r="D1396" s="2" t="s">
        <v>5118</v>
      </c>
      <c r="E1396" s="10">
        <v>45403</v>
      </c>
      <c r="F1396" s="2" t="s">
        <v>3141</v>
      </c>
      <c r="G1396" s="2" t="s">
        <v>2170</v>
      </c>
      <c r="H1396" s="2" t="s">
        <v>6</v>
      </c>
      <c r="I1396" s="2" t="s">
        <v>634</v>
      </c>
      <c r="J1396" s="2" t="s">
        <v>2961</v>
      </c>
      <c r="K1396" s="2" t="s">
        <v>700</v>
      </c>
      <c r="L1396" s="2" t="s">
        <v>1283</v>
      </c>
      <c r="M1396" s="3">
        <v>3</v>
      </c>
      <c r="N1396" s="3">
        <v>2</v>
      </c>
      <c r="P1396" s="2" t="s">
        <v>3148</v>
      </c>
    </row>
    <row r="1397" spans="1:16" ht="13">
      <c r="A1397" s="2" t="s">
        <v>4</v>
      </c>
      <c r="B1397" s="2" t="str">
        <f t="shared" si="21"/>
        <v>23-24 Academic Year</v>
      </c>
      <c r="C1397" s="2">
        <v>51</v>
      </c>
      <c r="D1397" s="2" t="s">
        <v>3179</v>
      </c>
      <c r="E1397" s="10">
        <v>45396</v>
      </c>
      <c r="F1397" s="2" t="s">
        <v>2957</v>
      </c>
      <c r="G1397" s="2" t="s">
        <v>2170</v>
      </c>
      <c r="H1397" s="2" t="s">
        <v>6</v>
      </c>
      <c r="I1397" s="2" t="s">
        <v>15</v>
      </c>
      <c r="J1397" s="2" t="s">
        <v>2963</v>
      </c>
      <c r="K1397" s="2" t="s">
        <v>2959</v>
      </c>
      <c r="L1397" s="2" t="s">
        <v>3180</v>
      </c>
      <c r="M1397" s="3">
        <v>1</v>
      </c>
      <c r="N1397" s="3">
        <v>1</v>
      </c>
      <c r="P1397" s="2" t="s">
        <v>2964</v>
      </c>
    </row>
    <row r="1398" spans="1:16" ht="13">
      <c r="A1398" s="2" t="s">
        <v>4</v>
      </c>
      <c r="B1398" s="2" t="str">
        <f t="shared" si="21"/>
        <v>23-24 Academic Year</v>
      </c>
      <c r="C1398" s="2">
        <v>51</v>
      </c>
      <c r="D1398" s="2" t="s">
        <v>3179</v>
      </c>
      <c r="E1398" s="10">
        <v>45396</v>
      </c>
      <c r="F1398" s="2" t="s">
        <v>2957</v>
      </c>
      <c r="G1398" s="2" t="s">
        <v>2170</v>
      </c>
      <c r="H1398" s="2" t="s">
        <v>6</v>
      </c>
      <c r="I1398" s="2" t="s">
        <v>15</v>
      </c>
      <c r="J1398" s="2" t="s">
        <v>2965</v>
      </c>
      <c r="K1398" s="2" t="s">
        <v>2959</v>
      </c>
      <c r="L1398" s="2" t="s">
        <v>3180</v>
      </c>
      <c r="M1398" s="3">
        <v>1</v>
      </c>
      <c r="N1398" s="3">
        <v>1</v>
      </c>
      <c r="P1398" s="2" t="s">
        <v>2966</v>
      </c>
    </row>
    <row r="1399" spans="1:16" ht="13">
      <c r="A1399" s="2" t="s">
        <v>4</v>
      </c>
      <c r="B1399" s="2" t="str">
        <f t="shared" si="21"/>
        <v>23-24 Academic Year</v>
      </c>
      <c r="C1399" s="2">
        <v>51</v>
      </c>
      <c r="D1399" s="2" t="s">
        <v>3179</v>
      </c>
      <c r="E1399" s="10">
        <v>45396</v>
      </c>
      <c r="F1399" s="2" t="s">
        <v>2957</v>
      </c>
      <c r="G1399" s="2" t="s">
        <v>2170</v>
      </c>
      <c r="H1399" s="2" t="s">
        <v>6</v>
      </c>
      <c r="I1399" s="2" t="s">
        <v>15</v>
      </c>
      <c r="J1399" s="2" t="s">
        <v>2967</v>
      </c>
      <c r="K1399" s="2" t="s">
        <v>2959</v>
      </c>
      <c r="L1399" s="2" t="s">
        <v>3180</v>
      </c>
      <c r="M1399" s="3">
        <v>1</v>
      </c>
      <c r="N1399" s="3">
        <v>1</v>
      </c>
      <c r="P1399" s="2" t="s">
        <v>2968</v>
      </c>
    </row>
    <row r="1400" spans="1:16" ht="13">
      <c r="A1400" s="2" t="s">
        <v>4</v>
      </c>
      <c r="B1400" s="2" t="str">
        <f t="shared" si="21"/>
        <v>23-24 Academic Year</v>
      </c>
      <c r="C1400" s="2">
        <v>52</v>
      </c>
      <c r="D1400" s="2" t="s">
        <v>3118</v>
      </c>
      <c r="E1400" s="10">
        <v>45403</v>
      </c>
      <c r="F1400" s="2" t="s">
        <v>3118</v>
      </c>
      <c r="G1400" s="2" t="s">
        <v>2988</v>
      </c>
      <c r="H1400" s="2" t="s">
        <v>8</v>
      </c>
      <c r="I1400" s="2" t="s">
        <v>3119</v>
      </c>
      <c r="J1400" s="2" t="s">
        <v>3120</v>
      </c>
      <c r="K1400" s="2" t="s">
        <v>3121</v>
      </c>
      <c r="L1400" s="2" t="s">
        <v>3122</v>
      </c>
      <c r="M1400" s="3">
        <v>3</v>
      </c>
      <c r="N1400" s="3">
        <v>2</v>
      </c>
      <c r="P1400" s="2" t="s">
        <v>3123</v>
      </c>
    </row>
    <row r="1401" spans="1:16" ht="13">
      <c r="A1401" s="2" t="s">
        <v>4</v>
      </c>
      <c r="B1401" s="2" t="str">
        <f t="shared" si="21"/>
        <v>23-24 Academic Year</v>
      </c>
      <c r="C1401" s="2">
        <v>52</v>
      </c>
      <c r="D1401" s="2" t="s">
        <v>2944</v>
      </c>
      <c r="E1401" s="10">
        <v>45396</v>
      </c>
      <c r="F1401" s="2" t="s">
        <v>2940</v>
      </c>
      <c r="G1401" s="2" t="s">
        <v>2170</v>
      </c>
      <c r="H1401" s="2" t="s">
        <v>6</v>
      </c>
      <c r="I1401" s="2" t="s">
        <v>15</v>
      </c>
      <c r="J1401" s="2" t="s">
        <v>2941</v>
      </c>
      <c r="K1401" s="2" t="s">
        <v>2942</v>
      </c>
      <c r="L1401" s="2" t="s">
        <v>2943</v>
      </c>
      <c r="M1401" s="3">
        <v>999</v>
      </c>
      <c r="N1401" s="3">
        <v>999</v>
      </c>
      <c r="O1401" s="2" t="s">
        <v>2944</v>
      </c>
      <c r="P1401" s="2" t="s">
        <v>2945</v>
      </c>
    </row>
    <row r="1402" spans="1:16" ht="13">
      <c r="A1402" s="2" t="s">
        <v>4</v>
      </c>
      <c r="B1402" s="2" t="str">
        <f t="shared" si="21"/>
        <v>23-24 Academic Year</v>
      </c>
      <c r="C1402" s="2">
        <v>52</v>
      </c>
      <c r="D1402" s="2" t="s">
        <v>3118</v>
      </c>
      <c r="E1402" s="10">
        <v>45403</v>
      </c>
      <c r="F1402" s="2" t="s">
        <v>3118</v>
      </c>
      <c r="G1402" s="2" t="s">
        <v>2988</v>
      </c>
      <c r="H1402" s="2" t="s">
        <v>8</v>
      </c>
      <c r="I1402" s="2" t="s">
        <v>3119</v>
      </c>
      <c r="J1402" s="2" t="s">
        <v>3124</v>
      </c>
      <c r="K1402" s="2" t="s">
        <v>679</v>
      </c>
      <c r="L1402" s="2" t="s">
        <v>679</v>
      </c>
      <c r="M1402" s="3">
        <v>999</v>
      </c>
      <c r="N1402" s="3">
        <v>999</v>
      </c>
      <c r="P1402" s="2" t="s">
        <v>3125</v>
      </c>
    </row>
    <row r="1403" spans="1:16" ht="13">
      <c r="A1403" s="2" t="s">
        <v>4</v>
      </c>
      <c r="B1403" s="2" t="str">
        <f t="shared" si="21"/>
        <v>23-24 Academic Year</v>
      </c>
      <c r="C1403" s="2">
        <v>52</v>
      </c>
      <c r="D1403" s="2" t="s">
        <v>3118</v>
      </c>
      <c r="E1403" s="10">
        <v>45403</v>
      </c>
      <c r="F1403" s="2" t="s">
        <v>3118</v>
      </c>
      <c r="G1403" s="2" t="s">
        <v>2988</v>
      </c>
      <c r="H1403" s="2" t="s">
        <v>8</v>
      </c>
      <c r="I1403" s="2" t="s">
        <v>3119</v>
      </c>
      <c r="J1403" s="2" t="s">
        <v>3126</v>
      </c>
      <c r="K1403" s="2" t="s">
        <v>1091</v>
      </c>
      <c r="L1403" s="2" t="s">
        <v>4009</v>
      </c>
      <c r="M1403" s="3">
        <v>1</v>
      </c>
      <c r="N1403" s="3">
        <v>2</v>
      </c>
      <c r="P1403" s="2" t="s">
        <v>3127</v>
      </c>
    </row>
    <row r="1404" spans="1:16" ht="13">
      <c r="A1404" s="2" t="s">
        <v>4</v>
      </c>
      <c r="B1404" s="2" t="str">
        <f t="shared" si="21"/>
        <v>23-24 Academic Year</v>
      </c>
      <c r="C1404" s="2">
        <v>52</v>
      </c>
      <c r="D1404" s="2" t="s">
        <v>3118</v>
      </c>
      <c r="E1404" s="10">
        <v>45403</v>
      </c>
      <c r="F1404" s="2" t="s">
        <v>3118</v>
      </c>
      <c r="G1404" s="2" t="s">
        <v>2988</v>
      </c>
      <c r="H1404" s="2" t="s">
        <v>8</v>
      </c>
      <c r="I1404" s="2" t="s">
        <v>3119</v>
      </c>
      <c r="J1404" s="2" t="s">
        <v>3128</v>
      </c>
      <c r="K1404" s="2" t="s">
        <v>2924</v>
      </c>
      <c r="L1404" s="2" t="s">
        <v>5104</v>
      </c>
      <c r="M1404" s="3">
        <v>3</v>
      </c>
      <c r="N1404" s="3">
        <v>2</v>
      </c>
      <c r="P1404" s="2" t="s">
        <v>3129</v>
      </c>
    </row>
    <row r="1405" spans="1:16" ht="13">
      <c r="A1405" s="2" t="s">
        <v>4</v>
      </c>
      <c r="B1405" s="2" t="str">
        <f t="shared" si="21"/>
        <v>23-24 Academic Year</v>
      </c>
      <c r="C1405" s="2">
        <v>52</v>
      </c>
      <c r="D1405" s="2" t="s">
        <v>3118</v>
      </c>
      <c r="E1405" s="10">
        <v>45403</v>
      </c>
      <c r="F1405" s="2" t="s">
        <v>3118</v>
      </c>
      <c r="G1405" s="2" t="s">
        <v>2988</v>
      </c>
      <c r="H1405" s="2" t="s">
        <v>8</v>
      </c>
      <c r="I1405" s="2" t="s">
        <v>3119</v>
      </c>
      <c r="J1405" s="2" t="s">
        <v>3130</v>
      </c>
      <c r="K1405" s="2" t="s">
        <v>2924</v>
      </c>
      <c r="L1405" s="2" t="s">
        <v>5104</v>
      </c>
      <c r="M1405" s="3">
        <v>3</v>
      </c>
      <c r="N1405" s="3">
        <v>2</v>
      </c>
      <c r="P1405" s="2" t="s">
        <v>3131</v>
      </c>
    </row>
    <row r="1406" spans="1:16" ht="13">
      <c r="A1406" s="2" t="s">
        <v>4</v>
      </c>
      <c r="B1406" s="2" t="str">
        <f t="shared" si="21"/>
        <v>23-24 Academic Year</v>
      </c>
      <c r="C1406" s="2">
        <v>52</v>
      </c>
      <c r="D1406" s="2" t="s">
        <v>3118</v>
      </c>
      <c r="E1406" s="10">
        <v>45403</v>
      </c>
      <c r="F1406" s="2" t="s">
        <v>3118</v>
      </c>
      <c r="G1406" s="2" t="s">
        <v>2988</v>
      </c>
      <c r="H1406" s="2" t="s">
        <v>8</v>
      </c>
      <c r="I1406" s="2" t="s">
        <v>3119</v>
      </c>
      <c r="J1406" s="2" t="s">
        <v>3132</v>
      </c>
      <c r="K1406" s="2" t="s">
        <v>2924</v>
      </c>
      <c r="L1406" s="2" t="s">
        <v>5104</v>
      </c>
      <c r="M1406" s="3">
        <v>3</v>
      </c>
      <c r="N1406" s="3">
        <v>2</v>
      </c>
      <c r="P1406" s="2" t="s">
        <v>3133</v>
      </c>
    </row>
    <row r="1407" spans="1:16" ht="13">
      <c r="A1407" s="2" t="s">
        <v>4</v>
      </c>
      <c r="B1407" s="2" t="str">
        <f t="shared" si="21"/>
        <v>23-24 Academic Year</v>
      </c>
      <c r="C1407" s="2">
        <v>52</v>
      </c>
      <c r="D1407" s="2" t="s">
        <v>3118</v>
      </c>
      <c r="E1407" s="10">
        <v>45403</v>
      </c>
      <c r="F1407" s="2" t="s">
        <v>3118</v>
      </c>
      <c r="G1407" s="2" t="s">
        <v>2988</v>
      </c>
      <c r="H1407" s="2" t="s">
        <v>8</v>
      </c>
      <c r="I1407" s="2" t="s">
        <v>3119</v>
      </c>
      <c r="J1407" s="2" t="s">
        <v>3134</v>
      </c>
      <c r="K1407" s="2" t="s">
        <v>3135</v>
      </c>
      <c r="L1407" s="2" t="s">
        <v>5120</v>
      </c>
      <c r="M1407" s="3">
        <v>3</v>
      </c>
      <c r="N1407" s="3">
        <v>2</v>
      </c>
      <c r="P1407" s="2" t="s">
        <v>3136</v>
      </c>
    </row>
    <row r="1408" spans="1:16" ht="13">
      <c r="A1408" s="2" t="s">
        <v>4</v>
      </c>
      <c r="B1408" s="2" t="str">
        <f t="shared" si="21"/>
        <v>23-24 Academic Year</v>
      </c>
      <c r="C1408" s="2">
        <v>52</v>
      </c>
      <c r="D1408" s="2" t="s">
        <v>2944</v>
      </c>
      <c r="E1408" s="10">
        <v>45396</v>
      </c>
      <c r="F1408" s="2" t="s">
        <v>2940</v>
      </c>
      <c r="G1408" s="2" t="s">
        <v>2170</v>
      </c>
      <c r="H1408" s="2" t="s">
        <v>6</v>
      </c>
      <c r="I1408" s="2" t="s">
        <v>15</v>
      </c>
      <c r="J1408" s="2" t="s">
        <v>2946</v>
      </c>
      <c r="K1408" s="2" t="s">
        <v>2944</v>
      </c>
      <c r="L1408" s="2" t="s">
        <v>5121</v>
      </c>
      <c r="M1408" s="3">
        <v>3</v>
      </c>
      <c r="N1408" s="3">
        <v>1</v>
      </c>
      <c r="P1408" s="2" t="s">
        <v>2947</v>
      </c>
    </row>
    <row r="1409" spans="1:16" ht="13">
      <c r="A1409" s="2" t="s">
        <v>4</v>
      </c>
      <c r="B1409" s="2" t="str">
        <f t="shared" si="21"/>
        <v>23-24 Academic Year</v>
      </c>
      <c r="C1409" s="2">
        <v>52</v>
      </c>
      <c r="D1409" s="2" t="s">
        <v>3118</v>
      </c>
      <c r="E1409" s="10">
        <v>45403</v>
      </c>
      <c r="F1409" s="2" t="s">
        <v>3118</v>
      </c>
      <c r="G1409" s="2" t="s">
        <v>2988</v>
      </c>
      <c r="H1409" s="2" t="s">
        <v>8</v>
      </c>
      <c r="I1409" s="2" t="s">
        <v>3119</v>
      </c>
      <c r="J1409" s="2" t="s">
        <v>2946</v>
      </c>
      <c r="K1409" s="2" t="s">
        <v>3137</v>
      </c>
      <c r="L1409" s="2" t="s">
        <v>3988</v>
      </c>
      <c r="M1409" s="3">
        <v>1</v>
      </c>
      <c r="N1409" s="3">
        <v>2</v>
      </c>
      <c r="P1409" s="2" t="s">
        <v>3138</v>
      </c>
    </row>
    <row r="1410" spans="1:16" ht="13">
      <c r="A1410" s="2" t="s">
        <v>4</v>
      </c>
      <c r="B1410" s="2" t="str">
        <f t="shared" si="21"/>
        <v>23-24 Academic Year</v>
      </c>
      <c r="C1410" s="2">
        <v>52</v>
      </c>
      <c r="D1410" s="2" t="s">
        <v>2944</v>
      </c>
      <c r="E1410" s="10">
        <v>45396</v>
      </c>
      <c r="F1410" s="2" t="s">
        <v>2940</v>
      </c>
      <c r="G1410" s="2" t="s">
        <v>2170</v>
      </c>
      <c r="H1410" s="2" t="s">
        <v>6</v>
      </c>
      <c r="I1410" s="2" t="s">
        <v>15</v>
      </c>
      <c r="J1410" s="2" t="s">
        <v>2948</v>
      </c>
      <c r="K1410" s="2" t="s">
        <v>2944</v>
      </c>
      <c r="L1410" s="2" t="s">
        <v>5121</v>
      </c>
      <c r="M1410" s="3">
        <v>3</v>
      </c>
      <c r="N1410" s="3">
        <v>1</v>
      </c>
      <c r="P1410" s="2" t="s">
        <v>2949</v>
      </c>
    </row>
    <row r="1411" spans="1:16" ht="13">
      <c r="A1411" s="2" t="s">
        <v>4</v>
      </c>
      <c r="B1411" s="2" t="str">
        <f t="shared" ref="B1411:B1474" si="22">RIGHT(TEXT(IF(LEFT(A1411,4)="Fall",VALUE(RIGHT(A1411,4)),VALUE(RIGHT(A1411,4))-1),"00"),2)
 &amp; "-" &amp;
 RIGHT(TEXT(IF(LEFT(A1411,4)="Fall",VALUE(RIGHT(A1411,4))+1,VALUE(RIGHT(A1411,4))),"00"),2)
 &amp; " Academic Year"</f>
        <v>23-24 Academic Year</v>
      </c>
      <c r="C1411" s="2">
        <v>52</v>
      </c>
      <c r="D1411" s="2" t="s">
        <v>3118</v>
      </c>
      <c r="E1411" s="10">
        <v>45403</v>
      </c>
      <c r="F1411" s="2" t="s">
        <v>3118</v>
      </c>
      <c r="G1411" s="2" t="s">
        <v>2988</v>
      </c>
      <c r="H1411" s="2" t="s">
        <v>8</v>
      </c>
      <c r="I1411" s="2" t="s">
        <v>3119</v>
      </c>
      <c r="J1411" s="2" t="s">
        <v>2948</v>
      </c>
      <c r="K1411" s="2" t="s">
        <v>3139</v>
      </c>
      <c r="L1411" s="2" t="s">
        <v>3076</v>
      </c>
      <c r="M1411" s="3">
        <v>3</v>
      </c>
      <c r="N1411" s="3">
        <v>2</v>
      </c>
      <c r="P1411" s="2" t="s">
        <v>3140</v>
      </c>
    </row>
    <row r="1412" spans="1:16" ht="13">
      <c r="A1412" s="2" t="s">
        <v>4</v>
      </c>
      <c r="B1412" s="2" t="str">
        <f t="shared" si="22"/>
        <v>23-24 Academic Year</v>
      </c>
      <c r="C1412" s="2">
        <v>53</v>
      </c>
      <c r="D1412" s="2" t="s">
        <v>2974</v>
      </c>
      <c r="E1412" s="10">
        <v>45396</v>
      </c>
      <c r="F1412" s="2" t="s">
        <v>2969</v>
      </c>
      <c r="G1412" s="2" t="s">
        <v>2170</v>
      </c>
      <c r="H1412" s="2" t="s">
        <v>6</v>
      </c>
      <c r="I1412" s="2" t="s">
        <v>2922</v>
      </c>
      <c r="J1412" s="2" t="s">
        <v>2970</v>
      </c>
      <c r="K1412" s="2" t="s">
        <v>2971</v>
      </c>
      <c r="L1412" s="2" t="s">
        <v>5122</v>
      </c>
      <c r="M1412" s="3">
        <v>3</v>
      </c>
      <c r="N1412" s="3">
        <v>2</v>
      </c>
      <c r="P1412" s="2" t="s">
        <v>2972</v>
      </c>
    </row>
    <row r="1413" spans="1:16" ht="13">
      <c r="A1413" s="2" t="s">
        <v>4</v>
      </c>
      <c r="B1413" s="2" t="str">
        <f t="shared" si="22"/>
        <v>23-24 Academic Year</v>
      </c>
      <c r="C1413" s="2">
        <v>53</v>
      </c>
      <c r="D1413" s="2" t="s">
        <v>5123</v>
      </c>
      <c r="E1413" s="10">
        <v>45403</v>
      </c>
      <c r="F1413" s="2" t="s">
        <v>3108</v>
      </c>
      <c r="G1413" s="2" t="s">
        <v>2226</v>
      </c>
      <c r="H1413" s="2" t="s">
        <v>6</v>
      </c>
      <c r="I1413" s="2" t="s">
        <v>728</v>
      </c>
      <c r="J1413" s="2" t="s">
        <v>2970</v>
      </c>
      <c r="K1413" s="2" t="s">
        <v>3109</v>
      </c>
      <c r="L1413" s="2" t="s">
        <v>3110</v>
      </c>
      <c r="M1413" s="3">
        <v>2</v>
      </c>
      <c r="N1413" s="3">
        <v>2</v>
      </c>
      <c r="P1413" s="2" t="s">
        <v>3111</v>
      </c>
    </row>
    <row r="1414" spans="1:16" ht="13">
      <c r="A1414" s="2" t="s">
        <v>4</v>
      </c>
      <c r="B1414" s="2" t="str">
        <f t="shared" si="22"/>
        <v>23-24 Academic Year</v>
      </c>
      <c r="C1414" s="2">
        <v>53</v>
      </c>
      <c r="D1414" s="2" t="s">
        <v>2974</v>
      </c>
      <c r="E1414" s="10">
        <v>45396</v>
      </c>
      <c r="F1414" s="2" t="s">
        <v>2969</v>
      </c>
      <c r="G1414" s="2" t="s">
        <v>2170</v>
      </c>
      <c r="H1414" s="2" t="s">
        <v>6</v>
      </c>
      <c r="I1414" s="2" t="s">
        <v>2922</v>
      </c>
      <c r="J1414" s="2" t="s">
        <v>2973</v>
      </c>
      <c r="K1414" s="2" t="s">
        <v>2974</v>
      </c>
      <c r="L1414" s="2" t="s">
        <v>5124</v>
      </c>
      <c r="M1414" s="3">
        <v>1</v>
      </c>
      <c r="N1414" s="3">
        <v>1</v>
      </c>
      <c r="P1414" s="2" t="s">
        <v>2975</v>
      </c>
    </row>
    <row r="1415" spans="1:16" ht="13">
      <c r="A1415" s="2" t="s">
        <v>4</v>
      </c>
      <c r="B1415" s="2" t="str">
        <f t="shared" si="22"/>
        <v>23-24 Academic Year</v>
      </c>
      <c r="C1415" s="2">
        <v>53</v>
      </c>
      <c r="D1415" s="2" t="s">
        <v>5123</v>
      </c>
      <c r="E1415" s="10">
        <v>45403</v>
      </c>
      <c r="F1415" s="2" t="s">
        <v>3108</v>
      </c>
      <c r="G1415" s="2" t="s">
        <v>2226</v>
      </c>
      <c r="H1415" s="2" t="s">
        <v>6</v>
      </c>
      <c r="I1415" s="2" t="s">
        <v>728</v>
      </c>
      <c r="J1415" s="2" t="s">
        <v>2973</v>
      </c>
      <c r="K1415" s="2" t="s">
        <v>2900</v>
      </c>
      <c r="L1415" s="2" t="s">
        <v>4869</v>
      </c>
      <c r="M1415" s="3">
        <v>1</v>
      </c>
      <c r="N1415" s="3">
        <v>2</v>
      </c>
      <c r="P1415" s="2" t="s">
        <v>3112</v>
      </c>
    </row>
    <row r="1416" spans="1:16" ht="13">
      <c r="A1416" s="2" t="s">
        <v>4</v>
      </c>
      <c r="B1416" s="2" t="str">
        <f t="shared" si="22"/>
        <v>23-24 Academic Year</v>
      </c>
      <c r="C1416" s="2">
        <v>53</v>
      </c>
      <c r="D1416" s="2" t="s">
        <v>2974</v>
      </c>
      <c r="E1416" s="10">
        <v>45396</v>
      </c>
      <c r="F1416" s="2" t="s">
        <v>2969</v>
      </c>
      <c r="G1416" s="2" t="s">
        <v>2170</v>
      </c>
      <c r="H1416" s="2" t="s">
        <v>6</v>
      </c>
      <c r="I1416" s="2" t="s">
        <v>2922</v>
      </c>
      <c r="J1416" s="2" t="s">
        <v>2976</v>
      </c>
      <c r="K1416" s="2" t="s">
        <v>75</v>
      </c>
      <c r="L1416" s="2" t="s">
        <v>1275</v>
      </c>
      <c r="M1416" s="3">
        <v>3</v>
      </c>
      <c r="N1416" s="3">
        <v>1</v>
      </c>
      <c r="O1416" s="2" t="s">
        <v>2974</v>
      </c>
      <c r="P1416" s="2" t="s">
        <v>2977</v>
      </c>
    </row>
    <row r="1417" spans="1:16" ht="13">
      <c r="A1417" s="2" t="s">
        <v>4</v>
      </c>
      <c r="B1417" s="2" t="str">
        <f t="shared" si="22"/>
        <v>23-24 Academic Year</v>
      </c>
      <c r="C1417" s="2">
        <v>53</v>
      </c>
      <c r="D1417" s="2" t="s">
        <v>5123</v>
      </c>
      <c r="E1417" s="10">
        <v>45403</v>
      </c>
      <c r="F1417" s="2" t="s">
        <v>3108</v>
      </c>
      <c r="G1417" s="2" t="s">
        <v>2170</v>
      </c>
      <c r="H1417" s="2" t="s">
        <v>6</v>
      </c>
      <c r="I1417" s="2" t="s">
        <v>728</v>
      </c>
      <c r="J1417" s="2" t="s">
        <v>2976</v>
      </c>
      <c r="K1417" s="2" t="s">
        <v>722</v>
      </c>
      <c r="L1417" s="2" t="s">
        <v>1266</v>
      </c>
      <c r="M1417" s="3">
        <v>4</v>
      </c>
      <c r="N1417" s="3">
        <v>1</v>
      </c>
      <c r="P1417" s="2" t="s">
        <v>3113</v>
      </c>
    </row>
    <row r="1418" spans="1:16" ht="13">
      <c r="A1418" s="2" t="s">
        <v>4</v>
      </c>
      <c r="B1418" s="2" t="str">
        <f t="shared" si="22"/>
        <v>23-24 Academic Year</v>
      </c>
      <c r="C1418" s="2">
        <v>53</v>
      </c>
      <c r="D1418" s="2" t="s">
        <v>2974</v>
      </c>
      <c r="E1418" s="10">
        <v>45396</v>
      </c>
      <c r="F1418" s="2" t="s">
        <v>2969</v>
      </c>
      <c r="G1418" s="2" t="s">
        <v>2170</v>
      </c>
      <c r="H1418" s="2" t="s">
        <v>6</v>
      </c>
      <c r="I1418" s="2" t="s">
        <v>2922</v>
      </c>
      <c r="J1418" s="2" t="s">
        <v>2978</v>
      </c>
      <c r="K1418" s="2" t="s">
        <v>2979</v>
      </c>
      <c r="L1418" s="2" t="s">
        <v>5125</v>
      </c>
      <c r="M1418" s="3">
        <v>3</v>
      </c>
      <c r="N1418" s="3">
        <v>1</v>
      </c>
      <c r="P1418" s="2" t="s">
        <v>2980</v>
      </c>
    </row>
    <row r="1419" spans="1:16" ht="13">
      <c r="A1419" s="2" t="s">
        <v>4</v>
      </c>
      <c r="B1419" s="2" t="str">
        <f t="shared" si="22"/>
        <v>23-24 Academic Year</v>
      </c>
      <c r="C1419" s="2">
        <v>53</v>
      </c>
      <c r="D1419" s="2" t="s">
        <v>5123</v>
      </c>
      <c r="E1419" s="10">
        <v>45403</v>
      </c>
      <c r="F1419" s="2" t="s">
        <v>3108</v>
      </c>
      <c r="G1419" s="2" t="s">
        <v>2170</v>
      </c>
      <c r="H1419" s="2" t="s">
        <v>6</v>
      </c>
      <c r="I1419" s="2" t="s">
        <v>728</v>
      </c>
      <c r="J1419" s="2" t="s">
        <v>2978</v>
      </c>
      <c r="K1419" s="2" t="s">
        <v>567</v>
      </c>
      <c r="L1419" s="2" t="s">
        <v>2026</v>
      </c>
      <c r="M1419" s="3">
        <v>2</v>
      </c>
      <c r="N1419" s="3">
        <v>1</v>
      </c>
      <c r="P1419" s="2" t="s">
        <v>3114</v>
      </c>
    </row>
    <row r="1420" spans="1:16" ht="13">
      <c r="A1420" s="2" t="s">
        <v>4</v>
      </c>
      <c r="B1420" s="2" t="str">
        <f t="shared" si="22"/>
        <v>23-24 Academic Year</v>
      </c>
      <c r="C1420" s="2">
        <v>53</v>
      </c>
      <c r="D1420" s="2" t="s">
        <v>2974</v>
      </c>
      <c r="E1420" s="10">
        <v>45396</v>
      </c>
      <c r="F1420" s="2" t="s">
        <v>2969</v>
      </c>
      <c r="G1420" s="2" t="s">
        <v>2170</v>
      </c>
      <c r="H1420" s="2" t="s">
        <v>6</v>
      </c>
      <c r="I1420" s="2" t="s">
        <v>2922</v>
      </c>
      <c r="J1420" s="2" t="s">
        <v>2981</v>
      </c>
      <c r="K1420" s="2" t="s">
        <v>2523</v>
      </c>
      <c r="L1420" s="2" t="s">
        <v>5063</v>
      </c>
      <c r="M1420" s="3">
        <v>3</v>
      </c>
      <c r="N1420" s="3">
        <v>1</v>
      </c>
      <c r="P1420" s="2" t="s">
        <v>2982</v>
      </c>
    </row>
    <row r="1421" spans="1:16" ht="13">
      <c r="A1421" s="2" t="s">
        <v>4</v>
      </c>
      <c r="B1421" s="2" t="str">
        <f t="shared" si="22"/>
        <v>23-24 Academic Year</v>
      </c>
      <c r="C1421" s="2">
        <v>53</v>
      </c>
      <c r="D1421" s="2" t="s">
        <v>5123</v>
      </c>
      <c r="E1421" s="10">
        <v>45403</v>
      </c>
      <c r="F1421" s="2" t="s">
        <v>3108</v>
      </c>
      <c r="G1421" s="2" t="s">
        <v>2170</v>
      </c>
      <c r="H1421" s="2" t="s">
        <v>6</v>
      </c>
      <c r="I1421" s="2" t="s">
        <v>728</v>
      </c>
      <c r="J1421" s="2" t="s">
        <v>2981</v>
      </c>
      <c r="K1421" s="2" t="s">
        <v>3115</v>
      </c>
      <c r="L1421" s="2" t="s">
        <v>5126</v>
      </c>
      <c r="M1421" s="3">
        <v>1</v>
      </c>
      <c r="N1421" s="3">
        <v>2</v>
      </c>
      <c r="P1421" s="2" t="s">
        <v>3114</v>
      </c>
    </row>
    <row r="1422" spans="1:16" ht="13">
      <c r="A1422" s="2" t="s">
        <v>4</v>
      </c>
      <c r="B1422" s="2" t="str">
        <f t="shared" si="22"/>
        <v>23-24 Academic Year</v>
      </c>
      <c r="C1422" s="2">
        <v>53</v>
      </c>
      <c r="D1422" s="2" t="s">
        <v>2974</v>
      </c>
      <c r="E1422" s="10">
        <v>45396</v>
      </c>
      <c r="F1422" s="2" t="s">
        <v>2969</v>
      </c>
      <c r="G1422" s="2" t="s">
        <v>2170</v>
      </c>
      <c r="H1422" s="2" t="s">
        <v>6</v>
      </c>
      <c r="I1422" s="2" t="s">
        <v>2922</v>
      </c>
      <c r="J1422" s="2" t="s">
        <v>2983</v>
      </c>
      <c r="K1422" s="2" t="s">
        <v>2974</v>
      </c>
      <c r="L1422" s="2" t="s">
        <v>5124</v>
      </c>
      <c r="M1422" s="3">
        <v>1</v>
      </c>
      <c r="N1422" s="3">
        <v>1</v>
      </c>
      <c r="P1422" s="2" t="s">
        <v>2984</v>
      </c>
    </row>
    <row r="1423" spans="1:16" ht="13">
      <c r="A1423" s="2" t="s">
        <v>4</v>
      </c>
      <c r="B1423" s="2" t="str">
        <f t="shared" si="22"/>
        <v>23-24 Academic Year</v>
      </c>
      <c r="C1423" s="2">
        <v>53</v>
      </c>
      <c r="D1423" s="2" t="s">
        <v>5123</v>
      </c>
      <c r="E1423" s="10">
        <v>45403</v>
      </c>
      <c r="F1423" s="2" t="s">
        <v>3108</v>
      </c>
      <c r="G1423" s="2" t="s">
        <v>2170</v>
      </c>
      <c r="H1423" s="2" t="s">
        <v>6</v>
      </c>
      <c r="I1423" s="2" t="s">
        <v>728</v>
      </c>
      <c r="J1423" s="2" t="s">
        <v>2983</v>
      </c>
      <c r="K1423" s="2" t="s">
        <v>3116</v>
      </c>
      <c r="L1423" s="2" t="s">
        <v>4366</v>
      </c>
      <c r="M1423" s="3">
        <v>2</v>
      </c>
      <c r="N1423" s="3">
        <v>1</v>
      </c>
      <c r="P1423" s="2" t="s">
        <v>3117</v>
      </c>
    </row>
    <row r="1424" spans="1:16" ht="13">
      <c r="A1424" s="2" t="s">
        <v>4</v>
      </c>
      <c r="B1424" s="2" t="str">
        <f t="shared" si="22"/>
        <v>23-24 Academic Year</v>
      </c>
      <c r="C1424" s="2">
        <v>53</v>
      </c>
      <c r="D1424" s="2" t="s">
        <v>2974</v>
      </c>
      <c r="E1424" s="10">
        <v>45396</v>
      </c>
      <c r="F1424" s="2" t="s">
        <v>2969</v>
      </c>
      <c r="G1424" s="2" t="s">
        <v>2170</v>
      </c>
      <c r="H1424" s="2" t="s">
        <v>6</v>
      </c>
      <c r="I1424" s="2" t="s">
        <v>2922</v>
      </c>
      <c r="J1424" s="2" t="s">
        <v>2985</v>
      </c>
      <c r="K1424" s="2" t="s">
        <v>364</v>
      </c>
      <c r="L1424" s="2" t="s">
        <v>2609</v>
      </c>
      <c r="M1424" s="3">
        <v>3</v>
      </c>
      <c r="N1424" s="3">
        <v>2</v>
      </c>
      <c r="O1424" s="2" t="s">
        <v>2986</v>
      </c>
      <c r="P1424" s="2" t="s">
        <v>2987</v>
      </c>
    </row>
    <row r="1425" spans="1:16" ht="13">
      <c r="A1425" s="2" t="s">
        <v>4</v>
      </c>
      <c r="B1425" s="2" t="str">
        <f t="shared" si="22"/>
        <v>23-24 Academic Year</v>
      </c>
      <c r="C1425" s="2">
        <v>54</v>
      </c>
      <c r="D1425" s="2" t="s">
        <v>2988</v>
      </c>
      <c r="E1425" s="10">
        <v>45397</v>
      </c>
      <c r="F1425" s="2" t="s">
        <v>2989</v>
      </c>
      <c r="G1425" s="2" t="s">
        <v>2339</v>
      </c>
      <c r="H1425" s="2" t="s">
        <v>8</v>
      </c>
      <c r="I1425" s="2" t="s">
        <v>2990</v>
      </c>
      <c r="J1425" s="2" t="s">
        <v>2991</v>
      </c>
      <c r="K1425" s="2" t="s">
        <v>2992</v>
      </c>
      <c r="L1425" s="2" t="s">
        <v>5127</v>
      </c>
      <c r="M1425" s="3">
        <v>1</v>
      </c>
      <c r="N1425" s="3">
        <v>2</v>
      </c>
      <c r="P1425" s="2" t="s">
        <v>2993</v>
      </c>
    </row>
    <row r="1426" spans="1:16" ht="13">
      <c r="A1426" s="2" t="s">
        <v>4</v>
      </c>
      <c r="B1426" s="2" t="str">
        <f t="shared" si="22"/>
        <v>23-24 Academic Year</v>
      </c>
      <c r="C1426" s="2">
        <v>54</v>
      </c>
      <c r="D1426" s="2" t="s">
        <v>2990</v>
      </c>
      <c r="E1426" s="10">
        <v>45404</v>
      </c>
      <c r="F1426" s="2" t="s">
        <v>3149</v>
      </c>
      <c r="G1426" s="2" t="s">
        <v>2339</v>
      </c>
      <c r="H1426" s="2" t="s">
        <v>8</v>
      </c>
      <c r="I1426" s="2" t="s">
        <v>2990</v>
      </c>
      <c r="J1426" s="2" t="s">
        <v>2991</v>
      </c>
      <c r="K1426" s="2" t="s">
        <v>3150</v>
      </c>
      <c r="L1426" s="2" t="s">
        <v>5128</v>
      </c>
      <c r="M1426" s="3">
        <v>1</v>
      </c>
      <c r="N1426" s="3">
        <v>2</v>
      </c>
      <c r="P1426" s="2" t="s">
        <v>3151</v>
      </c>
    </row>
    <row r="1427" spans="1:16" ht="13">
      <c r="A1427" s="2" t="s">
        <v>4</v>
      </c>
      <c r="B1427" s="2" t="str">
        <f t="shared" si="22"/>
        <v>23-24 Academic Year</v>
      </c>
      <c r="C1427" s="2">
        <v>54</v>
      </c>
      <c r="D1427" s="2" t="s">
        <v>2988</v>
      </c>
      <c r="E1427" s="10">
        <v>45397</v>
      </c>
      <c r="F1427" s="2" t="s">
        <v>2989</v>
      </c>
      <c r="G1427" s="2" t="s">
        <v>2339</v>
      </c>
      <c r="H1427" s="2" t="s">
        <v>8</v>
      </c>
      <c r="I1427" s="2" t="s">
        <v>2990</v>
      </c>
      <c r="J1427" s="2" t="s">
        <v>2994</v>
      </c>
      <c r="K1427" s="2" t="s">
        <v>2995</v>
      </c>
      <c r="L1427" s="2" t="s">
        <v>2996</v>
      </c>
      <c r="M1427" s="3">
        <v>1</v>
      </c>
      <c r="N1427" s="3">
        <v>2</v>
      </c>
      <c r="P1427" s="2" t="s">
        <v>2997</v>
      </c>
    </row>
    <row r="1428" spans="1:16" ht="13">
      <c r="A1428" s="2" t="s">
        <v>4</v>
      </c>
      <c r="B1428" s="2" t="str">
        <f t="shared" si="22"/>
        <v>23-24 Academic Year</v>
      </c>
      <c r="C1428" s="2">
        <v>54</v>
      </c>
      <c r="D1428" s="2" t="s">
        <v>2990</v>
      </c>
      <c r="E1428" s="10">
        <v>45404</v>
      </c>
      <c r="F1428" s="2" t="s">
        <v>3149</v>
      </c>
      <c r="G1428" s="2" t="s">
        <v>2339</v>
      </c>
      <c r="H1428" s="2" t="s">
        <v>8</v>
      </c>
      <c r="I1428" s="2" t="s">
        <v>2990</v>
      </c>
      <c r="J1428" s="2" t="s">
        <v>2994</v>
      </c>
      <c r="K1428" s="2" t="s">
        <v>3152</v>
      </c>
      <c r="L1428" s="2" t="s">
        <v>2996</v>
      </c>
      <c r="M1428" s="3">
        <v>1</v>
      </c>
      <c r="N1428" s="3">
        <v>2</v>
      </c>
      <c r="P1428" s="2" t="s">
        <v>2997</v>
      </c>
    </row>
    <row r="1429" spans="1:16" ht="13">
      <c r="A1429" s="2" t="s">
        <v>4</v>
      </c>
      <c r="B1429" s="2" t="str">
        <f t="shared" si="22"/>
        <v>23-24 Academic Year</v>
      </c>
      <c r="C1429" s="2">
        <v>54</v>
      </c>
      <c r="D1429" s="2" t="s">
        <v>2988</v>
      </c>
      <c r="E1429" s="10">
        <v>45397</v>
      </c>
      <c r="F1429" s="2" t="s">
        <v>2989</v>
      </c>
      <c r="G1429" s="2" t="s">
        <v>2339</v>
      </c>
      <c r="H1429" s="2" t="s">
        <v>8</v>
      </c>
      <c r="I1429" s="2" t="s">
        <v>2990</v>
      </c>
      <c r="J1429" s="2" t="s">
        <v>2998</v>
      </c>
      <c r="K1429" s="2" t="s">
        <v>712</v>
      </c>
      <c r="L1429" s="2" t="s">
        <v>1766</v>
      </c>
      <c r="M1429" s="3">
        <v>1</v>
      </c>
      <c r="N1429" s="3">
        <v>1</v>
      </c>
      <c r="P1429" s="2" t="s">
        <v>2999</v>
      </c>
    </row>
    <row r="1430" spans="1:16" ht="13">
      <c r="A1430" s="2" t="s">
        <v>4</v>
      </c>
      <c r="B1430" s="2" t="str">
        <f t="shared" si="22"/>
        <v>23-24 Academic Year</v>
      </c>
      <c r="C1430" s="2">
        <v>54</v>
      </c>
      <c r="D1430" s="2" t="s">
        <v>2990</v>
      </c>
      <c r="E1430" s="10">
        <v>45404</v>
      </c>
      <c r="F1430" s="2" t="s">
        <v>3149</v>
      </c>
      <c r="G1430" s="2" t="s">
        <v>2339</v>
      </c>
      <c r="H1430" s="2" t="s">
        <v>8</v>
      </c>
      <c r="I1430" s="2" t="s">
        <v>2990</v>
      </c>
      <c r="J1430" s="2" t="s">
        <v>2998</v>
      </c>
      <c r="K1430" s="2" t="s">
        <v>3153</v>
      </c>
      <c r="L1430" s="2" t="s">
        <v>120</v>
      </c>
      <c r="M1430" s="3">
        <v>1</v>
      </c>
      <c r="N1430" s="3">
        <v>2</v>
      </c>
      <c r="P1430" s="2" t="s">
        <v>3154</v>
      </c>
    </row>
    <row r="1431" spans="1:16" ht="13">
      <c r="A1431" s="2" t="s">
        <v>4</v>
      </c>
      <c r="B1431" s="2" t="str">
        <f t="shared" si="22"/>
        <v>23-24 Academic Year</v>
      </c>
      <c r="C1431" s="2">
        <v>54</v>
      </c>
      <c r="D1431" s="2" t="s">
        <v>2988</v>
      </c>
      <c r="E1431" s="10">
        <v>45397</v>
      </c>
      <c r="F1431" s="2" t="s">
        <v>2989</v>
      </c>
      <c r="G1431" s="2" t="s">
        <v>2339</v>
      </c>
      <c r="H1431" s="2" t="s">
        <v>8</v>
      </c>
      <c r="I1431" s="2" t="s">
        <v>2990</v>
      </c>
      <c r="J1431" s="2" t="s">
        <v>3000</v>
      </c>
      <c r="K1431" s="2" t="s">
        <v>611</v>
      </c>
      <c r="L1431" s="2" t="s">
        <v>1849</v>
      </c>
      <c r="M1431" s="3">
        <v>4</v>
      </c>
      <c r="N1431" s="3">
        <v>2</v>
      </c>
      <c r="P1431" s="2" t="s">
        <v>3001</v>
      </c>
    </row>
    <row r="1432" spans="1:16" ht="13">
      <c r="A1432" s="2" t="s">
        <v>4</v>
      </c>
      <c r="B1432" s="2" t="str">
        <f t="shared" si="22"/>
        <v>23-24 Academic Year</v>
      </c>
      <c r="C1432" s="2">
        <v>54</v>
      </c>
      <c r="D1432" s="2" t="s">
        <v>2990</v>
      </c>
      <c r="E1432" s="10">
        <v>45404</v>
      </c>
      <c r="F1432" s="2" t="s">
        <v>3149</v>
      </c>
      <c r="G1432" s="2" t="s">
        <v>2339</v>
      </c>
      <c r="H1432" s="2" t="s">
        <v>8</v>
      </c>
      <c r="I1432" s="2" t="s">
        <v>2990</v>
      </c>
      <c r="J1432" s="2" t="s">
        <v>3000</v>
      </c>
      <c r="K1432" s="2" t="s">
        <v>3155</v>
      </c>
      <c r="L1432" s="2" t="s">
        <v>2067</v>
      </c>
      <c r="M1432" s="3">
        <v>999</v>
      </c>
      <c r="N1432" s="3">
        <v>999</v>
      </c>
      <c r="P1432" s="2" t="s">
        <v>3156</v>
      </c>
    </row>
    <row r="1433" spans="1:16" ht="13">
      <c r="A1433" s="2" t="s">
        <v>4</v>
      </c>
      <c r="B1433" s="2" t="str">
        <f t="shared" si="22"/>
        <v>23-24 Academic Year</v>
      </c>
      <c r="C1433" s="2">
        <v>54</v>
      </c>
      <c r="D1433" s="2" t="s">
        <v>2990</v>
      </c>
      <c r="E1433" s="10">
        <v>45404</v>
      </c>
      <c r="F1433" s="2" t="s">
        <v>3149</v>
      </c>
      <c r="G1433" s="2" t="s">
        <v>2339</v>
      </c>
      <c r="H1433" s="2" t="s">
        <v>8</v>
      </c>
      <c r="I1433" s="2" t="s">
        <v>2990</v>
      </c>
      <c r="J1433" s="2" t="s">
        <v>3157</v>
      </c>
      <c r="K1433" s="2" t="s">
        <v>59</v>
      </c>
      <c r="L1433" s="2" t="s">
        <v>60</v>
      </c>
      <c r="M1433" s="3">
        <v>1</v>
      </c>
      <c r="N1433" s="3">
        <v>2</v>
      </c>
      <c r="P1433" s="2" t="s">
        <v>3158</v>
      </c>
    </row>
    <row r="1434" spans="1:16" ht="13">
      <c r="A1434" s="2" t="s">
        <v>4</v>
      </c>
      <c r="B1434" s="2" t="str">
        <f t="shared" si="22"/>
        <v>23-24 Academic Year</v>
      </c>
      <c r="C1434" s="2">
        <v>55</v>
      </c>
      <c r="D1434" s="2" t="s">
        <v>5129</v>
      </c>
      <c r="E1434" s="10">
        <v>45398</v>
      </c>
      <c r="F1434" s="2" t="s">
        <v>3002</v>
      </c>
      <c r="G1434" s="2" t="s">
        <v>2226</v>
      </c>
      <c r="H1434" s="2" t="s">
        <v>6</v>
      </c>
      <c r="I1434" s="2" t="s">
        <v>2787</v>
      </c>
      <c r="J1434" s="2" t="s">
        <v>3003</v>
      </c>
      <c r="K1434" s="2" t="s">
        <v>670</v>
      </c>
      <c r="L1434" s="2" t="s">
        <v>403</v>
      </c>
      <c r="M1434" s="3">
        <v>1</v>
      </c>
      <c r="N1434" s="3">
        <v>2</v>
      </c>
      <c r="P1434" s="2" t="s">
        <v>3004</v>
      </c>
    </row>
    <row r="1435" spans="1:16" ht="13">
      <c r="A1435" s="2" t="s">
        <v>4</v>
      </c>
      <c r="B1435" s="2" t="str">
        <f t="shared" si="22"/>
        <v>23-24 Academic Year</v>
      </c>
      <c r="C1435" s="2">
        <v>55</v>
      </c>
      <c r="D1435" s="2" t="s">
        <v>1805</v>
      </c>
      <c r="E1435" s="10">
        <v>45405</v>
      </c>
      <c r="F1435" s="2" t="s">
        <v>1805</v>
      </c>
      <c r="G1435" s="2" t="s">
        <v>3170</v>
      </c>
      <c r="H1435" s="2" t="s">
        <v>8</v>
      </c>
      <c r="I1435" s="2" t="s">
        <v>475</v>
      </c>
      <c r="J1435" s="2" t="s">
        <v>3003</v>
      </c>
      <c r="K1435" s="2" t="s">
        <v>3171</v>
      </c>
      <c r="L1435" s="2" t="s">
        <v>4857</v>
      </c>
      <c r="M1435" s="3">
        <v>2</v>
      </c>
      <c r="N1435" s="3">
        <v>1</v>
      </c>
      <c r="P1435" s="2" t="s">
        <v>3172</v>
      </c>
    </row>
    <row r="1436" spans="1:16" ht="13">
      <c r="A1436" s="2" t="s">
        <v>4</v>
      </c>
      <c r="B1436" s="2" t="str">
        <f t="shared" si="22"/>
        <v>23-24 Academic Year</v>
      </c>
      <c r="C1436" s="2">
        <v>55</v>
      </c>
      <c r="D1436" s="2" t="s">
        <v>5129</v>
      </c>
      <c r="E1436" s="10">
        <v>45398</v>
      </c>
      <c r="F1436" s="2" t="s">
        <v>3002</v>
      </c>
      <c r="G1436" s="2" t="s">
        <v>2226</v>
      </c>
      <c r="H1436" s="2" t="s">
        <v>6</v>
      </c>
      <c r="I1436" s="2" t="s">
        <v>2787</v>
      </c>
      <c r="J1436" s="2" t="s">
        <v>3005</v>
      </c>
      <c r="K1436" s="2" t="s">
        <v>1091</v>
      </c>
      <c r="L1436" s="2" t="s">
        <v>4009</v>
      </c>
      <c r="M1436" s="3">
        <v>1</v>
      </c>
      <c r="N1436" s="3">
        <v>2</v>
      </c>
      <c r="P1436" s="2" t="s">
        <v>3006</v>
      </c>
    </row>
    <row r="1437" spans="1:16" ht="13">
      <c r="A1437" s="2" t="s">
        <v>4</v>
      </c>
      <c r="B1437" s="2" t="str">
        <f t="shared" si="22"/>
        <v>23-24 Academic Year</v>
      </c>
      <c r="C1437" s="2">
        <v>55</v>
      </c>
      <c r="D1437" s="2" t="s">
        <v>5129</v>
      </c>
      <c r="E1437" s="10">
        <v>45398</v>
      </c>
      <c r="F1437" s="2" t="s">
        <v>3002</v>
      </c>
      <c r="G1437" s="2" t="s">
        <v>2226</v>
      </c>
      <c r="H1437" s="2" t="s">
        <v>6</v>
      </c>
      <c r="I1437" s="2" t="s">
        <v>2787</v>
      </c>
      <c r="J1437" s="2" t="s">
        <v>3007</v>
      </c>
      <c r="K1437" s="2" t="s">
        <v>1164</v>
      </c>
      <c r="L1437" s="2" t="s">
        <v>5009</v>
      </c>
      <c r="M1437" s="3">
        <v>1</v>
      </c>
      <c r="N1437" s="3">
        <v>2</v>
      </c>
      <c r="P1437" s="2" t="s">
        <v>3008</v>
      </c>
    </row>
    <row r="1438" spans="1:16" ht="13">
      <c r="A1438" s="2" t="s">
        <v>4</v>
      </c>
      <c r="B1438" s="2" t="str">
        <f t="shared" si="22"/>
        <v>23-24 Academic Year</v>
      </c>
      <c r="C1438" s="2">
        <v>55</v>
      </c>
      <c r="D1438" s="2" t="s">
        <v>1805</v>
      </c>
      <c r="E1438" s="10">
        <v>45405</v>
      </c>
      <c r="F1438" s="2" t="s">
        <v>1805</v>
      </c>
      <c r="G1438" s="2" t="s">
        <v>3170</v>
      </c>
      <c r="H1438" s="2" t="s">
        <v>8</v>
      </c>
      <c r="I1438" s="2" t="s">
        <v>475</v>
      </c>
      <c r="J1438" s="2" t="s">
        <v>3007</v>
      </c>
      <c r="K1438" s="2" t="s">
        <v>3173</v>
      </c>
      <c r="L1438" s="2" t="s">
        <v>5130</v>
      </c>
      <c r="M1438" s="3">
        <v>1</v>
      </c>
      <c r="N1438" s="3">
        <v>1</v>
      </c>
      <c r="P1438" s="2" t="s">
        <v>3174</v>
      </c>
    </row>
    <row r="1439" spans="1:16" ht="13">
      <c r="A1439" s="2" t="s">
        <v>4</v>
      </c>
      <c r="B1439" s="2" t="str">
        <f t="shared" si="22"/>
        <v>23-24 Academic Year</v>
      </c>
      <c r="C1439" s="2">
        <v>55</v>
      </c>
      <c r="D1439" s="2" t="s">
        <v>5129</v>
      </c>
      <c r="E1439" s="10">
        <v>45398</v>
      </c>
      <c r="F1439" s="2" t="s">
        <v>3002</v>
      </c>
      <c r="G1439" s="2" t="s">
        <v>2226</v>
      </c>
      <c r="H1439" s="2" t="s">
        <v>6</v>
      </c>
      <c r="I1439" s="2" t="s">
        <v>2787</v>
      </c>
      <c r="J1439" s="2" t="s">
        <v>3009</v>
      </c>
      <c r="K1439" s="2" t="s">
        <v>1164</v>
      </c>
      <c r="L1439" s="2" t="s">
        <v>5009</v>
      </c>
      <c r="M1439" s="3">
        <v>1</v>
      </c>
      <c r="N1439" s="3">
        <v>2</v>
      </c>
      <c r="P1439" s="2" t="s">
        <v>3010</v>
      </c>
    </row>
    <row r="1440" spans="1:16" ht="13">
      <c r="A1440" s="2" t="s">
        <v>4</v>
      </c>
      <c r="B1440" s="2" t="str">
        <f t="shared" si="22"/>
        <v>23-24 Academic Year</v>
      </c>
      <c r="C1440" s="2">
        <v>55</v>
      </c>
      <c r="D1440" s="2" t="s">
        <v>1805</v>
      </c>
      <c r="E1440" s="10">
        <v>45405</v>
      </c>
      <c r="F1440" s="2" t="s">
        <v>1805</v>
      </c>
      <c r="G1440" s="2" t="s">
        <v>3170</v>
      </c>
      <c r="H1440" s="2" t="s">
        <v>8</v>
      </c>
      <c r="I1440" s="2" t="s">
        <v>475</v>
      </c>
      <c r="J1440" s="2" t="s">
        <v>3009</v>
      </c>
      <c r="K1440" s="2" t="s">
        <v>3175</v>
      </c>
      <c r="L1440" s="2" t="s">
        <v>5131</v>
      </c>
      <c r="M1440" s="3">
        <v>2</v>
      </c>
      <c r="N1440" s="3">
        <v>1</v>
      </c>
      <c r="P1440" s="2" t="s">
        <v>3176</v>
      </c>
    </row>
    <row r="1441" spans="1:16" ht="13">
      <c r="A1441" s="2" t="s">
        <v>4</v>
      </c>
      <c r="B1441" s="2" t="str">
        <f t="shared" si="22"/>
        <v>23-24 Academic Year</v>
      </c>
      <c r="C1441" s="2">
        <v>55</v>
      </c>
      <c r="D1441" s="2" t="s">
        <v>5129</v>
      </c>
      <c r="E1441" s="10">
        <v>45398</v>
      </c>
      <c r="F1441" s="2" t="s">
        <v>3002</v>
      </c>
      <c r="G1441" s="2" t="s">
        <v>2226</v>
      </c>
      <c r="H1441" s="2" t="s">
        <v>6</v>
      </c>
      <c r="I1441" s="2" t="s">
        <v>2787</v>
      </c>
      <c r="J1441" s="2" t="s">
        <v>3011</v>
      </c>
      <c r="K1441" s="2" t="s">
        <v>3012</v>
      </c>
      <c r="L1441" s="2" t="s">
        <v>5132</v>
      </c>
      <c r="M1441" s="3">
        <v>1</v>
      </c>
      <c r="N1441" s="3">
        <v>2</v>
      </c>
      <c r="P1441" s="2" t="s">
        <v>3013</v>
      </c>
    </row>
    <row r="1442" spans="1:16" ht="13">
      <c r="A1442" s="2" t="s">
        <v>4</v>
      </c>
      <c r="B1442" s="2" t="str">
        <f t="shared" si="22"/>
        <v>23-24 Academic Year</v>
      </c>
      <c r="C1442" s="2">
        <v>55</v>
      </c>
      <c r="D1442" s="2" t="s">
        <v>1805</v>
      </c>
      <c r="E1442" s="10">
        <v>45405</v>
      </c>
      <c r="F1442" s="2" t="s">
        <v>1805</v>
      </c>
      <c r="G1442" s="2" t="s">
        <v>3170</v>
      </c>
      <c r="H1442" s="2" t="s">
        <v>8</v>
      </c>
      <c r="I1442" s="2" t="s">
        <v>475</v>
      </c>
      <c r="J1442" s="2" t="s">
        <v>3011</v>
      </c>
      <c r="K1442" s="2" t="s">
        <v>3177</v>
      </c>
      <c r="L1442" s="2" t="s">
        <v>5133</v>
      </c>
      <c r="M1442" s="3">
        <v>1</v>
      </c>
      <c r="N1442" s="3">
        <v>1</v>
      </c>
      <c r="P1442" s="2" t="s">
        <v>3178</v>
      </c>
    </row>
    <row r="1443" spans="1:16" ht="13">
      <c r="A1443" s="2" t="s">
        <v>4</v>
      </c>
      <c r="B1443" s="2" t="str">
        <f t="shared" si="22"/>
        <v>23-24 Academic Year</v>
      </c>
      <c r="C1443" s="2">
        <v>55</v>
      </c>
      <c r="D1443" s="2" t="s">
        <v>5129</v>
      </c>
      <c r="E1443" s="10">
        <v>45398</v>
      </c>
      <c r="F1443" s="2" t="s">
        <v>3002</v>
      </c>
      <c r="G1443" s="2" t="s">
        <v>2226</v>
      </c>
      <c r="H1443" s="2" t="s">
        <v>6</v>
      </c>
      <c r="I1443" s="2" t="s">
        <v>2787</v>
      </c>
      <c r="J1443" s="2" t="s">
        <v>3014</v>
      </c>
      <c r="K1443" s="2" t="s">
        <v>3015</v>
      </c>
      <c r="L1443" s="2" t="s">
        <v>5134</v>
      </c>
      <c r="M1443" s="3">
        <v>1</v>
      </c>
      <c r="N1443" s="3">
        <v>2</v>
      </c>
      <c r="P1443" s="2" t="s">
        <v>3016</v>
      </c>
    </row>
    <row r="1444" spans="1:16" ht="13">
      <c r="A1444" s="2" t="s">
        <v>4</v>
      </c>
      <c r="B1444" s="2" t="str">
        <f t="shared" si="22"/>
        <v>23-24 Academic Year</v>
      </c>
      <c r="C1444" s="2">
        <v>55</v>
      </c>
      <c r="D1444" s="2" t="s">
        <v>1805</v>
      </c>
      <c r="E1444" s="10">
        <v>45405</v>
      </c>
      <c r="F1444" s="2" t="s">
        <v>1805</v>
      </c>
      <c r="G1444" s="2" t="s">
        <v>3170</v>
      </c>
      <c r="H1444" s="2" t="s">
        <v>8</v>
      </c>
      <c r="I1444" s="2" t="s">
        <v>475</v>
      </c>
      <c r="J1444" s="2" t="s">
        <v>3014</v>
      </c>
      <c r="K1444" s="2" t="s">
        <v>3179</v>
      </c>
      <c r="L1444" s="2" t="s">
        <v>3180</v>
      </c>
      <c r="M1444" s="3">
        <v>1</v>
      </c>
      <c r="N1444" s="3">
        <v>1</v>
      </c>
      <c r="P1444" s="2" t="s">
        <v>3181</v>
      </c>
    </row>
    <row r="1445" spans="1:16" ht="13">
      <c r="A1445" s="2" t="s">
        <v>4</v>
      </c>
      <c r="B1445" s="2" t="str">
        <f t="shared" si="22"/>
        <v>23-24 Academic Year</v>
      </c>
      <c r="C1445" s="2">
        <v>55</v>
      </c>
      <c r="D1445" s="2" t="s">
        <v>5129</v>
      </c>
      <c r="E1445" s="10">
        <v>45398</v>
      </c>
      <c r="F1445" s="2" t="s">
        <v>3002</v>
      </c>
      <c r="G1445" s="2" t="s">
        <v>2226</v>
      </c>
      <c r="H1445" s="2" t="s">
        <v>6</v>
      </c>
      <c r="I1445" s="2" t="s">
        <v>2787</v>
      </c>
      <c r="J1445" s="2" t="s">
        <v>3017</v>
      </c>
      <c r="K1445" s="2" t="s">
        <v>3015</v>
      </c>
      <c r="L1445" s="2" t="s">
        <v>5134</v>
      </c>
      <c r="M1445" s="3">
        <v>1</v>
      </c>
      <c r="N1445" s="3">
        <v>2</v>
      </c>
      <c r="P1445" s="2" t="s">
        <v>3018</v>
      </c>
    </row>
    <row r="1446" spans="1:16" ht="13">
      <c r="A1446" s="2" t="s">
        <v>4</v>
      </c>
      <c r="B1446" s="2" t="str">
        <f t="shared" si="22"/>
        <v>23-24 Academic Year</v>
      </c>
      <c r="C1446" s="2">
        <v>55</v>
      </c>
      <c r="D1446" s="2" t="s">
        <v>1805</v>
      </c>
      <c r="E1446" s="10">
        <v>45405</v>
      </c>
      <c r="F1446" s="2" t="s">
        <v>1805</v>
      </c>
      <c r="G1446" s="2" t="s">
        <v>3170</v>
      </c>
      <c r="H1446" s="2" t="s">
        <v>8</v>
      </c>
      <c r="I1446" s="2" t="s">
        <v>475</v>
      </c>
      <c r="J1446" s="2" t="s">
        <v>3017</v>
      </c>
      <c r="K1446" s="2" t="s">
        <v>3182</v>
      </c>
      <c r="L1446" s="2" t="s">
        <v>5135</v>
      </c>
      <c r="M1446" s="3">
        <v>1</v>
      </c>
      <c r="N1446" s="3">
        <v>1</v>
      </c>
      <c r="P1446" s="2" t="s">
        <v>3183</v>
      </c>
    </row>
    <row r="1447" spans="1:16" ht="13">
      <c r="A1447" s="2" t="s">
        <v>4</v>
      </c>
      <c r="B1447" s="2" t="str">
        <f t="shared" si="22"/>
        <v>23-24 Academic Year</v>
      </c>
      <c r="C1447" s="2">
        <v>55</v>
      </c>
      <c r="D1447" s="2" t="s">
        <v>5129</v>
      </c>
      <c r="E1447" s="10">
        <v>45398</v>
      </c>
      <c r="F1447" s="2" t="s">
        <v>3002</v>
      </c>
      <c r="G1447" s="2" t="s">
        <v>2226</v>
      </c>
      <c r="H1447" s="2" t="s">
        <v>6</v>
      </c>
      <c r="I1447" s="2" t="s">
        <v>2787</v>
      </c>
      <c r="J1447" s="2" t="s">
        <v>3019</v>
      </c>
      <c r="K1447" s="2" t="s">
        <v>2365</v>
      </c>
      <c r="L1447" s="2" t="s">
        <v>5043</v>
      </c>
      <c r="M1447" s="3">
        <v>1</v>
      </c>
      <c r="N1447" s="3">
        <v>2</v>
      </c>
      <c r="P1447" s="2" t="s">
        <v>3020</v>
      </c>
    </row>
    <row r="1448" spans="1:16" ht="13">
      <c r="A1448" s="2" t="s">
        <v>4</v>
      </c>
      <c r="B1448" s="2" t="str">
        <f t="shared" si="22"/>
        <v>23-24 Academic Year</v>
      </c>
      <c r="C1448" s="2">
        <v>55</v>
      </c>
      <c r="D1448" s="2" t="s">
        <v>1805</v>
      </c>
      <c r="E1448" s="10">
        <v>45405</v>
      </c>
      <c r="F1448" s="2" t="s">
        <v>1805</v>
      </c>
      <c r="G1448" s="2" t="s">
        <v>3170</v>
      </c>
      <c r="H1448" s="2" t="s">
        <v>8</v>
      </c>
      <c r="I1448" s="2" t="s">
        <v>475</v>
      </c>
      <c r="J1448" s="2" t="s">
        <v>3019</v>
      </c>
      <c r="K1448" s="2" t="s">
        <v>3184</v>
      </c>
      <c r="L1448" s="2" t="s">
        <v>3185</v>
      </c>
      <c r="M1448" s="3">
        <v>1</v>
      </c>
      <c r="N1448" s="3">
        <v>1</v>
      </c>
      <c r="P1448" s="2" t="s">
        <v>3186</v>
      </c>
    </row>
    <row r="1449" spans="1:16" ht="13">
      <c r="A1449" s="2" t="s">
        <v>4</v>
      </c>
      <c r="B1449" s="2" t="str">
        <f t="shared" si="22"/>
        <v>23-24 Academic Year</v>
      </c>
      <c r="C1449" s="2">
        <v>55</v>
      </c>
      <c r="D1449" s="2" t="s">
        <v>5129</v>
      </c>
      <c r="E1449" s="10">
        <v>45398</v>
      </c>
      <c r="F1449" s="2" t="s">
        <v>3002</v>
      </c>
      <c r="G1449" s="2" t="s">
        <v>2226</v>
      </c>
      <c r="H1449" s="2" t="s">
        <v>6</v>
      </c>
      <c r="I1449" s="2" t="s">
        <v>2787</v>
      </c>
      <c r="J1449" s="2" t="s">
        <v>3021</v>
      </c>
      <c r="K1449" s="2" t="s">
        <v>1077</v>
      </c>
      <c r="L1449" s="2" t="s">
        <v>398</v>
      </c>
      <c r="M1449" s="3">
        <v>1</v>
      </c>
      <c r="N1449" s="3">
        <v>2</v>
      </c>
      <c r="P1449" s="2" t="s">
        <v>3022</v>
      </c>
    </row>
    <row r="1450" spans="1:16" ht="13">
      <c r="A1450" s="2" t="s">
        <v>4</v>
      </c>
      <c r="B1450" s="2" t="str">
        <f t="shared" si="22"/>
        <v>23-24 Academic Year</v>
      </c>
      <c r="C1450" s="2">
        <v>55</v>
      </c>
      <c r="D1450" s="2" t="s">
        <v>5129</v>
      </c>
      <c r="E1450" s="10">
        <v>45398</v>
      </c>
      <c r="F1450" s="2" t="s">
        <v>3002</v>
      </c>
      <c r="G1450" s="2" t="s">
        <v>2226</v>
      </c>
      <c r="H1450" s="2" t="s">
        <v>6</v>
      </c>
      <c r="I1450" s="2" t="s">
        <v>2787</v>
      </c>
      <c r="J1450" s="2" t="s">
        <v>3023</v>
      </c>
      <c r="K1450" s="2" t="s">
        <v>1091</v>
      </c>
      <c r="L1450" s="2" t="s">
        <v>4009</v>
      </c>
      <c r="M1450" s="3">
        <v>1</v>
      </c>
      <c r="N1450" s="3">
        <v>2</v>
      </c>
      <c r="P1450" s="2" t="s">
        <v>3024</v>
      </c>
    </row>
    <row r="1451" spans="1:16" ht="13">
      <c r="A1451" s="2" t="s">
        <v>4</v>
      </c>
      <c r="B1451" s="2" t="str">
        <f t="shared" si="22"/>
        <v>23-24 Academic Year</v>
      </c>
      <c r="C1451" s="2">
        <v>56</v>
      </c>
      <c r="D1451" s="2" t="s">
        <v>5136</v>
      </c>
      <c r="E1451" s="10">
        <v>45405</v>
      </c>
      <c r="F1451" s="2" t="s">
        <v>3159</v>
      </c>
      <c r="G1451" s="2" t="s">
        <v>2170</v>
      </c>
      <c r="H1451" s="2" t="s">
        <v>6</v>
      </c>
      <c r="I1451" s="2" t="s">
        <v>1028</v>
      </c>
      <c r="J1451" s="2" t="s">
        <v>3160</v>
      </c>
      <c r="K1451" s="2" t="s">
        <v>3161</v>
      </c>
      <c r="L1451" s="2" t="s">
        <v>1258</v>
      </c>
      <c r="M1451" s="3">
        <v>1</v>
      </c>
      <c r="N1451" s="3">
        <v>2</v>
      </c>
      <c r="P1451" s="2" t="s">
        <v>3162</v>
      </c>
    </row>
    <row r="1452" spans="1:16" ht="13">
      <c r="A1452" s="2" t="s">
        <v>4</v>
      </c>
      <c r="B1452" s="2" t="str">
        <f t="shared" si="22"/>
        <v>23-24 Academic Year</v>
      </c>
      <c r="C1452" s="2">
        <v>56</v>
      </c>
      <c r="D1452" s="2" t="s">
        <v>5136</v>
      </c>
      <c r="E1452" s="10">
        <v>45405</v>
      </c>
      <c r="F1452" s="2" t="s">
        <v>3159</v>
      </c>
      <c r="G1452" s="2" t="s">
        <v>2170</v>
      </c>
      <c r="H1452" s="2" t="s">
        <v>6</v>
      </c>
      <c r="I1452" s="2" t="s">
        <v>1028</v>
      </c>
      <c r="J1452" s="2" t="s">
        <v>3163</v>
      </c>
      <c r="K1452" s="2" t="s">
        <v>2301</v>
      </c>
      <c r="L1452" s="2" t="s">
        <v>3363</v>
      </c>
      <c r="M1452" s="3">
        <v>1</v>
      </c>
      <c r="N1452" s="3">
        <v>2</v>
      </c>
      <c r="P1452" s="2" t="s">
        <v>3164</v>
      </c>
    </row>
    <row r="1453" spans="1:16" ht="13">
      <c r="A1453" s="2" t="s">
        <v>4</v>
      </c>
      <c r="B1453" s="2" t="str">
        <f t="shared" si="22"/>
        <v>23-24 Academic Year</v>
      </c>
      <c r="C1453" s="2">
        <v>56</v>
      </c>
      <c r="D1453" s="2" t="s">
        <v>5136</v>
      </c>
      <c r="E1453" s="10">
        <v>45405</v>
      </c>
      <c r="F1453" s="2" t="s">
        <v>3159</v>
      </c>
      <c r="G1453" s="2" t="s">
        <v>2170</v>
      </c>
      <c r="H1453" s="2" t="s">
        <v>6</v>
      </c>
      <c r="I1453" s="2" t="s">
        <v>1028</v>
      </c>
      <c r="J1453" s="2" t="s">
        <v>3165</v>
      </c>
      <c r="K1453" s="2" t="s">
        <v>3166</v>
      </c>
      <c r="L1453" s="2" t="s">
        <v>5137</v>
      </c>
      <c r="M1453" s="3">
        <v>2</v>
      </c>
      <c r="N1453" s="3">
        <v>1</v>
      </c>
      <c r="P1453" s="2" t="s">
        <v>3167</v>
      </c>
    </row>
    <row r="1454" spans="1:16" ht="13">
      <c r="A1454" s="2" t="s">
        <v>4</v>
      </c>
      <c r="B1454" s="2" t="str">
        <f t="shared" si="22"/>
        <v>23-24 Academic Year</v>
      </c>
      <c r="C1454" s="2">
        <v>56</v>
      </c>
      <c r="D1454" s="2" t="s">
        <v>5136</v>
      </c>
      <c r="E1454" s="10">
        <v>45405</v>
      </c>
      <c r="F1454" s="2" t="s">
        <v>3159</v>
      </c>
      <c r="G1454" s="2" t="s">
        <v>2170</v>
      </c>
      <c r="H1454" s="2" t="s">
        <v>6</v>
      </c>
      <c r="I1454" s="2" t="s">
        <v>1028</v>
      </c>
      <c r="J1454" s="2" t="s">
        <v>3168</v>
      </c>
      <c r="K1454" s="2" t="s">
        <v>2992</v>
      </c>
      <c r="L1454" s="2" t="s">
        <v>5127</v>
      </c>
      <c r="M1454" s="3">
        <v>1</v>
      </c>
      <c r="N1454" s="3">
        <v>2</v>
      </c>
      <c r="P1454" s="2" t="s">
        <v>3169</v>
      </c>
    </row>
    <row r="1455" spans="1:16" ht="13">
      <c r="A1455" s="2" t="s">
        <v>4</v>
      </c>
      <c r="B1455" s="2" t="str">
        <f t="shared" si="22"/>
        <v>23-24 Academic Year</v>
      </c>
      <c r="C1455" s="2">
        <v>57</v>
      </c>
      <c r="D1455" s="2" t="s">
        <v>1870</v>
      </c>
      <c r="E1455" s="10">
        <v>45406</v>
      </c>
      <c r="F1455" s="2" t="s">
        <v>1870</v>
      </c>
      <c r="G1455" s="2" t="s">
        <v>2240</v>
      </c>
      <c r="H1455" s="2" t="s">
        <v>8</v>
      </c>
      <c r="I1455" s="2" t="s">
        <v>3187</v>
      </c>
      <c r="J1455" s="2" t="s">
        <v>3188</v>
      </c>
      <c r="K1455" s="2" t="s">
        <v>563</v>
      </c>
      <c r="L1455" s="2" t="s">
        <v>3359</v>
      </c>
      <c r="M1455" s="3">
        <v>2</v>
      </c>
      <c r="N1455" s="3">
        <v>2</v>
      </c>
      <c r="P1455" s="2" t="s">
        <v>3189</v>
      </c>
    </row>
    <row r="1456" spans="1:16" ht="13">
      <c r="A1456" s="2" t="s">
        <v>4</v>
      </c>
      <c r="B1456" s="2" t="str">
        <f t="shared" si="22"/>
        <v>23-24 Academic Year</v>
      </c>
      <c r="C1456" s="2">
        <v>57</v>
      </c>
      <c r="D1456" s="2" t="s">
        <v>1870</v>
      </c>
      <c r="E1456" s="10">
        <v>45406</v>
      </c>
      <c r="F1456" s="2" t="s">
        <v>1870</v>
      </c>
      <c r="G1456" s="2" t="s">
        <v>2240</v>
      </c>
      <c r="H1456" s="2" t="s">
        <v>8</v>
      </c>
      <c r="I1456" s="2" t="s">
        <v>3187</v>
      </c>
      <c r="J1456" s="2" t="s">
        <v>3190</v>
      </c>
      <c r="K1456" s="2" t="s">
        <v>635</v>
      </c>
      <c r="L1456" s="2" t="s">
        <v>3354</v>
      </c>
      <c r="M1456" s="3">
        <v>1</v>
      </c>
      <c r="N1456" s="3">
        <v>2</v>
      </c>
      <c r="P1456" s="2" t="s">
        <v>3191</v>
      </c>
    </row>
    <row r="1457" spans="1:16" ht="13">
      <c r="A1457" s="2" t="s">
        <v>4</v>
      </c>
      <c r="B1457" s="2" t="str">
        <f t="shared" si="22"/>
        <v>23-24 Academic Year</v>
      </c>
      <c r="C1457" s="2">
        <v>59</v>
      </c>
      <c r="D1457" s="2" t="s">
        <v>5138</v>
      </c>
      <c r="E1457" s="10">
        <v>45407</v>
      </c>
      <c r="F1457" s="2" t="s">
        <v>3192</v>
      </c>
      <c r="G1457" s="2" t="s">
        <v>2170</v>
      </c>
      <c r="H1457" s="2" t="s">
        <v>6</v>
      </c>
      <c r="I1457" s="2" t="s">
        <v>2787</v>
      </c>
      <c r="J1457" s="2" t="s">
        <v>3193</v>
      </c>
      <c r="K1457" s="2" t="s">
        <v>3194</v>
      </c>
      <c r="L1457" s="2" t="s">
        <v>403</v>
      </c>
      <c r="M1457" s="3">
        <v>1</v>
      </c>
      <c r="N1457" s="3">
        <v>2</v>
      </c>
      <c r="P1457" s="2" t="s">
        <v>3195</v>
      </c>
    </row>
    <row r="1458" spans="1:16" ht="13">
      <c r="A1458" s="2" t="s">
        <v>4</v>
      </c>
      <c r="B1458" s="2" t="str">
        <f t="shared" si="22"/>
        <v>23-24 Academic Year</v>
      </c>
      <c r="C1458" s="2">
        <v>59</v>
      </c>
      <c r="D1458" s="2" t="s">
        <v>5138</v>
      </c>
      <c r="E1458" s="10">
        <v>45407</v>
      </c>
      <c r="F1458" s="2" t="s">
        <v>3192</v>
      </c>
      <c r="G1458" s="2" t="s">
        <v>2170</v>
      </c>
      <c r="H1458" s="2" t="s">
        <v>6</v>
      </c>
      <c r="I1458" s="2" t="s">
        <v>2787</v>
      </c>
      <c r="J1458" s="2" t="s">
        <v>3196</v>
      </c>
      <c r="K1458" s="2" t="s">
        <v>3197</v>
      </c>
      <c r="L1458" s="2" t="s">
        <v>5139</v>
      </c>
      <c r="M1458" s="3">
        <v>1</v>
      </c>
      <c r="N1458" s="3">
        <v>2</v>
      </c>
      <c r="P1458" s="2" t="s">
        <v>3198</v>
      </c>
    </row>
    <row r="1459" spans="1:16" ht="13">
      <c r="A1459" s="2" t="s">
        <v>4</v>
      </c>
      <c r="B1459" s="2" t="str">
        <f t="shared" si="22"/>
        <v>23-24 Academic Year</v>
      </c>
      <c r="C1459" s="2">
        <v>59</v>
      </c>
      <c r="D1459" s="2" t="s">
        <v>5138</v>
      </c>
      <c r="E1459" s="10">
        <v>45407</v>
      </c>
      <c r="F1459" s="2" t="s">
        <v>3192</v>
      </c>
      <c r="G1459" s="2" t="s">
        <v>2170</v>
      </c>
      <c r="H1459" s="2" t="s">
        <v>6</v>
      </c>
      <c r="I1459" s="2" t="s">
        <v>2787</v>
      </c>
      <c r="J1459" s="2" t="s">
        <v>3199</v>
      </c>
      <c r="K1459" s="2" t="s">
        <v>3200</v>
      </c>
      <c r="L1459" s="2" t="s">
        <v>5140</v>
      </c>
      <c r="M1459" s="3">
        <v>1</v>
      </c>
      <c r="N1459" s="3">
        <v>2</v>
      </c>
      <c r="P1459" s="2" t="s">
        <v>3201</v>
      </c>
    </row>
    <row r="1460" spans="1:16" ht="13">
      <c r="A1460" s="2" t="s">
        <v>4</v>
      </c>
      <c r="B1460" s="2" t="str">
        <f t="shared" si="22"/>
        <v>23-24 Academic Year</v>
      </c>
      <c r="C1460" s="2">
        <v>59</v>
      </c>
      <c r="D1460" s="2" t="s">
        <v>5138</v>
      </c>
      <c r="E1460" s="10">
        <v>45407</v>
      </c>
      <c r="F1460" s="2" t="s">
        <v>3192</v>
      </c>
      <c r="G1460" s="2" t="s">
        <v>2170</v>
      </c>
      <c r="H1460" s="2" t="s">
        <v>6</v>
      </c>
      <c r="I1460" s="2" t="s">
        <v>2787</v>
      </c>
      <c r="J1460" s="2" t="s">
        <v>3202</v>
      </c>
      <c r="K1460" s="2" t="s">
        <v>3203</v>
      </c>
      <c r="L1460" s="2" t="s">
        <v>4178</v>
      </c>
      <c r="M1460" s="3">
        <v>1</v>
      </c>
      <c r="N1460" s="3">
        <v>2</v>
      </c>
      <c r="P1460" s="2" t="s">
        <v>3204</v>
      </c>
    </row>
    <row r="1461" spans="1:16" ht="13">
      <c r="A1461" s="2" t="s">
        <v>4</v>
      </c>
      <c r="B1461" s="2" t="str">
        <f t="shared" si="22"/>
        <v>23-24 Academic Year</v>
      </c>
      <c r="C1461" s="2">
        <v>59</v>
      </c>
      <c r="D1461" s="2" t="s">
        <v>5138</v>
      </c>
      <c r="E1461" s="10">
        <v>45407</v>
      </c>
      <c r="F1461" s="2" t="s">
        <v>3192</v>
      </c>
      <c r="G1461" s="2" t="s">
        <v>2170</v>
      </c>
      <c r="H1461" s="2" t="s">
        <v>6</v>
      </c>
      <c r="I1461" s="2" t="s">
        <v>2787</v>
      </c>
      <c r="J1461" s="2" t="s">
        <v>3205</v>
      </c>
      <c r="K1461" s="2" t="s">
        <v>1091</v>
      </c>
      <c r="L1461" s="2" t="s">
        <v>4009</v>
      </c>
      <c r="M1461" s="3">
        <v>1</v>
      </c>
      <c r="N1461" s="3">
        <v>2</v>
      </c>
      <c r="P1461" s="2" t="s">
        <v>3206</v>
      </c>
    </row>
    <row r="1462" spans="1:16" ht="13">
      <c r="A1462" s="2" t="s">
        <v>4</v>
      </c>
      <c r="B1462" s="2" t="str">
        <f t="shared" si="22"/>
        <v>23-24 Academic Year</v>
      </c>
      <c r="C1462" s="2">
        <v>59</v>
      </c>
      <c r="D1462" s="2" t="s">
        <v>5138</v>
      </c>
      <c r="E1462" s="10">
        <v>45407</v>
      </c>
      <c r="F1462" s="2" t="s">
        <v>3192</v>
      </c>
      <c r="G1462" s="2" t="s">
        <v>2170</v>
      </c>
      <c r="H1462" s="2" t="s">
        <v>6</v>
      </c>
      <c r="I1462" s="2" t="s">
        <v>2787</v>
      </c>
      <c r="J1462" s="2" t="s">
        <v>3207</v>
      </c>
      <c r="K1462" s="2" t="s">
        <v>1077</v>
      </c>
      <c r="L1462" s="2" t="s">
        <v>398</v>
      </c>
      <c r="M1462" s="3">
        <v>1</v>
      </c>
      <c r="N1462" s="3">
        <v>2</v>
      </c>
      <c r="P1462" s="2" t="s">
        <v>3208</v>
      </c>
    </row>
    <row r="1463" spans="1:16" ht="13">
      <c r="A1463" s="2" t="s">
        <v>4</v>
      </c>
      <c r="B1463" s="2" t="str">
        <f t="shared" si="22"/>
        <v>23-24 Academic Year</v>
      </c>
      <c r="C1463" s="2">
        <v>59</v>
      </c>
      <c r="D1463" s="2" t="s">
        <v>5138</v>
      </c>
      <c r="E1463" s="10">
        <v>45407</v>
      </c>
      <c r="F1463" s="2" t="s">
        <v>3192</v>
      </c>
      <c r="G1463" s="2" t="s">
        <v>2170</v>
      </c>
      <c r="H1463" s="2" t="s">
        <v>6</v>
      </c>
      <c r="I1463" s="2" t="s">
        <v>2787</v>
      </c>
      <c r="J1463" s="2" t="s">
        <v>3209</v>
      </c>
      <c r="K1463" s="2" t="s">
        <v>3210</v>
      </c>
      <c r="L1463" s="2" t="s">
        <v>3970</v>
      </c>
      <c r="M1463" s="3">
        <v>1</v>
      </c>
      <c r="N1463" s="3">
        <v>1</v>
      </c>
      <c r="P1463" s="2" t="s">
        <v>3211</v>
      </c>
    </row>
    <row r="1464" spans="1:16" ht="13">
      <c r="A1464" s="2" t="s">
        <v>4</v>
      </c>
      <c r="B1464" s="2" t="str">
        <f t="shared" si="22"/>
        <v>23-24 Academic Year</v>
      </c>
      <c r="C1464" s="2">
        <v>59</v>
      </c>
      <c r="D1464" s="2" t="s">
        <v>5138</v>
      </c>
      <c r="E1464" s="10">
        <v>45407</v>
      </c>
      <c r="F1464" s="2" t="s">
        <v>3192</v>
      </c>
      <c r="G1464" s="2" t="s">
        <v>2170</v>
      </c>
      <c r="H1464" s="2" t="s">
        <v>6</v>
      </c>
      <c r="I1464" s="2" t="s">
        <v>2787</v>
      </c>
      <c r="J1464" s="2" t="s">
        <v>3212</v>
      </c>
      <c r="K1464" s="2" t="s">
        <v>3210</v>
      </c>
      <c r="L1464" s="2" t="s">
        <v>3970</v>
      </c>
      <c r="M1464" s="3">
        <v>1</v>
      </c>
      <c r="N1464" s="3">
        <v>1</v>
      </c>
      <c r="P1464" s="2" t="s">
        <v>3213</v>
      </c>
    </row>
    <row r="1465" spans="1:16" ht="13">
      <c r="A1465" s="2" t="s">
        <v>4</v>
      </c>
      <c r="B1465" s="2" t="str">
        <f t="shared" si="22"/>
        <v>23-24 Academic Year</v>
      </c>
      <c r="C1465" s="2">
        <v>59</v>
      </c>
      <c r="D1465" s="2" t="s">
        <v>5138</v>
      </c>
      <c r="E1465" s="10">
        <v>45407</v>
      </c>
      <c r="F1465" s="2" t="s">
        <v>3192</v>
      </c>
      <c r="G1465" s="2" t="s">
        <v>2170</v>
      </c>
      <c r="H1465" s="2" t="s">
        <v>6</v>
      </c>
      <c r="I1465" s="2" t="s">
        <v>2787</v>
      </c>
      <c r="J1465" s="2" t="s">
        <v>3214</v>
      </c>
      <c r="K1465" s="2" t="s">
        <v>1215</v>
      </c>
      <c r="L1465" s="2" t="s">
        <v>3351</v>
      </c>
      <c r="M1465" s="3">
        <v>1</v>
      </c>
      <c r="N1465" s="3">
        <v>2</v>
      </c>
      <c r="P1465" s="2" t="s">
        <v>3215</v>
      </c>
    </row>
    <row r="1466" spans="1:16" ht="13">
      <c r="A1466" s="2" t="s">
        <v>4</v>
      </c>
      <c r="B1466" s="2" t="str">
        <f t="shared" si="22"/>
        <v>23-24 Academic Year</v>
      </c>
      <c r="C1466" s="2">
        <v>59</v>
      </c>
      <c r="D1466" s="2" t="s">
        <v>5138</v>
      </c>
      <c r="E1466" s="10">
        <v>45407</v>
      </c>
      <c r="F1466" s="2" t="s">
        <v>3192</v>
      </c>
      <c r="G1466" s="2" t="s">
        <v>2170</v>
      </c>
      <c r="H1466" s="2" t="s">
        <v>6</v>
      </c>
      <c r="I1466" s="2" t="s">
        <v>2787</v>
      </c>
      <c r="J1466" s="2" t="s">
        <v>3216</v>
      </c>
      <c r="K1466" s="2" t="s">
        <v>3217</v>
      </c>
      <c r="L1466" s="2" t="s">
        <v>5141</v>
      </c>
      <c r="M1466" s="3">
        <v>1</v>
      </c>
      <c r="N1466" s="3">
        <v>1</v>
      </c>
      <c r="P1466" s="2" t="s">
        <v>3218</v>
      </c>
    </row>
    <row r="1467" spans="1:16" ht="13">
      <c r="A1467" s="2" t="s">
        <v>4</v>
      </c>
      <c r="B1467" s="2" t="str">
        <f t="shared" si="22"/>
        <v>23-24 Academic Year</v>
      </c>
      <c r="C1467" s="2">
        <v>59</v>
      </c>
      <c r="D1467" s="2" t="s">
        <v>5138</v>
      </c>
      <c r="E1467" s="10">
        <v>45407</v>
      </c>
      <c r="F1467" s="2" t="s">
        <v>3192</v>
      </c>
      <c r="G1467" s="2" t="s">
        <v>2170</v>
      </c>
      <c r="H1467" s="2" t="s">
        <v>6</v>
      </c>
      <c r="I1467" s="2" t="s">
        <v>2787</v>
      </c>
      <c r="J1467" s="2" t="s">
        <v>3219</v>
      </c>
      <c r="K1467" s="2" t="s">
        <v>563</v>
      </c>
      <c r="L1467" s="2" t="s">
        <v>3359</v>
      </c>
      <c r="M1467" s="3">
        <v>2</v>
      </c>
      <c r="N1467" s="3">
        <v>2</v>
      </c>
      <c r="P1467" s="2" t="s">
        <v>3220</v>
      </c>
    </row>
    <row r="1468" spans="1:16" ht="13">
      <c r="A1468" s="2" t="s">
        <v>4</v>
      </c>
      <c r="B1468" s="2" t="str">
        <f t="shared" si="22"/>
        <v>23-24 Academic Year</v>
      </c>
      <c r="C1468" s="2">
        <v>59</v>
      </c>
      <c r="D1468" s="2" t="s">
        <v>5138</v>
      </c>
      <c r="E1468" s="10">
        <v>45407</v>
      </c>
      <c r="F1468" s="2" t="s">
        <v>3192</v>
      </c>
      <c r="G1468" s="2" t="s">
        <v>2170</v>
      </c>
      <c r="H1468" s="2" t="s">
        <v>6</v>
      </c>
      <c r="I1468" s="2" t="s">
        <v>2787</v>
      </c>
      <c r="J1468" s="2" t="s">
        <v>3221</v>
      </c>
      <c r="K1468" s="2" t="s">
        <v>563</v>
      </c>
      <c r="L1468" s="2" t="s">
        <v>3359</v>
      </c>
      <c r="M1468" s="3">
        <v>2</v>
      </c>
      <c r="N1468" s="3">
        <v>2</v>
      </c>
      <c r="P1468" s="2" t="s">
        <v>3222</v>
      </c>
    </row>
    <row r="1469" spans="1:16" ht="13">
      <c r="A1469" s="2" t="s">
        <v>4</v>
      </c>
      <c r="B1469" s="2" t="str">
        <f t="shared" si="22"/>
        <v>23-24 Academic Year</v>
      </c>
      <c r="C1469" s="2">
        <v>59</v>
      </c>
      <c r="D1469" s="2" t="s">
        <v>5138</v>
      </c>
      <c r="E1469" s="10">
        <v>45407</v>
      </c>
      <c r="F1469" s="2" t="s">
        <v>3192</v>
      </c>
      <c r="G1469" s="2" t="s">
        <v>2170</v>
      </c>
      <c r="H1469" s="2" t="s">
        <v>6</v>
      </c>
      <c r="I1469" s="2" t="s">
        <v>2787</v>
      </c>
      <c r="J1469" s="2" t="s">
        <v>3223</v>
      </c>
      <c r="K1469" s="2" t="s">
        <v>563</v>
      </c>
      <c r="L1469" s="2" t="s">
        <v>3359</v>
      </c>
      <c r="M1469" s="3">
        <v>2</v>
      </c>
      <c r="N1469" s="3">
        <v>2</v>
      </c>
      <c r="P1469" s="2" t="s">
        <v>3224</v>
      </c>
    </row>
    <row r="1470" spans="1:16" ht="13">
      <c r="A1470" s="2" t="s">
        <v>4</v>
      </c>
      <c r="B1470" s="2" t="str">
        <f t="shared" si="22"/>
        <v>23-24 Academic Year</v>
      </c>
      <c r="C1470" s="2">
        <v>59</v>
      </c>
      <c r="D1470" s="2" t="s">
        <v>5138</v>
      </c>
      <c r="E1470" s="10">
        <v>45407</v>
      </c>
      <c r="F1470" s="2" t="s">
        <v>3192</v>
      </c>
      <c r="G1470" s="2" t="s">
        <v>2170</v>
      </c>
      <c r="H1470" s="2" t="s">
        <v>6</v>
      </c>
      <c r="I1470" s="2" t="s">
        <v>2787</v>
      </c>
      <c r="J1470" s="2" t="s">
        <v>3225</v>
      </c>
      <c r="K1470" s="2" t="s">
        <v>513</v>
      </c>
      <c r="L1470" s="2" t="s">
        <v>3364</v>
      </c>
      <c r="M1470" s="3">
        <v>1</v>
      </c>
      <c r="N1470" s="3">
        <v>2</v>
      </c>
      <c r="P1470" s="2" t="s">
        <v>3226</v>
      </c>
    </row>
    <row r="1471" spans="1:16" ht="13">
      <c r="A1471" s="2" t="s">
        <v>4</v>
      </c>
      <c r="B1471" s="2" t="str">
        <f t="shared" si="22"/>
        <v>23-24 Academic Year</v>
      </c>
      <c r="C1471" s="2">
        <v>59</v>
      </c>
      <c r="D1471" s="2" t="s">
        <v>5138</v>
      </c>
      <c r="E1471" s="10">
        <v>45407</v>
      </c>
      <c r="F1471" s="2" t="s">
        <v>3192</v>
      </c>
      <c r="G1471" s="2" t="s">
        <v>2170</v>
      </c>
      <c r="H1471" s="2" t="s">
        <v>6</v>
      </c>
      <c r="I1471" s="2" t="s">
        <v>2787</v>
      </c>
      <c r="J1471" s="2" t="s">
        <v>3227</v>
      </c>
      <c r="K1471" s="2" t="s">
        <v>513</v>
      </c>
      <c r="L1471" s="2" t="s">
        <v>3364</v>
      </c>
      <c r="M1471" s="3">
        <v>1</v>
      </c>
      <c r="N1471" s="3">
        <v>2</v>
      </c>
      <c r="P1471" s="2" t="s">
        <v>3228</v>
      </c>
    </row>
    <row r="1472" spans="1:16" ht="13">
      <c r="A1472" s="2" t="s">
        <v>4</v>
      </c>
      <c r="B1472" s="2" t="str">
        <f t="shared" si="22"/>
        <v>23-24 Academic Year</v>
      </c>
      <c r="C1472" s="2">
        <v>59</v>
      </c>
      <c r="D1472" s="2" t="s">
        <v>5138</v>
      </c>
      <c r="E1472" s="10">
        <v>45407</v>
      </c>
      <c r="F1472" s="2" t="s">
        <v>3192</v>
      </c>
      <c r="G1472" s="2" t="s">
        <v>2170</v>
      </c>
      <c r="H1472" s="2" t="s">
        <v>6</v>
      </c>
      <c r="I1472" s="2" t="s">
        <v>2787</v>
      </c>
      <c r="J1472" s="2" t="s">
        <v>3229</v>
      </c>
      <c r="K1472" s="2" t="s">
        <v>472</v>
      </c>
      <c r="L1472" s="2" t="s">
        <v>1352</v>
      </c>
      <c r="M1472" s="3">
        <v>1</v>
      </c>
      <c r="N1472" s="3">
        <v>2</v>
      </c>
      <c r="P1472" s="2" t="s">
        <v>3230</v>
      </c>
    </row>
    <row r="1473" spans="1:16" ht="13">
      <c r="A1473" s="2" t="s">
        <v>4</v>
      </c>
      <c r="B1473" s="2" t="str">
        <f t="shared" si="22"/>
        <v>23-24 Academic Year</v>
      </c>
      <c r="C1473" s="2">
        <v>59</v>
      </c>
      <c r="D1473" s="2" t="s">
        <v>5138</v>
      </c>
      <c r="E1473" s="10">
        <v>45407</v>
      </c>
      <c r="F1473" s="2" t="s">
        <v>3192</v>
      </c>
      <c r="G1473" s="2" t="s">
        <v>2170</v>
      </c>
      <c r="H1473" s="2" t="s">
        <v>6</v>
      </c>
      <c r="I1473" s="2" t="s">
        <v>2787</v>
      </c>
      <c r="J1473" s="2" t="s">
        <v>3231</v>
      </c>
      <c r="K1473" s="2" t="s">
        <v>3232</v>
      </c>
      <c r="L1473" s="2" t="s">
        <v>3233</v>
      </c>
      <c r="M1473" s="3">
        <v>3</v>
      </c>
      <c r="N1473" s="3">
        <v>1</v>
      </c>
      <c r="P1473" s="2" t="s">
        <v>3234</v>
      </c>
    </row>
    <row r="1474" spans="1:16" ht="13">
      <c r="A1474" s="2" t="s">
        <v>4</v>
      </c>
      <c r="B1474" s="2" t="str">
        <f t="shared" si="22"/>
        <v>23-24 Academic Year</v>
      </c>
      <c r="C1474" s="2">
        <v>59</v>
      </c>
      <c r="D1474" s="2" t="s">
        <v>5138</v>
      </c>
      <c r="E1474" s="10">
        <v>45407</v>
      </c>
      <c r="F1474" s="2" t="s">
        <v>3192</v>
      </c>
      <c r="G1474" s="2" t="s">
        <v>2170</v>
      </c>
      <c r="H1474" s="2" t="s">
        <v>6</v>
      </c>
      <c r="I1474" s="2" t="s">
        <v>2787</v>
      </c>
      <c r="J1474" s="2" t="s">
        <v>3235</v>
      </c>
      <c r="K1474" s="2" t="s">
        <v>3236</v>
      </c>
      <c r="L1474" s="2" t="s">
        <v>5142</v>
      </c>
      <c r="M1474" s="3">
        <v>1</v>
      </c>
      <c r="N1474" s="3">
        <v>2</v>
      </c>
      <c r="P1474" s="2" t="s">
        <v>3237</v>
      </c>
    </row>
    <row r="1475" spans="1:16" ht="13">
      <c r="A1475" s="2" t="s">
        <v>4</v>
      </c>
      <c r="B1475" s="2" t="str">
        <f t="shared" ref="B1475:B1538" si="23">RIGHT(TEXT(IF(LEFT(A1475,4)="Fall",VALUE(RIGHT(A1475,4)),VALUE(RIGHT(A1475,4))-1),"00"),2)
 &amp; "-" &amp;
 RIGHT(TEXT(IF(LEFT(A1475,4)="Fall",VALUE(RIGHT(A1475,4))+1,VALUE(RIGHT(A1475,4))),"00"),2)
 &amp; " Academic Year"</f>
        <v>23-24 Academic Year</v>
      </c>
      <c r="C1475" s="2">
        <v>60</v>
      </c>
      <c r="D1475" s="2" t="s">
        <v>2340</v>
      </c>
      <c r="E1475" s="10">
        <v>45408</v>
      </c>
      <c r="F1475" s="2" t="s">
        <v>1368</v>
      </c>
      <c r="G1475" s="2" t="s">
        <v>2339</v>
      </c>
      <c r="H1475" s="2" t="s">
        <v>6</v>
      </c>
      <c r="I1475" s="2" t="s">
        <v>3238</v>
      </c>
      <c r="J1475" s="2" t="s">
        <v>3239</v>
      </c>
      <c r="K1475" s="2" t="s">
        <v>59</v>
      </c>
      <c r="L1475" s="2" t="s">
        <v>60</v>
      </c>
      <c r="M1475" s="3">
        <v>1</v>
      </c>
      <c r="N1475" s="3">
        <v>2</v>
      </c>
      <c r="P1475" s="2" t="s">
        <v>3240</v>
      </c>
    </row>
    <row r="1476" spans="1:16" ht="13">
      <c r="A1476" s="2" t="s">
        <v>4</v>
      </c>
      <c r="B1476" s="2" t="str">
        <f t="shared" si="23"/>
        <v>23-24 Academic Year</v>
      </c>
      <c r="C1476" s="2">
        <v>60</v>
      </c>
      <c r="D1476" s="2" t="s">
        <v>2340</v>
      </c>
      <c r="E1476" s="10">
        <v>45408</v>
      </c>
      <c r="F1476" s="2" t="s">
        <v>1368</v>
      </c>
      <c r="G1476" s="2" t="s">
        <v>2339</v>
      </c>
      <c r="H1476" s="2" t="s">
        <v>6</v>
      </c>
      <c r="I1476" s="2" t="s">
        <v>3238</v>
      </c>
      <c r="J1476" s="2" t="s">
        <v>3241</v>
      </c>
      <c r="K1476" s="2" t="s">
        <v>2900</v>
      </c>
      <c r="L1476" s="2" t="s">
        <v>4869</v>
      </c>
      <c r="M1476" s="3">
        <v>1</v>
      </c>
      <c r="N1476" s="3">
        <v>2</v>
      </c>
      <c r="P1476" s="2" t="s">
        <v>3242</v>
      </c>
    </row>
    <row r="1477" spans="1:16" ht="13">
      <c r="A1477" s="2" t="s">
        <v>4</v>
      </c>
      <c r="B1477" s="2" t="str">
        <f t="shared" si="23"/>
        <v>23-24 Academic Year</v>
      </c>
      <c r="C1477" s="2">
        <v>60</v>
      </c>
      <c r="D1477" s="2" t="s">
        <v>2340</v>
      </c>
      <c r="E1477" s="10">
        <v>45408</v>
      </c>
      <c r="F1477" s="2" t="s">
        <v>1368</v>
      </c>
      <c r="G1477" s="2" t="s">
        <v>2339</v>
      </c>
      <c r="H1477" s="2" t="s">
        <v>6</v>
      </c>
      <c r="I1477" s="2" t="s">
        <v>3238</v>
      </c>
      <c r="J1477" s="2" t="s">
        <v>3243</v>
      </c>
      <c r="K1477" s="2" t="s">
        <v>3244</v>
      </c>
      <c r="L1477" s="2" t="s">
        <v>838</v>
      </c>
      <c r="M1477" s="3">
        <v>1</v>
      </c>
      <c r="N1477" s="3">
        <v>2</v>
      </c>
      <c r="P1477" s="2" t="s">
        <v>3245</v>
      </c>
    </row>
    <row r="1478" spans="1:16" ht="13">
      <c r="A1478" s="2" t="s">
        <v>4</v>
      </c>
      <c r="B1478" s="2" t="str">
        <f t="shared" si="23"/>
        <v>23-24 Academic Year</v>
      </c>
      <c r="C1478" s="2">
        <v>60</v>
      </c>
      <c r="D1478" s="2" t="s">
        <v>2340</v>
      </c>
      <c r="E1478" s="10">
        <v>45408</v>
      </c>
      <c r="F1478" s="2" t="s">
        <v>1368</v>
      </c>
      <c r="G1478" s="2" t="s">
        <v>2339</v>
      </c>
      <c r="H1478" s="2" t="s">
        <v>6</v>
      </c>
      <c r="I1478" s="2" t="s">
        <v>3238</v>
      </c>
      <c r="J1478" s="2" t="s">
        <v>3246</v>
      </c>
      <c r="K1478" s="2" t="s">
        <v>3210</v>
      </c>
      <c r="L1478" s="2" t="s">
        <v>3970</v>
      </c>
      <c r="M1478" s="3">
        <v>1</v>
      </c>
      <c r="N1478" s="3">
        <v>1</v>
      </c>
      <c r="P1478" s="2" t="s">
        <v>3247</v>
      </c>
    </row>
    <row r="1479" spans="1:16" ht="13">
      <c r="A1479" s="2" t="s">
        <v>4</v>
      </c>
      <c r="B1479" s="2" t="str">
        <f t="shared" si="23"/>
        <v>23-24 Academic Year</v>
      </c>
      <c r="C1479" s="2">
        <v>60</v>
      </c>
      <c r="D1479" s="2" t="s">
        <v>2340</v>
      </c>
      <c r="E1479" s="10">
        <v>45408</v>
      </c>
      <c r="F1479" s="2" t="s">
        <v>1368</v>
      </c>
      <c r="G1479" s="2" t="s">
        <v>2339</v>
      </c>
      <c r="H1479" s="2" t="s">
        <v>6</v>
      </c>
      <c r="I1479" s="2" t="s">
        <v>3238</v>
      </c>
      <c r="J1479" s="2" t="s">
        <v>3248</v>
      </c>
      <c r="K1479" s="2" t="s">
        <v>3249</v>
      </c>
      <c r="L1479" s="2" t="s">
        <v>5143</v>
      </c>
      <c r="M1479" s="3">
        <v>1</v>
      </c>
      <c r="N1479" s="3">
        <v>2</v>
      </c>
      <c r="P1479" s="2" t="s">
        <v>3250</v>
      </c>
    </row>
    <row r="1480" spans="1:16" ht="13">
      <c r="A1480" s="2" t="s">
        <v>4</v>
      </c>
      <c r="B1480" s="2" t="str">
        <f t="shared" si="23"/>
        <v>23-24 Academic Year</v>
      </c>
      <c r="C1480" s="2">
        <v>60</v>
      </c>
      <c r="D1480" s="2" t="s">
        <v>2340</v>
      </c>
      <c r="E1480" s="10">
        <v>45408</v>
      </c>
      <c r="F1480" s="2" t="s">
        <v>1368</v>
      </c>
      <c r="G1480" s="2" t="s">
        <v>2339</v>
      </c>
      <c r="H1480" s="2" t="s">
        <v>6</v>
      </c>
      <c r="I1480" s="2" t="s">
        <v>3238</v>
      </c>
      <c r="J1480" s="2" t="s">
        <v>3251</v>
      </c>
      <c r="K1480" s="2" t="s">
        <v>3252</v>
      </c>
      <c r="L1480" s="2" t="s">
        <v>2858</v>
      </c>
      <c r="M1480" s="3">
        <v>1</v>
      </c>
      <c r="N1480" s="3">
        <v>2</v>
      </c>
      <c r="P1480" s="2" t="s">
        <v>3253</v>
      </c>
    </row>
    <row r="1481" spans="1:16" ht="13">
      <c r="A1481" s="2" t="s">
        <v>4</v>
      </c>
      <c r="B1481" s="2" t="str">
        <f t="shared" si="23"/>
        <v>23-24 Academic Year</v>
      </c>
      <c r="C1481" s="2">
        <v>61</v>
      </c>
      <c r="D1481" s="2" t="s">
        <v>3254</v>
      </c>
      <c r="E1481" s="10">
        <v>45409</v>
      </c>
      <c r="F1481" s="2" t="s">
        <v>3254</v>
      </c>
      <c r="G1481" s="2" t="s">
        <v>2184</v>
      </c>
      <c r="H1481" s="2" t="s">
        <v>7</v>
      </c>
      <c r="I1481" s="2" t="s">
        <v>3254</v>
      </c>
      <c r="J1481" s="2" t="s">
        <v>3255</v>
      </c>
      <c r="K1481" s="2" t="s">
        <v>1103</v>
      </c>
      <c r="L1481" s="2" t="s">
        <v>1104</v>
      </c>
      <c r="M1481" s="3">
        <v>1</v>
      </c>
      <c r="N1481" s="3">
        <v>2</v>
      </c>
      <c r="P1481" s="2" t="s">
        <v>3256</v>
      </c>
    </row>
    <row r="1482" spans="1:16" ht="13">
      <c r="A1482" s="2" t="s">
        <v>4</v>
      </c>
      <c r="B1482" s="2" t="str">
        <f t="shared" si="23"/>
        <v>23-24 Academic Year</v>
      </c>
      <c r="C1482" s="2">
        <v>61</v>
      </c>
      <c r="D1482" s="2" t="s">
        <v>3254</v>
      </c>
      <c r="E1482" s="10">
        <v>45409</v>
      </c>
      <c r="F1482" s="2" t="s">
        <v>3254</v>
      </c>
      <c r="G1482" s="2" t="s">
        <v>2184</v>
      </c>
      <c r="H1482" s="2" t="s">
        <v>7</v>
      </c>
      <c r="I1482" s="2" t="s">
        <v>3254</v>
      </c>
      <c r="J1482" s="2" t="s">
        <v>3257</v>
      </c>
      <c r="K1482" s="2" t="s">
        <v>3258</v>
      </c>
      <c r="L1482" s="2" t="s">
        <v>5144</v>
      </c>
      <c r="M1482" s="3">
        <v>1</v>
      </c>
      <c r="N1482" s="3">
        <v>2</v>
      </c>
      <c r="P1482" s="2" t="s">
        <v>3259</v>
      </c>
    </row>
    <row r="1483" spans="1:16" ht="13">
      <c r="A1483" s="2" t="s">
        <v>4</v>
      </c>
      <c r="B1483" s="2" t="str">
        <f t="shared" si="23"/>
        <v>23-24 Academic Year</v>
      </c>
      <c r="C1483" s="2">
        <v>61</v>
      </c>
      <c r="D1483" s="2" t="s">
        <v>3254</v>
      </c>
      <c r="E1483" s="10">
        <v>45409</v>
      </c>
      <c r="F1483" s="2" t="s">
        <v>3254</v>
      </c>
      <c r="G1483" s="2" t="s">
        <v>2184</v>
      </c>
      <c r="H1483" s="2" t="s">
        <v>7</v>
      </c>
      <c r="I1483" s="2" t="s">
        <v>3254</v>
      </c>
      <c r="J1483" s="2" t="s">
        <v>3260</v>
      </c>
      <c r="K1483" s="2" t="s">
        <v>3261</v>
      </c>
      <c r="L1483" s="2" t="s">
        <v>5145</v>
      </c>
      <c r="M1483" s="3">
        <v>1</v>
      </c>
      <c r="N1483" s="3">
        <v>2</v>
      </c>
      <c r="P1483" s="2" t="s">
        <v>3262</v>
      </c>
    </row>
    <row r="1484" spans="1:16" ht="13">
      <c r="A1484" s="2" t="s">
        <v>4</v>
      </c>
      <c r="B1484" s="2" t="str">
        <f t="shared" si="23"/>
        <v>23-24 Academic Year</v>
      </c>
      <c r="C1484" s="2">
        <v>61</v>
      </c>
      <c r="D1484" s="2" t="s">
        <v>3254</v>
      </c>
      <c r="E1484" s="10">
        <v>45409</v>
      </c>
      <c r="F1484" s="2" t="s">
        <v>3254</v>
      </c>
      <c r="G1484" s="2" t="s">
        <v>2184</v>
      </c>
      <c r="H1484" s="2" t="s">
        <v>7</v>
      </c>
      <c r="I1484" s="2" t="s">
        <v>3254</v>
      </c>
      <c r="J1484" s="2" t="s">
        <v>3263</v>
      </c>
      <c r="K1484" s="2" t="s">
        <v>513</v>
      </c>
      <c r="L1484" s="2" t="s">
        <v>3364</v>
      </c>
      <c r="M1484" s="3">
        <v>1</v>
      </c>
      <c r="N1484" s="3">
        <v>2</v>
      </c>
      <c r="P1484" s="2" t="s">
        <v>3264</v>
      </c>
    </row>
    <row r="1485" spans="1:16" ht="13">
      <c r="A1485" s="2" t="s">
        <v>4</v>
      </c>
      <c r="B1485" s="2" t="str">
        <f t="shared" si="23"/>
        <v>23-24 Academic Year</v>
      </c>
      <c r="C1485" s="2">
        <v>62</v>
      </c>
      <c r="D1485" s="2" t="s">
        <v>3267</v>
      </c>
      <c r="E1485" s="10">
        <v>45410</v>
      </c>
      <c r="F1485" s="2" t="s">
        <v>3265</v>
      </c>
      <c r="G1485" s="2" t="s">
        <v>2170</v>
      </c>
      <c r="H1485" s="2" t="s">
        <v>6</v>
      </c>
      <c r="I1485" s="2" t="s">
        <v>15</v>
      </c>
      <c r="J1485" s="2" t="s">
        <v>3266</v>
      </c>
      <c r="K1485" s="2" t="s">
        <v>3267</v>
      </c>
      <c r="L1485" s="2" t="s">
        <v>2081</v>
      </c>
      <c r="M1485" s="3">
        <v>999</v>
      </c>
      <c r="N1485" s="3">
        <v>999</v>
      </c>
      <c r="P1485" s="2" t="s">
        <v>3268</v>
      </c>
    </row>
    <row r="1486" spans="1:16" ht="13">
      <c r="A1486" s="2" t="s">
        <v>4</v>
      </c>
      <c r="B1486" s="2" t="str">
        <f t="shared" si="23"/>
        <v>23-24 Academic Year</v>
      </c>
      <c r="C1486" s="2">
        <v>62</v>
      </c>
      <c r="D1486" s="2" t="s">
        <v>3267</v>
      </c>
      <c r="E1486" s="10">
        <v>45410</v>
      </c>
      <c r="F1486" s="2" t="s">
        <v>3265</v>
      </c>
      <c r="G1486" s="2" t="s">
        <v>2170</v>
      </c>
      <c r="H1486" s="2" t="s">
        <v>6</v>
      </c>
      <c r="I1486" s="2" t="s">
        <v>15</v>
      </c>
      <c r="J1486" s="2" t="s">
        <v>3269</v>
      </c>
      <c r="K1486" s="2" t="s">
        <v>3267</v>
      </c>
      <c r="L1486" s="2" t="s">
        <v>2081</v>
      </c>
      <c r="M1486" s="3">
        <v>999</v>
      </c>
      <c r="N1486" s="3">
        <v>999</v>
      </c>
      <c r="P1486" s="2" t="s">
        <v>3270</v>
      </c>
    </row>
    <row r="1487" spans="1:16" ht="13">
      <c r="A1487" s="2" t="s">
        <v>4</v>
      </c>
      <c r="B1487" s="2" t="str">
        <f t="shared" si="23"/>
        <v>23-24 Academic Year</v>
      </c>
      <c r="C1487" s="2">
        <v>62</v>
      </c>
      <c r="D1487" s="2" t="s">
        <v>3267</v>
      </c>
      <c r="E1487" s="10">
        <v>45410</v>
      </c>
      <c r="F1487" s="2" t="s">
        <v>3265</v>
      </c>
      <c r="G1487" s="2" t="s">
        <v>2170</v>
      </c>
      <c r="H1487" s="2" t="s">
        <v>6</v>
      </c>
      <c r="I1487" s="2" t="s">
        <v>15</v>
      </c>
      <c r="J1487" s="2" t="s">
        <v>3271</v>
      </c>
      <c r="K1487" s="2" t="s">
        <v>3267</v>
      </c>
      <c r="L1487" s="2" t="s">
        <v>2081</v>
      </c>
      <c r="M1487" s="3">
        <v>999</v>
      </c>
      <c r="N1487" s="3">
        <v>999</v>
      </c>
      <c r="P1487" s="2" t="s">
        <v>3272</v>
      </c>
    </row>
    <row r="1488" spans="1:16" ht="13">
      <c r="A1488" s="2" t="s">
        <v>4</v>
      </c>
      <c r="B1488" s="2" t="str">
        <f t="shared" si="23"/>
        <v>23-24 Academic Year</v>
      </c>
      <c r="C1488" s="2">
        <v>62</v>
      </c>
      <c r="D1488" s="2" t="s">
        <v>3267</v>
      </c>
      <c r="E1488" s="10">
        <v>45410</v>
      </c>
      <c r="F1488" s="2" t="s">
        <v>3265</v>
      </c>
      <c r="G1488" s="2" t="s">
        <v>2170</v>
      </c>
      <c r="H1488" s="2" t="s">
        <v>6</v>
      </c>
      <c r="I1488" s="2" t="s">
        <v>15</v>
      </c>
      <c r="J1488" s="2" t="s">
        <v>3273</v>
      </c>
      <c r="K1488" s="2" t="s">
        <v>3267</v>
      </c>
      <c r="L1488" s="2" t="s">
        <v>2081</v>
      </c>
      <c r="M1488" s="3">
        <v>999</v>
      </c>
      <c r="N1488" s="3">
        <v>999</v>
      </c>
      <c r="P1488" s="2" t="s">
        <v>3274</v>
      </c>
    </row>
    <row r="1489" spans="1:16" ht="13">
      <c r="A1489" s="2" t="s">
        <v>4</v>
      </c>
      <c r="B1489" s="2" t="str">
        <f t="shared" si="23"/>
        <v>23-24 Academic Year</v>
      </c>
      <c r="C1489" s="2">
        <v>62</v>
      </c>
      <c r="D1489" s="2" t="s">
        <v>3267</v>
      </c>
      <c r="E1489" s="10">
        <v>45410</v>
      </c>
      <c r="F1489" s="2" t="s">
        <v>3265</v>
      </c>
      <c r="G1489" s="2" t="s">
        <v>2170</v>
      </c>
      <c r="H1489" s="2" t="s">
        <v>6</v>
      </c>
      <c r="I1489" s="2" t="s">
        <v>15</v>
      </c>
      <c r="J1489" s="2" t="s">
        <v>3275</v>
      </c>
      <c r="K1489" s="2" t="s">
        <v>3267</v>
      </c>
      <c r="L1489" s="2" t="s">
        <v>2081</v>
      </c>
      <c r="M1489" s="3">
        <v>999</v>
      </c>
      <c r="N1489" s="3">
        <v>999</v>
      </c>
      <c r="P1489" s="2" t="s">
        <v>3276</v>
      </c>
    </row>
    <row r="1490" spans="1:16" ht="13">
      <c r="A1490" s="2" t="s">
        <v>4</v>
      </c>
      <c r="B1490" s="2" t="str">
        <f t="shared" si="23"/>
        <v>23-24 Academic Year</v>
      </c>
      <c r="C1490" s="2">
        <v>62</v>
      </c>
      <c r="D1490" s="2" t="s">
        <v>3267</v>
      </c>
      <c r="E1490" s="10">
        <v>45410</v>
      </c>
      <c r="F1490" s="2" t="s">
        <v>3265</v>
      </c>
      <c r="G1490" s="2" t="s">
        <v>2170</v>
      </c>
      <c r="H1490" s="2" t="s">
        <v>6</v>
      </c>
      <c r="I1490" s="2" t="s">
        <v>15</v>
      </c>
      <c r="J1490" s="2" t="s">
        <v>3277</v>
      </c>
      <c r="K1490" s="2" t="s">
        <v>3267</v>
      </c>
      <c r="L1490" s="2" t="s">
        <v>2081</v>
      </c>
      <c r="M1490" s="3">
        <v>999</v>
      </c>
      <c r="N1490" s="3">
        <v>999</v>
      </c>
      <c r="P1490" s="2" t="s">
        <v>3278</v>
      </c>
    </row>
    <row r="1491" spans="1:16" ht="13">
      <c r="A1491" s="2" t="s">
        <v>4</v>
      </c>
      <c r="B1491" s="2" t="str">
        <f t="shared" si="23"/>
        <v>23-24 Academic Year</v>
      </c>
      <c r="C1491" s="2">
        <v>62</v>
      </c>
      <c r="D1491" s="2" t="s">
        <v>3267</v>
      </c>
      <c r="E1491" s="10">
        <v>45410</v>
      </c>
      <c r="F1491" s="2" t="s">
        <v>3265</v>
      </c>
      <c r="G1491" s="2" t="s">
        <v>2170</v>
      </c>
      <c r="H1491" s="2" t="s">
        <v>6</v>
      </c>
      <c r="I1491" s="2" t="s">
        <v>15</v>
      </c>
      <c r="J1491" s="2" t="s">
        <v>3279</v>
      </c>
      <c r="K1491" s="2" t="s">
        <v>3267</v>
      </c>
      <c r="L1491" s="2" t="s">
        <v>2081</v>
      </c>
      <c r="M1491" s="3">
        <v>999</v>
      </c>
      <c r="N1491" s="3">
        <v>999</v>
      </c>
      <c r="P1491" s="2" t="s">
        <v>3280</v>
      </c>
    </row>
    <row r="1492" spans="1:16" ht="13">
      <c r="A1492" s="2" t="s">
        <v>4</v>
      </c>
      <c r="B1492" s="2" t="str">
        <f t="shared" si="23"/>
        <v>23-24 Academic Year</v>
      </c>
      <c r="C1492" s="2">
        <v>62</v>
      </c>
      <c r="D1492" s="2" t="s">
        <v>3267</v>
      </c>
      <c r="E1492" s="10">
        <v>45410</v>
      </c>
      <c r="F1492" s="2" t="s">
        <v>3265</v>
      </c>
      <c r="G1492" s="2" t="s">
        <v>2170</v>
      </c>
      <c r="H1492" s="2" t="s">
        <v>6</v>
      </c>
      <c r="I1492" s="2" t="s">
        <v>15</v>
      </c>
      <c r="J1492" s="2" t="s">
        <v>3281</v>
      </c>
      <c r="K1492" s="2" t="s">
        <v>3267</v>
      </c>
      <c r="L1492" s="2" t="s">
        <v>2081</v>
      </c>
      <c r="M1492" s="3">
        <v>999</v>
      </c>
      <c r="N1492" s="3">
        <v>999</v>
      </c>
      <c r="P1492" s="2" t="s">
        <v>3282</v>
      </c>
    </row>
    <row r="1493" spans="1:16" ht="13">
      <c r="A1493" s="2" t="s">
        <v>4</v>
      </c>
      <c r="B1493" s="2" t="str">
        <f t="shared" si="23"/>
        <v>23-24 Academic Year</v>
      </c>
      <c r="C1493" s="2">
        <v>63</v>
      </c>
      <c r="D1493" s="2" t="s">
        <v>2990</v>
      </c>
      <c r="E1493" s="10">
        <v>45411</v>
      </c>
      <c r="F1493" s="2" t="s">
        <v>3283</v>
      </c>
      <c r="G1493" s="2" t="s">
        <v>2339</v>
      </c>
      <c r="H1493" s="2" t="s">
        <v>8</v>
      </c>
      <c r="I1493" s="2" t="s">
        <v>2990</v>
      </c>
      <c r="J1493" s="2" t="s">
        <v>3284</v>
      </c>
      <c r="K1493" s="2" t="s">
        <v>3070</v>
      </c>
      <c r="L1493" s="2" t="s">
        <v>5112</v>
      </c>
      <c r="M1493" s="3">
        <v>2</v>
      </c>
      <c r="N1493" s="3">
        <v>2</v>
      </c>
      <c r="P1493" s="2" t="s">
        <v>3285</v>
      </c>
    </row>
    <row r="1494" spans="1:16" ht="13">
      <c r="A1494" s="2" t="s">
        <v>4</v>
      </c>
      <c r="B1494" s="2" t="str">
        <f t="shared" si="23"/>
        <v>23-24 Academic Year</v>
      </c>
      <c r="C1494" s="2">
        <v>63</v>
      </c>
      <c r="D1494" s="2" t="s">
        <v>2990</v>
      </c>
      <c r="E1494" s="10">
        <v>45411</v>
      </c>
      <c r="F1494" s="2" t="s">
        <v>3283</v>
      </c>
      <c r="G1494" s="2" t="s">
        <v>2339</v>
      </c>
      <c r="H1494" s="2" t="s">
        <v>8</v>
      </c>
      <c r="I1494" s="2" t="s">
        <v>2990</v>
      </c>
      <c r="J1494" s="2" t="s">
        <v>3286</v>
      </c>
      <c r="K1494" s="2" t="s">
        <v>3287</v>
      </c>
      <c r="L1494" s="2" t="s">
        <v>4901</v>
      </c>
      <c r="M1494" s="3">
        <v>1</v>
      </c>
      <c r="N1494" s="3">
        <v>2</v>
      </c>
      <c r="P1494" s="2" t="s">
        <v>3288</v>
      </c>
    </row>
    <row r="1495" spans="1:16" ht="13">
      <c r="A1495" s="2" t="s">
        <v>4</v>
      </c>
      <c r="B1495" s="2" t="str">
        <f t="shared" si="23"/>
        <v>23-24 Academic Year</v>
      </c>
      <c r="C1495" s="2">
        <v>63</v>
      </c>
      <c r="D1495" s="2" t="s">
        <v>2990</v>
      </c>
      <c r="E1495" s="10">
        <v>45411</v>
      </c>
      <c r="F1495" s="2" t="s">
        <v>3283</v>
      </c>
      <c r="G1495" s="2" t="s">
        <v>2339</v>
      </c>
      <c r="H1495" s="2" t="s">
        <v>8</v>
      </c>
      <c r="I1495" s="2" t="s">
        <v>2990</v>
      </c>
      <c r="J1495" s="2" t="s">
        <v>3289</v>
      </c>
      <c r="K1495" s="2" t="s">
        <v>3290</v>
      </c>
      <c r="L1495" s="2" t="s">
        <v>5146</v>
      </c>
      <c r="M1495" s="3">
        <v>1</v>
      </c>
      <c r="N1495" s="3">
        <v>2</v>
      </c>
      <c r="P1495" s="2" t="s">
        <v>3291</v>
      </c>
    </row>
    <row r="1496" spans="1:16" ht="13">
      <c r="A1496" s="2" t="s">
        <v>4</v>
      </c>
      <c r="B1496" s="2" t="str">
        <f t="shared" si="23"/>
        <v>23-24 Academic Year</v>
      </c>
      <c r="C1496" s="2">
        <v>63</v>
      </c>
      <c r="D1496" s="2" t="s">
        <v>2990</v>
      </c>
      <c r="E1496" s="10">
        <v>45411</v>
      </c>
      <c r="F1496" s="2" t="s">
        <v>3283</v>
      </c>
      <c r="G1496" s="2" t="s">
        <v>2339</v>
      </c>
      <c r="H1496" s="2" t="s">
        <v>8</v>
      </c>
      <c r="I1496" s="2" t="s">
        <v>2990</v>
      </c>
      <c r="J1496" s="2" t="s">
        <v>3292</v>
      </c>
      <c r="K1496" s="2" t="s">
        <v>3293</v>
      </c>
      <c r="L1496" s="2" t="s">
        <v>3294</v>
      </c>
      <c r="M1496" s="3">
        <v>1</v>
      </c>
      <c r="N1496" s="3">
        <v>2</v>
      </c>
      <c r="P1496" s="2" t="s">
        <v>3295</v>
      </c>
    </row>
    <row r="1497" spans="1:16" ht="13">
      <c r="A1497" s="2" t="s">
        <v>4</v>
      </c>
      <c r="B1497" s="2" t="str">
        <f t="shared" si="23"/>
        <v>23-24 Academic Year</v>
      </c>
      <c r="C1497" s="2">
        <v>63</v>
      </c>
      <c r="D1497" s="2" t="s">
        <v>2990</v>
      </c>
      <c r="E1497" s="10">
        <v>45411</v>
      </c>
      <c r="F1497" s="2" t="s">
        <v>3283</v>
      </c>
      <c r="G1497" s="2" t="s">
        <v>2339</v>
      </c>
      <c r="H1497" s="2" t="s">
        <v>8</v>
      </c>
      <c r="I1497" s="2" t="s">
        <v>2990</v>
      </c>
      <c r="J1497" s="2" t="s">
        <v>3296</v>
      </c>
      <c r="K1497" s="2" t="s">
        <v>59</v>
      </c>
      <c r="L1497" s="2" t="s">
        <v>60</v>
      </c>
      <c r="M1497" s="3">
        <v>1</v>
      </c>
      <c r="N1497" s="3">
        <v>2</v>
      </c>
      <c r="P1497" s="2" t="s">
        <v>3297</v>
      </c>
    </row>
    <row r="1498" spans="1:16" ht="13">
      <c r="A1498" s="2" t="s">
        <v>4</v>
      </c>
      <c r="B1498" s="2" t="str">
        <f t="shared" si="23"/>
        <v>23-24 Academic Year</v>
      </c>
      <c r="C1498" s="2">
        <v>63</v>
      </c>
      <c r="D1498" s="2" t="s">
        <v>2990</v>
      </c>
      <c r="E1498" s="10">
        <v>45411</v>
      </c>
      <c r="F1498" s="2" t="s">
        <v>3283</v>
      </c>
      <c r="G1498" s="2" t="s">
        <v>2339</v>
      </c>
      <c r="H1498" s="2" t="s">
        <v>8</v>
      </c>
      <c r="I1498" s="2" t="s">
        <v>2990</v>
      </c>
      <c r="J1498" s="2" t="s">
        <v>3298</v>
      </c>
      <c r="K1498" s="2" t="s">
        <v>2830</v>
      </c>
      <c r="L1498" s="2" t="s">
        <v>5101</v>
      </c>
      <c r="M1498" s="3">
        <v>1</v>
      </c>
      <c r="N1498" s="3">
        <v>2</v>
      </c>
      <c r="P1498" s="2" t="s">
        <v>3299</v>
      </c>
    </row>
    <row r="1499" spans="1:16" ht="13">
      <c r="A1499" s="2" t="s">
        <v>4</v>
      </c>
      <c r="B1499" s="2" t="str">
        <f t="shared" si="23"/>
        <v>23-24 Academic Year</v>
      </c>
      <c r="C1499" s="2">
        <v>64</v>
      </c>
      <c r="D1499" s="2" t="s">
        <v>2990</v>
      </c>
      <c r="E1499" s="10">
        <v>45412</v>
      </c>
      <c r="F1499" s="2" t="s">
        <v>3300</v>
      </c>
      <c r="G1499" s="2" t="s">
        <v>2988</v>
      </c>
      <c r="H1499" s="2" t="s">
        <v>8</v>
      </c>
      <c r="I1499" s="2" t="s">
        <v>2990</v>
      </c>
      <c r="J1499" s="2" t="s">
        <v>3301</v>
      </c>
      <c r="K1499" s="2" t="s">
        <v>2542</v>
      </c>
      <c r="L1499" s="2" t="s">
        <v>2056</v>
      </c>
      <c r="M1499" s="3">
        <v>999</v>
      </c>
      <c r="N1499" s="3">
        <v>999</v>
      </c>
      <c r="P1499" s="2" t="s">
        <v>2754</v>
      </c>
    </row>
    <row r="1500" spans="1:16" ht="13">
      <c r="A1500" s="2" t="s">
        <v>4</v>
      </c>
      <c r="B1500" s="2" t="str">
        <f t="shared" si="23"/>
        <v>23-24 Academic Year</v>
      </c>
      <c r="C1500" s="2">
        <v>64</v>
      </c>
      <c r="D1500" s="2" t="s">
        <v>2990</v>
      </c>
      <c r="E1500" s="10">
        <v>45412</v>
      </c>
      <c r="F1500" s="2" t="s">
        <v>3300</v>
      </c>
      <c r="G1500" s="2" t="s">
        <v>2988</v>
      </c>
      <c r="H1500" s="2" t="s">
        <v>8</v>
      </c>
      <c r="I1500" s="2" t="s">
        <v>2990</v>
      </c>
      <c r="J1500" s="2" t="s">
        <v>3302</v>
      </c>
      <c r="K1500" s="2" t="s">
        <v>3303</v>
      </c>
      <c r="L1500" s="2" t="s">
        <v>2052</v>
      </c>
      <c r="M1500" s="3">
        <v>999</v>
      </c>
      <c r="N1500" s="3">
        <v>999</v>
      </c>
      <c r="P1500" s="2" t="s">
        <v>3304</v>
      </c>
    </row>
    <row r="1501" spans="1:16" ht="13">
      <c r="A1501" s="2" t="s">
        <v>4</v>
      </c>
      <c r="B1501" s="2" t="str">
        <f t="shared" si="23"/>
        <v>23-24 Academic Year</v>
      </c>
      <c r="C1501" s="2">
        <v>64</v>
      </c>
      <c r="D1501" s="2" t="s">
        <v>2990</v>
      </c>
      <c r="E1501" s="10">
        <v>45412</v>
      </c>
      <c r="F1501" s="2" t="s">
        <v>3300</v>
      </c>
      <c r="G1501" s="2" t="s">
        <v>2988</v>
      </c>
      <c r="H1501" s="2" t="s">
        <v>8</v>
      </c>
      <c r="I1501" s="2" t="s">
        <v>2990</v>
      </c>
      <c r="J1501" s="2" t="s">
        <v>3305</v>
      </c>
      <c r="K1501" s="2" t="s">
        <v>3306</v>
      </c>
      <c r="L1501" s="2" t="s">
        <v>2060</v>
      </c>
      <c r="M1501" s="3">
        <v>999</v>
      </c>
      <c r="N1501" s="3">
        <v>999</v>
      </c>
      <c r="P1501" s="2" t="s">
        <v>3307</v>
      </c>
    </row>
    <row r="1502" spans="1:16" ht="13">
      <c r="A1502" s="2" t="s">
        <v>4</v>
      </c>
      <c r="B1502" s="2" t="str">
        <f t="shared" si="23"/>
        <v>23-24 Academic Year</v>
      </c>
      <c r="C1502" s="2">
        <v>64</v>
      </c>
      <c r="D1502" s="2" t="s">
        <v>2990</v>
      </c>
      <c r="E1502" s="10">
        <v>45412</v>
      </c>
      <c r="F1502" s="2" t="s">
        <v>3300</v>
      </c>
      <c r="G1502" s="2" t="s">
        <v>2988</v>
      </c>
      <c r="H1502" s="2" t="s">
        <v>8</v>
      </c>
      <c r="I1502" s="2" t="s">
        <v>2990</v>
      </c>
      <c r="J1502" s="2" t="s">
        <v>3308</v>
      </c>
      <c r="K1502" s="2" t="s">
        <v>3309</v>
      </c>
      <c r="L1502" s="2" t="s">
        <v>2067</v>
      </c>
      <c r="M1502" s="3">
        <v>999</v>
      </c>
      <c r="N1502" s="3">
        <v>999</v>
      </c>
      <c r="P1502" s="2" t="s">
        <v>3310</v>
      </c>
    </row>
    <row r="1503" spans="1:16" ht="13">
      <c r="A1503" s="2" t="s">
        <v>4</v>
      </c>
      <c r="B1503" s="2" t="str">
        <f t="shared" si="23"/>
        <v>23-24 Academic Year</v>
      </c>
      <c r="C1503" s="2">
        <v>64</v>
      </c>
      <c r="D1503" s="2" t="s">
        <v>2990</v>
      </c>
      <c r="E1503" s="10">
        <v>45412</v>
      </c>
      <c r="F1503" s="2" t="s">
        <v>3300</v>
      </c>
      <c r="G1503" s="2" t="s">
        <v>2988</v>
      </c>
      <c r="H1503" s="2" t="s">
        <v>8</v>
      </c>
      <c r="I1503" s="2" t="s">
        <v>2990</v>
      </c>
      <c r="J1503" s="2" t="s">
        <v>3311</v>
      </c>
      <c r="K1503" s="2" t="s">
        <v>902</v>
      </c>
      <c r="L1503" s="2" t="s">
        <v>2048</v>
      </c>
      <c r="M1503" s="3">
        <v>999</v>
      </c>
      <c r="N1503" s="3">
        <v>999</v>
      </c>
      <c r="P1503" s="2" t="s">
        <v>3312</v>
      </c>
    </row>
    <row r="1504" spans="1:16" ht="13">
      <c r="A1504" s="2" t="s">
        <v>4</v>
      </c>
      <c r="B1504" s="2" t="str">
        <f t="shared" si="23"/>
        <v>23-24 Academic Year</v>
      </c>
      <c r="C1504" s="2">
        <v>64</v>
      </c>
      <c r="D1504" s="2" t="s">
        <v>2990</v>
      </c>
      <c r="E1504" s="10">
        <v>45412</v>
      </c>
      <c r="F1504" s="2" t="s">
        <v>3300</v>
      </c>
      <c r="G1504" s="2" t="s">
        <v>2988</v>
      </c>
      <c r="H1504" s="2" t="s">
        <v>8</v>
      </c>
      <c r="I1504" s="2" t="s">
        <v>2990</v>
      </c>
      <c r="J1504" s="2" t="s">
        <v>3313</v>
      </c>
      <c r="K1504" s="2" t="s">
        <v>3314</v>
      </c>
      <c r="L1504" s="2" t="s">
        <v>2040</v>
      </c>
      <c r="M1504" s="3">
        <v>999</v>
      </c>
      <c r="N1504" s="3">
        <v>999</v>
      </c>
      <c r="P1504" s="2" t="s">
        <v>3315</v>
      </c>
    </row>
    <row r="1505" spans="1:16" ht="13">
      <c r="A1505" s="2" t="s">
        <v>4</v>
      </c>
      <c r="B1505" s="2" t="str">
        <f t="shared" si="23"/>
        <v>23-24 Academic Year</v>
      </c>
      <c r="C1505" s="2">
        <v>65</v>
      </c>
      <c r="D1505" s="2" t="s">
        <v>5147</v>
      </c>
      <c r="E1505" s="10">
        <v>45422</v>
      </c>
      <c r="F1505" s="2" t="s">
        <v>3316</v>
      </c>
      <c r="G1505" s="2" t="s">
        <v>2170</v>
      </c>
      <c r="H1505" s="2" t="s">
        <v>6</v>
      </c>
      <c r="I1505" s="2" t="s">
        <v>2787</v>
      </c>
      <c r="J1505" s="2" t="s">
        <v>3317</v>
      </c>
      <c r="K1505" s="2" t="s">
        <v>3318</v>
      </c>
      <c r="L1505" s="2" t="s">
        <v>5148</v>
      </c>
      <c r="M1505" s="3">
        <v>1</v>
      </c>
      <c r="N1505" s="3">
        <v>2</v>
      </c>
      <c r="P1505" s="2" t="s">
        <v>3319</v>
      </c>
    </row>
    <row r="1506" spans="1:16" ht="13">
      <c r="A1506" s="2" t="s">
        <v>4</v>
      </c>
      <c r="B1506" s="2" t="str">
        <f t="shared" si="23"/>
        <v>23-24 Academic Year</v>
      </c>
      <c r="C1506" s="2">
        <v>65</v>
      </c>
      <c r="D1506" s="2" t="s">
        <v>5147</v>
      </c>
      <c r="E1506" s="10">
        <v>45422</v>
      </c>
      <c r="F1506" s="2" t="s">
        <v>3316</v>
      </c>
      <c r="G1506" s="2" t="s">
        <v>2170</v>
      </c>
      <c r="H1506" s="2" t="s">
        <v>6</v>
      </c>
      <c r="I1506" s="2" t="s">
        <v>2787</v>
      </c>
      <c r="J1506" s="2" t="s">
        <v>3320</v>
      </c>
      <c r="K1506" s="2" t="s">
        <v>3321</v>
      </c>
      <c r="L1506" s="2" t="s">
        <v>5149</v>
      </c>
      <c r="M1506" s="3">
        <v>1</v>
      </c>
      <c r="N1506" s="3">
        <v>2</v>
      </c>
      <c r="P1506" s="2" t="s">
        <v>3322</v>
      </c>
    </row>
    <row r="1507" spans="1:16" ht="13">
      <c r="A1507" s="2" t="s">
        <v>4</v>
      </c>
      <c r="B1507" s="2" t="str">
        <f t="shared" si="23"/>
        <v>23-24 Academic Year</v>
      </c>
      <c r="C1507" s="2">
        <v>65</v>
      </c>
      <c r="D1507" s="2" t="s">
        <v>5147</v>
      </c>
      <c r="E1507" s="10">
        <v>45422</v>
      </c>
      <c r="F1507" s="2" t="s">
        <v>3316</v>
      </c>
      <c r="G1507" s="2" t="s">
        <v>2170</v>
      </c>
      <c r="H1507" s="2" t="s">
        <v>6</v>
      </c>
      <c r="I1507" s="2" t="s">
        <v>2787</v>
      </c>
      <c r="J1507" s="2" t="s">
        <v>3323</v>
      </c>
      <c r="K1507" s="2" t="s">
        <v>1037</v>
      </c>
      <c r="L1507" s="2" t="s">
        <v>1778</v>
      </c>
      <c r="M1507" s="3">
        <v>1</v>
      </c>
      <c r="N1507" s="3">
        <v>2</v>
      </c>
      <c r="P1507" s="2" t="s">
        <v>3324</v>
      </c>
    </row>
    <row r="1508" spans="1:16" ht="13">
      <c r="A1508" s="2" t="s">
        <v>4</v>
      </c>
      <c r="B1508" s="2" t="str">
        <f t="shared" si="23"/>
        <v>23-24 Academic Year</v>
      </c>
      <c r="C1508" s="2">
        <v>65</v>
      </c>
      <c r="D1508" s="2" t="s">
        <v>5147</v>
      </c>
      <c r="E1508" s="10">
        <v>45422</v>
      </c>
      <c r="F1508" s="2" t="s">
        <v>3316</v>
      </c>
      <c r="G1508" s="2" t="s">
        <v>2170</v>
      </c>
      <c r="H1508" s="2" t="s">
        <v>6</v>
      </c>
      <c r="I1508" s="2" t="s">
        <v>2787</v>
      </c>
      <c r="J1508" s="2" t="s">
        <v>3325</v>
      </c>
      <c r="K1508" s="2" t="s">
        <v>1037</v>
      </c>
      <c r="L1508" s="2" t="s">
        <v>1778</v>
      </c>
      <c r="M1508" s="3">
        <v>1</v>
      </c>
      <c r="N1508" s="3">
        <v>2</v>
      </c>
      <c r="P1508" s="2" t="s">
        <v>3326</v>
      </c>
    </row>
    <row r="1509" spans="1:16" ht="13">
      <c r="A1509" s="2" t="s">
        <v>4</v>
      </c>
      <c r="B1509" s="2" t="str">
        <f t="shared" si="23"/>
        <v>23-24 Academic Year</v>
      </c>
      <c r="C1509" s="2">
        <v>65</v>
      </c>
      <c r="D1509" s="2" t="s">
        <v>5147</v>
      </c>
      <c r="E1509" s="10">
        <v>45422</v>
      </c>
      <c r="F1509" s="2" t="s">
        <v>3316</v>
      </c>
      <c r="G1509" s="2" t="s">
        <v>2170</v>
      </c>
      <c r="H1509" s="2" t="s">
        <v>6</v>
      </c>
      <c r="I1509" s="2" t="s">
        <v>2787</v>
      </c>
      <c r="J1509" s="2" t="s">
        <v>3327</v>
      </c>
      <c r="K1509" s="2" t="s">
        <v>3328</v>
      </c>
      <c r="L1509" s="2" t="s">
        <v>5150</v>
      </c>
      <c r="M1509" s="3">
        <v>1</v>
      </c>
      <c r="N1509" s="3">
        <v>2</v>
      </c>
      <c r="P1509" s="2" t="s">
        <v>3329</v>
      </c>
    </row>
    <row r="1510" spans="1:16" ht="13">
      <c r="A1510" s="2" t="s">
        <v>4</v>
      </c>
      <c r="B1510" s="2" t="str">
        <f t="shared" si="23"/>
        <v>23-24 Academic Year</v>
      </c>
      <c r="C1510" s="2">
        <v>65</v>
      </c>
      <c r="D1510" s="2" t="s">
        <v>5147</v>
      </c>
      <c r="E1510" s="10">
        <v>45422</v>
      </c>
      <c r="F1510" s="2" t="s">
        <v>3316</v>
      </c>
      <c r="G1510" s="2" t="s">
        <v>2170</v>
      </c>
      <c r="H1510" s="2" t="s">
        <v>6</v>
      </c>
      <c r="I1510" s="2" t="s">
        <v>2787</v>
      </c>
      <c r="J1510" s="2" t="s">
        <v>3330</v>
      </c>
      <c r="K1510" s="2" t="s">
        <v>3318</v>
      </c>
      <c r="L1510" s="2" t="s">
        <v>5148</v>
      </c>
      <c r="M1510" s="3">
        <v>1</v>
      </c>
      <c r="N1510" s="3">
        <v>2</v>
      </c>
      <c r="P1510" s="2" t="s">
        <v>3331</v>
      </c>
    </row>
    <row r="1511" spans="1:16" ht="13">
      <c r="A1511" s="2" t="s">
        <v>4</v>
      </c>
      <c r="B1511" s="2" t="str">
        <f t="shared" si="23"/>
        <v>23-24 Academic Year</v>
      </c>
      <c r="C1511" s="2">
        <v>65</v>
      </c>
      <c r="D1511" s="2" t="s">
        <v>5147</v>
      </c>
      <c r="E1511" s="10">
        <v>45422</v>
      </c>
      <c r="F1511" s="2" t="s">
        <v>3316</v>
      </c>
      <c r="G1511" s="2" t="s">
        <v>2170</v>
      </c>
      <c r="H1511" s="2" t="s">
        <v>6</v>
      </c>
      <c r="I1511" s="2" t="s">
        <v>2787</v>
      </c>
      <c r="J1511" s="2" t="s">
        <v>3332</v>
      </c>
      <c r="K1511" s="2" t="s">
        <v>3318</v>
      </c>
      <c r="L1511" s="2" t="s">
        <v>5148</v>
      </c>
      <c r="M1511" s="3">
        <v>1</v>
      </c>
      <c r="N1511" s="3">
        <v>2</v>
      </c>
      <c r="P1511" s="2" t="s">
        <v>3333</v>
      </c>
    </row>
    <row r="1512" spans="1:16" ht="13">
      <c r="A1512" s="2" t="s">
        <v>4</v>
      </c>
      <c r="B1512" s="2" t="str">
        <f t="shared" si="23"/>
        <v>23-24 Academic Year</v>
      </c>
      <c r="C1512" s="2">
        <v>65</v>
      </c>
      <c r="D1512" s="2" t="s">
        <v>5147</v>
      </c>
      <c r="E1512" s="10">
        <v>45422</v>
      </c>
      <c r="F1512" s="2" t="s">
        <v>3316</v>
      </c>
      <c r="G1512" s="2" t="s">
        <v>2170</v>
      </c>
      <c r="H1512" s="2" t="s">
        <v>6</v>
      </c>
      <c r="I1512" s="2" t="s">
        <v>2787</v>
      </c>
      <c r="J1512" s="2" t="s">
        <v>3334</v>
      </c>
      <c r="K1512" s="2" t="s">
        <v>670</v>
      </c>
      <c r="L1512" s="2" t="s">
        <v>403</v>
      </c>
      <c r="M1512" s="3">
        <v>1</v>
      </c>
      <c r="N1512" s="3">
        <v>2</v>
      </c>
      <c r="P1512" s="2" t="s">
        <v>3335</v>
      </c>
    </row>
    <row r="1513" spans="1:16" ht="13">
      <c r="A1513" s="2" t="s">
        <v>4</v>
      </c>
      <c r="B1513" s="2" t="str">
        <f t="shared" si="23"/>
        <v>23-24 Academic Year</v>
      </c>
      <c r="C1513" s="2">
        <v>65</v>
      </c>
      <c r="D1513" s="2" t="s">
        <v>5147</v>
      </c>
      <c r="E1513" s="10">
        <v>45422</v>
      </c>
      <c r="F1513" s="2" t="s">
        <v>3316</v>
      </c>
      <c r="G1513" s="2" t="s">
        <v>2170</v>
      </c>
      <c r="H1513" s="2" t="s">
        <v>6</v>
      </c>
      <c r="I1513" s="2" t="s">
        <v>2787</v>
      </c>
      <c r="J1513" s="2" t="s">
        <v>3336</v>
      </c>
      <c r="K1513" s="2" t="s">
        <v>98</v>
      </c>
      <c r="L1513" s="2" t="s">
        <v>3348</v>
      </c>
      <c r="M1513" s="3">
        <v>1</v>
      </c>
      <c r="N1513" s="3">
        <v>2</v>
      </c>
      <c r="P1513" s="2" t="s">
        <v>3337</v>
      </c>
    </row>
    <row r="1514" spans="1:16" ht="13">
      <c r="A1514" s="2" t="s">
        <v>4</v>
      </c>
      <c r="B1514" s="2" t="str">
        <f t="shared" si="23"/>
        <v>23-24 Academic Year</v>
      </c>
      <c r="C1514" s="2">
        <v>65</v>
      </c>
      <c r="D1514" s="2" t="s">
        <v>5147</v>
      </c>
      <c r="E1514" s="10">
        <v>45422</v>
      </c>
      <c r="F1514" s="2" t="s">
        <v>3316</v>
      </c>
      <c r="G1514" s="2" t="s">
        <v>2170</v>
      </c>
      <c r="H1514" s="2" t="s">
        <v>6</v>
      </c>
      <c r="I1514" s="2" t="s">
        <v>2787</v>
      </c>
      <c r="J1514" s="2" t="s">
        <v>3338</v>
      </c>
      <c r="K1514" s="2" t="s">
        <v>98</v>
      </c>
      <c r="L1514" s="2" t="s">
        <v>3348</v>
      </c>
      <c r="M1514" s="3">
        <v>1</v>
      </c>
      <c r="N1514" s="3">
        <v>2</v>
      </c>
      <c r="P1514" s="2" t="s">
        <v>3339</v>
      </c>
    </row>
    <row r="1515" spans="1:16" ht="13">
      <c r="A1515" s="2" t="s">
        <v>4</v>
      </c>
      <c r="B1515" s="2" t="str">
        <f t="shared" si="23"/>
        <v>23-24 Academic Year</v>
      </c>
      <c r="C1515" s="2">
        <v>65</v>
      </c>
      <c r="D1515" s="2" t="s">
        <v>5147</v>
      </c>
      <c r="E1515" s="10">
        <v>45422</v>
      </c>
      <c r="F1515" s="2" t="s">
        <v>3316</v>
      </c>
      <c r="G1515" s="2" t="s">
        <v>2170</v>
      </c>
      <c r="H1515" s="2" t="s">
        <v>6</v>
      </c>
      <c r="I1515" s="2" t="s">
        <v>2787</v>
      </c>
      <c r="J1515" s="2" t="s">
        <v>3340</v>
      </c>
      <c r="K1515" s="2" t="s">
        <v>98</v>
      </c>
      <c r="L1515" s="2" t="s">
        <v>3348</v>
      </c>
      <c r="M1515" s="3">
        <v>1</v>
      </c>
      <c r="N1515" s="3">
        <v>2</v>
      </c>
      <c r="P1515" s="2" t="s">
        <v>3341</v>
      </c>
    </row>
    <row r="1516" spans="1:16" ht="13">
      <c r="A1516" s="2" t="s">
        <v>4</v>
      </c>
      <c r="B1516" s="2" t="str">
        <f t="shared" si="23"/>
        <v>23-24 Academic Year</v>
      </c>
      <c r="C1516" s="2">
        <v>65</v>
      </c>
      <c r="D1516" s="2" t="s">
        <v>5147</v>
      </c>
      <c r="E1516" s="10">
        <v>45422</v>
      </c>
      <c r="F1516" s="2" t="s">
        <v>3316</v>
      </c>
      <c r="G1516" s="2" t="s">
        <v>2170</v>
      </c>
      <c r="H1516" s="2" t="s">
        <v>6</v>
      </c>
      <c r="I1516" s="2" t="s">
        <v>2787</v>
      </c>
      <c r="J1516" s="2" t="s">
        <v>3342</v>
      </c>
      <c r="K1516" s="2" t="s">
        <v>3343</v>
      </c>
      <c r="L1516" s="2" t="s">
        <v>1849</v>
      </c>
      <c r="M1516" s="3">
        <v>4</v>
      </c>
      <c r="N1516" s="3">
        <v>2</v>
      </c>
      <c r="P1516" s="2" t="s">
        <v>3344</v>
      </c>
    </row>
    <row r="1517" spans="1:16" ht="13">
      <c r="A1517" s="2" t="s">
        <v>4</v>
      </c>
      <c r="B1517" s="2" t="str">
        <f t="shared" si="23"/>
        <v>23-24 Academic Year</v>
      </c>
      <c r="C1517" s="2">
        <v>65</v>
      </c>
      <c r="D1517" s="2" t="s">
        <v>5147</v>
      </c>
      <c r="E1517" s="10">
        <v>45422</v>
      </c>
      <c r="F1517" s="2" t="s">
        <v>3316</v>
      </c>
      <c r="G1517" s="2" t="s">
        <v>2170</v>
      </c>
      <c r="H1517" s="2" t="s">
        <v>6</v>
      </c>
      <c r="I1517" s="2" t="s">
        <v>2787</v>
      </c>
      <c r="J1517" s="2" t="s">
        <v>3345</v>
      </c>
      <c r="K1517" s="2" t="s">
        <v>3346</v>
      </c>
      <c r="L1517" s="2" t="s">
        <v>5151</v>
      </c>
      <c r="M1517" s="3">
        <v>1</v>
      </c>
      <c r="N1517" s="3">
        <v>2</v>
      </c>
      <c r="P1517" s="2" t="s">
        <v>3347</v>
      </c>
    </row>
    <row r="1518" spans="1:16" ht="13">
      <c r="A1518" s="2" t="s">
        <v>0</v>
      </c>
      <c r="B1518" s="2" t="str">
        <f t="shared" si="23"/>
        <v>24-25 Academic Year</v>
      </c>
      <c r="C1518" s="2">
        <v>1</v>
      </c>
      <c r="D1518" s="2" t="s">
        <v>335</v>
      </c>
      <c r="E1518" s="10">
        <v>45674</v>
      </c>
      <c r="F1518" s="2" t="s">
        <v>2184</v>
      </c>
      <c r="G1518" s="2" t="s">
        <v>7</v>
      </c>
      <c r="H1518" s="2" t="s">
        <v>7</v>
      </c>
      <c r="J1518" s="2" t="s">
        <v>2171</v>
      </c>
      <c r="K1518" s="2" t="s">
        <v>3528</v>
      </c>
      <c r="L1518" s="2" t="s">
        <v>4287</v>
      </c>
      <c r="M1518" s="3">
        <v>2</v>
      </c>
      <c r="N1518" s="3">
        <v>1</v>
      </c>
      <c r="P1518" s="2" t="s">
        <v>4288</v>
      </c>
    </row>
    <row r="1519" spans="1:16" ht="13">
      <c r="A1519" s="2" t="s">
        <v>0</v>
      </c>
      <c r="B1519" s="2" t="str">
        <f t="shared" si="23"/>
        <v>24-25 Academic Year</v>
      </c>
      <c r="C1519" s="2">
        <v>1</v>
      </c>
      <c r="D1519" s="2" t="s">
        <v>335</v>
      </c>
      <c r="E1519" s="10">
        <v>45674</v>
      </c>
      <c r="F1519" s="2" t="s">
        <v>2184</v>
      </c>
      <c r="G1519" s="2" t="s">
        <v>7</v>
      </c>
      <c r="H1519" s="2" t="s">
        <v>7</v>
      </c>
      <c r="J1519" s="2" t="s">
        <v>2173</v>
      </c>
      <c r="K1519" s="2" t="s">
        <v>3391</v>
      </c>
      <c r="L1519" s="2" t="s">
        <v>4289</v>
      </c>
      <c r="M1519" s="3">
        <v>2</v>
      </c>
      <c r="N1519" s="3">
        <v>1</v>
      </c>
      <c r="P1519" s="2" t="s">
        <v>4290</v>
      </c>
    </row>
    <row r="1520" spans="1:16" ht="13">
      <c r="A1520" s="2" t="s">
        <v>0</v>
      </c>
      <c r="B1520" s="2" t="str">
        <f t="shared" si="23"/>
        <v>24-25 Academic Year</v>
      </c>
      <c r="C1520" s="2">
        <v>1</v>
      </c>
      <c r="D1520" s="2" t="s">
        <v>335</v>
      </c>
      <c r="E1520" s="10">
        <v>45674</v>
      </c>
      <c r="F1520" s="2" t="s">
        <v>2184</v>
      </c>
      <c r="G1520" s="2" t="s">
        <v>7</v>
      </c>
      <c r="H1520" s="2" t="s">
        <v>7</v>
      </c>
      <c r="J1520" s="2" t="s">
        <v>2176</v>
      </c>
      <c r="K1520" s="2" t="s">
        <v>3531</v>
      </c>
      <c r="L1520" s="2" t="s">
        <v>4291</v>
      </c>
      <c r="M1520" s="3">
        <v>2</v>
      </c>
      <c r="N1520" s="3">
        <v>1</v>
      </c>
      <c r="P1520" s="2" t="s">
        <v>4292</v>
      </c>
    </row>
    <row r="1521" spans="1:16" ht="13">
      <c r="A1521" s="2" t="s">
        <v>0</v>
      </c>
      <c r="B1521" s="2" t="str">
        <f t="shared" si="23"/>
        <v>24-25 Academic Year</v>
      </c>
      <c r="C1521" s="2">
        <v>1</v>
      </c>
      <c r="D1521" s="2" t="s">
        <v>335</v>
      </c>
      <c r="E1521" s="10">
        <v>45674</v>
      </c>
      <c r="F1521" s="2" t="s">
        <v>2184</v>
      </c>
      <c r="G1521" s="2" t="s">
        <v>7</v>
      </c>
      <c r="H1521" s="2" t="s">
        <v>7</v>
      </c>
      <c r="J1521" s="2" t="s">
        <v>4388</v>
      </c>
      <c r="K1521" s="2" t="s">
        <v>3507</v>
      </c>
      <c r="L1521" s="2" t="s">
        <v>4389</v>
      </c>
      <c r="M1521" s="3">
        <v>3</v>
      </c>
      <c r="N1521" s="3">
        <v>1</v>
      </c>
      <c r="P1521" s="2" t="s">
        <v>4390</v>
      </c>
    </row>
    <row r="1522" spans="1:16" ht="13">
      <c r="A1522" s="2" t="s">
        <v>0</v>
      </c>
      <c r="B1522" s="2" t="str">
        <f t="shared" si="23"/>
        <v>24-25 Academic Year</v>
      </c>
      <c r="C1522" s="2">
        <v>1</v>
      </c>
      <c r="D1522" s="2" t="s">
        <v>335</v>
      </c>
      <c r="E1522" s="10">
        <v>45674</v>
      </c>
      <c r="F1522" s="2" t="s">
        <v>2184</v>
      </c>
      <c r="G1522" s="2" t="s">
        <v>7</v>
      </c>
      <c r="H1522" s="2" t="s">
        <v>7</v>
      </c>
      <c r="J1522" s="2" t="s">
        <v>4511</v>
      </c>
      <c r="K1522" s="2" t="s">
        <v>342</v>
      </c>
      <c r="L1522" s="2" t="s">
        <v>4512</v>
      </c>
      <c r="M1522" s="3">
        <v>4</v>
      </c>
      <c r="N1522" s="3">
        <v>1</v>
      </c>
      <c r="P1522" s="2" t="s">
        <v>4513</v>
      </c>
    </row>
    <row r="1523" spans="1:16" ht="13">
      <c r="A1523" s="2" t="s">
        <v>0</v>
      </c>
      <c r="B1523" s="2" t="str">
        <f t="shared" si="23"/>
        <v>24-25 Academic Year</v>
      </c>
      <c r="C1523" s="2">
        <v>2</v>
      </c>
      <c r="D1523" s="2" t="s">
        <v>3817</v>
      </c>
      <c r="E1523" s="10">
        <v>45681</v>
      </c>
      <c r="F1523" s="2" t="s">
        <v>3818</v>
      </c>
      <c r="G1523" s="2" t="s">
        <v>131</v>
      </c>
      <c r="H1523" s="2" t="s">
        <v>6</v>
      </c>
      <c r="I1523" s="2" t="s">
        <v>593</v>
      </c>
      <c r="J1523" s="2" t="s">
        <v>2185</v>
      </c>
      <c r="K1523" s="2" t="s">
        <v>2629</v>
      </c>
      <c r="L1523" s="2" t="s">
        <v>3355</v>
      </c>
      <c r="M1523" s="3">
        <v>3</v>
      </c>
      <c r="N1523" s="3">
        <v>1</v>
      </c>
      <c r="P1523" s="2" t="s">
        <v>4391</v>
      </c>
    </row>
    <row r="1524" spans="1:16" ht="13">
      <c r="A1524" s="2" t="s">
        <v>0</v>
      </c>
      <c r="B1524" s="2" t="str">
        <f t="shared" si="23"/>
        <v>24-25 Academic Year</v>
      </c>
      <c r="C1524" s="2">
        <v>3</v>
      </c>
      <c r="D1524" s="2" t="s">
        <v>3817</v>
      </c>
      <c r="E1524" s="10">
        <v>45681</v>
      </c>
      <c r="F1524" s="2" t="s">
        <v>3818</v>
      </c>
      <c r="G1524" s="2" t="s">
        <v>131</v>
      </c>
      <c r="H1524" s="2" t="s">
        <v>6</v>
      </c>
      <c r="I1524" s="2" t="s">
        <v>593</v>
      </c>
      <c r="J1524" s="2" t="s">
        <v>2181</v>
      </c>
      <c r="K1524" s="2" t="s">
        <v>696</v>
      </c>
      <c r="L1524" s="2" t="s">
        <v>3819</v>
      </c>
      <c r="M1524" s="3">
        <v>1</v>
      </c>
      <c r="N1524" s="3">
        <v>2</v>
      </c>
      <c r="P1524" s="2" t="s">
        <v>3628</v>
      </c>
    </row>
    <row r="1525" spans="1:16" ht="13">
      <c r="A1525" s="2" t="s">
        <v>0</v>
      </c>
      <c r="B1525" s="2" t="str">
        <f t="shared" si="23"/>
        <v>24-25 Academic Year</v>
      </c>
      <c r="C1525" s="2">
        <v>3</v>
      </c>
      <c r="D1525" s="2" t="s">
        <v>3817</v>
      </c>
      <c r="E1525" s="10">
        <v>45681</v>
      </c>
      <c r="F1525" s="2" t="s">
        <v>3818</v>
      </c>
      <c r="G1525" s="2" t="s">
        <v>131</v>
      </c>
      <c r="H1525" s="2" t="s">
        <v>6</v>
      </c>
      <c r="I1525" s="2" t="s">
        <v>593</v>
      </c>
      <c r="J1525" s="2" t="s">
        <v>3383</v>
      </c>
      <c r="K1525" s="2" t="s">
        <v>2632</v>
      </c>
      <c r="L1525" s="2" t="s">
        <v>3820</v>
      </c>
      <c r="M1525" s="3">
        <v>1</v>
      </c>
      <c r="N1525" s="3">
        <v>2</v>
      </c>
      <c r="P1525" s="2" t="s">
        <v>3821</v>
      </c>
    </row>
    <row r="1526" spans="1:16" ht="13">
      <c r="A1526" s="2" t="s">
        <v>0</v>
      </c>
      <c r="B1526" s="2" t="str">
        <f t="shared" si="23"/>
        <v>24-25 Academic Year</v>
      </c>
      <c r="C1526" s="2">
        <v>3</v>
      </c>
      <c r="D1526" s="2" t="s">
        <v>3817</v>
      </c>
      <c r="E1526" s="10">
        <v>45681</v>
      </c>
      <c r="F1526" s="2" t="s">
        <v>3818</v>
      </c>
      <c r="G1526" s="2" t="s">
        <v>131</v>
      </c>
      <c r="H1526" s="2" t="s">
        <v>6</v>
      </c>
      <c r="I1526" s="2" t="s">
        <v>593</v>
      </c>
      <c r="J1526" s="2" t="s">
        <v>3386</v>
      </c>
      <c r="K1526" s="2" t="s">
        <v>136</v>
      </c>
      <c r="L1526" s="2" t="s">
        <v>1508</v>
      </c>
      <c r="M1526" s="3">
        <v>1</v>
      </c>
      <c r="N1526" s="3">
        <v>2</v>
      </c>
      <c r="P1526" s="2" t="s">
        <v>3631</v>
      </c>
    </row>
    <row r="1527" spans="1:16" ht="13">
      <c r="A1527" s="2" t="s">
        <v>0</v>
      </c>
      <c r="B1527" s="2" t="str">
        <f t="shared" si="23"/>
        <v>24-25 Academic Year</v>
      </c>
      <c r="C1527" s="2">
        <v>3</v>
      </c>
      <c r="D1527" s="2" t="s">
        <v>3817</v>
      </c>
      <c r="E1527" s="10">
        <v>45681</v>
      </c>
      <c r="F1527" s="2" t="s">
        <v>3818</v>
      </c>
      <c r="G1527" s="2" t="s">
        <v>131</v>
      </c>
      <c r="H1527" s="2" t="s">
        <v>6</v>
      </c>
      <c r="I1527" s="2" t="s">
        <v>593</v>
      </c>
      <c r="J1527" s="2" t="s">
        <v>4392</v>
      </c>
      <c r="K1527" s="2" t="s">
        <v>4393</v>
      </c>
      <c r="L1527" s="2" t="s">
        <v>4394</v>
      </c>
      <c r="M1527" s="3">
        <v>3</v>
      </c>
      <c r="N1527" s="3">
        <v>2</v>
      </c>
      <c r="P1527" s="2" t="s">
        <v>4395</v>
      </c>
    </row>
    <row r="1528" spans="1:16" ht="13">
      <c r="A1528" s="2" t="s">
        <v>0</v>
      </c>
      <c r="B1528" s="2" t="str">
        <f t="shared" si="23"/>
        <v>24-25 Academic Year</v>
      </c>
      <c r="C1528" s="2">
        <v>4</v>
      </c>
      <c r="D1528" s="2" t="s">
        <v>3822</v>
      </c>
      <c r="E1528" s="10">
        <v>45682</v>
      </c>
      <c r="F1528" s="2" t="s">
        <v>3823</v>
      </c>
      <c r="G1528" s="2" t="s">
        <v>131</v>
      </c>
      <c r="H1528" s="2" t="s">
        <v>6</v>
      </c>
      <c r="I1528" s="2" t="s">
        <v>370</v>
      </c>
      <c r="J1528" s="2" t="s">
        <v>3390</v>
      </c>
      <c r="K1528" s="2" t="s">
        <v>635</v>
      </c>
      <c r="L1528" s="2" t="s">
        <v>3354</v>
      </c>
      <c r="M1528" s="3">
        <v>1</v>
      </c>
      <c r="N1528" s="3">
        <v>2</v>
      </c>
      <c r="P1528" s="2" t="s">
        <v>3824</v>
      </c>
    </row>
    <row r="1529" spans="1:16" ht="13">
      <c r="A1529" s="2" t="s">
        <v>0</v>
      </c>
      <c r="B1529" s="2" t="str">
        <f t="shared" si="23"/>
        <v>24-25 Academic Year</v>
      </c>
      <c r="C1529" s="2">
        <v>4</v>
      </c>
      <c r="D1529" s="2" t="s">
        <v>3822</v>
      </c>
      <c r="E1529" s="10">
        <v>45682</v>
      </c>
      <c r="F1529" s="2" t="s">
        <v>3823</v>
      </c>
      <c r="G1529" s="2" t="s">
        <v>131</v>
      </c>
      <c r="H1529" s="2" t="s">
        <v>6</v>
      </c>
      <c r="I1529" s="2" t="s">
        <v>370</v>
      </c>
      <c r="J1529" s="2" t="s">
        <v>2193</v>
      </c>
      <c r="K1529" s="2" t="s">
        <v>3825</v>
      </c>
      <c r="L1529" s="2" t="s">
        <v>3826</v>
      </c>
      <c r="M1529" s="3">
        <v>1</v>
      </c>
      <c r="N1529" s="3">
        <v>2</v>
      </c>
      <c r="P1529" s="2" t="s">
        <v>3827</v>
      </c>
    </row>
    <row r="1530" spans="1:16" ht="13">
      <c r="A1530" s="2" t="s">
        <v>0</v>
      </c>
      <c r="B1530" s="2" t="str">
        <f t="shared" si="23"/>
        <v>24-25 Academic Year</v>
      </c>
      <c r="C1530" s="2">
        <v>4</v>
      </c>
      <c r="D1530" s="2" t="s">
        <v>3822</v>
      </c>
      <c r="E1530" s="10">
        <v>45682</v>
      </c>
      <c r="F1530" s="2" t="s">
        <v>3823</v>
      </c>
      <c r="G1530" s="2" t="s">
        <v>131</v>
      </c>
      <c r="H1530" s="2" t="s">
        <v>6</v>
      </c>
      <c r="I1530" s="2" t="s">
        <v>370</v>
      </c>
      <c r="J1530" s="2" t="s">
        <v>2195</v>
      </c>
      <c r="K1530" s="2" t="s">
        <v>2174</v>
      </c>
      <c r="L1530" s="2" t="s">
        <v>3828</v>
      </c>
      <c r="M1530" s="3">
        <v>1</v>
      </c>
      <c r="N1530" s="3">
        <v>2</v>
      </c>
      <c r="P1530" s="2" t="s">
        <v>2630</v>
      </c>
    </row>
    <row r="1531" spans="1:16" ht="13">
      <c r="A1531" s="2" t="s">
        <v>0</v>
      </c>
      <c r="B1531" s="2" t="str">
        <f t="shared" si="23"/>
        <v>24-25 Academic Year</v>
      </c>
      <c r="C1531" s="2">
        <v>4</v>
      </c>
      <c r="D1531" s="2" t="s">
        <v>3822</v>
      </c>
      <c r="E1531" s="10">
        <v>45682</v>
      </c>
      <c r="F1531" s="2" t="s">
        <v>3823</v>
      </c>
      <c r="G1531" s="2" t="s">
        <v>131</v>
      </c>
      <c r="H1531" s="2" t="s">
        <v>6</v>
      </c>
      <c r="I1531" s="2" t="s">
        <v>370</v>
      </c>
      <c r="J1531" s="2" t="s">
        <v>2197</v>
      </c>
      <c r="K1531" s="2" t="s">
        <v>4293</v>
      </c>
      <c r="L1531" s="2" t="s">
        <v>3356</v>
      </c>
      <c r="M1531" s="3">
        <v>2</v>
      </c>
      <c r="N1531" s="3">
        <v>1</v>
      </c>
      <c r="P1531" s="2" t="s">
        <v>4294</v>
      </c>
    </row>
    <row r="1532" spans="1:16" ht="13">
      <c r="A1532" s="2" t="s">
        <v>0</v>
      </c>
      <c r="B1532" s="2" t="str">
        <f t="shared" si="23"/>
        <v>24-25 Academic Year</v>
      </c>
      <c r="C1532" s="2">
        <v>5</v>
      </c>
      <c r="D1532" s="2" t="s">
        <v>4635</v>
      </c>
      <c r="E1532" s="10">
        <v>45685</v>
      </c>
      <c r="F1532" s="2" t="s">
        <v>1237</v>
      </c>
      <c r="G1532" s="2" t="s">
        <v>30</v>
      </c>
      <c r="H1532" s="2" t="s">
        <v>6</v>
      </c>
      <c r="J1532" s="2" t="s">
        <v>2206</v>
      </c>
      <c r="K1532" s="2" t="s">
        <v>4636</v>
      </c>
      <c r="L1532" s="2" t="s">
        <v>4637</v>
      </c>
      <c r="M1532" s="3"/>
      <c r="N1532" s="3">
        <v>1</v>
      </c>
      <c r="P1532" s="2" t="s">
        <v>4638</v>
      </c>
    </row>
    <row r="1533" spans="1:16" ht="13">
      <c r="A1533" s="2" t="s">
        <v>0</v>
      </c>
      <c r="B1533" s="2" t="str">
        <f t="shared" si="23"/>
        <v>24-25 Academic Year</v>
      </c>
      <c r="C1533" s="2">
        <v>6</v>
      </c>
      <c r="D1533" s="2" t="s">
        <v>3829</v>
      </c>
      <c r="E1533" s="10">
        <v>45688</v>
      </c>
      <c r="F1533" s="2" t="s">
        <v>3830</v>
      </c>
      <c r="G1533" s="2" t="s">
        <v>131</v>
      </c>
      <c r="H1533" s="2" t="s">
        <v>6</v>
      </c>
      <c r="I1533" s="2" t="s">
        <v>434</v>
      </c>
      <c r="J1533" s="2" t="s">
        <v>2217</v>
      </c>
      <c r="K1533" s="2" t="s">
        <v>2741</v>
      </c>
      <c r="L1533" s="2" t="s">
        <v>2742</v>
      </c>
      <c r="M1533" s="3">
        <v>1</v>
      </c>
      <c r="N1533" s="3">
        <v>2</v>
      </c>
      <c r="P1533" s="2" t="s">
        <v>3831</v>
      </c>
    </row>
    <row r="1534" spans="1:16" ht="13">
      <c r="A1534" s="2" t="s">
        <v>0</v>
      </c>
      <c r="B1534" s="2" t="str">
        <f t="shared" si="23"/>
        <v>24-25 Academic Year</v>
      </c>
      <c r="C1534" s="2">
        <v>6</v>
      </c>
      <c r="D1534" s="2" t="s">
        <v>3829</v>
      </c>
      <c r="E1534" s="10">
        <v>45688</v>
      </c>
      <c r="F1534" s="2" t="s">
        <v>3830</v>
      </c>
      <c r="G1534" s="2" t="s">
        <v>131</v>
      </c>
      <c r="H1534" s="2" t="s">
        <v>6</v>
      </c>
      <c r="I1534" s="2" t="s">
        <v>434</v>
      </c>
      <c r="J1534" s="2" t="s">
        <v>2220</v>
      </c>
      <c r="K1534" s="2" t="s">
        <v>2741</v>
      </c>
      <c r="L1534" s="2" t="s">
        <v>2742</v>
      </c>
      <c r="M1534" s="3">
        <v>1</v>
      </c>
      <c r="N1534" s="3">
        <v>2</v>
      </c>
      <c r="P1534" s="2" t="s">
        <v>3832</v>
      </c>
    </row>
    <row r="1535" spans="1:16" ht="13">
      <c r="A1535" s="2" t="s">
        <v>0</v>
      </c>
      <c r="B1535" s="2" t="str">
        <f t="shared" si="23"/>
        <v>24-25 Academic Year</v>
      </c>
      <c r="C1535" s="2">
        <v>6</v>
      </c>
      <c r="D1535" s="2" t="s">
        <v>3829</v>
      </c>
      <c r="E1535" s="10">
        <v>45688</v>
      </c>
      <c r="F1535" s="2" t="s">
        <v>3830</v>
      </c>
      <c r="G1535" s="2" t="s">
        <v>131</v>
      </c>
      <c r="H1535" s="2" t="s">
        <v>6</v>
      </c>
      <c r="I1535" s="2" t="s">
        <v>434</v>
      </c>
      <c r="J1535" s="2" t="s">
        <v>2223</v>
      </c>
      <c r="K1535" s="2" t="s">
        <v>64</v>
      </c>
      <c r="L1535" s="2" t="s">
        <v>646</v>
      </c>
      <c r="M1535" s="3">
        <v>1</v>
      </c>
      <c r="N1535" s="3">
        <v>2</v>
      </c>
      <c r="P1535" s="2" t="s">
        <v>3833</v>
      </c>
    </row>
    <row r="1536" spans="1:16" ht="13">
      <c r="A1536" s="2" t="s">
        <v>0</v>
      </c>
      <c r="B1536" s="2" t="str">
        <f t="shared" si="23"/>
        <v>24-25 Academic Year</v>
      </c>
      <c r="C1536" s="2">
        <v>6</v>
      </c>
      <c r="D1536" s="2" t="s">
        <v>3829</v>
      </c>
      <c r="E1536" s="10">
        <v>45688</v>
      </c>
      <c r="F1536" s="2" t="s">
        <v>3830</v>
      </c>
      <c r="G1536" s="2" t="s">
        <v>131</v>
      </c>
      <c r="H1536" s="2" t="s">
        <v>6</v>
      </c>
      <c r="I1536" s="2" t="s">
        <v>434</v>
      </c>
      <c r="J1536" s="2" t="s">
        <v>3430</v>
      </c>
      <c r="K1536" s="2" t="s">
        <v>435</v>
      </c>
      <c r="L1536" s="2" t="s">
        <v>436</v>
      </c>
      <c r="M1536" s="3">
        <v>2</v>
      </c>
      <c r="N1536" s="3">
        <v>2</v>
      </c>
      <c r="P1536" s="2" t="s">
        <v>4295</v>
      </c>
    </row>
    <row r="1537" spans="1:16" ht="13">
      <c r="A1537" s="2" t="s">
        <v>0</v>
      </c>
      <c r="B1537" s="2" t="str">
        <f t="shared" si="23"/>
        <v>24-25 Academic Year</v>
      </c>
      <c r="C1537" s="2">
        <v>6</v>
      </c>
      <c r="D1537" s="2" t="s">
        <v>3829</v>
      </c>
      <c r="E1537" s="10">
        <v>45688</v>
      </c>
      <c r="F1537" s="2" t="s">
        <v>3830</v>
      </c>
      <c r="G1537" s="2" t="s">
        <v>131</v>
      </c>
      <c r="H1537" s="2" t="s">
        <v>6</v>
      </c>
      <c r="I1537" s="2" t="s">
        <v>434</v>
      </c>
      <c r="J1537" s="2" t="s">
        <v>3431</v>
      </c>
      <c r="K1537" s="2" t="s">
        <v>435</v>
      </c>
      <c r="L1537" s="2" t="s">
        <v>436</v>
      </c>
      <c r="M1537" s="3">
        <v>2</v>
      </c>
      <c r="N1537" s="3">
        <v>2</v>
      </c>
      <c r="P1537" s="2" t="s">
        <v>4296</v>
      </c>
    </row>
    <row r="1538" spans="1:16" ht="13">
      <c r="A1538" s="2" t="s">
        <v>0</v>
      </c>
      <c r="B1538" s="2" t="str">
        <f t="shared" si="23"/>
        <v>24-25 Academic Year</v>
      </c>
      <c r="C1538" s="2">
        <v>7</v>
      </c>
      <c r="D1538" s="2" t="s">
        <v>335</v>
      </c>
      <c r="E1538" s="10">
        <v>45689</v>
      </c>
      <c r="F1538" s="2" t="s">
        <v>2184</v>
      </c>
      <c r="G1538" s="2" t="s">
        <v>7</v>
      </c>
      <c r="H1538" s="2" t="s">
        <v>7</v>
      </c>
      <c r="J1538" s="2" t="s">
        <v>2227</v>
      </c>
      <c r="K1538" s="2" t="s">
        <v>694</v>
      </c>
      <c r="L1538" s="2" t="s">
        <v>3834</v>
      </c>
      <c r="M1538" s="3">
        <v>1</v>
      </c>
      <c r="N1538" s="3">
        <v>2</v>
      </c>
      <c r="P1538" s="2" t="s">
        <v>3835</v>
      </c>
    </row>
    <row r="1539" spans="1:16" ht="13">
      <c r="A1539" s="2" t="s">
        <v>0</v>
      </c>
      <c r="B1539" s="2" t="str">
        <f t="shared" ref="B1539:B1602" si="24">RIGHT(TEXT(IF(LEFT(A1539,4)="Fall",VALUE(RIGHT(A1539,4)),VALUE(RIGHT(A1539,4))-1),"00"),2)
 &amp; "-" &amp;
 RIGHT(TEXT(IF(LEFT(A1539,4)="Fall",VALUE(RIGHT(A1539,4))+1,VALUE(RIGHT(A1539,4))),"00"),2)
 &amp; " Academic Year"</f>
        <v>24-25 Academic Year</v>
      </c>
      <c r="C1539" s="2">
        <v>7</v>
      </c>
      <c r="D1539" s="2" t="s">
        <v>335</v>
      </c>
      <c r="E1539" s="10">
        <v>45689</v>
      </c>
      <c r="F1539" s="2" t="s">
        <v>2184</v>
      </c>
      <c r="G1539" s="2" t="s">
        <v>7</v>
      </c>
      <c r="H1539" s="2" t="s">
        <v>7</v>
      </c>
      <c r="J1539" s="2" t="s">
        <v>2229</v>
      </c>
      <c r="K1539" s="2" t="s">
        <v>990</v>
      </c>
      <c r="L1539" s="2" t="s">
        <v>4396</v>
      </c>
      <c r="M1539" s="3">
        <v>3</v>
      </c>
      <c r="N1539" s="3">
        <v>1</v>
      </c>
      <c r="P1539" s="2" t="s">
        <v>4397</v>
      </c>
    </row>
    <row r="1540" spans="1:16" ht="13">
      <c r="A1540" s="2" t="s">
        <v>0</v>
      </c>
      <c r="B1540" s="2" t="str">
        <f t="shared" si="24"/>
        <v>24-25 Academic Year</v>
      </c>
      <c r="C1540" s="2">
        <v>7</v>
      </c>
      <c r="D1540" s="2" t="s">
        <v>335</v>
      </c>
      <c r="E1540" s="10">
        <v>45689</v>
      </c>
      <c r="F1540" s="2" t="s">
        <v>2184</v>
      </c>
      <c r="G1540" s="2" t="s">
        <v>7</v>
      </c>
      <c r="H1540" s="2" t="s">
        <v>7</v>
      </c>
      <c r="J1540" s="2" t="s">
        <v>2233</v>
      </c>
      <c r="K1540" s="2" t="s">
        <v>339</v>
      </c>
      <c r="L1540" s="2" t="s">
        <v>4398</v>
      </c>
      <c r="M1540" s="3">
        <v>3</v>
      </c>
      <c r="N1540" s="3">
        <v>1</v>
      </c>
      <c r="P1540" s="2" t="s">
        <v>4399</v>
      </c>
    </row>
    <row r="1541" spans="1:16" ht="13">
      <c r="A1541" s="2" t="s">
        <v>0</v>
      </c>
      <c r="B1541" s="2" t="str">
        <f t="shared" si="24"/>
        <v>24-25 Academic Year</v>
      </c>
      <c r="C1541" s="2">
        <v>7</v>
      </c>
      <c r="D1541" s="2" t="s">
        <v>335</v>
      </c>
      <c r="E1541" s="10">
        <v>45689</v>
      </c>
      <c r="F1541" s="2" t="s">
        <v>2184</v>
      </c>
      <c r="G1541" s="2" t="s">
        <v>7</v>
      </c>
      <c r="H1541" s="2" t="s">
        <v>7</v>
      </c>
      <c r="J1541" s="2" t="s">
        <v>2235</v>
      </c>
      <c r="K1541" s="2" t="s">
        <v>4400</v>
      </c>
      <c r="L1541" s="2" t="s">
        <v>4401</v>
      </c>
      <c r="M1541" s="3">
        <v>3</v>
      </c>
      <c r="N1541" s="3">
        <v>1</v>
      </c>
      <c r="P1541" s="2" t="s">
        <v>4402</v>
      </c>
    </row>
    <row r="1542" spans="1:16" ht="13">
      <c r="A1542" s="2" t="s">
        <v>0</v>
      </c>
      <c r="B1542" s="2" t="str">
        <f t="shared" si="24"/>
        <v>24-25 Academic Year</v>
      </c>
      <c r="C1542" s="2">
        <v>8</v>
      </c>
      <c r="D1542" s="2" t="s">
        <v>3836</v>
      </c>
      <c r="E1542" s="10">
        <v>45690</v>
      </c>
      <c r="F1542" s="2" t="s">
        <v>3837</v>
      </c>
      <c r="G1542" s="2" t="s">
        <v>131</v>
      </c>
      <c r="H1542" s="2" t="s">
        <v>6</v>
      </c>
      <c r="I1542" s="2" t="s">
        <v>570</v>
      </c>
      <c r="J1542" s="2" t="s">
        <v>2241</v>
      </c>
      <c r="K1542" s="2" t="s">
        <v>3838</v>
      </c>
      <c r="L1542" s="2" t="s">
        <v>3839</v>
      </c>
      <c r="M1542" s="3">
        <v>1</v>
      </c>
      <c r="N1542" s="3">
        <v>2</v>
      </c>
      <c r="P1542" s="2" t="s">
        <v>3840</v>
      </c>
    </row>
    <row r="1543" spans="1:16" ht="13">
      <c r="A1543" s="2" t="s">
        <v>0</v>
      </c>
      <c r="B1543" s="2" t="str">
        <f t="shared" si="24"/>
        <v>24-25 Academic Year</v>
      </c>
      <c r="C1543" s="2">
        <v>8</v>
      </c>
      <c r="D1543" s="2" t="s">
        <v>3836</v>
      </c>
      <c r="E1543" s="10">
        <v>45690</v>
      </c>
      <c r="F1543" s="2" t="s">
        <v>3837</v>
      </c>
      <c r="G1543" s="2" t="s">
        <v>131</v>
      </c>
      <c r="H1543" s="2" t="s">
        <v>6</v>
      </c>
      <c r="I1543" s="2" t="s">
        <v>570</v>
      </c>
      <c r="J1543" s="2" t="s">
        <v>2245</v>
      </c>
      <c r="K1543" s="2" t="s">
        <v>472</v>
      </c>
      <c r="L1543" s="2" t="s">
        <v>1352</v>
      </c>
      <c r="M1543" s="3">
        <v>1</v>
      </c>
      <c r="N1543" s="3">
        <v>2</v>
      </c>
      <c r="P1543" s="2" t="s">
        <v>3841</v>
      </c>
    </row>
    <row r="1544" spans="1:16" ht="13">
      <c r="A1544" s="2" t="s">
        <v>0</v>
      </c>
      <c r="B1544" s="2" t="str">
        <f t="shared" si="24"/>
        <v>24-25 Academic Year</v>
      </c>
      <c r="C1544" s="2">
        <v>8</v>
      </c>
      <c r="D1544" s="2" t="s">
        <v>3836</v>
      </c>
      <c r="E1544" s="10">
        <v>45690</v>
      </c>
      <c r="F1544" s="2" t="s">
        <v>3837</v>
      </c>
      <c r="G1544" s="2" t="s">
        <v>131</v>
      </c>
      <c r="H1544" s="2" t="s">
        <v>6</v>
      </c>
      <c r="I1544" s="2" t="s">
        <v>570</v>
      </c>
      <c r="J1544" s="2" t="s">
        <v>2249</v>
      </c>
      <c r="K1544" s="2" t="s">
        <v>3842</v>
      </c>
      <c r="L1544" s="2" t="s">
        <v>3843</v>
      </c>
      <c r="M1544" s="3">
        <v>1</v>
      </c>
      <c r="N1544" s="3">
        <v>1</v>
      </c>
      <c r="P1544" s="2" t="s">
        <v>3844</v>
      </c>
    </row>
    <row r="1545" spans="1:16" ht="13">
      <c r="A1545" s="2" t="s">
        <v>0</v>
      </c>
      <c r="B1545" s="2" t="str">
        <f t="shared" si="24"/>
        <v>24-25 Academic Year</v>
      </c>
      <c r="C1545" s="2">
        <v>8</v>
      </c>
      <c r="D1545" s="2" t="s">
        <v>3836</v>
      </c>
      <c r="E1545" s="10">
        <v>45690</v>
      </c>
      <c r="F1545" s="2" t="s">
        <v>3837</v>
      </c>
      <c r="G1545" s="2" t="s">
        <v>131</v>
      </c>
      <c r="H1545" s="2" t="s">
        <v>6</v>
      </c>
      <c r="I1545" s="2" t="s">
        <v>570</v>
      </c>
      <c r="J1545" s="2" t="s">
        <v>2252</v>
      </c>
      <c r="K1545" s="2" t="s">
        <v>4297</v>
      </c>
      <c r="L1545" s="2" t="s">
        <v>4298</v>
      </c>
      <c r="M1545" s="3">
        <v>2</v>
      </c>
      <c r="N1545" s="3">
        <v>2</v>
      </c>
      <c r="P1545" s="2" t="s">
        <v>4299</v>
      </c>
    </row>
    <row r="1546" spans="1:16" ht="13">
      <c r="A1546" s="2" t="s">
        <v>0</v>
      </c>
      <c r="B1546" s="2" t="str">
        <f t="shared" si="24"/>
        <v>24-25 Academic Year</v>
      </c>
      <c r="C1546" s="2">
        <v>8</v>
      </c>
      <c r="D1546" s="2" t="s">
        <v>3836</v>
      </c>
      <c r="E1546" s="10">
        <v>45690</v>
      </c>
      <c r="F1546" s="2" t="s">
        <v>3837</v>
      </c>
      <c r="G1546" s="2" t="s">
        <v>131</v>
      </c>
      <c r="H1546" s="2" t="s">
        <v>6</v>
      </c>
      <c r="I1546" s="2" t="s">
        <v>570</v>
      </c>
      <c r="J1546" s="2" t="s">
        <v>2255</v>
      </c>
      <c r="K1546" s="2" t="s">
        <v>4300</v>
      </c>
      <c r="L1546" s="2" t="s">
        <v>4301</v>
      </c>
      <c r="M1546" s="3">
        <v>2</v>
      </c>
      <c r="N1546" s="3">
        <v>1</v>
      </c>
      <c r="P1546" s="2" t="s">
        <v>4302</v>
      </c>
    </row>
    <row r="1547" spans="1:16" ht="13">
      <c r="A1547" s="2" t="s">
        <v>0</v>
      </c>
      <c r="B1547" s="2" t="str">
        <f t="shared" si="24"/>
        <v>24-25 Academic Year</v>
      </c>
      <c r="C1547" s="2">
        <v>8</v>
      </c>
      <c r="D1547" s="2" t="s">
        <v>3836</v>
      </c>
      <c r="E1547" s="10">
        <v>45690</v>
      </c>
      <c r="F1547" s="2" t="s">
        <v>3837</v>
      </c>
      <c r="G1547" s="2" t="s">
        <v>131</v>
      </c>
      <c r="H1547" s="2" t="s">
        <v>6</v>
      </c>
      <c r="I1547" s="2" t="s">
        <v>570</v>
      </c>
      <c r="J1547" s="2" t="s">
        <v>2258</v>
      </c>
      <c r="K1547" s="2" t="s">
        <v>2142</v>
      </c>
      <c r="L1547" s="2" t="s">
        <v>2143</v>
      </c>
      <c r="M1547" s="3">
        <v>3</v>
      </c>
      <c r="N1547" s="3">
        <v>2</v>
      </c>
      <c r="P1547" s="2" t="s">
        <v>4403</v>
      </c>
    </row>
    <row r="1548" spans="1:16" ht="13">
      <c r="A1548" s="2" t="s">
        <v>0</v>
      </c>
      <c r="B1548" s="2" t="str">
        <f t="shared" si="24"/>
        <v>24-25 Academic Year</v>
      </c>
      <c r="C1548" s="2">
        <v>9</v>
      </c>
      <c r="D1548" s="2" t="s">
        <v>2391</v>
      </c>
      <c r="E1548" s="10">
        <v>45695</v>
      </c>
      <c r="F1548" s="2" t="s">
        <v>3845</v>
      </c>
      <c r="G1548" s="2" t="s">
        <v>21</v>
      </c>
      <c r="H1548" s="2" t="s">
        <v>6</v>
      </c>
      <c r="I1548" s="2" t="s">
        <v>434</v>
      </c>
      <c r="J1548" s="2" t="s">
        <v>2267</v>
      </c>
      <c r="K1548" s="2" t="s">
        <v>1155</v>
      </c>
      <c r="L1548" s="2" t="s">
        <v>751</v>
      </c>
      <c r="M1548" s="3">
        <v>1</v>
      </c>
      <c r="N1548" s="3">
        <v>2</v>
      </c>
      <c r="P1548" s="2" t="s">
        <v>3846</v>
      </c>
    </row>
    <row r="1549" spans="1:16" ht="13">
      <c r="A1549" s="2" t="s">
        <v>0</v>
      </c>
      <c r="B1549" s="2" t="str">
        <f t="shared" si="24"/>
        <v>24-25 Academic Year</v>
      </c>
      <c r="C1549" s="2">
        <v>9</v>
      </c>
      <c r="D1549" s="2" t="s">
        <v>2391</v>
      </c>
      <c r="E1549" s="10">
        <v>45695</v>
      </c>
      <c r="F1549" s="2" t="s">
        <v>3845</v>
      </c>
      <c r="G1549" s="2" t="s">
        <v>21</v>
      </c>
      <c r="H1549" s="2" t="s">
        <v>6</v>
      </c>
      <c r="I1549" s="2" t="s">
        <v>434</v>
      </c>
      <c r="J1549" s="2" t="s">
        <v>2271</v>
      </c>
      <c r="K1549" s="2" t="s">
        <v>431</v>
      </c>
      <c r="L1549" s="2" t="s">
        <v>1360</v>
      </c>
      <c r="M1549" s="3">
        <v>1</v>
      </c>
      <c r="N1549" s="3">
        <v>2</v>
      </c>
      <c r="P1549" s="2" t="s">
        <v>3847</v>
      </c>
    </row>
    <row r="1550" spans="1:16" ht="13">
      <c r="A1550" s="2" t="s">
        <v>0</v>
      </c>
      <c r="B1550" s="2" t="str">
        <f t="shared" si="24"/>
        <v>24-25 Academic Year</v>
      </c>
      <c r="C1550" s="2">
        <v>9</v>
      </c>
      <c r="D1550" s="2" t="s">
        <v>2391</v>
      </c>
      <c r="E1550" s="10">
        <v>45695</v>
      </c>
      <c r="F1550" s="2" t="s">
        <v>3845</v>
      </c>
      <c r="G1550" s="2" t="s">
        <v>21</v>
      </c>
      <c r="H1550" s="2" t="s">
        <v>6</v>
      </c>
      <c r="I1550" s="2" t="s">
        <v>434</v>
      </c>
      <c r="J1550" s="2" t="s">
        <v>2274</v>
      </c>
      <c r="K1550" s="2" t="s">
        <v>431</v>
      </c>
      <c r="L1550" s="2" t="s">
        <v>1360</v>
      </c>
      <c r="M1550" s="3">
        <v>1</v>
      </c>
      <c r="N1550" s="3">
        <v>2</v>
      </c>
      <c r="P1550" s="2" t="s">
        <v>3848</v>
      </c>
    </row>
    <row r="1551" spans="1:16" ht="13">
      <c r="A1551" s="2" t="s">
        <v>0</v>
      </c>
      <c r="B1551" s="2" t="str">
        <f t="shared" si="24"/>
        <v>24-25 Academic Year</v>
      </c>
      <c r="C1551" s="2">
        <v>9</v>
      </c>
      <c r="D1551" s="2" t="s">
        <v>2391</v>
      </c>
      <c r="E1551" s="10">
        <v>45695</v>
      </c>
      <c r="F1551" s="2" t="s">
        <v>3845</v>
      </c>
      <c r="G1551" s="2" t="s">
        <v>21</v>
      </c>
      <c r="H1551" s="2" t="s">
        <v>6</v>
      </c>
      <c r="I1551" s="2" t="s">
        <v>434</v>
      </c>
      <c r="J1551" s="2" t="s">
        <v>3464</v>
      </c>
      <c r="K1551" s="2" t="s">
        <v>3849</v>
      </c>
      <c r="L1551" s="2" t="s">
        <v>123</v>
      </c>
      <c r="M1551" s="3">
        <v>1</v>
      </c>
      <c r="N1551" s="3">
        <v>2</v>
      </c>
      <c r="P1551" s="2" t="s">
        <v>3850</v>
      </c>
    </row>
    <row r="1552" spans="1:16" ht="13">
      <c r="A1552" s="2" t="s">
        <v>0</v>
      </c>
      <c r="B1552" s="2" t="str">
        <f t="shared" si="24"/>
        <v>24-25 Academic Year</v>
      </c>
      <c r="C1552" s="2">
        <v>9</v>
      </c>
      <c r="D1552" s="2" t="s">
        <v>2391</v>
      </c>
      <c r="E1552" s="10">
        <v>45695</v>
      </c>
      <c r="F1552" s="2" t="s">
        <v>3845</v>
      </c>
      <c r="G1552" s="2" t="s">
        <v>21</v>
      </c>
      <c r="H1552" s="2" t="s">
        <v>6</v>
      </c>
      <c r="I1552" s="2" t="s">
        <v>434</v>
      </c>
      <c r="J1552" s="2" t="s">
        <v>3467</v>
      </c>
      <c r="K1552" s="2" t="s">
        <v>431</v>
      </c>
      <c r="L1552" s="2" t="s">
        <v>1360</v>
      </c>
      <c r="M1552" s="3">
        <v>1</v>
      </c>
      <c r="N1552" s="3">
        <v>2</v>
      </c>
      <c r="P1552" s="2" t="s">
        <v>3851</v>
      </c>
    </row>
    <row r="1553" spans="1:16" ht="13">
      <c r="A1553" s="2" t="s">
        <v>0</v>
      </c>
      <c r="B1553" s="2" t="str">
        <f t="shared" si="24"/>
        <v>24-25 Academic Year</v>
      </c>
      <c r="C1553" s="2">
        <v>9</v>
      </c>
      <c r="D1553" s="2" t="s">
        <v>2391</v>
      </c>
      <c r="E1553" s="10">
        <v>45695</v>
      </c>
      <c r="F1553" s="2" t="s">
        <v>3845</v>
      </c>
      <c r="G1553" s="2" t="s">
        <v>21</v>
      </c>
      <c r="H1553" s="2" t="s">
        <v>6</v>
      </c>
      <c r="I1553" s="2" t="s">
        <v>434</v>
      </c>
      <c r="J1553" s="2" t="s">
        <v>3470</v>
      </c>
      <c r="K1553" s="2" t="s">
        <v>3852</v>
      </c>
      <c r="L1553" s="2" t="s">
        <v>3853</v>
      </c>
      <c r="M1553" s="3">
        <v>1</v>
      </c>
      <c r="N1553" s="3">
        <v>2</v>
      </c>
      <c r="P1553" s="2" t="s">
        <v>3854</v>
      </c>
    </row>
    <row r="1554" spans="1:16" ht="13">
      <c r="A1554" s="2" t="s">
        <v>0</v>
      </c>
      <c r="B1554" s="2" t="str">
        <f t="shared" si="24"/>
        <v>24-25 Academic Year</v>
      </c>
      <c r="C1554" s="2">
        <v>9</v>
      </c>
      <c r="D1554" s="2" t="s">
        <v>2391</v>
      </c>
      <c r="E1554" s="10">
        <v>45695</v>
      </c>
      <c r="F1554" s="2" t="s">
        <v>3845</v>
      </c>
      <c r="G1554" s="2" t="s">
        <v>21</v>
      </c>
      <c r="H1554" s="2" t="s">
        <v>6</v>
      </c>
      <c r="I1554" s="2" t="s">
        <v>434</v>
      </c>
      <c r="J1554" s="2" t="s">
        <v>3473</v>
      </c>
      <c r="K1554" s="2" t="s">
        <v>59</v>
      </c>
      <c r="L1554" s="2" t="s">
        <v>60</v>
      </c>
      <c r="M1554" s="3">
        <v>1</v>
      </c>
      <c r="N1554" s="3">
        <v>2</v>
      </c>
      <c r="P1554" s="2" t="s">
        <v>3855</v>
      </c>
    </row>
    <row r="1555" spans="1:16" ht="13">
      <c r="A1555" s="2" t="s">
        <v>0</v>
      </c>
      <c r="B1555" s="2" t="str">
        <f t="shared" si="24"/>
        <v>24-25 Academic Year</v>
      </c>
      <c r="C1555" s="2">
        <v>9</v>
      </c>
      <c r="D1555" s="2" t="s">
        <v>2391</v>
      </c>
      <c r="E1555" s="10">
        <v>45695</v>
      </c>
      <c r="F1555" s="2" t="s">
        <v>3845</v>
      </c>
      <c r="G1555" s="2" t="s">
        <v>21</v>
      </c>
      <c r="H1555" s="2" t="s">
        <v>6</v>
      </c>
      <c r="I1555" s="2" t="s">
        <v>434</v>
      </c>
      <c r="J1555" s="2" t="s">
        <v>3856</v>
      </c>
      <c r="K1555" s="2" t="s">
        <v>3857</v>
      </c>
      <c r="L1555" s="2" t="s">
        <v>1680</v>
      </c>
      <c r="M1555" s="3">
        <v>1</v>
      </c>
      <c r="N1555" s="3">
        <v>2</v>
      </c>
      <c r="P1555" s="2" t="s">
        <v>3858</v>
      </c>
    </row>
    <row r="1556" spans="1:16" ht="13">
      <c r="A1556" s="2" t="s">
        <v>0</v>
      </c>
      <c r="B1556" s="2" t="str">
        <f t="shared" si="24"/>
        <v>24-25 Academic Year</v>
      </c>
      <c r="C1556" s="2">
        <v>10</v>
      </c>
      <c r="D1556" s="2" t="s">
        <v>2407</v>
      </c>
      <c r="E1556" s="10">
        <v>45696</v>
      </c>
      <c r="F1556" s="2" t="s">
        <v>2184</v>
      </c>
      <c r="G1556" s="2" t="s">
        <v>7</v>
      </c>
      <c r="H1556" s="2" t="s">
        <v>7</v>
      </c>
      <c r="J1556" s="2" t="s">
        <v>2322</v>
      </c>
      <c r="K1556" s="2" t="s">
        <v>1328</v>
      </c>
      <c r="L1556" s="2" t="s">
        <v>1329</v>
      </c>
      <c r="M1556" s="3">
        <v>1</v>
      </c>
      <c r="N1556" s="3">
        <v>1</v>
      </c>
      <c r="P1556" s="2" t="s">
        <v>3859</v>
      </c>
    </row>
    <row r="1557" spans="1:16" ht="13">
      <c r="A1557" s="2" t="s">
        <v>0</v>
      </c>
      <c r="B1557" s="2" t="str">
        <f t="shared" si="24"/>
        <v>24-25 Academic Year</v>
      </c>
      <c r="C1557" s="2">
        <v>10</v>
      </c>
      <c r="D1557" s="2" t="s">
        <v>2407</v>
      </c>
      <c r="E1557" s="10">
        <v>45696</v>
      </c>
      <c r="F1557" s="2" t="s">
        <v>2184</v>
      </c>
      <c r="G1557" s="2" t="s">
        <v>7</v>
      </c>
      <c r="H1557" s="2" t="s">
        <v>7</v>
      </c>
      <c r="J1557" s="2" t="s">
        <v>2324</v>
      </c>
      <c r="K1557" s="2" t="s">
        <v>93</v>
      </c>
      <c r="L1557" s="2" t="s">
        <v>3352</v>
      </c>
      <c r="M1557" s="3">
        <v>1</v>
      </c>
      <c r="N1557" s="3">
        <v>2</v>
      </c>
      <c r="P1557" s="2" t="s">
        <v>3860</v>
      </c>
    </row>
    <row r="1558" spans="1:16" ht="13">
      <c r="A1558" s="2" t="s">
        <v>0</v>
      </c>
      <c r="B1558" s="2" t="str">
        <f t="shared" si="24"/>
        <v>24-25 Academic Year</v>
      </c>
      <c r="C1558" s="2">
        <v>10</v>
      </c>
      <c r="D1558" s="2" t="s">
        <v>2407</v>
      </c>
      <c r="E1558" s="10">
        <v>45696</v>
      </c>
      <c r="F1558" s="2" t="s">
        <v>2184</v>
      </c>
      <c r="G1558" s="2" t="s">
        <v>7</v>
      </c>
      <c r="H1558" s="2" t="s">
        <v>7</v>
      </c>
      <c r="J1558" s="2" t="s">
        <v>2327</v>
      </c>
      <c r="K1558" s="2" t="s">
        <v>3861</v>
      </c>
      <c r="L1558" s="2" t="s">
        <v>3862</v>
      </c>
      <c r="M1558" s="3">
        <v>1</v>
      </c>
      <c r="N1558" s="3">
        <v>1</v>
      </c>
      <c r="P1558" s="2" t="s">
        <v>3863</v>
      </c>
    </row>
    <row r="1559" spans="1:16" ht="13">
      <c r="A1559" s="2" t="s">
        <v>0</v>
      </c>
      <c r="B1559" s="2" t="str">
        <f t="shared" si="24"/>
        <v>24-25 Academic Year</v>
      </c>
      <c r="C1559" s="2">
        <v>10</v>
      </c>
      <c r="D1559" s="2" t="s">
        <v>2407</v>
      </c>
      <c r="E1559" s="10">
        <v>45696</v>
      </c>
      <c r="F1559" s="2" t="s">
        <v>2184</v>
      </c>
      <c r="G1559" s="2" t="s">
        <v>7</v>
      </c>
      <c r="H1559" s="2" t="s">
        <v>7</v>
      </c>
      <c r="J1559" s="2" t="s">
        <v>2330</v>
      </c>
      <c r="K1559" s="2" t="s">
        <v>4303</v>
      </c>
      <c r="L1559" s="2" t="s">
        <v>4304</v>
      </c>
      <c r="M1559" s="3">
        <v>2</v>
      </c>
      <c r="N1559" s="3">
        <v>1</v>
      </c>
      <c r="P1559" s="2" t="s">
        <v>4305</v>
      </c>
    </row>
    <row r="1560" spans="1:16" ht="13">
      <c r="A1560" s="2" t="s">
        <v>0</v>
      </c>
      <c r="B1560" s="2" t="str">
        <f t="shared" si="24"/>
        <v>24-25 Academic Year</v>
      </c>
      <c r="C1560" s="2">
        <v>10</v>
      </c>
      <c r="D1560" s="2" t="s">
        <v>2407</v>
      </c>
      <c r="E1560" s="10">
        <v>45696</v>
      </c>
      <c r="F1560" s="2" t="s">
        <v>2184</v>
      </c>
      <c r="G1560" s="2" t="s">
        <v>7</v>
      </c>
      <c r="H1560" s="2" t="s">
        <v>7</v>
      </c>
      <c r="J1560" s="2" t="s">
        <v>2332</v>
      </c>
      <c r="K1560" s="2" t="s">
        <v>4404</v>
      </c>
      <c r="L1560" s="2" t="s">
        <v>4405</v>
      </c>
      <c r="M1560" s="3">
        <v>3</v>
      </c>
      <c r="N1560" s="3">
        <v>1</v>
      </c>
      <c r="P1560" s="2" t="s">
        <v>4406</v>
      </c>
    </row>
    <row r="1561" spans="1:16" ht="13">
      <c r="A1561" s="2" t="s">
        <v>0</v>
      </c>
      <c r="B1561" s="2" t="str">
        <f t="shared" si="24"/>
        <v>24-25 Academic Year</v>
      </c>
      <c r="C1561" s="2">
        <v>10</v>
      </c>
      <c r="D1561" s="2" t="s">
        <v>2407</v>
      </c>
      <c r="E1561" s="10">
        <v>45696</v>
      </c>
      <c r="F1561" s="2" t="s">
        <v>2184</v>
      </c>
      <c r="G1561" s="2" t="s">
        <v>7</v>
      </c>
      <c r="H1561" s="2" t="s">
        <v>7</v>
      </c>
      <c r="J1561" s="2" t="s">
        <v>2335</v>
      </c>
      <c r="K1561" s="2" t="s">
        <v>3418</v>
      </c>
      <c r="L1561" s="2" t="s">
        <v>4407</v>
      </c>
      <c r="M1561" s="3">
        <v>3</v>
      </c>
      <c r="N1561" s="3">
        <v>1</v>
      </c>
      <c r="P1561" s="2" t="s">
        <v>4408</v>
      </c>
    </row>
    <row r="1562" spans="1:16" ht="13">
      <c r="A1562" s="2" t="s">
        <v>0</v>
      </c>
      <c r="B1562" s="2" t="str">
        <f t="shared" si="24"/>
        <v>24-25 Academic Year</v>
      </c>
      <c r="C1562" s="2">
        <v>10</v>
      </c>
      <c r="D1562" s="2" t="s">
        <v>2407</v>
      </c>
      <c r="E1562" s="10">
        <v>45696</v>
      </c>
      <c r="F1562" s="2" t="s">
        <v>2184</v>
      </c>
      <c r="G1562" s="2" t="s">
        <v>7</v>
      </c>
      <c r="H1562" s="2" t="s">
        <v>7</v>
      </c>
      <c r="J1562" s="2" t="s">
        <v>4514</v>
      </c>
      <c r="K1562" s="2" t="s">
        <v>4515</v>
      </c>
      <c r="L1562" s="2" t="s">
        <v>4516</v>
      </c>
      <c r="M1562" s="3">
        <v>4</v>
      </c>
      <c r="N1562" s="3">
        <v>1</v>
      </c>
      <c r="P1562" s="2" t="s">
        <v>4517</v>
      </c>
    </row>
    <row r="1563" spans="1:16" ht="13">
      <c r="A1563" s="2" t="s">
        <v>0</v>
      </c>
      <c r="B1563" s="2" t="str">
        <f t="shared" si="24"/>
        <v>24-25 Academic Year</v>
      </c>
      <c r="C1563" s="2">
        <v>10</v>
      </c>
      <c r="D1563" s="2" t="s">
        <v>2407</v>
      </c>
      <c r="E1563" s="10">
        <v>45696</v>
      </c>
      <c r="F1563" s="2" t="s">
        <v>2184</v>
      </c>
      <c r="G1563" s="2" t="s">
        <v>7</v>
      </c>
      <c r="H1563" s="2" t="s">
        <v>7</v>
      </c>
      <c r="J1563" s="2" t="s">
        <v>4518</v>
      </c>
      <c r="K1563" s="2" t="s">
        <v>4519</v>
      </c>
      <c r="L1563" s="2" t="s">
        <v>4520</v>
      </c>
      <c r="M1563" s="3">
        <v>4</v>
      </c>
      <c r="N1563" s="3">
        <v>1</v>
      </c>
      <c r="P1563" s="2" t="s">
        <v>4521</v>
      </c>
    </row>
    <row r="1564" spans="1:16" ht="13">
      <c r="A1564" s="2" t="s">
        <v>0</v>
      </c>
      <c r="B1564" s="2" t="str">
        <f t="shared" si="24"/>
        <v>24-25 Academic Year</v>
      </c>
      <c r="C1564" s="2">
        <v>10</v>
      </c>
      <c r="D1564" s="2" t="s">
        <v>2407</v>
      </c>
      <c r="E1564" s="10">
        <v>45696</v>
      </c>
      <c r="F1564" s="2" t="s">
        <v>2184</v>
      </c>
      <c r="G1564" s="2" t="s">
        <v>7</v>
      </c>
      <c r="H1564" s="2" t="s">
        <v>7</v>
      </c>
      <c r="J1564" s="2" t="s">
        <v>4567</v>
      </c>
      <c r="K1564" s="2" t="s">
        <v>679</v>
      </c>
      <c r="L1564" s="2" t="s">
        <v>679</v>
      </c>
      <c r="M1564" s="3">
        <v>999</v>
      </c>
      <c r="N1564" s="3">
        <v>999</v>
      </c>
      <c r="P1564" s="2" t="s">
        <v>4568</v>
      </c>
    </row>
    <row r="1565" spans="1:16" ht="13">
      <c r="A1565" s="2" t="s">
        <v>0</v>
      </c>
      <c r="B1565" s="2" t="str">
        <f t="shared" si="24"/>
        <v>24-25 Academic Year</v>
      </c>
      <c r="C1565" s="2">
        <v>11</v>
      </c>
      <c r="D1565" s="2" t="s">
        <v>4569</v>
      </c>
      <c r="E1565" s="10">
        <v>45697</v>
      </c>
      <c r="F1565" s="2" t="s">
        <v>4570</v>
      </c>
      <c r="G1565" s="2" t="s">
        <v>379</v>
      </c>
      <c r="H1565" s="2" t="s">
        <v>8</v>
      </c>
      <c r="J1565" s="2" t="s">
        <v>2291</v>
      </c>
      <c r="K1565" s="2" t="s">
        <v>3371</v>
      </c>
      <c r="L1565" s="2" t="s">
        <v>679</v>
      </c>
      <c r="M1565" s="3">
        <v>999</v>
      </c>
      <c r="N1565" s="3">
        <v>999</v>
      </c>
      <c r="P1565" s="2" t="s">
        <v>4571</v>
      </c>
    </row>
    <row r="1566" spans="1:16" ht="13">
      <c r="A1566" s="2" t="s">
        <v>0</v>
      </c>
      <c r="B1566" s="2" t="str">
        <f t="shared" si="24"/>
        <v>24-25 Academic Year</v>
      </c>
      <c r="C1566" s="2">
        <v>12</v>
      </c>
      <c r="D1566" s="2" t="s">
        <v>3864</v>
      </c>
      <c r="E1566" s="10">
        <v>45699</v>
      </c>
      <c r="F1566" s="2" t="s">
        <v>131</v>
      </c>
      <c r="G1566" s="2" t="s">
        <v>131</v>
      </c>
      <c r="H1566" s="2" t="s">
        <v>6</v>
      </c>
      <c r="J1566" s="2" t="s">
        <v>2277</v>
      </c>
      <c r="K1566" s="2" t="s">
        <v>1119</v>
      </c>
      <c r="L1566" s="2" t="s">
        <v>1676</v>
      </c>
      <c r="M1566" s="3">
        <v>1</v>
      </c>
      <c r="N1566" s="3">
        <v>2</v>
      </c>
      <c r="P1566" s="2" t="s">
        <v>3865</v>
      </c>
    </row>
    <row r="1567" spans="1:16" ht="13">
      <c r="A1567" s="2" t="s">
        <v>0</v>
      </c>
      <c r="B1567" s="2" t="str">
        <f t="shared" si="24"/>
        <v>24-25 Academic Year</v>
      </c>
      <c r="C1567" s="2">
        <v>12</v>
      </c>
      <c r="D1567" s="2" t="s">
        <v>3864</v>
      </c>
      <c r="E1567" s="10">
        <v>45699</v>
      </c>
      <c r="F1567" s="2" t="s">
        <v>131</v>
      </c>
      <c r="G1567" s="2" t="s">
        <v>131</v>
      </c>
      <c r="H1567" s="2" t="s">
        <v>6</v>
      </c>
      <c r="J1567" s="2" t="s">
        <v>4562</v>
      </c>
      <c r="K1567" s="2" t="s">
        <v>4563</v>
      </c>
      <c r="L1567" s="2" t="s">
        <v>4564</v>
      </c>
      <c r="M1567" s="3">
        <v>5</v>
      </c>
      <c r="N1567" s="3">
        <v>1</v>
      </c>
      <c r="P1567" s="2" t="s">
        <v>4565</v>
      </c>
    </row>
    <row r="1568" spans="1:16" ht="13">
      <c r="A1568" s="2" t="s">
        <v>0</v>
      </c>
      <c r="B1568" s="2" t="str">
        <f t="shared" si="24"/>
        <v>24-25 Academic Year</v>
      </c>
      <c r="C1568" s="2">
        <v>12</v>
      </c>
      <c r="D1568" s="2" t="s">
        <v>3864</v>
      </c>
      <c r="E1568" s="10">
        <v>45699</v>
      </c>
      <c r="F1568" s="2" t="s">
        <v>131</v>
      </c>
      <c r="G1568" s="2" t="s">
        <v>131</v>
      </c>
      <c r="H1568" s="2" t="s">
        <v>6</v>
      </c>
      <c r="J1568" s="2" t="s">
        <v>4639</v>
      </c>
      <c r="K1568" s="2" t="s">
        <v>4640</v>
      </c>
      <c r="L1568" s="2" t="s">
        <v>4641</v>
      </c>
      <c r="M1568" s="3">
        <v>3</v>
      </c>
      <c r="N1568" s="3">
        <v>2</v>
      </c>
      <c r="P1568" s="2" t="s">
        <v>4642</v>
      </c>
    </row>
    <row r="1569" spans="1:16" ht="13">
      <c r="A1569" s="2" t="s">
        <v>0</v>
      </c>
      <c r="B1569" s="2" t="str">
        <f t="shared" si="24"/>
        <v>24-25 Academic Year</v>
      </c>
      <c r="C1569" s="2">
        <v>12</v>
      </c>
      <c r="D1569" s="2" t="s">
        <v>3864</v>
      </c>
      <c r="E1569" s="10">
        <v>45699</v>
      </c>
      <c r="F1569" s="2" t="s">
        <v>131</v>
      </c>
      <c r="G1569" s="2" t="s">
        <v>131</v>
      </c>
      <c r="H1569" s="2" t="s">
        <v>6</v>
      </c>
      <c r="J1569" s="2" t="s">
        <v>2280</v>
      </c>
      <c r="K1569" s="2" t="s">
        <v>3776</v>
      </c>
      <c r="L1569" s="2" t="s">
        <v>3353</v>
      </c>
      <c r="M1569" s="3">
        <v>1</v>
      </c>
      <c r="N1569" s="3">
        <v>2</v>
      </c>
      <c r="P1569" s="2" t="s">
        <v>3866</v>
      </c>
    </row>
    <row r="1570" spans="1:16" ht="13">
      <c r="A1570" s="2" t="s">
        <v>0</v>
      </c>
      <c r="B1570" s="2" t="str">
        <f t="shared" si="24"/>
        <v>24-25 Academic Year</v>
      </c>
      <c r="C1570" s="2">
        <v>12</v>
      </c>
      <c r="D1570" s="2" t="s">
        <v>3864</v>
      </c>
      <c r="E1570" s="10">
        <v>45699</v>
      </c>
      <c r="F1570" s="2" t="s">
        <v>131</v>
      </c>
      <c r="G1570" s="2" t="s">
        <v>131</v>
      </c>
      <c r="H1570" s="2" t="s">
        <v>6</v>
      </c>
      <c r="J1570" s="2" t="s">
        <v>2283</v>
      </c>
      <c r="K1570" s="2" t="s">
        <v>371</v>
      </c>
      <c r="L1570" s="2" t="s">
        <v>3350</v>
      </c>
      <c r="M1570" s="3">
        <v>1</v>
      </c>
      <c r="N1570" s="3">
        <v>2</v>
      </c>
      <c r="P1570" s="2" t="s">
        <v>3867</v>
      </c>
    </row>
    <row r="1571" spans="1:16" ht="13">
      <c r="A1571" s="2" t="s">
        <v>0</v>
      </c>
      <c r="B1571" s="2" t="str">
        <f t="shared" si="24"/>
        <v>24-25 Academic Year</v>
      </c>
      <c r="C1571" s="2">
        <v>12</v>
      </c>
      <c r="D1571" s="2" t="s">
        <v>3864</v>
      </c>
      <c r="E1571" s="10">
        <v>45699</v>
      </c>
      <c r="F1571" s="2" t="s">
        <v>131</v>
      </c>
      <c r="G1571" s="2" t="s">
        <v>131</v>
      </c>
      <c r="H1571" s="2" t="s">
        <v>6</v>
      </c>
      <c r="J1571" s="2" t="s">
        <v>2286</v>
      </c>
      <c r="K1571" s="2" t="s">
        <v>3868</v>
      </c>
      <c r="L1571" s="2" t="s">
        <v>3869</v>
      </c>
      <c r="M1571" s="3">
        <v>1</v>
      </c>
      <c r="N1571" s="3">
        <v>2</v>
      </c>
      <c r="P1571" s="2" t="s">
        <v>3870</v>
      </c>
    </row>
    <row r="1572" spans="1:16" ht="13">
      <c r="A1572" s="2" t="s">
        <v>0</v>
      </c>
      <c r="B1572" s="2" t="str">
        <f t="shared" si="24"/>
        <v>24-25 Academic Year</v>
      </c>
      <c r="C1572" s="2">
        <v>12</v>
      </c>
      <c r="D1572" s="2" t="s">
        <v>3864</v>
      </c>
      <c r="E1572" s="10">
        <v>45699</v>
      </c>
      <c r="F1572" s="2" t="s">
        <v>131</v>
      </c>
      <c r="G1572" s="2" t="s">
        <v>131</v>
      </c>
      <c r="H1572" s="2" t="s">
        <v>6</v>
      </c>
      <c r="J1572" s="2" t="s">
        <v>4306</v>
      </c>
      <c r="K1572" s="2" t="s">
        <v>4307</v>
      </c>
      <c r="L1572" s="2" t="s">
        <v>4308</v>
      </c>
      <c r="M1572" s="3">
        <v>2</v>
      </c>
      <c r="N1572" s="3">
        <v>1</v>
      </c>
      <c r="P1572" s="2" t="s">
        <v>4309</v>
      </c>
    </row>
    <row r="1573" spans="1:16" ht="13">
      <c r="A1573" s="2" t="s">
        <v>0</v>
      </c>
      <c r="B1573" s="2" t="str">
        <f t="shared" si="24"/>
        <v>24-25 Academic Year</v>
      </c>
      <c r="C1573" s="2">
        <v>12</v>
      </c>
      <c r="D1573" s="2" t="s">
        <v>3864</v>
      </c>
      <c r="E1573" s="10">
        <v>45699</v>
      </c>
      <c r="F1573" s="2" t="s">
        <v>131</v>
      </c>
      <c r="G1573" s="2" t="s">
        <v>131</v>
      </c>
      <c r="H1573" s="2" t="s">
        <v>6</v>
      </c>
      <c r="J1573" s="2" t="s">
        <v>4310</v>
      </c>
      <c r="K1573" s="2" t="s">
        <v>4311</v>
      </c>
      <c r="L1573" s="2" t="s">
        <v>4312</v>
      </c>
      <c r="M1573" s="3">
        <v>2</v>
      </c>
      <c r="N1573" s="3">
        <v>2</v>
      </c>
      <c r="P1573" s="2" t="s">
        <v>4313</v>
      </c>
    </row>
    <row r="1574" spans="1:16" ht="13">
      <c r="A1574" s="2" t="s">
        <v>0</v>
      </c>
      <c r="B1574" s="2" t="str">
        <f t="shared" si="24"/>
        <v>24-25 Academic Year</v>
      </c>
      <c r="C1574" s="2">
        <v>12</v>
      </c>
      <c r="D1574" s="2" t="s">
        <v>3864</v>
      </c>
      <c r="E1574" s="10">
        <v>45699</v>
      </c>
      <c r="F1574" s="2" t="s">
        <v>131</v>
      </c>
      <c r="G1574" s="2" t="s">
        <v>131</v>
      </c>
      <c r="H1574" s="2" t="s">
        <v>6</v>
      </c>
      <c r="J1574" s="2" t="s">
        <v>4314</v>
      </c>
      <c r="K1574" s="2" t="s">
        <v>4315</v>
      </c>
      <c r="L1574" s="2" t="s">
        <v>4316</v>
      </c>
      <c r="M1574" s="3">
        <v>2</v>
      </c>
      <c r="N1574" s="3">
        <v>1</v>
      </c>
      <c r="P1574" s="2" t="s">
        <v>4317</v>
      </c>
    </row>
    <row r="1575" spans="1:16" ht="13">
      <c r="A1575" s="2" t="s">
        <v>0</v>
      </c>
      <c r="B1575" s="2" t="str">
        <f t="shared" si="24"/>
        <v>24-25 Academic Year</v>
      </c>
      <c r="C1575" s="2">
        <v>12</v>
      </c>
      <c r="D1575" s="2" t="s">
        <v>3864</v>
      </c>
      <c r="E1575" s="10">
        <v>45699</v>
      </c>
      <c r="F1575" s="2" t="s">
        <v>131</v>
      </c>
      <c r="G1575" s="2" t="s">
        <v>131</v>
      </c>
      <c r="H1575" s="2" t="s">
        <v>6</v>
      </c>
      <c r="J1575" s="2" t="s">
        <v>4522</v>
      </c>
      <c r="K1575" s="2" t="s">
        <v>3651</v>
      </c>
      <c r="L1575" s="2" t="s">
        <v>4523</v>
      </c>
      <c r="M1575" s="3">
        <v>4</v>
      </c>
      <c r="N1575" s="3">
        <v>1</v>
      </c>
      <c r="P1575" s="2" t="s">
        <v>4524</v>
      </c>
    </row>
    <row r="1576" spans="1:16" ht="13">
      <c r="A1576" s="2" t="s">
        <v>0</v>
      </c>
      <c r="B1576" s="2" t="str">
        <f t="shared" si="24"/>
        <v>24-25 Academic Year</v>
      </c>
      <c r="C1576" s="2">
        <v>12</v>
      </c>
      <c r="D1576" s="2" t="s">
        <v>3864</v>
      </c>
      <c r="E1576" s="10">
        <v>45699</v>
      </c>
      <c r="F1576" s="2" t="s">
        <v>131</v>
      </c>
      <c r="G1576" s="2" t="s">
        <v>131</v>
      </c>
      <c r="H1576" s="2" t="s">
        <v>6</v>
      </c>
      <c r="J1576" s="2" t="s">
        <v>4525</v>
      </c>
      <c r="K1576" s="2" t="s">
        <v>611</v>
      </c>
      <c r="L1576" s="2" t="s">
        <v>1849</v>
      </c>
      <c r="M1576" s="3">
        <v>4</v>
      </c>
      <c r="N1576" s="3">
        <v>2</v>
      </c>
      <c r="P1576" s="2" t="s">
        <v>4526</v>
      </c>
    </row>
    <row r="1577" spans="1:16" ht="13">
      <c r="A1577" s="2" t="s">
        <v>0</v>
      </c>
      <c r="B1577" s="2" t="str">
        <f t="shared" si="24"/>
        <v>24-25 Academic Year</v>
      </c>
      <c r="C1577" s="2">
        <v>13</v>
      </c>
      <c r="D1577" s="2" t="s">
        <v>3871</v>
      </c>
      <c r="E1577" s="10">
        <v>45699</v>
      </c>
      <c r="F1577" s="2" t="s">
        <v>3872</v>
      </c>
      <c r="G1577" s="2" t="s">
        <v>131</v>
      </c>
      <c r="H1577" s="2" t="s">
        <v>6</v>
      </c>
      <c r="J1577" s="2" t="s">
        <v>2341</v>
      </c>
      <c r="K1577" s="2" t="s">
        <v>336</v>
      </c>
      <c r="L1577" s="2" t="s">
        <v>1234</v>
      </c>
      <c r="M1577" s="3">
        <v>1</v>
      </c>
      <c r="N1577" s="3">
        <v>1</v>
      </c>
      <c r="P1577" s="2" t="s">
        <v>3873</v>
      </c>
    </row>
    <row r="1578" spans="1:16" ht="13">
      <c r="A1578" s="2" t="s">
        <v>0</v>
      </c>
      <c r="B1578" s="2" t="str">
        <f t="shared" si="24"/>
        <v>24-25 Academic Year</v>
      </c>
      <c r="C1578" s="2">
        <v>13</v>
      </c>
      <c r="D1578" s="2" t="s">
        <v>3871</v>
      </c>
      <c r="E1578" s="10">
        <v>45699</v>
      </c>
      <c r="F1578" s="2" t="s">
        <v>3872</v>
      </c>
      <c r="G1578" s="2" t="s">
        <v>131</v>
      </c>
      <c r="H1578" s="2" t="s">
        <v>6</v>
      </c>
      <c r="J1578" s="2" t="s">
        <v>2349</v>
      </c>
      <c r="K1578" s="2" t="s">
        <v>3874</v>
      </c>
      <c r="L1578" s="2" t="s">
        <v>3875</v>
      </c>
      <c r="M1578" s="3">
        <v>1</v>
      </c>
      <c r="N1578" s="3">
        <v>1</v>
      </c>
      <c r="P1578" s="2" t="s">
        <v>3876</v>
      </c>
    </row>
    <row r="1579" spans="1:16" ht="13">
      <c r="A1579" s="2" t="s">
        <v>0</v>
      </c>
      <c r="B1579" s="2" t="str">
        <f t="shared" si="24"/>
        <v>24-25 Academic Year</v>
      </c>
      <c r="C1579" s="2">
        <v>13</v>
      </c>
      <c r="D1579" s="2" t="s">
        <v>3871</v>
      </c>
      <c r="E1579" s="10">
        <v>45699</v>
      </c>
      <c r="F1579" s="2" t="s">
        <v>3872</v>
      </c>
      <c r="G1579" s="2" t="s">
        <v>131</v>
      </c>
      <c r="H1579" s="2" t="s">
        <v>6</v>
      </c>
      <c r="J1579" s="2" t="s">
        <v>2351</v>
      </c>
      <c r="K1579" s="2" t="s">
        <v>3877</v>
      </c>
      <c r="L1579" s="2" t="s">
        <v>3878</v>
      </c>
      <c r="M1579" s="3">
        <v>1</v>
      </c>
      <c r="N1579" s="3">
        <v>1</v>
      </c>
      <c r="P1579" s="2" t="s">
        <v>3879</v>
      </c>
    </row>
    <row r="1580" spans="1:16" ht="13">
      <c r="A1580" s="2" t="s">
        <v>0</v>
      </c>
      <c r="B1580" s="2" t="str">
        <f t="shared" si="24"/>
        <v>24-25 Academic Year</v>
      </c>
      <c r="C1580" s="2">
        <v>13</v>
      </c>
      <c r="D1580" s="2" t="s">
        <v>3871</v>
      </c>
      <c r="E1580" s="10">
        <v>45699</v>
      </c>
      <c r="F1580" s="2" t="s">
        <v>3872</v>
      </c>
      <c r="G1580" s="2" t="s">
        <v>131</v>
      </c>
      <c r="H1580" s="2" t="s">
        <v>6</v>
      </c>
      <c r="J1580" s="2" t="s">
        <v>2353</v>
      </c>
      <c r="K1580" s="2" t="s">
        <v>4318</v>
      </c>
      <c r="L1580" s="2" t="s">
        <v>4319</v>
      </c>
      <c r="M1580" s="3">
        <v>2</v>
      </c>
      <c r="N1580" s="3">
        <v>1</v>
      </c>
      <c r="P1580" s="2" t="s">
        <v>4320</v>
      </c>
    </row>
    <row r="1581" spans="1:16" ht="13">
      <c r="A1581" s="2" t="s">
        <v>0</v>
      </c>
      <c r="B1581" s="2" t="str">
        <f t="shared" si="24"/>
        <v>24-25 Academic Year</v>
      </c>
      <c r="C1581" s="2">
        <v>13</v>
      </c>
      <c r="D1581" s="2" t="s">
        <v>3871</v>
      </c>
      <c r="E1581" s="10">
        <v>45699</v>
      </c>
      <c r="F1581" s="2" t="s">
        <v>3872</v>
      </c>
      <c r="G1581" s="2" t="s">
        <v>131</v>
      </c>
      <c r="H1581" s="2" t="s">
        <v>6</v>
      </c>
      <c r="J1581" s="2" t="s">
        <v>2356</v>
      </c>
      <c r="K1581" s="2" t="s">
        <v>990</v>
      </c>
      <c r="L1581" s="2" t="s">
        <v>4396</v>
      </c>
      <c r="M1581" s="3">
        <v>3</v>
      </c>
      <c r="N1581" s="3">
        <v>1</v>
      </c>
      <c r="P1581" s="2" t="s">
        <v>4409</v>
      </c>
    </row>
    <row r="1582" spans="1:16" ht="13">
      <c r="A1582" s="2" t="s">
        <v>0</v>
      </c>
      <c r="B1582" s="2" t="str">
        <f t="shared" si="24"/>
        <v>24-25 Academic Year</v>
      </c>
      <c r="C1582" s="2">
        <v>13</v>
      </c>
      <c r="D1582" s="2" t="s">
        <v>3871</v>
      </c>
      <c r="E1582" s="10">
        <v>45699</v>
      </c>
      <c r="F1582" s="2" t="s">
        <v>3872</v>
      </c>
      <c r="G1582" s="2" t="s">
        <v>131</v>
      </c>
      <c r="H1582" s="2" t="s">
        <v>6</v>
      </c>
      <c r="J1582" s="2" t="s">
        <v>2358</v>
      </c>
      <c r="K1582" s="2" t="s">
        <v>4410</v>
      </c>
      <c r="L1582" s="2" t="s">
        <v>4411</v>
      </c>
      <c r="M1582" s="3">
        <v>3</v>
      </c>
      <c r="N1582" s="3">
        <v>1</v>
      </c>
      <c r="P1582" s="2" t="s">
        <v>4412</v>
      </c>
    </row>
    <row r="1583" spans="1:16" ht="13">
      <c r="A1583" s="2" t="s">
        <v>0</v>
      </c>
      <c r="B1583" s="2" t="str">
        <f t="shared" si="24"/>
        <v>24-25 Academic Year</v>
      </c>
      <c r="C1583" s="2">
        <v>14</v>
      </c>
      <c r="D1583" s="2" t="s">
        <v>4220</v>
      </c>
      <c r="E1583" s="10">
        <v>45700</v>
      </c>
      <c r="F1583" s="2" t="s">
        <v>2184</v>
      </c>
      <c r="G1583" s="2" t="s">
        <v>7</v>
      </c>
      <c r="H1583" s="2" t="s">
        <v>7</v>
      </c>
      <c r="J1583" s="2" t="s">
        <v>2371</v>
      </c>
      <c r="K1583" s="2" t="s">
        <v>772</v>
      </c>
      <c r="L1583" s="2" t="s">
        <v>1354</v>
      </c>
      <c r="M1583" s="3">
        <v>2</v>
      </c>
      <c r="N1583" s="3">
        <v>1</v>
      </c>
      <c r="P1583" s="2" t="s">
        <v>4321</v>
      </c>
    </row>
    <row r="1584" spans="1:16" ht="13">
      <c r="A1584" s="2" t="s">
        <v>0</v>
      </c>
      <c r="B1584" s="2" t="str">
        <f t="shared" si="24"/>
        <v>24-25 Academic Year</v>
      </c>
      <c r="C1584" s="2">
        <v>14</v>
      </c>
      <c r="D1584" s="2" t="s">
        <v>4220</v>
      </c>
      <c r="E1584" s="10">
        <v>45700</v>
      </c>
      <c r="F1584" s="2" t="s">
        <v>2184</v>
      </c>
      <c r="G1584" s="2" t="s">
        <v>7</v>
      </c>
      <c r="H1584" s="2" t="s">
        <v>7</v>
      </c>
      <c r="J1584" s="2" t="s">
        <v>2373</v>
      </c>
      <c r="K1584" s="2" t="s">
        <v>641</v>
      </c>
      <c r="L1584" s="2" t="s">
        <v>4413</v>
      </c>
      <c r="M1584" s="3">
        <v>3</v>
      </c>
      <c r="N1584" s="3">
        <v>1</v>
      </c>
      <c r="P1584" s="2" t="s">
        <v>4414</v>
      </c>
    </row>
    <row r="1585" spans="1:16" ht="13">
      <c r="A1585" s="2" t="s">
        <v>0</v>
      </c>
      <c r="B1585" s="2" t="str">
        <f t="shared" si="24"/>
        <v>24-25 Academic Year</v>
      </c>
      <c r="C1585" s="2">
        <v>14</v>
      </c>
      <c r="D1585" s="2" t="s">
        <v>4220</v>
      </c>
      <c r="E1585" s="10">
        <v>45700</v>
      </c>
      <c r="F1585" s="2" t="s">
        <v>2184</v>
      </c>
      <c r="G1585" s="2" t="s">
        <v>7</v>
      </c>
      <c r="H1585" s="2" t="s">
        <v>7</v>
      </c>
      <c r="J1585" s="2" t="s">
        <v>2376</v>
      </c>
      <c r="K1585" s="2" t="s">
        <v>223</v>
      </c>
      <c r="L1585" s="2" t="s">
        <v>4415</v>
      </c>
      <c r="M1585" s="3">
        <v>3</v>
      </c>
      <c r="N1585" s="3">
        <v>2</v>
      </c>
      <c r="P1585" s="2" t="s">
        <v>4416</v>
      </c>
    </row>
    <row r="1586" spans="1:16" ht="13">
      <c r="A1586" s="2" t="s">
        <v>0</v>
      </c>
      <c r="B1586" s="2" t="str">
        <f t="shared" si="24"/>
        <v>24-25 Academic Year</v>
      </c>
      <c r="C1586" s="2">
        <v>14</v>
      </c>
      <c r="D1586" s="2" t="s">
        <v>4220</v>
      </c>
      <c r="E1586" s="10">
        <v>45700</v>
      </c>
      <c r="F1586" s="2" t="s">
        <v>2184</v>
      </c>
      <c r="G1586" s="2" t="s">
        <v>7</v>
      </c>
      <c r="H1586" s="2" t="s">
        <v>7</v>
      </c>
      <c r="J1586" s="2" t="s">
        <v>2378</v>
      </c>
      <c r="K1586" s="2" t="s">
        <v>878</v>
      </c>
      <c r="L1586" s="2" t="s">
        <v>879</v>
      </c>
      <c r="M1586" s="3">
        <v>3</v>
      </c>
      <c r="N1586" s="3">
        <v>2</v>
      </c>
      <c r="P1586" s="2" t="s">
        <v>4417</v>
      </c>
    </row>
    <row r="1587" spans="1:16" ht="13">
      <c r="A1587" s="2" t="s">
        <v>0</v>
      </c>
      <c r="B1587" s="2" t="str">
        <f t="shared" si="24"/>
        <v>24-25 Academic Year</v>
      </c>
      <c r="C1587" s="2">
        <v>15</v>
      </c>
      <c r="D1587" s="2" t="s">
        <v>1368</v>
      </c>
      <c r="E1587" s="10">
        <v>45709</v>
      </c>
      <c r="F1587" s="2" t="s">
        <v>131</v>
      </c>
      <c r="G1587" s="2" t="s">
        <v>131</v>
      </c>
      <c r="H1587" s="2" t="s">
        <v>6</v>
      </c>
      <c r="J1587" s="2" t="s">
        <v>2383</v>
      </c>
      <c r="K1587" s="2" t="s">
        <v>472</v>
      </c>
      <c r="L1587" s="2" t="s">
        <v>1352</v>
      </c>
      <c r="M1587" s="3">
        <v>1</v>
      </c>
      <c r="N1587" s="3">
        <v>2</v>
      </c>
      <c r="P1587" s="2" t="s">
        <v>3880</v>
      </c>
    </row>
    <row r="1588" spans="1:16" ht="13">
      <c r="A1588" s="2" t="s">
        <v>0</v>
      </c>
      <c r="B1588" s="2" t="str">
        <f t="shared" si="24"/>
        <v>24-25 Academic Year</v>
      </c>
      <c r="C1588" s="2">
        <v>15</v>
      </c>
      <c r="D1588" s="2" t="s">
        <v>1368</v>
      </c>
      <c r="E1588" s="10">
        <v>45709</v>
      </c>
      <c r="F1588" s="2" t="s">
        <v>131</v>
      </c>
      <c r="G1588" s="2" t="s">
        <v>131</v>
      </c>
      <c r="H1588" s="2" t="s">
        <v>6</v>
      </c>
      <c r="J1588" s="2" t="s">
        <v>2384</v>
      </c>
      <c r="K1588" s="2" t="s">
        <v>320</v>
      </c>
      <c r="L1588" s="2" t="s">
        <v>1879</v>
      </c>
      <c r="M1588" s="3">
        <v>1</v>
      </c>
      <c r="N1588" s="3">
        <v>2</v>
      </c>
      <c r="P1588" s="2" t="s">
        <v>3881</v>
      </c>
    </row>
    <row r="1589" spans="1:16" ht="13">
      <c r="A1589" s="2" t="s">
        <v>0</v>
      </c>
      <c r="B1589" s="2" t="str">
        <f t="shared" si="24"/>
        <v>24-25 Academic Year</v>
      </c>
      <c r="C1589" s="2">
        <v>15</v>
      </c>
      <c r="D1589" s="2" t="s">
        <v>1368</v>
      </c>
      <c r="E1589" s="10">
        <v>45709</v>
      </c>
      <c r="F1589" s="2" t="s">
        <v>131</v>
      </c>
      <c r="G1589" s="2" t="s">
        <v>131</v>
      </c>
      <c r="H1589" s="2" t="s">
        <v>6</v>
      </c>
      <c r="J1589" s="2" t="s">
        <v>2386</v>
      </c>
      <c r="K1589" s="2" t="s">
        <v>330</v>
      </c>
      <c r="L1589" s="2" t="s">
        <v>1997</v>
      </c>
      <c r="M1589" s="3">
        <v>4</v>
      </c>
      <c r="N1589" s="3">
        <v>1</v>
      </c>
      <c r="P1589" s="2" t="s">
        <v>4527</v>
      </c>
    </row>
    <row r="1590" spans="1:16" ht="13">
      <c r="A1590" s="2" t="s">
        <v>0</v>
      </c>
      <c r="B1590" s="2" t="str">
        <f t="shared" si="24"/>
        <v>24-25 Academic Year</v>
      </c>
      <c r="C1590" s="2">
        <v>16</v>
      </c>
      <c r="D1590" s="2" t="s">
        <v>4528</v>
      </c>
      <c r="E1590" s="10">
        <v>45709</v>
      </c>
      <c r="F1590" s="2" t="s">
        <v>1237</v>
      </c>
      <c r="G1590" s="2" t="s">
        <v>30</v>
      </c>
      <c r="H1590" s="2" t="s">
        <v>6</v>
      </c>
      <c r="I1590" s="2" t="s">
        <v>370</v>
      </c>
      <c r="J1590" s="2" t="s">
        <v>2393</v>
      </c>
      <c r="K1590" s="2" t="s">
        <v>4529</v>
      </c>
      <c r="L1590" s="2" t="s">
        <v>4530</v>
      </c>
      <c r="M1590" s="3">
        <v>4</v>
      </c>
      <c r="N1590" s="3">
        <v>1</v>
      </c>
      <c r="P1590" s="2" t="s">
        <v>4531</v>
      </c>
    </row>
    <row r="1591" spans="1:16" ht="13">
      <c r="A1591" s="2" t="s">
        <v>0</v>
      </c>
      <c r="B1591" s="2" t="str">
        <f t="shared" si="24"/>
        <v>24-25 Academic Year</v>
      </c>
      <c r="C1591" s="2">
        <v>16</v>
      </c>
      <c r="D1591" s="2" t="s">
        <v>4528</v>
      </c>
      <c r="E1591" s="10">
        <v>45709</v>
      </c>
      <c r="F1591" s="2" t="s">
        <v>1237</v>
      </c>
      <c r="G1591" s="2" t="s">
        <v>30</v>
      </c>
      <c r="H1591" s="2" t="s">
        <v>6</v>
      </c>
      <c r="I1591" s="2" t="s">
        <v>370</v>
      </c>
      <c r="J1591" s="2" t="s">
        <v>2395</v>
      </c>
      <c r="K1591" s="2" t="s">
        <v>4529</v>
      </c>
      <c r="L1591" s="2" t="s">
        <v>4530</v>
      </c>
      <c r="M1591" s="3">
        <v>4</v>
      </c>
      <c r="N1591" s="3">
        <v>1</v>
      </c>
      <c r="P1591" s="2" t="s">
        <v>4367</v>
      </c>
    </row>
    <row r="1592" spans="1:16" ht="13">
      <c r="A1592" s="2" t="s">
        <v>0</v>
      </c>
      <c r="B1592" s="2" t="str">
        <f t="shared" si="24"/>
        <v>24-25 Academic Year</v>
      </c>
      <c r="C1592" s="2">
        <v>16</v>
      </c>
      <c r="D1592" s="2" t="s">
        <v>4528</v>
      </c>
      <c r="E1592" s="10">
        <v>45709</v>
      </c>
      <c r="F1592" s="2" t="s">
        <v>1237</v>
      </c>
      <c r="G1592" s="2" t="s">
        <v>30</v>
      </c>
      <c r="H1592" s="2" t="s">
        <v>6</v>
      </c>
      <c r="I1592" s="2" t="s">
        <v>370</v>
      </c>
      <c r="J1592" s="2" t="s">
        <v>2397</v>
      </c>
      <c r="K1592" s="2" t="s">
        <v>4529</v>
      </c>
      <c r="L1592" s="2" t="s">
        <v>4530</v>
      </c>
      <c r="M1592" s="3">
        <v>4</v>
      </c>
      <c r="N1592" s="3">
        <v>1</v>
      </c>
      <c r="P1592" s="2" t="s">
        <v>4532</v>
      </c>
    </row>
    <row r="1593" spans="1:16" ht="13">
      <c r="A1593" s="2" t="s">
        <v>0</v>
      </c>
      <c r="B1593" s="2" t="str">
        <f t="shared" si="24"/>
        <v>24-25 Academic Year</v>
      </c>
      <c r="C1593" s="2">
        <v>16</v>
      </c>
      <c r="D1593" s="2" t="s">
        <v>4528</v>
      </c>
      <c r="E1593" s="10">
        <v>45709</v>
      </c>
      <c r="F1593" s="2" t="s">
        <v>1237</v>
      </c>
      <c r="G1593" s="2" t="s">
        <v>30</v>
      </c>
      <c r="H1593" s="2" t="s">
        <v>6</v>
      </c>
      <c r="I1593" s="2" t="s">
        <v>370</v>
      </c>
      <c r="J1593" s="2" t="s">
        <v>2400</v>
      </c>
      <c r="K1593" s="2" t="s">
        <v>4529</v>
      </c>
      <c r="L1593" s="2" t="s">
        <v>4530</v>
      </c>
      <c r="M1593" s="3">
        <v>4</v>
      </c>
      <c r="N1593" s="3">
        <v>1</v>
      </c>
      <c r="P1593" s="2" t="s">
        <v>4533</v>
      </c>
    </row>
    <row r="1594" spans="1:16" ht="13">
      <c r="A1594" s="2" t="s">
        <v>0</v>
      </c>
      <c r="B1594" s="2" t="str">
        <f t="shared" si="24"/>
        <v>24-25 Academic Year</v>
      </c>
      <c r="C1594" s="2">
        <v>16</v>
      </c>
      <c r="D1594" s="2" t="s">
        <v>4528</v>
      </c>
      <c r="E1594" s="10">
        <v>45709</v>
      </c>
      <c r="F1594" s="2" t="s">
        <v>1237</v>
      </c>
      <c r="G1594" s="2" t="s">
        <v>30</v>
      </c>
      <c r="H1594" s="2" t="s">
        <v>6</v>
      </c>
      <c r="I1594" s="2" t="s">
        <v>370</v>
      </c>
      <c r="J1594" s="2" t="s">
        <v>2403</v>
      </c>
      <c r="K1594" s="2" t="s">
        <v>4529</v>
      </c>
      <c r="L1594" s="2" t="s">
        <v>4530</v>
      </c>
      <c r="M1594" s="3">
        <v>4</v>
      </c>
      <c r="N1594" s="3">
        <v>1</v>
      </c>
      <c r="P1594" s="2" t="s">
        <v>2422</v>
      </c>
    </row>
    <row r="1595" spans="1:16" ht="13">
      <c r="A1595" s="2" t="s">
        <v>0</v>
      </c>
      <c r="B1595" s="2" t="str">
        <f t="shared" si="24"/>
        <v>24-25 Academic Year</v>
      </c>
      <c r="C1595" s="2">
        <v>17</v>
      </c>
      <c r="D1595" s="2" t="s">
        <v>3882</v>
      </c>
      <c r="E1595" s="10">
        <v>45710</v>
      </c>
      <c r="F1595" s="2" t="s">
        <v>3818</v>
      </c>
      <c r="G1595" s="2" t="s">
        <v>131</v>
      </c>
      <c r="H1595" s="2" t="s">
        <v>6</v>
      </c>
      <c r="I1595" s="2" t="s">
        <v>593</v>
      </c>
      <c r="J1595" s="2" t="s">
        <v>2408</v>
      </c>
      <c r="K1595" s="2" t="s">
        <v>3883</v>
      </c>
      <c r="L1595" s="2" t="s">
        <v>3884</v>
      </c>
      <c r="M1595" s="3">
        <v>1</v>
      </c>
      <c r="N1595" s="3">
        <v>2</v>
      </c>
      <c r="P1595" s="2" t="s">
        <v>3885</v>
      </c>
    </row>
    <row r="1596" spans="1:16" ht="13">
      <c r="A1596" s="2" t="s">
        <v>0</v>
      </c>
      <c r="B1596" s="2" t="str">
        <f t="shared" si="24"/>
        <v>24-25 Academic Year</v>
      </c>
      <c r="C1596" s="2">
        <v>17</v>
      </c>
      <c r="D1596" s="2" t="s">
        <v>3882</v>
      </c>
      <c r="E1596" s="10">
        <v>45710</v>
      </c>
      <c r="F1596" s="2" t="s">
        <v>3818</v>
      </c>
      <c r="G1596" s="2" t="s">
        <v>131</v>
      </c>
      <c r="H1596" s="2" t="s">
        <v>6</v>
      </c>
      <c r="I1596" s="2" t="s">
        <v>593</v>
      </c>
      <c r="J1596" s="2" t="s">
        <v>2414</v>
      </c>
      <c r="K1596" s="2" t="s">
        <v>774</v>
      </c>
      <c r="L1596" s="2" t="s">
        <v>1117</v>
      </c>
      <c r="M1596" s="3">
        <v>1</v>
      </c>
      <c r="N1596" s="3">
        <v>2</v>
      </c>
      <c r="P1596" s="2" t="s">
        <v>3886</v>
      </c>
    </row>
    <row r="1597" spans="1:16" ht="13">
      <c r="A1597" s="2" t="s">
        <v>0</v>
      </c>
      <c r="B1597" s="2" t="str">
        <f t="shared" si="24"/>
        <v>24-25 Academic Year</v>
      </c>
      <c r="C1597" s="2">
        <v>17</v>
      </c>
      <c r="D1597" s="2" t="s">
        <v>3882</v>
      </c>
      <c r="E1597" s="10">
        <v>45710</v>
      </c>
      <c r="F1597" s="2" t="s">
        <v>3818</v>
      </c>
      <c r="G1597" s="2" t="s">
        <v>131</v>
      </c>
      <c r="H1597" s="2" t="s">
        <v>6</v>
      </c>
      <c r="I1597" s="2" t="s">
        <v>593</v>
      </c>
      <c r="J1597" s="2" t="s">
        <v>2417</v>
      </c>
      <c r="K1597" s="2" t="s">
        <v>4534</v>
      </c>
      <c r="L1597" s="2" t="s">
        <v>4535</v>
      </c>
      <c r="M1597" s="3">
        <v>4</v>
      </c>
      <c r="N1597" s="3">
        <v>2</v>
      </c>
      <c r="P1597" s="2" t="s">
        <v>4536</v>
      </c>
    </row>
    <row r="1598" spans="1:16" ht="13">
      <c r="A1598" s="2" t="s">
        <v>0</v>
      </c>
      <c r="B1598" s="2" t="str">
        <f t="shared" si="24"/>
        <v>24-25 Academic Year</v>
      </c>
      <c r="C1598" s="2">
        <v>17</v>
      </c>
      <c r="D1598" s="2" t="s">
        <v>3882</v>
      </c>
      <c r="E1598" s="10">
        <v>45710</v>
      </c>
      <c r="F1598" s="2" t="s">
        <v>3818</v>
      </c>
      <c r="G1598" s="2" t="s">
        <v>131</v>
      </c>
      <c r="H1598" s="2" t="s">
        <v>6</v>
      </c>
      <c r="I1598" s="2" t="s">
        <v>593</v>
      </c>
      <c r="J1598" s="2" t="s">
        <v>2420</v>
      </c>
      <c r="K1598" s="2" t="s">
        <v>4572</v>
      </c>
      <c r="L1598" s="2" t="s">
        <v>4573</v>
      </c>
      <c r="M1598" s="3">
        <v>999</v>
      </c>
      <c r="N1598" s="3">
        <v>999</v>
      </c>
      <c r="P1598" s="2" t="s">
        <v>4574</v>
      </c>
    </row>
    <row r="1599" spans="1:16" ht="13">
      <c r="A1599" s="2" t="s">
        <v>0</v>
      </c>
      <c r="B1599" s="2" t="str">
        <f t="shared" si="24"/>
        <v>24-25 Academic Year</v>
      </c>
      <c r="C1599" s="2">
        <v>17</v>
      </c>
      <c r="D1599" s="2" t="s">
        <v>3882</v>
      </c>
      <c r="E1599" s="10">
        <v>45710</v>
      </c>
      <c r="F1599" s="2" t="s">
        <v>3818</v>
      </c>
      <c r="G1599" s="2" t="s">
        <v>131</v>
      </c>
      <c r="H1599" s="2" t="s">
        <v>6</v>
      </c>
      <c r="I1599" s="2" t="s">
        <v>593</v>
      </c>
      <c r="J1599" s="2" t="s">
        <v>2423</v>
      </c>
      <c r="K1599" s="2" t="s">
        <v>4572</v>
      </c>
      <c r="L1599" s="2" t="s">
        <v>4573</v>
      </c>
      <c r="M1599" s="3">
        <v>999</v>
      </c>
      <c r="N1599" s="3">
        <v>999</v>
      </c>
      <c r="P1599" s="2" t="s">
        <v>4575</v>
      </c>
    </row>
    <row r="1600" spans="1:16" ht="13">
      <c r="A1600" s="2" t="s">
        <v>0</v>
      </c>
      <c r="B1600" s="2" t="str">
        <f t="shared" si="24"/>
        <v>24-25 Academic Year</v>
      </c>
      <c r="C1600" s="2">
        <v>18</v>
      </c>
      <c r="D1600" s="2" t="s">
        <v>3303</v>
      </c>
      <c r="E1600" s="10">
        <v>45711</v>
      </c>
      <c r="F1600" s="2" t="s">
        <v>3887</v>
      </c>
      <c r="G1600" s="2" t="s">
        <v>131</v>
      </c>
      <c r="H1600" s="2" t="s">
        <v>6</v>
      </c>
      <c r="I1600" s="2" t="s">
        <v>1115</v>
      </c>
      <c r="J1600" s="2" t="s">
        <v>2439</v>
      </c>
      <c r="K1600" s="2" t="s">
        <v>3888</v>
      </c>
      <c r="L1600" s="2" t="s">
        <v>3889</v>
      </c>
      <c r="M1600" s="3">
        <v>1</v>
      </c>
      <c r="N1600" s="3">
        <v>1</v>
      </c>
      <c r="P1600" s="2" t="s">
        <v>3890</v>
      </c>
    </row>
    <row r="1601" spans="1:16" ht="13">
      <c r="A1601" s="2" t="s">
        <v>0</v>
      </c>
      <c r="B1601" s="2" t="str">
        <f t="shared" si="24"/>
        <v>24-25 Academic Year</v>
      </c>
      <c r="C1601" s="2">
        <v>18</v>
      </c>
      <c r="D1601" s="2" t="s">
        <v>3303</v>
      </c>
      <c r="E1601" s="10">
        <v>45711</v>
      </c>
      <c r="F1601" s="2" t="s">
        <v>3887</v>
      </c>
      <c r="G1601" s="2" t="s">
        <v>131</v>
      </c>
      <c r="H1601" s="2" t="s">
        <v>6</v>
      </c>
      <c r="I1601" s="2" t="s">
        <v>1115</v>
      </c>
      <c r="J1601" s="2" t="s">
        <v>2442</v>
      </c>
      <c r="K1601" s="2" t="s">
        <v>3891</v>
      </c>
      <c r="L1601" s="2" t="s">
        <v>3892</v>
      </c>
      <c r="M1601" s="3">
        <v>1</v>
      </c>
      <c r="N1601" s="3">
        <v>1</v>
      </c>
      <c r="P1601" s="2" t="s">
        <v>3893</v>
      </c>
    </row>
    <row r="1602" spans="1:16" ht="13">
      <c r="A1602" s="2" t="s">
        <v>0</v>
      </c>
      <c r="B1602" s="2" t="str">
        <f t="shared" si="24"/>
        <v>24-25 Academic Year</v>
      </c>
      <c r="C1602" s="2">
        <v>18</v>
      </c>
      <c r="D1602" s="2" t="s">
        <v>3303</v>
      </c>
      <c r="E1602" s="10">
        <v>45711</v>
      </c>
      <c r="F1602" s="2" t="s">
        <v>3887</v>
      </c>
      <c r="G1602" s="2" t="s">
        <v>131</v>
      </c>
      <c r="H1602" s="2" t="s">
        <v>6</v>
      </c>
      <c r="I1602" s="2" t="s">
        <v>1115</v>
      </c>
      <c r="J1602" s="2" t="s">
        <v>2444</v>
      </c>
      <c r="K1602" s="2" t="s">
        <v>3894</v>
      </c>
      <c r="L1602" s="2" t="s">
        <v>3895</v>
      </c>
      <c r="M1602" s="3">
        <v>1</v>
      </c>
      <c r="N1602" s="3">
        <v>1</v>
      </c>
      <c r="P1602" s="2" t="s">
        <v>3896</v>
      </c>
    </row>
    <row r="1603" spans="1:16" ht="13">
      <c r="A1603" s="2" t="s">
        <v>0</v>
      </c>
      <c r="B1603" s="2" t="str">
        <f t="shared" ref="B1603:B1666" si="25">RIGHT(TEXT(IF(LEFT(A1603,4)="Fall",VALUE(RIGHT(A1603,4)),VALUE(RIGHT(A1603,4))-1),"00"),2)
 &amp; "-" &amp;
 RIGHT(TEXT(IF(LEFT(A1603,4)="Fall",VALUE(RIGHT(A1603,4))+1,VALUE(RIGHT(A1603,4))),"00"),2)
 &amp; " Academic Year"</f>
        <v>24-25 Academic Year</v>
      </c>
      <c r="C1603" s="2">
        <v>18</v>
      </c>
      <c r="D1603" s="2" t="s">
        <v>3303</v>
      </c>
      <c r="E1603" s="10">
        <v>45711</v>
      </c>
      <c r="F1603" s="2" t="s">
        <v>3887</v>
      </c>
      <c r="G1603" s="2" t="s">
        <v>131</v>
      </c>
      <c r="H1603" s="2" t="s">
        <v>6</v>
      </c>
      <c r="I1603" s="2" t="s">
        <v>1115</v>
      </c>
      <c r="J1603" s="2" t="s">
        <v>2446</v>
      </c>
      <c r="K1603" s="2" t="s">
        <v>3897</v>
      </c>
      <c r="L1603" s="2" t="s">
        <v>3898</v>
      </c>
      <c r="M1603" s="3">
        <v>1</v>
      </c>
      <c r="N1603" s="3">
        <v>2</v>
      </c>
      <c r="P1603" s="2" t="s">
        <v>3899</v>
      </c>
    </row>
    <row r="1604" spans="1:16" ht="13">
      <c r="A1604" s="2" t="s">
        <v>0</v>
      </c>
      <c r="B1604" s="2" t="str">
        <f t="shared" si="25"/>
        <v>24-25 Academic Year</v>
      </c>
      <c r="C1604" s="2">
        <v>18</v>
      </c>
      <c r="D1604" s="2" t="s">
        <v>3303</v>
      </c>
      <c r="E1604" s="10">
        <v>45711</v>
      </c>
      <c r="F1604" s="2" t="s">
        <v>3887</v>
      </c>
      <c r="G1604" s="2" t="s">
        <v>131</v>
      </c>
      <c r="H1604" s="2" t="s">
        <v>6</v>
      </c>
      <c r="I1604" s="2" t="s">
        <v>1115</v>
      </c>
      <c r="J1604" s="2" t="s">
        <v>3597</v>
      </c>
      <c r="K1604" s="2" t="s">
        <v>4322</v>
      </c>
      <c r="L1604" s="2" t="s">
        <v>4323</v>
      </c>
      <c r="M1604" s="3">
        <v>2</v>
      </c>
      <c r="N1604" s="3">
        <v>1</v>
      </c>
      <c r="P1604" s="2" t="s">
        <v>4324</v>
      </c>
    </row>
    <row r="1605" spans="1:16" ht="13">
      <c r="A1605" s="2" t="s">
        <v>0</v>
      </c>
      <c r="B1605" s="2" t="str">
        <f t="shared" si="25"/>
        <v>24-25 Academic Year</v>
      </c>
      <c r="C1605" s="2">
        <v>18</v>
      </c>
      <c r="D1605" s="2" t="s">
        <v>3303</v>
      </c>
      <c r="E1605" s="10">
        <v>45711</v>
      </c>
      <c r="F1605" s="2" t="s">
        <v>3887</v>
      </c>
      <c r="G1605" s="2" t="s">
        <v>131</v>
      </c>
      <c r="H1605" s="2" t="s">
        <v>6</v>
      </c>
      <c r="I1605" s="2" t="s">
        <v>1115</v>
      </c>
      <c r="J1605" s="2" t="s">
        <v>3600</v>
      </c>
      <c r="K1605" s="2" t="s">
        <v>41</v>
      </c>
      <c r="L1605" s="2" t="s">
        <v>4537</v>
      </c>
      <c r="M1605" s="3">
        <v>4</v>
      </c>
      <c r="N1605" s="3">
        <v>1</v>
      </c>
      <c r="P1605" s="2" t="s">
        <v>4538</v>
      </c>
    </row>
    <row r="1606" spans="1:16" ht="13">
      <c r="A1606" s="2" t="s">
        <v>0</v>
      </c>
      <c r="B1606" s="2" t="str">
        <f t="shared" si="25"/>
        <v>24-25 Academic Year</v>
      </c>
      <c r="C1606" s="2">
        <v>19</v>
      </c>
      <c r="D1606" s="2" t="s">
        <v>681</v>
      </c>
      <c r="E1606" s="10">
        <v>45712</v>
      </c>
      <c r="F1606" s="2" t="s">
        <v>131</v>
      </c>
      <c r="G1606" s="2" t="s">
        <v>131</v>
      </c>
      <c r="H1606" s="2" t="s">
        <v>6</v>
      </c>
      <c r="J1606" s="2" t="s">
        <v>2450</v>
      </c>
      <c r="K1606" s="2" t="s">
        <v>1116</v>
      </c>
      <c r="L1606" s="2" t="s">
        <v>1117</v>
      </c>
      <c r="M1606" s="3">
        <v>1</v>
      </c>
      <c r="N1606" s="3">
        <v>2</v>
      </c>
      <c r="P1606" s="2" t="s">
        <v>3900</v>
      </c>
    </row>
    <row r="1607" spans="1:16" ht="13">
      <c r="A1607" s="2" t="s">
        <v>0</v>
      </c>
      <c r="B1607" s="2" t="str">
        <f t="shared" si="25"/>
        <v>24-25 Academic Year</v>
      </c>
      <c r="C1607" s="2">
        <v>19</v>
      </c>
      <c r="D1607" s="2" t="s">
        <v>681</v>
      </c>
      <c r="E1607" s="10">
        <v>45712</v>
      </c>
      <c r="F1607" s="2" t="s">
        <v>131</v>
      </c>
      <c r="G1607" s="2" t="s">
        <v>131</v>
      </c>
      <c r="H1607" s="2" t="s">
        <v>6</v>
      </c>
      <c r="J1607" s="2" t="s">
        <v>3910</v>
      </c>
      <c r="K1607" s="2" t="s">
        <v>573</v>
      </c>
      <c r="L1607" s="2" t="s">
        <v>1691</v>
      </c>
      <c r="M1607" s="3">
        <v>1</v>
      </c>
      <c r="N1607" s="3">
        <v>2</v>
      </c>
      <c r="P1607" s="2" t="s">
        <v>3911</v>
      </c>
    </row>
    <row r="1608" spans="1:16" ht="13">
      <c r="A1608" s="2" t="s">
        <v>0</v>
      </c>
      <c r="B1608" s="2" t="str">
        <f t="shared" si="25"/>
        <v>24-25 Academic Year</v>
      </c>
      <c r="C1608" s="2">
        <v>19</v>
      </c>
      <c r="D1608" s="2" t="s">
        <v>681</v>
      </c>
      <c r="E1608" s="10">
        <v>45712</v>
      </c>
      <c r="F1608" s="2" t="s">
        <v>131</v>
      </c>
      <c r="G1608" s="2" t="s">
        <v>131</v>
      </c>
      <c r="H1608" s="2" t="s">
        <v>6</v>
      </c>
      <c r="J1608" s="2" t="s">
        <v>3912</v>
      </c>
      <c r="K1608" s="2" t="s">
        <v>3868</v>
      </c>
      <c r="L1608" s="2" t="s">
        <v>3869</v>
      </c>
      <c r="M1608" s="3">
        <v>1</v>
      </c>
      <c r="N1608" s="3">
        <v>2</v>
      </c>
      <c r="P1608" s="2" t="s">
        <v>3913</v>
      </c>
    </row>
    <row r="1609" spans="1:16" ht="13">
      <c r="A1609" s="2" t="s">
        <v>0</v>
      </c>
      <c r="B1609" s="2" t="str">
        <f t="shared" si="25"/>
        <v>24-25 Academic Year</v>
      </c>
      <c r="C1609" s="2">
        <v>19</v>
      </c>
      <c r="D1609" s="2" t="s">
        <v>681</v>
      </c>
      <c r="E1609" s="10">
        <v>45712</v>
      </c>
      <c r="F1609" s="2" t="s">
        <v>131</v>
      </c>
      <c r="G1609" s="2" t="s">
        <v>131</v>
      </c>
      <c r="H1609" s="2" t="s">
        <v>6</v>
      </c>
      <c r="J1609" s="2" t="s">
        <v>4325</v>
      </c>
      <c r="K1609" s="2" t="s">
        <v>3391</v>
      </c>
      <c r="L1609" s="2" t="s">
        <v>4289</v>
      </c>
      <c r="M1609" s="3">
        <v>2</v>
      </c>
      <c r="N1609" s="3">
        <v>1</v>
      </c>
      <c r="P1609" s="2" t="s">
        <v>4326</v>
      </c>
    </row>
    <row r="1610" spans="1:16" ht="13">
      <c r="A1610" s="2" t="s">
        <v>0</v>
      </c>
      <c r="B1610" s="2" t="str">
        <f t="shared" si="25"/>
        <v>24-25 Academic Year</v>
      </c>
      <c r="C1610" s="2">
        <v>19</v>
      </c>
      <c r="D1610" s="2" t="s">
        <v>681</v>
      </c>
      <c r="E1610" s="10">
        <v>45712</v>
      </c>
      <c r="F1610" s="2" t="s">
        <v>131</v>
      </c>
      <c r="G1610" s="2" t="s">
        <v>131</v>
      </c>
      <c r="H1610" s="2" t="s">
        <v>6</v>
      </c>
      <c r="J1610" s="2" t="s">
        <v>4418</v>
      </c>
      <c r="K1610" s="2" t="s">
        <v>4419</v>
      </c>
      <c r="L1610" s="2" t="s">
        <v>4420</v>
      </c>
      <c r="M1610" s="3">
        <v>3</v>
      </c>
      <c r="N1610" s="3">
        <v>1</v>
      </c>
      <c r="P1610" s="2" t="s">
        <v>4421</v>
      </c>
    </row>
    <row r="1611" spans="1:16" ht="13">
      <c r="A1611" s="2" t="s">
        <v>0</v>
      </c>
      <c r="B1611" s="2" t="str">
        <f t="shared" si="25"/>
        <v>24-25 Academic Year</v>
      </c>
      <c r="C1611" s="2">
        <v>19</v>
      </c>
      <c r="D1611" s="2" t="s">
        <v>681</v>
      </c>
      <c r="E1611" s="10">
        <v>45712</v>
      </c>
      <c r="F1611" s="2" t="s">
        <v>131</v>
      </c>
      <c r="G1611" s="2" t="s">
        <v>131</v>
      </c>
      <c r="H1611" s="2" t="s">
        <v>6</v>
      </c>
      <c r="J1611" s="2" t="s">
        <v>4539</v>
      </c>
      <c r="K1611" s="2" t="s">
        <v>330</v>
      </c>
      <c r="L1611" s="2" t="s">
        <v>1997</v>
      </c>
      <c r="M1611" s="3">
        <v>4</v>
      </c>
      <c r="N1611" s="3">
        <v>1</v>
      </c>
      <c r="P1611" s="2" t="s">
        <v>4540</v>
      </c>
    </row>
    <row r="1612" spans="1:16" ht="13">
      <c r="A1612" s="2" t="s">
        <v>0</v>
      </c>
      <c r="B1612" s="2" t="str">
        <f t="shared" si="25"/>
        <v>24-25 Academic Year</v>
      </c>
      <c r="C1612" s="2">
        <v>19</v>
      </c>
      <c r="D1612" s="2" t="s">
        <v>681</v>
      </c>
      <c r="E1612" s="10">
        <v>45712</v>
      </c>
      <c r="F1612" s="2" t="s">
        <v>131</v>
      </c>
      <c r="G1612" s="2" t="s">
        <v>131</v>
      </c>
      <c r="H1612" s="2" t="s">
        <v>6</v>
      </c>
      <c r="J1612" s="2" t="s">
        <v>2452</v>
      </c>
      <c r="K1612" s="2" t="s">
        <v>371</v>
      </c>
      <c r="L1612" s="2" t="s">
        <v>372</v>
      </c>
      <c r="M1612" s="3">
        <v>1</v>
      </c>
      <c r="N1612" s="3">
        <v>2</v>
      </c>
      <c r="P1612" s="2" t="s">
        <v>3901</v>
      </c>
    </row>
    <row r="1613" spans="1:16" ht="13">
      <c r="A1613" s="2" t="s">
        <v>0</v>
      </c>
      <c r="B1613" s="2" t="str">
        <f t="shared" si="25"/>
        <v>24-25 Academic Year</v>
      </c>
      <c r="C1613" s="2">
        <v>19</v>
      </c>
      <c r="D1613" s="2" t="s">
        <v>681</v>
      </c>
      <c r="E1613" s="10">
        <v>45712</v>
      </c>
      <c r="F1613" s="2" t="s">
        <v>131</v>
      </c>
      <c r="G1613" s="2" t="s">
        <v>131</v>
      </c>
      <c r="H1613" s="2" t="s">
        <v>6</v>
      </c>
      <c r="J1613" s="2" t="s">
        <v>2454</v>
      </c>
      <c r="K1613" s="2" t="s">
        <v>1033</v>
      </c>
      <c r="L1613" s="2" t="s">
        <v>3902</v>
      </c>
      <c r="M1613" s="3">
        <v>1</v>
      </c>
      <c r="N1613" s="3">
        <v>2</v>
      </c>
      <c r="P1613" s="2" t="s">
        <v>3903</v>
      </c>
    </row>
    <row r="1614" spans="1:16" ht="13">
      <c r="A1614" s="2" t="s">
        <v>0</v>
      </c>
      <c r="B1614" s="2" t="str">
        <f t="shared" si="25"/>
        <v>24-25 Academic Year</v>
      </c>
      <c r="C1614" s="2">
        <v>19</v>
      </c>
      <c r="D1614" s="2" t="s">
        <v>681</v>
      </c>
      <c r="E1614" s="10">
        <v>45712</v>
      </c>
      <c r="F1614" s="2" t="s">
        <v>131</v>
      </c>
      <c r="G1614" s="2" t="s">
        <v>131</v>
      </c>
      <c r="H1614" s="2" t="s">
        <v>6</v>
      </c>
      <c r="J1614" s="2" t="s">
        <v>2456</v>
      </c>
      <c r="K1614" s="2" t="s">
        <v>3904</v>
      </c>
      <c r="L1614" s="2" t="s">
        <v>3782</v>
      </c>
      <c r="M1614" s="3">
        <v>1</v>
      </c>
      <c r="N1614" s="3">
        <v>2</v>
      </c>
      <c r="P1614" s="2" t="s">
        <v>3905</v>
      </c>
    </row>
    <row r="1615" spans="1:16" ht="13">
      <c r="A1615" s="2" t="s">
        <v>0</v>
      </c>
      <c r="B1615" s="2" t="str">
        <f t="shared" si="25"/>
        <v>24-25 Academic Year</v>
      </c>
      <c r="C1615" s="2">
        <v>19</v>
      </c>
      <c r="D1615" s="2" t="s">
        <v>681</v>
      </c>
      <c r="E1615" s="10">
        <v>45712</v>
      </c>
      <c r="F1615" s="2" t="s">
        <v>131</v>
      </c>
      <c r="G1615" s="2" t="s">
        <v>131</v>
      </c>
      <c r="H1615" s="2" t="s">
        <v>6</v>
      </c>
      <c r="J1615" s="2" t="s">
        <v>2458</v>
      </c>
      <c r="K1615" s="2" t="s">
        <v>472</v>
      </c>
      <c r="L1615" s="2" t="s">
        <v>1352</v>
      </c>
      <c r="M1615" s="3">
        <v>1</v>
      </c>
      <c r="N1615" s="3">
        <v>2</v>
      </c>
      <c r="P1615" s="2" t="s">
        <v>3906</v>
      </c>
    </row>
    <row r="1616" spans="1:16" ht="13">
      <c r="A1616" s="2" t="s">
        <v>0</v>
      </c>
      <c r="B1616" s="2" t="str">
        <f t="shared" si="25"/>
        <v>24-25 Academic Year</v>
      </c>
      <c r="C1616" s="2">
        <v>19</v>
      </c>
      <c r="D1616" s="2" t="s">
        <v>681</v>
      </c>
      <c r="E1616" s="10">
        <v>45712</v>
      </c>
      <c r="F1616" s="2" t="s">
        <v>131</v>
      </c>
      <c r="G1616" s="2" t="s">
        <v>131</v>
      </c>
      <c r="H1616" s="2" t="s">
        <v>6</v>
      </c>
      <c r="J1616" s="2" t="s">
        <v>3622</v>
      </c>
      <c r="K1616" s="2" t="s">
        <v>670</v>
      </c>
      <c r="L1616" s="2" t="s">
        <v>403</v>
      </c>
      <c r="M1616" s="3">
        <v>1</v>
      </c>
      <c r="N1616" s="3">
        <v>2</v>
      </c>
      <c r="P1616" s="2" t="s">
        <v>3907</v>
      </c>
    </row>
    <row r="1617" spans="1:16" ht="13">
      <c r="A1617" s="2" t="s">
        <v>0</v>
      </c>
      <c r="B1617" s="2" t="str">
        <f t="shared" si="25"/>
        <v>24-25 Academic Year</v>
      </c>
      <c r="C1617" s="2">
        <v>19</v>
      </c>
      <c r="D1617" s="2" t="s">
        <v>681</v>
      </c>
      <c r="E1617" s="10">
        <v>45712</v>
      </c>
      <c r="F1617" s="2" t="s">
        <v>131</v>
      </c>
      <c r="G1617" s="2" t="s">
        <v>131</v>
      </c>
      <c r="H1617" s="2" t="s">
        <v>6</v>
      </c>
      <c r="J1617" s="2" t="s">
        <v>3625</v>
      </c>
      <c r="K1617" s="2" t="s">
        <v>635</v>
      </c>
      <c r="L1617" s="2" t="s">
        <v>3354</v>
      </c>
      <c r="M1617" s="3">
        <v>1</v>
      </c>
      <c r="N1617" s="3">
        <v>2</v>
      </c>
      <c r="P1617" s="2" t="s">
        <v>3908</v>
      </c>
    </row>
    <row r="1618" spans="1:16" ht="13">
      <c r="A1618" s="2" t="s">
        <v>0</v>
      </c>
      <c r="B1618" s="2" t="str">
        <f t="shared" si="25"/>
        <v>24-25 Academic Year</v>
      </c>
      <c r="C1618" s="2">
        <v>19</v>
      </c>
      <c r="D1618" s="2" t="s">
        <v>681</v>
      </c>
      <c r="E1618" s="10">
        <v>45712</v>
      </c>
      <c r="F1618" s="2" t="s">
        <v>131</v>
      </c>
      <c r="G1618" s="2" t="s">
        <v>131</v>
      </c>
      <c r="H1618" s="2" t="s">
        <v>6</v>
      </c>
      <c r="J1618" s="2" t="s">
        <v>3629</v>
      </c>
      <c r="K1618" s="2" t="s">
        <v>472</v>
      </c>
      <c r="L1618" s="2" t="s">
        <v>1352</v>
      </c>
      <c r="M1618" s="3">
        <v>1</v>
      </c>
      <c r="N1618" s="3">
        <v>2</v>
      </c>
      <c r="P1618" s="2" t="s">
        <v>3909</v>
      </c>
    </row>
    <row r="1619" spans="1:16" ht="13">
      <c r="A1619" s="2" t="s">
        <v>0</v>
      </c>
      <c r="B1619" s="2" t="str">
        <f t="shared" si="25"/>
        <v>24-25 Academic Year</v>
      </c>
      <c r="C1619" s="2">
        <v>19</v>
      </c>
      <c r="D1619" s="2" t="s">
        <v>681</v>
      </c>
      <c r="E1619" s="10">
        <v>45712</v>
      </c>
      <c r="F1619" s="2" t="s">
        <v>131</v>
      </c>
      <c r="G1619" s="2" t="s">
        <v>131</v>
      </c>
      <c r="H1619" s="2" t="s">
        <v>6</v>
      </c>
      <c r="J1619" s="2" t="s">
        <v>3632</v>
      </c>
      <c r="K1619" s="2" t="s">
        <v>1020</v>
      </c>
      <c r="L1619" s="2" t="s">
        <v>1975</v>
      </c>
      <c r="M1619" s="3">
        <v>1</v>
      </c>
      <c r="N1619" s="3">
        <v>2</v>
      </c>
      <c r="P1619" s="2" t="s">
        <v>3371</v>
      </c>
    </row>
    <row r="1620" spans="1:16" ht="13">
      <c r="A1620" s="2" t="s">
        <v>0</v>
      </c>
      <c r="B1620" s="2" t="str">
        <f t="shared" si="25"/>
        <v>24-25 Academic Year</v>
      </c>
      <c r="C1620" s="2">
        <v>20</v>
      </c>
      <c r="D1620" s="2" t="s">
        <v>3914</v>
      </c>
      <c r="E1620" s="10">
        <v>45713</v>
      </c>
      <c r="F1620" s="2" t="s">
        <v>21</v>
      </c>
      <c r="G1620" s="2" t="s">
        <v>21</v>
      </c>
      <c r="H1620" s="2" t="s">
        <v>8</v>
      </c>
      <c r="J1620" s="2" t="s">
        <v>2461</v>
      </c>
      <c r="K1620" s="2" t="s">
        <v>2645</v>
      </c>
      <c r="L1620" s="2" t="s">
        <v>3915</v>
      </c>
      <c r="M1620" s="3">
        <v>1</v>
      </c>
      <c r="N1620" s="3">
        <v>1</v>
      </c>
      <c r="P1620" s="2" t="s">
        <v>3916</v>
      </c>
    </row>
    <row r="1621" spans="1:16" ht="13">
      <c r="A1621" s="2" t="s">
        <v>0</v>
      </c>
      <c r="B1621" s="2" t="str">
        <f t="shared" si="25"/>
        <v>24-25 Academic Year</v>
      </c>
      <c r="C1621" s="2">
        <v>20</v>
      </c>
      <c r="D1621" s="2" t="s">
        <v>3914</v>
      </c>
      <c r="E1621" s="10">
        <v>45713</v>
      </c>
      <c r="F1621" s="2" t="s">
        <v>21</v>
      </c>
      <c r="G1621" s="2" t="s">
        <v>21</v>
      </c>
      <c r="H1621" s="2" t="s">
        <v>8</v>
      </c>
      <c r="J1621" s="2" t="s">
        <v>2463</v>
      </c>
      <c r="K1621" s="2" t="s">
        <v>351</v>
      </c>
      <c r="L1621" s="2" t="s">
        <v>1362</v>
      </c>
      <c r="M1621" s="3">
        <v>1</v>
      </c>
      <c r="N1621" s="3">
        <v>1</v>
      </c>
      <c r="P1621" s="2" t="s">
        <v>3917</v>
      </c>
    </row>
    <row r="1622" spans="1:16" ht="13">
      <c r="A1622" s="2" t="s">
        <v>0</v>
      </c>
      <c r="B1622" s="2" t="str">
        <f t="shared" si="25"/>
        <v>24-25 Academic Year</v>
      </c>
      <c r="C1622" s="2">
        <v>20</v>
      </c>
      <c r="D1622" s="2" t="s">
        <v>3914</v>
      </c>
      <c r="E1622" s="10">
        <v>45713</v>
      </c>
      <c r="F1622" s="2" t="s">
        <v>21</v>
      </c>
      <c r="G1622" s="2" t="s">
        <v>21</v>
      </c>
      <c r="H1622" s="2" t="s">
        <v>8</v>
      </c>
      <c r="J1622" s="2" t="s">
        <v>2465</v>
      </c>
      <c r="K1622" s="2" t="s">
        <v>3702</v>
      </c>
      <c r="L1622" s="2" t="s">
        <v>3918</v>
      </c>
      <c r="M1622" s="3">
        <v>1</v>
      </c>
      <c r="N1622" s="3">
        <v>2</v>
      </c>
      <c r="P1622" s="2" t="s">
        <v>3919</v>
      </c>
    </row>
    <row r="1623" spans="1:16" ht="13">
      <c r="A1623" s="2" t="s">
        <v>0</v>
      </c>
      <c r="B1623" s="2" t="str">
        <f t="shared" si="25"/>
        <v>24-25 Academic Year</v>
      </c>
      <c r="C1623" s="2">
        <v>20</v>
      </c>
      <c r="D1623" s="2" t="s">
        <v>3914</v>
      </c>
      <c r="E1623" s="10">
        <v>45713</v>
      </c>
      <c r="F1623" s="2" t="s">
        <v>21</v>
      </c>
      <c r="G1623" s="2" t="s">
        <v>21</v>
      </c>
      <c r="H1623" s="2" t="s">
        <v>8</v>
      </c>
      <c r="J1623" s="2" t="s">
        <v>2467</v>
      </c>
      <c r="K1623" s="2" t="s">
        <v>1077</v>
      </c>
      <c r="L1623" s="2" t="s">
        <v>398</v>
      </c>
      <c r="M1623" s="3">
        <v>1</v>
      </c>
      <c r="N1623" s="3">
        <v>2</v>
      </c>
      <c r="P1623" s="2" t="s">
        <v>3920</v>
      </c>
    </row>
    <row r="1624" spans="1:16" ht="13">
      <c r="A1624" s="2" t="s">
        <v>0</v>
      </c>
      <c r="B1624" s="2" t="str">
        <f t="shared" si="25"/>
        <v>24-25 Academic Year</v>
      </c>
      <c r="C1624" s="2">
        <v>20</v>
      </c>
      <c r="D1624" s="2" t="s">
        <v>3914</v>
      </c>
      <c r="E1624" s="10">
        <v>45713</v>
      </c>
      <c r="F1624" s="2" t="s">
        <v>21</v>
      </c>
      <c r="G1624" s="2" t="s">
        <v>21</v>
      </c>
      <c r="H1624" s="2" t="s">
        <v>8</v>
      </c>
      <c r="J1624" s="2" t="s">
        <v>2469</v>
      </c>
      <c r="K1624" s="2" t="s">
        <v>3921</v>
      </c>
      <c r="L1624" s="2" t="s">
        <v>3922</v>
      </c>
      <c r="M1624" s="3">
        <v>1</v>
      </c>
      <c r="N1624" s="3">
        <v>1</v>
      </c>
      <c r="P1624" s="2" t="s">
        <v>614</v>
      </c>
    </row>
    <row r="1625" spans="1:16" ht="13">
      <c r="A1625" s="2" t="s">
        <v>0</v>
      </c>
      <c r="B1625" s="2" t="str">
        <f t="shared" si="25"/>
        <v>24-25 Academic Year</v>
      </c>
      <c r="C1625" s="2">
        <v>20</v>
      </c>
      <c r="D1625" s="2" t="s">
        <v>3914</v>
      </c>
      <c r="E1625" s="10">
        <v>45713</v>
      </c>
      <c r="F1625" s="2" t="s">
        <v>21</v>
      </c>
      <c r="G1625" s="2" t="s">
        <v>21</v>
      </c>
      <c r="H1625" s="2" t="s">
        <v>8</v>
      </c>
      <c r="J1625" s="2" t="s">
        <v>2471</v>
      </c>
      <c r="K1625" s="2" t="s">
        <v>3923</v>
      </c>
      <c r="L1625" s="2" t="s">
        <v>3924</v>
      </c>
      <c r="M1625" s="3">
        <v>1</v>
      </c>
      <c r="N1625" s="3">
        <v>2</v>
      </c>
      <c r="P1625" s="2" t="s">
        <v>3925</v>
      </c>
    </row>
    <row r="1626" spans="1:16" ht="13">
      <c r="A1626" s="2" t="s">
        <v>0</v>
      </c>
      <c r="B1626" s="2" t="str">
        <f t="shared" si="25"/>
        <v>24-25 Academic Year</v>
      </c>
      <c r="C1626" s="2">
        <v>20</v>
      </c>
      <c r="D1626" s="2" t="s">
        <v>3914</v>
      </c>
      <c r="E1626" s="10">
        <v>45713</v>
      </c>
      <c r="F1626" s="2" t="s">
        <v>21</v>
      </c>
      <c r="G1626" s="2" t="s">
        <v>21</v>
      </c>
      <c r="H1626" s="2" t="s">
        <v>8</v>
      </c>
      <c r="J1626" s="2" t="s">
        <v>2473</v>
      </c>
      <c r="K1626" s="2" t="s">
        <v>4422</v>
      </c>
      <c r="L1626" s="2" t="s">
        <v>4423</v>
      </c>
      <c r="M1626" s="3">
        <v>3</v>
      </c>
      <c r="N1626" s="3">
        <v>2</v>
      </c>
      <c r="P1626" s="2" t="s">
        <v>4424</v>
      </c>
    </row>
    <row r="1627" spans="1:16" ht="13">
      <c r="A1627" s="2" t="s">
        <v>0</v>
      </c>
      <c r="B1627" s="2" t="str">
        <f t="shared" si="25"/>
        <v>24-25 Academic Year</v>
      </c>
      <c r="C1627" s="2">
        <v>20</v>
      </c>
      <c r="D1627" s="2" t="s">
        <v>3914</v>
      </c>
      <c r="E1627" s="10">
        <v>45713</v>
      </c>
      <c r="F1627" s="2" t="s">
        <v>21</v>
      </c>
      <c r="G1627" s="2" t="s">
        <v>21</v>
      </c>
      <c r="H1627" s="2" t="s">
        <v>8</v>
      </c>
      <c r="J1627" s="2" t="s">
        <v>2475</v>
      </c>
      <c r="K1627" s="2" t="s">
        <v>4425</v>
      </c>
      <c r="L1627" s="2" t="s">
        <v>4426</v>
      </c>
      <c r="M1627" s="3">
        <v>3</v>
      </c>
      <c r="N1627" s="3">
        <v>2</v>
      </c>
      <c r="P1627" s="2" t="s">
        <v>4427</v>
      </c>
    </row>
    <row r="1628" spans="1:16" ht="13">
      <c r="A1628" s="2" t="s">
        <v>0</v>
      </c>
      <c r="B1628" s="2" t="str">
        <f t="shared" si="25"/>
        <v>24-25 Academic Year</v>
      </c>
      <c r="C1628" s="2">
        <v>21</v>
      </c>
      <c r="D1628" s="2" t="s">
        <v>3926</v>
      </c>
      <c r="E1628" s="10">
        <v>45716</v>
      </c>
      <c r="F1628" s="2" t="s">
        <v>2184</v>
      </c>
      <c r="G1628" s="2" t="s">
        <v>7</v>
      </c>
      <c r="H1628" s="2" t="s">
        <v>7</v>
      </c>
      <c r="J1628" s="2" t="s">
        <v>2478</v>
      </c>
      <c r="K1628" s="2" t="s">
        <v>3927</v>
      </c>
      <c r="L1628" s="2" t="s">
        <v>3928</v>
      </c>
      <c r="M1628" s="3">
        <v>1</v>
      </c>
      <c r="N1628" s="3">
        <v>2</v>
      </c>
      <c r="P1628" s="2" t="s">
        <v>3929</v>
      </c>
    </row>
    <row r="1629" spans="1:16" ht="13">
      <c r="A1629" s="2" t="s">
        <v>0</v>
      </c>
      <c r="B1629" s="2" t="str">
        <f t="shared" si="25"/>
        <v>24-25 Academic Year</v>
      </c>
      <c r="C1629" s="2">
        <v>21</v>
      </c>
      <c r="D1629" s="2" t="s">
        <v>3926</v>
      </c>
      <c r="E1629" s="10">
        <v>45716</v>
      </c>
      <c r="F1629" s="2" t="s">
        <v>2184</v>
      </c>
      <c r="G1629" s="2" t="s">
        <v>7</v>
      </c>
      <c r="H1629" s="2" t="s">
        <v>7</v>
      </c>
      <c r="J1629" s="2" t="s">
        <v>2481</v>
      </c>
      <c r="K1629" s="2" t="s">
        <v>75</v>
      </c>
      <c r="L1629" s="2" t="s">
        <v>1275</v>
      </c>
      <c r="M1629" s="3">
        <v>3</v>
      </c>
      <c r="N1629" s="3">
        <v>1</v>
      </c>
      <c r="P1629" s="2" t="s">
        <v>4428</v>
      </c>
    </row>
    <row r="1630" spans="1:16" ht="13">
      <c r="A1630" s="2" t="s">
        <v>0</v>
      </c>
      <c r="B1630" s="2" t="str">
        <f t="shared" si="25"/>
        <v>24-25 Academic Year</v>
      </c>
      <c r="C1630" s="2">
        <v>21</v>
      </c>
      <c r="D1630" s="2" t="s">
        <v>3926</v>
      </c>
      <c r="E1630" s="10">
        <v>45716</v>
      </c>
      <c r="F1630" s="2" t="s">
        <v>2184</v>
      </c>
      <c r="G1630" s="2" t="s">
        <v>7</v>
      </c>
      <c r="H1630" s="2" t="s">
        <v>7</v>
      </c>
      <c r="J1630" s="2" t="s">
        <v>2484</v>
      </c>
      <c r="K1630" s="2" t="s">
        <v>3030</v>
      </c>
      <c r="L1630" s="2" t="s">
        <v>4429</v>
      </c>
      <c r="M1630" s="3">
        <v>3</v>
      </c>
      <c r="N1630" s="3">
        <v>1</v>
      </c>
      <c r="P1630" s="2" t="s">
        <v>3899</v>
      </c>
    </row>
    <row r="1631" spans="1:16" ht="13">
      <c r="A1631" s="2" t="s">
        <v>0</v>
      </c>
      <c r="B1631" s="2" t="str">
        <f t="shared" si="25"/>
        <v>24-25 Academic Year</v>
      </c>
      <c r="C1631" s="2">
        <v>21</v>
      </c>
      <c r="D1631" s="2" t="s">
        <v>3926</v>
      </c>
      <c r="E1631" s="10">
        <v>45716</v>
      </c>
      <c r="F1631" s="2" t="s">
        <v>2184</v>
      </c>
      <c r="G1631" s="2" t="s">
        <v>7</v>
      </c>
      <c r="H1631" s="2" t="s">
        <v>7</v>
      </c>
      <c r="J1631" s="2" t="s">
        <v>2487</v>
      </c>
      <c r="K1631" s="2" t="s">
        <v>4430</v>
      </c>
      <c r="L1631" s="2" t="s">
        <v>4431</v>
      </c>
      <c r="M1631" s="3">
        <v>3</v>
      </c>
      <c r="N1631" s="3">
        <v>1</v>
      </c>
      <c r="P1631" s="2" t="s">
        <v>3900</v>
      </c>
    </row>
    <row r="1632" spans="1:16" ht="13">
      <c r="A1632" s="2" t="s">
        <v>0</v>
      </c>
      <c r="B1632" s="2" t="str">
        <f t="shared" si="25"/>
        <v>24-25 Academic Year</v>
      </c>
      <c r="C1632" s="2">
        <v>21</v>
      </c>
      <c r="D1632" s="2" t="s">
        <v>3926</v>
      </c>
      <c r="E1632" s="10">
        <v>45716</v>
      </c>
      <c r="F1632" s="2" t="s">
        <v>2184</v>
      </c>
      <c r="G1632" s="2" t="s">
        <v>7</v>
      </c>
      <c r="H1632" s="2" t="s">
        <v>7</v>
      </c>
      <c r="J1632" s="2" t="s">
        <v>3646</v>
      </c>
      <c r="K1632" s="2" t="s">
        <v>4432</v>
      </c>
      <c r="L1632" s="2" t="s">
        <v>4433</v>
      </c>
      <c r="M1632" s="3">
        <v>3</v>
      </c>
      <c r="N1632" s="3">
        <v>1</v>
      </c>
      <c r="P1632" s="2" t="s">
        <v>3903</v>
      </c>
    </row>
    <row r="1633" spans="1:16" ht="13">
      <c r="A1633" s="2" t="s">
        <v>0</v>
      </c>
      <c r="B1633" s="2" t="str">
        <f t="shared" si="25"/>
        <v>24-25 Academic Year</v>
      </c>
      <c r="C1633" s="2">
        <v>21</v>
      </c>
      <c r="D1633" s="2" t="s">
        <v>3926</v>
      </c>
      <c r="E1633" s="10">
        <v>45716</v>
      </c>
      <c r="F1633" s="2" t="s">
        <v>2184</v>
      </c>
      <c r="G1633" s="2" t="s">
        <v>7</v>
      </c>
      <c r="H1633" s="2" t="s">
        <v>7</v>
      </c>
      <c r="J1633" s="2" t="s">
        <v>3647</v>
      </c>
      <c r="K1633" s="2" t="s">
        <v>4541</v>
      </c>
      <c r="L1633" s="2" t="s">
        <v>4542</v>
      </c>
      <c r="M1633" s="3">
        <v>4</v>
      </c>
      <c r="N1633" s="3">
        <v>1</v>
      </c>
      <c r="P1633" s="2" t="s">
        <v>4543</v>
      </c>
    </row>
    <row r="1634" spans="1:16" ht="13">
      <c r="A1634" s="2" t="s">
        <v>0</v>
      </c>
      <c r="B1634" s="2" t="str">
        <f t="shared" si="25"/>
        <v>24-25 Academic Year</v>
      </c>
      <c r="C1634" s="2">
        <v>22</v>
      </c>
      <c r="D1634" s="2" t="s">
        <v>314</v>
      </c>
      <c r="E1634" s="10">
        <v>45722</v>
      </c>
      <c r="F1634" s="2" t="s">
        <v>3930</v>
      </c>
      <c r="G1634" s="2" t="s">
        <v>131</v>
      </c>
      <c r="H1634" s="2" t="s">
        <v>6</v>
      </c>
      <c r="I1634" s="2" t="s">
        <v>699</v>
      </c>
      <c r="J1634" s="2" t="s">
        <v>2491</v>
      </c>
      <c r="K1634" s="2" t="s">
        <v>3781</v>
      </c>
      <c r="L1634" s="2" t="s">
        <v>3782</v>
      </c>
      <c r="M1634" s="3">
        <v>1</v>
      </c>
      <c r="N1634" s="3">
        <v>2</v>
      </c>
      <c r="P1634" s="2" t="s">
        <v>3931</v>
      </c>
    </row>
    <row r="1635" spans="1:16" ht="13">
      <c r="A1635" s="2" t="s">
        <v>0</v>
      </c>
      <c r="B1635" s="2" t="str">
        <f t="shared" si="25"/>
        <v>24-25 Academic Year</v>
      </c>
      <c r="C1635" s="2">
        <v>22</v>
      </c>
      <c r="D1635" s="2" t="s">
        <v>314</v>
      </c>
      <c r="E1635" s="10">
        <v>45722</v>
      </c>
      <c r="F1635" s="2" t="s">
        <v>3930</v>
      </c>
      <c r="G1635" s="2" t="s">
        <v>131</v>
      </c>
      <c r="H1635" s="2" t="s">
        <v>6</v>
      </c>
      <c r="I1635" s="2" t="s">
        <v>699</v>
      </c>
      <c r="J1635" s="2" t="s">
        <v>2494</v>
      </c>
      <c r="K1635" s="2" t="s">
        <v>3932</v>
      </c>
      <c r="L1635" s="2" t="s">
        <v>1352</v>
      </c>
      <c r="M1635" s="3">
        <v>1</v>
      </c>
      <c r="N1635" s="3">
        <v>2</v>
      </c>
      <c r="P1635" s="2" t="s">
        <v>3933</v>
      </c>
    </row>
    <row r="1636" spans="1:16" ht="13">
      <c r="A1636" s="2" t="s">
        <v>0</v>
      </c>
      <c r="B1636" s="2" t="str">
        <f t="shared" si="25"/>
        <v>24-25 Academic Year</v>
      </c>
      <c r="C1636" s="2">
        <v>22</v>
      </c>
      <c r="D1636" s="2" t="s">
        <v>314</v>
      </c>
      <c r="E1636" s="10">
        <v>45722</v>
      </c>
      <c r="F1636" s="2" t="s">
        <v>3930</v>
      </c>
      <c r="G1636" s="2" t="s">
        <v>131</v>
      </c>
      <c r="H1636" s="2" t="s">
        <v>6</v>
      </c>
      <c r="I1636" s="2" t="s">
        <v>699</v>
      </c>
      <c r="J1636" s="2" t="s">
        <v>2496</v>
      </c>
      <c r="K1636" s="2" t="s">
        <v>605</v>
      </c>
      <c r="L1636" s="2" t="s">
        <v>1407</v>
      </c>
      <c r="M1636" s="3">
        <v>1</v>
      </c>
      <c r="N1636" s="3">
        <v>2</v>
      </c>
      <c r="P1636" s="2" t="s">
        <v>3934</v>
      </c>
    </row>
    <row r="1637" spans="1:16" ht="13">
      <c r="A1637" s="2" t="s">
        <v>0</v>
      </c>
      <c r="B1637" s="2" t="str">
        <f t="shared" si="25"/>
        <v>24-25 Academic Year</v>
      </c>
      <c r="C1637" s="2">
        <v>22</v>
      </c>
      <c r="D1637" s="2" t="s">
        <v>314</v>
      </c>
      <c r="E1637" s="10">
        <v>45722</v>
      </c>
      <c r="F1637" s="2" t="s">
        <v>3930</v>
      </c>
      <c r="G1637" s="2" t="s">
        <v>131</v>
      </c>
      <c r="H1637" s="2" t="s">
        <v>6</v>
      </c>
      <c r="I1637" s="2" t="s">
        <v>699</v>
      </c>
      <c r="J1637" s="2" t="s">
        <v>2499</v>
      </c>
      <c r="K1637" s="2" t="s">
        <v>371</v>
      </c>
      <c r="L1637" s="2" t="s">
        <v>372</v>
      </c>
      <c r="M1637" s="3">
        <v>1</v>
      </c>
      <c r="N1637" s="3">
        <v>2</v>
      </c>
      <c r="P1637" s="2" t="s">
        <v>3935</v>
      </c>
    </row>
    <row r="1638" spans="1:16" ht="13">
      <c r="A1638" s="2" t="s">
        <v>0</v>
      </c>
      <c r="B1638" s="2" t="str">
        <f t="shared" si="25"/>
        <v>24-25 Academic Year</v>
      </c>
      <c r="C1638" s="2">
        <v>23</v>
      </c>
      <c r="D1638" s="2" t="s">
        <v>3936</v>
      </c>
      <c r="E1638" s="10">
        <v>45734</v>
      </c>
      <c r="F1638" s="2" t="s">
        <v>21</v>
      </c>
      <c r="G1638" s="2" t="s">
        <v>21</v>
      </c>
      <c r="H1638" s="2" t="s">
        <v>6</v>
      </c>
      <c r="J1638" s="2" t="s">
        <v>2503</v>
      </c>
      <c r="K1638" s="2" t="s">
        <v>3937</v>
      </c>
      <c r="L1638" s="2" t="s">
        <v>3938</v>
      </c>
      <c r="M1638" s="3">
        <v>1</v>
      </c>
      <c r="N1638" s="3">
        <v>1</v>
      </c>
      <c r="P1638" s="2" t="s">
        <v>3939</v>
      </c>
    </row>
    <row r="1639" spans="1:16" ht="13">
      <c r="A1639" s="2" t="s">
        <v>0</v>
      </c>
      <c r="B1639" s="2" t="str">
        <f t="shared" si="25"/>
        <v>24-25 Academic Year</v>
      </c>
      <c r="C1639" s="2">
        <v>23</v>
      </c>
      <c r="D1639" s="2" t="s">
        <v>3936</v>
      </c>
      <c r="E1639" s="10">
        <v>45734</v>
      </c>
      <c r="F1639" s="2" t="s">
        <v>21</v>
      </c>
      <c r="G1639" s="2" t="s">
        <v>21</v>
      </c>
      <c r="H1639" s="2" t="s">
        <v>6</v>
      </c>
      <c r="J1639" s="2" t="s">
        <v>2506</v>
      </c>
      <c r="K1639" s="2" t="s">
        <v>3940</v>
      </c>
      <c r="L1639" s="2" t="s">
        <v>3941</v>
      </c>
      <c r="M1639" s="3">
        <v>1</v>
      </c>
      <c r="N1639" s="3">
        <v>2</v>
      </c>
      <c r="P1639" s="2" t="s">
        <v>2350</v>
      </c>
    </row>
    <row r="1640" spans="1:16" ht="13">
      <c r="A1640" s="2" t="s">
        <v>0</v>
      </c>
      <c r="B1640" s="2" t="str">
        <f t="shared" si="25"/>
        <v>24-25 Academic Year</v>
      </c>
      <c r="C1640" s="2">
        <v>23</v>
      </c>
      <c r="D1640" s="2" t="s">
        <v>3936</v>
      </c>
      <c r="E1640" s="10">
        <v>45734</v>
      </c>
      <c r="F1640" s="2" t="s">
        <v>21</v>
      </c>
      <c r="G1640" s="2" t="s">
        <v>21</v>
      </c>
      <c r="H1640" s="2" t="s">
        <v>6</v>
      </c>
      <c r="J1640" s="2" t="s">
        <v>2509</v>
      </c>
      <c r="K1640" s="2" t="s">
        <v>472</v>
      </c>
      <c r="L1640" s="2" t="s">
        <v>1352</v>
      </c>
      <c r="M1640" s="3">
        <v>1</v>
      </c>
      <c r="N1640" s="3">
        <v>2</v>
      </c>
      <c r="P1640" s="2" t="s">
        <v>3942</v>
      </c>
    </row>
    <row r="1641" spans="1:16" ht="13">
      <c r="A1641" s="2" t="s">
        <v>0</v>
      </c>
      <c r="B1641" s="2" t="str">
        <f t="shared" si="25"/>
        <v>24-25 Academic Year</v>
      </c>
      <c r="C1641" s="2">
        <v>23</v>
      </c>
      <c r="D1641" s="2" t="s">
        <v>3936</v>
      </c>
      <c r="E1641" s="10">
        <v>45734</v>
      </c>
      <c r="F1641" s="2" t="s">
        <v>21</v>
      </c>
      <c r="G1641" s="2" t="s">
        <v>21</v>
      </c>
      <c r="H1641" s="2" t="s">
        <v>6</v>
      </c>
      <c r="J1641" s="2" t="s">
        <v>2513</v>
      </c>
      <c r="K1641" s="2" t="s">
        <v>4327</v>
      </c>
      <c r="L1641" s="2" t="s">
        <v>4328</v>
      </c>
      <c r="M1641" s="3">
        <v>2</v>
      </c>
      <c r="N1641" s="3">
        <v>1</v>
      </c>
      <c r="P1641" s="2" t="s">
        <v>4329</v>
      </c>
    </row>
    <row r="1642" spans="1:16" ht="13">
      <c r="A1642" s="2" t="s">
        <v>0</v>
      </c>
      <c r="B1642" s="2" t="str">
        <f t="shared" si="25"/>
        <v>24-25 Academic Year</v>
      </c>
      <c r="C1642" s="2">
        <v>23</v>
      </c>
      <c r="D1642" s="2" t="s">
        <v>3936</v>
      </c>
      <c r="E1642" s="10">
        <v>45734</v>
      </c>
      <c r="F1642" s="2" t="s">
        <v>21</v>
      </c>
      <c r="G1642" s="2" t="s">
        <v>21</v>
      </c>
      <c r="H1642" s="2" t="s">
        <v>6</v>
      </c>
      <c r="J1642" s="2" t="s">
        <v>2516</v>
      </c>
      <c r="K1642" s="2" t="s">
        <v>22</v>
      </c>
      <c r="L1642" s="2" t="s">
        <v>4330</v>
      </c>
      <c r="M1642" s="3">
        <v>2</v>
      </c>
      <c r="N1642" s="3">
        <v>2</v>
      </c>
      <c r="P1642" s="2" t="s">
        <v>4331</v>
      </c>
    </row>
    <row r="1643" spans="1:16" ht="13">
      <c r="A1643" s="2" t="s">
        <v>0</v>
      </c>
      <c r="B1643" s="2" t="str">
        <f t="shared" si="25"/>
        <v>24-25 Academic Year</v>
      </c>
      <c r="C1643" s="2">
        <v>23</v>
      </c>
      <c r="D1643" s="2" t="s">
        <v>3936</v>
      </c>
      <c r="E1643" s="10">
        <v>45734</v>
      </c>
      <c r="F1643" s="2" t="s">
        <v>21</v>
      </c>
      <c r="G1643" s="2" t="s">
        <v>21</v>
      </c>
      <c r="H1643" s="2" t="s">
        <v>6</v>
      </c>
      <c r="J1643" s="2" t="s">
        <v>2519</v>
      </c>
      <c r="K1643" s="2" t="s">
        <v>4434</v>
      </c>
      <c r="L1643" s="2" t="s">
        <v>4435</v>
      </c>
      <c r="M1643" s="3">
        <v>3</v>
      </c>
      <c r="N1643" s="3">
        <v>1</v>
      </c>
      <c r="P1643" s="2" t="s">
        <v>3905</v>
      </c>
    </row>
    <row r="1644" spans="1:16" ht="13">
      <c r="A1644" s="2" t="s">
        <v>0</v>
      </c>
      <c r="B1644" s="2" t="str">
        <f t="shared" si="25"/>
        <v>24-25 Academic Year</v>
      </c>
      <c r="C1644" s="2">
        <v>23</v>
      </c>
      <c r="D1644" s="2" t="s">
        <v>3936</v>
      </c>
      <c r="E1644" s="10">
        <v>45734</v>
      </c>
      <c r="F1644" s="2" t="s">
        <v>21</v>
      </c>
      <c r="G1644" s="2" t="s">
        <v>21</v>
      </c>
      <c r="H1644" s="2" t="s">
        <v>6</v>
      </c>
      <c r="J1644" s="2" t="s">
        <v>4436</v>
      </c>
      <c r="K1644" s="2" t="s">
        <v>731</v>
      </c>
      <c r="L1644" s="2" t="s">
        <v>1260</v>
      </c>
      <c r="M1644" s="3">
        <v>3</v>
      </c>
      <c r="N1644" s="3">
        <v>1</v>
      </c>
      <c r="P1644" s="2" t="s">
        <v>3906</v>
      </c>
    </row>
    <row r="1645" spans="1:16" ht="13">
      <c r="A1645" s="2" t="s">
        <v>0</v>
      </c>
      <c r="B1645" s="2" t="str">
        <f t="shared" si="25"/>
        <v>24-25 Academic Year</v>
      </c>
      <c r="C1645" s="2">
        <v>24</v>
      </c>
      <c r="D1645" s="2" t="s">
        <v>3943</v>
      </c>
      <c r="E1645" s="10">
        <v>45735</v>
      </c>
      <c r="F1645" s="2" t="s">
        <v>3944</v>
      </c>
      <c r="G1645" s="2" t="s">
        <v>8</v>
      </c>
      <c r="H1645" s="2" t="s">
        <v>6</v>
      </c>
      <c r="J1645" s="2" t="s">
        <v>2522</v>
      </c>
      <c r="K1645" s="2" t="s">
        <v>56</v>
      </c>
      <c r="L1645" s="2" t="s">
        <v>3945</v>
      </c>
      <c r="M1645" s="3">
        <v>1</v>
      </c>
      <c r="N1645" s="3">
        <v>1</v>
      </c>
      <c r="P1645" s="2" t="s">
        <v>3946</v>
      </c>
    </row>
    <row r="1646" spans="1:16" ht="13">
      <c r="A1646" s="2" t="s">
        <v>0</v>
      </c>
      <c r="B1646" s="2" t="str">
        <f t="shared" si="25"/>
        <v>24-25 Academic Year</v>
      </c>
      <c r="C1646" s="2">
        <v>24</v>
      </c>
      <c r="D1646" s="2" t="s">
        <v>3943</v>
      </c>
      <c r="E1646" s="10">
        <v>45735</v>
      </c>
      <c r="F1646" s="2" t="s">
        <v>3944</v>
      </c>
      <c r="G1646" s="2" t="s">
        <v>8</v>
      </c>
      <c r="H1646" s="2" t="s">
        <v>6</v>
      </c>
      <c r="J1646" s="2" t="s">
        <v>2525</v>
      </c>
      <c r="K1646" s="2" t="s">
        <v>3947</v>
      </c>
      <c r="L1646" s="2" t="s">
        <v>3948</v>
      </c>
      <c r="M1646" s="3">
        <v>1</v>
      </c>
      <c r="N1646" s="3">
        <v>2</v>
      </c>
      <c r="P1646" s="2" t="s">
        <v>3949</v>
      </c>
    </row>
    <row r="1647" spans="1:16" ht="13">
      <c r="A1647" s="2" t="s">
        <v>0</v>
      </c>
      <c r="B1647" s="2" t="str">
        <f t="shared" si="25"/>
        <v>24-25 Academic Year</v>
      </c>
      <c r="C1647" s="2">
        <v>24</v>
      </c>
      <c r="D1647" s="2" t="s">
        <v>3943</v>
      </c>
      <c r="E1647" s="10">
        <v>45735</v>
      </c>
      <c r="F1647" s="2" t="s">
        <v>3944</v>
      </c>
      <c r="G1647" s="2" t="s">
        <v>8</v>
      </c>
      <c r="H1647" s="2" t="s">
        <v>6</v>
      </c>
      <c r="J1647" s="2" t="s">
        <v>2527</v>
      </c>
      <c r="K1647" s="2" t="s">
        <v>1003</v>
      </c>
      <c r="L1647" s="2" t="s">
        <v>1867</v>
      </c>
      <c r="M1647" s="3">
        <v>3</v>
      </c>
      <c r="N1647" s="3">
        <v>1</v>
      </c>
      <c r="P1647" s="2" t="s">
        <v>3907</v>
      </c>
    </row>
    <row r="1648" spans="1:16" ht="13">
      <c r="A1648" s="2" t="s">
        <v>0</v>
      </c>
      <c r="B1648" s="2" t="str">
        <f t="shared" si="25"/>
        <v>24-25 Academic Year</v>
      </c>
      <c r="C1648" s="2">
        <v>24</v>
      </c>
      <c r="D1648" s="2" t="s">
        <v>3943</v>
      </c>
      <c r="E1648" s="10">
        <v>45735</v>
      </c>
      <c r="F1648" s="2" t="s">
        <v>3944</v>
      </c>
      <c r="G1648" s="2" t="s">
        <v>8</v>
      </c>
      <c r="H1648" s="2" t="s">
        <v>6</v>
      </c>
      <c r="J1648" s="2" t="s">
        <v>2530</v>
      </c>
      <c r="K1648" s="2" t="s">
        <v>4437</v>
      </c>
      <c r="L1648" s="2" t="s">
        <v>4438</v>
      </c>
      <c r="M1648" s="3">
        <v>3</v>
      </c>
      <c r="N1648" s="3">
        <v>1</v>
      </c>
      <c r="P1648" s="2" t="s">
        <v>3908</v>
      </c>
    </row>
    <row r="1649" spans="1:16" ht="13">
      <c r="A1649" s="2" t="s">
        <v>0</v>
      </c>
      <c r="B1649" s="2" t="str">
        <f t="shared" si="25"/>
        <v>24-25 Academic Year</v>
      </c>
      <c r="C1649" s="2">
        <v>25</v>
      </c>
      <c r="D1649" s="2" t="s">
        <v>3950</v>
      </c>
      <c r="E1649" s="10">
        <v>45736</v>
      </c>
      <c r="F1649" s="2" t="s">
        <v>3830</v>
      </c>
      <c r="G1649" s="2" t="s">
        <v>131</v>
      </c>
      <c r="H1649" s="2" t="s">
        <v>6</v>
      </c>
      <c r="I1649" s="2" t="s">
        <v>434</v>
      </c>
      <c r="J1649" s="2" t="s">
        <v>2538</v>
      </c>
      <c r="K1649" s="2" t="s">
        <v>237</v>
      </c>
      <c r="L1649" s="2" t="s">
        <v>1421</v>
      </c>
      <c r="M1649" s="3">
        <v>1</v>
      </c>
      <c r="N1649" s="3">
        <v>1</v>
      </c>
      <c r="P1649" s="2" t="s">
        <v>3951</v>
      </c>
    </row>
    <row r="1650" spans="1:16" ht="13">
      <c r="A1650" s="2" t="s">
        <v>0</v>
      </c>
      <c r="B1650" s="2" t="str">
        <f t="shared" si="25"/>
        <v>24-25 Academic Year</v>
      </c>
      <c r="C1650" s="2">
        <v>25</v>
      </c>
      <c r="D1650" s="2" t="s">
        <v>3950</v>
      </c>
      <c r="E1650" s="10">
        <v>45736</v>
      </c>
      <c r="F1650" s="2" t="s">
        <v>3830</v>
      </c>
      <c r="G1650" s="2" t="s">
        <v>131</v>
      </c>
      <c r="H1650" s="2" t="s">
        <v>6</v>
      </c>
      <c r="I1650" s="2" t="s">
        <v>434</v>
      </c>
      <c r="J1650" s="2" t="s">
        <v>2541</v>
      </c>
      <c r="K1650" s="2" t="s">
        <v>374</v>
      </c>
      <c r="L1650" s="2" t="s">
        <v>1680</v>
      </c>
      <c r="M1650" s="3">
        <v>1</v>
      </c>
      <c r="N1650" s="3">
        <v>2</v>
      </c>
      <c r="P1650" s="2" t="s">
        <v>3952</v>
      </c>
    </row>
    <row r="1651" spans="1:16" ht="13">
      <c r="A1651" s="2" t="s">
        <v>0</v>
      </c>
      <c r="B1651" s="2" t="str">
        <f t="shared" si="25"/>
        <v>24-25 Academic Year</v>
      </c>
      <c r="C1651" s="2">
        <v>25</v>
      </c>
      <c r="D1651" s="2" t="s">
        <v>3950</v>
      </c>
      <c r="E1651" s="10">
        <v>45736</v>
      </c>
      <c r="F1651" s="2" t="s">
        <v>3830</v>
      </c>
      <c r="G1651" s="2" t="s">
        <v>131</v>
      </c>
      <c r="H1651" s="2" t="s">
        <v>6</v>
      </c>
      <c r="I1651" s="2" t="s">
        <v>434</v>
      </c>
      <c r="J1651" s="2" t="s">
        <v>2544</v>
      </c>
      <c r="K1651" s="2" t="s">
        <v>1127</v>
      </c>
      <c r="L1651" s="2" t="s">
        <v>3953</v>
      </c>
      <c r="M1651" s="3">
        <v>1</v>
      </c>
      <c r="N1651" s="3">
        <v>2</v>
      </c>
      <c r="P1651" s="2" t="s">
        <v>3954</v>
      </c>
    </row>
    <row r="1652" spans="1:16" ht="13">
      <c r="A1652" s="2" t="s">
        <v>0</v>
      </c>
      <c r="B1652" s="2" t="str">
        <f t="shared" si="25"/>
        <v>24-25 Academic Year</v>
      </c>
      <c r="C1652" s="2">
        <v>25</v>
      </c>
      <c r="D1652" s="2" t="s">
        <v>3950</v>
      </c>
      <c r="E1652" s="10">
        <v>45736</v>
      </c>
      <c r="F1652" s="2" t="s">
        <v>3830</v>
      </c>
      <c r="G1652" s="2" t="s">
        <v>131</v>
      </c>
      <c r="H1652" s="2" t="s">
        <v>6</v>
      </c>
      <c r="I1652" s="2" t="s">
        <v>434</v>
      </c>
      <c r="J1652" s="2" t="s">
        <v>2547</v>
      </c>
      <c r="K1652" s="2" t="s">
        <v>1155</v>
      </c>
      <c r="L1652" s="2" t="s">
        <v>751</v>
      </c>
      <c r="M1652" s="3">
        <v>1</v>
      </c>
      <c r="N1652" s="3">
        <v>2</v>
      </c>
      <c r="P1652" s="2" t="s">
        <v>3955</v>
      </c>
    </row>
    <row r="1653" spans="1:16" ht="13">
      <c r="A1653" s="2" t="s">
        <v>0</v>
      </c>
      <c r="B1653" s="2" t="str">
        <f t="shared" si="25"/>
        <v>24-25 Academic Year</v>
      </c>
      <c r="C1653" s="2">
        <v>25</v>
      </c>
      <c r="D1653" s="2" t="s">
        <v>3950</v>
      </c>
      <c r="E1653" s="10">
        <v>45736</v>
      </c>
      <c r="F1653" s="2" t="s">
        <v>3830</v>
      </c>
      <c r="G1653" s="2" t="s">
        <v>131</v>
      </c>
      <c r="H1653" s="2" t="s">
        <v>6</v>
      </c>
      <c r="I1653" s="2" t="s">
        <v>434</v>
      </c>
      <c r="J1653" s="2" t="s">
        <v>2550</v>
      </c>
      <c r="K1653" s="2" t="s">
        <v>59</v>
      </c>
      <c r="L1653" s="2" t="s">
        <v>60</v>
      </c>
      <c r="M1653" s="3">
        <v>1</v>
      </c>
      <c r="N1653" s="3">
        <v>2</v>
      </c>
      <c r="P1653" s="2" t="s">
        <v>3956</v>
      </c>
    </row>
    <row r="1654" spans="1:16" ht="13">
      <c r="A1654" s="2" t="s">
        <v>0</v>
      </c>
      <c r="B1654" s="2" t="str">
        <f t="shared" si="25"/>
        <v>24-25 Academic Year</v>
      </c>
      <c r="C1654" s="2">
        <v>25</v>
      </c>
      <c r="D1654" s="2" t="s">
        <v>3950</v>
      </c>
      <c r="E1654" s="10">
        <v>45736</v>
      </c>
      <c r="F1654" s="2" t="s">
        <v>3830</v>
      </c>
      <c r="G1654" s="2" t="s">
        <v>131</v>
      </c>
      <c r="H1654" s="2" t="s">
        <v>6</v>
      </c>
      <c r="I1654" s="2" t="s">
        <v>434</v>
      </c>
      <c r="J1654" s="2" t="s">
        <v>2552</v>
      </c>
      <c r="K1654" s="2" t="s">
        <v>371</v>
      </c>
      <c r="L1654" s="2" t="s">
        <v>372</v>
      </c>
      <c r="M1654" s="3">
        <v>1</v>
      </c>
      <c r="N1654" s="3">
        <v>2</v>
      </c>
      <c r="P1654" s="2" t="s">
        <v>3957</v>
      </c>
    </row>
    <row r="1655" spans="1:16" ht="13">
      <c r="A1655" s="2" t="s">
        <v>0</v>
      </c>
      <c r="B1655" s="2" t="str">
        <f t="shared" si="25"/>
        <v>24-25 Academic Year</v>
      </c>
      <c r="C1655" s="2">
        <v>25</v>
      </c>
      <c r="D1655" s="2" t="s">
        <v>3950</v>
      </c>
      <c r="E1655" s="10">
        <v>45736</v>
      </c>
      <c r="F1655" s="2" t="s">
        <v>3830</v>
      </c>
      <c r="G1655" s="2" t="s">
        <v>131</v>
      </c>
      <c r="H1655" s="2" t="s">
        <v>6</v>
      </c>
      <c r="I1655" s="2" t="s">
        <v>434</v>
      </c>
      <c r="J1655" s="2" t="s">
        <v>2554</v>
      </c>
      <c r="K1655" s="2" t="s">
        <v>3391</v>
      </c>
      <c r="L1655" s="2" t="s">
        <v>4289</v>
      </c>
      <c r="M1655" s="3">
        <v>2</v>
      </c>
      <c r="N1655" s="3">
        <v>1</v>
      </c>
      <c r="P1655" s="2" t="s">
        <v>4332</v>
      </c>
    </row>
    <row r="1656" spans="1:16" ht="13">
      <c r="A1656" s="2" t="s">
        <v>0</v>
      </c>
      <c r="B1656" s="2" t="str">
        <f t="shared" si="25"/>
        <v>24-25 Academic Year</v>
      </c>
      <c r="C1656" s="2">
        <v>26</v>
      </c>
      <c r="D1656" s="2" t="s">
        <v>2542</v>
      </c>
      <c r="E1656" s="10">
        <v>45740</v>
      </c>
      <c r="F1656" s="2" t="s">
        <v>3958</v>
      </c>
      <c r="G1656" s="2" t="s">
        <v>131</v>
      </c>
      <c r="H1656" s="2" t="s">
        <v>6</v>
      </c>
      <c r="I1656" s="2" t="s">
        <v>913</v>
      </c>
      <c r="J1656" s="2" t="s">
        <v>2558</v>
      </c>
      <c r="K1656" s="2" t="s">
        <v>3959</v>
      </c>
      <c r="L1656" s="2" t="s">
        <v>3960</v>
      </c>
      <c r="M1656" s="3">
        <v>1</v>
      </c>
      <c r="N1656" s="3">
        <v>1</v>
      </c>
      <c r="P1656" s="2" t="s">
        <v>3961</v>
      </c>
    </row>
    <row r="1657" spans="1:16" ht="13">
      <c r="A1657" s="2" t="s">
        <v>0</v>
      </c>
      <c r="B1657" s="2" t="str">
        <f t="shared" si="25"/>
        <v>24-25 Academic Year</v>
      </c>
      <c r="C1657" s="2">
        <v>26</v>
      </c>
      <c r="D1657" s="2" t="s">
        <v>2542</v>
      </c>
      <c r="E1657" s="10">
        <v>45740</v>
      </c>
      <c r="F1657" s="2" t="s">
        <v>3958</v>
      </c>
      <c r="G1657" s="2" t="s">
        <v>131</v>
      </c>
      <c r="H1657" s="2" t="s">
        <v>6</v>
      </c>
      <c r="I1657" s="2" t="s">
        <v>913</v>
      </c>
      <c r="J1657" s="2" t="s">
        <v>2561</v>
      </c>
      <c r="K1657" s="2" t="s">
        <v>420</v>
      </c>
      <c r="L1657" s="2" t="s">
        <v>1700</v>
      </c>
      <c r="M1657" s="3">
        <v>1</v>
      </c>
      <c r="N1657" s="3">
        <v>1</v>
      </c>
      <c r="P1657" s="2" t="s">
        <v>3962</v>
      </c>
    </row>
    <row r="1658" spans="1:16" ht="13">
      <c r="A1658" s="2" t="s">
        <v>0</v>
      </c>
      <c r="B1658" s="2" t="str">
        <f t="shared" si="25"/>
        <v>24-25 Academic Year</v>
      </c>
      <c r="C1658" s="2">
        <v>26</v>
      </c>
      <c r="D1658" s="2" t="s">
        <v>2542</v>
      </c>
      <c r="E1658" s="10">
        <v>45740</v>
      </c>
      <c r="F1658" s="2" t="s">
        <v>3958</v>
      </c>
      <c r="G1658" s="2" t="s">
        <v>131</v>
      </c>
      <c r="H1658" s="2" t="s">
        <v>6</v>
      </c>
      <c r="I1658" s="2" t="s">
        <v>913</v>
      </c>
      <c r="J1658" s="2" t="s">
        <v>2563</v>
      </c>
      <c r="K1658" s="2" t="s">
        <v>1215</v>
      </c>
      <c r="L1658" s="2" t="s">
        <v>3351</v>
      </c>
      <c r="M1658" s="3">
        <v>1</v>
      </c>
      <c r="N1658" s="3">
        <v>2</v>
      </c>
      <c r="P1658" s="2" t="s">
        <v>3963</v>
      </c>
    </row>
    <row r="1659" spans="1:16" ht="13">
      <c r="A1659" s="2" t="s">
        <v>0</v>
      </c>
      <c r="B1659" s="2" t="str">
        <f t="shared" si="25"/>
        <v>24-25 Academic Year</v>
      </c>
      <c r="C1659" s="2">
        <v>26</v>
      </c>
      <c r="D1659" s="2" t="s">
        <v>2542</v>
      </c>
      <c r="E1659" s="10">
        <v>45740</v>
      </c>
      <c r="F1659" s="2" t="s">
        <v>3958</v>
      </c>
      <c r="G1659" s="2" t="s">
        <v>131</v>
      </c>
      <c r="H1659" s="2" t="s">
        <v>6</v>
      </c>
      <c r="I1659" s="2" t="s">
        <v>913</v>
      </c>
      <c r="J1659" s="2" t="s">
        <v>2566</v>
      </c>
      <c r="K1659" s="2" t="s">
        <v>3964</v>
      </c>
      <c r="L1659" s="2" t="s">
        <v>3965</v>
      </c>
      <c r="M1659" s="3">
        <v>1</v>
      </c>
      <c r="N1659" s="3">
        <v>2</v>
      </c>
      <c r="P1659" s="2" t="s">
        <v>3963</v>
      </c>
    </row>
    <row r="1660" spans="1:16" ht="13">
      <c r="A1660" s="2" t="s">
        <v>0</v>
      </c>
      <c r="B1660" s="2" t="str">
        <f t="shared" si="25"/>
        <v>24-25 Academic Year</v>
      </c>
      <c r="C1660" s="2">
        <v>26</v>
      </c>
      <c r="D1660" s="2" t="s">
        <v>2542</v>
      </c>
      <c r="E1660" s="10">
        <v>45740</v>
      </c>
      <c r="F1660" s="2" t="s">
        <v>3958</v>
      </c>
      <c r="G1660" s="2" t="s">
        <v>131</v>
      </c>
      <c r="H1660" s="2" t="s">
        <v>6</v>
      </c>
      <c r="I1660" s="2" t="s">
        <v>913</v>
      </c>
      <c r="J1660" s="2" t="s">
        <v>2569</v>
      </c>
      <c r="K1660" s="2" t="s">
        <v>3966</v>
      </c>
      <c r="L1660" s="2" t="s">
        <v>3967</v>
      </c>
      <c r="M1660" s="3">
        <v>1</v>
      </c>
      <c r="N1660" s="3">
        <v>1</v>
      </c>
      <c r="P1660" s="2" t="s">
        <v>3968</v>
      </c>
    </row>
    <row r="1661" spans="1:16" ht="13">
      <c r="A1661" s="2" t="s">
        <v>0</v>
      </c>
      <c r="B1661" s="2" t="str">
        <f t="shared" si="25"/>
        <v>24-25 Academic Year</v>
      </c>
      <c r="C1661" s="2">
        <v>26</v>
      </c>
      <c r="D1661" s="2" t="s">
        <v>2542</v>
      </c>
      <c r="E1661" s="10">
        <v>45740</v>
      </c>
      <c r="F1661" s="2" t="s">
        <v>3958</v>
      </c>
      <c r="G1661" s="2" t="s">
        <v>131</v>
      </c>
      <c r="H1661" s="2" t="s">
        <v>6</v>
      </c>
      <c r="I1661" s="2" t="s">
        <v>913</v>
      </c>
      <c r="J1661" s="2" t="s">
        <v>2571</v>
      </c>
      <c r="K1661" s="2" t="s">
        <v>4333</v>
      </c>
      <c r="L1661" s="2" t="s">
        <v>4334</v>
      </c>
      <c r="M1661" s="3">
        <v>2</v>
      </c>
      <c r="N1661" s="3">
        <v>2</v>
      </c>
      <c r="P1661" s="2" t="s">
        <v>4335</v>
      </c>
    </row>
    <row r="1662" spans="1:16" ht="13">
      <c r="A1662" s="2" t="s">
        <v>0</v>
      </c>
      <c r="B1662" s="2" t="str">
        <f t="shared" si="25"/>
        <v>24-25 Academic Year</v>
      </c>
      <c r="C1662" s="2">
        <v>26</v>
      </c>
      <c r="D1662" s="2" t="s">
        <v>2542</v>
      </c>
      <c r="E1662" s="10">
        <v>45740</v>
      </c>
      <c r="F1662" s="2" t="s">
        <v>3958</v>
      </c>
      <c r="G1662" s="2" t="s">
        <v>131</v>
      </c>
      <c r="H1662" s="2" t="s">
        <v>6</v>
      </c>
      <c r="I1662" s="2" t="s">
        <v>913</v>
      </c>
      <c r="J1662" s="2" t="s">
        <v>2574</v>
      </c>
      <c r="K1662" s="2" t="s">
        <v>4576</v>
      </c>
      <c r="L1662" s="2" t="s">
        <v>2056</v>
      </c>
      <c r="M1662" s="3">
        <v>999</v>
      </c>
      <c r="N1662" s="3">
        <v>999</v>
      </c>
      <c r="P1662" s="2" t="s">
        <v>4577</v>
      </c>
    </row>
    <row r="1663" spans="1:16" ht="13">
      <c r="A1663" s="2" t="s">
        <v>0</v>
      </c>
      <c r="B1663" s="2" t="str">
        <f t="shared" si="25"/>
        <v>24-25 Academic Year</v>
      </c>
      <c r="C1663" s="2">
        <v>27</v>
      </c>
      <c r="D1663" s="2" t="s">
        <v>3969</v>
      </c>
      <c r="E1663" s="10">
        <v>45741</v>
      </c>
      <c r="F1663" s="2" t="s">
        <v>3830</v>
      </c>
      <c r="G1663" s="2" t="s">
        <v>131</v>
      </c>
      <c r="H1663" s="2" t="s">
        <v>6</v>
      </c>
      <c r="I1663" s="2" t="s">
        <v>434</v>
      </c>
      <c r="J1663" s="2" t="s">
        <v>2580</v>
      </c>
      <c r="K1663" s="2" t="s">
        <v>3210</v>
      </c>
      <c r="L1663" s="2" t="s">
        <v>3970</v>
      </c>
      <c r="M1663" s="3">
        <v>1</v>
      </c>
      <c r="N1663" s="3">
        <v>1</v>
      </c>
      <c r="P1663" s="2" t="s">
        <v>3971</v>
      </c>
    </row>
    <row r="1664" spans="1:16" ht="13">
      <c r="A1664" s="2" t="s">
        <v>0</v>
      </c>
      <c r="B1664" s="2" t="str">
        <f t="shared" si="25"/>
        <v>24-25 Academic Year</v>
      </c>
      <c r="C1664" s="2">
        <v>27</v>
      </c>
      <c r="D1664" s="2" t="s">
        <v>3969</v>
      </c>
      <c r="E1664" s="10">
        <v>45741</v>
      </c>
      <c r="F1664" s="2" t="s">
        <v>3830</v>
      </c>
      <c r="G1664" s="2" t="s">
        <v>131</v>
      </c>
      <c r="H1664" s="2" t="s">
        <v>6</v>
      </c>
      <c r="I1664" s="2" t="s">
        <v>434</v>
      </c>
      <c r="J1664" s="2" t="s">
        <v>2582</v>
      </c>
      <c r="K1664" s="2" t="s">
        <v>472</v>
      </c>
      <c r="L1664" s="2" t="s">
        <v>1352</v>
      </c>
      <c r="M1664" s="3">
        <v>1</v>
      </c>
      <c r="N1664" s="3">
        <v>2</v>
      </c>
      <c r="P1664" s="2" t="s">
        <v>3972</v>
      </c>
    </row>
    <row r="1665" spans="1:16" ht="13">
      <c r="A1665" s="2" t="s">
        <v>0</v>
      </c>
      <c r="B1665" s="2" t="str">
        <f t="shared" si="25"/>
        <v>24-25 Academic Year</v>
      </c>
      <c r="C1665" s="2">
        <v>27</v>
      </c>
      <c r="D1665" s="2" t="s">
        <v>3969</v>
      </c>
      <c r="E1665" s="10">
        <v>45741</v>
      </c>
      <c r="F1665" s="2" t="s">
        <v>3830</v>
      </c>
      <c r="G1665" s="2" t="s">
        <v>131</v>
      </c>
      <c r="H1665" s="2" t="s">
        <v>6</v>
      </c>
      <c r="I1665" s="2" t="s">
        <v>434</v>
      </c>
      <c r="J1665" s="2" t="s">
        <v>2586</v>
      </c>
      <c r="K1665" s="2" t="s">
        <v>64</v>
      </c>
      <c r="L1665" s="2" t="s">
        <v>646</v>
      </c>
      <c r="M1665" s="3">
        <v>1</v>
      </c>
      <c r="N1665" s="3">
        <v>2</v>
      </c>
      <c r="P1665" s="2" t="s">
        <v>3973</v>
      </c>
    </row>
    <row r="1666" spans="1:16" ht="13">
      <c r="A1666" s="2" t="s">
        <v>0</v>
      </c>
      <c r="B1666" s="2" t="str">
        <f t="shared" si="25"/>
        <v>24-25 Academic Year</v>
      </c>
      <c r="C1666" s="2">
        <v>27</v>
      </c>
      <c r="D1666" s="2" t="s">
        <v>3969</v>
      </c>
      <c r="E1666" s="10">
        <v>45741</v>
      </c>
      <c r="F1666" s="2" t="s">
        <v>3830</v>
      </c>
      <c r="G1666" s="2" t="s">
        <v>131</v>
      </c>
      <c r="H1666" s="2" t="s">
        <v>6</v>
      </c>
      <c r="I1666" s="2" t="s">
        <v>434</v>
      </c>
      <c r="J1666" s="2" t="s">
        <v>2589</v>
      </c>
      <c r="K1666" s="2" t="s">
        <v>371</v>
      </c>
      <c r="L1666" s="2" t="s">
        <v>372</v>
      </c>
      <c r="M1666" s="3">
        <v>1</v>
      </c>
      <c r="N1666" s="3">
        <v>2</v>
      </c>
      <c r="P1666" s="2" t="s">
        <v>3974</v>
      </c>
    </row>
    <row r="1667" spans="1:16" ht="13">
      <c r="A1667" s="2" t="s">
        <v>0</v>
      </c>
      <c r="B1667" s="2" t="str">
        <f t="shared" ref="B1667:B1730" si="26">RIGHT(TEXT(IF(LEFT(A1667,4)="Fall",VALUE(RIGHT(A1667,4)),VALUE(RIGHT(A1667,4))-1),"00"),2)
 &amp; "-" &amp;
 RIGHT(TEXT(IF(LEFT(A1667,4)="Fall",VALUE(RIGHT(A1667,4))+1,VALUE(RIGHT(A1667,4))),"00"),2)
 &amp; " Academic Year"</f>
        <v>24-25 Academic Year</v>
      </c>
      <c r="C1667" s="2">
        <v>27</v>
      </c>
      <c r="D1667" s="2" t="s">
        <v>3969</v>
      </c>
      <c r="E1667" s="10">
        <v>45741</v>
      </c>
      <c r="F1667" s="2" t="s">
        <v>3830</v>
      </c>
      <c r="G1667" s="2" t="s">
        <v>131</v>
      </c>
      <c r="H1667" s="2" t="s">
        <v>6</v>
      </c>
      <c r="I1667" s="2" t="s">
        <v>434</v>
      </c>
      <c r="J1667" s="2" t="s">
        <v>2593</v>
      </c>
      <c r="K1667" s="2" t="s">
        <v>1020</v>
      </c>
      <c r="L1667" s="2" t="s">
        <v>1975</v>
      </c>
      <c r="M1667" s="3">
        <v>1</v>
      </c>
      <c r="N1667" s="3">
        <v>2</v>
      </c>
      <c r="P1667" s="2" t="s">
        <v>3975</v>
      </c>
    </row>
    <row r="1668" spans="1:16" ht="13">
      <c r="A1668" s="2" t="s">
        <v>0</v>
      </c>
      <c r="B1668" s="2" t="str">
        <f t="shared" si="26"/>
        <v>24-25 Academic Year</v>
      </c>
      <c r="C1668" s="2">
        <v>28</v>
      </c>
      <c r="D1668" s="2" t="s">
        <v>3976</v>
      </c>
      <c r="E1668" s="10">
        <v>45742</v>
      </c>
      <c r="F1668" s="2" t="s">
        <v>131</v>
      </c>
      <c r="G1668" s="2" t="s">
        <v>131</v>
      </c>
      <c r="H1668" s="2" t="s">
        <v>6</v>
      </c>
      <c r="J1668" s="2" t="s">
        <v>2604</v>
      </c>
      <c r="K1668" s="2" t="s">
        <v>2890</v>
      </c>
      <c r="L1668" s="2" t="s">
        <v>3977</v>
      </c>
      <c r="M1668" s="3">
        <v>1</v>
      </c>
      <c r="N1668" s="3">
        <v>2</v>
      </c>
      <c r="P1668" s="2" t="s">
        <v>3978</v>
      </c>
    </row>
    <row r="1669" spans="1:16" ht="13">
      <c r="A1669" s="2" t="s">
        <v>0</v>
      </c>
      <c r="B1669" s="2" t="str">
        <f t="shared" si="26"/>
        <v>24-25 Academic Year</v>
      </c>
      <c r="C1669" s="2">
        <v>28</v>
      </c>
      <c r="D1669" s="2" t="s">
        <v>3976</v>
      </c>
      <c r="E1669" s="10">
        <v>45742</v>
      </c>
      <c r="F1669" s="2" t="s">
        <v>131</v>
      </c>
      <c r="G1669" s="2" t="s">
        <v>131</v>
      </c>
      <c r="H1669" s="2" t="s">
        <v>6</v>
      </c>
      <c r="J1669" s="2" t="s">
        <v>2607</v>
      </c>
      <c r="K1669" s="2" t="s">
        <v>3979</v>
      </c>
      <c r="L1669" s="2" t="s">
        <v>3980</v>
      </c>
      <c r="M1669" s="3">
        <v>1</v>
      </c>
      <c r="N1669" s="3">
        <v>2</v>
      </c>
      <c r="P1669" s="2" t="s">
        <v>42</v>
      </c>
    </row>
    <row r="1670" spans="1:16" ht="13">
      <c r="A1670" s="2" t="s">
        <v>0</v>
      </c>
      <c r="B1670" s="2" t="str">
        <f t="shared" si="26"/>
        <v>24-25 Academic Year</v>
      </c>
      <c r="C1670" s="2">
        <v>28</v>
      </c>
      <c r="D1670" s="2" t="s">
        <v>3976</v>
      </c>
      <c r="E1670" s="10">
        <v>45742</v>
      </c>
      <c r="F1670" s="2" t="s">
        <v>131</v>
      </c>
      <c r="G1670" s="2" t="s">
        <v>131</v>
      </c>
      <c r="H1670" s="2" t="s">
        <v>6</v>
      </c>
      <c r="J1670" s="2" t="s">
        <v>2611</v>
      </c>
      <c r="K1670" s="2" t="s">
        <v>4439</v>
      </c>
      <c r="L1670" s="2" t="s">
        <v>4440</v>
      </c>
      <c r="M1670" s="3">
        <v>3</v>
      </c>
      <c r="N1670" s="3">
        <v>1</v>
      </c>
      <c r="P1670" s="2" t="s">
        <v>4441</v>
      </c>
    </row>
    <row r="1671" spans="1:16" ht="13">
      <c r="A1671" s="2" t="s">
        <v>0</v>
      </c>
      <c r="B1671" s="2" t="str">
        <f t="shared" si="26"/>
        <v>24-25 Academic Year</v>
      </c>
      <c r="C1671" s="2">
        <v>28</v>
      </c>
      <c r="D1671" s="2" t="s">
        <v>3976</v>
      </c>
      <c r="E1671" s="10">
        <v>45742</v>
      </c>
      <c r="F1671" s="2" t="s">
        <v>131</v>
      </c>
      <c r="G1671" s="2" t="s">
        <v>131</v>
      </c>
      <c r="H1671" s="2" t="s">
        <v>6</v>
      </c>
      <c r="J1671" s="2" t="s">
        <v>2614</v>
      </c>
      <c r="K1671" s="2" t="s">
        <v>2130</v>
      </c>
      <c r="L1671" s="2" t="s">
        <v>4442</v>
      </c>
      <c r="M1671" s="3">
        <v>3</v>
      </c>
      <c r="N1671" s="3">
        <v>2</v>
      </c>
      <c r="P1671" s="2" t="s">
        <v>3909</v>
      </c>
    </row>
    <row r="1672" spans="1:16" ht="13">
      <c r="A1672" s="2" t="s">
        <v>0</v>
      </c>
      <c r="B1672" s="2" t="str">
        <f t="shared" si="26"/>
        <v>24-25 Academic Year</v>
      </c>
      <c r="C1672" s="2">
        <v>28</v>
      </c>
      <c r="D1672" s="2" t="s">
        <v>3976</v>
      </c>
      <c r="E1672" s="10">
        <v>45742</v>
      </c>
      <c r="F1672" s="2" t="s">
        <v>131</v>
      </c>
      <c r="G1672" s="2" t="s">
        <v>131</v>
      </c>
      <c r="H1672" s="2" t="s">
        <v>6</v>
      </c>
      <c r="J1672" s="2" t="s">
        <v>2616</v>
      </c>
      <c r="K1672" s="2" t="s">
        <v>2130</v>
      </c>
      <c r="L1672" s="2" t="s">
        <v>4442</v>
      </c>
      <c r="M1672" s="3">
        <v>3</v>
      </c>
      <c r="N1672" s="3">
        <v>2</v>
      </c>
      <c r="P1672" s="2" t="s">
        <v>4199</v>
      </c>
    </row>
    <row r="1673" spans="1:16" ht="13">
      <c r="A1673" s="2" t="s">
        <v>0</v>
      </c>
      <c r="B1673" s="2" t="str">
        <f t="shared" si="26"/>
        <v>24-25 Academic Year</v>
      </c>
      <c r="C1673" s="2">
        <v>29</v>
      </c>
      <c r="D1673" s="2" t="s">
        <v>1870</v>
      </c>
      <c r="E1673" s="10">
        <v>45743</v>
      </c>
      <c r="F1673" s="2" t="s">
        <v>21</v>
      </c>
      <c r="G1673" s="2" t="s">
        <v>21</v>
      </c>
      <c r="H1673" s="2" t="s">
        <v>6</v>
      </c>
      <c r="J1673" s="2" t="s">
        <v>2622</v>
      </c>
      <c r="K1673" s="2" t="s">
        <v>746</v>
      </c>
      <c r="L1673" s="2" t="s">
        <v>2879</v>
      </c>
      <c r="M1673" s="3">
        <v>1</v>
      </c>
      <c r="N1673" s="3">
        <v>2</v>
      </c>
      <c r="P1673" s="2" t="s">
        <v>3981</v>
      </c>
    </row>
    <row r="1674" spans="1:16" ht="13">
      <c r="A1674" s="2" t="s">
        <v>0</v>
      </c>
      <c r="B1674" s="2" t="str">
        <f t="shared" si="26"/>
        <v>24-25 Academic Year</v>
      </c>
      <c r="C1674" s="2">
        <v>29</v>
      </c>
      <c r="D1674" s="2" t="s">
        <v>1870</v>
      </c>
      <c r="E1674" s="10">
        <v>45743</v>
      </c>
      <c r="F1674" s="2" t="s">
        <v>21</v>
      </c>
      <c r="G1674" s="2" t="s">
        <v>21</v>
      </c>
      <c r="H1674" s="2" t="s">
        <v>6</v>
      </c>
      <c r="J1674" s="2" t="s">
        <v>3733</v>
      </c>
      <c r="K1674" s="2" t="s">
        <v>605</v>
      </c>
      <c r="L1674" s="2" t="s">
        <v>1407</v>
      </c>
      <c r="M1674" s="3">
        <v>1</v>
      </c>
      <c r="N1674" s="3">
        <v>2</v>
      </c>
      <c r="P1674" s="2" t="s">
        <v>3982</v>
      </c>
    </row>
    <row r="1675" spans="1:16" ht="13">
      <c r="A1675" s="2" t="s">
        <v>0</v>
      </c>
      <c r="B1675" s="2" t="str">
        <f t="shared" si="26"/>
        <v>24-25 Academic Year</v>
      </c>
      <c r="C1675" s="2">
        <v>29</v>
      </c>
      <c r="D1675" s="2" t="s">
        <v>1870</v>
      </c>
      <c r="E1675" s="10">
        <v>45743</v>
      </c>
      <c r="F1675" s="2" t="s">
        <v>21</v>
      </c>
      <c r="G1675" s="2" t="s">
        <v>21</v>
      </c>
      <c r="H1675" s="2" t="s">
        <v>6</v>
      </c>
      <c r="J1675" s="2" t="s">
        <v>3735</v>
      </c>
      <c r="K1675" s="2" t="s">
        <v>4297</v>
      </c>
      <c r="L1675" s="2" t="s">
        <v>4298</v>
      </c>
      <c r="M1675" s="3">
        <v>2</v>
      </c>
      <c r="N1675" s="3">
        <v>2</v>
      </c>
      <c r="P1675" s="2" t="s">
        <v>4336</v>
      </c>
    </row>
    <row r="1676" spans="1:16" ht="13">
      <c r="A1676" s="2" t="s">
        <v>0</v>
      </c>
      <c r="B1676" s="2" t="str">
        <f t="shared" si="26"/>
        <v>24-25 Academic Year</v>
      </c>
      <c r="C1676" s="2">
        <v>30</v>
      </c>
      <c r="D1676" s="2" t="s">
        <v>3983</v>
      </c>
      <c r="E1676" s="10">
        <v>45747</v>
      </c>
      <c r="F1676" s="2" t="s">
        <v>131</v>
      </c>
      <c r="G1676" s="2" t="s">
        <v>131</v>
      </c>
      <c r="H1676" s="2" t="s">
        <v>6</v>
      </c>
      <c r="J1676" s="2" t="s">
        <v>2625</v>
      </c>
      <c r="K1676" s="2" t="s">
        <v>3984</v>
      </c>
      <c r="L1676" s="2" t="s">
        <v>3985</v>
      </c>
      <c r="M1676" s="3">
        <v>1</v>
      </c>
      <c r="N1676" s="3">
        <v>2</v>
      </c>
      <c r="P1676" s="2" t="s">
        <v>3986</v>
      </c>
    </row>
    <row r="1677" spans="1:16" ht="13">
      <c r="A1677" s="2" t="s">
        <v>0</v>
      </c>
      <c r="B1677" s="2" t="str">
        <f t="shared" si="26"/>
        <v>24-25 Academic Year</v>
      </c>
      <c r="C1677" s="2">
        <v>30</v>
      </c>
      <c r="D1677" s="2" t="s">
        <v>3983</v>
      </c>
      <c r="E1677" s="10">
        <v>45747</v>
      </c>
      <c r="F1677" s="2" t="s">
        <v>131</v>
      </c>
      <c r="G1677" s="2" t="s">
        <v>131</v>
      </c>
      <c r="H1677" s="2" t="s">
        <v>6</v>
      </c>
      <c r="J1677" s="2" t="s">
        <v>2628</v>
      </c>
      <c r="K1677" s="2" t="s">
        <v>3987</v>
      </c>
      <c r="L1677" s="2" t="s">
        <v>3988</v>
      </c>
      <c r="M1677" s="3">
        <v>1</v>
      </c>
      <c r="N1677" s="3">
        <v>2</v>
      </c>
      <c r="P1677" s="2" t="s">
        <v>3989</v>
      </c>
    </row>
    <row r="1678" spans="1:16" ht="13">
      <c r="A1678" s="2" t="s">
        <v>0</v>
      </c>
      <c r="B1678" s="2" t="str">
        <f t="shared" si="26"/>
        <v>24-25 Academic Year</v>
      </c>
      <c r="C1678" s="2">
        <v>30</v>
      </c>
      <c r="D1678" s="2" t="s">
        <v>3983</v>
      </c>
      <c r="E1678" s="10">
        <v>45747</v>
      </c>
      <c r="F1678" s="2" t="s">
        <v>131</v>
      </c>
      <c r="G1678" s="2" t="s">
        <v>131</v>
      </c>
      <c r="H1678" s="2" t="s">
        <v>6</v>
      </c>
      <c r="J1678" s="2" t="s">
        <v>2631</v>
      </c>
      <c r="K1678" s="2" t="s">
        <v>1215</v>
      </c>
      <c r="L1678" s="2" t="s">
        <v>3351</v>
      </c>
      <c r="M1678" s="3">
        <v>1</v>
      </c>
      <c r="N1678" s="3">
        <v>2</v>
      </c>
      <c r="P1678" s="2" t="s">
        <v>3990</v>
      </c>
    </row>
    <row r="1679" spans="1:16" ht="13">
      <c r="A1679" s="2" t="s">
        <v>0</v>
      </c>
      <c r="B1679" s="2" t="str">
        <f t="shared" si="26"/>
        <v>24-25 Academic Year</v>
      </c>
      <c r="C1679" s="2">
        <v>30</v>
      </c>
      <c r="D1679" s="2" t="s">
        <v>3983</v>
      </c>
      <c r="E1679" s="10">
        <v>45747</v>
      </c>
      <c r="F1679" s="2" t="s">
        <v>131</v>
      </c>
      <c r="G1679" s="2" t="s">
        <v>131</v>
      </c>
      <c r="H1679" s="2" t="s">
        <v>6</v>
      </c>
      <c r="J1679" s="2" t="s">
        <v>2635</v>
      </c>
      <c r="K1679" s="2" t="s">
        <v>3991</v>
      </c>
      <c r="L1679" s="2" t="s">
        <v>3992</v>
      </c>
      <c r="M1679" s="3">
        <v>1</v>
      </c>
      <c r="N1679" s="3">
        <v>2</v>
      </c>
      <c r="P1679" s="2" t="s">
        <v>3993</v>
      </c>
    </row>
    <row r="1680" spans="1:16" ht="13">
      <c r="A1680" s="2" t="s">
        <v>0</v>
      </c>
      <c r="B1680" s="2" t="str">
        <f t="shared" si="26"/>
        <v>24-25 Academic Year</v>
      </c>
      <c r="C1680" s="2">
        <v>30</v>
      </c>
      <c r="D1680" s="2" t="s">
        <v>3983</v>
      </c>
      <c r="E1680" s="10">
        <v>45747</v>
      </c>
      <c r="F1680" s="2" t="s">
        <v>131</v>
      </c>
      <c r="G1680" s="2" t="s">
        <v>131</v>
      </c>
      <c r="H1680" s="2" t="s">
        <v>6</v>
      </c>
      <c r="J1680" s="2" t="s">
        <v>2637</v>
      </c>
      <c r="K1680" s="2" t="s">
        <v>3994</v>
      </c>
      <c r="L1680" s="2" t="s">
        <v>3995</v>
      </c>
      <c r="M1680" s="3">
        <v>1</v>
      </c>
      <c r="N1680" s="3">
        <v>2</v>
      </c>
      <c r="P1680" s="2" t="s">
        <v>3955</v>
      </c>
    </row>
    <row r="1681" spans="1:16" ht="13">
      <c r="A1681" s="2" t="s">
        <v>0</v>
      </c>
      <c r="B1681" s="2" t="str">
        <f t="shared" si="26"/>
        <v>24-25 Academic Year</v>
      </c>
      <c r="C1681" s="2">
        <v>30</v>
      </c>
      <c r="D1681" s="2" t="s">
        <v>3983</v>
      </c>
      <c r="E1681" s="10">
        <v>45747</v>
      </c>
      <c r="F1681" s="2" t="s">
        <v>131</v>
      </c>
      <c r="G1681" s="2" t="s">
        <v>131</v>
      </c>
      <c r="H1681" s="2" t="s">
        <v>6</v>
      </c>
      <c r="J1681" s="2" t="s">
        <v>2640</v>
      </c>
      <c r="K1681" s="2" t="s">
        <v>3996</v>
      </c>
      <c r="L1681" s="2" t="s">
        <v>3997</v>
      </c>
      <c r="M1681" s="3">
        <v>1</v>
      </c>
      <c r="N1681" s="3">
        <v>2</v>
      </c>
      <c r="P1681" s="2" t="s">
        <v>3998</v>
      </c>
    </row>
    <row r="1682" spans="1:16" ht="13">
      <c r="A1682" s="2" t="s">
        <v>0</v>
      </c>
      <c r="B1682" s="2" t="str">
        <f t="shared" si="26"/>
        <v>24-25 Academic Year</v>
      </c>
      <c r="C1682" s="2">
        <v>30</v>
      </c>
      <c r="D1682" s="2" t="s">
        <v>3983</v>
      </c>
      <c r="E1682" s="10">
        <v>45747</v>
      </c>
      <c r="F1682" s="2" t="s">
        <v>131</v>
      </c>
      <c r="G1682" s="2" t="s">
        <v>131</v>
      </c>
      <c r="H1682" s="2" t="s">
        <v>6</v>
      </c>
      <c r="J1682" s="2" t="s">
        <v>2642</v>
      </c>
      <c r="K1682" s="2" t="s">
        <v>3999</v>
      </c>
      <c r="L1682" s="2" t="s">
        <v>4000</v>
      </c>
      <c r="M1682" s="3">
        <v>1</v>
      </c>
      <c r="N1682" s="3">
        <v>2</v>
      </c>
      <c r="P1682" s="2" t="s">
        <v>4001</v>
      </c>
    </row>
    <row r="1683" spans="1:16" ht="13">
      <c r="A1683" s="2" t="s">
        <v>0</v>
      </c>
      <c r="B1683" s="2" t="str">
        <f t="shared" si="26"/>
        <v>24-25 Academic Year</v>
      </c>
      <c r="C1683" s="2">
        <v>31</v>
      </c>
      <c r="D1683" s="2" t="s">
        <v>4002</v>
      </c>
      <c r="E1683" s="10">
        <v>45748</v>
      </c>
      <c r="F1683" s="2" t="s">
        <v>21</v>
      </c>
      <c r="G1683" s="2" t="s">
        <v>21</v>
      </c>
      <c r="H1683" s="2" t="s">
        <v>6</v>
      </c>
      <c r="I1683" s="2" t="s">
        <v>654</v>
      </c>
      <c r="J1683" s="2" t="s">
        <v>2650</v>
      </c>
      <c r="K1683" s="2" t="s">
        <v>712</v>
      </c>
      <c r="L1683" s="2" t="s">
        <v>1766</v>
      </c>
      <c r="M1683" s="3">
        <v>1</v>
      </c>
      <c r="N1683" s="3">
        <v>1</v>
      </c>
      <c r="P1683" s="2" t="s">
        <v>4003</v>
      </c>
    </row>
    <row r="1684" spans="1:16" ht="13">
      <c r="A1684" s="2" t="s">
        <v>0</v>
      </c>
      <c r="B1684" s="2" t="str">
        <f t="shared" si="26"/>
        <v>24-25 Academic Year</v>
      </c>
      <c r="C1684" s="2">
        <v>31</v>
      </c>
      <c r="D1684" s="2" t="s">
        <v>4002</v>
      </c>
      <c r="E1684" s="10">
        <v>45748</v>
      </c>
      <c r="F1684" s="2" t="s">
        <v>21</v>
      </c>
      <c r="G1684" s="2" t="s">
        <v>21</v>
      </c>
      <c r="H1684" s="2" t="s">
        <v>6</v>
      </c>
      <c r="I1684" s="2" t="s">
        <v>654</v>
      </c>
      <c r="J1684" s="2" t="s">
        <v>2652</v>
      </c>
      <c r="K1684" s="2" t="s">
        <v>513</v>
      </c>
      <c r="L1684" s="2" t="s">
        <v>3364</v>
      </c>
      <c r="M1684" s="3">
        <v>1</v>
      </c>
      <c r="N1684" s="3">
        <v>2</v>
      </c>
      <c r="P1684" s="2" t="s">
        <v>4004</v>
      </c>
    </row>
    <row r="1685" spans="1:16" ht="13">
      <c r="A1685" s="2" t="s">
        <v>0</v>
      </c>
      <c r="B1685" s="2" t="str">
        <f t="shared" si="26"/>
        <v>24-25 Academic Year</v>
      </c>
      <c r="C1685" s="2">
        <v>31</v>
      </c>
      <c r="D1685" s="2" t="s">
        <v>4002</v>
      </c>
      <c r="E1685" s="10">
        <v>45748</v>
      </c>
      <c r="F1685" s="2" t="s">
        <v>21</v>
      </c>
      <c r="G1685" s="2" t="s">
        <v>21</v>
      </c>
      <c r="H1685" s="2" t="s">
        <v>6</v>
      </c>
      <c r="I1685" s="2" t="s">
        <v>654</v>
      </c>
      <c r="J1685" s="2" t="s">
        <v>2654</v>
      </c>
      <c r="K1685" s="2" t="s">
        <v>772</v>
      </c>
      <c r="L1685" s="2" t="s">
        <v>1354</v>
      </c>
      <c r="M1685" s="3">
        <v>2</v>
      </c>
      <c r="N1685" s="3">
        <v>1</v>
      </c>
      <c r="P1685" s="2" t="s">
        <v>4337</v>
      </c>
    </row>
    <row r="1686" spans="1:16" ht="13">
      <c r="A1686" s="2" t="s">
        <v>0</v>
      </c>
      <c r="B1686" s="2" t="str">
        <f t="shared" si="26"/>
        <v>24-25 Academic Year</v>
      </c>
      <c r="C1686" s="2">
        <v>31</v>
      </c>
      <c r="D1686" s="2" t="s">
        <v>4002</v>
      </c>
      <c r="E1686" s="10">
        <v>45748</v>
      </c>
      <c r="F1686" s="2" t="s">
        <v>21</v>
      </c>
      <c r="G1686" s="2" t="s">
        <v>21</v>
      </c>
      <c r="H1686" s="2" t="s">
        <v>6</v>
      </c>
      <c r="I1686" s="2" t="s">
        <v>654</v>
      </c>
      <c r="J1686" s="2" t="s">
        <v>2656</v>
      </c>
      <c r="K1686" s="2" t="s">
        <v>4338</v>
      </c>
      <c r="L1686" s="2" t="s">
        <v>4339</v>
      </c>
      <c r="M1686" s="3">
        <v>2</v>
      </c>
      <c r="N1686" s="3">
        <v>1</v>
      </c>
      <c r="P1686" s="2" t="s">
        <v>4340</v>
      </c>
    </row>
    <row r="1687" spans="1:16" ht="13">
      <c r="A1687" s="2" t="s">
        <v>0</v>
      </c>
      <c r="B1687" s="2" t="str">
        <f t="shared" si="26"/>
        <v>24-25 Academic Year</v>
      </c>
      <c r="C1687" s="2">
        <v>31</v>
      </c>
      <c r="D1687" s="2" t="s">
        <v>4002</v>
      </c>
      <c r="E1687" s="10">
        <v>45748</v>
      </c>
      <c r="F1687" s="2" t="s">
        <v>21</v>
      </c>
      <c r="G1687" s="2" t="s">
        <v>21</v>
      </c>
      <c r="H1687" s="2" t="s">
        <v>6</v>
      </c>
      <c r="I1687" s="2" t="s">
        <v>654</v>
      </c>
      <c r="J1687" s="2" t="s">
        <v>2658</v>
      </c>
      <c r="K1687" s="2" t="s">
        <v>4443</v>
      </c>
      <c r="L1687" s="2" t="s">
        <v>4444</v>
      </c>
      <c r="M1687" s="3">
        <v>3</v>
      </c>
      <c r="N1687" s="3">
        <v>1</v>
      </c>
      <c r="P1687" s="2" t="s">
        <v>4445</v>
      </c>
    </row>
    <row r="1688" spans="1:16" ht="13">
      <c r="A1688" s="2" t="s">
        <v>0</v>
      </c>
      <c r="B1688" s="2" t="str">
        <f t="shared" si="26"/>
        <v>24-25 Academic Year</v>
      </c>
      <c r="C1688" s="2">
        <v>31</v>
      </c>
      <c r="D1688" s="2" t="s">
        <v>4002</v>
      </c>
      <c r="E1688" s="10">
        <v>45748</v>
      </c>
      <c r="F1688" s="2" t="s">
        <v>21</v>
      </c>
      <c r="G1688" s="2" t="s">
        <v>21</v>
      </c>
      <c r="H1688" s="2" t="s">
        <v>6</v>
      </c>
      <c r="I1688" s="2" t="s">
        <v>654</v>
      </c>
      <c r="J1688" s="2" t="s">
        <v>3762</v>
      </c>
      <c r="K1688" s="2" t="s">
        <v>4446</v>
      </c>
      <c r="L1688" s="2" t="s">
        <v>4447</v>
      </c>
      <c r="M1688" s="3">
        <v>3</v>
      </c>
      <c r="N1688" s="3">
        <v>1</v>
      </c>
      <c r="P1688" s="2" t="s">
        <v>4448</v>
      </c>
    </row>
    <row r="1689" spans="1:16" ht="13">
      <c r="A1689" s="2" t="s">
        <v>0</v>
      </c>
      <c r="B1689" s="2" t="str">
        <f t="shared" si="26"/>
        <v>24-25 Academic Year</v>
      </c>
      <c r="C1689" s="2">
        <v>32</v>
      </c>
      <c r="D1689" s="2" t="s">
        <v>4005</v>
      </c>
      <c r="E1689" s="10">
        <v>45749</v>
      </c>
      <c r="F1689" s="2" t="s">
        <v>4006</v>
      </c>
      <c r="G1689" s="2" t="s">
        <v>131</v>
      </c>
      <c r="H1689" s="2" t="s">
        <v>6</v>
      </c>
      <c r="I1689" s="2" t="s">
        <v>593</v>
      </c>
      <c r="J1689" s="2" t="s">
        <v>2660</v>
      </c>
      <c r="K1689" s="2" t="s">
        <v>788</v>
      </c>
      <c r="L1689" s="2" t="s">
        <v>4007</v>
      </c>
      <c r="M1689" s="3">
        <v>1</v>
      </c>
      <c r="N1689" s="3">
        <v>2</v>
      </c>
      <c r="P1689" s="2" t="s">
        <v>4008</v>
      </c>
    </row>
    <row r="1690" spans="1:16" ht="13">
      <c r="A1690" s="2" t="s">
        <v>0</v>
      </c>
      <c r="B1690" s="2" t="str">
        <f t="shared" si="26"/>
        <v>24-25 Academic Year</v>
      </c>
      <c r="C1690" s="2">
        <v>32</v>
      </c>
      <c r="D1690" s="2" t="s">
        <v>4005</v>
      </c>
      <c r="E1690" s="10">
        <v>45749</v>
      </c>
      <c r="F1690" s="2" t="s">
        <v>4006</v>
      </c>
      <c r="G1690" s="2" t="s">
        <v>131</v>
      </c>
      <c r="H1690" s="2" t="s">
        <v>6</v>
      </c>
      <c r="I1690" s="2" t="s">
        <v>593</v>
      </c>
      <c r="J1690" s="2" t="s">
        <v>2662</v>
      </c>
      <c r="K1690" s="2" t="s">
        <v>1091</v>
      </c>
      <c r="L1690" s="2" t="s">
        <v>4009</v>
      </c>
      <c r="M1690" s="3">
        <v>1</v>
      </c>
      <c r="N1690" s="3">
        <v>2</v>
      </c>
      <c r="P1690" s="2" t="s">
        <v>4010</v>
      </c>
    </row>
    <row r="1691" spans="1:16" ht="13">
      <c r="A1691" s="2" t="s">
        <v>0</v>
      </c>
      <c r="B1691" s="2" t="str">
        <f t="shared" si="26"/>
        <v>24-25 Academic Year</v>
      </c>
      <c r="C1691" s="2">
        <v>32</v>
      </c>
      <c r="D1691" s="2" t="s">
        <v>4005</v>
      </c>
      <c r="E1691" s="10">
        <v>45749</v>
      </c>
      <c r="F1691" s="2" t="s">
        <v>4006</v>
      </c>
      <c r="G1691" s="2" t="s">
        <v>131</v>
      </c>
      <c r="H1691" s="2" t="s">
        <v>6</v>
      </c>
      <c r="I1691" s="2" t="s">
        <v>593</v>
      </c>
      <c r="J1691" s="2" t="s">
        <v>2664</v>
      </c>
      <c r="K1691" s="2" t="s">
        <v>1041</v>
      </c>
      <c r="L1691" s="2" t="s">
        <v>4011</v>
      </c>
      <c r="M1691" s="3">
        <v>1</v>
      </c>
      <c r="N1691" s="3">
        <v>2</v>
      </c>
      <c r="P1691" s="2" t="s">
        <v>4012</v>
      </c>
    </row>
    <row r="1692" spans="1:16" ht="13">
      <c r="A1692" s="2" t="s">
        <v>0</v>
      </c>
      <c r="B1692" s="2" t="str">
        <f t="shared" si="26"/>
        <v>24-25 Academic Year</v>
      </c>
      <c r="C1692" s="2">
        <v>32</v>
      </c>
      <c r="D1692" s="2" t="s">
        <v>4005</v>
      </c>
      <c r="E1692" s="10">
        <v>45749</v>
      </c>
      <c r="F1692" s="2" t="s">
        <v>4006</v>
      </c>
      <c r="G1692" s="2" t="s">
        <v>131</v>
      </c>
      <c r="H1692" s="2" t="s">
        <v>6</v>
      </c>
      <c r="I1692" s="2" t="s">
        <v>593</v>
      </c>
      <c r="J1692" s="2" t="s">
        <v>2666</v>
      </c>
      <c r="K1692" s="2" t="s">
        <v>803</v>
      </c>
      <c r="L1692" s="2" t="s">
        <v>78</v>
      </c>
      <c r="M1692" s="3">
        <v>3</v>
      </c>
      <c r="N1692" s="3">
        <v>1</v>
      </c>
      <c r="P1692" s="2" t="s">
        <v>4449</v>
      </c>
    </row>
    <row r="1693" spans="1:16" ht="13">
      <c r="A1693" s="2" t="s">
        <v>0</v>
      </c>
      <c r="B1693" s="2" t="str">
        <f t="shared" si="26"/>
        <v>24-25 Academic Year</v>
      </c>
      <c r="C1693" s="2">
        <v>32</v>
      </c>
      <c r="D1693" s="2" t="s">
        <v>4005</v>
      </c>
      <c r="E1693" s="10">
        <v>45749</v>
      </c>
      <c r="F1693" s="2" t="s">
        <v>4006</v>
      </c>
      <c r="G1693" s="2" t="s">
        <v>131</v>
      </c>
      <c r="H1693" s="2" t="s">
        <v>6</v>
      </c>
      <c r="I1693" s="2" t="s">
        <v>593</v>
      </c>
      <c r="J1693" s="2" t="s">
        <v>4450</v>
      </c>
      <c r="K1693" s="2" t="s">
        <v>2138</v>
      </c>
      <c r="L1693" s="2" t="s">
        <v>2139</v>
      </c>
      <c r="M1693" s="3">
        <v>3</v>
      </c>
      <c r="N1693" s="3">
        <v>2</v>
      </c>
      <c r="P1693" s="2" t="s">
        <v>4451</v>
      </c>
    </row>
    <row r="1694" spans="1:16" ht="13">
      <c r="A1694" s="2" t="s">
        <v>0</v>
      </c>
      <c r="B1694" s="2" t="str">
        <f t="shared" si="26"/>
        <v>24-25 Academic Year</v>
      </c>
      <c r="C1694" s="2">
        <v>32</v>
      </c>
      <c r="D1694" s="2" t="s">
        <v>4005</v>
      </c>
      <c r="E1694" s="10">
        <v>45749</v>
      </c>
      <c r="F1694" s="2" t="s">
        <v>4006</v>
      </c>
      <c r="G1694" s="2" t="s">
        <v>131</v>
      </c>
      <c r="H1694" s="2" t="s">
        <v>6</v>
      </c>
      <c r="I1694" s="2" t="s">
        <v>593</v>
      </c>
      <c r="J1694" s="2" t="s">
        <v>4452</v>
      </c>
      <c r="K1694" s="2" t="s">
        <v>1081</v>
      </c>
      <c r="L1694" s="2" t="s">
        <v>4453</v>
      </c>
      <c r="M1694" s="3">
        <v>3</v>
      </c>
      <c r="N1694" s="3">
        <v>2</v>
      </c>
      <c r="P1694" s="2" t="s">
        <v>4454</v>
      </c>
    </row>
    <row r="1695" spans="1:16" ht="13">
      <c r="A1695" s="2" t="s">
        <v>0</v>
      </c>
      <c r="B1695" s="2" t="str">
        <f t="shared" si="26"/>
        <v>24-25 Academic Year</v>
      </c>
      <c r="C1695" s="2">
        <v>33</v>
      </c>
      <c r="D1695" s="2" t="s">
        <v>4013</v>
      </c>
      <c r="E1695" s="10">
        <v>45750</v>
      </c>
      <c r="F1695" s="2" t="s">
        <v>4014</v>
      </c>
      <c r="G1695" s="2" t="s">
        <v>131</v>
      </c>
      <c r="H1695" s="2" t="s">
        <v>6</v>
      </c>
      <c r="I1695" s="2" t="s">
        <v>434</v>
      </c>
      <c r="J1695" s="2" t="s">
        <v>2679</v>
      </c>
      <c r="K1695" s="2" t="s">
        <v>1077</v>
      </c>
      <c r="L1695" s="2" t="s">
        <v>398</v>
      </c>
      <c r="M1695" s="3">
        <v>1</v>
      </c>
      <c r="N1695" s="3">
        <v>2</v>
      </c>
      <c r="P1695" s="2" t="s">
        <v>4015</v>
      </c>
    </row>
    <row r="1696" spans="1:16" ht="13">
      <c r="A1696" s="2" t="s">
        <v>0</v>
      </c>
      <c r="B1696" s="2" t="str">
        <f t="shared" si="26"/>
        <v>24-25 Academic Year</v>
      </c>
      <c r="C1696" s="2">
        <v>33</v>
      </c>
      <c r="D1696" s="2" t="s">
        <v>4013</v>
      </c>
      <c r="E1696" s="10">
        <v>45750</v>
      </c>
      <c r="F1696" s="2" t="s">
        <v>4014</v>
      </c>
      <c r="G1696" s="2" t="s">
        <v>131</v>
      </c>
      <c r="H1696" s="2" t="s">
        <v>6</v>
      </c>
      <c r="I1696" s="2" t="s">
        <v>434</v>
      </c>
      <c r="J1696" s="2" t="s">
        <v>2681</v>
      </c>
      <c r="K1696" s="2" t="s">
        <v>312</v>
      </c>
      <c r="L1696" s="2" t="s">
        <v>4016</v>
      </c>
      <c r="M1696" s="3">
        <v>1</v>
      </c>
      <c r="N1696" s="3">
        <v>2</v>
      </c>
      <c r="P1696" s="2" t="s">
        <v>4017</v>
      </c>
    </row>
    <row r="1697" spans="1:16" ht="13">
      <c r="A1697" s="2" t="s">
        <v>0</v>
      </c>
      <c r="B1697" s="2" t="str">
        <f t="shared" si="26"/>
        <v>24-25 Academic Year</v>
      </c>
      <c r="C1697" s="2">
        <v>33</v>
      </c>
      <c r="D1697" s="2" t="s">
        <v>4013</v>
      </c>
      <c r="E1697" s="10">
        <v>45750</v>
      </c>
      <c r="F1697" s="2" t="s">
        <v>4014</v>
      </c>
      <c r="G1697" s="2" t="s">
        <v>131</v>
      </c>
      <c r="H1697" s="2" t="s">
        <v>6</v>
      </c>
      <c r="I1697" s="2" t="s">
        <v>434</v>
      </c>
      <c r="J1697" s="2" t="s">
        <v>2684</v>
      </c>
      <c r="K1697" s="2" t="s">
        <v>371</v>
      </c>
      <c r="L1697" s="2" t="s">
        <v>372</v>
      </c>
      <c r="M1697" s="3">
        <v>1</v>
      </c>
      <c r="N1697" s="3">
        <v>2</v>
      </c>
      <c r="P1697" s="2" t="s">
        <v>4018</v>
      </c>
    </row>
    <row r="1698" spans="1:16" ht="13">
      <c r="A1698" s="2" t="s">
        <v>0</v>
      </c>
      <c r="B1698" s="2" t="str">
        <f t="shared" si="26"/>
        <v>24-25 Academic Year</v>
      </c>
      <c r="C1698" s="2">
        <v>33</v>
      </c>
      <c r="D1698" s="2" t="s">
        <v>4013</v>
      </c>
      <c r="E1698" s="10">
        <v>45750</v>
      </c>
      <c r="F1698" s="2" t="s">
        <v>4014</v>
      </c>
      <c r="G1698" s="2" t="s">
        <v>131</v>
      </c>
      <c r="H1698" s="2" t="s">
        <v>6</v>
      </c>
      <c r="I1698" s="2" t="s">
        <v>434</v>
      </c>
      <c r="J1698" s="2" t="s">
        <v>2686</v>
      </c>
      <c r="K1698" s="2" t="s">
        <v>59</v>
      </c>
      <c r="L1698" s="2" t="s">
        <v>60</v>
      </c>
      <c r="M1698" s="3">
        <v>1</v>
      </c>
      <c r="N1698" s="3">
        <v>2</v>
      </c>
      <c r="P1698" s="2" t="s">
        <v>3929</v>
      </c>
    </row>
    <row r="1699" spans="1:16" ht="13">
      <c r="A1699" s="2" t="s">
        <v>0</v>
      </c>
      <c r="B1699" s="2" t="str">
        <f t="shared" si="26"/>
        <v>24-25 Academic Year</v>
      </c>
      <c r="C1699" s="2">
        <v>33</v>
      </c>
      <c r="D1699" s="2" t="s">
        <v>4013</v>
      </c>
      <c r="E1699" s="10">
        <v>45750</v>
      </c>
      <c r="F1699" s="2" t="s">
        <v>4014</v>
      </c>
      <c r="G1699" s="2" t="s">
        <v>131</v>
      </c>
      <c r="H1699" s="2" t="s">
        <v>6</v>
      </c>
      <c r="I1699" s="2" t="s">
        <v>434</v>
      </c>
      <c r="J1699" s="2" t="s">
        <v>2688</v>
      </c>
      <c r="K1699" s="2" t="s">
        <v>4341</v>
      </c>
      <c r="L1699" s="2" t="s">
        <v>4342</v>
      </c>
      <c r="M1699" s="3">
        <v>2</v>
      </c>
      <c r="N1699" s="3">
        <v>2</v>
      </c>
      <c r="P1699" s="2" t="s">
        <v>4343</v>
      </c>
    </row>
    <row r="1700" spans="1:16" ht="13">
      <c r="A1700" s="2" t="s">
        <v>0</v>
      </c>
      <c r="B1700" s="2" t="str">
        <f t="shared" si="26"/>
        <v>24-25 Academic Year</v>
      </c>
      <c r="C1700" s="2">
        <v>33</v>
      </c>
      <c r="D1700" s="2" t="s">
        <v>4013</v>
      </c>
      <c r="E1700" s="10">
        <v>45750</v>
      </c>
      <c r="F1700" s="2" t="s">
        <v>4014</v>
      </c>
      <c r="G1700" s="2" t="s">
        <v>131</v>
      </c>
      <c r="H1700" s="2" t="s">
        <v>6</v>
      </c>
      <c r="I1700" s="2" t="s">
        <v>434</v>
      </c>
      <c r="J1700" s="2" t="s">
        <v>3784</v>
      </c>
      <c r="K1700" s="2" t="s">
        <v>4455</v>
      </c>
      <c r="L1700" s="2" t="s">
        <v>4456</v>
      </c>
      <c r="M1700" s="3">
        <v>3</v>
      </c>
      <c r="N1700" s="3">
        <v>2</v>
      </c>
      <c r="P1700" s="2" t="s">
        <v>4457</v>
      </c>
    </row>
    <row r="1701" spans="1:16" ht="13">
      <c r="A1701" s="2" t="s">
        <v>0</v>
      </c>
      <c r="B1701" s="2" t="str">
        <f t="shared" si="26"/>
        <v>24-25 Academic Year</v>
      </c>
      <c r="C1701" s="2">
        <v>33</v>
      </c>
      <c r="D1701" s="2" t="s">
        <v>4013</v>
      </c>
      <c r="E1701" s="10">
        <v>45750</v>
      </c>
      <c r="F1701" s="2" t="s">
        <v>4014</v>
      </c>
      <c r="G1701" s="2" t="s">
        <v>131</v>
      </c>
      <c r="H1701" s="2" t="s">
        <v>6</v>
      </c>
      <c r="I1701" s="2" t="s">
        <v>434</v>
      </c>
      <c r="J1701" s="2" t="s">
        <v>3786</v>
      </c>
      <c r="K1701" s="2" t="s">
        <v>4578</v>
      </c>
      <c r="L1701" s="2" t="s">
        <v>4579</v>
      </c>
      <c r="M1701" s="3">
        <v>999</v>
      </c>
      <c r="N1701" s="3">
        <v>999</v>
      </c>
      <c r="P1701" s="2" t="s">
        <v>4580</v>
      </c>
    </row>
    <row r="1702" spans="1:16" ht="13">
      <c r="A1702" s="2" t="s">
        <v>0</v>
      </c>
      <c r="B1702" s="2" t="str">
        <f t="shared" si="26"/>
        <v>24-25 Academic Year</v>
      </c>
      <c r="C1702" s="2">
        <v>34</v>
      </c>
      <c r="D1702" s="2" t="s">
        <v>1368</v>
      </c>
      <c r="E1702" s="10">
        <v>45751</v>
      </c>
      <c r="F1702" s="2" t="s">
        <v>131</v>
      </c>
      <c r="G1702" s="2" t="s">
        <v>131</v>
      </c>
      <c r="H1702" s="2" t="s">
        <v>6</v>
      </c>
      <c r="J1702" s="2" t="s">
        <v>2669</v>
      </c>
      <c r="K1702" s="2" t="s">
        <v>371</v>
      </c>
      <c r="L1702" s="2" t="s">
        <v>372</v>
      </c>
      <c r="M1702" s="3">
        <v>1</v>
      </c>
      <c r="N1702" s="3">
        <v>2</v>
      </c>
      <c r="P1702" s="2" t="s">
        <v>4019</v>
      </c>
    </row>
    <row r="1703" spans="1:16" ht="13">
      <c r="A1703" s="2" t="s">
        <v>0</v>
      </c>
      <c r="B1703" s="2" t="str">
        <f t="shared" si="26"/>
        <v>24-25 Academic Year</v>
      </c>
      <c r="C1703" s="2">
        <v>34</v>
      </c>
      <c r="D1703" s="2" t="s">
        <v>1368</v>
      </c>
      <c r="E1703" s="10">
        <v>45751</v>
      </c>
      <c r="F1703" s="2" t="s">
        <v>131</v>
      </c>
      <c r="G1703" s="2" t="s">
        <v>131</v>
      </c>
      <c r="H1703" s="2" t="s">
        <v>6</v>
      </c>
      <c r="J1703" s="2" t="s">
        <v>2671</v>
      </c>
      <c r="K1703" s="2" t="s">
        <v>26</v>
      </c>
      <c r="L1703" s="2" t="s">
        <v>4020</v>
      </c>
      <c r="M1703" s="3">
        <v>1</v>
      </c>
      <c r="N1703" s="3">
        <v>2</v>
      </c>
      <c r="P1703" s="2" t="s">
        <v>4021</v>
      </c>
    </row>
    <row r="1704" spans="1:16" ht="13">
      <c r="A1704" s="2" t="s">
        <v>0</v>
      </c>
      <c r="B1704" s="2" t="str">
        <f t="shared" si="26"/>
        <v>24-25 Academic Year</v>
      </c>
      <c r="C1704" s="2">
        <v>34</v>
      </c>
      <c r="D1704" s="2" t="s">
        <v>1368</v>
      </c>
      <c r="E1704" s="10">
        <v>45751</v>
      </c>
      <c r="F1704" s="2" t="s">
        <v>131</v>
      </c>
      <c r="G1704" s="2" t="s">
        <v>131</v>
      </c>
      <c r="H1704" s="2" t="s">
        <v>6</v>
      </c>
      <c r="J1704" s="2" t="s">
        <v>2674</v>
      </c>
      <c r="K1704" s="2" t="s">
        <v>4458</v>
      </c>
      <c r="L1704" s="2" t="s">
        <v>4459</v>
      </c>
      <c r="M1704" s="3">
        <v>3</v>
      </c>
      <c r="N1704" s="3">
        <v>1</v>
      </c>
      <c r="P1704" s="2" t="s">
        <v>4460</v>
      </c>
    </row>
    <row r="1705" spans="1:16" ht="13">
      <c r="A1705" s="2" t="s">
        <v>0</v>
      </c>
      <c r="B1705" s="2" t="str">
        <f t="shared" si="26"/>
        <v>24-25 Academic Year</v>
      </c>
      <c r="C1705" s="2">
        <v>35</v>
      </c>
      <c r="D1705" s="2" t="s">
        <v>4022</v>
      </c>
      <c r="E1705" s="10">
        <v>45751</v>
      </c>
      <c r="F1705" s="2" t="s">
        <v>4023</v>
      </c>
      <c r="G1705" s="2" t="s">
        <v>131</v>
      </c>
      <c r="H1705" s="2" t="s">
        <v>6</v>
      </c>
      <c r="I1705" s="2" t="s">
        <v>570</v>
      </c>
      <c r="J1705" s="2" t="s">
        <v>2692</v>
      </c>
      <c r="K1705" s="2" t="s">
        <v>513</v>
      </c>
      <c r="L1705" s="2" t="s">
        <v>3364</v>
      </c>
      <c r="M1705" s="3">
        <v>1</v>
      </c>
      <c r="N1705" s="3">
        <v>2</v>
      </c>
      <c r="P1705" s="2" t="s">
        <v>4024</v>
      </c>
    </row>
    <row r="1706" spans="1:16" ht="13">
      <c r="A1706" s="2" t="s">
        <v>0</v>
      </c>
      <c r="B1706" s="2" t="str">
        <f t="shared" si="26"/>
        <v>24-25 Academic Year</v>
      </c>
      <c r="C1706" s="2">
        <v>35</v>
      </c>
      <c r="D1706" s="2" t="s">
        <v>4022</v>
      </c>
      <c r="E1706" s="10">
        <v>45751</v>
      </c>
      <c r="F1706" s="2" t="s">
        <v>4023</v>
      </c>
      <c r="G1706" s="2" t="s">
        <v>131</v>
      </c>
      <c r="H1706" s="2" t="s">
        <v>6</v>
      </c>
      <c r="I1706" s="2" t="s">
        <v>570</v>
      </c>
      <c r="J1706" s="2" t="s">
        <v>2694</v>
      </c>
      <c r="K1706" s="2" t="s">
        <v>963</v>
      </c>
      <c r="L1706" s="2" t="s">
        <v>4025</v>
      </c>
      <c r="M1706" s="3">
        <v>1</v>
      </c>
      <c r="N1706" s="3">
        <v>2</v>
      </c>
      <c r="P1706" s="2" t="s">
        <v>4026</v>
      </c>
    </row>
    <row r="1707" spans="1:16" ht="13">
      <c r="A1707" s="2" t="s">
        <v>0</v>
      </c>
      <c r="B1707" s="2" t="str">
        <f t="shared" si="26"/>
        <v>24-25 Academic Year</v>
      </c>
      <c r="C1707" s="2">
        <v>35</v>
      </c>
      <c r="D1707" s="2" t="s">
        <v>4022</v>
      </c>
      <c r="E1707" s="10">
        <v>45751</v>
      </c>
      <c r="F1707" s="2" t="s">
        <v>4023</v>
      </c>
      <c r="G1707" s="2" t="s">
        <v>131</v>
      </c>
      <c r="H1707" s="2" t="s">
        <v>6</v>
      </c>
      <c r="I1707" s="2" t="s">
        <v>570</v>
      </c>
      <c r="J1707" s="2" t="s">
        <v>2696</v>
      </c>
      <c r="K1707" s="2" t="s">
        <v>1127</v>
      </c>
      <c r="L1707" s="2" t="s">
        <v>3953</v>
      </c>
      <c r="M1707" s="3">
        <v>1</v>
      </c>
      <c r="N1707" s="3">
        <v>2</v>
      </c>
      <c r="P1707" s="2" t="s">
        <v>4027</v>
      </c>
    </row>
    <row r="1708" spans="1:16" ht="13">
      <c r="A1708" s="2" t="s">
        <v>0</v>
      </c>
      <c r="B1708" s="2" t="str">
        <f t="shared" si="26"/>
        <v>24-25 Academic Year</v>
      </c>
      <c r="C1708" s="2">
        <v>35</v>
      </c>
      <c r="D1708" s="2" t="s">
        <v>4022</v>
      </c>
      <c r="E1708" s="10">
        <v>45751</v>
      </c>
      <c r="F1708" s="2" t="s">
        <v>4023</v>
      </c>
      <c r="G1708" s="2" t="s">
        <v>131</v>
      </c>
      <c r="H1708" s="2" t="s">
        <v>6</v>
      </c>
      <c r="I1708" s="2" t="s">
        <v>570</v>
      </c>
      <c r="J1708" s="2" t="s">
        <v>4028</v>
      </c>
      <c r="K1708" s="2" t="s">
        <v>969</v>
      </c>
      <c r="L1708" s="2" t="s">
        <v>4029</v>
      </c>
      <c r="M1708" s="3">
        <v>1</v>
      </c>
      <c r="N1708" s="3">
        <v>2</v>
      </c>
      <c r="P1708" s="2" t="s">
        <v>4030</v>
      </c>
    </row>
    <row r="1709" spans="1:16" ht="13">
      <c r="A1709" s="2" t="s">
        <v>0</v>
      </c>
      <c r="B1709" s="2" t="str">
        <f t="shared" si="26"/>
        <v>24-25 Academic Year</v>
      </c>
      <c r="C1709" s="2">
        <v>35</v>
      </c>
      <c r="D1709" s="2" t="s">
        <v>4022</v>
      </c>
      <c r="E1709" s="10">
        <v>45751</v>
      </c>
      <c r="F1709" s="2" t="s">
        <v>4023</v>
      </c>
      <c r="G1709" s="2" t="s">
        <v>131</v>
      </c>
      <c r="H1709" s="2" t="s">
        <v>6</v>
      </c>
      <c r="I1709" s="2" t="s">
        <v>570</v>
      </c>
      <c r="J1709" s="2" t="s">
        <v>4031</v>
      </c>
      <c r="K1709" s="2" t="s">
        <v>513</v>
      </c>
      <c r="L1709" s="2" t="s">
        <v>3364</v>
      </c>
      <c r="M1709" s="3">
        <v>1</v>
      </c>
      <c r="N1709" s="3">
        <v>2</v>
      </c>
      <c r="P1709" s="2" t="s">
        <v>4032</v>
      </c>
    </row>
    <row r="1710" spans="1:16" ht="13">
      <c r="A1710" s="2" t="s">
        <v>0</v>
      </c>
      <c r="B1710" s="2" t="str">
        <f t="shared" si="26"/>
        <v>24-25 Academic Year</v>
      </c>
      <c r="C1710" s="2">
        <v>35</v>
      </c>
      <c r="D1710" s="2" t="s">
        <v>4022</v>
      </c>
      <c r="E1710" s="10">
        <v>45751</v>
      </c>
      <c r="F1710" s="2" t="s">
        <v>4023</v>
      </c>
      <c r="G1710" s="2" t="s">
        <v>131</v>
      </c>
      <c r="H1710" s="2" t="s">
        <v>6</v>
      </c>
      <c r="I1710" s="2" t="s">
        <v>570</v>
      </c>
      <c r="J1710" s="2" t="s">
        <v>4033</v>
      </c>
      <c r="K1710" s="2" t="s">
        <v>580</v>
      </c>
      <c r="L1710" s="2" t="s">
        <v>4034</v>
      </c>
      <c r="M1710" s="3">
        <v>1</v>
      </c>
      <c r="N1710" s="3">
        <v>2</v>
      </c>
      <c r="P1710" s="2" t="s">
        <v>4035</v>
      </c>
    </row>
    <row r="1711" spans="1:16" ht="13">
      <c r="A1711" s="2" t="s">
        <v>0</v>
      </c>
      <c r="B1711" s="2" t="str">
        <f t="shared" si="26"/>
        <v>24-25 Academic Year</v>
      </c>
      <c r="C1711" s="2">
        <v>35</v>
      </c>
      <c r="D1711" s="2" t="s">
        <v>4022</v>
      </c>
      <c r="E1711" s="10">
        <v>45751</v>
      </c>
      <c r="F1711" s="2" t="s">
        <v>4023</v>
      </c>
      <c r="G1711" s="2" t="s">
        <v>131</v>
      </c>
      <c r="H1711" s="2" t="s">
        <v>6</v>
      </c>
      <c r="I1711" s="2" t="s">
        <v>570</v>
      </c>
      <c r="J1711" s="2" t="s">
        <v>4344</v>
      </c>
      <c r="K1711" s="2" t="s">
        <v>4345</v>
      </c>
      <c r="L1711" s="2" t="s">
        <v>4346</v>
      </c>
      <c r="M1711" s="3">
        <v>2</v>
      </c>
      <c r="N1711" s="3">
        <v>1</v>
      </c>
      <c r="P1711" s="2" t="s">
        <v>4347</v>
      </c>
    </row>
    <row r="1712" spans="1:16" ht="13">
      <c r="A1712" s="2" t="s">
        <v>0</v>
      </c>
      <c r="B1712" s="2" t="str">
        <f t="shared" si="26"/>
        <v>24-25 Academic Year</v>
      </c>
      <c r="C1712" s="2">
        <v>36</v>
      </c>
      <c r="D1712" s="2" t="s">
        <v>953</v>
      </c>
      <c r="E1712" s="10">
        <v>45753</v>
      </c>
      <c r="F1712" s="2" t="s">
        <v>4348</v>
      </c>
      <c r="G1712" s="2" t="s">
        <v>131</v>
      </c>
      <c r="H1712" s="2" t="s">
        <v>6</v>
      </c>
      <c r="I1712" s="2" t="s">
        <v>2037</v>
      </c>
      <c r="J1712" s="2" t="s">
        <v>2699</v>
      </c>
      <c r="K1712" s="2" t="s">
        <v>4349</v>
      </c>
      <c r="L1712" s="2" t="s">
        <v>4350</v>
      </c>
      <c r="M1712" s="3">
        <v>2</v>
      </c>
      <c r="N1712" s="3">
        <v>1</v>
      </c>
      <c r="P1712" s="2" t="s">
        <v>3724</v>
      </c>
    </row>
    <row r="1713" spans="1:16" ht="13">
      <c r="A1713" s="2" t="s">
        <v>0</v>
      </c>
      <c r="B1713" s="2" t="str">
        <f t="shared" si="26"/>
        <v>24-25 Academic Year</v>
      </c>
      <c r="C1713" s="2">
        <v>36</v>
      </c>
      <c r="D1713" s="2" t="s">
        <v>953</v>
      </c>
      <c r="E1713" s="10">
        <v>45753</v>
      </c>
      <c r="F1713" s="2" t="s">
        <v>4348</v>
      </c>
      <c r="G1713" s="2" t="s">
        <v>131</v>
      </c>
      <c r="H1713" s="2" t="s">
        <v>6</v>
      </c>
      <c r="I1713" s="2" t="s">
        <v>2037</v>
      </c>
      <c r="J1713" s="2" t="s">
        <v>2707</v>
      </c>
      <c r="K1713" s="2" t="s">
        <v>4349</v>
      </c>
      <c r="L1713" s="2" t="s">
        <v>4350</v>
      </c>
      <c r="M1713" s="3">
        <v>2</v>
      </c>
      <c r="N1713" s="3">
        <v>1</v>
      </c>
      <c r="P1713" s="2" t="s">
        <v>4351</v>
      </c>
    </row>
    <row r="1714" spans="1:16" ht="13">
      <c r="A1714" s="2" t="s">
        <v>0</v>
      </c>
      <c r="B1714" s="2" t="str">
        <f t="shared" si="26"/>
        <v>24-25 Academic Year</v>
      </c>
      <c r="C1714" s="2">
        <v>36</v>
      </c>
      <c r="D1714" s="2" t="s">
        <v>953</v>
      </c>
      <c r="E1714" s="10">
        <v>45753</v>
      </c>
      <c r="F1714" s="2" t="s">
        <v>4348</v>
      </c>
      <c r="G1714" s="2" t="s">
        <v>131</v>
      </c>
      <c r="H1714" s="2" t="s">
        <v>6</v>
      </c>
      <c r="I1714" s="2" t="s">
        <v>2037</v>
      </c>
      <c r="J1714" s="2" t="s">
        <v>2709</v>
      </c>
      <c r="K1714" s="2" t="s">
        <v>4349</v>
      </c>
      <c r="L1714" s="2" t="s">
        <v>4350</v>
      </c>
      <c r="M1714" s="3">
        <v>2</v>
      </c>
      <c r="N1714" s="3">
        <v>1</v>
      </c>
      <c r="P1714" s="2" t="s">
        <v>4352</v>
      </c>
    </row>
    <row r="1715" spans="1:16" ht="13">
      <c r="A1715" s="2" t="s">
        <v>0</v>
      </c>
      <c r="B1715" s="2" t="str">
        <f t="shared" si="26"/>
        <v>24-25 Academic Year</v>
      </c>
      <c r="C1715" s="2">
        <v>36</v>
      </c>
      <c r="D1715" s="2" t="s">
        <v>953</v>
      </c>
      <c r="E1715" s="10">
        <v>45753</v>
      </c>
      <c r="F1715" s="2" t="s">
        <v>4348</v>
      </c>
      <c r="G1715" s="2" t="s">
        <v>131</v>
      </c>
      <c r="H1715" s="2" t="s">
        <v>6</v>
      </c>
      <c r="I1715" s="2" t="s">
        <v>2037</v>
      </c>
      <c r="J1715" s="2" t="s">
        <v>2711</v>
      </c>
      <c r="K1715" s="2" t="s">
        <v>4349</v>
      </c>
      <c r="L1715" s="2" t="s">
        <v>4350</v>
      </c>
      <c r="M1715" s="3">
        <v>2</v>
      </c>
      <c r="N1715" s="3">
        <v>1</v>
      </c>
      <c r="P1715" s="2" t="s">
        <v>4353</v>
      </c>
    </row>
    <row r="1716" spans="1:16" ht="13">
      <c r="A1716" s="2" t="s">
        <v>0</v>
      </c>
      <c r="B1716" s="2" t="str">
        <f t="shared" si="26"/>
        <v>24-25 Academic Year</v>
      </c>
      <c r="C1716" s="2">
        <v>36</v>
      </c>
      <c r="D1716" s="2" t="s">
        <v>953</v>
      </c>
      <c r="E1716" s="10">
        <v>45753</v>
      </c>
      <c r="F1716" s="2" t="s">
        <v>4348</v>
      </c>
      <c r="G1716" s="2" t="s">
        <v>131</v>
      </c>
      <c r="H1716" s="2" t="s">
        <v>6</v>
      </c>
      <c r="I1716" s="2" t="s">
        <v>2037</v>
      </c>
      <c r="J1716" s="2" t="s">
        <v>2713</v>
      </c>
      <c r="K1716" s="2" t="s">
        <v>4349</v>
      </c>
      <c r="L1716" s="2" t="s">
        <v>4350</v>
      </c>
      <c r="M1716" s="3">
        <v>2</v>
      </c>
      <c r="N1716" s="3">
        <v>1</v>
      </c>
      <c r="P1716" s="2" t="s">
        <v>4354</v>
      </c>
    </row>
    <row r="1717" spans="1:16" ht="13">
      <c r="A1717" s="2" t="s">
        <v>0</v>
      </c>
      <c r="B1717" s="2" t="str">
        <f t="shared" si="26"/>
        <v>24-25 Academic Year</v>
      </c>
      <c r="C1717" s="2">
        <v>36</v>
      </c>
      <c r="D1717" s="2" t="s">
        <v>953</v>
      </c>
      <c r="E1717" s="10">
        <v>45753</v>
      </c>
      <c r="F1717" s="2" t="s">
        <v>4348</v>
      </c>
      <c r="G1717" s="2" t="s">
        <v>131</v>
      </c>
      <c r="H1717" s="2" t="s">
        <v>6</v>
      </c>
      <c r="I1717" s="2" t="s">
        <v>2037</v>
      </c>
      <c r="J1717" s="2" t="s">
        <v>2716</v>
      </c>
      <c r="K1717" s="2" t="s">
        <v>4349</v>
      </c>
      <c r="L1717" s="2" t="s">
        <v>4350</v>
      </c>
      <c r="M1717" s="3">
        <v>2</v>
      </c>
      <c r="N1717" s="3">
        <v>1</v>
      </c>
      <c r="P1717" s="2" t="s">
        <v>4355</v>
      </c>
    </row>
    <row r="1718" spans="1:16" ht="13">
      <c r="A1718" s="2" t="s">
        <v>0</v>
      </c>
      <c r="B1718" s="2" t="str">
        <f t="shared" si="26"/>
        <v>24-25 Academic Year</v>
      </c>
      <c r="C1718" s="2">
        <v>37</v>
      </c>
      <c r="D1718" s="2" t="s">
        <v>4036</v>
      </c>
      <c r="E1718" s="10">
        <v>45753</v>
      </c>
      <c r="F1718" s="2" t="s">
        <v>4037</v>
      </c>
      <c r="G1718" s="2" t="s">
        <v>131</v>
      </c>
      <c r="H1718" s="2" t="s">
        <v>6</v>
      </c>
      <c r="I1718" s="2" t="s">
        <v>827</v>
      </c>
      <c r="J1718" s="2" t="s">
        <v>2731</v>
      </c>
      <c r="K1718" s="2" t="s">
        <v>4038</v>
      </c>
      <c r="L1718" s="2" t="s">
        <v>4039</v>
      </c>
      <c r="M1718" s="3">
        <v>1</v>
      </c>
      <c r="N1718" s="3">
        <v>2</v>
      </c>
      <c r="P1718" s="2" t="s">
        <v>4040</v>
      </c>
    </row>
    <row r="1719" spans="1:16" ht="13">
      <c r="A1719" s="2" t="s">
        <v>0</v>
      </c>
      <c r="B1719" s="2" t="str">
        <f t="shared" si="26"/>
        <v>24-25 Academic Year</v>
      </c>
      <c r="C1719" s="2">
        <v>37</v>
      </c>
      <c r="D1719" s="2" t="s">
        <v>4036</v>
      </c>
      <c r="E1719" s="10">
        <v>45753</v>
      </c>
      <c r="F1719" s="2" t="s">
        <v>4037</v>
      </c>
      <c r="G1719" s="2" t="s">
        <v>131</v>
      </c>
      <c r="H1719" s="2" t="s">
        <v>6</v>
      </c>
      <c r="I1719" s="2" t="s">
        <v>827</v>
      </c>
      <c r="J1719" s="2" t="s">
        <v>2733</v>
      </c>
      <c r="K1719" s="2" t="s">
        <v>670</v>
      </c>
      <c r="L1719" s="2" t="s">
        <v>403</v>
      </c>
      <c r="M1719" s="3">
        <v>1</v>
      </c>
      <c r="N1719" s="3">
        <v>2</v>
      </c>
      <c r="P1719" s="2" t="s">
        <v>4041</v>
      </c>
    </row>
    <row r="1720" spans="1:16" ht="13">
      <c r="A1720" s="2" t="s">
        <v>0</v>
      </c>
      <c r="B1720" s="2" t="str">
        <f t="shared" si="26"/>
        <v>24-25 Academic Year</v>
      </c>
      <c r="C1720" s="2">
        <v>37</v>
      </c>
      <c r="D1720" s="2" t="s">
        <v>4036</v>
      </c>
      <c r="E1720" s="10">
        <v>45753</v>
      </c>
      <c r="F1720" s="2" t="s">
        <v>4037</v>
      </c>
      <c r="G1720" s="2" t="s">
        <v>131</v>
      </c>
      <c r="H1720" s="2" t="s">
        <v>6</v>
      </c>
      <c r="I1720" s="2" t="s">
        <v>827</v>
      </c>
      <c r="J1720" s="2" t="s">
        <v>2736</v>
      </c>
      <c r="K1720" s="2" t="s">
        <v>4293</v>
      </c>
      <c r="L1720" s="2" t="s">
        <v>3356</v>
      </c>
      <c r="M1720" s="3">
        <v>2</v>
      </c>
      <c r="N1720" s="3">
        <v>1</v>
      </c>
      <c r="P1720" s="2" t="s">
        <v>4356</v>
      </c>
    </row>
    <row r="1721" spans="1:16" ht="13">
      <c r="A1721" s="2" t="s">
        <v>0</v>
      </c>
      <c r="B1721" s="2" t="str">
        <f t="shared" si="26"/>
        <v>24-25 Academic Year</v>
      </c>
      <c r="C1721" s="2">
        <v>38</v>
      </c>
      <c r="D1721" s="2" t="s">
        <v>4042</v>
      </c>
      <c r="E1721" s="10">
        <v>45753</v>
      </c>
      <c r="F1721" s="2" t="s">
        <v>4043</v>
      </c>
      <c r="G1721" s="2" t="s">
        <v>131</v>
      </c>
      <c r="H1721" s="2" t="s">
        <v>6</v>
      </c>
      <c r="I1721" s="2" t="s">
        <v>593</v>
      </c>
      <c r="J1721" s="2" t="s">
        <v>2745</v>
      </c>
      <c r="K1721" s="2" t="s">
        <v>1041</v>
      </c>
      <c r="L1721" s="2" t="s">
        <v>4011</v>
      </c>
      <c r="M1721" s="3">
        <v>1</v>
      </c>
      <c r="N1721" s="3">
        <v>2</v>
      </c>
      <c r="P1721" s="2" t="s">
        <v>4044</v>
      </c>
    </row>
    <row r="1722" spans="1:16" ht="13">
      <c r="A1722" s="2" t="s">
        <v>0</v>
      </c>
      <c r="B1722" s="2" t="str">
        <f t="shared" si="26"/>
        <v>24-25 Academic Year</v>
      </c>
      <c r="C1722" s="2">
        <v>38</v>
      </c>
      <c r="D1722" s="2" t="s">
        <v>4042</v>
      </c>
      <c r="E1722" s="10">
        <v>45753</v>
      </c>
      <c r="F1722" s="2" t="s">
        <v>4043</v>
      </c>
      <c r="G1722" s="2" t="s">
        <v>131</v>
      </c>
      <c r="H1722" s="2" t="s">
        <v>6</v>
      </c>
      <c r="I1722" s="2" t="s">
        <v>593</v>
      </c>
      <c r="J1722" s="2" t="s">
        <v>2747</v>
      </c>
      <c r="K1722" s="2" t="s">
        <v>2804</v>
      </c>
      <c r="L1722" s="2" t="s">
        <v>3083</v>
      </c>
      <c r="M1722" s="3">
        <v>1</v>
      </c>
      <c r="N1722" s="3">
        <v>2</v>
      </c>
      <c r="P1722" s="2" t="s">
        <v>4045</v>
      </c>
    </row>
    <row r="1723" spans="1:16" ht="13">
      <c r="A1723" s="2" t="s">
        <v>0</v>
      </c>
      <c r="B1723" s="2" t="str">
        <f t="shared" si="26"/>
        <v>24-25 Academic Year</v>
      </c>
      <c r="C1723" s="2">
        <v>38</v>
      </c>
      <c r="D1723" s="2" t="s">
        <v>4042</v>
      </c>
      <c r="E1723" s="10">
        <v>45753</v>
      </c>
      <c r="F1723" s="2" t="s">
        <v>4043</v>
      </c>
      <c r="G1723" s="2" t="s">
        <v>131</v>
      </c>
      <c r="H1723" s="2" t="s">
        <v>6</v>
      </c>
      <c r="I1723" s="2" t="s">
        <v>593</v>
      </c>
      <c r="J1723" s="2" t="s">
        <v>2749</v>
      </c>
      <c r="K1723" s="2" t="s">
        <v>4046</v>
      </c>
      <c r="L1723" s="2" t="s">
        <v>4047</v>
      </c>
      <c r="M1723" s="3">
        <v>1</v>
      </c>
      <c r="N1723" s="3">
        <v>2</v>
      </c>
      <c r="P1723" s="2" t="s">
        <v>4048</v>
      </c>
    </row>
    <row r="1724" spans="1:16" ht="13">
      <c r="A1724" s="2" t="s">
        <v>0</v>
      </c>
      <c r="B1724" s="2" t="str">
        <f t="shared" si="26"/>
        <v>24-25 Academic Year</v>
      </c>
      <c r="C1724" s="2">
        <v>38</v>
      </c>
      <c r="D1724" s="2" t="s">
        <v>4042</v>
      </c>
      <c r="E1724" s="10">
        <v>45753</v>
      </c>
      <c r="F1724" s="2" t="s">
        <v>4043</v>
      </c>
      <c r="G1724" s="2" t="s">
        <v>131</v>
      </c>
      <c r="H1724" s="2" t="s">
        <v>6</v>
      </c>
      <c r="I1724" s="2" t="s">
        <v>593</v>
      </c>
      <c r="J1724" s="2" t="s">
        <v>2753</v>
      </c>
      <c r="K1724" s="2" t="s">
        <v>803</v>
      </c>
      <c r="L1724" s="2" t="s">
        <v>78</v>
      </c>
      <c r="M1724" s="3">
        <v>3</v>
      </c>
      <c r="N1724" s="3">
        <v>1</v>
      </c>
      <c r="P1724" s="2" t="s">
        <v>4461</v>
      </c>
    </row>
    <row r="1725" spans="1:16" ht="13">
      <c r="A1725" s="2" t="s">
        <v>0</v>
      </c>
      <c r="B1725" s="2" t="str">
        <f t="shared" si="26"/>
        <v>24-25 Academic Year</v>
      </c>
      <c r="C1725" s="2">
        <v>38</v>
      </c>
      <c r="D1725" s="2" t="s">
        <v>4042</v>
      </c>
      <c r="E1725" s="10">
        <v>45753</v>
      </c>
      <c r="F1725" s="2" t="s">
        <v>4043</v>
      </c>
      <c r="G1725" s="2" t="s">
        <v>131</v>
      </c>
      <c r="H1725" s="2" t="s">
        <v>6</v>
      </c>
      <c r="I1725" s="2" t="s">
        <v>593</v>
      </c>
      <c r="J1725" s="2" t="s">
        <v>2755</v>
      </c>
      <c r="K1725" s="2" t="s">
        <v>2142</v>
      </c>
      <c r="L1725" s="2" t="s">
        <v>2143</v>
      </c>
      <c r="M1725" s="3">
        <v>3</v>
      </c>
      <c r="N1725" s="3">
        <v>2</v>
      </c>
      <c r="P1725" s="2" t="s">
        <v>4462</v>
      </c>
    </row>
    <row r="1726" spans="1:16" ht="13">
      <c r="A1726" s="2" t="s">
        <v>0</v>
      </c>
      <c r="B1726" s="2" t="str">
        <f t="shared" si="26"/>
        <v>24-25 Academic Year</v>
      </c>
      <c r="C1726" s="2">
        <v>39</v>
      </c>
      <c r="D1726" s="2" t="s">
        <v>3314</v>
      </c>
      <c r="E1726" s="10">
        <v>45753</v>
      </c>
      <c r="F1726" s="2" t="s">
        <v>4023</v>
      </c>
      <c r="G1726" s="2" t="s">
        <v>131</v>
      </c>
      <c r="H1726" s="2" t="s">
        <v>6</v>
      </c>
      <c r="I1726" s="2" t="s">
        <v>570</v>
      </c>
      <c r="J1726" s="2" t="s">
        <v>2760</v>
      </c>
      <c r="K1726" s="2" t="s">
        <v>4581</v>
      </c>
      <c r="L1726" s="2" t="s">
        <v>2040</v>
      </c>
      <c r="M1726" s="3">
        <v>999</v>
      </c>
      <c r="N1726" s="3">
        <v>999</v>
      </c>
      <c r="P1726" s="2" t="s">
        <v>4582</v>
      </c>
    </row>
    <row r="1727" spans="1:16" ht="13">
      <c r="A1727" s="2" t="s">
        <v>0</v>
      </c>
      <c r="B1727" s="2" t="str">
        <f t="shared" si="26"/>
        <v>24-25 Academic Year</v>
      </c>
      <c r="C1727" s="2">
        <v>39</v>
      </c>
      <c r="D1727" s="2" t="s">
        <v>3314</v>
      </c>
      <c r="E1727" s="10">
        <v>45753</v>
      </c>
      <c r="F1727" s="2" t="s">
        <v>4023</v>
      </c>
      <c r="G1727" s="2" t="s">
        <v>131</v>
      </c>
      <c r="H1727" s="2" t="s">
        <v>6</v>
      </c>
      <c r="I1727" s="2" t="s">
        <v>570</v>
      </c>
      <c r="J1727" s="2" t="s">
        <v>4592</v>
      </c>
      <c r="K1727" s="2" t="s">
        <v>4581</v>
      </c>
      <c r="L1727" s="2" t="s">
        <v>2040</v>
      </c>
      <c r="M1727" s="3">
        <v>999</v>
      </c>
      <c r="N1727" s="3">
        <v>999</v>
      </c>
      <c r="P1727" s="2" t="s">
        <v>3529</v>
      </c>
    </row>
    <row r="1728" spans="1:16" ht="13">
      <c r="A1728" s="2" t="s">
        <v>0</v>
      </c>
      <c r="B1728" s="2" t="str">
        <f t="shared" si="26"/>
        <v>24-25 Academic Year</v>
      </c>
      <c r="C1728" s="2">
        <v>39</v>
      </c>
      <c r="D1728" s="2" t="s">
        <v>3314</v>
      </c>
      <c r="E1728" s="10">
        <v>45753</v>
      </c>
      <c r="F1728" s="2" t="s">
        <v>4023</v>
      </c>
      <c r="G1728" s="2" t="s">
        <v>131</v>
      </c>
      <c r="H1728" s="2" t="s">
        <v>6</v>
      </c>
      <c r="I1728" s="2" t="s">
        <v>570</v>
      </c>
      <c r="J1728" s="2" t="s">
        <v>4643</v>
      </c>
      <c r="K1728" s="2" t="s">
        <v>4644</v>
      </c>
      <c r="L1728" s="2" t="s">
        <v>4645</v>
      </c>
      <c r="M1728" s="3">
        <v>999</v>
      </c>
      <c r="N1728" s="3">
        <v>999</v>
      </c>
      <c r="P1728" s="2" t="s">
        <v>4646</v>
      </c>
    </row>
    <row r="1729" spans="1:16" ht="13">
      <c r="A1729" s="2" t="s">
        <v>0</v>
      </c>
      <c r="B1729" s="2" t="str">
        <f t="shared" si="26"/>
        <v>24-25 Academic Year</v>
      </c>
      <c r="C1729" s="2">
        <v>39</v>
      </c>
      <c r="D1729" s="2" t="s">
        <v>3314</v>
      </c>
      <c r="E1729" s="10">
        <v>45753</v>
      </c>
      <c r="F1729" s="2" t="s">
        <v>4023</v>
      </c>
      <c r="G1729" s="2" t="s">
        <v>131</v>
      </c>
      <c r="H1729" s="2" t="s">
        <v>6</v>
      </c>
      <c r="I1729" s="2" t="s">
        <v>570</v>
      </c>
      <c r="J1729" s="2" t="s">
        <v>2763</v>
      </c>
      <c r="K1729" s="2" t="s">
        <v>4581</v>
      </c>
      <c r="L1729" s="2" t="s">
        <v>2040</v>
      </c>
      <c r="M1729" s="3">
        <v>999</v>
      </c>
      <c r="N1729" s="3">
        <v>999</v>
      </c>
      <c r="P1729" s="2" t="s">
        <v>4583</v>
      </c>
    </row>
    <row r="1730" spans="1:16" ht="13">
      <c r="A1730" s="2" t="s">
        <v>0</v>
      </c>
      <c r="B1730" s="2" t="str">
        <f t="shared" si="26"/>
        <v>24-25 Academic Year</v>
      </c>
      <c r="C1730" s="2">
        <v>39</v>
      </c>
      <c r="D1730" s="2" t="s">
        <v>3314</v>
      </c>
      <c r="E1730" s="10">
        <v>45753</v>
      </c>
      <c r="F1730" s="2" t="s">
        <v>4023</v>
      </c>
      <c r="G1730" s="2" t="s">
        <v>131</v>
      </c>
      <c r="H1730" s="2" t="s">
        <v>6</v>
      </c>
      <c r="I1730" s="2" t="s">
        <v>570</v>
      </c>
      <c r="J1730" s="2" t="s">
        <v>2767</v>
      </c>
      <c r="K1730" s="2" t="s">
        <v>4581</v>
      </c>
      <c r="L1730" s="2" t="s">
        <v>2040</v>
      </c>
      <c r="M1730" s="3">
        <v>999</v>
      </c>
      <c r="N1730" s="3">
        <v>999</v>
      </c>
      <c r="P1730" s="2" t="s">
        <v>4584</v>
      </c>
    </row>
    <row r="1731" spans="1:16" ht="13">
      <c r="A1731" s="2" t="s">
        <v>0</v>
      </c>
      <c r="B1731" s="2" t="str">
        <f t="shared" ref="B1731:B1794" si="27">RIGHT(TEXT(IF(LEFT(A1731,4)="Fall",VALUE(RIGHT(A1731,4)),VALUE(RIGHT(A1731,4))-1),"00"),2)
 &amp; "-" &amp;
 RIGHT(TEXT(IF(LEFT(A1731,4)="Fall",VALUE(RIGHT(A1731,4))+1,VALUE(RIGHT(A1731,4))),"00"),2)
 &amp; " Academic Year"</f>
        <v>24-25 Academic Year</v>
      </c>
      <c r="C1731" s="2">
        <v>39</v>
      </c>
      <c r="D1731" s="2" t="s">
        <v>3314</v>
      </c>
      <c r="E1731" s="10">
        <v>45753</v>
      </c>
      <c r="F1731" s="2" t="s">
        <v>4023</v>
      </c>
      <c r="G1731" s="2" t="s">
        <v>131</v>
      </c>
      <c r="H1731" s="2" t="s">
        <v>6</v>
      </c>
      <c r="I1731" s="2" t="s">
        <v>570</v>
      </c>
      <c r="J1731" s="2" t="s">
        <v>2770</v>
      </c>
      <c r="K1731" s="2" t="s">
        <v>4581</v>
      </c>
      <c r="L1731" s="2" t="s">
        <v>2040</v>
      </c>
      <c r="M1731" s="3">
        <v>999</v>
      </c>
      <c r="N1731" s="3">
        <v>999</v>
      </c>
      <c r="P1731" s="2" t="s">
        <v>4585</v>
      </c>
    </row>
    <row r="1732" spans="1:16" ht="13">
      <c r="A1732" s="2" t="s">
        <v>0</v>
      </c>
      <c r="B1732" s="2" t="str">
        <f t="shared" si="27"/>
        <v>24-25 Academic Year</v>
      </c>
      <c r="C1732" s="2">
        <v>39</v>
      </c>
      <c r="D1732" s="2" t="s">
        <v>3314</v>
      </c>
      <c r="E1732" s="10">
        <v>45753</v>
      </c>
      <c r="F1732" s="2" t="s">
        <v>4023</v>
      </c>
      <c r="G1732" s="2" t="s">
        <v>131</v>
      </c>
      <c r="H1732" s="2" t="s">
        <v>6</v>
      </c>
      <c r="I1732" s="2" t="s">
        <v>570</v>
      </c>
      <c r="J1732" s="2" t="s">
        <v>2774</v>
      </c>
      <c r="K1732" s="2" t="s">
        <v>4581</v>
      </c>
      <c r="L1732" s="2" t="s">
        <v>2040</v>
      </c>
      <c r="M1732" s="3">
        <v>999</v>
      </c>
      <c r="N1732" s="3">
        <v>999</v>
      </c>
      <c r="P1732" s="2" t="s">
        <v>4586</v>
      </c>
    </row>
    <row r="1733" spans="1:16" ht="13">
      <c r="A1733" s="2" t="s">
        <v>0</v>
      </c>
      <c r="B1733" s="2" t="str">
        <f t="shared" si="27"/>
        <v>24-25 Academic Year</v>
      </c>
      <c r="C1733" s="2">
        <v>39</v>
      </c>
      <c r="D1733" s="2" t="s">
        <v>3314</v>
      </c>
      <c r="E1733" s="10">
        <v>45753</v>
      </c>
      <c r="F1733" s="2" t="s">
        <v>4023</v>
      </c>
      <c r="G1733" s="2" t="s">
        <v>131</v>
      </c>
      <c r="H1733" s="2" t="s">
        <v>6</v>
      </c>
      <c r="I1733" s="2" t="s">
        <v>570</v>
      </c>
      <c r="J1733" s="2" t="s">
        <v>2777</v>
      </c>
      <c r="K1733" s="2" t="s">
        <v>4581</v>
      </c>
      <c r="L1733" s="2" t="s">
        <v>2040</v>
      </c>
      <c r="M1733" s="3">
        <v>999</v>
      </c>
      <c r="N1733" s="3">
        <v>999</v>
      </c>
      <c r="P1733" s="2" t="s">
        <v>4587</v>
      </c>
    </row>
    <row r="1734" spans="1:16" ht="13">
      <c r="A1734" s="2" t="s">
        <v>0</v>
      </c>
      <c r="B1734" s="2" t="str">
        <f t="shared" si="27"/>
        <v>24-25 Academic Year</v>
      </c>
      <c r="C1734" s="2">
        <v>39</v>
      </c>
      <c r="D1734" s="2" t="s">
        <v>3314</v>
      </c>
      <c r="E1734" s="10">
        <v>45753</v>
      </c>
      <c r="F1734" s="2" t="s">
        <v>4023</v>
      </c>
      <c r="G1734" s="2" t="s">
        <v>131</v>
      </c>
      <c r="H1734" s="2" t="s">
        <v>6</v>
      </c>
      <c r="I1734" s="2" t="s">
        <v>570</v>
      </c>
      <c r="J1734" s="2" t="s">
        <v>2780</v>
      </c>
      <c r="K1734" s="2" t="s">
        <v>4581</v>
      </c>
      <c r="L1734" s="2" t="s">
        <v>2040</v>
      </c>
      <c r="M1734" s="3">
        <v>999</v>
      </c>
      <c r="N1734" s="3">
        <v>999</v>
      </c>
      <c r="P1734" s="2" t="s">
        <v>4588</v>
      </c>
    </row>
    <row r="1735" spans="1:16" ht="13">
      <c r="A1735" s="2" t="s">
        <v>0</v>
      </c>
      <c r="B1735" s="2" t="str">
        <f t="shared" si="27"/>
        <v>24-25 Academic Year</v>
      </c>
      <c r="C1735" s="2">
        <v>39</v>
      </c>
      <c r="D1735" s="2" t="s">
        <v>3314</v>
      </c>
      <c r="E1735" s="10">
        <v>45753</v>
      </c>
      <c r="F1735" s="2" t="s">
        <v>4023</v>
      </c>
      <c r="G1735" s="2" t="s">
        <v>131</v>
      </c>
      <c r="H1735" s="2" t="s">
        <v>6</v>
      </c>
      <c r="I1735" s="2" t="s">
        <v>570</v>
      </c>
      <c r="J1735" s="2" t="s">
        <v>2783</v>
      </c>
      <c r="K1735" s="2" t="s">
        <v>4581</v>
      </c>
      <c r="L1735" s="2" t="s">
        <v>2040</v>
      </c>
      <c r="M1735" s="3">
        <v>999</v>
      </c>
      <c r="N1735" s="3">
        <v>999</v>
      </c>
      <c r="P1735" s="2" t="s">
        <v>4589</v>
      </c>
    </row>
    <row r="1736" spans="1:16" ht="13">
      <c r="A1736" s="2" t="s">
        <v>0</v>
      </c>
      <c r="B1736" s="2" t="str">
        <f t="shared" si="27"/>
        <v>24-25 Academic Year</v>
      </c>
      <c r="C1736" s="2">
        <v>39</v>
      </c>
      <c r="D1736" s="2" t="s">
        <v>3314</v>
      </c>
      <c r="E1736" s="10">
        <v>45753</v>
      </c>
      <c r="F1736" s="2" t="s">
        <v>4023</v>
      </c>
      <c r="G1736" s="2" t="s">
        <v>131</v>
      </c>
      <c r="H1736" s="2" t="s">
        <v>6</v>
      </c>
      <c r="I1736" s="2" t="s">
        <v>570</v>
      </c>
      <c r="J1736" s="2" t="s">
        <v>4590</v>
      </c>
      <c r="K1736" s="2" t="s">
        <v>4581</v>
      </c>
      <c r="L1736" s="2" t="s">
        <v>2040</v>
      </c>
      <c r="M1736" s="3">
        <v>999</v>
      </c>
      <c r="N1736" s="3">
        <v>999</v>
      </c>
      <c r="P1736" s="2" t="s">
        <v>4591</v>
      </c>
    </row>
    <row r="1737" spans="1:16" ht="13">
      <c r="A1737" s="2" t="s">
        <v>0</v>
      </c>
      <c r="B1737" s="2" t="str">
        <f t="shared" si="27"/>
        <v>24-25 Academic Year</v>
      </c>
      <c r="C1737" s="2">
        <v>40</v>
      </c>
      <c r="D1737" s="2" t="s">
        <v>4049</v>
      </c>
      <c r="E1737" s="10">
        <v>45754</v>
      </c>
      <c r="F1737" s="2" t="s">
        <v>4050</v>
      </c>
      <c r="G1737" s="2" t="s">
        <v>131</v>
      </c>
      <c r="H1737" s="2" t="s">
        <v>6</v>
      </c>
      <c r="I1737" s="2" t="s">
        <v>654</v>
      </c>
      <c r="J1737" s="2" t="s">
        <v>2788</v>
      </c>
      <c r="K1737" s="2" t="s">
        <v>788</v>
      </c>
      <c r="L1737" s="2" t="s">
        <v>4007</v>
      </c>
      <c r="M1737" s="3">
        <v>1</v>
      </c>
      <c r="N1737" s="3">
        <v>2</v>
      </c>
      <c r="P1737" s="2" t="s">
        <v>4051</v>
      </c>
    </row>
    <row r="1738" spans="1:16" ht="13">
      <c r="A1738" s="2" t="s">
        <v>0</v>
      </c>
      <c r="B1738" s="2" t="str">
        <f t="shared" si="27"/>
        <v>24-25 Academic Year</v>
      </c>
      <c r="C1738" s="2">
        <v>40</v>
      </c>
      <c r="D1738" s="2" t="s">
        <v>4049</v>
      </c>
      <c r="E1738" s="10">
        <v>45754</v>
      </c>
      <c r="F1738" s="2" t="s">
        <v>4050</v>
      </c>
      <c r="G1738" s="2" t="s">
        <v>131</v>
      </c>
      <c r="H1738" s="2" t="s">
        <v>6</v>
      </c>
      <c r="I1738" s="2" t="s">
        <v>654</v>
      </c>
      <c r="J1738" s="2" t="s">
        <v>2790</v>
      </c>
      <c r="K1738" s="2" t="s">
        <v>362</v>
      </c>
      <c r="L1738" s="2" t="s">
        <v>2154</v>
      </c>
      <c r="M1738" s="3">
        <v>3</v>
      </c>
      <c r="N1738" s="3">
        <v>2</v>
      </c>
      <c r="P1738" s="2" t="s">
        <v>4417</v>
      </c>
    </row>
    <row r="1739" spans="1:16" ht="13">
      <c r="A1739" s="2" t="s">
        <v>0</v>
      </c>
      <c r="B1739" s="2" t="str">
        <f t="shared" si="27"/>
        <v>24-25 Academic Year</v>
      </c>
      <c r="C1739" s="2">
        <v>40</v>
      </c>
      <c r="D1739" s="2" t="s">
        <v>4049</v>
      </c>
      <c r="E1739" s="10">
        <v>45754</v>
      </c>
      <c r="F1739" s="2" t="s">
        <v>4050</v>
      </c>
      <c r="G1739" s="2" t="s">
        <v>131</v>
      </c>
      <c r="H1739" s="2" t="s">
        <v>6</v>
      </c>
      <c r="I1739" s="2" t="s">
        <v>654</v>
      </c>
      <c r="J1739" s="2" t="s">
        <v>2793</v>
      </c>
      <c r="K1739" s="2" t="s">
        <v>362</v>
      </c>
      <c r="L1739" s="2" t="s">
        <v>2154</v>
      </c>
      <c r="M1739" s="3">
        <v>3</v>
      </c>
      <c r="N1739" s="3">
        <v>2</v>
      </c>
      <c r="P1739" s="2" t="s">
        <v>4463</v>
      </c>
    </row>
    <row r="1740" spans="1:16" ht="13">
      <c r="A1740" s="2" t="s">
        <v>0</v>
      </c>
      <c r="B1740" s="2" t="str">
        <f t="shared" si="27"/>
        <v>24-25 Academic Year</v>
      </c>
      <c r="C1740" s="2">
        <v>40</v>
      </c>
      <c r="D1740" s="2" t="s">
        <v>4049</v>
      </c>
      <c r="E1740" s="10">
        <v>45754</v>
      </c>
      <c r="F1740" s="2" t="s">
        <v>4050</v>
      </c>
      <c r="G1740" s="2" t="s">
        <v>131</v>
      </c>
      <c r="H1740" s="2" t="s">
        <v>6</v>
      </c>
      <c r="I1740" s="2" t="s">
        <v>654</v>
      </c>
      <c r="J1740" s="2" t="s">
        <v>2796</v>
      </c>
      <c r="K1740" s="2" t="s">
        <v>4464</v>
      </c>
      <c r="L1740" s="2" t="s">
        <v>4465</v>
      </c>
      <c r="M1740" s="3">
        <v>3</v>
      </c>
      <c r="N1740" s="3">
        <v>2</v>
      </c>
      <c r="P1740" s="2" t="s">
        <v>4466</v>
      </c>
    </row>
    <row r="1741" spans="1:16" ht="13">
      <c r="A1741" s="2" t="s">
        <v>0</v>
      </c>
      <c r="B1741" s="2" t="str">
        <f t="shared" si="27"/>
        <v>24-25 Academic Year</v>
      </c>
      <c r="C1741" s="2">
        <v>41</v>
      </c>
      <c r="D1741" s="2" t="s">
        <v>1805</v>
      </c>
      <c r="E1741" s="10">
        <v>45755</v>
      </c>
      <c r="F1741" s="2" t="s">
        <v>4052</v>
      </c>
      <c r="G1741" s="2" t="s">
        <v>8</v>
      </c>
      <c r="H1741" s="2" t="s">
        <v>8</v>
      </c>
      <c r="J1741" s="2" t="s">
        <v>2807</v>
      </c>
      <c r="K1741" s="2" t="s">
        <v>2567</v>
      </c>
      <c r="L1741" s="2" t="s">
        <v>4053</v>
      </c>
      <c r="M1741" s="3">
        <v>1</v>
      </c>
      <c r="N1741" s="3">
        <v>1</v>
      </c>
      <c r="P1741" s="2" t="s">
        <v>4054</v>
      </c>
    </row>
    <row r="1742" spans="1:16" ht="13">
      <c r="A1742" s="2" t="s">
        <v>0</v>
      </c>
      <c r="B1742" s="2" t="str">
        <f t="shared" si="27"/>
        <v>24-25 Academic Year</v>
      </c>
      <c r="C1742" s="2">
        <v>41</v>
      </c>
      <c r="D1742" s="2" t="s">
        <v>1805</v>
      </c>
      <c r="E1742" s="10">
        <v>45755</v>
      </c>
      <c r="F1742" s="2" t="s">
        <v>4052</v>
      </c>
      <c r="G1742" s="2" t="s">
        <v>8</v>
      </c>
      <c r="H1742" s="2" t="s">
        <v>8</v>
      </c>
      <c r="J1742" s="2" t="s">
        <v>2810</v>
      </c>
      <c r="K1742" s="2" t="s">
        <v>4055</v>
      </c>
      <c r="L1742" s="2" t="s">
        <v>4056</v>
      </c>
      <c r="M1742" s="3">
        <v>1</v>
      </c>
      <c r="N1742" s="3">
        <v>1</v>
      </c>
      <c r="P1742" s="2" t="s">
        <v>4057</v>
      </c>
    </row>
    <row r="1743" spans="1:16" ht="13">
      <c r="A1743" s="2" t="s">
        <v>0</v>
      </c>
      <c r="B1743" s="2" t="str">
        <f t="shared" si="27"/>
        <v>24-25 Academic Year</v>
      </c>
      <c r="C1743" s="2">
        <v>41</v>
      </c>
      <c r="D1743" s="2" t="s">
        <v>1805</v>
      </c>
      <c r="E1743" s="10">
        <v>45755</v>
      </c>
      <c r="F1743" s="2" t="s">
        <v>4052</v>
      </c>
      <c r="G1743" s="2" t="s">
        <v>8</v>
      </c>
      <c r="H1743" s="2" t="s">
        <v>8</v>
      </c>
      <c r="J1743" s="2" t="s">
        <v>2814</v>
      </c>
      <c r="K1743" s="2" t="s">
        <v>4357</v>
      </c>
      <c r="L1743" s="2" t="s">
        <v>4358</v>
      </c>
      <c r="M1743" s="3">
        <v>2</v>
      </c>
      <c r="N1743" s="3">
        <v>1</v>
      </c>
      <c r="P1743" s="2" t="s">
        <v>4359</v>
      </c>
    </row>
    <row r="1744" spans="1:16" ht="13">
      <c r="A1744" s="2" t="s">
        <v>0</v>
      </c>
      <c r="B1744" s="2" t="str">
        <f t="shared" si="27"/>
        <v>24-25 Academic Year</v>
      </c>
      <c r="C1744" s="2">
        <v>41</v>
      </c>
      <c r="D1744" s="2" t="s">
        <v>1805</v>
      </c>
      <c r="E1744" s="10">
        <v>45755</v>
      </c>
      <c r="F1744" s="2" t="s">
        <v>4052</v>
      </c>
      <c r="G1744" s="2" t="s">
        <v>8</v>
      </c>
      <c r="H1744" s="2" t="s">
        <v>8</v>
      </c>
      <c r="J1744" s="2" t="s">
        <v>2816</v>
      </c>
      <c r="K1744" s="2" t="s">
        <v>939</v>
      </c>
      <c r="L1744" s="2" t="s">
        <v>4467</v>
      </c>
      <c r="M1744" s="3">
        <v>3</v>
      </c>
      <c r="N1744" s="3">
        <v>1</v>
      </c>
      <c r="P1744" s="2" t="s">
        <v>4468</v>
      </c>
    </row>
    <row r="1745" spans="1:16" ht="13">
      <c r="A1745" s="2" t="s">
        <v>0</v>
      </c>
      <c r="B1745" s="2" t="str">
        <f t="shared" si="27"/>
        <v>24-25 Academic Year</v>
      </c>
      <c r="C1745" s="2">
        <v>41</v>
      </c>
      <c r="D1745" s="2" t="s">
        <v>1805</v>
      </c>
      <c r="E1745" s="10">
        <v>45755</v>
      </c>
      <c r="F1745" s="2" t="s">
        <v>4052</v>
      </c>
      <c r="G1745" s="2" t="s">
        <v>8</v>
      </c>
      <c r="H1745" s="2" t="s">
        <v>8</v>
      </c>
      <c r="J1745" s="2" t="s">
        <v>2819</v>
      </c>
      <c r="K1745" s="2" t="s">
        <v>939</v>
      </c>
      <c r="L1745" s="2" t="s">
        <v>4467</v>
      </c>
      <c r="M1745" s="3">
        <v>3</v>
      </c>
      <c r="N1745" s="3">
        <v>1</v>
      </c>
      <c r="P1745" s="2" t="s">
        <v>4469</v>
      </c>
    </row>
    <row r="1746" spans="1:16" ht="13">
      <c r="A1746" s="2" t="s">
        <v>0</v>
      </c>
      <c r="B1746" s="2" t="str">
        <f t="shared" si="27"/>
        <v>24-25 Academic Year</v>
      </c>
      <c r="C1746" s="2">
        <v>41</v>
      </c>
      <c r="D1746" s="2" t="s">
        <v>1805</v>
      </c>
      <c r="E1746" s="10">
        <v>45755</v>
      </c>
      <c r="F1746" s="2" t="s">
        <v>4052</v>
      </c>
      <c r="G1746" s="2" t="s">
        <v>8</v>
      </c>
      <c r="H1746" s="2" t="s">
        <v>8</v>
      </c>
      <c r="J1746" s="2" t="s">
        <v>2821</v>
      </c>
      <c r="K1746" s="2" t="s">
        <v>4593</v>
      </c>
      <c r="L1746" s="2" t="s">
        <v>2052</v>
      </c>
      <c r="M1746" s="3">
        <v>999</v>
      </c>
      <c r="N1746" s="3">
        <v>999</v>
      </c>
      <c r="P1746" s="2" t="s">
        <v>4594</v>
      </c>
    </row>
    <row r="1747" spans="1:16" ht="13">
      <c r="A1747" s="2" t="s">
        <v>0</v>
      </c>
      <c r="B1747" s="2" t="str">
        <f t="shared" si="27"/>
        <v>24-25 Academic Year</v>
      </c>
      <c r="C1747" s="2">
        <v>41</v>
      </c>
      <c r="D1747" s="2" t="s">
        <v>1805</v>
      </c>
      <c r="E1747" s="10">
        <v>45755</v>
      </c>
      <c r="F1747" s="2" t="s">
        <v>4052</v>
      </c>
      <c r="G1747" s="2" t="s">
        <v>8</v>
      </c>
      <c r="H1747" s="2" t="s">
        <v>8</v>
      </c>
      <c r="J1747" s="2" t="s">
        <v>2824</v>
      </c>
      <c r="K1747" s="2" t="s">
        <v>679</v>
      </c>
      <c r="L1747" s="2" t="s">
        <v>679</v>
      </c>
      <c r="M1747" s="3">
        <v>999</v>
      </c>
      <c r="N1747" s="3">
        <v>999</v>
      </c>
      <c r="P1747" s="2" t="s">
        <v>4595</v>
      </c>
    </row>
    <row r="1748" spans="1:16" ht="13">
      <c r="A1748" s="2" t="s">
        <v>0</v>
      </c>
      <c r="B1748" s="2" t="str">
        <f t="shared" si="27"/>
        <v>24-25 Academic Year</v>
      </c>
      <c r="C1748" s="2">
        <v>42</v>
      </c>
      <c r="D1748" s="2" t="s">
        <v>4058</v>
      </c>
      <c r="E1748" s="10">
        <v>45756</v>
      </c>
      <c r="F1748" s="2" t="s">
        <v>4059</v>
      </c>
      <c r="G1748" s="2" t="s">
        <v>131</v>
      </c>
      <c r="H1748" s="2" t="s">
        <v>6</v>
      </c>
      <c r="I1748" s="2" t="s">
        <v>654</v>
      </c>
      <c r="J1748" s="2" t="s">
        <v>2827</v>
      </c>
      <c r="K1748" s="2" t="s">
        <v>245</v>
      </c>
      <c r="L1748" s="2" t="s">
        <v>4060</v>
      </c>
      <c r="M1748" s="3">
        <v>1</v>
      </c>
      <c r="N1748" s="3">
        <v>2</v>
      </c>
      <c r="P1748" s="2" t="s">
        <v>3508</v>
      </c>
    </row>
    <row r="1749" spans="1:16" ht="13">
      <c r="A1749" s="2" t="s">
        <v>0</v>
      </c>
      <c r="B1749" s="2" t="str">
        <f t="shared" si="27"/>
        <v>24-25 Academic Year</v>
      </c>
      <c r="C1749" s="2">
        <v>42</v>
      </c>
      <c r="D1749" s="2" t="s">
        <v>4058</v>
      </c>
      <c r="E1749" s="10">
        <v>45756</v>
      </c>
      <c r="F1749" s="2" t="s">
        <v>4059</v>
      </c>
      <c r="G1749" s="2" t="s">
        <v>131</v>
      </c>
      <c r="H1749" s="2" t="s">
        <v>6</v>
      </c>
      <c r="I1749" s="2" t="s">
        <v>654</v>
      </c>
      <c r="J1749" s="2" t="s">
        <v>2829</v>
      </c>
      <c r="K1749" s="2" t="s">
        <v>4439</v>
      </c>
      <c r="L1749" s="2" t="s">
        <v>4440</v>
      </c>
      <c r="M1749" s="3">
        <v>3</v>
      </c>
      <c r="N1749" s="3">
        <v>1</v>
      </c>
      <c r="P1749" s="2" t="s">
        <v>3480</v>
      </c>
    </row>
    <row r="1750" spans="1:16" ht="13">
      <c r="A1750" s="2" t="s">
        <v>0</v>
      </c>
      <c r="B1750" s="2" t="str">
        <f t="shared" si="27"/>
        <v>24-25 Academic Year</v>
      </c>
      <c r="C1750" s="2">
        <v>42</v>
      </c>
      <c r="D1750" s="2" t="s">
        <v>4058</v>
      </c>
      <c r="E1750" s="10">
        <v>45756</v>
      </c>
      <c r="F1750" s="2" t="s">
        <v>4059</v>
      </c>
      <c r="G1750" s="2" t="s">
        <v>131</v>
      </c>
      <c r="H1750" s="2" t="s">
        <v>6</v>
      </c>
      <c r="I1750" s="2" t="s">
        <v>654</v>
      </c>
      <c r="J1750" s="2" t="s">
        <v>2832</v>
      </c>
      <c r="K1750" s="2" t="s">
        <v>355</v>
      </c>
      <c r="L1750" s="2" t="s">
        <v>1661</v>
      </c>
      <c r="M1750" s="3">
        <v>3</v>
      </c>
      <c r="N1750" s="3">
        <v>2</v>
      </c>
      <c r="P1750" s="2" t="s">
        <v>4470</v>
      </c>
    </row>
    <row r="1751" spans="1:16" ht="13">
      <c r="A1751" s="2" t="s">
        <v>0</v>
      </c>
      <c r="B1751" s="2" t="str">
        <f t="shared" si="27"/>
        <v>24-25 Academic Year</v>
      </c>
      <c r="C1751" s="2">
        <v>42</v>
      </c>
      <c r="D1751" s="2" t="s">
        <v>4058</v>
      </c>
      <c r="E1751" s="10">
        <v>45756</v>
      </c>
      <c r="F1751" s="2" t="s">
        <v>4059</v>
      </c>
      <c r="G1751" s="2" t="s">
        <v>131</v>
      </c>
      <c r="H1751" s="2" t="s">
        <v>6</v>
      </c>
      <c r="I1751" s="2" t="s">
        <v>654</v>
      </c>
      <c r="J1751" s="2" t="s">
        <v>2834</v>
      </c>
      <c r="K1751" s="2" t="s">
        <v>364</v>
      </c>
      <c r="L1751" s="2" t="s">
        <v>2609</v>
      </c>
      <c r="M1751" s="3">
        <v>3</v>
      </c>
      <c r="N1751" s="3">
        <v>2</v>
      </c>
      <c r="P1751" s="2" t="s">
        <v>4471</v>
      </c>
    </row>
    <row r="1752" spans="1:16" ht="13">
      <c r="A1752" s="2" t="s">
        <v>0</v>
      </c>
      <c r="B1752" s="2" t="str">
        <f t="shared" si="27"/>
        <v>24-25 Academic Year</v>
      </c>
      <c r="C1752" s="2">
        <v>42</v>
      </c>
      <c r="D1752" s="2" t="s">
        <v>4058</v>
      </c>
      <c r="E1752" s="10">
        <v>45756</v>
      </c>
      <c r="F1752" s="2" t="s">
        <v>4059</v>
      </c>
      <c r="G1752" s="2" t="s">
        <v>131</v>
      </c>
      <c r="H1752" s="2" t="s">
        <v>6</v>
      </c>
      <c r="I1752" s="2" t="s">
        <v>654</v>
      </c>
      <c r="J1752" s="2" t="s">
        <v>2836</v>
      </c>
      <c r="K1752" s="2" t="s">
        <v>4472</v>
      </c>
      <c r="L1752" s="2" t="s">
        <v>4473</v>
      </c>
      <c r="M1752" s="3">
        <v>3</v>
      </c>
      <c r="N1752" s="3">
        <v>1</v>
      </c>
      <c r="P1752" s="2" t="s">
        <v>4474</v>
      </c>
    </row>
    <row r="1753" spans="1:16" ht="13">
      <c r="A1753" s="2" t="s">
        <v>0</v>
      </c>
      <c r="B1753" s="2" t="str">
        <f t="shared" si="27"/>
        <v>24-25 Academic Year</v>
      </c>
      <c r="C1753" s="2">
        <v>43</v>
      </c>
      <c r="D1753" s="2" t="s">
        <v>335</v>
      </c>
      <c r="E1753" s="10">
        <v>45757</v>
      </c>
      <c r="F1753" s="2" t="s">
        <v>2184</v>
      </c>
      <c r="G1753" s="2" t="s">
        <v>7</v>
      </c>
      <c r="H1753" s="2" t="s">
        <v>7</v>
      </c>
      <c r="J1753" s="2" t="s">
        <v>2840</v>
      </c>
      <c r="K1753" s="2" t="s">
        <v>4061</v>
      </c>
      <c r="L1753" s="2" t="s">
        <v>4062</v>
      </c>
      <c r="M1753" s="3">
        <v>1</v>
      </c>
      <c r="N1753" s="3">
        <v>1</v>
      </c>
      <c r="P1753" s="2" t="s">
        <v>4063</v>
      </c>
    </row>
    <row r="1754" spans="1:16" ht="13">
      <c r="A1754" s="2" t="s">
        <v>0</v>
      </c>
      <c r="B1754" s="2" t="str">
        <f t="shared" si="27"/>
        <v>24-25 Academic Year</v>
      </c>
      <c r="C1754" s="2">
        <v>43</v>
      </c>
      <c r="D1754" s="2" t="s">
        <v>335</v>
      </c>
      <c r="E1754" s="10">
        <v>45757</v>
      </c>
      <c r="F1754" s="2" t="s">
        <v>2184</v>
      </c>
      <c r="G1754" s="2" t="s">
        <v>7</v>
      </c>
      <c r="H1754" s="2" t="s">
        <v>7</v>
      </c>
      <c r="J1754" s="2" t="s">
        <v>2842</v>
      </c>
      <c r="K1754" s="2" t="s">
        <v>4064</v>
      </c>
      <c r="L1754" s="2" t="s">
        <v>4065</v>
      </c>
      <c r="M1754" s="3">
        <v>1</v>
      </c>
      <c r="N1754" s="3">
        <v>2</v>
      </c>
      <c r="P1754" s="2" t="s">
        <v>4066</v>
      </c>
    </row>
    <row r="1755" spans="1:16" ht="13">
      <c r="A1755" s="2" t="s">
        <v>0</v>
      </c>
      <c r="B1755" s="2" t="str">
        <f t="shared" si="27"/>
        <v>24-25 Academic Year</v>
      </c>
      <c r="C1755" s="2">
        <v>43</v>
      </c>
      <c r="D1755" s="2" t="s">
        <v>335</v>
      </c>
      <c r="E1755" s="10">
        <v>45757</v>
      </c>
      <c r="F1755" s="2" t="s">
        <v>2184</v>
      </c>
      <c r="G1755" s="2" t="s">
        <v>7</v>
      </c>
      <c r="H1755" s="2" t="s">
        <v>7</v>
      </c>
      <c r="J1755" s="2" t="s">
        <v>2844</v>
      </c>
      <c r="K1755" s="2" t="s">
        <v>4360</v>
      </c>
      <c r="L1755" s="2" t="s">
        <v>4361</v>
      </c>
      <c r="M1755" s="3">
        <v>2</v>
      </c>
      <c r="N1755" s="3">
        <v>1</v>
      </c>
      <c r="P1755" s="2" t="s">
        <v>4362</v>
      </c>
    </row>
    <row r="1756" spans="1:16" ht="13">
      <c r="A1756" s="2" t="s">
        <v>0</v>
      </c>
      <c r="B1756" s="2" t="str">
        <f t="shared" si="27"/>
        <v>24-25 Academic Year</v>
      </c>
      <c r="C1756" s="2">
        <v>43</v>
      </c>
      <c r="D1756" s="2" t="s">
        <v>335</v>
      </c>
      <c r="E1756" s="10">
        <v>45757</v>
      </c>
      <c r="F1756" s="2" t="s">
        <v>2184</v>
      </c>
      <c r="G1756" s="2" t="s">
        <v>7</v>
      </c>
      <c r="H1756" s="2" t="s">
        <v>7</v>
      </c>
      <c r="J1756" s="2" t="s">
        <v>2847</v>
      </c>
      <c r="K1756" s="2" t="s">
        <v>3391</v>
      </c>
      <c r="L1756" s="2" t="s">
        <v>4289</v>
      </c>
      <c r="M1756" s="3">
        <v>2</v>
      </c>
      <c r="N1756" s="3">
        <v>1</v>
      </c>
      <c r="P1756" s="2" t="s">
        <v>4363</v>
      </c>
    </row>
    <row r="1757" spans="1:16" ht="13">
      <c r="A1757" s="2" t="s">
        <v>0</v>
      </c>
      <c r="B1757" s="2" t="str">
        <f t="shared" si="27"/>
        <v>24-25 Academic Year</v>
      </c>
      <c r="C1757" s="2">
        <v>43</v>
      </c>
      <c r="D1757" s="2" t="s">
        <v>335</v>
      </c>
      <c r="E1757" s="10">
        <v>45757</v>
      </c>
      <c r="F1757" s="2" t="s">
        <v>2184</v>
      </c>
      <c r="G1757" s="2" t="s">
        <v>7</v>
      </c>
      <c r="H1757" s="2" t="s">
        <v>7</v>
      </c>
      <c r="J1757" s="2" t="s">
        <v>2849</v>
      </c>
      <c r="K1757" s="2" t="s">
        <v>144</v>
      </c>
      <c r="L1757" s="2" t="s">
        <v>4475</v>
      </c>
      <c r="M1757" s="3">
        <v>3</v>
      </c>
      <c r="N1757" s="3">
        <v>1</v>
      </c>
      <c r="P1757" s="2" t="s">
        <v>4476</v>
      </c>
    </row>
    <row r="1758" spans="1:16" ht="13">
      <c r="A1758" s="2" t="s">
        <v>0</v>
      </c>
      <c r="B1758" s="2" t="str">
        <f t="shared" si="27"/>
        <v>24-25 Academic Year</v>
      </c>
      <c r="C1758" s="2">
        <v>43</v>
      </c>
      <c r="D1758" s="2" t="s">
        <v>335</v>
      </c>
      <c r="E1758" s="10">
        <v>45757</v>
      </c>
      <c r="F1758" s="2" t="s">
        <v>2184</v>
      </c>
      <c r="G1758" s="2" t="s">
        <v>7</v>
      </c>
      <c r="H1758" s="2" t="s">
        <v>7</v>
      </c>
      <c r="J1758" s="2" t="s">
        <v>4477</v>
      </c>
      <c r="K1758" s="2" t="s">
        <v>939</v>
      </c>
      <c r="L1758" s="2" t="s">
        <v>4467</v>
      </c>
      <c r="M1758" s="3">
        <v>3</v>
      </c>
      <c r="N1758" s="3">
        <v>1</v>
      </c>
      <c r="P1758" s="2" t="s">
        <v>4478</v>
      </c>
    </row>
    <row r="1759" spans="1:16" ht="13">
      <c r="A1759" s="2" t="s">
        <v>0</v>
      </c>
      <c r="B1759" s="2" t="str">
        <f t="shared" si="27"/>
        <v>24-25 Academic Year</v>
      </c>
      <c r="C1759" s="2">
        <v>44</v>
      </c>
      <c r="D1759" s="2" t="s">
        <v>4067</v>
      </c>
      <c r="E1759" s="10">
        <v>45758</v>
      </c>
      <c r="F1759" s="2" t="s">
        <v>3837</v>
      </c>
      <c r="G1759" s="2" t="s">
        <v>131</v>
      </c>
      <c r="H1759" s="2" t="s">
        <v>6</v>
      </c>
      <c r="I1759" s="2" t="s">
        <v>570</v>
      </c>
      <c r="J1759" s="2" t="s">
        <v>2854</v>
      </c>
      <c r="K1759" s="2" t="s">
        <v>4068</v>
      </c>
      <c r="L1759" s="2" t="s">
        <v>3550</v>
      </c>
      <c r="M1759" s="3">
        <v>1</v>
      </c>
      <c r="N1759" s="3">
        <v>1</v>
      </c>
      <c r="P1759" s="2" t="s">
        <v>4069</v>
      </c>
    </row>
    <row r="1760" spans="1:16" ht="13">
      <c r="A1760" s="2" t="s">
        <v>0</v>
      </c>
      <c r="B1760" s="2" t="str">
        <f t="shared" si="27"/>
        <v>24-25 Academic Year</v>
      </c>
      <c r="C1760" s="2">
        <v>44</v>
      </c>
      <c r="D1760" s="2" t="s">
        <v>4067</v>
      </c>
      <c r="E1760" s="10">
        <v>45758</v>
      </c>
      <c r="F1760" s="2" t="s">
        <v>3837</v>
      </c>
      <c r="G1760" s="2" t="s">
        <v>131</v>
      </c>
      <c r="H1760" s="2" t="s">
        <v>6</v>
      </c>
      <c r="I1760" s="2" t="s">
        <v>570</v>
      </c>
      <c r="J1760" s="2" t="s">
        <v>2856</v>
      </c>
      <c r="K1760" s="2" t="s">
        <v>2721</v>
      </c>
      <c r="L1760" s="2" t="s">
        <v>4364</v>
      </c>
      <c r="M1760" s="3">
        <v>2</v>
      </c>
      <c r="N1760" s="3">
        <v>1</v>
      </c>
      <c r="P1760" s="2" t="s">
        <v>4365</v>
      </c>
    </row>
    <row r="1761" spans="1:16" ht="13">
      <c r="A1761" s="2" t="s">
        <v>0</v>
      </c>
      <c r="B1761" s="2" t="str">
        <f t="shared" si="27"/>
        <v>24-25 Academic Year</v>
      </c>
      <c r="C1761" s="2">
        <v>44</v>
      </c>
      <c r="D1761" s="2" t="s">
        <v>4067</v>
      </c>
      <c r="E1761" s="10">
        <v>45758</v>
      </c>
      <c r="F1761" s="2" t="s">
        <v>3837</v>
      </c>
      <c r="G1761" s="2" t="s">
        <v>131</v>
      </c>
      <c r="H1761" s="2" t="s">
        <v>6</v>
      </c>
      <c r="I1761" s="2" t="s">
        <v>570</v>
      </c>
      <c r="J1761" s="2" t="s">
        <v>2860</v>
      </c>
      <c r="K1761" s="2" t="s">
        <v>3116</v>
      </c>
      <c r="L1761" s="2" t="s">
        <v>4366</v>
      </c>
      <c r="M1761" s="3">
        <v>2</v>
      </c>
      <c r="N1761" s="3">
        <v>1</v>
      </c>
      <c r="P1761" s="2" t="s">
        <v>4367</v>
      </c>
    </row>
    <row r="1762" spans="1:16" ht="13">
      <c r="A1762" s="2" t="s">
        <v>0</v>
      </c>
      <c r="B1762" s="2" t="str">
        <f t="shared" si="27"/>
        <v>24-25 Academic Year</v>
      </c>
      <c r="C1762" s="2">
        <v>44</v>
      </c>
      <c r="D1762" s="2" t="s">
        <v>4067</v>
      </c>
      <c r="E1762" s="10">
        <v>45758</v>
      </c>
      <c r="F1762" s="2" t="s">
        <v>3837</v>
      </c>
      <c r="G1762" s="2" t="s">
        <v>131</v>
      </c>
      <c r="H1762" s="2" t="s">
        <v>6</v>
      </c>
      <c r="I1762" s="2" t="s">
        <v>570</v>
      </c>
      <c r="J1762" s="2" t="s">
        <v>4647</v>
      </c>
      <c r="K1762" s="2" t="s">
        <v>4648</v>
      </c>
      <c r="L1762" s="2" t="s">
        <v>4649</v>
      </c>
      <c r="M1762" s="3">
        <v>1</v>
      </c>
      <c r="N1762" s="3">
        <v>1</v>
      </c>
      <c r="P1762" s="2" t="s">
        <v>4650</v>
      </c>
    </row>
    <row r="1763" spans="1:16" ht="13">
      <c r="A1763" s="2" t="s">
        <v>0</v>
      </c>
      <c r="B1763" s="2" t="str">
        <f t="shared" si="27"/>
        <v>24-25 Academic Year</v>
      </c>
      <c r="C1763" s="2">
        <v>44</v>
      </c>
      <c r="D1763" s="2" t="s">
        <v>4067</v>
      </c>
      <c r="E1763" s="10">
        <v>45758</v>
      </c>
      <c r="F1763" s="2" t="s">
        <v>3837</v>
      </c>
      <c r="G1763" s="2" t="s">
        <v>131</v>
      </c>
      <c r="H1763" s="2" t="s">
        <v>6</v>
      </c>
      <c r="I1763" s="2" t="s">
        <v>570</v>
      </c>
      <c r="J1763" s="2" t="s">
        <v>2862</v>
      </c>
      <c r="K1763" s="2" t="s">
        <v>237</v>
      </c>
      <c r="L1763" s="2" t="s">
        <v>1421</v>
      </c>
      <c r="M1763" s="3">
        <v>1</v>
      </c>
      <c r="N1763" s="3">
        <v>1</v>
      </c>
      <c r="P1763" s="2" t="s">
        <v>4070</v>
      </c>
    </row>
    <row r="1764" spans="1:16" ht="13">
      <c r="A1764" s="2" t="s">
        <v>0</v>
      </c>
      <c r="B1764" s="2" t="str">
        <f t="shared" si="27"/>
        <v>24-25 Academic Year</v>
      </c>
      <c r="C1764" s="2">
        <v>44</v>
      </c>
      <c r="D1764" s="2" t="s">
        <v>4067</v>
      </c>
      <c r="E1764" s="10">
        <v>45758</v>
      </c>
      <c r="F1764" s="2" t="s">
        <v>3837</v>
      </c>
      <c r="G1764" s="2" t="s">
        <v>131</v>
      </c>
      <c r="H1764" s="2" t="s">
        <v>6</v>
      </c>
      <c r="I1764" s="2" t="s">
        <v>570</v>
      </c>
      <c r="J1764" s="2" t="s">
        <v>2866</v>
      </c>
      <c r="K1764" s="2" t="s">
        <v>237</v>
      </c>
      <c r="L1764" s="2" t="s">
        <v>1421</v>
      </c>
      <c r="M1764" s="3">
        <v>1</v>
      </c>
      <c r="N1764" s="3">
        <v>1</v>
      </c>
      <c r="P1764" s="2" t="s">
        <v>4071</v>
      </c>
    </row>
    <row r="1765" spans="1:16" ht="13">
      <c r="A1765" s="2" t="s">
        <v>0</v>
      </c>
      <c r="B1765" s="2" t="str">
        <f t="shared" si="27"/>
        <v>24-25 Academic Year</v>
      </c>
      <c r="C1765" s="2">
        <v>44</v>
      </c>
      <c r="D1765" s="2" t="s">
        <v>4067</v>
      </c>
      <c r="E1765" s="10">
        <v>45758</v>
      </c>
      <c r="F1765" s="2" t="s">
        <v>3837</v>
      </c>
      <c r="G1765" s="2" t="s">
        <v>131</v>
      </c>
      <c r="H1765" s="2" t="s">
        <v>6</v>
      </c>
      <c r="I1765" s="2" t="s">
        <v>570</v>
      </c>
      <c r="J1765" s="2" t="s">
        <v>2868</v>
      </c>
      <c r="K1765" s="2" t="s">
        <v>4072</v>
      </c>
      <c r="L1765" s="2" t="s">
        <v>4073</v>
      </c>
      <c r="M1765" s="3">
        <v>1</v>
      </c>
      <c r="N1765" s="3">
        <v>2</v>
      </c>
      <c r="P1765" s="2" t="s">
        <v>4074</v>
      </c>
    </row>
    <row r="1766" spans="1:16" ht="13">
      <c r="A1766" s="2" t="s">
        <v>0</v>
      </c>
      <c r="B1766" s="2" t="str">
        <f t="shared" si="27"/>
        <v>24-25 Academic Year</v>
      </c>
      <c r="C1766" s="2">
        <v>44</v>
      </c>
      <c r="D1766" s="2" t="s">
        <v>4067</v>
      </c>
      <c r="E1766" s="10">
        <v>45758</v>
      </c>
      <c r="F1766" s="2" t="s">
        <v>3837</v>
      </c>
      <c r="G1766" s="2" t="s">
        <v>131</v>
      </c>
      <c r="H1766" s="2" t="s">
        <v>6</v>
      </c>
      <c r="I1766" s="2" t="s">
        <v>570</v>
      </c>
      <c r="J1766" s="2" t="s">
        <v>2870</v>
      </c>
      <c r="K1766" s="2" t="s">
        <v>1037</v>
      </c>
      <c r="L1766" s="2" t="s">
        <v>1778</v>
      </c>
      <c r="M1766" s="3">
        <v>1</v>
      </c>
      <c r="N1766" s="3">
        <v>2</v>
      </c>
      <c r="P1766" s="2" t="s">
        <v>4075</v>
      </c>
    </row>
    <row r="1767" spans="1:16" ht="13">
      <c r="A1767" s="2" t="s">
        <v>0</v>
      </c>
      <c r="B1767" s="2" t="str">
        <f t="shared" si="27"/>
        <v>24-25 Academic Year</v>
      </c>
      <c r="C1767" s="2">
        <v>44</v>
      </c>
      <c r="D1767" s="2" t="s">
        <v>4067</v>
      </c>
      <c r="E1767" s="10">
        <v>45758</v>
      </c>
      <c r="F1767" s="2" t="s">
        <v>3837</v>
      </c>
      <c r="G1767" s="2" t="s">
        <v>131</v>
      </c>
      <c r="H1767" s="2" t="s">
        <v>6</v>
      </c>
      <c r="I1767" s="2" t="s">
        <v>570</v>
      </c>
      <c r="J1767" s="2" t="s">
        <v>2872</v>
      </c>
      <c r="K1767" s="2" t="s">
        <v>4076</v>
      </c>
      <c r="L1767" s="2" t="s">
        <v>1427</v>
      </c>
      <c r="M1767" s="3">
        <v>1</v>
      </c>
      <c r="N1767" s="3">
        <v>2</v>
      </c>
      <c r="P1767" s="2" t="s">
        <v>4077</v>
      </c>
    </row>
    <row r="1768" spans="1:16" ht="13">
      <c r="A1768" s="2" t="s">
        <v>0</v>
      </c>
      <c r="B1768" s="2" t="str">
        <f t="shared" si="27"/>
        <v>24-25 Academic Year</v>
      </c>
      <c r="C1768" s="2">
        <v>44</v>
      </c>
      <c r="D1768" s="2" t="s">
        <v>4067</v>
      </c>
      <c r="E1768" s="10">
        <v>45758</v>
      </c>
      <c r="F1768" s="2" t="s">
        <v>3837</v>
      </c>
      <c r="G1768" s="2" t="s">
        <v>131</v>
      </c>
      <c r="H1768" s="2" t="s">
        <v>6</v>
      </c>
      <c r="I1768" s="2" t="s">
        <v>570</v>
      </c>
      <c r="J1768" s="2" t="s">
        <v>2874</v>
      </c>
      <c r="K1768" s="2" t="s">
        <v>4078</v>
      </c>
      <c r="L1768" s="2" t="s">
        <v>3089</v>
      </c>
      <c r="M1768" s="3">
        <v>1</v>
      </c>
      <c r="N1768" s="3">
        <v>2</v>
      </c>
      <c r="P1768" s="2" t="s">
        <v>4079</v>
      </c>
    </row>
    <row r="1769" spans="1:16" ht="13">
      <c r="A1769" s="2" t="s">
        <v>0</v>
      </c>
      <c r="B1769" s="2" t="str">
        <f t="shared" si="27"/>
        <v>24-25 Academic Year</v>
      </c>
      <c r="C1769" s="2">
        <v>44</v>
      </c>
      <c r="D1769" s="2" t="s">
        <v>4067</v>
      </c>
      <c r="E1769" s="10">
        <v>45758</v>
      </c>
      <c r="F1769" s="2" t="s">
        <v>3837</v>
      </c>
      <c r="G1769" s="2" t="s">
        <v>131</v>
      </c>
      <c r="H1769" s="2" t="s">
        <v>6</v>
      </c>
      <c r="I1769" s="2" t="s">
        <v>570</v>
      </c>
      <c r="J1769" s="2" t="s">
        <v>2876</v>
      </c>
      <c r="K1769" s="2" t="s">
        <v>4080</v>
      </c>
      <c r="L1769" s="2" t="s">
        <v>4081</v>
      </c>
      <c r="M1769" s="3">
        <v>1</v>
      </c>
      <c r="N1769" s="3">
        <v>1</v>
      </c>
      <c r="P1769" s="2" t="s">
        <v>4082</v>
      </c>
    </row>
    <row r="1770" spans="1:16" ht="13">
      <c r="A1770" s="2" t="s">
        <v>0</v>
      </c>
      <c r="B1770" s="2" t="str">
        <f t="shared" si="27"/>
        <v>24-25 Academic Year</v>
      </c>
      <c r="C1770" s="2">
        <v>44</v>
      </c>
      <c r="D1770" s="2" t="s">
        <v>4067</v>
      </c>
      <c r="E1770" s="10">
        <v>45758</v>
      </c>
      <c r="F1770" s="2" t="s">
        <v>3837</v>
      </c>
      <c r="G1770" s="2" t="s">
        <v>131</v>
      </c>
      <c r="H1770" s="2" t="s">
        <v>6</v>
      </c>
      <c r="I1770" s="2" t="s">
        <v>570</v>
      </c>
      <c r="J1770" s="2" t="s">
        <v>2878</v>
      </c>
      <c r="K1770" s="2" t="s">
        <v>4083</v>
      </c>
      <c r="L1770" s="2" t="s">
        <v>4084</v>
      </c>
      <c r="M1770" s="3">
        <v>1</v>
      </c>
      <c r="N1770" s="3">
        <v>1</v>
      </c>
      <c r="P1770" s="2" t="s">
        <v>4085</v>
      </c>
    </row>
    <row r="1771" spans="1:16" ht="13">
      <c r="A1771" s="2" t="s">
        <v>0</v>
      </c>
      <c r="B1771" s="2" t="str">
        <f t="shared" si="27"/>
        <v>24-25 Academic Year</v>
      </c>
      <c r="C1771" s="2">
        <v>45</v>
      </c>
      <c r="D1771" s="2" t="s">
        <v>3303</v>
      </c>
      <c r="E1771" s="10">
        <v>45760</v>
      </c>
      <c r="F1771" s="2" t="s">
        <v>4348</v>
      </c>
      <c r="G1771" s="2" t="s">
        <v>131</v>
      </c>
      <c r="H1771" s="2" t="s">
        <v>6</v>
      </c>
      <c r="I1771" s="2" t="s">
        <v>2037</v>
      </c>
      <c r="J1771" s="2" t="s">
        <v>2899</v>
      </c>
      <c r="K1771" s="2" t="s">
        <v>4593</v>
      </c>
      <c r="L1771" s="2" t="s">
        <v>2052</v>
      </c>
      <c r="M1771" s="3">
        <v>999</v>
      </c>
      <c r="N1771" s="3">
        <v>999</v>
      </c>
      <c r="P1771" s="2" t="s">
        <v>3814</v>
      </c>
    </row>
    <row r="1772" spans="1:16" ht="13">
      <c r="A1772" s="2" t="s">
        <v>0</v>
      </c>
      <c r="B1772" s="2" t="str">
        <f t="shared" si="27"/>
        <v>24-25 Academic Year</v>
      </c>
      <c r="C1772" s="2">
        <v>45</v>
      </c>
      <c r="D1772" s="2" t="s">
        <v>3303</v>
      </c>
      <c r="E1772" s="10">
        <v>45760</v>
      </c>
      <c r="F1772" s="2" t="s">
        <v>4348</v>
      </c>
      <c r="G1772" s="2" t="s">
        <v>131</v>
      </c>
      <c r="H1772" s="2" t="s">
        <v>6</v>
      </c>
      <c r="I1772" s="2" t="s">
        <v>2037</v>
      </c>
      <c r="J1772" s="2" t="s">
        <v>2902</v>
      </c>
      <c r="K1772" s="2" t="s">
        <v>4593</v>
      </c>
      <c r="L1772" s="2" t="s">
        <v>2052</v>
      </c>
      <c r="M1772" s="3">
        <v>999</v>
      </c>
      <c r="N1772" s="3">
        <v>999</v>
      </c>
      <c r="P1772" s="2" t="s">
        <v>4596</v>
      </c>
    </row>
    <row r="1773" spans="1:16" ht="13">
      <c r="A1773" s="2" t="s">
        <v>0</v>
      </c>
      <c r="B1773" s="2" t="str">
        <f t="shared" si="27"/>
        <v>24-25 Academic Year</v>
      </c>
      <c r="C1773" s="2">
        <v>45</v>
      </c>
      <c r="D1773" s="2" t="s">
        <v>3303</v>
      </c>
      <c r="E1773" s="10">
        <v>45760</v>
      </c>
      <c r="F1773" s="2" t="s">
        <v>4348</v>
      </c>
      <c r="G1773" s="2" t="s">
        <v>131</v>
      </c>
      <c r="H1773" s="2" t="s">
        <v>6</v>
      </c>
      <c r="I1773" s="2" t="s">
        <v>2037</v>
      </c>
      <c r="J1773" s="2" t="s">
        <v>2904</v>
      </c>
      <c r="K1773" s="2" t="s">
        <v>4593</v>
      </c>
      <c r="L1773" s="2" t="s">
        <v>2052</v>
      </c>
      <c r="M1773" s="3">
        <v>999</v>
      </c>
      <c r="N1773" s="3">
        <v>999</v>
      </c>
      <c r="P1773" s="2" t="s">
        <v>4597</v>
      </c>
    </row>
    <row r="1774" spans="1:16" ht="13">
      <c r="A1774" s="2" t="s">
        <v>0</v>
      </c>
      <c r="B1774" s="2" t="str">
        <f t="shared" si="27"/>
        <v>24-25 Academic Year</v>
      </c>
      <c r="C1774" s="2">
        <v>45</v>
      </c>
      <c r="D1774" s="2" t="s">
        <v>3303</v>
      </c>
      <c r="E1774" s="10">
        <v>45760</v>
      </c>
      <c r="F1774" s="2" t="s">
        <v>4348</v>
      </c>
      <c r="G1774" s="2" t="s">
        <v>131</v>
      </c>
      <c r="H1774" s="2" t="s">
        <v>6</v>
      </c>
      <c r="I1774" s="2" t="s">
        <v>2037</v>
      </c>
      <c r="J1774" s="2" t="s">
        <v>4598</v>
      </c>
      <c r="K1774" s="2" t="s">
        <v>4593</v>
      </c>
      <c r="L1774" s="2" t="s">
        <v>2052</v>
      </c>
      <c r="M1774" s="3">
        <v>999</v>
      </c>
      <c r="N1774" s="3">
        <v>999</v>
      </c>
      <c r="P1774" s="2" t="s">
        <v>4599</v>
      </c>
    </row>
    <row r="1775" spans="1:16" ht="13">
      <c r="A1775" s="2" t="s">
        <v>0</v>
      </c>
      <c r="B1775" s="2" t="str">
        <f t="shared" si="27"/>
        <v>24-25 Academic Year</v>
      </c>
      <c r="C1775" s="2">
        <v>45</v>
      </c>
      <c r="D1775" s="2" t="s">
        <v>3303</v>
      </c>
      <c r="E1775" s="10">
        <v>45760</v>
      </c>
      <c r="F1775" s="2" t="s">
        <v>4348</v>
      </c>
      <c r="G1775" s="2" t="s">
        <v>131</v>
      </c>
      <c r="H1775" s="2" t="s">
        <v>6</v>
      </c>
      <c r="I1775" s="2" t="s">
        <v>2037</v>
      </c>
      <c r="J1775" s="2" t="s">
        <v>4600</v>
      </c>
      <c r="K1775" s="2" t="s">
        <v>4593</v>
      </c>
      <c r="L1775" s="2" t="s">
        <v>2052</v>
      </c>
      <c r="M1775" s="3">
        <v>999</v>
      </c>
      <c r="N1775" s="3">
        <v>999</v>
      </c>
      <c r="P1775" s="2" t="s">
        <v>4601</v>
      </c>
    </row>
    <row r="1776" spans="1:16" ht="13">
      <c r="A1776" s="2" t="s">
        <v>0</v>
      </c>
      <c r="B1776" s="2" t="str">
        <f t="shared" si="27"/>
        <v>24-25 Academic Year</v>
      </c>
      <c r="C1776" s="2">
        <v>45</v>
      </c>
      <c r="D1776" s="2" t="s">
        <v>3303</v>
      </c>
      <c r="E1776" s="10">
        <v>45760</v>
      </c>
      <c r="F1776" s="2" t="s">
        <v>4348</v>
      </c>
      <c r="G1776" s="2" t="s">
        <v>131</v>
      </c>
      <c r="H1776" s="2" t="s">
        <v>6</v>
      </c>
      <c r="I1776" s="2" t="s">
        <v>2037</v>
      </c>
      <c r="J1776" s="2" t="s">
        <v>4602</v>
      </c>
      <c r="K1776" s="2" t="s">
        <v>4593</v>
      </c>
      <c r="L1776" s="2" t="s">
        <v>2052</v>
      </c>
      <c r="M1776" s="3">
        <v>999</v>
      </c>
      <c r="N1776" s="3">
        <v>999</v>
      </c>
      <c r="P1776" s="2" t="s">
        <v>4603</v>
      </c>
    </row>
    <row r="1777" spans="1:16" ht="13">
      <c r="A1777" s="2" t="s">
        <v>0</v>
      </c>
      <c r="B1777" s="2" t="str">
        <f t="shared" si="27"/>
        <v>24-25 Academic Year</v>
      </c>
      <c r="C1777" s="2">
        <v>46</v>
      </c>
      <c r="D1777" s="2" t="s">
        <v>3673</v>
      </c>
      <c r="E1777" s="10">
        <v>45761</v>
      </c>
      <c r="F1777" s="2" t="s">
        <v>4086</v>
      </c>
      <c r="G1777" s="2" t="s">
        <v>8</v>
      </c>
      <c r="H1777" s="2" t="s">
        <v>8</v>
      </c>
      <c r="J1777" s="2" t="s">
        <v>2882</v>
      </c>
      <c r="K1777" s="2" t="s">
        <v>371</v>
      </c>
      <c r="L1777" s="2" t="s">
        <v>372</v>
      </c>
      <c r="M1777" s="3">
        <v>1</v>
      </c>
      <c r="N1777" s="3">
        <v>2</v>
      </c>
      <c r="P1777" s="2" t="s">
        <v>4087</v>
      </c>
    </row>
    <row r="1778" spans="1:16" ht="13">
      <c r="A1778" s="2" t="s">
        <v>0</v>
      </c>
      <c r="B1778" s="2" t="str">
        <f t="shared" si="27"/>
        <v>24-25 Academic Year</v>
      </c>
      <c r="C1778" s="2">
        <v>46</v>
      </c>
      <c r="D1778" s="2" t="s">
        <v>3673</v>
      </c>
      <c r="E1778" s="10">
        <v>45761</v>
      </c>
      <c r="F1778" s="2" t="s">
        <v>4086</v>
      </c>
      <c r="G1778" s="2" t="s">
        <v>8</v>
      </c>
      <c r="H1778" s="2" t="s">
        <v>8</v>
      </c>
      <c r="J1778" s="2" t="s">
        <v>2884</v>
      </c>
      <c r="K1778" s="2" t="s">
        <v>4311</v>
      </c>
      <c r="L1778" s="2" t="s">
        <v>4312</v>
      </c>
      <c r="M1778" s="3">
        <v>2</v>
      </c>
      <c r="N1778" s="3">
        <v>2</v>
      </c>
      <c r="P1778" s="2" t="s">
        <v>4368</v>
      </c>
    </row>
    <row r="1779" spans="1:16" ht="13">
      <c r="A1779" s="2" t="s">
        <v>0</v>
      </c>
      <c r="B1779" s="2" t="str">
        <f t="shared" si="27"/>
        <v>24-25 Academic Year</v>
      </c>
      <c r="C1779" s="2">
        <v>46</v>
      </c>
      <c r="D1779" s="2" t="s">
        <v>3673</v>
      </c>
      <c r="E1779" s="10">
        <v>45761</v>
      </c>
      <c r="F1779" s="2" t="s">
        <v>4086</v>
      </c>
      <c r="G1779" s="2" t="s">
        <v>8</v>
      </c>
      <c r="H1779" s="2" t="s">
        <v>8</v>
      </c>
      <c r="J1779" s="2" t="s">
        <v>2886</v>
      </c>
      <c r="K1779" s="2" t="s">
        <v>193</v>
      </c>
      <c r="L1779" s="2" t="s">
        <v>4479</v>
      </c>
      <c r="M1779" s="3">
        <v>3</v>
      </c>
      <c r="N1779" s="3">
        <v>1</v>
      </c>
      <c r="P1779" s="2" t="s">
        <v>4480</v>
      </c>
    </row>
    <row r="1780" spans="1:16" ht="13">
      <c r="A1780" s="2" t="s">
        <v>0</v>
      </c>
      <c r="B1780" s="2" t="str">
        <f t="shared" si="27"/>
        <v>24-25 Academic Year</v>
      </c>
      <c r="C1780" s="2">
        <v>46</v>
      </c>
      <c r="D1780" s="2" t="s">
        <v>3673</v>
      </c>
      <c r="E1780" s="10">
        <v>45761</v>
      </c>
      <c r="F1780" s="2" t="s">
        <v>4086</v>
      </c>
      <c r="G1780" s="2" t="s">
        <v>8</v>
      </c>
      <c r="H1780" s="2" t="s">
        <v>8</v>
      </c>
      <c r="J1780" s="2" t="s">
        <v>2889</v>
      </c>
      <c r="K1780" s="2" t="s">
        <v>4544</v>
      </c>
      <c r="L1780" s="2" t="s">
        <v>4545</v>
      </c>
      <c r="M1780" s="3">
        <v>4</v>
      </c>
      <c r="N1780" s="3">
        <v>1</v>
      </c>
      <c r="P1780" s="2" t="s">
        <v>4546</v>
      </c>
    </row>
    <row r="1781" spans="1:16" ht="13">
      <c r="A1781" s="2" t="s">
        <v>0</v>
      </c>
      <c r="B1781" s="2" t="str">
        <f t="shared" si="27"/>
        <v>24-25 Academic Year</v>
      </c>
      <c r="C1781" s="2">
        <v>47</v>
      </c>
      <c r="D1781" s="2" t="s">
        <v>4088</v>
      </c>
      <c r="E1781" s="10">
        <v>45762</v>
      </c>
      <c r="F1781" s="2" t="s">
        <v>4089</v>
      </c>
      <c r="G1781" s="2" t="s">
        <v>131</v>
      </c>
      <c r="H1781" s="2" t="s">
        <v>6</v>
      </c>
      <c r="I1781" s="2" t="s">
        <v>1274</v>
      </c>
      <c r="J1781" s="2" t="s">
        <v>2923</v>
      </c>
      <c r="K1781" s="2" t="s">
        <v>1077</v>
      </c>
      <c r="L1781" s="2" t="s">
        <v>398</v>
      </c>
      <c r="M1781" s="3">
        <v>1</v>
      </c>
      <c r="N1781" s="3">
        <v>2</v>
      </c>
      <c r="P1781" s="2" t="s">
        <v>4090</v>
      </c>
    </row>
    <row r="1782" spans="1:16" ht="13">
      <c r="A1782" s="2" t="s">
        <v>0</v>
      </c>
      <c r="B1782" s="2" t="str">
        <f t="shared" si="27"/>
        <v>24-25 Academic Year</v>
      </c>
      <c r="C1782" s="2">
        <v>47</v>
      </c>
      <c r="D1782" s="2" t="s">
        <v>4088</v>
      </c>
      <c r="E1782" s="10">
        <v>45762</v>
      </c>
      <c r="F1782" s="2" t="s">
        <v>4089</v>
      </c>
      <c r="G1782" s="2" t="s">
        <v>131</v>
      </c>
      <c r="H1782" s="2" t="s">
        <v>6</v>
      </c>
      <c r="I1782" s="2" t="s">
        <v>1274</v>
      </c>
      <c r="J1782" s="2" t="s">
        <v>2926</v>
      </c>
      <c r="K1782" s="2" t="s">
        <v>4481</v>
      </c>
      <c r="L1782" s="2" t="s">
        <v>4482</v>
      </c>
      <c r="M1782" s="3">
        <v>3</v>
      </c>
      <c r="N1782" s="3">
        <v>2</v>
      </c>
      <c r="P1782" s="2" t="s">
        <v>4483</v>
      </c>
    </row>
    <row r="1783" spans="1:16" ht="13">
      <c r="A1783" s="2" t="s">
        <v>0</v>
      </c>
      <c r="B1783" s="2" t="str">
        <f t="shared" si="27"/>
        <v>24-25 Academic Year</v>
      </c>
      <c r="C1783" s="2">
        <v>47</v>
      </c>
      <c r="D1783" s="2" t="s">
        <v>4088</v>
      </c>
      <c r="E1783" s="10">
        <v>45762</v>
      </c>
      <c r="F1783" s="2" t="s">
        <v>4089</v>
      </c>
      <c r="G1783" s="2" t="s">
        <v>131</v>
      </c>
      <c r="H1783" s="2" t="s">
        <v>6</v>
      </c>
      <c r="I1783" s="2" t="s">
        <v>1274</v>
      </c>
      <c r="J1783" s="2" t="s">
        <v>2928</v>
      </c>
      <c r="K1783" s="2" t="s">
        <v>4604</v>
      </c>
      <c r="L1783" s="2" t="s">
        <v>4605</v>
      </c>
      <c r="M1783" s="3">
        <v>999</v>
      </c>
      <c r="N1783" s="3">
        <v>999</v>
      </c>
      <c r="P1783" s="2" t="s">
        <v>4606</v>
      </c>
    </row>
    <row r="1784" spans="1:16" ht="13">
      <c r="A1784" s="2" t="s">
        <v>0</v>
      </c>
      <c r="B1784" s="2" t="str">
        <f t="shared" si="27"/>
        <v>24-25 Academic Year</v>
      </c>
      <c r="C1784" s="2">
        <v>47</v>
      </c>
      <c r="D1784" s="2" t="s">
        <v>4088</v>
      </c>
      <c r="E1784" s="10">
        <v>45762</v>
      </c>
      <c r="F1784" s="2" t="s">
        <v>4089</v>
      </c>
      <c r="G1784" s="2" t="s">
        <v>131</v>
      </c>
      <c r="H1784" s="2" t="s">
        <v>6</v>
      </c>
      <c r="I1784" s="2" t="s">
        <v>1274</v>
      </c>
      <c r="J1784" s="2" t="s">
        <v>2931</v>
      </c>
      <c r="K1784" s="2" t="s">
        <v>4604</v>
      </c>
      <c r="L1784" s="2" t="s">
        <v>4605</v>
      </c>
      <c r="M1784" s="3">
        <v>999</v>
      </c>
      <c r="N1784" s="3">
        <v>999</v>
      </c>
      <c r="P1784" s="2" t="s">
        <v>4484</v>
      </c>
    </row>
    <row r="1785" spans="1:16" ht="13">
      <c r="A1785" s="2" t="s">
        <v>0</v>
      </c>
      <c r="B1785" s="2" t="str">
        <f t="shared" si="27"/>
        <v>24-25 Academic Year</v>
      </c>
      <c r="C1785" s="2">
        <v>47</v>
      </c>
      <c r="D1785" s="2" t="s">
        <v>4088</v>
      </c>
      <c r="E1785" s="10">
        <v>45762</v>
      </c>
      <c r="F1785" s="2" t="s">
        <v>4089</v>
      </c>
      <c r="G1785" s="2" t="s">
        <v>131</v>
      </c>
      <c r="H1785" s="2" t="s">
        <v>6</v>
      </c>
      <c r="I1785" s="2" t="s">
        <v>1274</v>
      </c>
      <c r="J1785" s="2" t="s">
        <v>2933</v>
      </c>
      <c r="K1785" s="2" t="s">
        <v>4604</v>
      </c>
      <c r="L1785" s="2" t="s">
        <v>4605</v>
      </c>
      <c r="M1785" s="3">
        <v>999</v>
      </c>
      <c r="N1785" s="3">
        <v>999</v>
      </c>
      <c r="P1785" s="2" t="s">
        <v>4451</v>
      </c>
    </row>
    <row r="1786" spans="1:16" ht="13">
      <c r="A1786" s="2" t="s">
        <v>0</v>
      </c>
      <c r="B1786" s="2" t="str">
        <f t="shared" si="27"/>
        <v>24-25 Academic Year</v>
      </c>
      <c r="C1786" s="2">
        <v>48</v>
      </c>
      <c r="D1786" s="2" t="s">
        <v>4091</v>
      </c>
      <c r="E1786" s="10">
        <v>45763</v>
      </c>
      <c r="F1786" s="2" t="s">
        <v>3837</v>
      </c>
      <c r="G1786" s="2" t="s">
        <v>131</v>
      </c>
      <c r="H1786" s="2" t="s">
        <v>6</v>
      </c>
      <c r="I1786" s="2" t="s">
        <v>570</v>
      </c>
      <c r="J1786" s="2" t="s">
        <v>2908</v>
      </c>
      <c r="K1786" s="2" t="s">
        <v>237</v>
      </c>
      <c r="L1786" s="2" t="s">
        <v>1421</v>
      </c>
      <c r="M1786" s="3">
        <v>1</v>
      </c>
      <c r="N1786" s="3">
        <v>1</v>
      </c>
      <c r="P1786" s="2" t="s">
        <v>3990</v>
      </c>
    </row>
    <row r="1787" spans="1:16" ht="13">
      <c r="A1787" s="2" t="s">
        <v>0</v>
      </c>
      <c r="B1787" s="2" t="str">
        <f t="shared" si="27"/>
        <v>24-25 Academic Year</v>
      </c>
      <c r="C1787" s="2">
        <v>48</v>
      </c>
      <c r="D1787" s="2" t="s">
        <v>4091</v>
      </c>
      <c r="E1787" s="10">
        <v>45763</v>
      </c>
      <c r="F1787" s="2" t="s">
        <v>3837</v>
      </c>
      <c r="G1787" s="2" t="s">
        <v>131</v>
      </c>
      <c r="H1787" s="2" t="s">
        <v>6</v>
      </c>
      <c r="I1787" s="2" t="s">
        <v>570</v>
      </c>
      <c r="J1787" s="2" t="s">
        <v>3042</v>
      </c>
      <c r="K1787" s="2" t="s">
        <v>4105</v>
      </c>
      <c r="L1787" s="2" t="s">
        <v>4106</v>
      </c>
      <c r="M1787" s="3">
        <v>1</v>
      </c>
      <c r="N1787" s="3">
        <v>1</v>
      </c>
      <c r="P1787" s="2" t="s">
        <v>4107</v>
      </c>
    </row>
    <row r="1788" spans="1:16" ht="13">
      <c r="A1788" s="2" t="s">
        <v>0</v>
      </c>
      <c r="B1788" s="2" t="str">
        <f t="shared" si="27"/>
        <v>24-25 Academic Year</v>
      </c>
      <c r="C1788" s="2">
        <v>48</v>
      </c>
      <c r="D1788" s="2" t="s">
        <v>4091</v>
      </c>
      <c r="E1788" s="10">
        <v>45763</v>
      </c>
      <c r="F1788" s="2" t="s">
        <v>3837</v>
      </c>
      <c r="G1788" s="2" t="s">
        <v>131</v>
      </c>
      <c r="H1788" s="2" t="s">
        <v>6</v>
      </c>
      <c r="I1788" s="2" t="s">
        <v>570</v>
      </c>
      <c r="J1788" s="2" t="s">
        <v>3044</v>
      </c>
      <c r="K1788" s="2" t="s">
        <v>3618</v>
      </c>
      <c r="L1788" s="2" t="s">
        <v>3618</v>
      </c>
      <c r="M1788" s="3">
        <v>999</v>
      </c>
      <c r="N1788" s="3">
        <v>999</v>
      </c>
      <c r="P1788" s="2" t="s">
        <v>4607</v>
      </c>
    </row>
    <row r="1789" spans="1:16" ht="13">
      <c r="A1789" s="2" t="s">
        <v>0</v>
      </c>
      <c r="B1789" s="2" t="str">
        <f t="shared" si="27"/>
        <v>24-25 Academic Year</v>
      </c>
      <c r="C1789" s="2">
        <v>48</v>
      </c>
      <c r="D1789" s="2" t="s">
        <v>4091</v>
      </c>
      <c r="E1789" s="10">
        <v>45763</v>
      </c>
      <c r="F1789" s="2" t="s">
        <v>3837</v>
      </c>
      <c r="G1789" s="2" t="s">
        <v>131</v>
      </c>
      <c r="H1789" s="2" t="s">
        <v>6</v>
      </c>
      <c r="I1789" s="2" t="s">
        <v>570</v>
      </c>
      <c r="J1789" s="2" t="s">
        <v>2911</v>
      </c>
      <c r="K1789" s="2" t="s">
        <v>3536</v>
      </c>
      <c r="L1789" s="2" t="s">
        <v>4092</v>
      </c>
      <c r="M1789" s="3">
        <v>1</v>
      </c>
      <c r="N1789" s="3">
        <v>1</v>
      </c>
      <c r="P1789" s="2" t="s">
        <v>4093</v>
      </c>
    </row>
    <row r="1790" spans="1:16" ht="13">
      <c r="A1790" s="2" t="s">
        <v>0</v>
      </c>
      <c r="B1790" s="2" t="str">
        <f t="shared" si="27"/>
        <v>24-25 Academic Year</v>
      </c>
      <c r="C1790" s="2">
        <v>48</v>
      </c>
      <c r="D1790" s="2" t="s">
        <v>4091</v>
      </c>
      <c r="E1790" s="10">
        <v>45763</v>
      </c>
      <c r="F1790" s="2" t="s">
        <v>3837</v>
      </c>
      <c r="G1790" s="2" t="s">
        <v>131</v>
      </c>
      <c r="H1790" s="2" t="s">
        <v>6</v>
      </c>
      <c r="I1790" s="2" t="s">
        <v>570</v>
      </c>
      <c r="J1790" s="2" t="s">
        <v>2913</v>
      </c>
      <c r="K1790" s="2" t="s">
        <v>1215</v>
      </c>
      <c r="L1790" s="2" t="s">
        <v>3351</v>
      </c>
      <c r="M1790" s="3">
        <v>1</v>
      </c>
      <c r="N1790" s="3">
        <v>2</v>
      </c>
      <c r="P1790" s="2" t="s">
        <v>4094</v>
      </c>
    </row>
    <row r="1791" spans="1:16" ht="13">
      <c r="A1791" s="2" t="s">
        <v>0</v>
      </c>
      <c r="B1791" s="2" t="str">
        <f t="shared" si="27"/>
        <v>24-25 Academic Year</v>
      </c>
      <c r="C1791" s="2">
        <v>48</v>
      </c>
      <c r="D1791" s="2" t="s">
        <v>4091</v>
      </c>
      <c r="E1791" s="10">
        <v>45763</v>
      </c>
      <c r="F1791" s="2" t="s">
        <v>3837</v>
      </c>
      <c r="G1791" s="2" t="s">
        <v>131</v>
      </c>
      <c r="H1791" s="2" t="s">
        <v>6</v>
      </c>
      <c r="I1791" s="2" t="s">
        <v>570</v>
      </c>
      <c r="J1791" s="2" t="s">
        <v>2915</v>
      </c>
      <c r="K1791" s="2" t="s">
        <v>635</v>
      </c>
      <c r="L1791" s="2" t="s">
        <v>3354</v>
      </c>
      <c r="M1791" s="3">
        <v>1</v>
      </c>
      <c r="N1791" s="3">
        <v>2</v>
      </c>
      <c r="P1791" s="2" t="s">
        <v>4095</v>
      </c>
    </row>
    <row r="1792" spans="1:16" ht="13">
      <c r="A1792" s="2" t="s">
        <v>0</v>
      </c>
      <c r="B1792" s="2" t="str">
        <f t="shared" si="27"/>
        <v>24-25 Academic Year</v>
      </c>
      <c r="C1792" s="2">
        <v>48</v>
      </c>
      <c r="D1792" s="2" t="s">
        <v>4091</v>
      </c>
      <c r="E1792" s="10">
        <v>45763</v>
      </c>
      <c r="F1792" s="2" t="s">
        <v>3837</v>
      </c>
      <c r="G1792" s="2" t="s">
        <v>131</v>
      </c>
      <c r="H1792" s="2" t="s">
        <v>6</v>
      </c>
      <c r="I1792" s="2" t="s">
        <v>570</v>
      </c>
      <c r="J1792" s="2" t="s">
        <v>2917</v>
      </c>
      <c r="K1792" s="2" t="s">
        <v>4096</v>
      </c>
      <c r="L1792" s="2" t="s">
        <v>4097</v>
      </c>
      <c r="M1792" s="3">
        <v>1</v>
      </c>
      <c r="N1792" s="3">
        <v>2</v>
      </c>
      <c r="P1792" s="2" t="s">
        <v>4098</v>
      </c>
    </row>
    <row r="1793" spans="1:16" ht="13">
      <c r="A1793" s="2" t="s">
        <v>0</v>
      </c>
      <c r="B1793" s="2" t="str">
        <f t="shared" si="27"/>
        <v>24-25 Academic Year</v>
      </c>
      <c r="C1793" s="2">
        <v>48</v>
      </c>
      <c r="D1793" s="2" t="s">
        <v>4091</v>
      </c>
      <c r="E1793" s="10">
        <v>45763</v>
      </c>
      <c r="F1793" s="2" t="s">
        <v>3837</v>
      </c>
      <c r="G1793" s="2" t="s">
        <v>131</v>
      </c>
      <c r="H1793" s="2" t="s">
        <v>6</v>
      </c>
      <c r="I1793" s="2" t="s">
        <v>570</v>
      </c>
      <c r="J1793" s="2" t="s">
        <v>2919</v>
      </c>
      <c r="K1793" s="2" t="s">
        <v>242</v>
      </c>
      <c r="L1793" s="2" t="s">
        <v>3360</v>
      </c>
      <c r="M1793" s="3">
        <v>1</v>
      </c>
      <c r="N1793" s="3">
        <v>2</v>
      </c>
      <c r="P1793" s="2" t="s">
        <v>4099</v>
      </c>
    </row>
    <row r="1794" spans="1:16" ht="13">
      <c r="A1794" s="2" t="s">
        <v>0</v>
      </c>
      <c r="B1794" s="2" t="str">
        <f t="shared" si="27"/>
        <v>24-25 Academic Year</v>
      </c>
      <c r="C1794" s="2">
        <v>48</v>
      </c>
      <c r="D1794" s="2" t="s">
        <v>4091</v>
      </c>
      <c r="E1794" s="10">
        <v>45763</v>
      </c>
      <c r="F1794" s="2" t="s">
        <v>3837</v>
      </c>
      <c r="G1794" s="2" t="s">
        <v>131</v>
      </c>
      <c r="H1794" s="2" t="s">
        <v>6</v>
      </c>
      <c r="I1794" s="2" t="s">
        <v>570</v>
      </c>
      <c r="J1794" s="2" t="s">
        <v>3058</v>
      </c>
      <c r="K1794" s="2" t="s">
        <v>513</v>
      </c>
      <c r="L1794" s="2" t="s">
        <v>3364</v>
      </c>
      <c r="M1794" s="3">
        <v>1</v>
      </c>
      <c r="N1794" s="3">
        <v>2</v>
      </c>
      <c r="P1794" s="2" t="s">
        <v>4100</v>
      </c>
    </row>
    <row r="1795" spans="1:16" ht="13">
      <c r="A1795" s="2" t="s">
        <v>0</v>
      </c>
      <c r="B1795" s="2" t="str">
        <f t="shared" ref="B1795:B1858" si="28">RIGHT(TEXT(IF(LEFT(A1795,4)="Fall",VALUE(RIGHT(A1795,4)),VALUE(RIGHT(A1795,4))-1),"00"),2)
 &amp; "-" &amp;
 RIGHT(TEXT(IF(LEFT(A1795,4)="Fall",VALUE(RIGHT(A1795,4))+1,VALUE(RIGHT(A1795,4))),"00"),2)
 &amp; " Academic Year"</f>
        <v>24-25 Academic Year</v>
      </c>
      <c r="C1795" s="2">
        <v>48</v>
      </c>
      <c r="D1795" s="2" t="s">
        <v>4091</v>
      </c>
      <c r="E1795" s="10">
        <v>45763</v>
      </c>
      <c r="F1795" s="2" t="s">
        <v>3837</v>
      </c>
      <c r="G1795" s="2" t="s">
        <v>131</v>
      </c>
      <c r="H1795" s="2" t="s">
        <v>6</v>
      </c>
      <c r="I1795" s="2" t="s">
        <v>570</v>
      </c>
      <c r="J1795" s="2" t="s">
        <v>3060</v>
      </c>
      <c r="K1795" s="2" t="s">
        <v>4096</v>
      </c>
      <c r="L1795" s="2" t="s">
        <v>4097</v>
      </c>
      <c r="M1795" s="3">
        <v>1</v>
      </c>
      <c r="N1795" s="3">
        <v>2</v>
      </c>
      <c r="P1795" s="2" t="s">
        <v>4101</v>
      </c>
    </row>
    <row r="1796" spans="1:16" ht="13">
      <c r="A1796" s="2" t="s">
        <v>0</v>
      </c>
      <c r="B1796" s="2" t="str">
        <f t="shared" si="28"/>
        <v>24-25 Academic Year</v>
      </c>
      <c r="C1796" s="2">
        <v>48</v>
      </c>
      <c r="D1796" s="2" t="s">
        <v>4091</v>
      </c>
      <c r="E1796" s="10">
        <v>45763</v>
      </c>
      <c r="F1796" s="2" t="s">
        <v>3837</v>
      </c>
      <c r="G1796" s="2" t="s">
        <v>131</v>
      </c>
      <c r="H1796" s="2" t="s">
        <v>6</v>
      </c>
      <c r="I1796" s="2" t="s">
        <v>570</v>
      </c>
      <c r="J1796" s="2" t="s">
        <v>3062</v>
      </c>
      <c r="K1796" s="2" t="s">
        <v>4102</v>
      </c>
      <c r="L1796" s="2" t="s">
        <v>4103</v>
      </c>
      <c r="M1796" s="3">
        <v>1</v>
      </c>
      <c r="N1796" s="3">
        <v>1</v>
      </c>
      <c r="P1796" s="2" t="s">
        <v>4104</v>
      </c>
    </row>
    <row r="1797" spans="1:16" ht="13">
      <c r="A1797" s="2" t="s">
        <v>0</v>
      </c>
      <c r="B1797" s="2" t="str">
        <f t="shared" si="28"/>
        <v>24-25 Academic Year</v>
      </c>
      <c r="C1797" s="2">
        <v>49</v>
      </c>
      <c r="D1797" s="2" t="s">
        <v>4108</v>
      </c>
      <c r="E1797" s="10">
        <v>45764</v>
      </c>
      <c r="F1797" s="2" t="s">
        <v>4023</v>
      </c>
      <c r="G1797" s="2" t="s">
        <v>131</v>
      </c>
      <c r="H1797" s="2" t="s">
        <v>6</v>
      </c>
      <c r="I1797" s="2" t="s">
        <v>570</v>
      </c>
      <c r="J1797" s="2" t="s">
        <v>2951</v>
      </c>
      <c r="K1797" s="2" t="s">
        <v>580</v>
      </c>
      <c r="L1797" s="2" t="s">
        <v>4034</v>
      </c>
      <c r="M1797" s="3">
        <v>1</v>
      </c>
      <c r="N1797" s="3">
        <v>2</v>
      </c>
      <c r="P1797" s="2" t="s">
        <v>4109</v>
      </c>
    </row>
    <row r="1798" spans="1:16" ht="13">
      <c r="A1798" s="2" t="s">
        <v>0</v>
      </c>
      <c r="B1798" s="2" t="str">
        <f t="shared" si="28"/>
        <v>24-25 Academic Year</v>
      </c>
      <c r="C1798" s="2">
        <v>49</v>
      </c>
      <c r="D1798" s="2" t="s">
        <v>4108</v>
      </c>
      <c r="E1798" s="10">
        <v>45764</v>
      </c>
      <c r="F1798" s="2" t="s">
        <v>4023</v>
      </c>
      <c r="G1798" s="2" t="s">
        <v>131</v>
      </c>
      <c r="H1798" s="2" t="s">
        <v>6</v>
      </c>
      <c r="I1798" s="2" t="s">
        <v>570</v>
      </c>
      <c r="J1798" s="2" t="s">
        <v>2954</v>
      </c>
      <c r="K1798" s="2" t="s">
        <v>605</v>
      </c>
      <c r="L1798" s="2" t="s">
        <v>1407</v>
      </c>
      <c r="M1798" s="3">
        <v>1</v>
      </c>
      <c r="N1798" s="3">
        <v>2</v>
      </c>
      <c r="P1798" s="2" t="s">
        <v>4110</v>
      </c>
    </row>
    <row r="1799" spans="1:16" ht="13">
      <c r="A1799" s="2" t="s">
        <v>0</v>
      </c>
      <c r="B1799" s="2" t="str">
        <f t="shared" si="28"/>
        <v>24-25 Academic Year</v>
      </c>
      <c r="C1799" s="2">
        <v>49</v>
      </c>
      <c r="D1799" s="2" t="s">
        <v>4108</v>
      </c>
      <c r="E1799" s="10">
        <v>45764</v>
      </c>
      <c r="F1799" s="2" t="s">
        <v>4023</v>
      </c>
      <c r="G1799" s="2" t="s">
        <v>131</v>
      </c>
      <c r="H1799" s="2" t="s">
        <v>6</v>
      </c>
      <c r="I1799" s="2" t="s">
        <v>570</v>
      </c>
      <c r="J1799" s="2" t="s">
        <v>3067</v>
      </c>
      <c r="K1799" s="2" t="s">
        <v>605</v>
      </c>
      <c r="L1799" s="2" t="s">
        <v>1407</v>
      </c>
      <c r="M1799" s="3">
        <v>1</v>
      </c>
      <c r="N1799" s="3">
        <v>2</v>
      </c>
      <c r="P1799" s="2" t="s">
        <v>4111</v>
      </c>
    </row>
    <row r="1800" spans="1:16" ht="13">
      <c r="A1800" s="2" t="s">
        <v>0</v>
      </c>
      <c r="B1800" s="2" t="str">
        <f t="shared" si="28"/>
        <v>24-25 Academic Year</v>
      </c>
      <c r="C1800" s="2">
        <v>49</v>
      </c>
      <c r="D1800" s="2" t="s">
        <v>4108</v>
      </c>
      <c r="E1800" s="10">
        <v>45764</v>
      </c>
      <c r="F1800" s="2" t="s">
        <v>4023</v>
      </c>
      <c r="G1800" s="2" t="s">
        <v>131</v>
      </c>
      <c r="H1800" s="2" t="s">
        <v>6</v>
      </c>
      <c r="I1800" s="2" t="s">
        <v>570</v>
      </c>
      <c r="J1800" s="2" t="s">
        <v>3069</v>
      </c>
      <c r="K1800" s="2" t="s">
        <v>605</v>
      </c>
      <c r="L1800" s="2" t="s">
        <v>1407</v>
      </c>
      <c r="M1800" s="3">
        <v>1</v>
      </c>
      <c r="N1800" s="3">
        <v>2</v>
      </c>
      <c r="P1800" s="2" t="s">
        <v>4112</v>
      </c>
    </row>
    <row r="1801" spans="1:16" ht="13">
      <c r="A1801" s="2" t="s">
        <v>0</v>
      </c>
      <c r="B1801" s="2" t="str">
        <f t="shared" si="28"/>
        <v>24-25 Academic Year</v>
      </c>
      <c r="C1801" s="2">
        <v>49</v>
      </c>
      <c r="D1801" s="2" t="s">
        <v>4108</v>
      </c>
      <c r="E1801" s="10">
        <v>45764</v>
      </c>
      <c r="F1801" s="2" t="s">
        <v>4023</v>
      </c>
      <c r="G1801" s="2" t="s">
        <v>131</v>
      </c>
      <c r="H1801" s="2" t="s">
        <v>6</v>
      </c>
      <c r="I1801" s="2" t="s">
        <v>570</v>
      </c>
      <c r="J1801" s="2" t="s">
        <v>4113</v>
      </c>
      <c r="K1801" s="2" t="s">
        <v>242</v>
      </c>
      <c r="L1801" s="2" t="s">
        <v>3360</v>
      </c>
      <c r="M1801" s="3">
        <v>1</v>
      </c>
      <c r="N1801" s="3">
        <v>2</v>
      </c>
      <c r="P1801" s="2" t="s">
        <v>4114</v>
      </c>
    </row>
    <row r="1802" spans="1:16" ht="13">
      <c r="A1802" s="2" t="s">
        <v>0</v>
      </c>
      <c r="B1802" s="2" t="str">
        <f t="shared" si="28"/>
        <v>24-25 Academic Year</v>
      </c>
      <c r="C1802" s="2">
        <v>49</v>
      </c>
      <c r="D1802" s="2" t="s">
        <v>4108</v>
      </c>
      <c r="E1802" s="10">
        <v>45764</v>
      </c>
      <c r="F1802" s="2" t="s">
        <v>4023</v>
      </c>
      <c r="G1802" s="2" t="s">
        <v>131</v>
      </c>
      <c r="H1802" s="2" t="s">
        <v>6</v>
      </c>
      <c r="I1802" s="2" t="s">
        <v>570</v>
      </c>
      <c r="J1802" s="2" t="s">
        <v>4115</v>
      </c>
      <c r="K1802" s="2" t="s">
        <v>2801</v>
      </c>
      <c r="L1802" s="2" t="s">
        <v>4116</v>
      </c>
      <c r="M1802" s="3">
        <v>1</v>
      </c>
      <c r="N1802" s="3">
        <v>2</v>
      </c>
      <c r="P1802" s="2" t="s">
        <v>4117</v>
      </c>
    </row>
    <row r="1803" spans="1:16" ht="13">
      <c r="A1803" s="2" t="s">
        <v>0</v>
      </c>
      <c r="B1803" s="2" t="str">
        <f t="shared" si="28"/>
        <v>24-25 Academic Year</v>
      </c>
      <c r="C1803" s="2">
        <v>49</v>
      </c>
      <c r="D1803" s="2" t="s">
        <v>4108</v>
      </c>
      <c r="E1803" s="10">
        <v>45764</v>
      </c>
      <c r="F1803" s="2" t="s">
        <v>4023</v>
      </c>
      <c r="G1803" s="2" t="s">
        <v>131</v>
      </c>
      <c r="H1803" s="2" t="s">
        <v>6</v>
      </c>
      <c r="I1803" s="2" t="s">
        <v>570</v>
      </c>
      <c r="J1803" s="2" t="s">
        <v>4118</v>
      </c>
      <c r="K1803" s="2" t="s">
        <v>670</v>
      </c>
      <c r="L1803" s="2" t="s">
        <v>403</v>
      </c>
      <c r="M1803" s="3">
        <v>1</v>
      </c>
      <c r="N1803" s="3">
        <v>2</v>
      </c>
      <c r="P1803" s="2" t="s">
        <v>4119</v>
      </c>
    </row>
    <row r="1804" spans="1:16" ht="13">
      <c r="A1804" s="2" t="s">
        <v>0</v>
      </c>
      <c r="B1804" s="2" t="str">
        <f t="shared" si="28"/>
        <v>24-25 Academic Year</v>
      </c>
      <c r="C1804" s="2">
        <v>49</v>
      </c>
      <c r="D1804" s="2" t="s">
        <v>4108</v>
      </c>
      <c r="E1804" s="10">
        <v>45764</v>
      </c>
      <c r="F1804" s="2" t="s">
        <v>4023</v>
      </c>
      <c r="G1804" s="2" t="s">
        <v>131</v>
      </c>
      <c r="H1804" s="2" t="s">
        <v>6</v>
      </c>
      <c r="I1804" s="2" t="s">
        <v>570</v>
      </c>
      <c r="J1804" s="2" t="s">
        <v>4120</v>
      </c>
      <c r="K1804" s="2" t="s">
        <v>1185</v>
      </c>
      <c r="L1804" s="2" t="s">
        <v>4121</v>
      </c>
      <c r="M1804" s="3">
        <v>1</v>
      </c>
      <c r="N1804" s="3">
        <v>2</v>
      </c>
      <c r="P1804" s="2" t="s">
        <v>4122</v>
      </c>
    </row>
    <row r="1805" spans="1:16" ht="13">
      <c r="A1805" s="2" t="s">
        <v>0</v>
      </c>
      <c r="B1805" s="2" t="str">
        <f t="shared" si="28"/>
        <v>24-25 Academic Year</v>
      </c>
      <c r="C1805" s="2">
        <v>49</v>
      </c>
      <c r="D1805" s="2" t="s">
        <v>4108</v>
      </c>
      <c r="E1805" s="10">
        <v>45764</v>
      </c>
      <c r="F1805" s="2" t="s">
        <v>4023</v>
      </c>
      <c r="G1805" s="2" t="s">
        <v>131</v>
      </c>
      <c r="H1805" s="2" t="s">
        <v>6</v>
      </c>
      <c r="I1805" s="2" t="s">
        <v>570</v>
      </c>
      <c r="J1805" s="2" t="s">
        <v>4123</v>
      </c>
      <c r="K1805" s="2" t="s">
        <v>248</v>
      </c>
      <c r="L1805" s="2" t="s">
        <v>1425</v>
      </c>
      <c r="M1805" s="3">
        <v>1</v>
      </c>
      <c r="N1805" s="3">
        <v>2</v>
      </c>
      <c r="P1805" s="2" t="s">
        <v>4124</v>
      </c>
    </row>
    <row r="1806" spans="1:16" ht="13">
      <c r="A1806" s="2" t="s">
        <v>0</v>
      </c>
      <c r="B1806" s="2" t="str">
        <f t="shared" si="28"/>
        <v>24-25 Academic Year</v>
      </c>
      <c r="C1806" s="2">
        <v>50</v>
      </c>
      <c r="D1806" s="2" t="s">
        <v>1368</v>
      </c>
      <c r="E1806" s="10">
        <v>45765</v>
      </c>
      <c r="F1806" s="2" t="s">
        <v>131</v>
      </c>
      <c r="G1806" s="2" t="s">
        <v>131</v>
      </c>
      <c r="H1806" s="2" t="s">
        <v>6</v>
      </c>
      <c r="J1806" s="2" t="s">
        <v>3074</v>
      </c>
      <c r="K1806" s="2" t="s">
        <v>3959</v>
      </c>
      <c r="L1806" s="2" t="s">
        <v>3960</v>
      </c>
      <c r="M1806" s="3">
        <v>1</v>
      </c>
      <c r="N1806" s="3">
        <v>1</v>
      </c>
      <c r="P1806" s="2" t="s">
        <v>4125</v>
      </c>
    </row>
    <row r="1807" spans="1:16" ht="13">
      <c r="A1807" s="2" t="s">
        <v>0</v>
      </c>
      <c r="B1807" s="2" t="str">
        <f t="shared" si="28"/>
        <v>24-25 Academic Year</v>
      </c>
      <c r="C1807" s="2">
        <v>50</v>
      </c>
      <c r="D1807" s="2" t="s">
        <v>1368</v>
      </c>
      <c r="E1807" s="10">
        <v>45765</v>
      </c>
      <c r="F1807" s="2" t="s">
        <v>131</v>
      </c>
      <c r="G1807" s="2" t="s">
        <v>131</v>
      </c>
      <c r="H1807" s="2" t="s">
        <v>6</v>
      </c>
      <c r="J1807" s="2" t="s">
        <v>3084</v>
      </c>
      <c r="K1807" s="2" t="s">
        <v>2212</v>
      </c>
      <c r="L1807" s="2" t="s">
        <v>2213</v>
      </c>
      <c r="M1807" s="3">
        <v>1</v>
      </c>
      <c r="N1807" s="3">
        <v>2</v>
      </c>
      <c r="P1807" s="2" t="s">
        <v>4126</v>
      </c>
    </row>
    <row r="1808" spans="1:16" ht="13">
      <c r="A1808" s="2" t="s">
        <v>0</v>
      </c>
      <c r="B1808" s="2" t="str">
        <f t="shared" si="28"/>
        <v>24-25 Academic Year</v>
      </c>
      <c r="C1808" s="2">
        <v>50</v>
      </c>
      <c r="D1808" s="2" t="s">
        <v>1368</v>
      </c>
      <c r="E1808" s="10">
        <v>45765</v>
      </c>
      <c r="F1808" s="2" t="s">
        <v>131</v>
      </c>
      <c r="G1808" s="2" t="s">
        <v>131</v>
      </c>
      <c r="H1808" s="2" t="s">
        <v>6</v>
      </c>
      <c r="J1808" s="2" t="s">
        <v>3087</v>
      </c>
      <c r="K1808" s="2" t="s">
        <v>2354</v>
      </c>
      <c r="L1808" s="2" t="s">
        <v>4127</v>
      </c>
      <c r="M1808" s="3">
        <v>1</v>
      </c>
      <c r="N1808" s="3">
        <v>2</v>
      </c>
      <c r="P1808" s="2" t="s">
        <v>4128</v>
      </c>
    </row>
    <row r="1809" spans="1:16" ht="13">
      <c r="A1809" s="2" t="s">
        <v>0</v>
      </c>
      <c r="B1809" s="2" t="str">
        <f t="shared" si="28"/>
        <v>24-25 Academic Year</v>
      </c>
      <c r="C1809" s="2">
        <v>50</v>
      </c>
      <c r="D1809" s="2" t="s">
        <v>1368</v>
      </c>
      <c r="E1809" s="10">
        <v>45765</v>
      </c>
      <c r="F1809" s="2" t="s">
        <v>131</v>
      </c>
      <c r="G1809" s="2" t="s">
        <v>131</v>
      </c>
      <c r="H1809" s="2" t="s">
        <v>6</v>
      </c>
      <c r="J1809" s="2" t="s">
        <v>3091</v>
      </c>
      <c r="K1809" s="2" t="s">
        <v>3244</v>
      </c>
      <c r="L1809" s="2" t="s">
        <v>838</v>
      </c>
      <c r="M1809" s="3">
        <v>1</v>
      </c>
      <c r="N1809" s="3">
        <v>2</v>
      </c>
      <c r="P1809" s="2" t="s">
        <v>4129</v>
      </c>
    </row>
    <row r="1810" spans="1:16" ht="13">
      <c r="A1810" s="2" t="s">
        <v>0</v>
      </c>
      <c r="B1810" s="2" t="str">
        <f t="shared" si="28"/>
        <v>24-25 Academic Year</v>
      </c>
      <c r="C1810" s="2">
        <v>50</v>
      </c>
      <c r="D1810" s="2" t="s">
        <v>1368</v>
      </c>
      <c r="E1810" s="10">
        <v>45765</v>
      </c>
      <c r="F1810" s="2" t="s">
        <v>131</v>
      </c>
      <c r="G1810" s="2" t="s">
        <v>131</v>
      </c>
      <c r="H1810" s="2" t="s">
        <v>6</v>
      </c>
      <c r="J1810" s="2" t="s">
        <v>3093</v>
      </c>
      <c r="K1810" s="2" t="s">
        <v>4130</v>
      </c>
      <c r="L1810" s="2" t="s">
        <v>4131</v>
      </c>
      <c r="M1810" s="3">
        <v>1</v>
      </c>
      <c r="N1810" s="3">
        <v>2</v>
      </c>
      <c r="P1810" s="2" t="s">
        <v>4132</v>
      </c>
    </row>
    <row r="1811" spans="1:16" ht="13">
      <c r="A1811" s="2" t="s">
        <v>0</v>
      </c>
      <c r="B1811" s="2" t="str">
        <f t="shared" si="28"/>
        <v>24-25 Academic Year</v>
      </c>
      <c r="C1811" s="2">
        <v>51</v>
      </c>
      <c r="D1811" s="2" t="s">
        <v>2407</v>
      </c>
      <c r="E1811" s="10">
        <v>45765</v>
      </c>
      <c r="F1811" s="2" t="s">
        <v>2184</v>
      </c>
      <c r="G1811" s="2" t="s">
        <v>7</v>
      </c>
      <c r="H1811" s="2" t="s">
        <v>7</v>
      </c>
      <c r="J1811" s="2" t="s">
        <v>3142</v>
      </c>
      <c r="K1811" s="2" t="s">
        <v>1328</v>
      </c>
      <c r="L1811" s="2" t="s">
        <v>1329</v>
      </c>
      <c r="M1811" s="3">
        <v>1</v>
      </c>
      <c r="N1811" s="3">
        <v>1</v>
      </c>
      <c r="P1811" s="2" t="s">
        <v>4133</v>
      </c>
    </row>
    <row r="1812" spans="1:16" ht="13">
      <c r="A1812" s="2" t="s">
        <v>0</v>
      </c>
      <c r="B1812" s="2" t="str">
        <f t="shared" si="28"/>
        <v>24-25 Academic Year</v>
      </c>
      <c r="C1812" s="2">
        <v>51</v>
      </c>
      <c r="D1812" s="2" t="s">
        <v>2407</v>
      </c>
      <c r="E1812" s="10">
        <v>45765</v>
      </c>
      <c r="F1812" s="2" t="s">
        <v>2184</v>
      </c>
      <c r="G1812" s="2" t="s">
        <v>7</v>
      </c>
      <c r="H1812" s="2" t="s">
        <v>7</v>
      </c>
      <c r="J1812" s="2" t="s">
        <v>3144</v>
      </c>
      <c r="K1812" s="2" t="s">
        <v>93</v>
      </c>
      <c r="L1812" s="2" t="s">
        <v>3352</v>
      </c>
      <c r="M1812" s="3">
        <v>1</v>
      </c>
      <c r="N1812" s="3">
        <v>2</v>
      </c>
      <c r="P1812" s="2" t="s">
        <v>4134</v>
      </c>
    </row>
    <row r="1813" spans="1:16" ht="13">
      <c r="A1813" s="2" t="s">
        <v>0</v>
      </c>
      <c r="B1813" s="2" t="str">
        <f t="shared" si="28"/>
        <v>24-25 Academic Year</v>
      </c>
      <c r="C1813" s="2">
        <v>51</v>
      </c>
      <c r="D1813" s="2" t="s">
        <v>2407</v>
      </c>
      <c r="E1813" s="10">
        <v>45765</v>
      </c>
      <c r="F1813" s="2" t="s">
        <v>2184</v>
      </c>
      <c r="G1813" s="2" t="s">
        <v>7</v>
      </c>
      <c r="H1813" s="2" t="s">
        <v>7</v>
      </c>
      <c r="J1813" s="2" t="s">
        <v>2958</v>
      </c>
      <c r="K1813" s="2" t="s">
        <v>3861</v>
      </c>
      <c r="L1813" s="2" t="s">
        <v>3862</v>
      </c>
      <c r="M1813" s="3">
        <v>1</v>
      </c>
      <c r="N1813" s="3">
        <v>1</v>
      </c>
      <c r="P1813" s="2" t="s">
        <v>4135</v>
      </c>
    </row>
    <row r="1814" spans="1:16" ht="13">
      <c r="A1814" s="2" t="s">
        <v>0</v>
      </c>
      <c r="B1814" s="2" t="str">
        <f t="shared" si="28"/>
        <v>24-25 Academic Year</v>
      </c>
      <c r="C1814" s="2">
        <v>51</v>
      </c>
      <c r="D1814" s="2" t="s">
        <v>2407</v>
      </c>
      <c r="E1814" s="10">
        <v>45765</v>
      </c>
      <c r="F1814" s="2" t="s">
        <v>2184</v>
      </c>
      <c r="G1814" s="2" t="s">
        <v>7</v>
      </c>
      <c r="H1814" s="2" t="s">
        <v>7</v>
      </c>
      <c r="J1814" s="2" t="s">
        <v>2961</v>
      </c>
      <c r="K1814" s="2" t="s">
        <v>4303</v>
      </c>
      <c r="L1814" s="2" t="s">
        <v>4304</v>
      </c>
      <c r="M1814" s="3">
        <v>2</v>
      </c>
      <c r="N1814" s="3">
        <v>1</v>
      </c>
      <c r="P1814" s="2" t="s">
        <v>4369</v>
      </c>
    </row>
    <row r="1815" spans="1:16" ht="13">
      <c r="A1815" s="2" t="s">
        <v>0</v>
      </c>
      <c r="B1815" s="2" t="str">
        <f t="shared" si="28"/>
        <v>24-25 Academic Year</v>
      </c>
      <c r="C1815" s="2">
        <v>51</v>
      </c>
      <c r="D1815" s="2" t="s">
        <v>2407</v>
      </c>
      <c r="E1815" s="10">
        <v>45765</v>
      </c>
      <c r="F1815" s="2" t="s">
        <v>2184</v>
      </c>
      <c r="G1815" s="2" t="s">
        <v>7</v>
      </c>
      <c r="H1815" s="2" t="s">
        <v>7</v>
      </c>
      <c r="J1815" s="2" t="s">
        <v>2963</v>
      </c>
      <c r="K1815" s="2" t="s">
        <v>3418</v>
      </c>
      <c r="L1815" s="2" t="s">
        <v>4407</v>
      </c>
      <c r="M1815" s="3">
        <v>3</v>
      </c>
      <c r="N1815" s="3">
        <v>1</v>
      </c>
      <c r="P1815" s="2" t="s">
        <v>4484</v>
      </c>
    </row>
    <row r="1816" spans="1:16" ht="13">
      <c r="A1816" s="2" t="s">
        <v>0</v>
      </c>
      <c r="B1816" s="2" t="str">
        <f t="shared" si="28"/>
        <v>24-25 Academic Year</v>
      </c>
      <c r="C1816" s="2">
        <v>51</v>
      </c>
      <c r="D1816" s="2" t="s">
        <v>2407</v>
      </c>
      <c r="E1816" s="10">
        <v>45765</v>
      </c>
      <c r="F1816" s="2" t="s">
        <v>2184</v>
      </c>
      <c r="G1816" s="2" t="s">
        <v>7</v>
      </c>
      <c r="H1816" s="2" t="s">
        <v>7</v>
      </c>
      <c r="J1816" s="2" t="s">
        <v>2965</v>
      </c>
      <c r="K1816" s="2" t="s">
        <v>4404</v>
      </c>
      <c r="L1816" s="2" t="s">
        <v>4405</v>
      </c>
      <c r="M1816" s="3">
        <v>3</v>
      </c>
      <c r="N1816" s="3">
        <v>1</v>
      </c>
      <c r="P1816" s="2" t="s">
        <v>4485</v>
      </c>
    </row>
    <row r="1817" spans="1:16" ht="13">
      <c r="A1817" s="2" t="s">
        <v>0</v>
      </c>
      <c r="B1817" s="2" t="str">
        <f t="shared" si="28"/>
        <v>24-25 Academic Year</v>
      </c>
      <c r="C1817" s="2">
        <v>51</v>
      </c>
      <c r="D1817" s="2" t="s">
        <v>2407</v>
      </c>
      <c r="E1817" s="10">
        <v>45765</v>
      </c>
      <c r="F1817" s="2" t="s">
        <v>2184</v>
      </c>
      <c r="G1817" s="2" t="s">
        <v>7</v>
      </c>
      <c r="H1817" s="2" t="s">
        <v>7</v>
      </c>
      <c r="J1817" s="2" t="s">
        <v>2967</v>
      </c>
      <c r="K1817" s="2" t="s">
        <v>4515</v>
      </c>
      <c r="L1817" s="2" t="s">
        <v>4516</v>
      </c>
      <c r="M1817" s="3">
        <v>4</v>
      </c>
      <c r="N1817" s="3">
        <v>1</v>
      </c>
      <c r="P1817" s="2" t="s">
        <v>4547</v>
      </c>
    </row>
    <row r="1818" spans="1:16" ht="13">
      <c r="A1818" s="2" t="s">
        <v>0</v>
      </c>
      <c r="B1818" s="2" t="str">
        <f t="shared" si="28"/>
        <v>24-25 Academic Year</v>
      </c>
      <c r="C1818" s="2">
        <v>51</v>
      </c>
      <c r="D1818" s="2" t="s">
        <v>2407</v>
      </c>
      <c r="E1818" s="10">
        <v>45765</v>
      </c>
      <c r="F1818" s="2" t="s">
        <v>2184</v>
      </c>
      <c r="G1818" s="2" t="s">
        <v>7</v>
      </c>
      <c r="H1818" s="2" t="s">
        <v>7</v>
      </c>
      <c r="J1818" s="2" t="s">
        <v>4548</v>
      </c>
      <c r="K1818" s="2" t="s">
        <v>4519</v>
      </c>
      <c r="L1818" s="2" t="s">
        <v>4520</v>
      </c>
      <c r="M1818" s="3">
        <v>4</v>
      </c>
      <c r="N1818" s="3">
        <v>1</v>
      </c>
      <c r="P1818" s="2" t="s">
        <v>4549</v>
      </c>
    </row>
    <row r="1819" spans="1:16" ht="13">
      <c r="A1819" s="2" t="s">
        <v>0</v>
      </c>
      <c r="B1819" s="2" t="str">
        <f t="shared" si="28"/>
        <v>24-25 Academic Year</v>
      </c>
      <c r="C1819" s="2">
        <v>51</v>
      </c>
      <c r="D1819" s="2" t="s">
        <v>2407</v>
      </c>
      <c r="E1819" s="10">
        <v>45765</v>
      </c>
      <c r="F1819" s="2" t="s">
        <v>2184</v>
      </c>
      <c r="G1819" s="2" t="s">
        <v>7</v>
      </c>
      <c r="H1819" s="2" t="s">
        <v>7</v>
      </c>
      <c r="J1819" s="2" t="s">
        <v>4608</v>
      </c>
      <c r="K1819" s="2" t="s">
        <v>679</v>
      </c>
      <c r="L1819" s="2" t="s">
        <v>679</v>
      </c>
      <c r="M1819" s="3">
        <v>999</v>
      </c>
      <c r="N1819" s="3">
        <v>999</v>
      </c>
      <c r="P1819" s="2" t="s">
        <v>4609</v>
      </c>
    </row>
    <row r="1820" spans="1:16" ht="13">
      <c r="A1820" s="2" t="s">
        <v>0</v>
      </c>
      <c r="B1820" s="2" t="str">
        <f t="shared" si="28"/>
        <v>24-25 Academic Year</v>
      </c>
      <c r="C1820" s="2">
        <v>52</v>
      </c>
      <c r="D1820" s="2" t="s">
        <v>4136</v>
      </c>
      <c r="E1820" s="10">
        <v>45766</v>
      </c>
      <c r="F1820" s="2" t="s">
        <v>4137</v>
      </c>
      <c r="G1820" s="2" t="s">
        <v>131</v>
      </c>
      <c r="H1820" s="2" t="s">
        <v>6</v>
      </c>
      <c r="I1820" s="2" t="s">
        <v>634</v>
      </c>
      <c r="J1820" s="2" t="s">
        <v>3120</v>
      </c>
      <c r="K1820" s="2" t="s">
        <v>26</v>
      </c>
      <c r="L1820" s="2" t="s">
        <v>4020</v>
      </c>
      <c r="M1820" s="3">
        <v>1</v>
      </c>
      <c r="N1820" s="3">
        <v>2</v>
      </c>
      <c r="P1820" s="2" t="s">
        <v>4138</v>
      </c>
    </row>
    <row r="1821" spans="1:16" ht="13">
      <c r="A1821" s="2" t="s">
        <v>0</v>
      </c>
      <c r="B1821" s="2" t="str">
        <f t="shared" si="28"/>
        <v>24-25 Academic Year</v>
      </c>
      <c r="C1821" s="2">
        <v>52</v>
      </c>
      <c r="D1821" s="2" t="s">
        <v>4136</v>
      </c>
      <c r="E1821" s="10">
        <v>45766</v>
      </c>
      <c r="F1821" s="2" t="s">
        <v>4137</v>
      </c>
      <c r="G1821" s="2" t="s">
        <v>131</v>
      </c>
      <c r="H1821" s="2" t="s">
        <v>6</v>
      </c>
      <c r="I1821" s="2" t="s">
        <v>634</v>
      </c>
      <c r="J1821" s="2" t="s">
        <v>3124</v>
      </c>
      <c r="K1821" s="2" t="s">
        <v>472</v>
      </c>
      <c r="L1821" s="2" t="s">
        <v>1352</v>
      </c>
      <c r="M1821" s="3">
        <v>1</v>
      </c>
      <c r="N1821" s="3">
        <v>2</v>
      </c>
      <c r="P1821" s="2" t="s">
        <v>2304</v>
      </c>
    </row>
    <row r="1822" spans="1:16" ht="13">
      <c r="A1822" s="2" t="s">
        <v>0</v>
      </c>
      <c r="B1822" s="2" t="str">
        <f t="shared" si="28"/>
        <v>24-25 Academic Year</v>
      </c>
      <c r="C1822" s="2">
        <v>52</v>
      </c>
      <c r="D1822" s="2" t="s">
        <v>4136</v>
      </c>
      <c r="E1822" s="10">
        <v>45766</v>
      </c>
      <c r="F1822" s="2" t="s">
        <v>4137</v>
      </c>
      <c r="G1822" s="2" t="s">
        <v>131</v>
      </c>
      <c r="H1822" s="2" t="s">
        <v>6</v>
      </c>
      <c r="I1822" s="2" t="s">
        <v>634</v>
      </c>
      <c r="J1822" s="2" t="s">
        <v>3126</v>
      </c>
      <c r="K1822" s="2" t="s">
        <v>1215</v>
      </c>
      <c r="L1822" s="2" t="s">
        <v>3351</v>
      </c>
      <c r="M1822" s="3">
        <v>1</v>
      </c>
      <c r="N1822" s="3">
        <v>2</v>
      </c>
      <c r="P1822" s="2" t="s">
        <v>4139</v>
      </c>
    </row>
    <row r="1823" spans="1:16" ht="13">
      <c r="A1823" s="2" t="s">
        <v>0</v>
      </c>
      <c r="B1823" s="2" t="str">
        <f t="shared" si="28"/>
        <v>24-25 Academic Year</v>
      </c>
      <c r="C1823" s="2">
        <v>52</v>
      </c>
      <c r="D1823" s="2" t="s">
        <v>4136</v>
      </c>
      <c r="E1823" s="10">
        <v>45766</v>
      </c>
      <c r="F1823" s="2" t="s">
        <v>4137</v>
      </c>
      <c r="G1823" s="2" t="s">
        <v>131</v>
      </c>
      <c r="H1823" s="2" t="s">
        <v>6</v>
      </c>
      <c r="I1823" s="2" t="s">
        <v>634</v>
      </c>
      <c r="J1823" s="2" t="s">
        <v>3128</v>
      </c>
      <c r="K1823" s="2" t="s">
        <v>4140</v>
      </c>
      <c r="L1823" s="2" t="s">
        <v>4141</v>
      </c>
      <c r="M1823" s="3">
        <v>1</v>
      </c>
      <c r="N1823" s="3">
        <v>2</v>
      </c>
      <c r="P1823" s="2" t="s">
        <v>4142</v>
      </c>
    </row>
    <row r="1824" spans="1:16" ht="13">
      <c r="A1824" s="2" t="s">
        <v>0</v>
      </c>
      <c r="B1824" s="2" t="str">
        <f t="shared" si="28"/>
        <v>24-25 Academic Year</v>
      </c>
      <c r="C1824" s="2">
        <v>52</v>
      </c>
      <c r="D1824" s="2" t="s">
        <v>4136</v>
      </c>
      <c r="E1824" s="10">
        <v>45766</v>
      </c>
      <c r="F1824" s="2" t="s">
        <v>4137</v>
      </c>
      <c r="G1824" s="2" t="s">
        <v>131</v>
      </c>
      <c r="H1824" s="2" t="s">
        <v>6</v>
      </c>
      <c r="I1824" s="2" t="s">
        <v>634</v>
      </c>
      <c r="J1824" s="2" t="s">
        <v>3130</v>
      </c>
      <c r="K1824" s="2" t="s">
        <v>943</v>
      </c>
      <c r="L1824" s="2" t="s">
        <v>4459</v>
      </c>
      <c r="M1824" s="3">
        <v>3</v>
      </c>
      <c r="N1824" s="3">
        <v>1</v>
      </c>
      <c r="P1824" s="2" t="s">
        <v>4486</v>
      </c>
    </row>
    <row r="1825" spans="1:16" ht="13">
      <c r="A1825" s="2" t="s">
        <v>0</v>
      </c>
      <c r="B1825" s="2" t="str">
        <f t="shared" si="28"/>
        <v>24-25 Academic Year</v>
      </c>
      <c r="C1825" s="2">
        <v>53</v>
      </c>
      <c r="D1825" s="2" t="s">
        <v>4143</v>
      </c>
      <c r="E1825" s="10">
        <v>45766</v>
      </c>
      <c r="F1825" s="2" t="s">
        <v>4144</v>
      </c>
      <c r="G1825" s="2" t="s">
        <v>131</v>
      </c>
      <c r="H1825" s="2" t="s">
        <v>6</v>
      </c>
      <c r="I1825" s="2" t="s">
        <v>932</v>
      </c>
      <c r="J1825" s="2" t="s">
        <v>2970</v>
      </c>
      <c r="K1825" s="2" t="s">
        <v>4145</v>
      </c>
      <c r="L1825" s="2" t="s">
        <v>4146</v>
      </c>
      <c r="M1825" s="3">
        <v>1</v>
      </c>
      <c r="N1825" s="3">
        <v>2</v>
      </c>
      <c r="P1825" s="2" t="s">
        <v>4147</v>
      </c>
    </row>
    <row r="1826" spans="1:16" ht="13">
      <c r="A1826" s="2" t="s">
        <v>0</v>
      </c>
      <c r="B1826" s="2" t="str">
        <f t="shared" si="28"/>
        <v>24-25 Academic Year</v>
      </c>
      <c r="C1826" s="2">
        <v>53</v>
      </c>
      <c r="D1826" s="2" t="s">
        <v>4143</v>
      </c>
      <c r="E1826" s="10">
        <v>45766</v>
      </c>
      <c r="F1826" s="2" t="s">
        <v>4144</v>
      </c>
      <c r="G1826" s="2" t="s">
        <v>131</v>
      </c>
      <c r="H1826" s="2" t="s">
        <v>6</v>
      </c>
      <c r="I1826" s="2" t="s">
        <v>932</v>
      </c>
      <c r="J1826" s="2" t="s">
        <v>2973</v>
      </c>
      <c r="K1826" s="2" t="s">
        <v>2126</v>
      </c>
      <c r="L1826" s="2" t="s">
        <v>2127</v>
      </c>
      <c r="M1826" s="3">
        <v>3</v>
      </c>
      <c r="N1826" s="3">
        <v>2</v>
      </c>
      <c r="P1826" s="2" t="s">
        <v>4487</v>
      </c>
    </row>
    <row r="1827" spans="1:16" ht="13">
      <c r="A1827" s="2" t="s">
        <v>0</v>
      </c>
      <c r="B1827" s="2" t="str">
        <f t="shared" si="28"/>
        <v>24-25 Academic Year</v>
      </c>
      <c r="C1827" s="2">
        <v>53</v>
      </c>
      <c r="D1827" s="2" t="s">
        <v>4143</v>
      </c>
      <c r="E1827" s="10">
        <v>45766</v>
      </c>
      <c r="F1827" s="2" t="s">
        <v>4144</v>
      </c>
      <c r="G1827" s="2" t="s">
        <v>131</v>
      </c>
      <c r="H1827" s="2" t="s">
        <v>6</v>
      </c>
      <c r="I1827" s="2" t="s">
        <v>932</v>
      </c>
      <c r="J1827" s="2" t="s">
        <v>2976</v>
      </c>
      <c r="K1827" s="2" t="s">
        <v>3139</v>
      </c>
      <c r="L1827" s="2" t="s">
        <v>3076</v>
      </c>
      <c r="M1827" s="3">
        <v>3</v>
      </c>
      <c r="N1827" s="3">
        <v>2</v>
      </c>
      <c r="P1827" s="2" t="s">
        <v>2703</v>
      </c>
    </row>
    <row r="1828" spans="1:16" ht="13">
      <c r="A1828" s="2" t="s">
        <v>0</v>
      </c>
      <c r="B1828" s="2" t="str">
        <f t="shared" si="28"/>
        <v>24-25 Academic Year</v>
      </c>
      <c r="C1828" s="2">
        <v>53</v>
      </c>
      <c r="D1828" s="2" t="s">
        <v>4143</v>
      </c>
      <c r="E1828" s="10">
        <v>45766</v>
      </c>
      <c r="F1828" s="2" t="s">
        <v>4144</v>
      </c>
      <c r="G1828" s="2" t="s">
        <v>131</v>
      </c>
      <c r="H1828" s="2" t="s">
        <v>6</v>
      </c>
      <c r="I1828" s="2" t="s">
        <v>932</v>
      </c>
      <c r="J1828" s="2" t="s">
        <v>2978</v>
      </c>
      <c r="K1828" s="2" t="s">
        <v>4488</v>
      </c>
      <c r="L1828" s="2" t="s">
        <v>4489</v>
      </c>
      <c r="M1828" s="3">
        <v>3</v>
      </c>
      <c r="N1828" s="3">
        <v>2</v>
      </c>
      <c r="P1828" s="2" t="s">
        <v>4490</v>
      </c>
    </row>
    <row r="1829" spans="1:16" ht="13">
      <c r="A1829" s="2" t="s">
        <v>0</v>
      </c>
      <c r="B1829" s="2" t="str">
        <f t="shared" si="28"/>
        <v>24-25 Academic Year</v>
      </c>
      <c r="C1829" s="2">
        <v>53</v>
      </c>
      <c r="D1829" s="2" t="s">
        <v>4143</v>
      </c>
      <c r="E1829" s="10">
        <v>45766</v>
      </c>
      <c r="F1829" s="2" t="s">
        <v>4144</v>
      </c>
      <c r="G1829" s="2" t="s">
        <v>131</v>
      </c>
      <c r="H1829" s="2" t="s">
        <v>6</v>
      </c>
      <c r="I1829" s="2" t="s">
        <v>932</v>
      </c>
      <c r="J1829" s="2" t="s">
        <v>2981</v>
      </c>
      <c r="K1829" s="2" t="s">
        <v>4430</v>
      </c>
      <c r="L1829" s="2" t="s">
        <v>4431</v>
      </c>
      <c r="M1829" s="3">
        <v>3</v>
      </c>
      <c r="N1829" s="3">
        <v>1</v>
      </c>
      <c r="P1829" s="2" t="s">
        <v>4491</v>
      </c>
    </row>
    <row r="1830" spans="1:16" ht="13">
      <c r="A1830" s="2" t="s">
        <v>0</v>
      </c>
      <c r="B1830" s="2" t="str">
        <f t="shared" si="28"/>
        <v>24-25 Academic Year</v>
      </c>
      <c r="C1830" s="2">
        <v>54</v>
      </c>
      <c r="D1830" s="2" t="s">
        <v>4148</v>
      </c>
      <c r="E1830" s="10">
        <v>45766</v>
      </c>
      <c r="F1830" s="2" t="s">
        <v>4149</v>
      </c>
      <c r="G1830" s="2" t="s">
        <v>131</v>
      </c>
      <c r="H1830" s="2" t="s">
        <v>6</v>
      </c>
      <c r="I1830" s="2" t="s">
        <v>932</v>
      </c>
      <c r="J1830" s="2" t="s">
        <v>2991</v>
      </c>
      <c r="K1830" s="2" t="s">
        <v>3959</v>
      </c>
      <c r="L1830" s="2" t="s">
        <v>3960</v>
      </c>
      <c r="M1830" s="3">
        <v>1</v>
      </c>
      <c r="N1830" s="3">
        <v>1</v>
      </c>
      <c r="P1830" s="2" t="s">
        <v>4150</v>
      </c>
    </row>
    <row r="1831" spans="1:16" ht="13">
      <c r="A1831" s="2" t="s">
        <v>0</v>
      </c>
      <c r="B1831" s="2" t="str">
        <f t="shared" si="28"/>
        <v>24-25 Academic Year</v>
      </c>
      <c r="C1831" s="2">
        <v>54</v>
      </c>
      <c r="D1831" s="2" t="s">
        <v>4148</v>
      </c>
      <c r="E1831" s="10">
        <v>45766</v>
      </c>
      <c r="F1831" s="2" t="s">
        <v>4149</v>
      </c>
      <c r="G1831" s="2" t="s">
        <v>131</v>
      </c>
      <c r="H1831" s="2" t="s">
        <v>6</v>
      </c>
      <c r="I1831" s="2" t="s">
        <v>932</v>
      </c>
      <c r="J1831" s="2" t="s">
        <v>2994</v>
      </c>
      <c r="K1831" s="2" t="s">
        <v>371</v>
      </c>
      <c r="L1831" s="2" t="s">
        <v>372</v>
      </c>
      <c r="M1831" s="3">
        <v>1</v>
      </c>
      <c r="N1831" s="3">
        <v>2</v>
      </c>
      <c r="P1831" s="2" t="s">
        <v>4151</v>
      </c>
    </row>
    <row r="1832" spans="1:16" ht="13">
      <c r="A1832" s="2" t="s">
        <v>0</v>
      </c>
      <c r="B1832" s="2" t="str">
        <f t="shared" si="28"/>
        <v>24-25 Academic Year</v>
      </c>
      <c r="C1832" s="2">
        <v>54</v>
      </c>
      <c r="D1832" s="2" t="s">
        <v>4148</v>
      </c>
      <c r="E1832" s="10">
        <v>45766</v>
      </c>
      <c r="F1832" s="2" t="s">
        <v>4149</v>
      </c>
      <c r="G1832" s="2" t="s">
        <v>131</v>
      </c>
      <c r="H1832" s="2" t="s">
        <v>6</v>
      </c>
      <c r="I1832" s="2" t="s">
        <v>932</v>
      </c>
      <c r="J1832" s="2" t="s">
        <v>2998</v>
      </c>
      <c r="K1832" s="2" t="s">
        <v>788</v>
      </c>
      <c r="L1832" s="2" t="s">
        <v>4007</v>
      </c>
      <c r="M1832" s="3">
        <v>1</v>
      </c>
      <c r="N1832" s="3">
        <v>2</v>
      </c>
      <c r="P1832" s="2" t="s">
        <v>4152</v>
      </c>
    </row>
    <row r="1833" spans="1:16" ht="13">
      <c r="A1833" s="2" t="s">
        <v>0</v>
      </c>
      <c r="B1833" s="2" t="str">
        <f t="shared" si="28"/>
        <v>24-25 Academic Year</v>
      </c>
      <c r="C1833" s="2">
        <v>54</v>
      </c>
      <c r="D1833" s="2" t="s">
        <v>4148</v>
      </c>
      <c r="E1833" s="10">
        <v>45766</v>
      </c>
      <c r="F1833" s="2" t="s">
        <v>4149</v>
      </c>
      <c r="G1833" s="2" t="s">
        <v>131</v>
      </c>
      <c r="H1833" s="2" t="s">
        <v>6</v>
      </c>
      <c r="I1833" s="2" t="s">
        <v>932</v>
      </c>
      <c r="J1833" s="2" t="s">
        <v>3000</v>
      </c>
      <c r="K1833" s="2" t="s">
        <v>4153</v>
      </c>
      <c r="L1833" s="2" t="s">
        <v>4154</v>
      </c>
      <c r="M1833" s="3">
        <v>1</v>
      </c>
      <c r="N1833" s="3">
        <v>1</v>
      </c>
      <c r="P1833" s="2" t="s">
        <v>4155</v>
      </c>
    </row>
    <row r="1834" spans="1:16" ht="13">
      <c r="A1834" s="2" t="s">
        <v>0</v>
      </c>
      <c r="B1834" s="2" t="str">
        <f t="shared" si="28"/>
        <v>24-25 Academic Year</v>
      </c>
      <c r="C1834" s="2">
        <v>54</v>
      </c>
      <c r="D1834" s="2" t="s">
        <v>4148</v>
      </c>
      <c r="E1834" s="10">
        <v>45766</v>
      </c>
      <c r="F1834" s="2" t="s">
        <v>4149</v>
      </c>
      <c r="G1834" s="2" t="s">
        <v>131</v>
      </c>
      <c r="H1834" s="2" t="s">
        <v>6</v>
      </c>
      <c r="I1834" s="2" t="s">
        <v>932</v>
      </c>
      <c r="J1834" s="2" t="s">
        <v>3157</v>
      </c>
      <c r="K1834" s="2" t="s">
        <v>4357</v>
      </c>
      <c r="L1834" s="2" t="s">
        <v>4358</v>
      </c>
      <c r="M1834" s="3">
        <v>2</v>
      </c>
      <c r="N1834" s="3">
        <v>1</v>
      </c>
      <c r="P1834" s="2" t="s">
        <v>4370</v>
      </c>
    </row>
    <row r="1835" spans="1:16" ht="13">
      <c r="A1835" s="2" t="s">
        <v>0</v>
      </c>
      <c r="B1835" s="2" t="str">
        <f t="shared" si="28"/>
        <v>24-25 Academic Year</v>
      </c>
      <c r="C1835" s="2">
        <v>54</v>
      </c>
      <c r="D1835" s="2" t="s">
        <v>4148</v>
      </c>
      <c r="E1835" s="10">
        <v>45766</v>
      </c>
      <c r="F1835" s="2" t="s">
        <v>4149</v>
      </c>
      <c r="G1835" s="2" t="s">
        <v>131</v>
      </c>
      <c r="H1835" s="2" t="s">
        <v>6</v>
      </c>
      <c r="I1835" s="2" t="s">
        <v>932</v>
      </c>
      <c r="J1835" s="2" t="s">
        <v>4492</v>
      </c>
      <c r="K1835" s="2" t="s">
        <v>4420</v>
      </c>
      <c r="L1835" s="2" t="s">
        <v>4420</v>
      </c>
      <c r="M1835" s="3">
        <v>3</v>
      </c>
      <c r="N1835" s="3">
        <v>1</v>
      </c>
      <c r="P1835" s="2" t="s">
        <v>4493</v>
      </c>
    </row>
    <row r="1836" spans="1:16" ht="13">
      <c r="A1836" s="2" t="s">
        <v>0</v>
      </c>
      <c r="B1836" s="2" t="str">
        <f t="shared" si="28"/>
        <v>24-25 Academic Year</v>
      </c>
      <c r="C1836" s="2">
        <v>54</v>
      </c>
      <c r="D1836" s="2" t="s">
        <v>4148</v>
      </c>
      <c r="E1836" s="10">
        <v>45766</v>
      </c>
      <c r="F1836" s="2" t="s">
        <v>4149</v>
      </c>
      <c r="G1836" s="2" t="s">
        <v>131</v>
      </c>
      <c r="H1836" s="2" t="s">
        <v>6</v>
      </c>
      <c r="I1836" s="2" t="s">
        <v>932</v>
      </c>
      <c r="J1836" s="2" t="s">
        <v>4550</v>
      </c>
      <c r="K1836" s="2" t="s">
        <v>4551</v>
      </c>
      <c r="L1836" s="2" t="s">
        <v>4552</v>
      </c>
      <c r="M1836" s="3">
        <v>4</v>
      </c>
      <c r="N1836" s="3">
        <v>1</v>
      </c>
      <c r="P1836" s="2" t="s">
        <v>4553</v>
      </c>
    </row>
    <row r="1837" spans="1:16" ht="13">
      <c r="A1837" s="2" t="s">
        <v>0</v>
      </c>
      <c r="B1837" s="2" t="str">
        <f t="shared" si="28"/>
        <v>24-25 Academic Year</v>
      </c>
      <c r="C1837" s="2">
        <v>55</v>
      </c>
      <c r="D1837" s="2" t="s">
        <v>4156</v>
      </c>
      <c r="E1837" s="10">
        <v>45767</v>
      </c>
      <c r="F1837" s="2" t="s">
        <v>4157</v>
      </c>
      <c r="G1837" s="2" t="s">
        <v>131</v>
      </c>
      <c r="H1837" s="2" t="s">
        <v>6</v>
      </c>
      <c r="I1837" s="2" t="s">
        <v>728</v>
      </c>
      <c r="J1837" s="2" t="s">
        <v>3003</v>
      </c>
      <c r="K1837" s="2" t="s">
        <v>3453</v>
      </c>
      <c r="L1837" s="2" t="s">
        <v>4158</v>
      </c>
      <c r="M1837" s="3">
        <v>1</v>
      </c>
      <c r="N1837" s="3">
        <v>2</v>
      </c>
      <c r="P1837" s="2" t="s">
        <v>4159</v>
      </c>
    </row>
    <row r="1838" spans="1:16" ht="13">
      <c r="A1838" s="2" t="s">
        <v>0</v>
      </c>
      <c r="B1838" s="2" t="str">
        <f t="shared" si="28"/>
        <v>24-25 Academic Year</v>
      </c>
      <c r="C1838" s="2">
        <v>55</v>
      </c>
      <c r="D1838" s="2" t="s">
        <v>4156</v>
      </c>
      <c r="E1838" s="10">
        <v>45767</v>
      </c>
      <c r="F1838" s="2" t="s">
        <v>4157</v>
      </c>
      <c r="G1838" s="2" t="s">
        <v>131</v>
      </c>
      <c r="H1838" s="2" t="s">
        <v>6</v>
      </c>
      <c r="I1838" s="2" t="s">
        <v>728</v>
      </c>
      <c r="J1838" s="2" t="s">
        <v>3007</v>
      </c>
      <c r="K1838" s="2" t="s">
        <v>670</v>
      </c>
      <c r="L1838" s="2" t="s">
        <v>403</v>
      </c>
      <c r="M1838" s="3">
        <v>1</v>
      </c>
      <c r="N1838" s="3">
        <v>2</v>
      </c>
      <c r="P1838" s="2" t="s">
        <v>4160</v>
      </c>
    </row>
    <row r="1839" spans="1:16" ht="13">
      <c r="A1839" s="2" t="s">
        <v>0</v>
      </c>
      <c r="B1839" s="2" t="str">
        <f t="shared" si="28"/>
        <v>24-25 Academic Year</v>
      </c>
      <c r="C1839" s="2">
        <v>55</v>
      </c>
      <c r="D1839" s="2" t="s">
        <v>4156</v>
      </c>
      <c r="E1839" s="10">
        <v>45767</v>
      </c>
      <c r="F1839" s="2" t="s">
        <v>4157</v>
      </c>
      <c r="G1839" s="2" t="s">
        <v>131</v>
      </c>
      <c r="H1839" s="2" t="s">
        <v>6</v>
      </c>
      <c r="I1839" s="2" t="s">
        <v>728</v>
      </c>
      <c r="J1839" s="2" t="s">
        <v>3009</v>
      </c>
      <c r="K1839" s="2" t="s">
        <v>371</v>
      </c>
      <c r="L1839" s="2" t="s">
        <v>372</v>
      </c>
      <c r="M1839" s="3">
        <v>1</v>
      </c>
      <c r="N1839" s="3">
        <v>2</v>
      </c>
      <c r="P1839" s="2" t="s">
        <v>4161</v>
      </c>
    </row>
    <row r="1840" spans="1:16" ht="13">
      <c r="A1840" s="2" t="s">
        <v>0</v>
      </c>
      <c r="B1840" s="2" t="str">
        <f t="shared" si="28"/>
        <v>24-25 Academic Year</v>
      </c>
      <c r="C1840" s="2">
        <v>55</v>
      </c>
      <c r="D1840" s="2" t="s">
        <v>4156</v>
      </c>
      <c r="E1840" s="10">
        <v>45767</v>
      </c>
      <c r="F1840" s="2" t="s">
        <v>4157</v>
      </c>
      <c r="G1840" s="2" t="s">
        <v>131</v>
      </c>
      <c r="H1840" s="2" t="s">
        <v>6</v>
      </c>
      <c r="I1840" s="2" t="s">
        <v>728</v>
      </c>
      <c r="J1840" s="2" t="s">
        <v>3011</v>
      </c>
      <c r="K1840" s="2" t="s">
        <v>4162</v>
      </c>
      <c r="L1840" s="2" t="s">
        <v>4163</v>
      </c>
      <c r="M1840" s="3">
        <v>1</v>
      </c>
      <c r="N1840" s="3">
        <v>2</v>
      </c>
      <c r="P1840" s="2" t="s">
        <v>4164</v>
      </c>
    </row>
    <row r="1841" spans="1:16" ht="13">
      <c r="A1841" s="2" t="s">
        <v>0</v>
      </c>
      <c r="B1841" s="2" t="str">
        <f t="shared" si="28"/>
        <v>24-25 Academic Year</v>
      </c>
      <c r="C1841" s="2">
        <v>56</v>
      </c>
      <c r="D1841" s="2" t="s">
        <v>3722</v>
      </c>
      <c r="E1841" s="10">
        <v>45768</v>
      </c>
      <c r="F1841" s="2" t="s">
        <v>2990</v>
      </c>
      <c r="H1841" s="2" t="s">
        <v>8</v>
      </c>
      <c r="J1841" s="2" t="s">
        <v>3160</v>
      </c>
      <c r="K1841" s="2" t="s">
        <v>4165</v>
      </c>
      <c r="L1841" s="2" t="s">
        <v>4166</v>
      </c>
      <c r="M1841" s="3">
        <v>1</v>
      </c>
      <c r="N1841" s="3">
        <v>2</v>
      </c>
      <c r="P1841" s="2" t="s">
        <v>4167</v>
      </c>
    </row>
    <row r="1842" spans="1:16" ht="13">
      <c r="A1842" s="2" t="s">
        <v>0</v>
      </c>
      <c r="B1842" s="2" t="str">
        <f t="shared" si="28"/>
        <v>24-25 Academic Year</v>
      </c>
      <c r="C1842" s="2">
        <v>56</v>
      </c>
      <c r="D1842" s="2" t="s">
        <v>3722</v>
      </c>
      <c r="E1842" s="10">
        <v>45768</v>
      </c>
      <c r="F1842" s="2" t="s">
        <v>2990</v>
      </c>
      <c r="H1842" s="2" t="s">
        <v>8</v>
      </c>
      <c r="J1842" s="2" t="s">
        <v>3163</v>
      </c>
      <c r="K1842" s="2" t="s">
        <v>670</v>
      </c>
      <c r="L1842" s="2" t="s">
        <v>403</v>
      </c>
      <c r="M1842" s="3">
        <v>1</v>
      </c>
      <c r="N1842" s="3">
        <v>2</v>
      </c>
      <c r="P1842" s="2" t="s">
        <v>4168</v>
      </c>
    </row>
    <row r="1843" spans="1:16" ht="13">
      <c r="A1843" s="2" t="s">
        <v>0</v>
      </c>
      <c r="B1843" s="2" t="str">
        <f t="shared" si="28"/>
        <v>24-25 Academic Year</v>
      </c>
      <c r="C1843" s="2">
        <v>56</v>
      </c>
      <c r="D1843" s="2" t="s">
        <v>3722</v>
      </c>
      <c r="E1843" s="10">
        <v>45768</v>
      </c>
      <c r="F1843" s="2" t="s">
        <v>2990</v>
      </c>
      <c r="H1843" s="2" t="s">
        <v>8</v>
      </c>
      <c r="J1843" s="2" t="s">
        <v>3165</v>
      </c>
      <c r="K1843" s="2" t="s">
        <v>2374</v>
      </c>
      <c r="L1843" s="2" t="s">
        <v>4169</v>
      </c>
      <c r="M1843" s="3">
        <v>1</v>
      </c>
      <c r="N1843" s="3">
        <v>2</v>
      </c>
      <c r="P1843" s="2" t="s">
        <v>4170</v>
      </c>
    </row>
    <row r="1844" spans="1:16" ht="13">
      <c r="A1844" s="2" t="s">
        <v>0</v>
      </c>
      <c r="B1844" s="2" t="str">
        <f t="shared" si="28"/>
        <v>24-25 Academic Year</v>
      </c>
      <c r="C1844" s="2">
        <v>56</v>
      </c>
      <c r="D1844" s="2" t="s">
        <v>3722</v>
      </c>
      <c r="E1844" s="10">
        <v>45768</v>
      </c>
      <c r="F1844" s="2" t="s">
        <v>2990</v>
      </c>
      <c r="H1844" s="2" t="s">
        <v>8</v>
      </c>
      <c r="J1844" s="2" t="s">
        <v>3168</v>
      </c>
      <c r="K1844" s="2" t="s">
        <v>4171</v>
      </c>
      <c r="L1844" s="2" t="s">
        <v>4172</v>
      </c>
      <c r="M1844" s="3">
        <v>1</v>
      </c>
      <c r="N1844" s="3">
        <v>2</v>
      </c>
      <c r="P1844" s="2" t="s">
        <v>4173</v>
      </c>
    </row>
    <row r="1845" spans="1:16" ht="13">
      <c r="A1845" s="2" t="s">
        <v>0</v>
      </c>
      <c r="B1845" s="2" t="str">
        <f t="shared" si="28"/>
        <v>24-25 Academic Year</v>
      </c>
      <c r="C1845" s="2">
        <v>56</v>
      </c>
      <c r="D1845" s="2" t="s">
        <v>3722</v>
      </c>
      <c r="E1845" s="10">
        <v>45768</v>
      </c>
      <c r="F1845" s="2" t="s">
        <v>2990</v>
      </c>
      <c r="H1845" s="2" t="s">
        <v>8</v>
      </c>
      <c r="J1845" s="2" t="s">
        <v>4174</v>
      </c>
      <c r="K1845" s="2" t="s">
        <v>696</v>
      </c>
      <c r="L1845" s="2" t="s">
        <v>3819</v>
      </c>
      <c r="M1845" s="3">
        <v>1</v>
      </c>
      <c r="N1845" s="3">
        <v>2</v>
      </c>
      <c r="P1845" s="2" t="s">
        <v>4175</v>
      </c>
    </row>
    <row r="1846" spans="1:16" ht="13">
      <c r="A1846" s="2" t="s">
        <v>0</v>
      </c>
      <c r="B1846" s="2" t="str">
        <f t="shared" si="28"/>
        <v>24-25 Academic Year</v>
      </c>
      <c r="C1846" s="2">
        <v>56</v>
      </c>
      <c r="D1846" s="2" t="s">
        <v>3722</v>
      </c>
      <c r="E1846" s="10">
        <v>45768</v>
      </c>
      <c r="F1846" s="2" t="s">
        <v>2990</v>
      </c>
      <c r="H1846" s="2" t="s">
        <v>8</v>
      </c>
      <c r="J1846" s="2" t="s">
        <v>4651</v>
      </c>
      <c r="K1846" s="2" t="s">
        <v>4652</v>
      </c>
      <c r="L1846" s="2" t="s">
        <v>4653</v>
      </c>
      <c r="M1846" s="3">
        <v>1</v>
      </c>
      <c r="N1846" s="3">
        <v>1</v>
      </c>
      <c r="P1846" s="2" t="s">
        <v>4654</v>
      </c>
    </row>
    <row r="1847" spans="1:16" ht="13">
      <c r="A1847" s="2" t="s">
        <v>0</v>
      </c>
      <c r="B1847" s="2" t="str">
        <f t="shared" si="28"/>
        <v>24-25 Academic Year</v>
      </c>
      <c r="C1847" s="2">
        <v>57</v>
      </c>
      <c r="D1847" s="2" t="s">
        <v>4176</v>
      </c>
      <c r="E1847" s="10">
        <v>45769</v>
      </c>
      <c r="F1847" s="2" t="s">
        <v>3837</v>
      </c>
      <c r="G1847" s="2" t="s">
        <v>131</v>
      </c>
      <c r="H1847" s="2" t="s">
        <v>6</v>
      </c>
      <c r="I1847" s="2" t="s">
        <v>570</v>
      </c>
      <c r="J1847" s="2" t="s">
        <v>3188</v>
      </c>
      <c r="K1847" s="2" t="s">
        <v>1033</v>
      </c>
      <c r="L1847" s="2" t="s">
        <v>3902</v>
      </c>
      <c r="M1847" s="3">
        <v>1</v>
      </c>
      <c r="N1847" s="3">
        <v>2</v>
      </c>
      <c r="P1847" s="2" t="s">
        <v>4177</v>
      </c>
    </row>
    <row r="1848" spans="1:16" ht="13">
      <c r="A1848" s="2" t="s">
        <v>0</v>
      </c>
      <c r="B1848" s="2" t="str">
        <f t="shared" si="28"/>
        <v>24-25 Academic Year</v>
      </c>
      <c r="C1848" s="2">
        <v>57</v>
      </c>
      <c r="D1848" s="2" t="s">
        <v>4176</v>
      </c>
      <c r="E1848" s="10">
        <v>45769</v>
      </c>
      <c r="F1848" s="2" t="s">
        <v>3837</v>
      </c>
      <c r="G1848" s="2" t="s">
        <v>131</v>
      </c>
      <c r="H1848" s="2" t="s">
        <v>6</v>
      </c>
      <c r="I1848" s="2" t="s">
        <v>570</v>
      </c>
      <c r="J1848" s="2" t="s">
        <v>4379</v>
      </c>
      <c r="K1848" s="2" t="s">
        <v>4380</v>
      </c>
      <c r="L1848" s="2" t="s">
        <v>4381</v>
      </c>
      <c r="M1848" s="3">
        <v>2</v>
      </c>
      <c r="N1848" s="3">
        <v>1</v>
      </c>
      <c r="P1848" s="2" t="s">
        <v>4382</v>
      </c>
    </row>
    <row r="1849" spans="1:16" ht="13">
      <c r="A1849" s="2" t="s">
        <v>0</v>
      </c>
      <c r="B1849" s="2" t="str">
        <f t="shared" si="28"/>
        <v>24-25 Academic Year</v>
      </c>
      <c r="C1849" s="2">
        <v>57</v>
      </c>
      <c r="D1849" s="2" t="s">
        <v>4176</v>
      </c>
      <c r="E1849" s="10">
        <v>45769</v>
      </c>
      <c r="F1849" s="2" t="s">
        <v>3837</v>
      </c>
      <c r="G1849" s="2" t="s">
        <v>131</v>
      </c>
      <c r="H1849" s="2" t="s">
        <v>6</v>
      </c>
      <c r="I1849" s="2" t="s">
        <v>570</v>
      </c>
      <c r="J1849" s="2" t="s">
        <v>4554</v>
      </c>
      <c r="K1849" s="2" t="s">
        <v>4555</v>
      </c>
      <c r="L1849" s="2" t="s">
        <v>4556</v>
      </c>
      <c r="M1849" s="3">
        <v>4</v>
      </c>
      <c r="N1849" s="3">
        <v>2</v>
      </c>
      <c r="P1849" s="2" t="s">
        <v>4557</v>
      </c>
    </row>
    <row r="1850" spans="1:16" ht="13">
      <c r="A1850" s="2" t="s">
        <v>0</v>
      </c>
      <c r="B1850" s="2" t="str">
        <f t="shared" si="28"/>
        <v>24-25 Academic Year</v>
      </c>
      <c r="C1850" s="2">
        <v>57</v>
      </c>
      <c r="D1850" s="2" t="s">
        <v>4176</v>
      </c>
      <c r="E1850" s="10">
        <v>45769</v>
      </c>
      <c r="F1850" s="2" t="s">
        <v>3837</v>
      </c>
      <c r="G1850" s="2" t="s">
        <v>131</v>
      </c>
      <c r="H1850" s="2" t="s">
        <v>6</v>
      </c>
      <c r="I1850" s="2" t="s">
        <v>570</v>
      </c>
      <c r="J1850" s="2" t="s">
        <v>4655</v>
      </c>
      <c r="K1850" s="2" t="s">
        <v>4648</v>
      </c>
      <c r="L1850" s="2" t="s">
        <v>4649</v>
      </c>
      <c r="M1850" s="3">
        <v>1</v>
      </c>
      <c r="N1850" s="3">
        <v>1</v>
      </c>
      <c r="P1850" s="2" t="s">
        <v>4656</v>
      </c>
    </row>
    <row r="1851" spans="1:16" ht="13">
      <c r="A1851" s="2" t="s">
        <v>0</v>
      </c>
      <c r="B1851" s="2" t="str">
        <f t="shared" si="28"/>
        <v>24-25 Academic Year</v>
      </c>
      <c r="C1851" s="2">
        <v>57</v>
      </c>
      <c r="D1851" s="2" t="s">
        <v>4176</v>
      </c>
      <c r="E1851" s="10">
        <v>45769</v>
      </c>
      <c r="F1851" s="2" t="s">
        <v>3837</v>
      </c>
      <c r="G1851" s="2" t="s">
        <v>131</v>
      </c>
      <c r="H1851" s="2" t="s">
        <v>6</v>
      </c>
      <c r="I1851" s="2" t="s">
        <v>570</v>
      </c>
      <c r="J1851" s="2" t="s">
        <v>3190</v>
      </c>
      <c r="K1851" s="2" t="s">
        <v>3203</v>
      </c>
      <c r="L1851" s="2" t="s">
        <v>4178</v>
      </c>
      <c r="M1851" s="3">
        <v>1</v>
      </c>
      <c r="N1851" s="3">
        <v>2</v>
      </c>
      <c r="P1851" s="2" t="s">
        <v>4179</v>
      </c>
    </row>
    <row r="1852" spans="1:16" ht="13">
      <c r="A1852" s="2" t="s">
        <v>0</v>
      </c>
      <c r="B1852" s="2" t="str">
        <f t="shared" si="28"/>
        <v>24-25 Academic Year</v>
      </c>
      <c r="C1852" s="2">
        <v>57</v>
      </c>
      <c r="D1852" s="2" t="s">
        <v>4176</v>
      </c>
      <c r="E1852" s="10">
        <v>45769</v>
      </c>
      <c r="F1852" s="2" t="s">
        <v>3837</v>
      </c>
      <c r="G1852" s="2" t="s">
        <v>131</v>
      </c>
      <c r="H1852" s="2" t="s">
        <v>6</v>
      </c>
      <c r="I1852" s="2" t="s">
        <v>570</v>
      </c>
      <c r="J1852" s="2" t="s">
        <v>4180</v>
      </c>
      <c r="K1852" s="2" t="s">
        <v>98</v>
      </c>
      <c r="L1852" s="2" t="s">
        <v>3348</v>
      </c>
      <c r="M1852" s="3">
        <v>1</v>
      </c>
      <c r="N1852" s="3">
        <v>2</v>
      </c>
      <c r="P1852" s="2" t="s">
        <v>4181</v>
      </c>
    </row>
    <row r="1853" spans="1:16" ht="13">
      <c r="A1853" s="2" t="s">
        <v>0</v>
      </c>
      <c r="B1853" s="2" t="str">
        <f t="shared" si="28"/>
        <v>24-25 Academic Year</v>
      </c>
      <c r="C1853" s="2">
        <v>57</v>
      </c>
      <c r="D1853" s="2" t="s">
        <v>4176</v>
      </c>
      <c r="E1853" s="10">
        <v>45769</v>
      </c>
      <c r="F1853" s="2" t="s">
        <v>3837</v>
      </c>
      <c r="G1853" s="2" t="s">
        <v>131</v>
      </c>
      <c r="H1853" s="2" t="s">
        <v>6</v>
      </c>
      <c r="I1853" s="2" t="s">
        <v>570</v>
      </c>
      <c r="J1853" s="2" t="s">
        <v>4182</v>
      </c>
      <c r="K1853" s="2" t="s">
        <v>4140</v>
      </c>
      <c r="L1853" s="2" t="s">
        <v>4141</v>
      </c>
      <c r="M1853" s="3">
        <v>1</v>
      </c>
      <c r="N1853" s="3">
        <v>2</v>
      </c>
      <c r="P1853" s="2" t="s">
        <v>4183</v>
      </c>
    </row>
    <row r="1854" spans="1:16" ht="13">
      <c r="A1854" s="2" t="s">
        <v>0</v>
      </c>
      <c r="B1854" s="2" t="str">
        <f t="shared" si="28"/>
        <v>24-25 Academic Year</v>
      </c>
      <c r="C1854" s="2">
        <v>57</v>
      </c>
      <c r="D1854" s="2" t="s">
        <v>4176</v>
      </c>
      <c r="E1854" s="10">
        <v>45769</v>
      </c>
      <c r="F1854" s="2" t="s">
        <v>3837</v>
      </c>
      <c r="G1854" s="2" t="s">
        <v>131</v>
      </c>
      <c r="H1854" s="2" t="s">
        <v>6</v>
      </c>
      <c r="I1854" s="2" t="s">
        <v>570</v>
      </c>
      <c r="J1854" s="2" t="s">
        <v>4184</v>
      </c>
      <c r="K1854" s="2" t="s">
        <v>4185</v>
      </c>
      <c r="L1854" s="2" t="s">
        <v>4186</v>
      </c>
      <c r="M1854" s="3">
        <v>1</v>
      </c>
      <c r="N1854" s="3">
        <v>2</v>
      </c>
      <c r="P1854" s="2" t="s">
        <v>4187</v>
      </c>
    </row>
    <row r="1855" spans="1:16" ht="13">
      <c r="A1855" s="2" t="s">
        <v>0</v>
      </c>
      <c r="B1855" s="2" t="str">
        <f t="shared" si="28"/>
        <v>24-25 Academic Year</v>
      </c>
      <c r="C1855" s="2">
        <v>57</v>
      </c>
      <c r="D1855" s="2" t="s">
        <v>4176</v>
      </c>
      <c r="E1855" s="10">
        <v>45769</v>
      </c>
      <c r="F1855" s="2" t="s">
        <v>3837</v>
      </c>
      <c r="G1855" s="2" t="s">
        <v>131</v>
      </c>
      <c r="H1855" s="2" t="s">
        <v>6</v>
      </c>
      <c r="I1855" s="2" t="s">
        <v>570</v>
      </c>
      <c r="J1855" s="2" t="s">
        <v>4188</v>
      </c>
      <c r="K1855" s="2" t="s">
        <v>4189</v>
      </c>
      <c r="L1855" s="2" t="s">
        <v>4190</v>
      </c>
      <c r="M1855" s="3">
        <v>1</v>
      </c>
      <c r="N1855" s="3">
        <v>2</v>
      </c>
      <c r="P1855" s="2" t="s">
        <v>4191</v>
      </c>
    </row>
    <row r="1856" spans="1:16" ht="13">
      <c r="A1856" s="2" t="s">
        <v>0</v>
      </c>
      <c r="B1856" s="2" t="str">
        <f t="shared" si="28"/>
        <v>24-25 Academic Year</v>
      </c>
      <c r="C1856" s="2">
        <v>57</v>
      </c>
      <c r="D1856" s="2" t="s">
        <v>4176</v>
      </c>
      <c r="E1856" s="10">
        <v>45769</v>
      </c>
      <c r="F1856" s="2" t="s">
        <v>3837</v>
      </c>
      <c r="G1856" s="2" t="s">
        <v>131</v>
      </c>
      <c r="H1856" s="2" t="s">
        <v>6</v>
      </c>
      <c r="I1856" s="2" t="s">
        <v>570</v>
      </c>
      <c r="J1856" s="2" t="s">
        <v>4371</v>
      </c>
      <c r="K1856" s="2" t="s">
        <v>4372</v>
      </c>
      <c r="L1856" s="2" t="s">
        <v>4373</v>
      </c>
      <c r="M1856" s="3">
        <v>2</v>
      </c>
      <c r="N1856" s="3">
        <v>1</v>
      </c>
      <c r="P1856" s="2" t="s">
        <v>4374</v>
      </c>
    </row>
    <row r="1857" spans="1:16" ht="13">
      <c r="A1857" s="2" t="s">
        <v>0</v>
      </c>
      <c r="B1857" s="2" t="str">
        <f t="shared" si="28"/>
        <v>24-25 Academic Year</v>
      </c>
      <c r="C1857" s="2">
        <v>57</v>
      </c>
      <c r="D1857" s="2" t="s">
        <v>4176</v>
      </c>
      <c r="E1857" s="10">
        <v>45769</v>
      </c>
      <c r="F1857" s="2" t="s">
        <v>3837</v>
      </c>
      <c r="G1857" s="2" t="s">
        <v>131</v>
      </c>
      <c r="H1857" s="2" t="s">
        <v>6</v>
      </c>
      <c r="I1857" s="2" t="s">
        <v>570</v>
      </c>
      <c r="J1857" s="2" t="s">
        <v>4375</v>
      </c>
      <c r="K1857" s="2" t="s">
        <v>4372</v>
      </c>
      <c r="L1857" s="2" t="s">
        <v>4373</v>
      </c>
      <c r="M1857" s="3">
        <v>2</v>
      </c>
      <c r="N1857" s="3">
        <v>1</v>
      </c>
      <c r="P1857" s="2" t="s">
        <v>4376</v>
      </c>
    </row>
    <row r="1858" spans="1:16" ht="13">
      <c r="A1858" s="2" t="s">
        <v>0</v>
      </c>
      <c r="B1858" s="2" t="str">
        <f t="shared" si="28"/>
        <v>24-25 Academic Year</v>
      </c>
      <c r="C1858" s="2">
        <v>57</v>
      </c>
      <c r="D1858" s="2" t="s">
        <v>4176</v>
      </c>
      <c r="E1858" s="10">
        <v>45769</v>
      </c>
      <c r="F1858" s="2" t="s">
        <v>3837</v>
      </c>
      <c r="G1858" s="2" t="s">
        <v>131</v>
      </c>
      <c r="H1858" s="2" t="s">
        <v>6</v>
      </c>
      <c r="I1858" s="2" t="s">
        <v>570</v>
      </c>
      <c r="J1858" s="2" t="s">
        <v>4377</v>
      </c>
      <c r="K1858" s="2" t="s">
        <v>4297</v>
      </c>
      <c r="L1858" s="2" t="s">
        <v>4298</v>
      </c>
      <c r="M1858" s="3">
        <v>2</v>
      </c>
      <c r="N1858" s="3">
        <v>2</v>
      </c>
      <c r="P1858" s="2" t="s">
        <v>4378</v>
      </c>
    </row>
    <row r="1859" spans="1:16" ht="13">
      <c r="A1859" s="2" t="s">
        <v>0</v>
      </c>
      <c r="B1859" s="2" t="str">
        <f t="shared" ref="B1859:B1922" si="29">RIGHT(TEXT(IF(LEFT(A1859,4)="Fall",VALUE(RIGHT(A1859,4)),VALUE(RIGHT(A1859,4))-1),"00"),2)
 &amp; "-" &amp;
 RIGHT(TEXT(IF(LEFT(A1859,4)="Fall",VALUE(RIGHT(A1859,4))+1,VALUE(RIGHT(A1859,4))),"00"),2)
 &amp; " Academic Year"</f>
        <v>24-25 Academic Year</v>
      </c>
      <c r="C1859" s="2">
        <v>58</v>
      </c>
      <c r="D1859" s="2" t="s">
        <v>349</v>
      </c>
      <c r="E1859" s="10">
        <v>45770</v>
      </c>
      <c r="F1859" s="2" t="s">
        <v>2184</v>
      </c>
      <c r="G1859" s="2" t="s">
        <v>7</v>
      </c>
      <c r="H1859" s="2" t="s">
        <v>7</v>
      </c>
      <c r="J1859" s="2" t="s">
        <v>4192</v>
      </c>
      <c r="K1859" s="2" t="s">
        <v>4193</v>
      </c>
      <c r="L1859" s="2" t="s">
        <v>4194</v>
      </c>
      <c r="M1859" s="3">
        <v>1</v>
      </c>
      <c r="N1859" s="3">
        <v>2</v>
      </c>
      <c r="P1859" s="2" t="s">
        <v>4195</v>
      </c>
    </row>
    <row r="1860" spans="1:16" ht="13">
      <c r="A1860" s="2" t="s">
        <v>0</v>
      </c>
      <c r="B1860" s="2" t="str">
        <f t="shared" si="29"/>
        <v>24-25 Academic Year</v>
      </c>
      <c r="C1860" s="2">
        <v>58</v>
      </c>
      <c r="D1860" s="2" t="s">
        <v>349</v>
      </c>
      <c r="E1860" s="10">
        <v>45770</v>
      </c>
      <c r="F1860" s="2" t="s">
        <v>2184</v>
      </c>
      <c r="G1860" s="2" t="s">
        <v>7</v>
      </c>
      <c r="H1860" s="2" t="s">
        <v>7</v>
      </c>
      <c r="J1860" s="2" t="s">
        <v>4196</v>
      </c>
      <c r="K1860" s="2" t="s">
        <v>4197</v>
      </c>
      <c r="L1860" s="2" t="s">
        <v>4198</v>
      </c>
      <c r="M1860" s="3">
        <v>1</v>
      </c>
      <c r="N1860" s="3">
        <v>1</v>
      </c>
      <c r="P1860" s="2" t="s">
        <v>4199</v>
      </c>
    </row>
    <row r="1861" spans="1:16" ht="13">
      <c r="A1861" s="2" t="s">
        <v>0</v>
      </c>
      <c r="B1861" s="2" t="str">
        <f t="shared" si="29"/>
        <v>24-25 Academic Year</v>
      </c>
      <c r="C1861" s="2">
        <v>58</v>
      </c>
      <c r="D1861" s="2" t="s">
        <v>349</v>
      </c>
      <c r="E1861" s="10">
        <v>45770</v>
      </c>
      <c r="F1861" s="2" t="s">
        <v>2184</v>
      </c>
      <c r="G1861" s="2" t="s">
        <v>7</v>
      </c>
      <c r="H1861" s="2" t="s">
        <v>7</v>
      </c>
      <c r="J1861" s="2" t="s">
        <v>4383</v>
      </c>
      <c r="K1861" s="2" t="s">
        <v>4384</v>
      </c>
      <c r="L1861" s="2" t="s">
        <v>4385</v>
      </c>
      <c r="M1861" s="3">
        <v>2</v>
      </c>
      <c r="N1861" s="3">
        <v>1</v>
      </c>
      <c r="P1861" s="2" t="s">
        <v>4386</v>
      </c>
    </row>
    <row r="1862" spans="1:16" ht="13">
      <c r="A1862" s="2" t="s">
        <v>0</v>
      </c>
      <c r="B1862" s="2" t="str">
        <f t="shared" si="29"/>
        <v>24-25 Academic Year</v>
      </c>
      <c r="C1862" s="2">
        <v>58</v>
      </c>
      <c r="D1862" s="2" t="s">
        <v>349</v>
      </c>
      <c r="E1862" s="10">
        <v>45770</v>
      </c>
      <c r="F1862" s="2" t="s">
        <v>2184</v>
      </c>
      <c r="G1862" s="2" t="s">
        <v>7</v>
      </c>
      <c r="H1862" s="2" t="s">
        <v>7</v>
      </c>
      <c r="J1862" s="2" t="s">
        <v>4494</v>
      </c>
      <c r="K1862" s="2" t="s">
        <v>3481</v>
      </c>
      <c r="L1862" s="2" t="s">
        <v>4495</v>
      </c>
      <c r="M1862" s="3">
        <v>3</v>
      </c>
      <c r="N1862" s="3">
        <v>2</v>
      </c>
      <c r="P1862" s="2" t="s">
        <v>4496</v>
      </c>
    </row>
    <row r="1863" spans="1:16" ht="13">
      <c r="A1863" s="2" t="s">
        <v>0</v>
      </c>
      <c r="B1863" s="2" t="str">
        <f t="shared" si="29"/>
        <v>24-25 Academic Year</v>
      </c>
      <c r="C1863" s="2">
        <v>58</v>
      </c>
      <c r="D1863" s="2" t="s">
        <v>349</v>
      </c>
      <c r="E1863" s="10">
        <v>45770</v>
      </c>
      <c r="F1863" s="2" t="s">
        <v>2184</v>
      </c>
      <c r="G1863" s="2" t="s">
        <v>7</v>
      </c>
      <c r="H1863" s="2" t="s">
        <v>7</v>
      </c>
      <c r="J1863" s="2" t="s">
        <v>4497</v>
      </c>
      <c r="K1863" s="2" t="s">
        <v>897</v>
      </c>
      <c r="L1863" s="2" t="s">
        <v>4498</v>
      </c>
      <c r="M1863" s="3">
        <v>3</v>
      </c>
      <c r="N1863" s="3">
        <v>2</v>
      </c>
      <c r="P1863" s="2" t="s">
        <v>4451</v>
      </c>
    </row>
    <row r="1864" spans="1:16" ht="13">
      <c r="A1864" s="2" t="s">
        <v>0</v>
      </c>
      <c r="B1864" s="2" t="str">
        <f t="shared" si="29"/>
        <v>24-25 Academic Year</v>
      </c>
      <c r="C1864" s="2">
        <v>58</v>
      </c>
      <c r="D1864" s="2" t="s">
        <v>349</v>
      </c>
      <c r="E1864" s="10">
        <v>45770</v>
      </c>
      <c r="F1864" s="2" t="s">
        <v>2184</v>
      </c>
      <c r="G1864" s="2" t="s">
        <v>7</v>
      </c>
      <c r="H1864" s="2" t="s">
        <v>7</v>
      </c>
      <c r="J1864" s="2" t="s">
        <v>4499</v>
      </c>
      <c r="K1864" s="2" t="s">
        <v>4500</v>
      </c>
      <c r="L1864" s="2" t="s">
        <v>4501</v>
      </c>
      <c r="M1864" s="3">
        <v>3</v>
      </c>
      <c r="N1864" s="3">
        <v>2</v>
      </c>
      <c r="P1864" s="2" t="s">
        <v>3867</v>
      </c>
    </row>
    <row r="1865" spans="1:16" ht="13">
      <c r="A1865" s="2" t="s">
        <v>0</v>
      </c>
      <c r="B1865" s="2" t="str">
        <f t="shared" si="29"/>
        <v>24-25 Academic Year</v>
      </c>
      <c r="C1865" s="2">
        <v>58</v>
      </c>
      <c r="D1865" s="2" t="s">
        <v>349</v>
      </c>
      <c r="E1865" s="10">
        <v>45770</v>
      </c>
      <c r="F1865" s="2" t="s">
        <v>2184</v>
      </c>
      <c r="G1865" s="2" t="s">
        <v>7</v>
      </c>
      <c r="H1865" s="2" t="s">
        <v>7</v>
      </c>
      <c r="J1865" s="2" t="s">
        <v>4558</v>
      </c>
      <c r="K1865" s="2" t="s">
        <v>4559</v>
      </c>
      <c r="L1865" s="2" t="s">
        <v>4560</v>
      </c>
      <c r="M1865" s="3">
        <v>4</v>
      </c>
      <c r="N1865" s="3">
        <v>1</v>
      </c>
      <c r="P1865" s="2" t="s">
        <v>4561</v>
      </c>
    </row>
    <row r="1866" spans="1:16" ht="13">
      <c r="A1866" s="2" t="s">
        <v>0</v>
      </c>
      <c r="B1866" s="2" t="str">
        <f t="shared" si="29"/>
        <v>24-25 Academic Year</v>
      </c>
      <c r="C1866" s="2">
        <v>58</v>
      </c>
      <c r="D1866" s="2" t="s">
        <v>349</v>
      </c>
      <c r="E1866" s="10">
        <v>45770</v>
      </c>
      <c r="F1866" s="2" t="s">
        <v>2184</v>
      </c>
      <c r="G1866" s="2" t="s">
        <v>7</v>
      </c>
      <c r="H1866" s="2" t="s">
        <v>7</v>
      </c>
      <c r="J1866" s="2" t="s">
        <v>4610</v>
      </c>
      <c r="K1866" s="2" t="s">
        <v>4611</v>
      </c>
      <c r="L1866" s="2" t="s">
        <v>4605</v>
      </c>
      <c r="M1866" s="3">
        <v>999</v>
      </c>
      <c r="N1866" s="3">
        <v>999</v>
      </c>
      <c r="P1866" s="2" t="s">
        <v>4612</v>
      </c>
    </row>
    <row r="1867" spans="1:16" ht="13">
      <c r="A1867" s="2" t="s">
        <v>0</v>
      </c>
      <c r="B1867" s="2" t="str">
        <f t="shared" si="29"/>
        <v>24-25 Academic Year</v>
      </c>
      <c r="C1867" s="2">
        <v>59</v>
      </c>
      <c r="D1867" s="2" t="s">
        <v>4200</v>
      </c>
      <c r="E1867" s="10">
        <v>45771</v>
      </c>
      <c r="F1867" s="2" t="s">
        <v>131</v>
      </c>
      <c r="G1867" s="2" t="s">
        <v>131</v>
      </c>
      <c r="H1867" s="2" t="s">
        <v>6</v>
      </c>
      <c r="J1867" s="2" t="s">
        <v>3193</v>
      </c>
      <c r="K1867" s="2" t="s">
        <v>2421</v>
      </c>
      <c r="L1867" s="2" t="s">
        <v>4201</v>
      </c>
      <c r="M1867" s="3">
        <v>1</v>
      </c>
      <c r="N1867" s="3">
        <v>1</v>
      </c>
      <c r="P1867" s="2" t="s">
        <v>4202</v>
      </c>
    </row>
    <row r="1868" spans="1:16" ht="13">
      <c r="A1868" s="2" t="s">
        <v>0</v>
      </c>
      <c r="B1868" s="2" t="str">
        <f t="shared" si="29"/>
        <v>24-25 Academic Year</v>
      </c>
      <c r="C1868" s="2">
        <v>59</v>
      </c>
      <c r="D1868" s="2" t="s">
        <v>4200</v>
      </c>
      <c r="E1868" s="10">
        <v>45771</v>
      </c>
      <c r="F1868" s="2" t="s">
        <v>131</v>
      </c>
      <c r="G1868" s="2" t="s">
        <v>131</v>
      </c>
      <c r="H1868" s="2" t="s">
        <v>6</v>
      </c>
      <c r="J1868" s="2" t="s">
        <v>3219</v>
      </c>
      <c r="K1868" s="2" t="s">
        <v>1119</v>
      </c>
      <c r="L1868" s="2" t="s">
        <v>1676</v>
      </c>
      <c r="M1868" s="3">
        <v>1</v>
      </c>
      <c r="N1868" s="3">
        <v>2</v>
      </c>
      <c r="P1868" s="2" t="s">
        <v>4203</v>
      </c>
    </row>
    <row r="1869" spans="1:16" ht="13">
      <c r="A1869" s="2" t="s">
        <v>0</v>
      </c>
      <c r="B1869" s="2" t="str">
        <f t="shared" si="29"/>
        <v>24-25 Academic Year</v>
      </c>
      <c r="C1869" s="2">
        <v>59</v>
      </c>
      <c r="D1869" s="2" t="s">
        <v>4200</v>
      </c>
      <c r="E1869" s="10">
        <v>45771</v>
      </c>
      <c r="F1869" s="2" t="s">
        <v>131</v>
      </c>
      <c r="G1869" s="2" t="s">
        <v>131</v>
      </c>
      <c r="H1869" s="2" t="s">
        <v>6</v>
      </c>
      <c r="J1869" s="2" t="s">
        <v>3221</v>
      </c>
      <c r="K1869" s="2" t="s">
        <v>1133</v>
      </c>
      <c r="L1869" s="2" t="s">
        <v>4204</v>
      </c>
      <c r="M1869" s="3">
        <v>1</v>
      </c>
      <c r="N1869" s="3">
        <v>2</v>
      </c>
      <c r="P1869" s="2" t="s">
        <v>4205</v>
      </c>
    </row>
    <row r="1870" spans="1:16" ht="13">
      <c r="A1870" s="2" t="s">
        <v>0</v>
      </c>
      <c r="B1870" s="2" t="str">
        <f t="shared" si="29"/>
        <v>24-25 Academic Year</v>
      </c>
      <c r="C1870" s="2">
        <v>59</v>
      </c>
      <c r="D1870" s="2" t="s">
        <v>4200</v>
      </c>
      <c r="E1870" s="10">
        <v>45771</v>
      </c>
      <c r="F1870" s="2" t="s">
        <v>131</v>
      </c>
      <c r="G1870" s="2" t="s">
        <v>131</v>
      </c>
      <c r="H1870" s="2" t="s">
        <v>6</v>
      </c>
      <c r="J1870" s="2" t="s">
        <v>3223</v>
      </c>
      <c r="K1870" s="2" t="s">
        <v>1133</v>
      </c>
      <c r="L1870" s="2" t="s">
        <v>4204</v>
      </c>
      <c r="M1870" s="3">
        <v>1</v>
      </c>
      <c r="N1870" s="3">
        <v>2</v>
      </c>
      <c r="P1870" s="2" t="s">
        <v>4206</v>
      </c>
    </row>
    <row r="1871" spans="1:16" ht="13">
      <c r="A1871" s="2" t="s">
        <v>0</v>
      </c>
      <c r="B1871" s="2" t="str">
        <f t="shared" si="29"/>
        <v>24-25 Academic Year</v>
      </c>
      <c r="C1871" s="2">
        <v>59</v>
      </c>
      <c r="D1871" s="2" t="s">
        <v>4200</v>
      </c>
      <c r="E1871" s="10">
        <v>45771</v>
      </c>
      <c r="F1871" s="2" t="s">
        <v>131</v>
      </c>
      <c r="G1871" s="2" t="s">
        <v>131</v>
      </c>
      <c r="H1871" s="2" t="s">
        <v>6</v>
      </c>
      <c r="J1871" s="2" t="s">
        <v>3225</v>
      </c>
      <c r="K1871" s="2" t="s">
        <v>2801</v>
      </c>
      <c r="L1871" s="2" t="s">
        <v>4116</v>
      </c>
      <c r="M1871" s="3">
        <v>1</v>
      </c>
      <c r="N1871" s="3">
        <v>2</v>
      </c>
      <c r="P1871" s="2" t="s">
        <v>4207</v>
      </c>
    </row>
    <row r="1872" spans="1:16" ht="13">
      <c r="A1872" s="2" t="s">
        <v>0</v>
      </c>
      <c r="B1872" s="2" t="str">
        <f t="shared" si="29"/>
        <v>24-25 Academic Year</v>
      </c>
      <c r="C1872" s="2">
        <v>59</v>
      </c>
      <c r="D1872" s="2" t="s">
        <v>4200</v>
      </c>
      <c r="E1872" s="10">
        <v>45771</v>
      </c>
      <c r="F1872" s="2" t="s">
        <v>131</v>
      </c>
      <c r="G1872" s="2" t="s">
        <v>131</v>
      </c>
      <c r="H1872" s="2" t="s">
        <v>6</v>
      </c>
      <c r="J1872" s="2" t="s">
        <v>3227</v>
      </c>
      <c r="K1872" s="2" t="s">
        <v>4208</v>
      </c>
      <c r="L1872" s="2" t="s">
        <v>4209</v>
      </c>
      <c r="M1872" s="3">
        <v>1</v>
      </c>
      <c r="N1872" s="3">
        <v>2</v>
      </c>
      <c r="P1872" s="2" t="s">
        <v>4210</v>
      </c>
    </row>
    <row r="1873" spans="1:16" ht="13">
      <c r="A1873" s="2" t="s">
        <v>0</v>
      </c>
      <c r="B1873" s="2" t="str">
        <f t="shared" si="29"/>
        <v>24-25 Academic Year</v>
      </c>
      <c r="C1873" s="2">
        <v>59</v>
      </c>
      <c r="D1873" s="2" t="s">
        <v>4200</v>
      </c>
      <c r="E1873" s="10">
        <v>45771</v>
      </c>
      <c r="F1873" s="2" t="s">
        <v>131</v>
      </c>
      <c r="G1873" s="2" t="s">
        <v>131</v>
      </c>
      <c r="H1873" s="2" t="s">
        <v>6</v>
      </c>
      <c r="J1873" s="2" t="s">
        <v>3229</v>
      </c>
      <c r="K1873" s="2" t="s">
        <v>4311</v>
      </c>
      <c r="L1873" s="2" t="s">
        <v>4312</v>
      </c>
      <c r="M1873" s="3">
        <v>2</v>
      </c>
      <c r="N1873" s="3">
        <v>2</v>
      </c>
      <c r="P1873" s="2" t="s">
        <v>4387</v>
      </c>
    </row>
    <row r="1874" spans="1:16" ht="13">
      <c r="A1874" s="2" t="s">
        <v>0</v>
      </c>
      <c r="B1874" s="2" t="str">
        <f t="shared" si="29"/>
        <v>24-25 Academic Year</v>
      </c>
      <c r="C1874" s="2">
        <v>60</v>
      </c>
      <c r="D1874" s="2" t="s">
        <v>1368</v>
      </c>
      <c r="E1874" s="10">
        <v>45772</v>
      </c>
      <c r="F1874" s="2" t="s">
        <v>131</v>
      </c>
      <c r="G1874" s="2" t="s">
        <v>131</v>
      </c>
      <c r="H1874" s="2" t="s">
        <v>6</v>
      </c>
      <c r="J1874" s="2" t="s">
        <v>3239</v>
      </c>
      <c r="K1874" s="2" t="s">
        <v>4211</v>
      </c>
      <c r="L1874" s="2" t="s">
        <v>4212</v>
      </c>
      <c r="M1874" s="3">
        <v>1</v>
      </c>
      <c r="N1874" s="3">
        <v>1</v>
      </c>
      <c r="P1874" s="2" t="s">
        <v>4213</v>
      </c>
    </row>
    <row r="1875" spans="1:16" ht="13">
      <c r="A1875" s="2" t="s">
        <v>0</v>
      </c>
      <c r="B1875" s="2" t="str">
        <f t="shared" si="29"/>
        <v>24-25 Academic Year</v>
      </c>
      <c r="C1875" s="2">
        <v>60</v>
      </c>
      <c r="D1875" s="2" t="s">
        <v>1368</v>
      </c>
      <c r="E1875" s="10">
        <v>45772</v>
      </c>
      <c r="F1875" s="2" t="s">
        <v>131</v>
      </c>
      <c r="G1875" s="2" t="s">
        <v>131</v>
      </c>
      <c r="H1875" s="2" t="s">
        <v>6</v>
      </c>
      <c r="J1875" s="2" t="s">
        <v>3241</v>
      </c>
      <c r="K1875" s="2" t="s">
        <v>513</v>
      </c>
      <c r="L1875" s="2" t="s">
        <v>3364</v>
      </c>
      <c r="M1875" s="3">
        <v>1</v>
      </c>
      <c r="N1875" s="3">
        <v>2</v>
      </c>
      <c r="P1875" s="2" t="s">
        <v>1130</v>
      </c>
    </row>
    <row r="1876" spans="1:16" ht="13">
      <c r="A1876" s="2" t="s">
        <v>0</v>
      </c>
      <c r="B1876" s="2" t="str">
        <f t="shared" si="29"/>
        <v>24-25 Academic Year</v>
      </c>
      <c r="C1876" s="2">
        <v>60</v>
      </c>
      <c r="D1876" s="2" t="s">
        <v>1368</v>
      </c>
      <c r="E1876" s="10">
        <v>45772</v>
      </c>
      <c r="F1876" s="2" t="s">
        <v>131</v>
      </c>
      <c r="G1876" s="2" t="s">
        <v>131</v>
      </c>
      <c r="H1876" s="2" t="s">
        <v>6</v>
      </c>
      <c r="J1876" s="2" t="s">
        <v>3243</v>
      </c>
      <c r="K1876" s="2" t="s">
        <v>4162</v>
      </c>
      <c r="L1876" s="2" t="s">
        <v>4163</v>
      </c>
      <c r="M1876" s="3">
        <v>1</v>
      </c>
      <c r="N1876" s="3">
        <v>2</v>
      </c>
      <c r="P1876" s="2" t="s">
        <v>4214</v>
      </c>
    </row>
    <row r="1877" spans="1:16" ht="13">
      <c r="A1877" s="2" t="s">
        <v>0</v>
      </c>
      <c r="B1877" s="2" t="str">
        <f t="shared" si="29"/>
        <v>24-25 Academic Year</v>
      </c>
      <c r="C1877" s="2">
        <v>60</v>
      </c>
      <c r="D1877" s="2" t="s">
        <v>1368</v>
      </c>
      <c r="E1877" s="10">
        <v>45772</v>
      </c>
      <c r="F1877" s="2" t="s">
        <v>131</v>
      </c>
      <c r="G1877" s="2" t="s">
        <v>131</v>
      </c>
      <c r="H1877" s="2" t="s">
        <v>6</v>
      </c>
      <c r="J1877" s="2" t="s">
        <v>3246</v>
      </c>
      <c r="K1877" s="2" t="s">
        <v>670</v>
      </c>
      <c r="L1877" s="2" t="s">
        <v>403</v>
      </c>
      <c r="M1877" s="3">
        <v>1</v>
      </c>
      <c r="N1877" s="3">
        <v>2</v>
      </c>
      <c r="P1877" s="2" t="s">
        <v>4215</v>
      </c>
    </row>
    <row r="1878" spans="1:16" ht="13">
      <c r="A1878" s="2" t="s">
        <v>0</v>
      </c>
      <c r="B1878" s="2" t="str">
        <f t="shared" si="29"/>
        <v>24-25 Academic Year</v>
      </c>
      <c r="C1878" s="2">
        <v>60</v>
      </c>
      <c r="D1878" s="2" t="s">
        <v>1368</v>
      </c>
      <c r="E1878" s="10">
        <v>45772</v>
      </c>
      <c r="F1878" s="2" t="s">
        <v>131</v>
      </c>
      <c r="G1878" s="2" t="s">
        <v>131</v>
      </c>
      <c r="H1878" s="2" t="s">
        <v>6</v>
      </c>
      <c r="J1878" s="2" t="s">
        <v>3248</v>
      </c>
      <c r="K1878" s="2" t="s">
        <v>1588</v>
      </c>
      <c r="L1878" s="2" t="s">
        <v>1589</v>
      </c>
      <c r="M1878" s="3">
        <v>1</v>
      </c>
      <c r="N1878" s="3">
        <v>2</v>
      </c>
      <c r="P1878" s="2" t="s">
        <v>4216</v>
      </c>
    </row>
    <row r="1879" spans="1:16" ht="13">
      <c r="A1879" s="2" t="s">
        <v>0</v>
      </c>
      <c r="B1879" s="2" t="str">
        <f t="shared" si="29"/>
        <v>24-25 Academic Year</v>
      </c>
      <c r="C1879" s="2">
        <v>60</v>
      </c>
      <c r="D1879" s="2" t="s">
        <v>1368</v>
      </c>
      <c r="E1879" s="10">
        <v>45772</v>
      </c>
      <c r="F1879" s="2" t="s">
        <v>131</v>
      </c>
      <c r="G1879" s="2" t="s">
        <v>131</v>
      </c>
      <c r="H1879" s="2" t="s">
        <v>6</v>
      </c>
      <c r="J1879" s="2" t="s">
        <v>3251</v>
      </c>
      <c r="K1879" s="2" t="s">
        <v>4217</v>
      </c>
      <c r="L1879" s="2" t="s">
        <v>4218</v>
      </c>
      <c r="M1879" s="3">
        <v>1</v>
      </c>
      <c r="N1879" s="3">
        <v>1</v>
      </c>
      <c r="P1879" s="2" t="s">
        <v>4219</v>
      </c>
    </row>
    <row r="1880" spans="1:16" ht="13">
      <c r="A1880" s="2" t="s">
        <v>0</v>
      </c>
      <c r="B1880" s="2" t="str">
        <f t="shared" si="29"/>
        <v>24-25 Academic Year</v>
      </c>
      <c r="C1880" s="2">
        <v>60</v>
      </c>
      <c r="D1880" s="2" t="s">
        <v>1368</v>
      </c>
      <c r="E1880" s="10">
        <v>45772</v>
      </c>
      <c r="F1880" s="2" t="s">
        <v>131</v>
      </c>
      <c r="G1880" s="2" t="s">
        <v>131</v>
      </c>
      <c r="H1880" s="2" t="s">
        <v>6</v>
      </c>
      <c r="J1880" s="2" t="s">
        <v>4613</v>
      </c>
      <c r="K1880" s="2" t="s">
        <v>4593</v>
      </c>
      <c r="L1880" s="2" t="s">
        <v>2052</v>
      </c>
      <c r="M1880" s="3">
        <v>999</v>
      </c>
      <c r="N1880" s="3">
        <v>999</v>
      </c>
      <c r="P1880" s="2" t="s">
        <v>4614</v>
      </c>
    </row>
    <row r="1881" spans="1:16" ht="13">
      <c r="A1881" s="2" t="s">
        <v>0</v>
      </c>
      <c r="B1881" s="2" t="str">
        <f t="shared" si="29"/>
        <v>24-25 Academic Year</v>
      </c>
      <c r="C1881" s="2">
        <v>61</v>
      </c>
      <c r="D1881" s="2" t="s">
        <v>4220</v>
      </c>
      <c r="E1881" s="10">
        <v>45772</v>
      </c>
      <c r="F1881" s="2" t="s">
        <v>2184</v>
      </c>
      <c r="G1881" s="2" t="s">
        <v>7</v>
      </c>
      <c r="H1881" s="2" t="s">
        <v>7</v>
      </c>
      <c r="J1881" s="2" t="s">
        <v>3255</v>
      </c>
      <c r="K1881" s="2" t="s">
        <v>670</v>
      </c>
      <c r="L1881" s="2" t="s">
        <v>403</v>
      </c>
      <c r="M1881" s="3">
        <v>1</v>
      </c>
      <c r="N1881" s="3">
        <v>2</v>
      </c>
      <c r="P1881" s="2" t="s">
        <v>4221</v>
      </c>
    </row>
    <row r="1882" spans="1:16" ht="13">
      <c r="A1882" s="2" t="s">
        <v>0</v>
      </c>
      <c r="B1882" s="2" t="str">
        <f t="shared" si="29"/>
        <v>24-25 Academic Year</v>
      </c>
      <c r="C1882" s="2">
        <v>61</v>
      </c>
      <c r="D1882" s="2" t="s">
        <v>4220</v>
      </c>
      <c r="E1882" s="10">
        <v>45772</v>
      </c>
      <c r="F1882" s="2" t="s">
        <v>2184</v>
      </c>
      <c r="G1882" s="2" t="s">
        <v>7</v>
      </c>
      <c r="H1882" s="2" t="s">
        <v>7</v>
      </c>
      <c r="J1882" s="2" t="s">
        <v>3257</v>
      </c>
      <c r="K1882" s="2" t="s">
        <v>635</v>
      </c>
      <c r="L1882" s="2" t="s">
        <v>3354</v>
      </c>
      <c r="M1882" s="3">
        <v>1</v>
      </c>
      <c r="N1882" s="3">
        <v>2</v>
      </c>
      <c r="P1882" s="2" t="s">
        <v>4222</v>
      </c>
    </row>
    <row r="1883" spans="1:16" ht="13">
      <c r="A1883" s="2" t="s">
        <v>0</v>
      </c>
      <c r="B1883" s="2" t="str">
        <f t="shared" si="29"/>
        <v>24-25 Academic Year</v>
      </c>
      <c r="C1883" s="2">
        <v>61</v>
      </c>
      <c r="D1883" s="2" t="s">
        <v>4220</v>
      </c>
      <c r="E1883" s="10">
        <v>45772</v>
      </c>
      <c r="F1883" s="2" t="s">
        <v>2184</v>
      </c>
      <c r="G1883" s="2" t="s">
        <v>7</v>
      </c>
      <c r="H1883" s="2" t="s">
        <v>7</v>
      </c>
      <c r="J1883" s="2" t="s">
        <v>3260</v>
      </c>
      <c r="K1883" s="2" t="s">
        <v>59</v>
      </c>
      <c r="L1883" s="2" t="s">
        <v>60</v>
      </c>
      <c r="M1883" s="3">
        <v>1</v>
      </c>
      <c r="N1883" s="3">
        <v>2</v>
      </c>
      <c r="P1883" s="2" t="s">
        <v>4223</v>
      </c>
    </row>
    <row r="1884" spans="1:16" ht="13">
      <c r="A1884" s="2" t="s">
        <v>0</v>
      </c>
      <c r="B1884" s="2" t="str">
        <f t="shared" si="29"/>
        <v>24-25 Academic Year</v>
      </c>
      <c r="C1884" s="2">
        <v>61</v>
      </c>
      <c r="D1884" s="2" t="s">
        <v>4220</v>
      </c>
      <c r="E1884" s="10">
        <v>45772</v>
      </c>
      <c r="F1884" s="2" t="s">
        <v>2184</v>
      </c>
      <c r="G1884" s="2" t="s">
        <v>7</v>
      </c>
      <c r="H1884" s="2" t="s">
        <v>7</v>
      </c>
      <c r="J1884" s="2" t="s">
        <v>3263</v>
      </c>
      <c r="K1884" s="2" t="s">
        <v>4615</v>
      </c>
      <c r="L1884" s="2" t="s">
        <v>2067</v>
      </c>
      <c r="M1884" s="3">
        <v>999</v>
      </c>
      <c r="N1884" s="3">
        <v>999</v>
      </c>
      <c r="P1884" s="2" t="s">
        <v>4616</v>
      </c>
    </row>
    <row r="1885" spans="1:16" ht="13">
      <c r="A1885" s="2" t="s">
        <v>0</v>
      </c>
      <c r="B1885" s="2" t="str">
        <f t="shared" si="29"/>
        <v>24-25 Academic Year</v>
      </c>
      <c r="C1885" s="2">
        <v>62</v>
      </c>
      <c r="D1885" s="2" t="s">
        <v>3693</v>
      </c>
      <c r="E1885" s="10">
        <v>45773</v>
      </c>
      <c r="F1885" s="2" t="s">
        <v>2990</v>
      </c>
      <c r="G1885" s="2" t="s">
        <v>8</v>
      </c>
      <c r="H1885" s="2" t="s">
        <v>8</v>
      </c>
      <c r="J1885" s="2" t="s">
        <v>3266</v>
      </c>
      <c r="K1885" s="2" t="s">
        <v>4224</v>
      </c>
      <c r="L1885" s="2" t="s">
        <v>4225</v>
      </c>
      <c r="M1885" s="3">
        <v>1</v>
      </c>
      <c r="N1885" s="3">
        <v>1</v>
      </c>
      <c r="P1885" s="2" t="s">
        <v>4226</v>
      </c>
    </row>
    <row r="1886" spans="1:16" ht="13">
      <c r="A1886" s="2" t="s">
        <v>0</v>
      </c>
      <c r="B1886" s="2" t="str">
        <f t="shared" si="29"/>
        <v>24-25 Academic Year</v>
      </c>
      <c r="C1886" s="2">
        <v>62</v>
      </c>
      <c r="D1886" s="2" t="s">
        <v>3693</v>
      </c>
      <c r="E1886" s="10">
        <v>45773</v>
      </c>
      <c r="F1886" s="2" t="s">
        <v>2990</v>
      </c>
      <c r="G1886" s="2" t="s">
        <v>8</v>
      </c>
      <c r="H1886" s="2" t="s">
        <v>8</v>
      </c>
      <c r="J1886" s="2" t="s">
        <v>4507</v>
      </c>
      <c r="K1886" s="2" t="s">
        <v>4508</v>
      </c>
      <c r="L1886" s="2" t="s">
        <v>4509</v>
      </c>
      <c r="M1886" s="3">
        <v>3</v>
      </c>
      <c r="N1886" s="3">
        <v>1</v>
      </c>
      <c r="P1886" s="2" t="s">
        <v>4510</v>
      </c>
    </row>
    <row r="1887" spans="1:16" ht="13">
      <c r="A1887" s="2" t="s">
        <v>0</v>
      </c>
      <c r="B1887" s="2" t="str">
        <f t="shared" si="29"/>
        <v>24-25 Academic Year</v>
      </c>
      <c r="C1887" s="2">
        <v>62</v>
      </c>
      <c r="D1887" s="2" t="s">
        <v>3693</v>
      </c>
      <c r="E1887" s="10">
        <v>45773</v>
      </c>
      <c r="F1887" s="2" t="s">
        <v>2990</v>
      </c>
      <c r="G1887" s="2" t="s">
        <v>8</v>
      </c>
      <c r="H1887" s="2" t="s">
        <v>8</v>
      </c>
      <c r="J1887" s="2" t="s">
        <v>4617</v>
      </c>
      <c r="K1887" s="2" t="s">
        <v>4618</v>
      </c>
      <c r="L1887" s="2" t="s">
        <v>2075</v>
      </c>
      <c r="M1887" s="3">
        <v>999</v>
      </c>
      <c r="N1887" s="3">
        <v>999</v>
      </c>
      <c r="P1887" s="2" t="s">
        <v>4619</v>
      </c>
    </row>
    <row r="1888" spans="1:16" ht="13">
      <c r="A1888" s="2" t="s">
        <v>0</v>
      </c>
      <c r="B1888" s="2" t="str">
        <f t="shared" si="29"/>
        <v>24-25 Academic Year</v>
      </c>
      <c r="C1888" s="2">
        <v>62</v>
      </c>
      <c r="D1888" s="2" t="s">
        <v>3693</v>
      </c>
      <c r="E1888" s="10">
        <v>45773</v>
      </c>
      <c r="F1888" s="2" t="s">
        <v>2990</v>
      </c>
      <c r="G1888" s="2" t="s">
        <v>8</v>
      </c>
      <c r="H1888" s="2" t="s">
        <v>8</v>
      </c>
      <c r="J1888" s="2" t="s">
        <v>4657</v>
      </c>
      <c r="K1888" s="2" t="s">
        <v>4658</v>
      </c>
      <c r="L1888" s="2" t="s">
        <v>4659</v>
      </c>
      <c r="M1888" s="3">
        <v>1</v>
      </c>
      <c r="N1888" s="3">
        <v>2</v>
      </c>
      <c r="P1888" s="2" t="s">
        <v>4660</v>
      </c>
    </row>
    <row r="1889" spans="1:16" ht="13">
      <c r="A1889" s="2" t="s">
        <v>0</v>
      </c>
      <c r="B1889" s="2" t="str">
        <f t="shared" si="29"/>
        <v>24-25 Academic Year</v>
      </c>
      <c r="C1889" s="2">
        <v>62</v>
      </c>
      <c r="D1889" s="2" t="s">
        <v>3693</v>
      </c>
      <c r="E1889" s="10">
        <v>45773</v>
      </c>
      <c r="F1889" s="2" t="s">
        <v>2990</v>
      </c>
      <c r="G1889" s="2" t="s">
        <v>8</v>
      </c>
      <c r="H1889" s="2" t="s">
        <v>8</v>
      </c>
      <c r="J1889" s="2" t="s">
        <v>4661</v>
      </c>
      <c r="K1889" s="2" t="s">
        <v>4662</v>
      </c>
      <c r="L1889" s="2" t="s">
        <v>4663</v>
      </c>
      <c r="M1889" s="3">
        <v>1</v>
      </c>
      <c r="N1889" s="3">
        <v>2</v>
      </c>
      <c r="P1889" s="2" t="s">
        <v>4664</v>
      </c>
    </row>
    <row r="1890" spans="1:16" ht="13">
      <c r="A1890" s="2" t="s">
        <v>0</v>
      </c>
      <c r="B1890" s="2" t="str">
        <f t="shared" si="29"/>
        <v>24-25 Academic Year</v>
      </c>
      <c r="C1890" s="2">
        <v>62</v>
      </c>
      <c r="D1890" s="2" t="s">
        <v>3693</v>
      </c>
      <c r="E1890" s="10">
        <v>45773</v>
      </c>
      <c r="F1890" s="2" t="s">
        <v>2990</v>
      </c>
      <c r="G1890" s="2" t="s">
        <v>8</v>
      </c>
      <c r="H1890" s="2" t="s">
        <v>8</v>
      </c>
      <c r="J1890" s="2" t="s">
        <v>3269</v>
      </c>
      <c r="K1890" s="2" t="s">
        <v>4227</v>
      </c>
      <c r="L1890" s="2" t="s">
        <v>4228</v>
      </c>
      <c r="M1890" s="3">
        <v>1</v>
      </c>
      <c r="N1890" s="3">
        <v>1</v>
      </c>
      <c r="P1890" s="2" t="s">
        <v>4229</v>
      </c>
    </row>
    <row r="1891" spans="1:16" ht="13">
      <c r="A1891" s="2" t="s">
        <v>0</v>
      </c>
      <c r="B1891" s="2" t="str">
        <f t="shared" si="29"/>
        <v>24-25 Academic Year</v>
      </c>
      <c r="C1891" s="2">
        <v>62</v>
      </c>
      <c r="D1891" s="2" t="s">
        <v>3693</v>
      </c>
      <c r="E1891" s="10">
        <v>45773</v>
      </c>
      <c r="F1891" s="2" t="s">
        <v>2990</v>
      </c>
      <c r="G1891" s="2" t="s">
        <v>8</v>
      </c>
      <c r="H1891" s="2" t="s">
        <v>8</v>
      </c>
      <c r="J1891" s="2" t="s">
        <v>3271</v>
      </c>
      <c r="K1891" s="2" t="s">
        <v>4230</v>
      </c>
      <c r="L1891" s="2" t="s">
        <v>4231</v>
      </c>
      <c r="M1891" s="3">
        <v>1</v>
      </c>
      <c r="N1891" s="3">
        <v>2</v>
      </c>
      <c r="P1891" s="2" t="s">
        <v>4232</v>
      </c>
    </row>
    <row r="1892" spans="1:16" ht="13">
      <c r="A1892" s="2" t="s">
        <v>0</v>
      </c>
      <c r="B1892" s="2" t="str">
        <f t="shared" si="29"/>
        <v>24-25 Academic Year</v>
      </c>
      <c r="C1892" s="2">
        <v>62</v>
      </c>
      <c r="D1892" s="2" t="s">
        <v>3693</v>
      </c>
      <c r="E1892" s="10">
        <v>45773</v>
      </c>
      <c r="F1892" s="2" t="s">
        <v>2990</v>
      </c>
      <c r="G1892" s="2" t="s">
        <v>8</v>
      </c>
      <c r="H1892" s="2" t="s">
        <v>8</v>
      </c>
      <c r="J1892" s="2" t="s">
        <v>3273</v>
      </c>
      <c r="K1892" s="2" t="s">
        <v>4233</v>
      </c>
      <c r="L1892" s="2" t="s">
        <v>4234</v>
      </c>
      <c r="M1892" s="3">
        <v>1</v>
      </c>
      <c r="N1892" s="3">
        <v>2</v>
      </c>
      <c r="P1892" s="2" t="s">
        <v>4235</v>
      </c>
    </row>
    <row r="1893" spans="1:16" ht="13">
      <c r="A1893" s="2" t="s">
        <v>0</v>
      </c>
      <c r="B1893" s="2" t="str">
        <f t="shared" si="29"/>
        <v>24-25 Academic Year</v>
      </c>
      <c r="C1893" s="2">
        <v>62</v>
      </c>
      <c r="D1893" s="2" t="s">
        <v>3693</v>
      </c>
      <c r="E1893" s="10">
        <v>45773</v>
      </c>
      <c r="F1893" s="2" t="s">
        <v>2990</v>
      </c>
      <c r="G1893" s="2" t="s">
        <v>8</v>
      </c>
      <c r="H1893" s="2" t="s">
        <v>8</v>
      </c>
      <c r="J1893" s="2" t="s">
        <v>3275</v>
      </c>
      <c r="K1893" s="2" t="s">
        <v>371</v>
      </c>
      <c r="L1893" s="2" t="s">
        <v>372</v>
      </c>
      <c r="M1893" s="3">
        <v>1</v>
      </c>
      <c r="N1893" s="3">
        <v>2</v>
      </c>
      <c r="P1893" s="2" t="s">
        <v>4236</v>
      </c>
    </row>
    <row r="1894" spans="1:16" ht="13">
      <c r="A1894" s="2" t="s">
        <v>0</v>
      </c>
      <c r="B1894" s="2" t="str">
        <f t="shared" si="29"/>
        <v>24-25 Academic Year</v>
      </c>
      <c r="C1894" s="2">
        <v>62</v>
      </c>
      <c r="D1894" s="2" t="s">
        <v>3693</v>
      </c>
      <c r="E1894" s="10">
        <v>45773</v>
      </c>
      <c r="F1894" s="2" t="s">
        <v>2990</v>
      </c>
      <c r="G1894" s="2" t="s">
        <v>8</v>
      </c>
      <c r="H1894" s="2" t="s">
        <v>8</v>
      </c>
      <c r="J1894" s="2" t="s">
        <v>3277</v>
      </c>
      <c r="K1894" s="2" t="s">
        <v>4171</v>
      </c>
      <c r="L1894" s="2" t="s">
        <v>4172</v>
      </c>
      <c r="M1894" s="3">
        <v>1</v>
      </c>
      <c r="N1894" s="3">
        <v>2</v>
      </c>
      <c r="P1894" s="2" t="s">
        <v>4237</v>
      </c>
    </row>
    <row r="1895" spans="1:16" ht="13">
      <c r="A1895" s="2" t="s">
        <v>0</v>
      </c>
      <c r="B1895" s="2" t="str">
        <f t="shared" si="29"/>
        <v>24-25 Academic Year</v>
      </c>
      <c r="C1895" s="2">
        <v>62</v>
      </c>
      <c r="D1895" s="2" t="s">
        <v>3693</v>
      </c>
      <c r="E1895" s="10">
        <v>45773</v>
      </c>
      <c r="F1895" s="2" t="s">
        <v>2990</v>
      </c>
      <c r="G1895" s="2" t="s">
        <v>8</v>
      </c>
      <c r="H1895" s="2" t="s">
        <v>8</v>
      </c>
      <c r="J1895" s="2" t="s">
        <v>3279</v>
      </c>
      <c r="K1895" s="2" t="s">
        <v>4238</v>
      </c>
      <c r="L1895" s="2" t="s">
        <v>4239</v>
      </c>
      <c r="M1895" s="3">
        <v>1</v>
      </c>
      <c r="N1895" s="3">
        <v>2</v>
      </c>
      <c r="P1895" s="2" t="s">
        <v>4240</v>
      </c>
    </row>
    <row r="1896" spans="1:16" ht="13">
      <c r="A1896" s="2" t="s">
        <v>0</v>
      </c>
      <c r="B1896" s="2" t="str">
        <f t="shared" si="29"/>
        <v>24-25 Academic Year</v>
      </c>
      <c r="C1896" s="2">
        <v>62</v>
      </c>
      <c r="D1896" s="2" t="s">
        <v>3693</v>
      </c>
      <c r="E1896" s="10">
        <v>45773</v>
      </c>
      <c r="F1896" s="2" t="s">
        <v>2990</v>
      </c>
      <c r="G1896" s="2" t="s">
        <v>8</v>
      </c>
      <c r="H1896" s="2" t="s">
        <v>8</v>
      </c>
      <c r="J1896" s="2" t="s">
        <v>3281</v>
      </c>
      <c r="K1896" s="2" t="s">
        <v>4502</v>
      </c>
      <c r="L1896" s="2" t="s">
        <v>4503</v>
      </c>
      <c r="M1896" s="3">
        <v>3</v>
      </c>
      <c r="N1896" s="3">
        <v>2</v>
      </c>
      <c r="P1896" s="2" t="s">
        <v>4504</v>
      </c>
    </row>
    <row r="1897" spans="1:16" ht="13">
      <c r="A1897" s="2" t="s">
        <v>0</v>
      </c>
      <c r="B1897" s="2" t="str">
        <f t="shared" si="29"/>
        <v>24-25 Academic Year</v>
      </c>
      <c r="C1897" s="2">
        <v>62</v>
      </c>
      <c r="D1897" s="2" t="s">
        <v>3693</v>
      </c>
      <c r="E1897" s="10">
        <v>45773</v>
      </c>
      <c r="F1897" s="2" t="s">
        <v>2990</v>
      </c>
      <c r="G1897" s="2" t="s">
        <v>8</v>
      </c>
      <c r="H1897" s="2" t="s">
        <v>8</v>
      </c>
      <c r="J1897" s="2" t="s">
        <v>4505</v>
      </c>
      <c r="K1897" s="2" t="s">
        <v>2138</v>
      </c>
      <c r="L1897" s="2" t="s">
        <v>2139</v>
      </c>
      <c r="M1897" s="3">
        <v>3</v>
      </c>
      <c r="N1897" s="3">
        <v>2</v>
      </c>
      <c r="P1897" s="2" t="s">
        <v>4506</v>
      </c>
    </row>
    <row r="1898" spans="1:16" ht="13">
      <c r="A1898" s="2" t="s">
        <v>0</v>
      </c>
      <c r="B1898" s="2" t="str">
        <f t="shared" si="29"/>
        <v>24-25 Academic Year</v>
      </c>
      <c r="C1898" s="2">
        <v>63</v>
      </c>
      <c r="D1898" s="2" t="s">
        <v>3774</v>
      </c>
      <c r="E1898" s="10">
        <v>45773</v>
      </c>
      <c r="F1898" s="2" t="s">
        <v>131</v>
      </c>
      <c r="G1898" s="2" t="s">
        <v>131</v>
      </c>
      <c r="H1898" s="2" t="s">
        <v>6</v>
      </c>
      <c r="I1898" s="2" t="s">
        <v>634</v>
      </c>
      <c r="J1898" s="2" t="s">
        <v>3284</v>
      </c>
      <c r="K1898" s="2" t="s">
        <v>3790</v>
      </c>
      <c r="L1898" s="2" t="s">
        <v>4241</v>
      </c>
      <c r="M1898" s="3">
        <v>1</v>
      </c>
      <c r="N1898" s="3">
        <v>1</v>
      </c>
      <c r="P1898" s="2" t="s">
        <v>4242</v>
      </c>
    </row>
    <row r="1899" spans="1:16" ht="13">
      <c r="A1899" s="2" t="s">
        <v>0</v>
      </c>
      <c r="B1899" s="2" t="str">
        <f t="shared" si="29"/>
        <v>24-25 Academic Year</v>
      </c>
      <c r="C1899" s="2">
        <v>63</v>
      </c>
      <c r="D1899" s="2" t="s">
        <v>3774</v>
      </c>
      <c r="E1899" s="10">
        <v>45773</v>
      </c>
      <c r="F1899" s="2" t="s">
        <v>131</v>
      </c>
      <c r="G1899" s="2" t="s">
        <v>131</v>
      </c>
      <c r="H1899" s="2" t="s">
        <v>6</v>
      </c>
      <c r="I1899" s="2" t="s">
        <v>634</v>
      </c>
      <c r="J1899" s="2" t="s">
        <v>3286</v>
      </c>
      <c r="K1899" s="2" t="s">
        <v>670</v>
      </c>
      <c r="L1899" s="2" t="s">
        <v>403</v>
      </c>
      <c r="M1899" s="3">
        <v>1</v>
      </c>
      <c r="N1899" s="3">
        <v>2</v>
      </c>
      <c r="P1899" s="2" t="s">
        <v>4243</v>
      </c>
    </row>
    <row r="1900" spans="1:16" ht="13">
      <c r="A1900" s="2" t="s">
        <v>0</v>
      </c>
      <c r="B1900" s="2" t="str">
        <f t="shared" si="29"/>
        <v>24-25 Academic Year</v>
      </c>
      <c r="C1900" s="2">
        <v>63</v>
      </c>
      <c r="D1900" s="2" t="s">
        <v>3774</v>
      </c>
      <c r="E1900" s="10">
        <v>45773</v>
      </c>
      <c r="F1900" s="2" t="s">
        <v>131</v>
      </c>
      <c r="G1900" s="2" t="s">
        <v>131</v>
      </c>
      <c r="H1900" s="2" t="s">
        <v>6</v>
      </c>
      <c r="I1900" s="2" t="s">
        <v>634</v>
      </c>
      <c r="J1900" s="2" t="s">
        <v>3289</v>
      </c>
      <c r="K1900" s="2" t="s">
        <v>635</v>
      </c>
      <c r="L1900" s="2" t="s">
        <v>3354</v>
      </c>
      <c r="M1900" s="3">
        <v>1</v>
      </c>
      <c r="N1900" s="3">
        <v>2</v>
      </c>
      <c r="P1900" s="2" t="s">
        <v>4244</v>
      </c>
    </row>
    <row r="1901" spans="1:16" ht="13">
      <c r="A1901" s="2" t="s">
        <v>0</v>
      </c>
      <c r="B1901" s="2" t="str">
        <f t="shared" si="29"/>
        <v>24-25 Academic Year</v>
      </c>
      <c r="C1901" s="2">
        <v>63</v>
      </c>
      <c r="D1901" s="2" t="s">
        <v>3774</v>
      </c>
      <c r="E1901" s="10">
        <v>45773</v>
      </c>
      <c r="F1901" s="2" t="s">
        <v>131</v>
      </c>
      <c r="G1901" s="2" t="s">
        <v>131</v>
      </c>
      <c r="H1901" s="2" t="s">
        <v>6</v>
      </c>
      <c r="I1901" s="2" t="s">
        <v>634</v>
      </c>
      <c r="J1901" s="2" t="s">
        <v>3292</v>
      </c>
      <c r="K1901" s="2" t="s">
        <v>696</v>
      </c>
      <c r="L1901" s="2" t="s">
        <v>3819</v>
      </c>
      <c r="M1901" s="3">
        <v>1</v>
      </c>
      <c r="N1901" s="3">
        <v>2</v>
      </c>
      <c r="P1901" s="2" t="s">
        <v>4245</v>
      </c>
    </row>
    <row r="1902" spans="1:16" ht="13">
      <c r="A1902" s="2" t="s">
        <v>0</v>
      </c>
      <c r="B1902" s="2" t="str">
        <f t="shared" si="29"/>
        <v>24-25 Academic Year</v>
      </c>
      <c r="C1902" s="2">
        <v>64</v>
      </c>
      <c r="D1902" s="2" t="s">
        <v>1146</v>
      </c>
      <c r="E1902" s="10">
        <v>45774</v>
      </c>
      <c r="F1902" s="2" t="s">
        <v>131</v>
      </c>
      <c r="G1902" s="2" t="s">
        <v>131</v>
      </c>
      <c r="H1902" s="2" t="s">
        <v>6</v>
      </c>
      <c r="J1902" s="2" t="s">
        <v>3301</v>
      </c>
      <c r="K1902" s="2" t="s">
        <v>4563</v>
      </c>
      <c r="L1902" s="2" t="s">
        <v>4564</v>
      </c>
      <c r="M1902" s="3">
        <v>5</v>
      </c>
      <c r="N1902" s="3">
        <v>1</v>
      </c>
      <c r="P1902" s="2" t="s">
        <v>4566</v>
      </c>
    </row>
    <row r="1903" spans="1:16" ht="13">
      <c r="A1903" s="2" t="s">
        <v>0</v>
      </c>
      <c r="B1903" s="2" t="str">
        <f t="shared" si="29"/>
        <v>24-25 Academic Year</v>
      </c>
      <c r="C1903" s="2">
        <v>65</v>
      </c>
      <c r="D1903" s="2" t="s">
        <v>2024</v>
      </c>
      <c r="E1903" s="10">
        <v>45775</v>
      </c>
      <c r="F1903" s="2" t="s">
        <v>2990</v>
      </c>
      <c r="G1903" s="2" t="s">
        <v>8</v>
      </c>
      <c r="H1903" s="2" t="s">
        <v>8</v>
      </c>
      <c r="J1903" s="2" t="s">
        <v>3317</v>
      </c>
      <c r="K1903" s="2" t="s">
        <v>26</v>
      </c>
      <c r="L1903" s="2" t="s">
        <v>4020</v>
      </c>
      <c r="M1903" s="3">
        <v>1</v>
      </c>
      <c r="N1903" s="3">
        <v>2</v>
      </c>
      <c r="P1903" s="2" t="s">
        <v>4246</v>
      </c>
    </row>
    <row r="1904" spans="1:16" ht="13">
      <c r="A1904" s="2" t="s">
        <v>0</v>
      </c>
      <c r="B1904" s="2" t="str">
        <f t="shared" si="29"/>
        <v>24-25 Academic Year</v>
      </c>
      <c r="C1904" s="2">
        <v>65</v>
      </c>
      <c r="D1904" s="2" t="s">
        <v>2024</v>
      </c>
      <c r="E1904" s="10">
        <v>45775</v>
      </c>
      <c r="F1904" s="2" t="s">
        <v>2990</v>
      </c>
      <c r="G1904" s="2" t="s">
        <v>8</v>
      </c>
      <c r="H1904" s="2" t="s">
        <v>8</v>
      </c>
      <c r="J1904" s="2" t="s">
        <v>3330</v>
      </c>
      <c r="K1904" s="2" t="s">
        <v>59</v>
      </c>
      <c r="L1904" s="2" t="s">
        <v>60</v>
      </c>
      <c r="M1904" s="3">
        <v>1</v>
      </c>
      <c r="N1904" s="3">
        <v>2</v>
      </c>
      <c r="P1904" s="2" t="s">
        <v>4247</v>
      </c>
    </row>
    <row r="1905" spans="1:16" ht="13">
      <c r="A1905" s="2" t="s">
        <v>0</v>
      </c>
      <c r="B1905" s="2" t="str">
        <f t="shared" si="29"/>
        <v>24-25 Academic Year</v>
      </c>
      <c r="C1905" s="2">
        <v>65</v>
      </c>
      <c r="D1905" s="2" t="s">
        <v>2024</v>
      </c>
      <c r="E1905" s="10">
        <v>45775</v>
      </c>
      <c r="F1905" s="2" t="s">
        <v>2990</v>
      </c>
      <c r="G1905" s="2" t="s">
        <v>8</v>
      </c>
      <c r="H1905" s="2" t="s">
        <v>8</v>
      </c>
      <c r="J1905" s="2" t="s">
        <v>3332</v>
      </c>
      <c r="K1905" s="2" t="s">
        <v>2374</v>
      </c>
      <c r="L1905" s="2" t="s">
        <v>4169</v>
      </c>
      <c r="M1905" s="3">
        <v>1</v>
      </c>
      <c r="N1905" s="3">
        <v>2</v>
      </c>
      <c r="P1905" s="2" t="s">
        <v>4248</v>
      </c>
    </row>
    <row r="1906" spans="1:16" ht="13">
      <c r="A1906" s="2" t="s">
        <v>0</v>
      </c>
      <c r="B1906" s="2" t="str">
        <f t="shared" si="29"/>
        <v>24-25 Academic Year</v>
      </c>
      <c r="C1906" s="2">
        <v>65</v>
      </c>
      <c r="D1906" s="2" t="s">
        <v>2024</v>
      </c>
      <c r="E1906" s="10">
        <v>45775</v>
      </c>
      <c r="F1906" s="2" t="s">
        <v>2990</v>
      </c>
      <c r="G1906" s="2" t="s">
        <v>8</v>
      </c>
      <c r="H1906" s="2" t="s">
        <v>8</v>
      </c>
      <c r="J1906" s="2" t="s">
        <v>3334</v>
      </c>
      <c r="K1906" s="2" t="s">
        <v>4140</v>
      </c>
      <c r="L1906" s="2" t="s">
        <v>4141</v>
      </c>
      <c r="M1906" s="3">
        <v>1</v>
      </c>
      <c r="N1906" s="3">
        <v>2</v>
      </c>
      <c r="P1906" s="2" t="s">
        <v>4249</v>
      </c>
    </row>
    <row r="1907" spans="1:16" ht="13">
      <c r="A1907" s="2" t="s">
        <v>0</v>
      </c>
      <c r="B1907" s="2" t="str">
        <f t="shared" si="29"/>
        <v>24-25 Academic Year</v>
      </c>
      <c r="C1907" s="2">
        <v>65</v>
      </c>
      <c r="D1907" s="2" t="s">
        <v>2024</v>
      </c>
      <c r="E1907" s="10">
        <v>45775</v>
      </c>
      <c r="F1907" s="2" t="s">
        <v>2990</v>
      </c>
      <c r="G1907" s="2" t="s">
        <v>8</v>
      </c>
      <c r="H1907" s="2" t="s">
        <v>8</v>
      </c>
      <c r="J1907" s="2" t="s">
        <v>3336</v>
      </c>
      <c r="K1907" s="2" t="s">
        <v>4250</v>
      </c>
      <c r="L1907" s="2" t="s">
        <v>4251</v>
      </c>
      <c r="M1907" s="3">
        <v>1</v>
      </c>
      <c r="N1907" s="3">
        <v>2</v>
      </c>
      <c r="P1907" s="2" t="s">
        <v>4252</v>
      </c>
    </row>
    <row r="1908" spans="1:16" ht="13">
      <c r="A1908" s="2" t="s">
        <v>0</v>
      </c>
      <c r="B1908" s="2" t="str">
        <f t="shared" si="29"/>
        <v>24-25 Academic Year</v>
      </c>
      <c r="C1908" s="2">
        <v>66</v>
      </c>
      <c r="D1908" s="2" t="s">
        <v>3300</v>
      </c>
      <c r="E1908" s="10">
        <v>45776</v>
      </c>
      <c r="F1908" s="2" t="s">
        <v>2990</v>
      </c>
      <c r="G1908" s="2" t="s">
        <v>8</v>
      </c>
      <c r="H1908" s="2" t="s">
        <v>8</v>
      </c>
      <c r="J1908" s="2" t="s">
        <v>4253</v>
      </c>
      <c r="K1908" s="2" t="s">
        <v>4254</v>
      </c>
      <c r="L1908" s="2" t="s">
        <v>4255</v>
      </c>
      <c r="M1908" s="3">
        <v>1</v>
      </c>
      <c r="N1908" s="3">
        <v>1</v>
      </c>
      <c r="P1908" s="2" t="s">
        <v>4256</v>
      </c>
    </row>
    <row r="1909" spans="1:16" ht="13">
      <c r="A1909" s="2" t="s">
        <v>0</v>
      </c>
      <c r="B1909" s="2" t="str">
        <f t="shared" si="29"/>
        <v>24-25 Academic Year</v>
      </c>
      <c r="C1909" s="2">
        <v>66</v>
      </c>
      <c r="D1909" s="2" t="s">
        <v>3300</v>
      </c>
      <c r="E1909" s="10">
        <v>45776</v>
      </c>
      <c r="F1909" s="2" t="s">
        <v>2990</v>
      </c>
      <c r="G1909" s="2" t="s">
        <v>8</v>
      </c>
      <c r="H1909" s="2" t="s">
        <v>8</v>
      </c>
      <c r="J1909" s="2" t="s">
        <v>4257</v>
      </c>
      <c r="K1909" s="2" t="s">
        <v>4258</v>
      </c>
      <c r="L1909" s="2" t="s">
        <v>4259</v>
      </c>
      <c r="M1909" s="3">
        <v>1</v>
      </c>
      <c r="N1909" s="3">
        <v>2</v>
      </c>
      <c r="P1909" s="2" t="s">
        <v>4260</v>
      </c>
    </row>
    <row r="1910" spans="1:16" ht="13">
      <c r="A1910" s="2" t="s">
        <v>0</v>
      </c>
      <c r="B1910" s="2" t="str">
        <f t="shared" si="29"/>
        <v>24-25 Academic Year</v>
      </c>
      <c r="C1910" s="2">
        <v>66</v>
      </c>
      <c r="D1910" s="2" t="s">
        <v>3300</v>
      </c>
      <c r="E1910" s="10">
        <v>45776</v>
      </c>
      <c r="F1910" s="2" t="s">
        <v>2990</v>
      </c>
      <c r="G1910" s="2" t="s">
        <v>8</v>
      </c>
      <c r="H1910" s="2" t="s">
        <v>8</v>
      </c>
      <c r="J1910" s="2" t="s">
        <v>4620</v>
      </c>
      <c r="K1910" s="2" t="s">
        <v>4621</v>
      </c>
      <c r="L1910" s="2" t="s">
        <v>2060</v>
      </c>
      <c r="M1910" s="3">
        <v>999</v>
      </c>
      <c r="N1910" s="3">
        <v>999</v>
      </c>
      <c r="P1910" s="2" t="s">
        <v>4622</v>
      </c>
    </row>
    <row r="1911" spans="1:16" ht="13">
      <c r="A1911" s="2" t="s">
        <v>0</v>
      </c>
      <c r="B1911" s="2" t="str">
        <f t="shared" si="29"/>
        <v>24-25 Academic Year</v>
      </c>
      <c r="C1911" s="2">
        <v>66</v>
      </c>
      <c r="D1911" s="2" t="s">
        <v>3300</v>
      </c>
      <c r="E1911" s="10">
        <v>45776</v>
      </c>
      <c r="F1911" s="2" t="s">
        <v>2990</v>
      </c>
      <c r="G1911" s="2" t="s">
        <v>8</v>
      </c>
      <c r="H1911" s="2" t="s">
        <v>8</v>
      </c>
      <c r="J1911" s="2" t="s">
        <v>4623</v>
      </c>
      <c r="K1911" s="2" t="s">
        <v>4624</v>
      </c>
      <c r="L1911" s="2" t="s">
        <v>4625</v>
      </c>
      <c r="M1911" s="3">
        <v>999</v>
      </c>
      <c r="N1911" s="3">
        <v>999</v>
      </c>
      <c r="P1911" s="2" t="s">
        <v>4626</v>
      </c>
    </row>
    <row r="1912" spans="1:16" ht="13">
      <c r="A1912" s="2" t="s">
        <v>0</v>
      </c>
      <c r="B1912" s="2" t="str">
        <f t="shared" si="29"/>
        <v>24-25 Academic Year</v>
      </c>
      <c r="C1912" s="2">
        <v>66</v>
      </c>
      <c r="D1912" s="2" t="s">
        <v>3300</v>
      </c>
      <c r="E1912" s="10">
        <v>45776</v>
      </c>
      <c r="F1912" s="2" t="s">
        <v>2990</v>
      </c>
      <c r="G1912" s="2" t="s">
        <v>8</v>
      </c>
      <c r="H1912" s="2" t="s">
        <v>8</v>
      </c>
      <c r="J1912" s="2" t="s">
        <v>4627</v>
      </c>
      <c r="K1912" s="2" t="s">
        <v>4628</v>
      </c>
      <c r="L1912" s="2" t="s">
        <v>4629</v>
      </c>
      <c r="M1912" s="3">
        <v>999</v>
      </c>
      <c r="N1912" s="3">
        <v>999</v>
      </c>
      <c r="P1912" s="2" t="s">
        <v>4630</v>
      </c>
    </row>
    <row r="1913" spans="1:16" ht="13">
      <c r="A1913" s="2" t="s">
        <v>0</v>
      </c>
      <c r="B1913" s="2" t="str">
        <f t="shared" si="29"/>
        <v>24-25 Academic Year</v>
      </c>
      <c r="C1913" s="2">
        <v>66</v>
      </c>
      <c r="D1913" s="2" t="s">
        <v>3300</v>
      </c>
      <c r="E1913" s="10">
        <v>45776</v>
      </c>
      <c r="F1913" s="2" t="s">
        <v>2990</v>
      </c>
      <c r="G1913" s="2" t="s">
        <v>8</v>
      </c>
      <c r="H1913" s="2" t="s">
        <v>8</v>
      </c>
      <c r="J1913" s="2" t="s">
        <v>4631</v>
      </c>
      <c r="K1913" s="2" t="s">
        <v>4618</v>
      </c>
      <c r="L1913" s="2" t="s">
        <v>2075</v>
      </c>
      <c r="M1913" s="3">
        <v>999</v>
      </c>
      <c r="N1913" s="3">
        <v>999</v>
      </c>
      <c r="P1913" s="2" t="s">
        <v>4632</v>
      </c>
    </row>
    <row r="1914" spans="1:16" ht="13">
      <c r="A1914" s="2" t="s">
        <v>0</v>
      </c>
      <c r="B1914" s="2" t="str">
        <f t="shared" si="29"/>
        <v>24-25 Academic Year</v>
      </c>
      <c r="C1914" s="2">
        <v>66</v>
      </c>
      <c r="D1914" s="2" t="s">
        <v>3300</v>
      </c>
      <c r="E1914" s="10">
        <v>45776</v>
      </c>
      <c r="F1914" s="2" t="s">
        <v>2990</v>
      </c>
      <c r="G1914" s="2" t="s">
        <v>8</v>
      </c>
      <c r="H1914" s="2" t="s">
        <v>8</v>
      </c>
      <c r="J1914" s="2" t="s">
        <v>4633</v>
      </c>
      <c r="K1914" s="2" t="s">
        <v>4615</v>
      </c>
      <c r="L1914" s="2" t="s">
        <v>2067</v>
      </c>
      <c r="M1914" s="3">
        <v>999</v>
      </c>
      <c r="N1914" s="3">
        <v>999</v>
      </c>
      <c r="P1914" s="2" t="s">
        <v>4634</v>
      </c>
    </row>
    <row r="1915" spans="1:16" ht="13">
      <c r="A1915" s="2" t="s">
        <v>0</v>
      </c>
      <c r="B1915" s="2" t="str">
        <f t="shared" si="29"/>
        <v>24-25 Academic Year</v>
      </c>
      <c r="C1915" s="2">
        <v>67</v>
      </c>
      <c r="D1915" s="2" t="s">
        <v>4261</v>
      </c>
      <c r="E1915" s="10">
        <v>45777</v>
      </c>
      <c r="F1915" s="2" t="s">
        <v>131</v>
      </c>
      <c r="G1915" s="2" t="s">
        <v>131</v>
      </c>
      <c r="H1915" s="2" t="s">
        <v>6</v>
      </c>
      <c r="I1915" s="2" t="s">
        <v>570</v>
      </c>
      <c r="J1915" s="2" t="s">
        <v>4262</v>
      </c>
      <c r="K1915" s="2" t="s">
        <v>1133</v>
      </c>
      <c r="L1915" s="2" t="s">
        <v>4204</v>
      </c>
      <c r="M1915" s="3">
        <v>1</v>
      </c>
      <c r="N1915" s="3">
        <v>2</v>
      </c>
      <c r="P1915" s="2" t="s">
        <v>4263</v>
      </c>
    </row>
    <row r="1916" spans="1:16" ht="13">
      <c r="A1916" s="2" t="s">
        <v>0</v>
      </c>
      <c r="B1916" s="2" t="str">
        <f t="shared" si="29"/>
        <v>24-25 Academic Year</v>
      </c>
      <c r="C1916" s="2">
        <v>67</v>
      </c>
      <c r="D1916" s="2" t="s">
        <v>4261</v>
      </c>
      <c r="E1916" s="10">
        <v>45777</v>
      </c>
      <c r="F1916" s="2" t="s">
        <v>131</v>
      </c>
      <c r="G1916" s="2" t="s">
        <v>131</v>
      </c>
      <c r="H1916" s="2" t="s">
        <v>6</v>
      </c>
      <c r="I1916" s="2" t="s">
        <v>570</v>
      </c>
      <c r="J1916" s="2" t="s">
        <v>4282</v>
      </c>
      <c r="K1916" s="2" t="s">
        <v>1133</v>
      </c>
      <c r="L1916" s="2" t="s">
        <v>4204</v>
      </c>
      <c r="M1916" s="3">
        <v>1</v>
      </c>
      <c r="N1916" s="3">
        <v>2</v>
      </c>
      <c r="P1916" s="2" t="s">
        <v>4283</v>
      </c>
    </row>
    <row r="1917" spans="1:16" ht="13">
      <c r="A1917" s="2" t="s">
        <v>0</v>
      </c>
      <c r="B1917" s="2" t="str">
        <f t="shared" si="29"/>
        <v>24-25 Academic Year</v>
      </c>
      <c r="C1917" s="2">
        <v>67</v>
      </c>
      <c r="D1917" s="2" t="s">
        <v>4261</v>
      </c>
      <c r="E1917" s="10">
        <v>45777</v>
      </c>
      <c r="F1917" s="2" t="s">
        <v>131</v>
      </c>
      <c r="G1917" s="2" t="s">
        <v>131</v>
      </c>
      <c r="H1917" s="2" t="s">
        <v>6</v>
      </c>
      <c r="I1917" s="2" t="s">
        <v>570</v>
      </c>
      <c r="J1917" s="2" t="s">
        <v>4264</v>
      </c>
      <c r="K1917" s="2" t="s">
        <v>312</v>
      </c>
      <c r="L1917" s="2" t="s">
        <v>4016</v>
      </c>
      <c r="M1917" s="3">
        <v>1</v>
      </c>
      <c r="N1917" s="3">
        <v>2</v>
      </c>
      <c r="P1917" s="2" t="s">
        <v>4265</v>
      </c>
    </row>
    <row r="1918" spans="1:16" ht="13">
      <c r="A1918" s="2" t="s">
        <v>0</v>
      </c>
      <c r="B1918" s="2" t="str">
        <f t="shared" si="29"/>
        <v>24-25 Academic Year</v>
      </c>
      <c r="C1918" s="2">
        <v>67</v>
      </c>
      <c r="D1918" s="2" t="s">
        <v>4261</v>
      </c>
      <c r="E1918" s="10">
        <v>45777</v>
      </c>
      <c r="F1918" s="2" t="s">
        <v>131</v>
      </c>
      <c r="G1918" s="2" t="s">
        <v>131</v>
      </c>
      <c r="H1918" s="2" t="s">
        <v>6</v>
      </c>
      <c r="I1918" s="2" t="s">
        <v>570</v>
      </c>
      <c r="J1918" s="2" t="s">
        <v>4266</v>
      </c>
      <c r="K1918" s="2" t="s">
        <v>1133</v>
      </c>
      <c r="L1918" s="2" t="s">
        <v>4204</v>
      </c>
      <c r="M1918" s="3">
        <v>1</v>
      </c>
      <c r="N1918" s="3">
        <v>2</v>
      </c>
      <c r="P1918" s="2" t="s">
        <v>4267</v>
      </c>
    </row>
    <row r="1919" spans="1:16" ht="13">
      <c r="A1919" s="2" t="s">
        <v>0</v>
      </c>
      <c r="B1919" s="2" t="str">
        <f t="shared" si="29"/>
        <v>24-25 Academic Year</v>
      </c>
      <c r="C1919" s="2">
        <v>67</v>
      </c>
      <c r="D1919" s="2" t="s">
        <v>4261</v>
      </c>
      <c r="E1919" s="10">
        <v>45777</v>
      </c>
      <c r="F1919" s="2" t="s">
        <v>131</v>
      </c>
      <c r="G1919" s="2" t="s">
        <v>131</v>
      </c>
      <c r="H1919" s="2" t="s">
        <v>6</v>
      </c>
      <c r="I1919" s="2" t="s">
        <v>570</v>
      </c>
      <c r="J1919" s="2" t="s">
        <v>4268</v>
      </c>
      <c r="K1919" s="2" t="s">
        <v>1139</v>
      </c>
      <c r="L1919" s="2" t="s">
        <v>4269</v>
      </c>
      <c r="M1919" s="3">
        <v>1</v>
      </c>
      <c r="N1919" s="3">
        <v>2</v>
      </c>
      <c r="P1919" s="2" t="s">
        <v>4270</v>
      </c>
    </row>
    <row r="1920" spans="1:16" ht="13">
      <c r="A1920" s="2" t="s">
        <v>0</v>
      </c>
      <c r="B1920" s="2" t="str">
        <f t="shared" si="29"/>
        <v>24-25 Academic Year</v>
      </c>
      <c r="C1920" s="2">
        <v>67</v>
      </c>
      <c r="D1920" s="2" t="s">
        <v>4261</v>
      </c>
      <c r="E1920" s="10">
        <v>45777</v>
      </c>
      <c r="F1920" s="2" t="s">
        <v>131</v>
      </c>
      <c r="G1920" s="2" t="s">
        <v>131</v>
      </c>
      <c r="H1920" s="2" t="s">
        <v>6</v>
      </c>
      <c r="I1920" s="2" t="s">
        <v>570</v>
      </c>
      <c r="J1920" s="2" t="s">
        <v>4271</v>
      </c>
      <c r="K1920" s="2" t="s">
        <v>1139</v>
      </c>
      <c r="L1920" s="2" t="s">
        <v>4269</v>
      </c>
      <c r="M1920" s="3">
        <v>1</v>
      </c>
      <c r="N1920" s="3">
        <v>2</v>
      </c>
      <c r="P1920" s="2" t="s">
        <v>4272</v>
      </c>
    </row>
    <row r="1921" spans="1:16" ht="13">
      <c r="A1921" s="2" t="s">
        <v>0</v>
      </c>
      <c r="B1921" s="2" t="str">
        <f t="shared" si="29"/>
        <v>24-25 Academic Year</v>
      </c>
      <c r="C1921" s="2">
        <v>67</v>
      </c>
      <c r="D1921" s="2" t="s">
        <v>4261</v>
      </c>
      <c r="E1921" s="10">
        <v>45777</v>
      </c>
      <c r="F1921" s="2" t="s">
        <v>131</v>
      </c>
      <c r="G1921" s="2" t="s">
        <v>131</v>
      </c>
      <c r="H1921" s="2" t="s">
        <v>6</v>
      </c>
      <c r="I1921" s="2" t="s">
        <v>570</v>
      </c>
      <c r="J1921" s="2" t="s">
        <v>4273</v>
      </c>
      <c r="K1921" s="2" t="s">
        <v>1133</v>
      </c>
      <c r="L1921" s="2" t="s">
        <v>4204</v>
      </c>
      <c r="M1921" s="3">
        <v>1</v>
      </c>
      <c r="N1921" s="3">
        <v>2</v>
      </c>
      <c r="P1921" s="2" t="s">
        <v>4274</v>
      </c>
    </row>
    <row r="1922" spans="1:16" ht="13">
      <c r="A1922" s="2" t="s">
        <v>0</v>
      </c>
      <c r="B1922" s="2" t="str">
        <f t="shared" si="29"/>
        <v>24-25 Academic Year</v>
      </c>
      <c r="C1922" s="2">
        <v>67</v>
      </c>
      <c r="D1922" s="2" t="s">
        <v>4261</v>
      </c>
      <c r="E1922" s="10">
        <v>45777</v>
      </c>
      <c r="F1922" s="2" t="s">
        <v>131</v>
      </c>
      <c r="G1922" s="2" t="s">
        <v>131</v>
      </c>
      <c r="H1922" s="2" t="s">
        <v>6</v>
      </c>
      <c r="I1922" s="2" t="s">
        <v>570</v>
      </c>
      <c r="J1922" s="2" t="s">
        <v>4275</v>
      </c>
      <c r="K1922" s="2" t="s">
        <v>312</v>
      </c>
      <c r="L1922" s="2" t="s">
        <v>4016</v>
      </c>
      <c r="M1922" s="3">
        <v>1</v>
      </c>
      <c r="N1922" s="3">
        <v>2</v>
      </c>
      <c r="P1922" s="2" t="s">
        <v>4276</v>
      </c>
    </row>
    <row r="1923" spans="1:16" ht="13">
      <c r="A1923" s="2" t="s">
        <v>0</v>
      </c>
      <c r="B1923" s="2" t="str">
        <f t="shared" ref="B1923:B1925" si="30">RIGHT(TEXT(IF(LEFT(A1923,4)="Fall",VALUE(RIGHT(A1923,4)),VALUE(RIGHT(A1923,4))-1),"00"),2)
 &amp; "-" &amp;
 RIGHT(TEXT(IF(LEFT(A1923,4)="Fall",VALUE(RIGHT(A1923,4))+1,VALUE(RIGHT(A1923,4))),"00"),2)
 &amp; " Academic Year"</f>
        <v>24-25 Academic Year</v>
      </c>
      <c r="C1923" s="2">
        <v>67</v>
      </c>
      <c r="D1923" s="2" t="s">
        <v>4261</v>
      </c>
      <c r="E1923" s="10">
        <v>45777</v>
      </c>
      <c r="F1923" s="2" t="s">
        <v>131</v>
      </c>
      <c r="G1923" s="2" t="s">
        <v>131</v>
      </c>
      <c r="H1923" s="2" t="s">
        <v>6</v>
      </c>
      <c r="I1923" s="2" t="s">
        <v>570</v>
      </c>
      <c r="J1923" s="2" t="s">
        <v>4277</v>
      </c>
      <c r="K1923" s="2" t="s">
        <v>4278</v>
      </c>
      <c r="L1923" s="2" t="s">
        <v>109</v>
      </c>
      <c r="M1923" s="3">
        <v>1</v>
      </c>
      <c r="N1923" s="3">
        <v>2</v>
      </c>
      <c r="P1923" s="2" t="s">
        <v>4279</v>
      </c>
    </row>
    <row r="1924" spans="1:16" ht="13">
      <c r="A1924" s="2" t="s">
        <v>0</v>
      </c>
      <c r="B1924" s="2" t="str">
        <f t="shared" si="30"/>
        <v>24-25 Academic Year</v>
      </c>
      <c r="C1924" s="2">
        <v>67</v>
      </c>
      <c r="D1924" s="2" t="s">
        <v>4261</v>
      </c>
      <c r="E1924" s="10">
        <v>45777</v>
      </c>
      <c r="F1924" s="2" t="s">
        <v>131</v>
      </c>
      <c r="G1924" s="2" t="s">
        <v>131</v>
      </c>
      <c r="H1924" s="2" t="s">
        <v>6</v>
      </c>
      <c r="I1924" s="2" t="s">
        <v>570</v>
      </c>
      <c r="J1924" s="2" t="s">
        <v>4280</v>
      </c>
      <c r="K1924" s="2" t="s">
        <v>571</v>
      </c>
      <c r="L1924" s="2" t="s">
        <v>2104</v>
      </c>
      <c r="M1924" s="3">
        <v>1</v>
      </c>
      <c r="N1924" s="3">
        <v>2</v>
      </c>
      <c r="P1924" s="2" t="s">
        <v>4281</v>
      </c>
    </row>
    <row r="1925" spans="1:16" ht="13">
      <c r="A1925" s="2" t="s">
        <v>0</v>
      </c>
      <c r="B1925" s="2" t="str">
        <f t="shared" si="30"/>
        <v>24-25 Academic Year</v>
      </c>
      <c r="C1925" s="2">
        <v>68</v>
      </c>
      <c r="D1925" s="2" t="s">
        <v>4284</v>
      </c>
      <c r="E1925" s="10"/>
      <c r="F1925" s="2" t="s">
        <v>2184</v>
      </c>
      <c r="G1925" s="2" t="s">
        <v>7</v>
      </c>
      <c r="H1925" s="2" t="s">
        <v>7</v>
      </c>
      <c r="J1925" s="2" t="s">
        <v>4285</v>
      </c>
      <c r="K1925" s="2" t="s">
        <v>248</v>
      </c>
      <c r="L1925" s="2" t="s">
        <v>1425</v>
      </c>
      <c r="M1925" s="3">
        <v>1</v>
      </c>
      <c r="N1925" s="3">
        <v>2</v>
      </c>
      <c r="P1925" s="2" t="s">
        <v>4286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Composer</vt:lpstr>
      <vt:lpstr>LongForm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Meals, Cory D</cp:lastModifiedBy>
  <dcterms:created xsi:type="dcterms:W3CDTF">2025-06-27T17:38:38Z</dcterms:created>
  <dcterms:modified xsi:type="dcterms:W3CDTF">2025-06-29T14:21:27Z</dcterms:modified>
</cp:coreProperties>
</file>